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Than Thien\PycharmProjects\the-chatbot\data\"/>
    </mc:Choice>
  </mc:AlternateContent>
  <xr:revisionPtr revIDLastSave="0" documentId="13_ncr:1_{73C9DE81-EE56-4E71-BE55-CC9DF6F39A8C}" xr6:coauthVersionLast="47" xr6:coauthVersionMax="47" xr10:uidLastSave="{00000000-0000-0000-0000-000000000000}"/>
  <bookViews>
    <workbookView xWindow="-103" yWindow="-103" windowWidth="24892" windowHeight="14914" firstSheet="1" activeTab="2" xr2:uid="{00000000-000D-0000-FFFF-FFFF00000000}"/>
  </bookViews>
  <sheets>
    <sheet name="Data 3 sách" sheetId="2" state="hidden" r:id="rId1"/>
    <sheet name="CÁC BUỔI HỌC CHÍNH" sheetId="3" r:id="rId2"/>
    <sheet name="PHỤ ĐẠO (NGOÀI LỊCH CHÍNH)" sheetId="4" r:id="rId3"/>
    <sheet name="TÀI LIỆU NỘI BỘ" sheetId="6"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854" i="2" l="1"/>
  <c r="I10854" i="2"/>
  <c r="J10853" i="2"/>
  <c r="I10853" i="2"/>
  <c r="J10852" i="2"/>
  <c r="I10852" i="2"/>
  <c r="J10851" i="2"/>
  <c r="I10851" i="2"/>
  <c r="J10850" i="2"/>
  <c r="I10850" i="2"/>
  <c r="J10849" i="2"/>
  <c r="I10849" i="2"/>
  <c r="J10848" i="2"/>
  <c r="I10848" i="2"/>
  <c r="J10847" i="2"/>
  <c r="I10847" i="2"/>
  <c r="J10846" i="2"/>
  <c r="I10846" i="2"/>
  <c r="J10845" i="2"/>
  <c r="I10845" i="2"/>
  <c r="J10844" i="2"/>
  <c r="I10844" i="2"/>
  <c r="J10843" i="2"/>
  <c r="I10843" i="2"/>
  <c r="J10842" i="2"/>
  <c r="I10842" i="2"/>
  <c r="J10841" i="2"/>
  <c r="I10841" i="2"/>
  <c r="J10840" i="2"/>
  <c r="I10840" i="2"/>
  <c r="J10839" i="2"/>
  <c r="I10839" i="2"/>
  <c r="J10838" i="2"/>
  <c r="I10838" i="2"/>
  <c r="J10837" i="2"/>
  <c r="I10837" i="2"/>
  <c r="J10836" i="2"/>
  <c r="I10836" i="2"/>
  <c r="J10835" i="2"/>
  <c r="I10835" i="2"/>
  <c r="J10834" i="2"/>
  <c r="I10834" i="2"/>
  <c r="J10833" i="2"/>
  <c r="I10833" i="2"/>
  <c r="J10832" i="2"/>
  <c r="I10832" i="2"/>
  <c r="J10831" i="2"/>
  <c r="I10831" i="2"/>
  <c r="J10830" i="2"/>
  <c r="I10830" i="2"/>
  <c r="J10829" i="2"/>
  <c r="I10829" i="2"/>
  <c r="J10828" i="2"/>
  <c r="I10828" i="2"/>
  <c r="J10827" i="2"/>
  <c r="I10827" i="2"/>
  <c r="J10826" i="2"/>
  <c r="I10826" i="2"/>
  <c r="J10825" i="2"/>
  <c r="I10825" i="2"/>
  <c r="J10824" i="2"/>
  <c r="I10824" i="2"/>
  <c r="J10823" i="2"/>
  <c r="I10823" i="2"/>
  <c r="J10822" i="2"/>
  <c r="I10822" i="2"/>
  <c r="J10821" i="2"/>
  <c r="I10821" i="2"/>
  <c r="J10820" i="2"/>
  <c r="I10820" i="2"/>
  <c r="J10819" i="2"/>
  <c r="I10819" i="2"/>
  <c r="J10818" i="2"/>
  <c r="I10818" i="2"/>
  <c r="J10817" i="2"/>
  <c r="I10817" i="2"/>
  <c r="J10816" i="2"/>
  <c r="I10816" i="2"/>
  <c r="J10815" i="2"/>
  <c r="I10815" i="2"/>
  <c r="J10814" i="2"/>
  <c r="I10814" i="2"/>
  <c r="J10813" i="2"/>
  <c r="I10813" i="2"/>
  <c r="J10812" i="2"/>
  <c r="I10812" i="2"/>
  <c r="J10811" i="2"/>
  <c r="I10811" i="2"/>
  <c r="J10810" i="2"/>
  <c r="I10810" i="2"/>
  <c r="J10809" i="2"/>
  <c r="I10809" i="2"/>
  <c r="J10808" i="2"/>
  <c r="I10808" i="2"/>
  <c r="J10807" i="2"/>
  <c r="I10807" i="2"/>
  <c r="J10806" i="2"/>
  <c r="I10806" i="2"/>
  <c r="J10805" i="2"/>
  <c r="I10805" i="2"/>
  <c r="J10804" i="2"/>
  <c r="I10804" i="2"/>
  <c r="J10803" i="2"/>
  <c r="I10803" i="2"/>
  <c r="J10802" i="2"/>
  <c r="I10802" i="2"/>
  <c r="J10801" i="2"/>
  <c r="I10801" i="2"/>
  <c r="J10800" i="2"/>
  <c r="I10800" i="2"/>
  <c r="J10799" i="2"/>
  <c r="I10799" i="2"/>
  <c r="J10798" i="2"/>
  <c r="I10798" i="2"/>
  <c r="J10797" i="2"/>
  <c r="I10797" i="2"/>
  <c r="J10796" i="2"/>
  <c r="I10796" i="2"/>
  <c r="J10795" i="2"/>
  <c r="I10795" i="2"/>
  <c r="J10794" i="2"/>
  <c r="I10794" i="2"/>
  <c r="J10793" i="2"/>
  <c r="I10793" i="2"/>
  <c r="J10792" i="2"/>
  <c r="I10792" i="2"/>
  <c r="J10791" i="2"/>
  <c r="I10791" i="2"/>
  <c r="J10790" i="2"/>
  <c r="I10790" i="2"/>
  <c r="J10789" i="2"/>
  <c r="I10789" i="2"/>
  <c r="J10788" i="2"/>
  <c r="I10788" i="2"/>
  <c r="J10787" i="2"/>
  <c r="I10787" i="2"/>
  <c r="J10786" i="2"/>
  <c r="I10786" i="2"/>
  <c r="J10785" i="2"/>
  <c r="I10785" i="2"/>
  <c r="J10784" i="2"/>
  <c r="I10784" i="2"/>
  <c r="J10783" i="2"/>
  <c r="I10783" i="2"/>
  <c r="J10782" i="2"/>
  <c r="I10782" i="2"/>
  <c r="J10781" i="2"/>
  <c r="I10781" i="2"/>
  <c r="J10780" i="2"/>
  <c r="I10780" i="2"/>
  <c r="J10779" i="2"/>
  <c r="I10779" i="2"/>
  <c r="J10778" i="2"/>
  <c r="I10778" i="2"/>
  <c r="J10777" i="2"/>
  <c r="I10777" i="2"/>
  <c r="J10776" i="2"/>
  <c r="I10776" i="2"/>
  <c r="J10775" i="2"/>
  <c r="I10775" i="2"/>
  <c r="J10774" i="2"/>
  <c r="I10774" i="2"/>
  <c r="J10773" i="2"/>
  <c r="I10773" i="2"/>
  <c r="J10772" i="2"/>
  <c r="I10772" i="2"/>
  <c r="J10771" i="2"/>
  <c r="I10771" i="2"/>
  <c r="J10770" i="2"/>
  <c r="I10770" i="2"/>
  <c r="J10769" i="2"/>
  <c r="I10769" i="2"/>
  <c r="J10768" i="2"/>
  <c r="I10768" i="2"/>
  <c r="J10767" i="2"/>
  <c r="I10767" i="2"/>
  <c r="J10766" i="2"/>
  <c r="I10766" i="2"/>
  <c r="J10765" i="2"/>
  <c r="I10765" i="2"/>
  <c r="J10764" i="2"/>
  <c r="I10764" i="2"/>
  <c r="J10763" i="2"/>
  <c r="I10763" i="2"/>
  <c r="J10762" i="2"/>
  <c r="I10762" i="2"/>
  <c r="J10761" i="2"/>
  <c r="I10761" i="2"/>
  <c r="J10760" i="2"/>
  <c r="I10760" i="2"/>
  <c r="J10759" i="2"/>
  <c r="I10759" i="2"/>
  <c r="J10758" i="2"/>
  <c r="I10758" i="2"/>
  <c r="J10757" i="2"/>
  <c r="I10757" i="2"/>
  <c r="J10756" i="2"/>
  <c r="I10756" i="2"/>
  <c r="J10755" i="2"/>
  <c r="I10755" i="2"/>
  <c r="J10754" i="2"/>
  <c r="I10754" i="2"/>
  <c r="J10753" i="2"/>
  <c r="I10753" i="2"/>
  <c r="J10752" i="2"/>
  <c r="I10752" i="2"/>
  <c r="J10751" i="2"/>
  <c r="I10751" i="2"/>
  <c r="J10750" i="2"/>
  <c r="I10750" i="2"/>
  <c r="J10749" i="2"/>
  <c r="I10749" i="2"/>
  <c r="J10748" i="2"/>
  <c r="I10748" i="2"/>
  <c r="J10747" i="2"/>
  <c r="I10747" i="2"/>
  <c r="J10746" i="2"/>
  <c r="I10746" i="2"/>
  <c r="J10745" i="2"/>
  <c r="I10745" i="2"/>
  <c r="J10744" i="2"/>
  <c r="I10744" i="2"/>
  <c r="J10743" i="2"/>
  <c r="I10743" i="2"/>
  <c r="J10742" i="2"/>
  <c r="I10742" i="2"/>
  <c r="J10741" i="2"/>
  <c r="I10741" i="2"/>
  <c r="J10740" i="2"/>
  <c r="I10740" i="2"/>
  <c r="J10739" i="2"/>
  <c r="I10739" i="2"/>
  <c r="J10738" i="2"/>
  <c r="I10738" i="2"/>
  <c r="J10737" i="2"/>
  <c r="I10737" i="2"/>
  <c r="J10736" i="2"/>
  <c r="I10736" i="2"/>
  <c r="J10735" i="2"/>
  <c r="I10735" i="2"/>
  <c r="J10734" i="2"/>
  <c r="I10734" i="2"/>
  <c r="J10733" i="2"/>
  <c r="I10733" i="2"/>
  <c r="J10732" i="2"/>
  <c r="I10732" i="2"/>
  <c r="J10731" i="2"/>
  <c r="I10731" i="2"/>
  <c r="J10730" i="2"/>
  <c r="I10730" i="2"/>
  <c r="J10729" i="2"/>
  <c r="I10729" i="2"/>
  <c r="J10728" i="2"/>
  <c r="I10728" i="2"/>
  <c r="K10727" i="2"/>
  <c r="J10727" i="2"/>
  <c r="I10727" i="2"/>
  <c r="A10727" i="2"/>
  <c r="K10726" i="2"/>
  <c r="J10726" i="2"/>
  <c r="I10726" i="2"/>
  <c r="A10726" i="2"/>
  <c r="K10725" i="2"/>
  <c r="J10725" i="2"/>
  <c r="I10725" i="2"/>
  <c r="A10725" i="2"/>
  <c r="K10724" i="2"/>
  <c r="J10724" i="2"/>
  <c r="I10724" i="2"/>
  <c r="A10724" i="2"/>
  <c r="K10723" i="2"/>
  <c r="J10723" i="2"/>
  <c r="I10723" i="2"/>
  <c r="A10723" i="2"/>
  <c r="K10722" i="2"/>
  <c r="J10722" i="2"/>
  <c r="I10722" i="2"/>
  <c r="A10722" i="2"/>
  <c r="K10721" i="2"/>
  <c r="J10721" i="2"/>
  <c r="I10721" i="2"/>
  <c r="A10721" i="2"/>
  <c r="K10720" i="2"/>
  <c r="J10720" i="2"/>
  <c r="I10720" i="2"/>
  <c r="A10720" i="2"/>
  <c r="K10719" i="2"/>
  <c r="J10719" i="2"/>
  <c r="I10719" i="2"/>
  <c r="A10719" i="2"/>
  <c r="K10718" i="2"/>
  <c r="J10718" i="2"/>
  <c r="I10718" i="2"/>
  <c r="A10718" i="2"/>
  <c r="K10717" i="2"/>
  <c r="J10717" i="2"/>
  <c r="I10717" i="2"/>
  <c r="A10717" i="2"/>
  <c r="K10716" i="2"/>
  <c r="J10716" i="2"/>
  <c r="I10716" i="2"/>
  <c r="A10716" i="2"/>
  <c r="K10715" i="2"/>
  <c r="J10715" i="2"/>
  <c r="I10715" i="2"/>
  <c r="A10715" i="2"/>
  <c r="K10714" i="2"/>
  <c r="J10714" i="2"/>
  <c r="I10714" i="2"/>
  <c r="A10714" i="2"/>
  <c r="K10713" i="2"/>
  <c r="J10713" i="2"/>
  <c r="I10713" i="2"/>
  <c r="A10713" i="2"/>
  <c r="K10712" i="2"/>
  <c r="J10712" i="2"/>
  <c r="I10712" i="2"/>
  <c r="A10712" i="2"/>
  <c r="K10711" i="2"/>
  <c r="J10711" i="2"/>
  <c r="I10711" i="2"/>
  <c r="A10711" i="2"/>
  <c r="K10710" i="2"/>
  <c r="J10710" i="2"/>
  <c r="I10710" i="2"/>
  <c r="A10710" i="2"/>
  <c r="K10709" i="2"/>
  <c r="J10709" i="2"/>
  <c r="I10709" i="2"/>
  <c r="A10709" i="2"/>
  <c r="K10708" i="2"/>
  <c r="J10708" i="2"/>
  <c r="I10708" i="2"/>
  <c r="A10708" i="2"/>
  <c r="K10707" i="2"/>
  <c r="J10707" i="2"/>
  <c r="I10707" i="2"/>
  <c r="A10707" i="2"/>
  <c r="K10706" i="2"/>
  <c r="J10706" i="2"/>
  <c r="I10706" i="2"/>
  <c r="A10706" i="2"/>
  <c r="K10705" i="2"/>
  <c r="J10705" i="2"/>
  <c r="I10705" i="2"/>
  <c r="A10705" i="2"/>
  <c r="K10704" i="2"/>
  <c r="J10704" i="2"/>
  <c r="I10704" i="2"/>
  <c r="A10704" i="2"/>
  <c r="K10703" i="2"/>
  <c r="J10703" i="2"/>
  <c r="I10703" i="2"/>
  <c r="A10703" i="2"/>
  <c r="K10702" i="2"/>
  <c r="J10702" i="2"/>
  <c r="I10702" i="2"/>
  <c r="A10702" i="2"/>
  <c r="K10701" i="2"/>
  <c r="J10701" i="2"/>
  <c r="I10701" i="2"/>
  <c r="A10701" i="2"/>
  <c r="K10700" i="2"/>
  <c r="J10700" i="2"/>
  <c r="I10700" i="2"/>
  <c r="A10700" i="2"/>
  <c r="K10699" i="2"/>
  <c r="J10699" i="2"/>
  <c r="I10699" i="2"/>
  <c r="A10699" i="2"/>
  <c r="K10698" i="2"/>
  <c r="J10698" i="2"/>
  <c r="I10698" i="2"/>
  <c r="A10698" i="2"/>
  <c r="K10697" i="2"/>
  <c r="J10697" i="2"/>
  <c r="I10697" i="2"/>
  <c r="A10697" i="2"/>
  <c r="K10696" i="2"/>
  <c r="J10696" i="2"/>
  <c r="I10696" i="2"/>
  <c r="A10696" i="2"/>
  <c r="K10695" i="2"/>
  <c r="J10695" i="2"/>
  <c r="I10695" i="2"/>
  <c r="A10695" i="2"/>
  <c r="K10694" i="2"/>
  <c r="J10694" i="2"/>
  <c r="I10694" i="2"/>
  <c r="A10694" i="2"/>
  <c r="K10693" i="2"/>
  <c r="J10693" i="2"/>
  <c r="I10693" i="2"/>
  <c r="A10693" i="2"/>
  <c r="K10692" i="2"/>
  <c r="J10692" i="2"/>
  <c r="I10692" i="2"/>
  <c r="A10692" i="2"/>
  <c r="K10691" i="2"/>
  <c r="J10691" i="2"/>
  <c r="I10691" i="2"/>
  <c r="A10691" i="2"/>
  <c r="K10690" i="2"/>
  <c r="J10690" i="2"/>
  <c r="I10690" i="2"/>
  <c r="A10690" i="2"/>
  <c r="K10689" i="2"/>
  <c r="J10689" i="2"/>
  <c r="I10689" i="2"/>
  <c r="A10689" i="2"/>
  <c r="K10688" i="2"/>
  <c r="J10688" i="2"/>
  <c r="I10688" i="2"/>
  <c r="A10688" i="2"/>
  <c r="K10687" i="2"/>
  <c r="J10687" i="2"/>
  <c r="I10687" i="2"/>
  <c r="A10687" i="2"/>
  <c r="K10686" i="2"/>
  <c r="J10686" i="2"/>
  <c r="I10686" i="2"/>
  <c r="A10686" i="2"/>
  <c r="K10685" i="2"/>
  <c r="J10685" i="2"/>
  <c r="I10685" i="2"/>
  <c r="A10685" i="2"/>
  <c r="K10684" i="2"/>
  <c r="J10684" i="2"/>
  <c r="I10684" i="2"/>
  <c r="A10684" i="2"/>
  <c r="K10683" i="2"/>
  <c r="J10683" i="2"/>
  <c r="I10683" i="2"/>
  <c r="A10683" i="2"/>
  <c r="K10682" i="2"/>
  <c r="J10682" i="2"/>
  <c r="I10682" i="2"/>
  <c r="A10682" i="2"/>
  <c r="K10681" i="2"/>
  <c r="J10681" i="2"/>
  <c r="I10681" i="2"/>
  <c r="A10681" i="2"/>
  <c r="K10680" i="2"/>
  <c r="J10680" i="2"/>
  <c r="I10680" i="2"/>
  <c r="A10680" i="2"/>
  <c r="K10679" i="2"/>
  <c r="J10679" i="2"/>
  <c r="I10679" i="2"/>
  <c r="A10679" i="2"/>
  <c r="K10678" i="2"/>
  <c r="J10678" i="2"/>
  <c r="I10678" i="2"/>
  <c r="A10678" i="2"/>
  <c r="K10677" i="2"/>
  <c r="J10677" i="2"/>
  <c r="I10677" i="2"/>
  <c r="A10677" i="2"/>
  <c r="K10676" i="2"/>
  <c r="J10676" i="2"/>
  <c r="I10676" i="2"/>
  <c r="A10676" i="2"/>
  <c r="K10675" i="2"/>
  <c r="J10675" i="2"/>
  <c r="I10675" i="2"/>
  <c r="A10675" i="2"/>
  <c r="K10674" i="2"/>
  <c r="J10674" i="2"/>
  <c r="I10674" i="2"/>
  <c r="A10674" i="2"/>
  <c r="K10673" i="2"/>
  <c r="J10673" i="2"/>
  <c r="I10673" i="2"/>
  <c r="A10673" i="2"/>
  <c r="K10672" i="2"/>
  <c r="J10672" i="2"/>
  <c r="I10672" i="2"/>
  <c r="A10672" i="2"/>
  <c r="K10671" i="2"/>
  <c r="J10671" i="2"/>
  <c r="I10671" i="2"/>
  <c r="A10671" i="2"/>
  <c r="K10670" i="2"/>
  <c r="J10670" i="2"/>
  <c r="I10670" i="2"/>
  <c r="A10670" i="2"/>
  <c r="K10669" i="2"/>
  <c r="J10669" i="2"/>
  <c r="I10669" i="2"/>
  <c r="A10669" i="2"/>
  <c r="J10668" i="2"/>
  <c r="I10668" i="2"/>
  <c r="K10667" i="2"/>
  <c r="J10667" i="2"/>
  <c r="I10667" i="2"/>
  <c r="A10667" i="2"/>
  <c r="K10666" i="2"/>
  <c r="J10666" i="2"/>
  <c r="I10666" i="2"/>
  <c r="A10666" i="2"/>
  <c r="K10665" i="2"/>
  <c r="J10665" i="2"/>
  <c r="I10665" i="2"/>
  <c r="A10665" i="2"/>
  <c r="K10664" i="2"/>
  <c r="J10664" i="2"/>
  <c r="I10664" i="2"/>
  <c r="A10664" i="2"/>
  <c r="K10663" i="2"/>
  <c r="J10663" i="2"/>
  <c r="I10663" i="2"/>
  <c r="A10663" i="2"/>
  <c r="K10662" i="2"/>
  <c r="J10662" i="2"/>
  <c r="I10662" i="2"/>
  <c r="A10662" i="2"/>
  <c r="K10661" i="2"/>
  <c r="J10661" i="2"/>
  <c r="I10661" i="2"/>
  <c r="A10661" i="2"/>
  <c r="K10660" i="2"/>
  <c r="J10660" i="2"/>
  <c r="I10660" i="2"/>
  <c r="A10660" i="2"/>
  <c r="K10659" i="2"/>
  <c r="J10659" i="2"/>
  <c r="I10659" i="2"/>
  <c r="A10659" i="2"/>
  <c r="K10658" i="2"/>
  <c r="J10658" i="2"/>
  <c r="I10658" i="2"/>
  <c r="A10658" i="2"/>
  <c r="K10657" i="2"/>
  <c r="J10657" i="2"/>
  <c r="I10657" i="2"/>
  <c r="A10657" i="2"/>
  <c r="K10656" i="2"/>
  <c r="J10656" i="2"/>
  <c r="I10656" i="2"/>
  <c r="A10656" i="2"/>
  <c r="K10655" i="2"/>
  <c r="J10655" i="2"/>
  <c r="I10655" i="2"/>
  <c r="A10655" i="2"/>
  <c r="K10654" i="2"/>
  <c r="J10654" i="2"/>
  <c r="I10654" i="2"/>
  <c r="A10654" i="2"/>
  <c r="K10653" i="2"/>
  <c r="J10653" i="2"/>
  <c r="I10653" i="2"/>
  <c r="A10653" i="2"/>
  <c r="K10652" i="2"/>
  <c r="J10652" i="2"/>
  <c r="I10652" i="2"/>
  <c r="A10652" i="2"/>
  <c r="K10651" i="2"/>
  <c r="J10651" i="2"/>
  <c r="I10651" i="2"/>
  <c r="A10651" i="2"/>
  <c r="K10650" i="2"/>
  <c r="J10650" i="2"/>
  <c r="I10650" i="2"/>
  <c r="A10650" i="2"/>
  <c r="K10649" i="2"/>
  <c r="J10649" i="2"/>
  <c r="I10649" i="2"/>
  <c r="A10649" i="2"/>
  <c r="K10648" i="2"/>
  <c r="J10648" i="2"/>
  <c r="I10648" i="2"/>
  <c r="A10648" i="2"/>
  <c r="K10647" i="2"/>
  <c r="J10647" i="2"/>
  <c r="I10647" i="2"/>
  <c r="A10647" i="2"/>
  <c r="K10646" i="2"/>
  <c r="J10646" i="2"/>
  <c r="I10646" i="2"/>
  <c r="A10646" i="2"/>
  <c r="K10645" i="2"/>
  <c r="J10645" i="2"/>
  <c r="I10645" i="2"/>
  <c r="A10645" i="2"/>
  <c r="J10644" i="2"/>
  <c r="I10644" i="2"/>
  <c r="K10643" i="2"/>
  <c r="J10643" i="2"/>
  <c r="I10643" i="2"/>
  <c r="A10643" i="2"/>
  <c r="K10642" i="2"/>
  <c r="J10642" i="2"/>
  <c r="I10642" i="2"/>
  <c r="A10642" i="2"/>
  <c r="K10641" i="2"/>
  <c r="J10641" i="2"/>
  <c r="I10641" i="2"/>
  <c r="A10641" i="2"/>
  <c r="K10640" i="2"/>
  <c r="J10640" i="2"/>
  <c r="I10640" i="2"/>
  <c r="A10640" i="2"/>
  <c r="K10639" i="2"/>
  <c r="J10639" i="2"/>
  <c r="I10639" i="2"/>
  <c r="A10639" i="2"/>
  <c r="K10638" i="2"/>
  <c r="J10638" i="2"/>
  <c r="I10638" i="2"/>
  <c r="A10638" i="2"/>
  <c r="K10637" i="2"/>
  <c r="J10637" i="2"/>
  <c r="I10637" i="2"/>
  <c r="A10637" i="2"/>
  <c r="K10636" i="2"/>
  <c r="J10636" i="2"/>
  <c r="I10636" i="2"/>
  <c r="A10636" i="2"/>
  <c r="K10635" i="2"/>
  <c r="J10635" i="2"/>
  <c r="I10635" i="2"/>
  <c r="A10635" i="2"/>
  <c r="K10634" i="2"/>
  <c r="J10634" i="2"/>
  <c r="I10634" i="2"/>
  <c r="A10634" i="2"/>
  <c r="K10633" i="2"/>
  <c r="J10633" i="2"/>
  <c r="I10633" i="2"/>
  <c r="A10633" i="2"/>
  <c r="K10632" i="2"/>
  <c r="J10632" i="2"/>
  <c r="I10632" i="2"/>
  <c r="A10632" i="2"/>
  <c r="K10631" i="2"/>
  <c r="J10631" i="2"/>
  <c r="I10631" i="2"/>
  <c r="A10631" i="2"/>
  <c r="K10630" i="2"/>
  <c r="J10630" i="2"/>
  <c r="I10630" i="2"/>
  <c r="A10630" i="2"/>
  <c r="K10629" i="2"/>
  <c r="J10629" i="2"/>
  <c r="I10629" i="2"/>
  <c r="A10629" i="2"/>
  <c r="K10628" i="2"/>
  <c r="J10628" i="2"/>
  <c r="I10628" i="2"/>
  <c r="A10628" i="2"/>
  <c r="K10627" i="2"/>
  <c r="J10627" i="2"/>
  <c r="I10627" i="2"/>
  <c r="A10627" i="2"/>
  <c r="K10626" i="2"/>
  <c r="J10626" i="2"/>
  <c r="I10626" i="2"/>
  <c r="A10626" i="2"/>
  <c r="K10625" i="2"/>
  <c r="J10625" i="2"/>
  <c r="I10625" i="2"/>
  <c r="A10625" i="2"/>
  <c r="K10624" i="2"/>
  <c r="J10624" i="2"/>
  <c r="I10624" i="2"/>
  <c r="A10624" i="2"/>
  <c r="K10623" i="2"/>
  <c r="J10623" i="2"/>
  <c r="I10623" i="2"/>
  <c r="A10623" i="2"/>
  <c r="K10622" i="2"/>
  <c r="J10622" i="2"/>
  <c r="I10622" i="2"/>
  <c r="A10622" i="2"/>
  <c r="K10621" i="2"/>
  <c r="J10621" i="2"/>
  <c r="I10621" i="2"/>
  <c r="A10621" i="2"/>
  <c r="K10620" i="2"/>
  <c r="J10620" i="2"/>
  <c r="I10620" i="2"/>
  <c r="A10620" i="2"/>
  <c r="K10619" i="2"/>
  <c r="J10619" i="2"/>
  <c r="I10619" i="2"/>
  <c r="A10619" i="2"/>
  <c r="K10618" i="2"/>
  <c r="J10618" i="2"/>
  <c r="I10618" i="2"/>
  <c r="A10618" i="2"/>
  <c r="K10617" i="2"/>
  <c r="J10617" i="2"/>
  <c r="I10617" i="2"/>
  <c r="A10617" i="2"/>
  <c r="K10616" i="2"/>
  <c r="J10616" i="2"/>
  <c r="I10616" i="2"/>
  <c r="A10616" i="2"/>
  <c r="K10615" i="2"/>
  <c r="J10615" i="2"/>
  <c r="I10615" i="2"/>
  <c r="A10615" i="2"/>
  <c r="K10614" i="2"/>
  <c r="J10614" i="2"/>
  <c r="I10614" i="2"/>
  <c r="A10614" i="2"/>
  <c r="J10613" i="2"/>
  <c r="I10613" i="2"/>
  <c r="K10612" i="2"/>
  <c r="J10612" i="2"/>
  <c r="I10612" i="2"/>
  <c r="A10612" i="2"/>
  <c r="K10611" i="2"/>
  <c r="J10611" i="2"/>
  <c r="I10611" i="2"/>
  <c r="A10611" i="2"/>
  <c r="K10610" i="2"/>
  <c r="J10610" i="2"/>
  <c r="I10610" i="2"/>
  <c r="A10610" i="2"/>
  <c r="K10609" i="2"/>
  <c r="J10609" i="2"/>
  <c r="I10609" i="2"/>
  <c r="A10609" i="2"/>
  <c r="K10608" i="2"/>
  <c r="J10608" i="2"/>
  <c r="I10608" i="2"/>
  <c r="A10608" i="2"/>
  <c r="K10607" i="2"/>
  <c r="J10607" i="2"/>
  <c r="I10607" i="2"/>
  <c r="A10607" i="2"/>
  <c r="K10606" i="2"/>
  <c r="J10606" i="2"/>
  <c r="I10606" i="2"/>
  <c r="A10606" i="2"/>
  <c r="K10605" i="2"/>
  <c r="J10605" i="2"/>
  <c r="I10605" i="2"/>
  <c r="A10605" i="2"/>
  <c r="J10604" i="2"/>
  <c r="I10604" i="2"/>
  <c r="K10603" i="2"/>
  <c r="J10603" i="2"/>
  <c r="I10603" i="2"/>
  <c r="A10603" i="2"/>
  <c r="K10602" i="2"/>
  <c r="J10602" i="2"/>
  <c r="I10602" i="2"/>
  <c r="A10602" i="2"/>
  <c r="K10601" i="2"/>
  <c r="J10601" i="2"/>
  <c r="I10601" i="2"/>
  <c r="A10601" i="2"/>
  <c r="K10600" i="2"/>
  <c r="J10600" i="2"/>
  <c r="I10600" i="2"/>
  <c r="A10600" i="2"/>
  <c r="K10599" i="2"/>
  <c r="J10599" i="2"/>
  <c r="I10599" i="2"/>
  <c r="A10599" i="2"/>
  <c r="K10598" i="2"/>
  <c r="J10598" i="2"/>
  <c r="I10598" i="2"/>
  <c r="A10598" i="2"/>
  <c r="J10597" i="2"/>
  <c r="I10597" i="2"/>
  <c r="K10596" i="2"/>
  <c r="J10596" i="2"/>
  <c r="I10596" i="2"/>
  <c r="A10596" i="2"/>
  <c r="K10595" i="2"/>
  <c r="J10595" i="2"/>
  <c r="I10595" i="2"/>
  <c r="A10595" i="2"/>
  <c r="K10594" i="2"/>
  <c r="J10594" i="2"/>
  <c r="I10594" i="2"/>
  <c r="A10594" i="2"/>
  <c r="K10593" i="2"/>
  <c r="J10593" i="2"/>
  <c r="I10593" i="2"/>
  <c r="A10593" i="2"/>
  <c r="K10592" i="2"/>
  <c r="J10592" i="2"/>
  <c r="I10592" i="2"/>
  <c r="A10592" i="2"/>
  <c r="K10591" i="2"/>
  <c r="J10591" i="2"/>
  <c r="I10591" i="2"/>
  <c r="A10591" i="2"/>
  <c r="K10590" i="2"/>
  <c r="J10590" i="2"/>
  <c r="I10590" i="2"/>
  <c r="A10590" i="2"/>
  <c r="K10589" i="2"/>
  <c r="J10589" i="2"/>
  <c r="I10589" i="2"/>
  <c r="A10589" i="2"/>
  <c r="J10588" i="2"/>
  <c r="I10588" i="2"/>
  <c r="K10587" i="2"/>
  <c r="J10587" i="2"/>
  <c r="I10587" i="2"/>
  <c r="A10587" i="2"/>
  <c r="K10586" i="2"/>
  <c r="J10586" i="2"/>
  <c r="I10586" i="2"/>
  <c r="A10586" i="2"/>
  <c r="K10585" i="2"/>
  <c r="J10585" i="2"/>
  <c r="I10585" i="2"/>
  <c r="A10585" i="2"/>
  <c r="K10584" i="2"/>
  <c r="J10584" i="2"/>
  <c r="I10584" i="2"/>
  <c r="A10584" i="2"/>
  <c r="K10583" i="2"/>
  <c r="J10583" i="2"/>
  <c r="I10583" i="2"/>
  <c r="A10583" i="2"/>
  <c r="K10582" i="2"/>
  <c r="J10582" i="2"/>
  <c r="I10582" i="2"/>
  <c r="A10582" i="2"/>
  <c r="K10581" i="2"/>
  <c r="J10581" i="2"/>
  <c r="I10581" i="2"/>
  <c r="A10581" i="2"/>
  <c r="K10580" i="2"/>
  <c r="J10580" i="2"/>
  <c r="I10580" i="2"/>
  <c r="A10580" i="2"/>
  <c r="K10579" i="2"/>
  <c r="J10579" i="2"/>
  <c r="I10579" i="2"/>
  <c r="A10579" i="2"/>
  <c r="K10578" i="2"/>
  <c r="J10578" i="2"/>
  <c r="I10578" i="2"/>
  <c r="A10578" i="2"/>
  <c r="K10577" i="2"/>
  <c r="J10577" i="2"/>
  <c r="I10577" i="2"/>
  <c r="A10577" i="2"/>
  <c r="K10576" i="2"/>
  <c r="J10576" i="2"/>
  <c r="I10576" i="2"/>
  <c r="A10576" i="2"/>
  <c r="K10575" i="2"/>
  <c r="J10575" i="2"/>
  <c r="I10575" i="2"/>
  <c r="A10575" i="2"/>
  <c r="K10574" i="2"/>
  <c r="J10574" i="2"/>
  <c r="I10574" i="2"/>
  <c r="A10574" i="2"/>
  <c r="K10573" i="2"/>
  <c r="J10573" i="2"/>
  <c r="I10573" i="2"/>
  <c r="A10573" i="2"/>
  <c r="K10572" i="2"/>
  <c r="J10572" i="2"/>
  <c r="I10572" i="2"/>
  <c r="A10572" i="2"/>
  <c r="J10571" i="2"/>
  <c r="I10571" i="2"/>
  <c r="K10570" i="2"/>
  <c r="J10570" i="2"/>
  <c r="I10570" i="2"/>
  <c r="A10570" i="2"/>
  <c r="K10569" i="2"/>
  <c r="J10569" i="2"/>
  <c r="I10569" i="2"/>
  <c r="A10569" i="2"/>
  <c r="K10568" i="2"/>
  <c r="J10568" i="2"/>
  <c r="I10568" i="2"/>
  <c r="A10568" i="2"/>
  <c r="K10567" i="2"/>
  <c r="J10567" i="2"/>
  <c r="I10567" i="2"/>
  <c r="A10567" i="2"/>
  <c r="K10566" i="2"/>
  <c r="J10566" i="2"/>
  <c r="I10566" i="2"/>
  <c r="A10566" i="2"/>
  <c r="K10565" i="2"/>
  <c r="J10565" i="2"/>
  <c r="I10565" i="2"/>
  <c r="A10565" i="2"/>
  <c r="K10564" i="2"/>
  <c r="J10564" i="2"/>
  <c r="I10564" i="2"/>
  <c r="A10564" i="2"/>
  <c r="K10563" i="2"/>
  <c r="J10563" i="2"/>
  <c r="I10563" i="2"/>
  <c r="A10563" i="2"/>
  <c r="K10562" i="2"/>
  <c r="J10562" i="2"/>
  <c r="I10562" i="2"/>
  <c r="A10562" i="2"/>
  <c r="K10561" i="2"/>
  <c r="J10561" i="2"/>
  <c r="I10561" i="2"/>
  <c r="A10561" i="2"/>
  <c r="K10560" i="2"/>
  <c r="J10560" i="2"/>
  <c r="I10560" i="2"/>
  <c r="A10560" i="2"/>
  <c r="K10559" i="2"/>
  <c r="J10559" i="2"/>
  <c r="I10559" i="2"/>
  <c r="A10559" i="2"/>
  <c r="K10558" i="2"/>
  <c r="J10558" i="2"/>
  <c r="I10558" i="2"/>
  <c r="A10558" i="2"/>
  <c r="K10557" i="2"/>
  <c r="J10557" i="2"/>
  <c r="I10557" i="2"/>
  <c r="A10557" i="2"/>
  <c r="K10556" i="2"/>
  <c r="J10556" i="2"/>
  <c r="I10556" i="2"/>
  <c r="A10556" i="2"/>
  <c r="K10555" i="2"/>
  <c r="J10555" i="2"/>
  <c r="I10555" i="2"/>
  <c r="A10555" i="2"/>
  <c r="K10554" i="2"/>
  <c r="J10554" i="2"/>
  <c r="I10554" i="2"/>
  <c r="A10554" i="2"/>
  <c r="J10553" i="2"/>
  <c r="I10553" i="2"/>
  <c r="K10552" i="2"/>
  <c r="J10552" i="2"/>
  <c r="I10552" i="2"/>
  <c r="A10552" i="2"/>
  <c r="K10551" i="2"/>
  <c r="J10551" i="2"/>
  <c r="I10551" i="2"/>
  <c r="A10551" i="2"/>
  <c r="K10550" i="2"/>
  <c r="J10550" i="2"/>
  <c r="I10550" i="2"/>
  <c r="A10550" i="2"/>
  <c r="K10549" i="2"/>
  <c r="J10549" i="2"/>
  <c r="I10549" i="2"/>
  <c r="A10549" i="2"/>
  <c r="K10548" i="2"/>
  <c r="J10548" i="2"/>
  <c r="I10548" i="2"/>
  <c r="A10548" i="2"/>
  <c r="K10547" i="2"/>
  <c r="J10547" i="2"/>
  <c r="I10547" i="2"/>
  <c r="A10547" i="2"/>
  <c r="K10546" i="2"/>
  <c r="J10546" i="2"/>
  <c r="I10546" i="2"/>
  <c r="A10546" i="2"/>
  <c r="K10545" i="2"/>
  <c r="J10545" i="2"/>
  <c r="I10545" i="2"/>
  <c r="A10545" i="2"/>
  <c r="K10544" i="2"/>
  <c r="J10544" i="2"/>
  <c r="I10544" i="2"/>
  <c r="A10544" i="2"/>
  <c r="K10543" i="2"/>
  <c r="J10543" i="2"/>
  <c r="I10543" i="2"/>
  <c r="A10543" i="2"/>
  <c r="K10542" i="2"/>
  <c r="J10542" i="2"/>
  <c r="I10542" i="2"/>
  <c r="A10542" i="2"/>
  <c r="K10541" i="2"/>
  <c r="J10541" i="2"/>
  <c r="I10541" i="2"/>
  <c r="A10541" i="2"/>
  <c r="K10540" i="2"/>
  <c r="J10540" i="2"/>
  <c r="I10540" i="2"/>
  <c r="A10540" i="2"/>
  <c r="K10539" i="2"/>
  <c r="J10539" i="2"/>
  <c r="I10539" i="2"/>
  <c r="A10539" i="2"/>
  <c r="K10538" i="2"/>
  <c r="J10538" i="2"/>
  <c r="I10538" i="2"/>
  <c r="A10538" i="2"/>
  <c r="K10537" i="2"/>
  <c r="J10537" i="2"/>
  <c r="I10537" i="2"/>
  <c r="A10537" i="2"/>
  <c r="K10536" i="2"/>
  <c r="J10536" i="2"/>
  <c r="I10536" i="2"/>
  <c r="A10536" i="2"/>
  <c r="K10535" i="2"/>
  <c r="J10535" i="2"/>
  <c r="I10535" i="2"/>
  <c r="A10535" i="2"/>
  <c r="K10534" i="2"/>
  <c r="J10534" i="2"/>
  <c r="I10534" i="2"/>
  <c r="A10534" i="2"/>
  <c r="K10533" i="2"/>
  <c r="J10533" i="2"/>
  <c r="I10533" i="2"/>
  <c r="A10533" i="2"/>
  <c r="K10532" i="2"/>
  <c r="J10532" i="2"/>
  <c r="I10532" i="2"/>
  <c r="A10532" i="2"/>
  <c r="K10531" i="2"/>
  <c r="J10531" i="2"/>
  <c r="I10531" i="2"/>
  <c r="A10531" i="2"/>
  <c r="K10530" i="2"/>
  <c r="J10530" i="2"/>
  <c r="I10530" i="2"/>
  <c r="A10530" i="2"/>
  <c r="K10529" i="2"/>
  <c r="J10529" i="2"/>
  <c r="I10529" i="2"/>
  <c r="A10529" i="2"/>
  <c r="K10528" i="2"/>
  <c r="J10528" i="2"/>
  <c r="I10528" i="2"/>
  <c r="A10528" i="2"/>
  <c r="K10527" i="2"/>
  <c r="J10527" i="2"/>
  <c r="I10527" i="2"/>
  <c r="A10527" i="2"/>
  <c r="K10526" i="2"/>
  <c r="J10526" i="2"/>
  <c r="I10526" i="2"/>
  <c r="A10526" i="2"/>
  <c r="K10525" i="2"/>
  <c r="J10525" i="2"/>
  <c r="I10525" i="2"/>
  <c r="A10525" i="2"/>
  <c r="K10524" i="2"/>
  <c r="J10524" i="2"/>
  <c r="I10524" i="2"/>
  <c r="A10524" i="2"/>
  <c r="K10523" i="2"/>
  <c r="J10523" i="2"/>
  <c r="I10523" i="2"/>
  <c r="A10523" i="2"/>
  <c r="K10522" i="2"/>
  <c r="J10522" i="2"/>
  <c r="I10522" i="2"/>
  <c r="A10522" i="2"/>
  <c r="K10521" i="2"/>
  <c r="J10521" i="2"/>
  <c r="I10521" i="2"/>
  <c r="A10521" i="2"/>
  <c r="K10520" i="2"/>
  <c r="J10520" i="2"/>
  <c r="I10520" i="2"/>
  <c r="A10520" i="2"/>
  <c r="K10519" i="2"/>
  <c r="J10519" i="2"/>
  <c r="I10519" i="2"/>
  <c r="A10519" i="2"/>
  <c r="K10518" i="2"/>
  <c r="J10518" i="2"/>
  <c r="I10518" i="2"/>
  <c r="A10518" i="2"/>
  <c r="K10517" i="2"/>
  <c r="J10517" i="2"/>
  <c r="I10517" i="2"/>
  <c r="A10517" i="2"/>
  <c r="K10516" i="2"/>
  <c r="J10516" i="2"/>
  <c r="I10516" i="2"/>
  <c r="A10516" i="2"/>
  <c r="K10515" i="2"/>
  <c r="J10515" i="2"/>
  <c r="I10515" i="2"/>
  <c r="A10515" i="2"/>
  <c r="K10514" i="2"/>
  <c r="J10514" i="2"/>
  <c r="I10514" i="2"/>
  <c r="A10514" i="2"/>
  <c r="K10513" i="2"/>
  <c r="J10513" i="2"/>
  <c r="I10513" i="2"/>
  <c r="A10513" i="2"/>
  <c r="K10512" i="2"/>
  <c r="J10512" i="2"/>
  <c r="I10512" i="2"/>
  <c r="A10512" i="2"/>
  <c r="K10511" i="2"/>
  <c r="J10511" i="2"/>
  <c r="I10511" i="2"/>
  <c r="A10511" i="2"/>
  <c r="K10510" i="2"/>
  <c r="J10510" i="2"/>
  <c r="I10510" i="2"/>
  <c r="A10510" i="2"/>
  <c r="K10509" i="2"/>
  <c r="J10509" i="2"/>
  <c r="I10509" i="2"/>
  <c r="A10509" i="2"/>
  <c r="K10508" i="2"/>
  <c r="J10508" i="2"/>
  <c r="I10508" i="2"/>
  <c r="A10508" i="2"/>
  <c r="K10507" i="2"/>
  <c r="J10507" i="2"/>
  <c r="I10507" i="2"/>
  <c r="A10507" i="2"/>
  <c r="K10506" i="2"/>
  <c r="J10506" i="2"/>
  <c r="I10506" i="2"/>
  <c r="A10506" i="2"/>
  <c r="K10505" i="2"/>
  <c r="J10505" i="2"/>
  <c r="I10505" i="2"/>
  <c r="A10505" i="2"/>
  <c r="J10504" i="2"/>
  <c r="I10504" i="2"/>
  <c r="K10503" i="2"/>
  <c r="J10503" i="2"/>
  <c r="I10503" i="2"/>
  <c r="A10503" i="2"/>
  <c r="K10502" i="2"/>
  <c r="J10502" i="2"/>
  <c r="I10502" i="2"/>
  <c r="A10502" i="2"/>
  <c r="K10501" i="2"/>
  <c r="J10501" i="2"/>
  <c r="I10501" i="2"/>
  <c r="A10501" i="2"/>
  <c r="K10500" i="2"/>
  <c r="J10500" i="2"/>
  <c r="I10500" i="2"/>
  <c r="A10500" i="2"/>
  <c r="K10499" i="2"/>
  <c r="J10499" i="2"/>
  <c r="I10499" i="2"/>
  <c r="A10499" i="2"/>
  <c r="K10498" i="2"/>
  <c r="J10498" i="2"/>
  <c r="I10498" i="2"/>
  <c r="A10498" i="2"/>
  <c r="K10497" i="2"/>
  <c r="J10497" i="2"/>
  <c r="I10497" i="2"/>
  <c r="A10497" i="2"/>
  <c r="K10496" i="2"/>
  <c r="J10496" i="2"/>
  <c r="I10496" i="2"/>
  <c r="A10496" i="2"/>
  <c r="K10495" i="2"/>
  <c r="J10495" i="2"/>
  <c r="I10495" i="2"/>
  <c r="A10495" i="2"/>
  <c r="K10494" i="2"/>
  <c r="J10494" i="2"/>
  <c r="I10494" i="2"/>
  <c r="A10494" i="2"/>
  <c r="K10493" i="2"/>
  <c r="J10493" i="2"/>
  <c r="I10493" i="2"/>
  <c r="A10493" i="2"/>
  <c r="K10492" i="2"/>
  <c r="J10492" i="2"/>
  <c r="I10492" i="2"/>
  <c r="A10492" i="2"/>
  <c r="K10491" i="2"/>
  <c r="J10491" i="2"/>
  <c r="I10491" i="2"/>
  <c r="A10491" i="2"/>
  <c r="K10490" i="2"/>
  <c r="J10490" i="2"/>
  <c r="I10490" i="2"/>
  <c r="A10490" i="2"/>
  <c r="K10489" i="2"/>
  <c r="J10489" i="2"/>
  <c r="I10489" i="2"/>
  <c r="A10489" i="2"/>
  <c r="K10488" i="2"/>
  <c r="J10488" i="2"/>
  <c r="I10488" i="2"/>
  <c r="A10488" i="2"/>
  <c r="K10487" i="2"/>
  <c r="J10487" i="2"/>
  <c r="I10487" i="2"/>
  <c r="A10487" i="2"/>
  <c r="K10486" i="2"/>
  <c r="J10486" i="2"/>
  <c r="I10486" i="2"/>
  <c r="A10486" i="2"/>
  <c r="K10485" i="2"/>
  <c r="J10485" i="2"/>
  <c r="I10485" i="2"/>
  <c r="A10485" i="2"/>
  <c r="K10484" i="2"/>
  <c r="J10484" i="2"/>
  <c r="I10484" i="2"/>
  <c r="A10484" i="2"/>
  <c r="K10483" i="2"/>
  <c r="J10483" i="2"/>
  <c r="I10483" i="2"/>
  <c r="A10483" i="2"/>
  <c r="K10482" i="2"/>
  <c r="J10482" i="2"/>
  <c r="I10482" i="2"/>
  <c r="A10482" i="2"/>
  <c r="K10481" i="2"/>
  <c r="J10481" i="2"/>
  <c r="I10481" i="2"/>
  <c r="A10481" i="2"/>
  <c r="K10480" i="2"/>
  <c r="J10480" i="2"/>
  <c r="I10480" i="2"/>
  <c r="A10480" i="2"/>
  <c r="K10479" i="2"/>
  <c r="J10479" i="2"/>
  <c r="I10479" i="2"/>
  <c r="A10479" i="2"/>
  <c r="K10478" i="2"/>
  <c r="J10478" i="2"/>
  <c r="I10478" i="2"/>
  <c r="A10478" i="2"/>
  <c r="K10477" i="2"/>
  <c r="J10477" i="2"/>
  <c r="I10477" i="2"/>
  <c r="A10477" i="2"/>
  <c r="K10476" i="2"/>
  <c r="J10476" i="2"/>
  <c r="I10476" i="2"/>
  <c r="A10476" i="2"/>
  <c r="K10475" i="2"/>
  <c r="J10475" i="2"/>
  <c r="I10475" i="2"/>
  <c r="A10475" i="2"/>
  <c r="K10474" i="2"/>
  <c r="J10474" i="2"/>
  <c r="I10474" i="2"/>
  <c r="A10474" i="2"/>
  <c r="K10473" i="2"/>
  <c r="J10473" i="2"/>
  <c r="I10473" i="2"/>
  <c r="A10473" i="2"/>
  <c r="K10472" i="2"/>
  <c r="J10472" i="2"/>
  <c r="I10472" i="2"/>
  <c r="A10472" i="2"/>
  <c r="K10471" i="2"/>
  <c r="J10471" i="2"/>
  <c r="I10471" i="2"/>
  <c r="A10471" i="2"/>
  <c r="K10470" i="2"/>
  <c r="J10470" i="2"/>
  <c r="I10470" i="2"/>
  <c r="A10470" i="2"/>
  <c r="K10469" i="2"/>
  <c r="J10469" i="2"/>
  <c r="I10469" i="2"/>
  <c r="A10469" i="2"/>
  <c r="K10468" i="2"/>
  <c r="J10468" i="2"/>
  <c r="I10468" i="2"/>
  <c r="A10468" i="2"/>
  <c r="K10467" i="2"/>
  <c r="J10467" i="2"/>
  <c r="I10467" i="2"/>
  <c r="A10467" i="2"/>
  <c r="K10466" i="2"/>
  <c r="J10466" i="2"/>
  <c r="I10466" i="2"/>
  <c r="A10466" i="2"/>
  <c r="K10465" i="2"/>
  <c r="J10465" i="2"/>
  <c r="I10465" i="2"/>
  <c r="A10465" i="2"/>
  <c r="K10464" i="2"/>
  <c r="J10464" i="2"/>
  <c r="I10464" i="2"/>
  <c r="A10464" i="2"/>
  <c r="K10463" i="2"/>
  <c r="J10463" i="2"/>
  <c r="I10463" i="2"/>
  <c r="A10463" i="2"/>
  <c r="K10462" i="2"/>
  <c r="J10462" i="2"/>
  <c r="I10462" i="2"/>
  <c r="A10462" i="2"/>
  <c r="K10461" i="2"/>
  <c r="J10461" i="2"/>
  <c r="I10461" i="2"/>
  <c r="A10461" i="2"/>
  <c r="K10460" i="2"/>
  <c r="J10460" i="2"/>
  <c r="I10460" i="2"/>
  <c r="A10460" i="2"/>
  <c r="K10459" i="2"/>
  <c r="J10459" i="2"/>
  <c r="I10459" i="2"/>
  <c r="A10459" i="2"/>
  <c r="J10458" i="2"/>
  <c r="I10458" i="2"/>
  <c r="K10457" i="2"/>
  <c r="J10457" i="2"/>
  <c r="I10457" i="2"/>
  <c r="A10457" i="2"/>
  <c r="K10456" i="2"/>
  <c r="J10456" i="2"/>
  <c r="I10456" i="2"/>
  <c r="A10456" i="2"/>
  <c r="K10455" i="2"/>
  <c r="J10455" i="2"/>
  <c r="I10455" i="2"/>
  <c r="A10455" i="2"/>
  <c r="K10454" i="2"/>
  <c r="J10454" i="2"/>
  <c r="I10454" i="2"/>
  <c r="A10454" i="2"/>
  <c r="K10453" i="2"/>
  <c r="J10453" i="2"/>
  <c r="I10453" i="2"/>
  <c r="A10453" i="2"/>
  <c r="K10452" i="2"/>
  <c r="J10452" i="2"/>
  <c r="I10452" i="2"/>
  <c r="A10452" i="2"/>
  <c r="K10451" i="2"/>
  <c r="J10451" i="2"/>
  <c r="I10451" i="2"/>
  <c r="A10451" i="2"/>
  <c r="K10450" i="2"/>
  <c r="J10450" i="2"/>
  <c r="I10450" i="2"/>
  <c r="A10450" i="2"/>
  <c r="K10449" i="2"/>
  <c r="J10449" i="2"/>
  <c r="I10449" i="2"/>
  <c r="A10449" i="2"/>
  <c r="K10448" i="2"/>
  <c r="J10448" i="2"/>
  <c r="I10448" i="2"/>
  <c r="A10448" i="2"/>
  <c r="K10447" i="2"/>
  <c r="J10447" i="2"/>
  <c r="I10447" i="2"/>
  <c r="A10447" i="2"/>
  <c r="K10446" i="2"/>
  <c r="J10446" i="2"/>
  <c r="I10446" i="2"/>
  <c r="A10446" i="2"/>
  <c r="K10445" i="2"/>
  <c r="J10445" i="2"/>
  <c r="I10445" i="2"/>
  <c r="A10445" i="2"/>
  <c r="K10444" i="2"/>
  <c r="J10444" i="2"/>
  <c r="I10444" i="2"/>
  <c r="A10444" i="2"/>
  <c r="K10443" i="2"/>
  <c r="J10443" i="2"/>
  <c r="I10443" i="2"/>
  <c r="A10443" i="2"/>
  <c r="K10442" i="2"/>
  <c r="J10442" i="2"/>
  <c r="I10442" i="2"/>
  <c r="A10442" i="2"/>
  <c r="K10441" i="2"/>
  <c r="J10441" i="2"/>
  <c r="I10441" i="2"/>
  <c r="A10441" i="2"/>
  <c r="K10440" i="2"/>
  <c r="J10440" i="2"/>
  <c r="I10440" i="2"/>
  <c r="A10440" i="2"/>
  <c r="K10439" i="2"/>
  <c r="J10439" i="2"/>
  <c r="I10439" i="2"/>
  <c r="A10439" i="2"/>
  <c r="K10438" i="2"/>
  <c r="J10438" i="2"/>
  <c r="I10438" i="2"/>
  <c r="A10438" i="2"/>
  <c r="K10437" i="2"/>
  <c r="J10437" i="2"/>
  <c r="I10437" i="2"/>
  <c r="A10437" i="2"/>
  <c r="K10436" i="2"/>
  <c r="J10436" i="2"/>
  <c r="I10436" i="2"/>
  <c r="A10436" i="2"/>
  <c r="K10435" i="2"/>
  <c r="J10435" i="2"/>
  <c r="I10435" i="2"/>
  <c r="A10435" i="2"/>
  <c r="K10434" i="2"/>
  <c r="J10434" i="2"/>
  <c r="I10434" i="2"/>
  <c r="A10434" i="2"/>
  <c r="K10433" i="2"/>
  <c r="J10433" i="2"/>
  <c r="I10433" i="2"/>
  <c r="A10433" i="2"/>
  <c r="K10432" i="2"/>
  <c r="J10432" i="2"/>
  <c r="I10432" i="2"/>
  <c r="A10432" i="2"/>
  <c r="J10431" i="2"/>
  <c r="I10431" i="2"/>
  <c r="K10430" i="2"/>
  <c r="J10430" i="2"/>
  <c r="I10430" i="2"/>
  <c r="A10430" i="2"/>
  <c r="K10429" i="2"/>
  <c r="J10429" i="2"/>
  <c r="I10429" i="2"/>
  <c r="A10429" i="2"/>
  <c r="J10428" i="2"/>
  <c r="I10428" i="2"/>
  <c r="K10427" i="2"/>
  <c r="J10427" i="2"/>
  <c r="I10427" i="2"/>
  <c r="A10427" i="2"/>
  <c r="K10426" i="2"/>
  <c r="J10426" i="2"/>
  <c r="I10426" i="2"/>
  <c r="A10426" i="2"/>
  <c r="K10425" i="2"/>
  <c r="J10425" i="2"/>
  <c r="I10425" i="2"/>
  <c r="A10425" i="2"/>
  <c r="K10424" i="2"/>
  <c r="J10424" i="2"/>
  <c r="I10424" i="2"/>
  <c r="A10424" i="2"/>
  <c r="K10423" i="2"/>
  <c r="J10423" i="2"/>
  <c r="I10423" i="2"/>
  <c r="A10423" i="2"/>
  <c r="J10422" i="2"/>
  <c r="I10422" i="2"/>
  <c r="K10421" i="2"/>
  <c r="J10421" i="2"/>
  <c r="I10421" i="2"/>
  <c r="A10421" i="2"/>
  <c r="K10420" i="2"/>
  <c r="J10420" i="2"/>
  <c r="I10420" i="2"/>
  <c r="A10420" i="2"/>
  <c r="K10419" i="2"/>
  <c r="J10419" i="2"/>
  <c r="I10419" i="2"/>
  <c r="A10419" i="2"/>
  <c r="K10418" i="2"/>
  <c r="J10418" i="2"/>
  <c r="I10418" i="2"/>
  <c r="A10418" i="2"/>
  <c r="K10417" i="2"/>
  <c r="J10417" i="2"/>
  <c r="I10417" i="2"/>
  <c r="A10417" i="2"/>
  <c r="K10416" i="2"/>
  <c r="J10416" i="2"/>
  <c r="I10416" i="2"/>
  <c r="A10416" i="2"/>
  <c r="J10415" i="2"/>
  <c r="I10415" i="2"/>
  <c r="K10414" i="2"/>
  <c r="J10414" i="2"/>
  <c r="I10414" i="2"/>
  <c r="A10414" i="2"/>
  <c r="K10413" i="2"/>
  <c r="J10413" i="2"/>
  <c r="I10413" i="2"/>
  <c r="A10413" i="2"/>
  <c r="K10412" i="2"/>
  <c r="J10412" i="2"/>
  <c r="I10412" i="2"/>
  <c r="A10412" i="2"/>
  <c r="K10411" i="2"/>
  <c r="J10411" i="2"/>
  <c r="I10411" i="2"/>
  <c r="A10411" i="2"/>
  <c r="J10410" i="2"/>
  <c r="I10410" i="2"/>
  <c r="K10409" i="2"/>
  <c r="J10409" i="2"/>
  <c r="I10409" i="2"/>
  <c r="A10409" i="2"/>
  <c r="K10408" i="2"/>
  <c r="J10408" i="2"/>
  <c r="I10408" i="2"/>
  <c r="A10408" i="2"/>
  <c r="K10407" i="2"/>
  <c r="J10407" i="2"/>
  <c r="I10407" i="2"/>
  <c r="A10407" i="2"/>
  <c r="K10406" i="2"/>
  <c r="J10406" i="2"/>
  <c r="I10406" i="2"/>
  <c r="A10406" i="2"/>
  <c r="K10405" i="2"/>
  <c r="J10405" i="2"/>
  <c r="I10405" i="2"/>
  <c r="A10405" i="2"/>
  <c r="K10404" i="2"/>
  <c r="J10404" i="2"/>
  <c r="I10404" i="2"/>
  <c r="A10404" i="2"/>
  <c r="K10403" i="2"/>
  <c r="J10403" i="2"/>
  <c r="I10403" i="2"/>
  <c r="A10403" i="2"/>
  <c r="K10402" i="2"/>
  <c r="J10402" i="2"/>
  <c r="I10402" i="2"/>
  <c r="A10402" i="2"/>
  <c r="K10401" i="2"/>
  <c r="J10401" i="2"/>
  <c r="I10401" i="2"/>
  <c r="A10401" i="2"/>
  <c r="K10400" i="2"/>
  <c r="J10400" i="2"/>
  <c r="I10400" i="2"/>
  <c r="A10400" i="2"/>
  <c r="K10399" i="2"/>
  <c r="J10399" i="2"/>
  <c r="I10399" i="2"/>
  <c r="A10399" i="2"/>
  <c r="K10398" i="2"/>
  <c r="J10398" i="2"/>
  <c r="I10398" i="2"/>
  <c r="A10398" i="2"/>
  <c r="K10397" i="2"/>
  <c r="J10397" i="2"/>
  <c r="I10397" i="2"/>
  <c r="A10397" i="2"/>
  <c r="K10396" i="2"/>
  <c r="J10396" i="2"/>
  <c r="I10396" i="2"/>
  <c r="A10396" i="2"/>
  <c r="K10395" i="2"/>
  <c r="J10395" i="2"/>
  <c r="I10395" i="2"/>
  <c r="A10395" i="2"/>
  <c r="K10394" i="2"/>
  <c r="J10394" i="2"/>
  <c r="I10394" i="2"/>
  <c r="A10394" i="2"/>
  <c r="K10393" i="2"/>
  <c r="J10393" i="2"/>
  <c r="I10393" i="2"/>
  <c r="A10393" i="2"/>
  <c r="K10392" i="2"/>
  <c r="J10392" i="2"/>
  <c r="I10392" i="2"/>
  <c r="A10392" i="2"/>
  <c r="K10391" i="2"/>
  <c r="J10391" i="2"/>
  <c r="I10391" i="2"/>
  <c r="A10391" i="2"/>
  <c r="K10390" i="2"/>
  <c r="J10390" i="2"/>
  <c r="I10390" i="2"/>
  <c r="A10390" i="2"/>
  <c r="K10389" i="2"/>
  <c r="J10389" i="2"/>
  <c r="I10389" i="2"/>
  <c r="A10389" i="2"/>
  <c r="K10388" i="2"/>
  <c r="J10388" i="2"/>
  <c r="I10388" i="2"/>
  <c r="A10388" i="2"/>
  <c r="K10387" i="2"/>
  <c r="J10387" i="2"/>
  <c r="I10387" i="2"/>
  <c r="A10387" i="2"/>
  <c r="K10386" i="2"/>
  <c r="J10386" i="2"/>
  <c r="I10386" i="2"/>
  <c r="A10386" i="2"/>
  <c r="K10385" i="2"/>
  <c r="J10385" i="2"/>
  <c r="I10385" i="2"/>
  <c r="A10385" i="2"/>
  <c r="K10384" i="2"/>
  <c r="J10384" i="2"/>
  <c r="I10384" i="2"/>
  <c r="A10384" i="2"/>
  <c r="K10383" i="2"/>
  <c r="J10383" i="2"/>
  <c r="I10383" i="2"/>
  <c r="A10383" i="2"/>
  <c r="K10382" i="2"/>
  <c r="J10382" i="2"/>
  <c r="I10382" i="2"/>
  <c r="A10382" i="2"/>
  <c r="K10381" i="2"/>
  <c r="J10381" i="2"/>
  <c r="I10381" i="2"/>
  <c r="A10381" i="2"/>
  <c r="K10380" i="2"/>
  <c r="J10380" i="2"/>
  <c r="I10380" i="2"/>
  <c r="A10380" i="2"/>
  <c r="K10379" i="2"/>
  <c r="J10379" i="2"/>
  <c r="I10379" i="2"/>
  <c r="A10379" i="2"/>
  <c r="K10378" i="2"/>
  <c r="J10378" i="2"/>
  <c r="I10378" i="2"/>
  <c r="A10378" i="2"/>
  <c r="K10377" i="2"/>
  <c r="J10377" i="2"/>
  <c r="I10377" i="2"/>
  <c r="A10377" i="2"/>
  <c r="K10376" i="2"/>
  <c r="J10376" i="2"/>
  <c r="I10376" i="2"/>
  <c r="A10376" i="2"/>
  <c r="K10375" i="2"/>
  <c r="J10375" i="2"/>
  <c r="I10375" i="2"/>
  <c r="A10375" i="2"/>
  <c r="K10374" i="2"/>
  <c r="J10374" i="2"/>
  <c r="I10374" i="2"/>
  <c r="A10374" i="2"/>
  <c r="K10373" i="2"/>
  <c r="J10373" i="2"/>
  <c r="I10373" i="2"/>
  <c r="A10373" i="2"/>
  <c r="K10372" i="2"/>
  <c r="J10372" i="2"/>
  <c r="I10372" i="2"/>
  <c r="A10372" i="2"/>
  <c r="K10371" i="2"/>
  <c r="J10371" i="2"/>
  <c r="I10371" i="2"/>
  <c r="A10371" i="2"/>
  <c r="K10370" i="2"/>
  <c r="J10370" i="2"/>
  <c r="I10370" i="2"/>
  <c r="A10370" i="2"/>
  <c r="J10369" i="2"/>
  <c r="I10369" i="2"/>
  <c r="K10368" i="2"/>
  <c r="J10368" i="2"/>
  <c r="I10368" i="2"/>
  <c r="A10368" i="2"/>
  <c r="K10367" i="2"/>
  <c r="J10367" i="2"/>
  <c r="I10367" i="2"/>
  <c r="A10367" i="2"/>
  <c r="K10366" i="2"/>
  <c r="J10366" i="2"/>
  <c r="I10366" i="2"/>
  <c r="A10366" i="2"/>
  <c r="K10365" i="2"/>
  <c r="J10365" i="2"/>
  <c r="I10365" i="2"/>
  <c r="A10365" i="2"/>
  <c r="K10364" i="2"/>
  <c r="J10364" i="2"/>
  <c r="I10364" i="2"/>
  <c r="A10364" i="2"/>
  <c r="K10363" i="2"/>
  <c r="J10363" i="2"/>
  <c r="I10363" i="2"/>
  <c r="A10363" i="2"/>
  <c r="K10362" i="2"/>
  <c r="J10362" i="2"/>
  <c r="I10362" i="2"/>
  <c r="A10362" i="2"/>
  <c r="K10361" i="2"/>
  <c r="J10361" i="2"/>
  <c r="I10361" i="2"/>
  <c r="A10361" i="2"/>
  <c r="K10360" i="2"/>
  <c r="J10360" i="2"/>
  <c r="I10360" i="2"/>
  <c r="A10360" i="2"/>
  <c r="K10359" i="2"/>
  <c r="J10359" i="2"/>
  <c r="I10359" i="2"/>
  <c r="A10359" i="2"/>
  <c r="K10358" i="2"/>
  <c r="J10358" i="2"/>
  <c r="I10358" i="2"/>
  <c r="A10358" i="2"/>
  <c r="K10357" i="2"/>
  <c r="J10357" i="2"/>
  <c r="I10357" i="2"/>
  <c r="A10357" i="2"/>
  <c r="K10356" i="2"/>
  <c r="J10356" i="2"/>
  <c r="I10356" i="2"/>
  <c r="A10356" i="2"/>
  <c r="K10355" i="2"/>
  <c r="J10355" i="2"/>
  <c r="I10355" i="2"/>
  <c r="A10355" i="2"/>
  <c r="K10354" i="2"/>
  <c r="J10354" i="2"/>
  <c r="I10354" i="2"/>
  <c r="A10354" i="2"/>
  <c r="K10353" i="2"/>
  <c r="J10353" i="2"/>
  <c r="I10353" i="2"/>
  <c r="A10353" i="2"/>
  <c r="K10352" i="2"/>
  <c r="J10352" i="2"/>
  <c r="I10352" i="2"/>
  <c r="A10352" i="2"/>
  <c r="K10351" i="2"/>
  <c r="J10351" i="2"/>
  <c r="I10351" i="2"/>
  <c r="A10351" i="2"/>
  <c r="J10350" i="2"/>
  <c r="I10350" i="2"/>
  <c r="K10349" i="2"/>
  <c r="J10349" i="2"/>
  <c r="I10349" i="2"/>
  <c r="A10349" i="2"/>
  <c r="K10348" i="2"/>
  <c r="J10348" i="2"/>
  <c r="I10348" i="2"/>
  <c r="A10348" i="2"/>
  <c r="K10347" i="2"/>
  <c r="J10347" i="2"/>
  <c r="I10347" i="2"/>
  <c r="A10347" i="2"/>
  <c r="K10346" i="2"/>
  <c r="J10346" i="2"/>
  <c r="I10346" i="2"/>
  <c r="A10346" i="2"/>
  <c r="K10345" i="2"/>
  <c r="J10345" i="2"/>
  <c r="I10345" i="2"/>
  <c r="A10345" i="2"/>
  <c r="K10344" i="2"/>
  <c r="J10344" i="2"/>
  <c r="I10344" i="2"/>
  <c r="A10344" i="2"/>
  <c r="K10343" i="2"/>
  <c r="J10343" i="2"/>
  <c r="I10343" i="2"/>
  <c r="A10343" i="2"/>
  <c r="K10342" i="2"/>
  <c r="J10342" i="2"/>
  <c r="I10342" i="2"/>
  <c r="A10342" i="2"/>
  <c r="K10341" i="2"/>
  <c r="J10341" i="2"/>
  <c r="I10341" i="2"/>
  <c r="A10341" i="2"/>
  <c r="K10340" i="2"/>
  <c r="J10340" i="2"/>
  <c r="I10340" i="2"/>
  <c r="A10340" i="2"/>
  <c r="K10339" i="2"/>
  <c r="J10339" i="2"/>
  <c r="I10339" i="2"/>
  <c r="A10339" i="2"/>
  <c r="K10338" i="2"/>
  <c r="J10338" i="2"/>
  <c r="I10338" i="2"/>
  <c r="A10338" i="2"/>
  <c r="K10337" i="2"/>
  <c r="J10337" i="2"/>
  <c r="I10337" i="2"/>
  <c r="A10337" i="2"/>
  <c r="K10336" i="2"/>
  <c r="J10336" i="2"/>
  <c r="I10336" i="2"/>
  <c r="A10336" i="2"/>
  <c r="K10335" i="2"/>
  <c r="J10335" i="2"/>
  <c r="I10335" i="2"/>
  <c r="A10335" i="2"/>
  <c r="K10334" i="2"/>
  <c r="J10334" i="2"/>
  <c r="I10334" i="2"/>
  <c r="A10334" i="2"/>
  <c r="K10333" i="2"/>
  <c r="J10333" i="2"/>
  <c r="I10333" i="2"/>
  <c r="A10333" i="2"/>
  <c r="K10332" i="2"/>
  <c r="J10332" i="2"/>
  <c r="I10332" i="2"/>
  <c r="A10332" i="2"/>
  <c r="K10331" i="2"/>
  <c r="J10331" i="2"/>
  <c r="I10331" i="2"/>
  <c r="A10331" i="2"/>
  <c r="K10330" i="2"/>
  <c r="J10330" i="2"/>
  <c r="I10330" i="2"/>
  <c r="A10330" i="2"/>
  <c r="K10329" i="2"/>
  <c r="J10329" i="2"/>
  <c r="I10329" i="2"/>
  <c r="A10329" i="2"/>
  <c r="K10328" i="2"/>
  <c r="J10328" i="2"/>
  <c r="I10328" i="2"/>
  <c r="A10328" i="2"/>
  <c r="K10327" i="2"/>
  <c r="J10327" i="2"/>
  <c r="I10327" i="2"/>
  <c r="A10327" i="2"/>
  <c r="K10326" i="2"/>
  <c r="J10326" i="2"/>
  <c r="I10326" i="2"/>
  <c r="A10326" i="2"/>
  <c r="K10325" i="2"/>
  <c r="J10325" i="2"/>
  <c r="I10325" i="2"/>
  <c r="A10325" i="2"/>
  <c r="K10324" i="2"/>
  <c r="J10324" i="2"/>
  <c r="I10324" i="2"/>
  <c r="A10324" i="2"/>
  <c r="K10323" i="2"/>
  <c r="J10323" i="2"/>
  <c r="I10323" i="2"/>
  <c r="A10323" i="2"/>
  <c r="K10322" i="2"/>
  <c r="J10322" i="2"/>
  <c r="I10322" i="2"/>
  <c r="A10322" i="2"/>
  <c r="K10321" i="2"/>
  <c r="J10321" i="2"/>
  <c r="I10321" i="2"/>
  <c r="A10321" i="2"/>
  <c r="K10320" i="2"/>
  <c r="J10320" i="2"/>
  <c r="I10320" i="2"/>
  <c r="A10320" i="2"/>
  <c r="K10319" i="2"/>
  <c r="J10319" i="2"/>
  <c r="I10319" i="2"/>
  <c r="A10319" i="2"/>
  <c r="J10318" i="2"/>
  <c r="I10318" i="2"/>
  <c r="K10317" i="2"/>
  <c r="J10317" i="2"/>
  <c r="I10317" i="2"/>
  <c r="A10317" i="2"/>
  <c r="K10316" i="2"/>
  <c r="J10316" i="2"/>
  <c r="I10316" i="2"/>
  <c r="A10316" i="2"/>
  <c r="K10315" i="2"/>
  <c r="J10315" i="2"/>
  <c r="I10315" i="2"/>
  <c r="A10315" i="2"/>
  <c r="K10314" i="2"/>
  <c r="J10314" i="2"/>
  <c r="I10314" i="2"/>
  <c r="A10314" i="2"/>
  <c r="K10313" i="2"/>
  <c r="J10313" i="2"/>
  <c r="I10313" i="2"/>
  <c r="A10313" i="2"/>
  <c r="K10312" i="2"/>
  <c r="J10312" i="2"/>
  <c r="I10312" i="2"/>
  <c r="A10312" i="2"/>
  <c r="K10311" i="2"/>
  <c r="J10311" i="2"/>
  <c r="I10311" i="2"/>
  <c r="A10311" i="2"/>
  <c r="K10310" i="2"/>
  <c r="J10310" i="2"/>
  <c r="I10310" i="2"/>
  <c r="A10310" i="2"/>
  <c r="K10309" i="2"/>
  <c r="J10309" i="2"/>
  <c r="I10309" i="2"/>
  <c r="A10309" i="2"/>
  <c r="K10308" i="2"/>
  <c r="J10308" i="2"/>
  <c r="I10308" i="2"/>
  <c r="A10308" i="2"/>
  <c r="K10307" i="2"/>
  <c r="J10307" i="2"/>
  <c r="I10307" i="2"/>
  <c r="A10307" i="2"/>
  <c r="K10306" i="2"/>
  <c r="J10306" i="2"/>
  <c r="I10306" i="2"/>
  <c r="A10306" i="2"/>
  <c r="J10305" i="2"/>
  <c r="I10305" i="2"/>
  <c r="K10304" i="2"/>
  <c r="J10304" i="2"/>
  <c r="I10304" i="2"/>
  <c r="A10304" i="2"/>
  <c r="K10303" i="2"/>
  <c r="J10303" i="2"/>
  <c r="I10303" i="2"/>
  <c r="A10303" i="2"/>
  <c r="K10302" i="2"/>
  <c r="J10302" i="2"/>
  <c r="I10302" i="2"/>
  <c r="A10302" i="2"/>
  <c r="K10301" i="2"/>
  <c r="J10301" i="2"/>
  <c r="I10301" i="2"/>
  <c r="A10301" i="2"/>
  <c r="K10300" i="2"/>
  <c r="J10300" i="2"/>
  <c r="I10300" i="2"/>
  <c r="A10300" i="2"/>
  <c r="K10299" i="2"/>
  <c r="J10299" i="2"/>
  <c r="I10299" i="2"/>
  <c r="A10299" i="2"/>
  <c r="K10298" i="2"/>
  <c r="J10298" i="2"/>
  <c r="I10298" i="2"/>
  <c r="A10298" i="2"/>
  <c r="K10297" i="2"/>
  <c r="J10297" i="2"/>
  <c r="I10297" i="2"/>
  <c r="A10297" i="2"/>
  <c r="K10296" i="2"/>
  <c r="J10296" i="2"/>
  <c r="I10296" i="2"/>
  <c r="A10296" i="2"/>
  <c r="K10295" i="2"/>
  <c r="J10295" i="2"/>
  <c r="I10295" i="2"/>
  <c r="A10295" i="2"/>
  <c r="K10294" i="2"/>
  <c r="J10294" i="2"/>
  <c r="I10294" i="2"/>
  <c r="A10294" i="2"/>
  <c r="K10293" i="2"/>
  <c r="J10293" i="2"/>
  <c r="I10293" i="2"/>
  <c r="A10293" i="2"/>
  <c r="K10292" i="2"/>
  <c r="J10292" i="2"/>
  <c r="I10292" i="2"/>
  <c r="A10292" i="2"/>
  <c r="K10291" i="2"/>
  <c r="J10291" i="2"/>
  <c r="I10291" i="2"/>
  <c r="A10291" i="2"/>
  <c r="K10290" i="2"/>
  <c r="J10290" i="2"/>
  <c r="I10290" i="2"/>
  <c r="A10290" i="2"/>
  <c r="K10289" i="2"/>
  <c r="J10289" i="2"/>
  <c r="I10289" i="2"/>
  <c r="A10289" i="2"/>
  <c r="K10288" i="2"/>
  <c r="J10288" i="2"/>
  <c r="I10288" i="2"/>
  <c r="A10288" i="2"/>
  <c r="K10287" i="2"/>
  <c r="J10287" i="2"/>
  <c r="I10287" i="2"/>
  <c r="A10287" i="2"/>
  <c r="K10286" i="2"/>
  <c r="J10286" i="2"/>
  <c r="I10286" i="2"/>
  <c r="A10286" i="2"/>
  <c r="K10285" i="2"/>
  <c r="J10285" i="2"/>
  <c r="I10285" i="2"/>
  <c r="A10285" i="2"/>
  <c r="K10284" i="2"/>
  <c r="J10284" i="2"/>
  <c r="I10284" i="2"/>
  <c r="A10284" i="2"/>
  <c r="K10283" i="2"/>
  <c r="J10283" i="2"/>
  <c r="I10283" i="2"/>
  <c r="A10283" i="2"/>
  <c r="K10282" i="2"/>
  <c r="J10282" i="2"/>
  <c r="I10282" i="2"/>
  <c r="A10282" i="2"/>
  <c r="K10281" i="2"/>
  <c r="J10281" i="2"/>
  <c r="I10281" i="2"/>
  <c r="A10281" i="2"/>
  <c r="K10280" i="2"/>
  <c r="J10280" i="2"/>
  <c r="I10280" i="2"/>
  <c r="A10280" i="2"/>
  <c r="K10279" i="2"/>
  <c r="J10279" i="2"/>
  <c r="I10279" i="2"/>
  <c r="A10279" i="2"/>
  <c r="K10278" i="2"/>
  <c r="J10278" i="2"/>
  <c r="I10278" i="2"/>
  <c r="A10278" i="2"/>
  <c r="K10277" i="2"/>
  <c r="J10277" i="2"/>
  <c r="I10277" i="2"/>
  <c r="A10277" i="2"/>
  <c r="K10276" i="2"/>
  <c r="J10276" i="2"/>
  <c r="I10276" i="2"/>
  <c r="A10276" i="2"/>
  <c r="K10275" i="2"/>
  <c r="J10275" i="2"/>
  <c r="I10275" i="2"/>
  <c r="A10275" i="2"/>
  <c r="K10274" i="2"/>
  <c r="J10274" i="2"/>
  <c r="I10274" i="2"/>
  <c r="A10274" i="2"/>
  <c r="K10273" i="2"/>
  <c r="J10273" i="2"/>
  <c r="I10273" i="2"/>
  <c r="A10273" i="2"/>
  <c r="K10272" i="2"/>
  <c r="J10272" i="2"/>
  <c r="I10272" i="2"/>
  <c r="A10272" i="2"/>
  <c r="K10271" i="2"/>
  <c r="J10271" i="2"/>
  <c r="I10271" i="2"/>
  <c r="A10271" i="2"/>
  <c r="K10270" i="2"/>
  <c r="J10270" i="2"/>
  <c r="I10270" i="2"/>
  <c r="A10270" i="2"/>
  <c r="K10269" i="2"/>
  <c r="J10269" i="2"/>
  <c r="I10269" i="2"/>
  <c r="A10269" i="2"/>
  <c r="K10268" i="2"/>
  <c r="J10268" i="2"/>
  <c r="I10268" i="2"/>
  <c r="A10268" i="2"/>
  <c r="K10267" i="2"/>
  <c r="J10267" i="2"/>
  <c r="I10267" i="2"/>
  <c r="A10267" i="2"/>
  <c r="K10266" i="2"/>
  <c r="J10266" i="2"/>
  <c r="I10266" i="2"/>
  <c r="A10266" i="2"/>
  <c r="K10265" i="2"/>
  <c r="J10265" i="2"/>
  <c r="I10265" i="2"/>
  <c r="A10265" i="2"/>
  <c r="K10264" i="2"/>
  <c r="J10264" i="2"/>
  <c r="I10264" i="2"/>
  <c r="A10264" i="2"/>
  <c r="K10263" i="2"/>
  <c r="J10263" i="2"/>
  <c r="I10263" i="2"/>
  <c r="A10263" i="2"/>
  <c r="K10262" i="2"/>
  <c r="J10262" i="2"/>
  <c r="I10262" i="2"/>
  <c r="A10262" i="2"/>
  <c r="K10261" i="2"/>
  <c r="J10261" i="2"/>
  <c r="I10261" i="2"/>
  <c r="A10261" i="2"/>
  <c r="K10260" i="2"/>
  <c r="J10260" i="2"/>
  <c r="I10260" i="2"/>
  <c r="A10260" i="2"/>
  <c r="K10259" i="2"/>
  <c r="J10259" i="2"/>
  <c r="I10259" i="2"/>
  <c r="A10259" i="2"/>
  <c r="K10258" i="2"/>
  <c r="J10258" i="2"/>
  <c r="I10258" i="2"/>
  <c r="A10258" i="2"/>
  <c r="K10257" i="2"/>
  <c r="J10257" i="2"/>
  <c r="I10257" i="2"/>
  <c r="A10257" i="2"/>
  <c r="K10256" i="2"/>
  <c r="J10256" i="2"/>
  <c r="I10256" i="2"/>
  <c r="A10256" i="2"/>
  <c r="K10255" i="2"/>
  <c r="J10255" i="2"/>
  <c r="I10255" i="2"/>
  <c r="A10255" i="2"/>
  <c r="K10254" i="2"/>
  <c r="J10254" i="2"/>
  <c r="I10254" i="2"/>
  <c r="A10254" i="2"/>
  <c r="K10253" i="2"/>
  <c r="J10253" i="2"/>
  <c r="I10253" i="2"/>
  <c r="A10253" i="2"/>
  <c r="K10252" i="2"/>
  <c r="J10252" i="2"/>
  <c r="I10252" i="2"/>
  <c r="A10252" i="2"/>
  <c r="K10251" i="2"/>
  <c r="J10251" i="2"/>
  <c r="I10251" i="2"/>
  <c r="A10251" i="2"/>
  <c r="K10250" i="2"/>
  <c r="J10250" i="2"/>
  <c r="I10250" i="2"/>
  <c r="A10250" i="2"/>
  <c r="K10249" i="2"/>
  <c r="J10249" i="2"/>
  <c r="I10249" i="2"/>
  <c r="A10249" i="2"/>
  <c r="K10248" i="2"/>
  <c r="J10248" i="2"/>
  <c r="I10248" i="2"/>
  <c r="A10248" i="2"/>
  <c r="K10247" i="2"/>
  <c r="J10247" i="2"/>
  <c r="I10247" i="2"/>
  <c r="A10247" i="2"/>
  <c r="J10246" i="2"/>
  <c r="I10246" i="2"/>
  <c r="K10245" i="2"/>
  <c r="J10245" i="2"/>
  <c r="I10245" i="2"/>
  <c r="A10245" i="2"/>
  <c r="K10244" i="2"/>
  <c r="J10244" i="2"/>
  <c r="I10244" i="2"/>
  <c r="A10244" i="2"/>
  <c r="K10243" i="2"/>
  <c r="J10243" i="2"/>
  <c r="I10243" i="2"/>
  <c r="A10243" i="2"/>
  <c r="K10242" i="2"/>
  <c r="J10242" i="2"/>
  <c r="I10242" i="2"/>
  <c r="A10242" i="2"/>
  <c r="K10241" i="2"/>
  <c r="J10241" i="2"/>
  <c r="I10241" i="2"/>
  <c r="A10241" i="2"/>
  <c r="K10240" i="2"/>
  <c r="J10240" i="2"/>
  <c r="I10240" i="2"/>
  <c r="A10240" i="2"/>
  <c r="K10239" i="2"/>
  <c r="J10239" i="2"/>
  <c r="I10239" i="2"/>
  <c r="A10239" i="2"/>
  <c r="K10238" i="2"/>
  <c r="J10238" i="2"/>
  <c r="I10238" i="2"/>
  <c r="A10238" i="2"/>
  <c r="K10237" i="2"/>
  <c r="J10237" i="2"/>
  <c r="I10237" i="2"/>
  <c r="A10237" i="2"/>
  <c r="K10236" i="2"/>
  <c r="J10236" i="2"/>
  <c r="I10236" i="2"/>
  <c r="A10236" i="2"/>
  <c r="K10235" i="2"/>
  <c r="J10235" i="2"/>
  <c r="I10235" i="2"/>
  <c r="A10235" i="2"/>
  <c r="K10234" i="2"/>
  <c r="J10234" i="2"/>
  <c r="I10234" i="2"/>
  <c r="A10234" i="2"/>
  <c r="K10233" i="2"/>
  <c r="J10233" i="2"/>
  <c r="I10233" i="2"/>
  <c r="A10233" i="2"/>
  <c r="K10232" i="2"/>
  <c r="J10232" i="2"/>
  <c r="I10232" i="2"/>
  <c r="A10232" i="2"/>
  <c r="K10231" i="2"/>
  <c r="J10231" i="2"/>
  <c r="I10231" i="2"/>
  <c r="A10231" i="2"/>
  <c r="K10230" i="2"/>
  <c r="J10230" i="2"/>
  <c r="I10230" i="2"/>
  <c r="A10230" i="2"/>
  <c r="K10229" i="2"/>
  <c r="J10229" i="2"/>
  <c r="I10229" i="2"/>
  <c r="A10229" i="2"/>
  <c r="K10228" i="2"/>
  <c r="J10228" i="2"/>
  <c r="I10228" i="2"/>
  <c r="A10228" i="2"/>
  <c r="K10227" i="2"/>
  <c r="J10227" i="2"/>
  <c r="I10227" i="2"/>
  <c r="A10227" i="2"/>
  <c r="K10226" i="2"/>
  <c r="J10226" i="2"/>
  <c r="I10226" i="2"/>
  <c r="A10226" i="2"/>
  <c r="K10225" i="2"/>
  <c r="J10225" i="2"/>
  <c r="I10225" i="2"/>
  <c r="A10225" i="2"/>
  <c r="K10224" i="2"/>
  <c r="J10224" i="2"/>
  <c r="I10224" i="2"/>
  <c r="A10224" i="2"/>
  <c r="K10223" i="2"/>
  <c r="J10223" i="2"/>
  <c r="I10223" i="2"/>
  <c r="A10223" i="2"/>
  <c r="K10222" i="2"/>
  <c r="J10222" i="2"/>
  <c r="I10222" i="2"/>
  <c r="A10222" i="2"/>
  <c r="K10221" i="2"/>
  <c r="J10221" i="2"/>
  <c r="I10221" i="2"/>
  <c r="A10221" i="2"/>
  <c r="K10220" i="2"/>
  <c r="J10220" i="2"/>
  <c r="I10220" i="2"/>
  <c r="A10220" i="2"/>
  <c r="K10219" i="2"/>
  <c r="J10219" i="2"/>
  <c r="I10219" i="2"/>
  <c r="A10219" i="2"/>
  <c r="K10218" i="2"/>
  <c r="J10218" i="2"/>
  <c r="I10218" i="2"/>
  <c r="A10218" i="2"/>
  <c r="K10217" i="2"/>
  <c r="J10217" i="2"/>
  <c r="I10217" i="2"/>
  <c r="A10217" i="2"/>
  <c r="K10216" i="2"/>
  <c r="J10216" i="2"/>
  <c r="I10216" i="2"/>
  <c r="A10216" i="2"/>
  <c r="K10215" i="2"/>
  <c r="J10215" i="2"/>
  <c r="I10215" i="2"/>
  <c r="A10215" i="2"/>
  <c r="K10214" i="2"/>
  <c r="J10214" i="2"/>
  <c r="I10214" i="2"/>
  <c r="A10214" i="2"/>
  <c r="K10213" i="2"/>
  <c r="J10213" i="2"/>
  <c r="I10213" i="2"/>
  <c r="A10213" i="2"/>
  <c r="K10212" i="2"/>
  <c r="J10212" i="2"/>
  <c r="I10212" i="2"/>
  <c r="A10212" i="2"/>
  <c r="K10211" i="2"/>
  <c r="J10211" i="2"/>
  <c r="I10211" i="2"/>
  <c r="A10211" i="2"/>
  <c r="K10210" i="2"/>
  <c r="J10210" i="2"/>
  <c r="I10210" i="2"/>
  <c r="A10210" i="2"/>
  <c r="K10209" i="2"/>
  <c r="J10209" i="2"/>
  <c r="I10209" i="2"/>
  <c r="A10209" i="2"/>
  <c r="K10208" i="2"/>
  <c r="J10208" i="2"/>
  <c r="I10208" i="2"/>
  <c r="A10208" i="2"/>
  <c r="K10207" i="2"/>
  <c r="J10207" i="2"/>
  <c r="I10207" i="2"/>
  <c r="A10207" i="2"/>
  <c r="K10206" i="2"/>
  <c r="J10206" i="2"/>
  <c r="I10206" i="2"/>
  <c r="A10206" i="2"/>
  <c r="K10205" i="2"/>
  <c r="J10205" i="2"/>
  <c r="I10205" i="2"/>
  <c r="A10205" i="2"/>
  <c r="K10204" i="2"/>
  <c r="J10204" i="2"/>
  <c r="I10204" i="2"/>
  <c r="A10204" i="2"/>
  <c r="K10203" i="2"/>
  <c r="J10203" i="2"/>
  <c r="I10203" i="2"/>
  <c r="A10203" i="2"/>
  <c r="K10202" i="2"/>
  <c r="J10202" i="2"/>
  <c r="I10202" i="2"/>
  <c r="A10202" i="2"/>
  <c r="K10201" i="2"/>
  <c r="J10201" i="2"/>
  <c r="I10201" i="2"/>
  <c r="A10201" i="2"/>
  <c r="K10200" i="2"/>
  <c r="J10200" i="2"/>
  <c r="I10200" i="2"/>
  <c r="A10200" i="2"/>
  <c r="K10199" i="2"/>
  <c r="J10199" i="2"/>
  <c r="I10199" i="2"/>
  <c r="A10199" i="2"/>
  <c r="K10198" i="2"/>
  <c r="J10198" i="2"/>
  <c r="I10198" i="2"/>
  <c r="A10198" i="2"/>
  <c r="K10197" i="2"/>
  <c r="J10197" i="2"/>
  <c r="I10197" i="2"/>
  <c r="A10197" i="2"/>
  <c r="K10196" i="2"/>
  <c r="J10196" i="2"/>
  <c r="I10196" i="2"/>
  <c r="A10196" i="2"/>
  <c r="K10195" i="2"/>
  <c r="J10195" i="2"/>
  <c r="I10195" i="2"/>
  <c r="A10195" i="2"/>
  <c r="K10194" i="2"/>
  <c r="J10194" i="2"/>
  <c r="I10194" i="2"/>
  <c r="A10194" i="2"/>
  <c r="K10193" i="2"/>
  <c r="J10193" i="2"/>
  <c r="I10193" i="2"/>
  <c r="A10193" i="2"/>
  <c r="K10192" i="2"/>
  <c r="J10192" i="2"/>
  <c r="I10192" i="2"/>
  <c r="A10192" i="2"/>
  <c r="K10191" i="2"/>
  <c r="J10191" i="2"/>
  <c r="I10191" i="2"/>
  <c r="A10191" i="2"/>
  <c r="K10190" i="2"/>
  <c r="J10190" i="2"/>
  <c r="I10190" i="2"/>
  <c r="A10190" i="2"/>
  <c r="K10189" i="2"/>
  <c r="J10189" i="2"/>
  <c r="I10189" i="2"/>
  <c r="A10189" i="2"/>
  <c r="K10188" i="2"/>
  <c r="J10188" i="2"/>
  <c r="I10188" i="2"/>
  <c r="A10188" i="2"/>
  <c r="K10187" i="2"/>
  <c r="J10187" i="2"/>
  <c r="I10187" i="2"/>
  <c r="A10187" i="2"/>
  <c r="K10186" i="2"/>
  <c r="J10186" i="2"/>
  <c r="I10186" i="2"/>
  <c r="A10186" i="2"/>
  <c r="K10185" i="2"/>
  <c r="J10185" i="2"/>
  <c r="I10185" i="2"/>
  <c r="A10185" i="2"/>
  <c r="K10184" i="2"/>
  <c r="J10184" i="2"/>
  <c r="I10184" i="2"/>
  <c r="A10184" i="2"/>
  <c r="K10183" i="2"/>
  <c r="J10183" i="2"/>
  <c r="I10183" i="2"/>
  <c r="A10183" i="2"/>
  <c r="K10182" i="2"/>
  <c r="J10182" i="2"/>
  <c r="I10182" i="2"/>
  <c r="A10182" i="2"/>
  <c r="K10181" i="2"/>
  <c r="J10181" i="2"/>
  <c r="I10181" i="2"/>
  <c r="A10181" i="2"/>
  <c r="K10180" i="2"/>
  <c r="J10180" i="2"/>
  <c r="I10180" i="2"/>
  <c r="A10180" i="2"/>
  <c r="K10179" i="2"/>
  <c r="J10179" i="2"/>
  <c r="I10179" i="2"/>
  <c r="A10179" i="2"/>
  <c r="K10178" i="2"/>
  <c r="J10178" i="2"/>
  <c r="I10178" i="2"/>
  <c r="A10178" i="2"/>
  <c r="K10177" i="2"/>
  <c r="J10177" i="2"/>
  <c r="I10177" i="2"/>
  <c r="A10177" i="2"/>
  <c r="K10176" i="2"/>
  <c r="J10176" i="2"/>
  <c r="I10176" i="2"/>
  <c r="A10176" i="2"/>
  <c r="K10175" i="2"/>
  <c r="J10175" i="2"/>
  <c r="I10175" i="2"/>
  <c r="A10175" i="2"/>
  <c r="K10174" i="2"/>
  <c r="J10174" i="2"/>
  <c r="I10174" i="2"/>
  <c r="A10174" i="2"/>
  <c r="K10173" i="2"/>
  <c r="J10173" i="2"/>
  <c r="I10173" i="2"/>
  <c r="A10173" i="2"/>
  <c r="K10172" i="2"/>
  <c r="J10172" i="2"/>
  <c r="I10172" i="2"/>
  <c r="A10172" i="2"/>
  <c r="K10171" i="2"/>
  <c r="J10171" i="2"/>
  <c r="I10171" i="2"/>
  <c r="A10171" i="2"/>
  <c r="K10170" i="2"/>
  <c r="J10170" i="2"/>
  <c r="I10170" i="2"/>
  <c r="A10170" i="2"/>
  <c r="K10169" i="2"/>
  <c r="J10169" i="2"/>
  <c r="I10169" i="2"/>
  <c r="A10169" i="2"/>
  <c r="K10168" i="2"/>
  <c r="J10168" i="2"/>
  <c r="I10168" i="2"/>
  <c r="A10168" i="2"/>
  <c r="K10167" i="2"/>
  <c r="J10167" i="2"/>
  <c r="I10167" i="2"/>
  <c r="A10167" i="2"/>
  <c r="K10166" i="2"/>
  <c r="J10166" i="2"/>
  <c r="I10166" i="2"/>
  <c r="A10166" i="2"/>
  <c r="K10165" i="2"/>
  <c r="J10165" i="2"/>
  <c r="I10165" i="2"/>
  <c r="A10165" i="2"/>
  <c r="K10164" i="2"/>
  <c r="J10164" i="2"/>
  <c r="I10164" i="2"/>
  <c r="A10164" i="2"/>
  <c r="K10163" i="2"/>
  <c r="J10163" i="2"/>
  <c r="I10163" i="2"/>
  <c r="A10163" i="2"/>
  <c r="K10162" i="2"/>
  <c r="J10162" i="2"/>
  <c r="I10162" i="2"/>
  <c r="A10162" i="2"/>
  <c r="K10161" i="2"/>
  <c r="J10161" i="2"/>
  <c r="I10161" i="2"/>
  <c r="A10161" i="2"/>
  <c r="K10160" i="2"/>
  <c r="J10160" i="2"/>
  <c r="I10160" i="2"/>
  <c r="A10160" i="2"/>
  <c r="K10159" i="2"/>
  <c r="J10159" i="2"/>
  <c r="I10159" i="2"/>
  <c r="A10159" i="2"/>
  <c r="K10158" i="2"/>
  <c r="J10158" i="2"/>
  <c r="I10158" i="2"/>
  <c r="A10158" i="2"/>
  <c r="K10157" i="2"/>
  <c r="J10157" i="2"/>
  <c r="I10157" i="2"/>
  <c r="A10157" i="2"/>
  <c r="K10156" i="2"/>
  <c r="J10156" i="2"/>
  <c r="I10156" i="2"/>
  <c r="A10156" i="2"/>
  <c r="K10155" i="2"/>
  <c r="J10155" i="2"/>
  <c r="I10155" i="2"/>
  <c r="A10155" i="2"/>
  <c r="K10154" i="2"/>
  <c r="J10154" i="2"/>
  <c r="I10154" i="2"/>
  <c r="A10154" i="2"/>
  <c r="K10153" i="2"/>
  <c r="J10153" i="2"/>
  <c r="I10153" i="2"/>
  <c r="A10153" i="2"/>
  <c r="J10152" i="2"/>
  <c r="I10152" i="2"/>
  <c r="K10151" i="2"/>
  <c r="J10151" i="2"/>
  <c r="I10151" i="2"/>
  <c r="A10151" i="2"/>
  <c r="K10150" i="2"/>
  <c r="J10150" i="2"/>
  <c r="I10150" i="2"/>
  <c r="A10150" i="2"/>
  <c r="K10149" i="2"/>
  <c r="J10149" i="2"/>
  <c r="I10149" i="2"/>
  <c r="A10149" i="2"/>
  <c r="K10148" i="2"/>
  <c r="J10148" i="2"/>
  <c r="I10148" i="2"/>
  <c r="A10148" i="2"/>
  <c r="K10147" i="2"/>
  <c r="J10147" i="2"/>
  <c r="I10147" i="2"/>
  <c r="A10147" i="2"/>
  <c r="K10146" i="2"/>
  <c r="J10146" i="2"/>
  <c r="I10146" i="2"/>
  <c r="A10146" i="2"/>
  <c r="K10145" i="2"/>
  <c r="J10145" i="2"/>
  <c r="I10145" i="2"/>
  <c r="A10145" i="2"/>
  <c r="K10144" i="2"/>
  <c r="J10144" i="2"/>
  <c r="I10144" i="2"/>
  <c r="A10144" i="2"/>
  <c r="K10143" i="2"/>
  <c r="J10143" i="2"/>
  <c r="I10143" i="2"/>
  <c r="A10143" i="2"/>
  <c r="K10142" i="2"/>
  <c r="J10142" i="2"/>
  <c r="I10142" i="2"/>
  <c r="A10142" i="2"/>
  <c r="K10141" i="2"/>
  <c r="J10141" i="2"/>
  <c r="I10141" i="2"/>
  <c r="A10141" i="2"/>
  <c r="K10140" i="2"/>
  <c r="J10140" i="2"/>
  <c r="I10140" i="2"/>
  <c r="A10140" i="2"/>
  <c r="K10139" i="2"/>
  <c r="J10139" i="2"/>
  <c r="I10139" i="2"/>
  <c r="A10139" i="2"/>
  <c r="K10138" i="2"/>
  <c r="J10138" i="2"/>
  <c r="I10138" i="2"/>
  <c r="A10138" i="2"/>
  <c r="K10137" i="2"/>
  <c r="J10137" i="2"/>
  <c r="I10137" i="2"/>
  <c r="A10137" i="2"/>
  <c r="K10136" i="2"/>
  <c r="J10136" i="2"/>
  <c r="I10136" i="2"/>
  <c r="A10136" i="2"/>
  <c r="K10135" i="2"/>
  <c r="J10135" i="2"/>
  <c r="I10135" i="2"/>
  <c r="A10135" i="2"/>
  <c r="K10134" i="2"/>
  <c r="J10134" i="2"/>
  <c r="I10134" i="2"/>
  <c r="A10134" i="2"/>
  <c r="K10133" i="2"/>
  <c r="J10133" i="2"/>
  <c r="I10133" i="2"/>
  <c r="A10133" i="2"/>
  <c r="K10132" i="2"/>
  <c r="J10132" i="2"/>
  <c r="I10132" i="2"/>
  <c r="A10132" i="2"/>
  <c r="K10131" i="2"/>
  <c r="J10131" i="2"/>
  <c r="I10131" i="2"/>
  <c r="A10131" i="2"/>
  <c r="K10130" i="2"/>
  <c r="J10130" i="2"/>
  <c r="I10130" i="2"/>
  <c r="A10130" i="2"/>
  <c r="K10129" i="2"/>
  <c r="J10129" i="2"/>
  <c r="I10129" i="2"/>
  <c r="A10129" i="2"/>
  <c r="K10128" i="2"/>
  <c r="J10128" i="2"/>
  <c r="I10128" i="2"/>
  <c r="A10128" i="2"/>
  <c r="K10127" i="2"/>
  <c r="J10127" i="2"/>
  <c r="I10127" i="2"/>
  <c r="A10127" i="2"/>
  <c r="K10126" i="2"/>
  <c r="J10126" i="2"/>
  <c r="I10126" i="2"/>
  <c r="A10126" i="2"/>
  <c r="K10125" i="2"/>
  <c r="J10125" i="2"/>
  <c r="I10125" i="2"/>
  <c r="A10125" i="2"/>
  <c r="K10124" i="2"/>
  <c r="J10124" i="2"/>
  <c r="I10124" i="2"/>
  <c r="A10124" i="2"/>
  <c r="K10123" i="2"/>
  <c r="J10123" i="2"/>
  <c r="I10123" i="2"/>
  <c r="A10123" i="2"/>
  <c r="K10122" i="2"/>
  <c r="J10122" i="2"/>
  <c r="I10122" i="2"/>
  <c r="A10122" i="2"/>
  <c r="K10121" i="2"/>
  <c r="J10121" i="2"/>
  <c r="I10121" i="2"/>
  <c r="A10121" i="2"/>
  <c r="K10120" i="2"/>
  <c r="J10120" i="2"/>
  <c r="I10120" i="2"/>
  <c r="A10120" i="2"/>
  <c r="K10119" i="2"/>
  <c r="J10119" i="2"/>
  <c r="I10119" i="2"/>
  <c r="A10119" i="2"/>
  <c r="K10118" i="2"/>
  <c r="J10118" i="2"/>
  <c r="I10118" i="2"/>
  <c r="A10118" i="2"/>
  <c r="K10117" i="2"/>
  <c r="J10117" i="2"/>
  <c r="I10117" i="2"/>
  <c r="A10117" i="2"/>
  <c r="K10116" i="2"/>
  <c r="J10116" i="2"/>
  <c r="I10116" i="2"/>
  <c r="A10116" i="2"/>
  <c r="K10115" i="2"/>
  <c r="J10115" i="2"/>
  <c r="I10115" i="2"/>
  <c r="A10115" i="2"/>
  <c r="K10114" i="2"/>
  <c r="J10114" i="2"/>
  <c r="I10114" i="2"/>
  <c r="A10114" i="2"/>
  <c r="K10113" i="2"/>
  <c r="J10113" i="2"/>
  <c r="I10113" i="2"/>
  <c r="A10113" i="2"/>
  <c r="K10112" i="2"/>
  <c r="J10112" i="2"/>
  <c r="I10112" i="2"/>
  <c r="A10112" i="2"/>
  <c r="K10111" i="2"/>
  <c r="J10111" i="2"/>
  <c r="I10111" i="2"/>
  <c r="A10111" i="2"/>
  <c r="K10110" i="2"/>
  <c r="J10110" i="2"/>
  <c r="I10110" i="2"/>
  <c r="A10110" i="2"/>
  <c r="K10109" i="2"/>
  <c r="J10109" i="2"/>
  <c r="I10109" i="2"/>
  <c r="A10109" i="2"/>
  <c r="K10108" i="2"/>
  <c r="J10108" i="2"/>
  <c r="I10108" i="2"/>
  <c r="A10108" i="2"/>
  <c r="K10107" i="2"/>
  <c r="J10107" i="2"/>
  <c r="I10107" i="2"/>
  <c r="A10107" i="2"/>
  <c r="K10106" i="2"/>
  <c r="J10106" i="2"/>
  <c r="I10106" i="2"/>
  <c r="A10106" i="2"/>
  <c r="K10105" i="2"/>
  <c r="J10105" i="2"/>
  <c r="I10105" i="2"/>
  <c r="A10105" i="2"/>
  <c r="K10104" i="2"/>
  <c r="J10104" i="2"/>
  <c r="I10104" i="2"/>
  <c r="A10104" i="2"/>
  <c r="K10103" i="2"/>
  <c r="J10103" i="2"/>
  <c r="I10103" i="2"/>
  <c r="A10103" i="2"/>
  <c r="K10102" i="2"/>
  <c r="J10102" i="2"/>
  <c r="I10102" i="2"/>
  <c r="A10102" i="2"/>
  <c r="K10101" i="2"/>
  <c r="J10101" i="2"/>
  <c r="I10101" i="2"/>
  <c r="A10101" i="2"/>
  <c r="K10100" i="2"/>
  <c r="J10100" i="2"/>
  <c r="I10100" i="2"/>
  <c r="A10100" i="2"/>
  <c r="K10099" i="2"/>
  <c r="J10099" i="2"/>
  <c r="I10099" i="2"/>
  <c r="A10099" i="2"/>
  <c r="K10098" i="2"/>
  <c r="J10098" i="2"/>
  <c r="I10098" i="2"/>
  <c r="A10098" i="2"/>
  <c r="K10097" i="2"/>
  <c r="J10097" i="2"/>
  <c r="I10097" i="2"/>
  <c r="A10097" i="2"/>
  <c r="K10096" i="2"/>
  <c r="J10096" i="2"/>
  <c r="I10096" i="2"/>
  <c r="A10096" i="2"/>
  <c r="K10095" i="2"/>
  <c r="J10095" i="2"/>
  <c r="I10095" i="2"/>
  <c r="A10095" i="2"/>
  <c r="K10094" i="2"/>
  <c r="J10094" i="2"/>
  <c r="I10094" i="2"/>
  <c r="A10094" i="2"/>
  <c r="K10093" i="2"/>
  <c r="J10093" i="2"/>
  <c r="I10093" i="2"/>
  <c r="A10093" i="2"/>
  <c r="K10092" i="2"/>
  <c r="J10092" i="2"/>
  <c r="I10092" i="2"/>
  <c r="A10092" i="2"/>
  <c r="K10091" i="2"/>
  <c r="J10091" i="2"/>
  <c r="I10091" i="2"/>
  <c r="A10091" i="2"/>
  <c r="K10090" i="2"/>
  <c r="J10090" i="2"/>
  <c r="I10090" i="2"/>
  <c r="A10090" i="2"/>
  <c r="K10089" i="2"/>
  <c r="J10089" i="2"/>
  <c r="I10089" i="2"/>
  <c r="A10089" i="2"/>
  <c r="K10088" i="2"/>
  <c r="J10088" i="2"/>
  <c r="I10088" i="2"/>
  <c r="A10088" i="2"/>
  <c r="K10087" i="2"/>
  <c r="J10087" i="2"/>
  <c r="I10087" i="2"/>
  <c r="A10087" i="2"/>
  <c r="K10086" i="2"/>
  <c r="J10086" i="2"/>
  <c r="I10086" i="2"/>
  <c r="A10086" i="2"/>
  <c r="K10085" i="2"/>
  <c r="J10085" i="2"/>
  <c r="I10085" i="2"/>
  <c r="A10085" i="2"/>
  <c r="K10084" i="2"/>
  <c r="J10084" i="2"/>
  <c r="I10084" i="2"/>
  <c r="A10084" i="2"/>
  <c r="K10083" i="2"/>
  <c r="J10083" i="2"/>
  <c r="I10083" i="2"/>
  <c r="A10083" i="2"/>
  <c r="K10082" i="2"/>
  <c r="J10082" i="2"/>
  <c r="I10082" i="2"/>
  <c r="A10082" i="2"/>
  <c r="K10081" i="2"/>
  <c r="J10081" i="2"/>
  <c r="I10081" i="2"/>
  <c r="A10081" i="2"/>
  <c r="K10080" i="2"/>
  <c r="J10080" i="2"/>
  <c r="I10080" i="2"/>
  <c r="A10080" i="2"/>
  <c r="K10079" i="2"/>
  <c r="J10079" i="2"/>
  <c r="I10079" i="2"/>
  <c r="A10079" i="2"/>
  <c r="K10078" i="2"/>
  <c r="J10078" i="2"/>
  <c r="I10078" i="2"/>
  <c r="A10078" i="2"/>
  <c r="K10077" i="2"/>
  <c r="J10077" i="2"/>
  <c r="I10077" i="2"/>
  <c r="A10077" i="2"/>
  <c r="K10076" i="2"/>
  <c r="J10076" i="2"/>
  <c r="I10076" i="2"/>
  <c r="A10076" i="2"/>
  <c r="K10075" i="2"/>
  <c r="J10075" i="2"/>
  <c r="I10075" i="2"/>
  <c r="A10075" i="2"/>
  <c r="K10074" i="2"/>
  <c r="J10074" i="2"/>
  <c r="I10074" i="2"/>
  <c r="A10074" i="2"/>
  <c r="K10073" i="2"/>
  <c r="J10073" i="2"/>
  <c r="I10073" i="2"/>
  <c r="A10073" i="2"/>
  <c r="K10072" i="2"/>
  <c r="J10072" i="2"/>
  <c r="I10072" i="2"/>
  <c r="A10072" i="2"/>
  <c r="K10071" i="2"/>
  <c r="J10071" i="2"/>
  <c r="I10071" i="2"/>
  <c r="A10071" i="2"/>
  <c r="J10070" i="2"/>
  <c r="I10070" i="2"/>
  <c r="K10069" i="2"/>
  <c r="J10069" i="2"/>
  <c r="I10069" i="2"/>
  <c r="A10069" i="2"/>
  <c r="K10068" i="2"/>
  <c r="J10068" i="2"/>
  <c r="I10068" i="2"/>
  <c r="A10068" i="2"/>
  <c r="K10067" i="2"/>
  <c r="J10067" i="2"/>
  <c r="I10067" i="2"/>
  <c r="A10067" i="2"/>
  <c r="K10066" i="2"/>
  <c r="J10066" i="2"/>
  <c r="I10066" i="2"/>
  <c r="A10066" i="2"/>
  <c r="K10065" i="2"/>
  <c r="J10065" i="2"/>
  <c r="I10065" i="2"/>
  <c r="A10065" i="2"/>
  <c r="K10064" i="2"/>
  <c r="J10064" i="2"/>
  <c r="I10064" i="2"/>
  <c r="A10064" i="2"/>
  <c r="K10063" i="2"/>
  <c r="J10063" i="2"/>
  <c r="I10063" i="2"/>
  <c r="A10063" i="2"/>
  <c r="K10062" i="2"/>
  <c r="J10062" i="2"/>
  <c r="I10062" i="2"/>
  <c r="A10062" i="2"/>
  <c r="K10061" i="2"/>
  <c r="J10061" i="2"/>
  <c r="I10061" i="2"/>
  <c r="A10061" i="2"/>
  <c r="K10060" i="2"/>
  <c r="J10060" i="2"/>
  <c r="I10060" i="2"/>
  <c r="A10060" i="2"/>
  <c r="K10059" i="2"/>
  <c r="J10059" i="2"/>
  <c r="I10059" i="2"/>
  <c r="A10059" i="2"/>
  <c r="K10058" i="2"/>
  <c r="J10058" i="2"/>
  <c r="I10058" i="2"/>
  <c r="A10058" i="2"/>
  <c r="K10057" i="2"/>
  <c r="J10057" i="2"/>
  <c r="I10057" i="2"/>
  <c r="A10057" i="2"/>
  <c r="K10056" i="2"/>
  <c r="J10056" i="2"/>
  <c r="I10056" i="2"/>
  <c r="A10056" i="2"/>
  <c r="K10055" i="2"/>
  <c r="J10055" i="2"/>
  <c r="I10055" i="2"/>
  <c r="A10055" i="2"/>
  <c r="K10054" i="2"/>
  <c r="J10054" i="2"/>
  <c r="I10054" i="2"/>
  <c r="A10054" i="2"/>
  <c r="K10053" i="2"/>
  <c r="J10053" i="2"/>
  <c r="I10053" i="2"/>
  <c r="A10053" i="2"/>
  <c r="K10052" i="2"/>
  <c r="J10052" i="2"/>
  <c r="I10052" i="2"/>
  <c r="A10052" i="2"/>
  <c r="K10051" i="2"/>
  <c r="J10051" i="2"/>
  <c r="I10051" i="2"/>
  <c r="A10051" i="2"/>
  <c r="K10050" i="2"/>
  <c r="J10050" i="2"/>
  <c r="I10050" i="2"/>
  <c r="A10050" i="2"/>
  <c r="K10049" i="2"/>
  <c r="J10049" i="2"/>
  <c r="I10049" i="2"/>
  <c r="A10049" i="2"/>
  <c r="K10048" i="2"/>
  <c r="J10048" i="2"/>
  <c r="I10048" i="2"/>
  <c r="A10048" i="2"/>
  <c r="K10047" i="2"/>
  <c r="J10047" i="2"/>
  <c r="I10047" i="2"/>
  <c r="A10047" i="2"/>
  <c r="K10046" i="2"/>
  <c r="J10046" i="2"/>
  <c r="I10046" i="2"/>
  <c r="A10046" i="2"/>
  <c r="K10045" i="2"/>
  <c r="J10045" i="2"/>
  <c r="I10045" i="2"/>
  <c r="A10045" i="2"/>
  <c r="K10044" i="2"/>
  <c r="J10044" i="2"/>
  <c r="I10044" i="2"/>
  <c r="A10044" i="2"/>
  <c r="K10043" i="2"/>
  <c r="J10043" i="2"/>
  <c r="I10043" i="2"/>
  <c r="A10043" i="2"/>
  <c r="K10042" i="2"/>
  <c r="J10042" i="2"/>
  <c r="I10042" i="2"/>
  <c r="A10042" i="2"/>
  <c r="K10041" i="2"/>
  <c r="J10041" i="2"/>
  <c r="I10041" i="2"/>
  <c r="A10041" i="2"/>
  <c r="K10040" i="2"/>
  <c r="J10040" i="2"/>
  <c r="I10040" i="2"/>
  <c r="A10040" i="2"/>
  <c r="K10039" i="2"/>
  <c r="J10039" i="2"/>
  <c r="I10039" i="2"/>
  <c r="A10039" i="2"/>
  <c r="K10038" i="2"/>
  <c r="J10038" i="2"/>
  <c r="I10038" i="2"/>
  <c r="A10038" i="2"/>
  <c r="K10037" i="2"/>
  <c r="J10037" i="2"/>
  <c r="I10037" i="2"/>
  <c r="A10037" i="2"/>
  <c r="K10036" i="2"/>
  <c r="J10036" i="2"/>
  <c r="I10036" i="2"/>
  <c r="A10036" i="2"/>
  <c r="K10035" i="2"/>
  <c r="J10035" i="2"/>
  <c r="I10035" i="2"/>
  <c r="A10035" i="2"/>
  <c r="K10034" i="2"/>
  <c r="J10034" i="2"/>
  <c r="I10034" i="2"/>
  <c r="A10034" i="2"/>
  <c r="K10033" i="2"/>
  <c r="J10033" i="2"/>
  <c r="I10033" i="2"/>
  <c r="A10033" i="2"/>
  <c r="K10032" i="2"/>
  <c r="J10032" i="2"/>
  <c r="I10032" i="2"/>
  <c r="A10032" i="2"/>
  <c r="K10031" i="2"/>
  <c r="J10031" i="2"/>
  <c r="I10031" i="2"/>
  <c r="A10031" i="2"/>
  <c r="K10030" i="2"/>
  <c r="J10030" i="2"/>
  <c r="I10030" i="2"/>
  <c r="A10030" i="2"/>
  <c r="K10029" i="2"/>
  <c r="J10029" i="2"/>
  <c r="I10029" i="2"/>
  <c r="A10029" i="2"/>
  <c r="K10028" i="2"/>
  <c r="J10028" i="2"/>
  <c r="I10028" i="2"/>
  <c r="A10028" i="2"/>
  <c r="K10027" i="2"/>
  <c r="J10027" i="2"/>
  <c r="I10027" i="2"/>
  <c r="A10027" i="2"/>
  <c r="K10026" i="2"/>
  <c r="J10026" i="2"/>
  <c r="I10026" i="2"/>
  <c r="A10026" i="2"/>
  <c r="K10025" i="2"/>
  <c r="J10025" i="2"/>
  <c r="I10025" i="2"/>
  <c r="A10025" i="2"/>
  <c r="K10024" i="2"/>
  <c r="J10024" i="2"/>
  <c r="I10024" i="2"/>
  <c r="A10024" i="2"/>
  <c r="K10023" i="2"/>
  <c r="J10023" i="2"/>
  <c r="I10023" i="2"/>
  <c r="A10023" i="2"/>
  <c r="K10022" i="2"/>
  <c r="J10022" i="2"/>
  <c r="I10022" i="2"/>
  <c r="A10022" i="2"/>
  <c r="K10021" i="2"/>
  <c r="J10021" i="2"/>
  <c r="I10021" i="2"/>
  <c r="A10021" i="2"/>
  <c r="K10020" i="2"/>
  <c r="J10020" i="2"/>
  <c r="I10020" i="2"/>
  <c r="A10020" i="2"/>
  <c r="K10019" i="2"/>
  <c r="J10019" i="2"/>
  <c r="I10019" i="2"/>
  <c r="A10019" i="2"/>
  <c r="K10018" i="2"/>
  <c r="J10018" i="2"/>
  <c r="I10018" i="2"/>
  <c r="A10018" i="2"/>
  <c r="K10017" i="2"/>
  <c r="J10017" i="2"/>
  <c r="I10017" i="2"/>
  <c r="A10017" i="2"/>
  <c r="K10016" i="2"/>
  <c r="J10016" i="2"/>
  <c r="I10016" i="2"/>
  <c r="A10016" i="2"/>
  <c r="K10015" i="2"/>
  <c r="J10015" i="2"/>
  <c r="I10015" i="2"/>
  <c r="A10015" i="2"/>
  <c r="K10014" i="2"/>
  <c r="J10014" i="2"/>
  <c r="I10014" i="2"/>
  <c r="A10014" i="2"/>
  <c r="K10013" i="2"/>
  <c r="J10013" i="2"/>
  <c r="I10013" i="2"/>
  <c r="A10013" i="2"/>
  <c r="J10012" i="2"/>
  <c r="I10012" i="2"/>
  <c r="K10011" i="2"/>
  <c r="J10011" i="2"/>
  <c r="I10011" i="2"/>
  <c r="A10011" i="2"/>
  <c r="K10010" i="2"/>
  <c r="J10010" i="2"/>
  <c r="I10010" i="2"/>
  <c r="A10010" i="2"/>
  <c r="K10009" i="2"/>
  <c r="J10009" i="2"/>
  <c r="I10009" i="2"/>
  <c r="A10009" i="2"/>
  <c r="K10008" i="2"/>
  <c r="J10008" i="2"/>
  <c r="I10008" i="2"/>
  <c r="A10008" i="2"/>
  <c r="K10007" i="2"/>
  <c r="J10007" i="2"/>
  <c r="I10007" i="2"/>
  <c r="A10007" i="2"/>
  <c r="K10006" i="2"/>
  <c r="J10006" i="2"/>
  <c r="I10006" i="2"/>
  <c r="A10006" i="2"/>
  <c r="K10005" i="2"/>
  <c r="J10005" i="2"/>
  <c r="I10005" i="2"/>
  <c r="A10005" i="2"/>
  <c r="K10004" i="2"/>
  <c r="J10004" i="2"/>
  <c r="I10004" i="2"/>
  <c r="A10004" i="2"/>
  <c r="K10003" i="2"/>
  <c r="J10003" i="2"/>
  <c r="I10003" i="2"/>
  <c r="A10003" i="2"/>
  <c r="K10002" i="2"/>
  <c r="J10002" i="2"/>
  <c r="I10002" i="2"/>
  <c r="A10002" i="2"/>
  <c r="K10001" i="2"/>
  <c r="J10001" i="2"/>
  <c r="I10001" i="2"/>
  <c r="A10001" i="2"/>
  <c r="K10000" i="2"/>
  <c r="J10000" i="2"/>
  <c r="I10000" i="2"/>
  <c r="A10000" i="2"/>
  <c r="K9999" i="2"/>
  <c r="J9999" i="2"/>
  <c r="I9999" i="2"/>
  <c r="A9999" i="2"/>
  <c r="K9998" i="2"/>
  <c r="J9998" i="2"/>
  <c r="I9998" i="2"/>
  <c r="A9998" i="2"/>
  <c r="K9997" i="2"/>
  <c r="J9997" i="2"/>
  <c r="I9997" i="2"/>
  <c r="A9997" i="2"/>
  <c r="K9996" i="2"/>
  <c r="J9996" i="2"/>
  <c r="I9996" i="2"/>
  <c r="A9996" i="2"/>
  <c r="K9995" i="2"/>
  <c r="J9995" i="2"/>
  <c r="I9995" i="2"/>
  <c r="A9995" i="2"/>
  <c r="K9994" i="2"/>
  <c r="J9994" i="2"/>
  <c r="I9994" i="2"/>
  <c r="A9994" i="2"/>
  <c r="K9993" i="2"/>
  <c r="J9993" i="2"/>
  <c r="I9993" i="2"/>
  <c r="A9993" i="2"/>
  <c r="K9992" i="2"/>
  <c r="J9992" i="2"/>
  <c r="I9992" i="2"/>
  <c r="A9992" i="2"/>
  <c r="K9991" i="2"/>
  <c r="J9991" i="2"/>
  <c r="I9991" i="2"/>
  <c r="A9991" i="2"/>
  <c r="K9990" i="2"/>
  <c r="J9990" i="2"/>
  <c r="I9990" i="2"/>
  <c r="A9990" i="2"/>
  <c r="K9989" i="2"/>
  <c r="J9989" i="2"/>
  <c r="I9989" i="2"/>
  <c r="A9989" i="2"/>
  <c r="J9988" i="2"/>
  <c r="I9988" i="2"/>
  <c r="K9987" i="2"/>
  <c r="J9987" i="2"/>
  <c r="I9987" i="2"/>
  <c r="A9987" i="2"/>
  <c r="K9986" i="2"/>
  <c r="J9986" i="2"/>
  <c r="I9986" i="2"/>
  <c r="A9986" i="2"/>
  <c r="K9985" i="2"/>
  <c r="J9985" i="2"/>
  <c r="I9985" i="2"/>
  <c r="A9985" i="2"/>
  <c r="K9984" i="2"/>
  <c r="J9984" i="2"/>
  <c r="I9984" i="2"/>
  <c r="A9984" i="2"/>
  <c r="K9983" i="2"/>
  <c r="J9983" i="2"/>
  <c r="I9983" i="2"/>
  <c r="A9983" i="2"/>
  <c r="K9982" i="2"/>
  <c r="J9982" i="2"/>
  <c r="I9982" i="2"/>
  <c r="A9982" i="2"/>
  <c r="K9981" i="2"/>
  <c r="J9981" i="2"/>
  <c r="I9981" i="2"/>
  <c r="A9981" i="2"/>
  <c r="J9980" i="2"/>
  <c r="I9980" i="2"/>
  <c r="K9979" i="2"/>
  <c r="J9979" i="2"/>
  <c r="I9979" i="2"/>
  <c r="A9979" i="2"/>
  <c r="K9978" i="2"/>
  <c r="J9978" i="2"/>
  <c r="I9978" i="2"/>
  <c r="A9978" i="2"/>
  <c r="K9977" i="2"/>
  <c r="J9977" i="2"/>
  <c r="I9977" i="2"/>
  <c r="A9977" i="2"/>
  <c r="K9976" i="2"/>
  <c r="J9976" i="2"/>
  <c r="I9976" i="2"/>
  <c r="A9976" i="2"/>
  <c r="K9975" i="2"/>
  <c r="J9975" i="2"/>
  <c r="I9975" i="2"/>
  <c r="A9975" i="2"/>
  <c r="K9974" i="2"/>
  <c r="J9974" i="2"/>
  <c r="I9974" i="2"/>
  <c r="A9974" i="2"/>
  <c r="K9973" i="2"/>
  <c r="J9973" i="2"/>
  <c r="I9973" i="2"/>
  <c r="A9973" i="2"/>
  <c r="K9972" i="2"/>
  <c r="J9972" i="2"/>
  <c r="I9972" i="2"/>
  <c r="A9972" i="2"/>
  <c r="K9971" i="2"/>
  <c r="J9971" i="2"/>
  <c r="I9971" i="2"/>
  <c r="A9971" i="2"/>
  <c r="K9970" i="2"/>
  <c r="J9970" i="2"/>
  <c r="I9970" i="2"/>
  <c r="A9970" i="2"/>
  <c r="K9969" i="2"/>
  <c r="J9969" i="2"/>
  <c r="I9969" i="2"/>
  <c r="A9969" i="2"/>
  <c r="K9968" i="2"/>
  <c r="J9968" i="2"/>
  <c r="I9968" i="2"/>
  <c r="A9968" i="2"/>
  <c r="K9967" i="2"/>
  <c r="J9967" i="2"/>
  <c r="I9967" i="2"/>
  <c r="A9967" i="2"/>
  <c r="J9966" i="2"/>
  <c r="I9966" i="2"/>
  <c r="J9965" i="2"/>
  <c r="I9965" i="2"/>
  <c r="K9964" i="2"/>
  <c r="J9964" i="2"/>
  <c r="I9964" i="2"/>
  <c r="A9964" i="2"/>
  <c r="K9963" i="2"/>
  <c r="J9963" i="2"/>
  <c r="I9963" i="2"/>
  <c r="A9963" i="2"/>
  <c r="K9962" i="2"/>
  <c r="J9962" i="2"/>
  <c r="I9962" i="2"/>
  <c r="A9962" i="2"/>
  <c r="K9961" i="2"/>
  <c r="J9961" i="2"/>
  <c r="I9961" i="2"/>
  <c r="A9961" i="2"/>
  <c r="K9960" i="2"/>
  <c r="J9960" i="2"/>
  <c r="I9960" i="2"/>
  <c r="A9960" i="2"/>
  <c r="K9959" i="2"/>
  <c r="J9959" i="2"/>
  <c r="I9959" i="2"/>
  <c r="A9959" i="2"/>
  <c r="K9958" i="2"/>
  <c r="J9958" i="2"/>
  <c r="I9958" i="2"/>
  <c r="A9958" i="2"/>
  <c r="K9957" i="2"/>
  <c r="J9957" i="2"/>
  <c r="I9957" i="2"/>
  <c r="A9957" i="2"/>
  <c r="K9956" i="2"/>
  <c r="J9956" i="2"/>
  <c r="I9956" i="2"/>
  <c r="A9956" i="2"/>
  <c r="K9955" i="2"/>
  <c r="J9955" i="2"/>
  <c r="I9955" i="2"/>
  <c r="A9955" i="2"/>
  <c r="K9954" i="2"/>
  <c r="J9954" i="2"/>
  <c r="I9954" i="2"/>
  <c r="A9954" i="2"/>
  <c r="K9953" i="2"/>
  <c r="J9953" i="2"/>
  <c r="I9953" i="2"/>
  <c r="A9953" i="2"/>
  <c r="K9952" i="2"/>
  <c r="J9952" i="2"/>
  <c r="I9952" i="2"/>
  <c r="A9952" i="2"/>
  <c r="K9951" i="2"/>
  <c r="J9951" i="2"/>
  <c r="I9951" i="2"/>
  <c r="A9951" i="2"/>
  <c r="K9950" i="2"/>
  <c r="J9950" i="2"/>
  <c r="I9950" i="2"/>
  <c r="A9950" i="2"/>
  <c r="J9949" i="2"/>
  <c r="I9949" i="2"/>
  <c r="K9948" i="2"/>
  <c r="J9948" i="2"/>
  <c r="I9948" i="2"/>
  <c r="A9948" i="2"/>
  <c r="K9947" i="2"/>
  <c r="J9947" i="2"/>
  <c r="I9947" i="2"/>
  <c r="A9947" i="2"/>
  <c r="K9946" i="2"/>
  <c r="J9946" i="2"/>
  <c r="I9946" i="2"/>
  <c r="A9946" i="2"/>
  <c r="K9945" i="2"/>
  <c r="J9945" i="2"/>
  <c r="I9945" i="2"/>
  <c r="A9945" i="2"/>
  <c r="K9944" i="2"/>
  <c r="J9944" i="2"/>
  <c r="I9944" i="2"/>
  <c r="A9944" i="2"/>
  <c r="K9943" i="2"/>
  <c r="J9943" i="2"/>
  <c r="I9943" i="2"/>
  <c r="A9943" i="2"/>
  <c r="K9942" i="2"/>
  <c r="J9942" i="2"/>
  <c r="I9942" i="2"/>
  <c r="A9942" i="2"/>
  <c r="K9941" i="2"/>
  <c r="J9941" i="2"/>
  <c r="I9941" i="2"/>
  <c r="A9941" i="2"/>
  <c r="J9940" i="2"/>
  <c r="I9940" i="2"/>
  <c r="K9939" i="2"/>
  <c r="J9939" i="2"/>
  <c r="I9939" i="2"/>
  <c r="A9939" i="2"/>
  <c r="K9938" i="2"/>
  <c r="J9938" i="2"/>
  <c r="I9938" i="2"/>
  <c r="A9938" i="2"/>
  <c r="K9937" i="2"/>
  <c r="J9937" i="2"/>
  <c r="I9937" i="2"/>
  <c r="A9937" i="2"/>
  <c r="K9936" i="2"/>
  <c r="J9936" i="2"/>
  <c r="I9936" i="2"/>
  <c r="A9936" i="2"/>
  <c r="K9935" i="2"/>
  <c r="J9935" i="2"/>
  <c r="I9935" i="2"/>
  <c r="A9935" i="2"/>
  <c r="K9934" i="2"/>
  <c r="J9934" i="2"/>
  <c r="I9934" i="2"/>
  <c r="A9934" i="2"/>
  <c r="K9933" i="2"/>
  <c r="J9933" i="2"/>
  <c r="I9933" i="2"/>
  <c r="A9933" i="2"/>
  <c r="K9932" i="2"/>
  <c r="J9932" i="2"/>
  <c r="I9932" i="2"/>
  <c r="A9932" i="2"/>
  <c r="K9931" i="2"/>
  <c r="J9931" i="2"/>
  <c r="I9931" i="2"/>
  <c r="A9931" i="2"/>
  <c r="K9930" i="2"/>
  <c r="J9930" i="2"/>
  <c r="I9930" i="2"/>
  <c r="A9930" i="2"/>
  <c r="K9929" i="2"/>
  <c r="J9929" i="2"/>
  <c r="I9929" i="2"/>
  <c r="A9929" i="2"/>
  <c r="K9928" i="2"/>
  <c r="J9928" i="2"/>
  <c r="I9928" i="2"/>
  <c r="A9928" i="2"/>
  <c r="K9927" i="2"/>
  <c r="J9927" i="2"/>
  <c r="I9927" i="2"/>
  <c r="A9927" i="2"/>
  <c r="K9926" i="2"/>
  <c r="J9926" i="2"/>
  <c r="I9926" i="2"/>
  <c r="A9926" i="2"/>
  <c r="K9925" i="2"/>
  <c r="J9925" i="2"/>
  <c r="I9925" i="2"/>
  <c r="A9925" i="2"/>
  <c r="K9924" i="2"/>
  <c r="J9924" i="2"/>
  <c r="I9924" i="2"/>
  <c r="A9924" i="2"/>
  <c r="K9923" i="2"/>
  <c r="J9923" i="2"/>
  <c r="I9923" i="2"/>
  <c r="A9923" i="2"/>
  <c r="K9922" i="2"/>
  <c r="J9922" i="2"/>
  <c r="I9922" i="2"/>
  <c r="A9922" i="2"/>
  <c r="K9921" i="2"/>
  <c r="J9921" i="2"/>
  <c r="I9921" i="2"/>
  <c r="A9921" i="2"/>
  <c r="K9920" i="2"/>
  <c r="J9920" i="2"/>
  <c r="I9920" i="2"/>
  <c r="A9920" i="2"/>
  <c r="K9919" i="2"/>
  <c r="J9919" i="2"/>
  <c r="I9919" i="2"/>
  <c r="A9919" i="2"/>
  <c r="K9918" i="2"/>
  <c r="J9918" i="2"/>
  <c r="I9918" i="2"/>
  <c r="A9918" i="2"/>
  <c r="K9917" i="2"/>
  <c r="J9917" i="2"/>
  <c r="I9917" i="2"/>
  <c r="A9917" i="2"/>
  <c r="K9916" i="2"/>
  <c r="J9916" i="2"/>
  <c r="I9916" i="2"/>
  <c r="A9916" i="2"/>
  <c r="K9915" i="2"/>
  <c r="J9915" i="2"/>
  <c r="I9915" i="2"/>
  <c r="A9915" i="2"/>
  <c r="K9914" i="2"/>
  <c r="J9914" i="2"/>
  <c r="I9914" i="2"/>
  <c r="A9914" i="2"/>
  <c r="K9913" i="2"/>
  <c r="J9913" i="2"/>
  <c r="I9913" i="2"/>
  <c r="A9913" i="2"/>
  <c r="J9912" i="2"/>
  <c r="I9912" i="2"/>
  <c r="K9911" i="2"/>
  <c r="J9911" i="2"/>
  <c r="I9911" i="2"/>
  <c r="A9911" i="2"/>
  <c r="K9910" i="2"/>
  <c r="J9910" i="2"/>
  <c r="I9910" i="2"/>
  <c r="A9910" i="2"/>
  <c r="K9909" i="2"/>
  <c r="J9909" i="2"/>
  <c r="I9909" i="2"/>
  <c r="A9909" i="2"/>
  <c r="K9908" i="2"/>
  <c r="J9908" i="2"/>
  <c r="I9908" i="2"/>
  <c r="A9908" i="2"/>
  <c r="J9907" i="2"/>
  <c r="I9907" i="2"/>
  <c r="K9906" i="2"/>
  <c r="J9906" i="2"/>
  <c r="I9906" i="2"/>
  <c r="A9906" i="2"/>
  <c r="K9905" i="2"/>
  <c r="J9905" i="2"/>
  <c r="I9905" i="2"/>
  <c r="A9905" i="2"/>
  <c r="K9904" i="2"/>
  <c r="J9904" i="2"/>
  <c r="I9904" i="2"/>
  <c r="A9904" i="2"/>
  <c r="K9903" i="2"/>
  <c r="J9903" i="2"/>
  <c r="I9903" i="2"/>
  <c r="A9903" i="2"/>
  <c r="K9902" i="2"/>
  <c r="J9902" i="2"/>
  <c r="I9902" i="2"/>
  <c r="A9902" i="2"/>
  <c r="K9901" i="2"/>
  <c r="J9901" i="2"/>
  <c r="I9901" i="2"/>
  <c r="A9901" i="2"/>
  <c r="K9900" i="2"/>
  <c r="J9900" i="2"/>
  <c r="I9900" i="2"/>
  <c r="A9900" i="2"/>
  <c r="K9899" i="2"/>
  <c r="J9899" i="2"/>
  <c r="I9899" i="2"/>
  <c r="A9899" i="2"/>
  <c r="K9898" i="2"/>
  <c r="J9898" i="2"/>
  <c r="I9898" i="2"/>
  <c r="A9898" i="2"/>
  <c r="K9897" i="2"/>
  <c r="J9897" i="2"/>
  <c r="I9897" i="2"/>
  <c r="A9897" i="2"/>
  <c r="K9896" i="2"/>
  <c r="J9896" i="2"/>
  <c r="I9896" i="2"/>
  <c r="A9896" i="2"/>
  <c r="K9895" i="2"/>
  <c r="J9895" i="2"/>
  <c r="I9895" i="2"/>
  <c r="A9895" i="2"/>
  <c r="K9894" i="2"/>
  <c r="J9894" i="2"/>
  <c r="I9894" i="2"/>
  <c r="A9894" i="2"/>
  <c r="J9893" i="2"/>
  <c r="I9893" i="2"/>
  <c r="K9892" i="2"/>
  <c r="J9892" i="2"/>
  <c r="I9892" i="2"/>
  <c r="A9892" i="2"/>
  <c r="K9891" i="2"/>
  <c r="J9891" i="2"/>
  <c r="I9891" i="2"/>
  <c r="A9891" i="2"/>
  <c r="K9890" i="2"/>
  <c r="J9890" i="2"/>
  <c r="I9890" i="2"/>
  <c r="A9890" i="2"/>
  <c r="K9889" i="2"/>
  <c r="J9889" i="2"/>
  <c r="I9889" i="2"/>
  <c r="A9889" i="2"/>
  <c r="K9888" i="2"/>
  <c r="J9888" i="2"/>
  <c r="I9888" i="2"/>
  <c r="A9888" i="2"/>
  <c r="K9887" i="2"/>
  <c r="J9887" i="2"/>
  <c r="I9887" i="2"/>
  <c r="A9887" i="2"/>
  <c r="K9886" i="2"/>
  <c r="J9886" i="2"/>
  <c r="I9886" i="2"/>
  <c r="A9886" i="2"/>
  <c r="K9885" i="2"/>
  <c r="J9885" i="2"/>
  <c r="I9885" i="2"/>
  <c r="A9885" i="2"/>
  <c r="K9884" i="2"/>
  <c r="J9884" i="2"/>
  <c r="I9884" i="2"/>
  <c r="A9884" i="2"/>
  <c r="K9883" i="2"/>
  <c r="J9883" i="2"/>
  <c r="I9883" i="2"/>
  <c r="A9883" i="2"/>
  <c r="K9882" i="2"/>
  <c r="J9882" i="2"/>
  <c r="I9882" i="2"/>
  <c r="A9882" i="2"/>
  <c r="K9881" i="2"/>
  <c r="J9881" i="2"/>
  <c r="I9881" i="2"/>
  <c r="A9881" i="2"/>
  <c r="K9880" i="2"/>
  <c r="J9880" i="2"/>
  <c r="I9880" i="2"/>
  <c r="A9880" i="2"/>
  <c r="K9879" i="2"/>
  <c r="J9879" i="2"/>
  <c r="I9879" i="2"/>
  <c r="A9879" i="2"/>
  <c r="K9878" i="2"/>
  <c r="J9878" i="2"/>
  <c r="I9878" i="2"/>
  <c r="A9878" i="2"/>
  <c r="K9877" i="2"/>
  <c r="J9877" i="2"/>
  <c r="I9877" i="2"/>
  <c r="A9877" i="2"/>
  <c r="K9876" i="2"/>
  <c r="J9876" i="2"/>
  <c r="I9876" i="2"/>
  <c r="A9876" i="2"/>
  <c r="K9875" i="2"/>
  <c r="J9875" i="2"/>
  <c r="I9875" i="2"/>
  <c r="A9875" i="2"/>
  <c r="K9874" i="2"/>
  <c r="J9874" i="2"/>
  <c r="I9874" i="2"/>
  <c r="A9874" i="2"/>
  <c r="K9873" i="2"/>
  <c r="J9873" i="2"/>
  <c r="I9873" i="2"/>
  <c r="A9873" i="2"/>
  <c r="K9872" i="2"/>
  <c r="J9872" i="2"/>
  <c r="I9872" i="2"/>
  <c r="A9872" i="2"/>
  <c r="K9871" i="2"/>
  <c r="J9871" i="2"/>
  <c r="I9871" i="2"/>
  <c r="A9871" i="2"/>
  <c r="K9870" i="2"/>
  <c r="J9870" i="2"/>
  <c r="I9870" i="2"/>
  <c r="A9870" i="2"/>
  <c r="K9869" i="2"/>
  <c r="J9869" i="2"/>
  <c r="I9869" i="2"/>
  <c r="A9869" i="2"/>
  <c r="K9868" i="2"/>
  <c r="J9868" i="2"/>
  <c r="I9868" i="2"/>
  <c r="A9868" i="2"/>
  <c r="K9867" i="2"/>
  <c r="J9867" i="2"/>
  <c r="I9867" i="2"/>
  <c r="A9867" i="2"/>
  <c r="K9866" i="2"/>
  <c r="J9866" i="2"/>
  <c r="I9866" i="2"/>
  <c r="A9866" i="2"/>
  <c r="K9865" i="2"/>
  <c r="J9865" i="2"/>
  <c r="I9865" i="2"/>
  <c r="A9865" i="2"/>
  <c r="K9864" i="2"/>
  <c r="J9864" i="2"/>
  <c r="I9864" i="2"/>
  <c r="A9864" i="2"/>
  <c r="K9863" i="2"/>
  <c r="J9863" i="2"/>
  <c r="I9863" i="2"/>
  <c r="A9863" i="2"/>
  <c r="K9862" i="2"/>
  <c r="J9862" i="2"/>
  <c r="I9862" i="2"/>
  <c r="A9862" i="2"/>
  <c r="K9861" i="2"/>
  <c r="J9861" i="2"/>
  <c r="I9861" i="2"/>
  <c r="A9861" i="2"/>
  <c r="K9860" i="2"/>
  <c r="J9860" i="2"/>
  <c r="I9860" i="2"/>
  <c r="A9860" i="2"/>
  <c r="K9859" i="2"/>
  <c r="J9859" i="2"/>
  <c r="I9859" i="2"/>
  <c r="A9859" i="2"/>
  <c r="K9858" i="2"/>
  <c r="J9858" i="2"/>
  <c r="I9858" i="2"/>
  <c r="A9858" i="2"/>
  <c r="K9857" i="2"/>
  <c r="J9857" i="2"/>
  <c r="I9857" i="2"/>
  <c r="A9857" i="2"/>
  <c r="K9856" i="2"/>
  <c r="J9856" i="2"/>
  <c r="I9856" i="2"/>
  <c r="A9856" i="2"/>
  <c r="K9855" i="2"/>
  <c r="J9855" i="2"/>
  <c r="I9855" i="2"/>
  <c r="A9855" i="2"/>
  <c r="K9854" i="2"/>
  <c r="J9854" i="2"/>
  <c r="I9854" i="2"/>
  <c r="A9854" i="2"/>
  <c r="K9853" i="2"/>
  <c r="J9853" i="2"/>
  <c r="I9853" i="2"/>
  <c r="A9853" i="2"/>
  <c r="K9852" i="2"/>
  <c r="J9852" i="2"/>
  <c r="I9852" i="2"/>
  <c r="A9852" i="2"/>
  <c r="K9851" i="2"/>
  <c r="J9851" i="2"/>
  <c r="I9851" i="2"/>
  <c r="A9851" i="2"/>
  <c r="K9850" i="2"/>
  <c r="J9850" i="2"/>
  <c r="I9850" i="2"/>
  <c r="A9850" i="2"/>
  <c r="K9849" i="2"/>
  <c r="J9849" i="2"/>
  <c r="I9849" i="2"/>
  <c r="A9849" i="2"/>
  <c r="K9848" i="2"/>
  <c r="J9848" i="2"/>
  <c r="I9848" i="2"/>
  <c r="A9848" i="2"/>
  <c r="K9847" i="2"/>
  <c r="J9847" i="2"/>
  <c r="I9847" i="2"/>
  <c r="A9847" i="2"/>
  <c r="K9846" i="2"/>
  <c r="J9846" i="2"/>
  <c r="I9846" i="2"/>
  <c r="A9846" i="2"/>
  <c r="K9845" i="2"/>
  <c r="J9845" i="2"/>
  <c r="I9845" i="2"/>
  <c r="A9845" i="2"/>
  <c r="K9844" i="2"/>
  <c r="J9844" i="2"/>
  <c r="I9844" i="2"/>
  <c r="A9844" i="2"/>
  <c r="K9843" i="2"/>
  <c r="J9843" i="2"/>
  <c r="I9843" i="2"/>
  <c r="A9843" i="2"/>
  <c r="K9842" i="2"/>
  <c r="J9842" i="2"/>
  <c r="I9842" i="2"/>
  <c r="A9842" i="2"/>
  <c r="K9841" i="2"/>
  <c r="J9841" i="2"/>
  <c r="I9841" i="2"/>
  <c r="A9841" i="2"/>
  <c r="K9840" i="2"/>
  <c r="J9840" i="2"/>
  <c r="I9840" i="2"/>
  <c r="A9840" i="2"/>
  <c r="K9839" i="2"/>
  <c r="J9839" i="2"/>
  <c r="I9839" i="2"/>
  <c r="A9839" i="2"/>
  <c r="K9838" i="2"/>
  <c r="J9838" i="2"/>
  <c r="I9838" i="2"/>
  <c r="A9838" i="2"/>
  <c r="K9837" i="2"/>
  <c r="J9837" i="2"/>
  <c r="I9837" i="2"/>
  <c r="A9837" i="2"/>
  <c r="K9836" i="2"/>
  <c r="J9836" i="2"/>
  <c r="I9836" i="2"/>
  <c r="A9836" i="2"/>
  <c r="K9835" i="2"/>
  <c r="J9835" i="2"/>
  <c r="I9835" i="2"/>
  <c r="A9835" i="2"/>
  <c r="K9834" i="2"/>
  <c r="J9834" i="2"/>
  <c r="I9834" i="2"/>
  <c r="A9834" i="2"/>
  <c r="K9833" i="2"/>
  <c r="J9833" i="2"/>
  <c r="I9833" i="2"/>
  <c r="A9833" i="2"/>
  <c r="K9832" i="2"/>
  <c r="J9832" i="2"/>
  <c r="I9832" i="2"/>
  <c r="A9832" i="2"/>
  <c r="K9831" i="2"/>
  <c r="J9831" i="2"/>
  <c r="I9831" i="2"/>
  <c r="A9831" i="2"/>
  <c r="K9830" i="2"/>
  <c r="J9830" i="2"/>
  <c r="I9830" i="2"/>
  <c r="A9830" i="2"/>
  <c r="K9829" i="2"/>
  <c r="J9829" i="2"/>
  <c r="I9829" i="2"/>
  <c r="A9829" i="2"/>
  <c r="K9828" i="2"/>
  <c r="J9828" i="2"/>
  <c r="I9828" i="2"/>
  <c r="A9828" i="2"/>
  <c r="K9827" i="2"/>
  <c r="J9827" i="2"/>
  <c r="I9827" i="2"/>
  <c r="A9827" i="2"/>
  <c r="K9826" i="2"/>
  <c r="J9826" i="2"/>
  <c r="I9826" i="2"/>
  <c r="A9826" i="2"/>
  <c r="K9825" i="2"/>
  <c r="J9825" i="2"/>
  <c r="I9825" i="2"/>
  <c r="A9825" i="2"/>
  <c r="K9824" i="2"/>
  <c r="J9824" i="2"/>
  <c r="I9824" i="2"/>
  <c r="A9824" i="2"/>
  <c r="K9823" i="2"/>
  <c r="J9823" i="2"/>
  <c r="I9823" i="2"/>
  <c r="A9823" i="2"/>
  <c r="K9822" i="2"/>
  <c r="J9822" i="2"/>
  <c r="I9822" i="2"/>
  <c r="A9822" i="2"/>
  <c r="K9821" i="2"/>
  <c r="J9821" i="2"/>
  <c r="I9821" i="2"/>
  <c r="A9821" i="2"/>
  <c r="K9820" i="2"/>
  <c r="J9820" i="2"/>
  <c r="I9820" i="2"/>
  <c r="A9820" i="2"/>
  <c r="K9819" i="2"/>
  <c r="J9819" i="2"/>
  <c r="I9819" i="2"/>
  <c r="A9819" i="2"/>
  <c r="K9818" i="2"/>
  <c r="J9818" i="2"/>
  <c r="I9818" i="2"/>
  <c r="A9818" i="2"/>
  <c r="K9817" i="2"/>
  <c r="J9817" i="2"/>
  <c r="I9817" i="2"/>
  <c r="A9817" i="2"/>
  <c r="K9816" i="2"/>
  <c r="J9816" i="2"/>
  <c r="I9816" i="2"/>
  <c r="A9816" i="2"/>
  <c r="K9815" i="2"/>
  <c r="J9815" i="2"/>
  <c r="I9815" i="2"/>
  <c r="A9815" i="2"/>
  <c r="K9814" i="2"/>
  <c r="J9814" i="2"/>
  <c r="I9814" i="2"/>
  <c r="A9814" i="2"/>
  <c r="K9813" i="2"/>
  <c r="J9813" i="2"/>
  <c r="I9813" i="2"/>
  <c r="A9813" i="2"/>
  <c r="K9812" i="2"/>
  <c r="J9812" i="2"/>
  <c r="I9812" i="2"/>
  <c r="A9812" i="2"/>
  <c r="K9811" i="2"/>
  <c r="J9811" i="2"/>
  <c r="I9811" i="2"/>
  <c r="A9811" i="2"/>
  <c r="K9810" i="2"/>
  <c r="J9810" i="2"/>
  <c r="I9810" i="2"/>
  <c r="A9810" i="2"/>
  <c r="K9809" i="2"/>
  <c r="J9809" i="2"/>
  <c r="I9809" i="2"/>
  <c r="A9809" i="2"/>
  <c r="K9808" i="2"/>
  <c r="J9808" i="2"/>
  <c r="I9808" i="2"/>
  <c r="A9808" i="2"/>
  <c r="K9807" i="2"/>
  <c r="J9807" i="2"/>
  <c r="I9807" i="2"/>
  <c r="A9807" i="2"/>
  <c r="K9806" i="2"/>
  <c r="J9806" i="2"/>
  <c r="I9806" i="2"/>
  <c r="A9806" i="2"/>
  <c r="K9805" i="2"/>
  <c r="J9805" i="2"/>
  <c r="I9805" i="2"/>
  <c r="A9805" i="2"/>
  <c r="K9804" i="2"/>
  <c r="J9804" i="2"/>
  <c r="I9804" i="2"/>
  <c r="A9804" i="2"/>
  <c r="K9803" i="2"/>
  <c r="J9803" i="2"/>
  <c r="I9803" i="2"/>
  <c r="A9803" i="2"/>
  <c r="K9802" i="2"/>
  <c r="J9802" i="2"/>
  <c r="I9802" i="2"/>
  <c r="A9802" i="2"/>
  <c r="K9801" i="2"/>
  <c r="J9801" i="2"/>
  <c r="I9801" i="2"/>
  <c r="A9801" i="2"/>
  <c r="J9800" i="2"/>
  <c r="I9800" i="2"/>
  <c r="K9799" i="2"/>
  <c r="J9799" i="2"/>
  <c r="I9799" i="2"/>
  <c r="A9799" i="2"/>
  <c r="K9798" i="2"/>
  <c r="J9798" i="2"/>
  <c r="I9798" i="2"/>
  <c r="A9798" i="2"/>
  <c r="K9797" i="2"/>
  <c r="J9797" i="2"/>
  <c r="I9797" i="2"/>
  <c r="A9797" i="2"/>
  <c r="K9796" i="2"/>
  <c r="J9796" i="2"/>
  <c r="I9796" i="2"/>
  <c r="A9796" i="2"/>
  <c r="K9795" i="2"/>
  <c r="J9795" i="2"/>
  <c r="I9795" i="2"/>
  <c r="A9795" i="2"/>
  <c r="K9794" i="2"/>
  <c r="J9794" i="2"/>
  <c r="I9794" i="2"/>
  <c r="A9794" i="2"/>
  <c r="K9793" i="2"/>
  <c r="J9793" i="2"/>
  <c r="I9793" i="2"/>
  <c r="A9793" i="2"/>
  <c r="K9792" i="2"/>
  <c r="J9792" i="2"/>
  <c r="I9792" i="2"/>
  <c r="A9792" i="2"/>
  <c r="K9791" i="2"/>
  <c r="J9791" i="2"/>
  <c r="I9791" i="2"/>
  <c r="A9791" i="2"/>
  <c r="K9790" i="2"/>
  <c r="J9790" i="2"/>
  <c r="I9790" i="2"/>
  <c r="A9790" i="2"/>
  <c r="K9789" i="2"/>
  <c r="J9789" i="2"/>
  <c r="I9789" i="2"/>
  <c r="A9789" i="2"/>
  <c r="K9788" i="2"/>
  <c r="J9788" i="2"/>
  <c r="I9788" i="2"/>
  <c r="A9788" i="2"/>
  <c r="K9787" i="2"/>
  <c r="J9787" i="2"/>
  <c r="I9787" i="2"/>
  <c r="A9787" i="2"/>
  <c r="K9786" i="2"/>
  <c r="J9786" i="2"/>
  <c r="I9786" i="2"/>
  <c r="A9786" i="2"/>
  <c r="K9785" i="2"/>
  <c r="J9785" i="2"/>
  <c r="I9785" i="2"/>
  <c r="A9785" i="2"/>
  <c r="K9784" i="2"/>
  <c r="J9784" i="2"/>
  <c r="I9784" i="2"/>
  <c r="A9784" i="2"/>
  <c r="J9783" i="2"/>
  <c r="I9783" i="2"/>
  <c r="K9782" i="2"/>
  <c r="J9782" i="2"/>
  <c r="I9782" i="2"/>
  <c r="A9782" i="2"/>
  <c r="K9781" i="2"/>
  <c r="J9781" i="2"/>
  <c r="I9781" i="2"/>
  <c r="A9781" i="2"/>
  <c r="K9780" i="2"/>
  <c r="J9780" i="2"/>
  <c r="I9780" i="2"/>
  <c r="A9780" i="2"/>
  <c r="K9779" i="2"/>
  <c r="J9779" i="2"/>
  <c r="I9779" i="2"/>
  <c r="A9779" i="2"/>
  <c r="K9778" i="2"/>
  <c r="J9778" i="2"/>
  <c r="I9778" i="2"/>
  <c r="A9778" i="2"/>
  <c r="K9777" i="2"/>
  <c r="J9777" i="2"/>
  <c r="I9777" i="2"/>
  <c r="A9777" i="2"/>
  <c r="K9776" i="2"/>
  <c r="J9776" i="2"/>
  <c r="I9776" i="2"/>
  <c r="A9776" i="2"/>
  <c r="K9775" i="2"/>
  <c r="J9775" i="2"/>
  <c r="I9775" i="2"/>
  <c r="A9775" i="2"/>
  <c r="K9774" i="2"/>
  <c r="J9774" i="2"/>
  <c r="I9774" i="2"/>
  <c r="A9774" i="2"/>
  <c r="K9773" i="2"/>
  <c r="J9773" i="2"/>
  <c r="I9773" i="2"/>
  <c r="A9773" i="2"/>
  <c r="K9772" i="2"/>
  <c r="J9772" i="2"/>
  <c r="I9772" i="2"/>
  <c r="A9772" i="2"/>
  <c r="K9771" i="2"/>
  <c r="J9771" i="2"/>
  <c r="I9771" i="2"/>
  <c r="A9771" i="2"/>
  <c r="K9770" i="2"/>
  <c r="J9770" i="2"/>
  <c r="I9770" i="2"/>
  <c r="A9770" i="2"/>
  <c r="K9769" i="2"/>
  <c r="J9769" i="2"/>
  <c r="I9769" i="2"/>
  <c r="A9769" i="2"/>
  <c r="K9768" i="2"/>
  <c r="J9768" i="2"/>
  <c r="I9768" i="2"/>
  <c r="A9768" i="2"/>
  <c r="K9767" i="2"/>
  <c r="J9767" i="2"/>
  <c r="I9767" i="2"/>
  <c r="A9767" i="2"/>
  <c r="K9766" i="2"/>
  <c r="J9766" i="2"/>
  <c r="I9766" i="2"/>
  <c r="A9766" i="2"/>
  <c r="K9765" i="2"/>
  <c r="J9765" i="2"/>
  <c r="I9765" i="2"/>
  <c r="A9765" i="2"/>
  <c r="K9764" i="2"/>
  <c r="J9764" i="2"/>
  <c r="I9764" i="2"/>
  <c r="A9764" i="2"/>
  <c r="K9763" i="2"/>
  <c r="J9763" i="2"/>
  <c r="I9763" i="2"/>
  <c r="A9763" i="2"/>
  <c r="K9762" i="2"/>
  <c r="J9762" i="2"/>
  <c r="I9762" i="2"/>
  <c r="A9762" i="2"/>
  <c r="K9761" i="2"/>
  <c r="J9761" i="2"/>
  <c r="I9761" i="2"/>
  <c r="A9761" i="2"/>
  <c r="J9760" i="2"/>
  <c r="I9760" i="2"/>
  <c r="K9759" i="2"/>
  <c r="J9759" i="2"/>
  <c r="I9759" i="2"/>
  <c r="A9759" i="2"/>
  <c r="K9758" i="2"/>
  <c r="J9758" i="2"/>
  <c r="I9758" i="2"/>
  <c r="A9758" i="2"/>
  <c r="K9757" i="2"/>
  <c r="J9757" i="2"/>
  <c r="I9757" i="2"/>
  <c r="A9757" i="2"/>
  <c r="K9756" i="2"/>
  <c r="J9756" i="2"/>
  <c r="I9756" i="2"/>
  <c r="A9756" i="2"/>
  <c r="K9755" i="2"/>
  <c r="J9755" i="2"/>
  <c r="I9755" i="2"/>
  <c r="A9755" i="2"/>
  <c r="K9754" i="2"/>
  <c r="J9754" i="2"/>
  <c r="I9754" i="2"/>
  <c r="A9754" i="2"/>
  <c r="K9753" i="2"/>
  <c r="J9753" i="2"/>
  <c r="I9753" i="2"/>
  <c r="A9753" i="2"/>
  <c r="K9752" i="2"/>
  <c r="J9752" i="2"/>
  <c r="I9752" i="2"/>
  <c r="A9752" i="2"/>
  <c r="K9751" i="2"/>
  <c r="J9751" i="2"/>
  <c r="I9751" i="2"/>
  <c r="A9751" i="2"/>
  <c r="K9750" i="2"/>
  <c r="J9750" i="2"/>
  <c r="I9750" i="2"/>
  <c r="A9750" i="2"/>
  <c r="K9749" i="2"/>
  <c r="J9749" i="2"/>
  <c r="I9749" i="2"/>
  <c r="A9749" i="2"/>
  <c r="K9748" i="2"/>
  <c r="J9748" i="2"/>
  <c r="I9748" i="2"/>
  <c r="A9748" i="2"/>
  <c r="K9747" i="2"/>
  <c r="J9747" i="2"/>
  <c r="I9747" i="2"/>
  <c r="A9747" i="2"/>
  <c r="K9746" i="2"/>
  <c r="J9746" i="2"/>
  <c r="I9746" i="2"/>
  <c r="A9746" i="2"/>
  <c r="K9745" i="2"/>
  <c r="J9745" i="2"/>
  <c r="I9745" i="2"/>
  <c r="A9745" i="2"/>
  <c r="K9744" i="2"/>
  <c r="J9744" i="2"/>
  <c r="I9744" i="2"/>
  <c r="A9744" i="2"/>
  <c r="K9743" i="2"/>
  <c r="J9743" i="2"/>
  <c r="I9743" i="2"/>
  <c r="A9743" i="2"/>
  <c r="K9742" i="2"/>
  <c r="J9742" i="2"/>
  <c r="I9742" i="2"/>
  <c r="A9742" i="2"/>
  <c r="K9741" i="2"/>
  <c r="J9741" i="2"/>
  <c r="I9741" i="2"/>
  <c r="A9741" i="2"/>
  <c r="K9740" i="2"/>
  <c r="J9740" i="2"/>
  <c r="I9740" i="2"/>
  <c r="A9740" i="2"/>
  <c r="K9739" i="2"/>
  <c r="J9739" i="2"/>
  <c r="I9739" i="2"/>
  <c r="A9739" i="2"/>
  <c r="K9738" i="2"/>
  <c r="J9738" i="2"/>
  <c r="I9738" i="2"/>
  <c r="A9738" i="2"/>
  <c r="K9737" i="2"/>
  <c r="J9737" i="2"/>
  <c r="I9737" i="2"/>
  <c r="A9737" i="2"/>
  <c r="K9736" i="2"/>
  <c r="J9736" i="2"/>
  <c r="I9736" i="2"/>
  <c r="A9736" i="2"/>
  <c r="K9735" i="2"/>
  <c r="J9735" i="2"/>
  <c r="I9735" i="2"/>
  <c r="A9735" i="2"/>
  <c r="K9734" i="2"/>
  <c r="J9734" i="2"/>
  <c r="I9734" i="2"/>
  <c r="A9734" i="2"/>
  <c r="K9733" i="2"/>
  <c r="J9733" i="2"/>
  <c r="I9733" i="2"/>
  <c r="A9733" i="2"/>
  <c r="K9732" i="2"/>
  <c r="J9732" i="2"/>
  <c r="I9732" i="2"/>
  <c r="A9732" i="2"/>
  <c r="K9731" i="2"/>
  <c r="J9731" i="2"/>
  <c r="I9731" i="2"/>
  <c r="A9731" i="2"/>
  <c r="K9730" i="2"/>
  <c r="J9730" i="2"/>
  <c r="I9730" i="2"/>
  <c r="A9730" i="2"/>
  <c r="K9729" i="2"/>
  <c r="J9729" i="2"/>
  <c r="I9729" i="2"/>
  <c r="A9729" i="2"/>
  <c r="K9728" i="2"/>
  <c r="J9728" i="2"/>
  <c r="I9728" i="2"/>
  <c r="A9728" i="2"/>
  <c r="K9727" i="2"/>
  <c r="J9727" i="2"/>
  <c r="I9727" i="2"/>
  <c r="A9727" i="2"/>
  <c r="K9726" i="2"/>
  <c r="J9726" i="2"/>
  <c r="I9726" i="2"/>
  <c r="A9726" i="2"/>
  <c r="K9725" i="2"/>
  <c r="J9725" i="2"/>
  <c r="I9725" i="2"/>
  <c r="A9725" i="2"/>
  <c r="K9724" i="2"/>
  <c r="J9724" i="2"/>
  <c r="I9724" i="2"/>
  <c r="A9724" i="2"/>
  <c r="K9723" i="2"/>
  <c r="J9723" i="2"/>
  <c r="I9723" i="2"/>
  <c r="A9723" i="2"/>
  <c r="K9722" i="2"/>
  <c r="J9722" i="2"/>
  <c r="I9722" i="2"/>
  <c r="A9722" i="2"/>
  <c r="K9721" i="2"/>
  <c r="J9721" i="2"/>
  <c r="I9721" i="2"/>
  <c r="A9721" i="2"/>
  <c r="K9720" i="2"/>
  <c r="J9720" i="2"/>
  <c r="I9720" i="2"/>
  <c r="A9720" i="2"/>
  <c r="K9719" i="2"/>
  <c r="J9719" i="2"/>
  <c r="I9719" i="2"/>
  <c r="A9719" i="2"/>
  <c r="K9718" i="2"/>
  <c r="J9718" i="2"/>
  <c r="I9718" i="2"/>
  <c r="A9718" i="2"/>
  <c r="K9717" i="2"/>
  <c r="J9717" i="2"/>
  <c r="I9717" i="2"/>
  <c r="A9717" i="2"/>
  <c r="K9716" i="2"/>
  <c r="J9716" i="2"/>
  <c r="I9716" i="2"/>
  <c r="A9716" i="2"/>
  <c r="K9715" i="2"/>
  <c r="J9715" i="2"/>
  <c r="I9715" i="2"/>
  <c r="A9715" i="2"/>
  <c r="K9714" i="2"/>
  <c r="J9714" i="2"/>
  <c r="I9714" i="2"/>
  <c r="A9714" i="2"/>
  <c r="K9713" i="2"/>
  <c r="J9713" i="2"/>
  <c r="I9713" i="2"/>
  <c r="A9713" i="2"/>
  <c r="K9712" i="2"/>
  <c r="J9712" i="2"/>
  <c r="I9712" i="2"/>
  <c r="A9712" i="2"/>
  <c r="K9711" i="2"/>
  <c r="J9711" i="2"/>
  <c r="I9711" i="2"/>
  <c r="A9711" i="2"/>
  <c r="K9710" i="2"/>
  <c r="J9710" i="2"/>
  <c r="I9710" i="2"/>
  <c r="A9710" i="2"/>
  <c r="K9709" i="2"/>
  <c r="J9709" i="2"/>
  <c r="I9709" i="2"/>
  <c r="A9709" i="2"/>
  <c r="K9708" i="2"/>
  <c r="J9708" i="2"/>
  <c r="I9708" i="2"/>
  <c r="A9708" i="2"/>
  <c r="K9707" i="2"/>
  <c r="J9707" i="2"/>
  <c r="I9707" i="2"/>
  <c r="A9707" i="2"/>
  <c r="K9706" i="2"/>
  <c r="J9706" i="2"/>
  <c r="I9706" i="2"/>
  <c r="A9706" i="2"/>
  <c r="K9705" i="2"/>
  <c r="J9705" i="2"/>
  <c r="I9705" i="2"/>
  <c r="A9705" i="2"/>
  <c r="K9704" i="2"/>
  <c r="J9704" i="2"/>
  <c r="I9704" i="2"/>
  <c r="A9704" i="2"/>
  <c r="J9703" i="2"/>
  <c r="I9703" i="2"/>
  <c r="J9702" i="2"/>
  <c r="I9702" i="2"/>
  <c r="K9701" i="2"/>
  <c r="J9701" i="2"/>
  <c r="I9701" i="2"/>
  <c r="A9701" i="2"/>
  <c r="K9700" i="2"/>
  <c r="J9700" i="2"/>
  <c r="I9700" i="2"/>
  <c r="A9700" i="2"/>
  <c r="K9699" i="2"/>
  <c r="J9699" i="2"/>
  <c r="I9699" i="2"/>
  <c r="A9699" i="2"/>
  <c r="K9698" i="2"/>
  <c r="J9698" i="2"/>
  <c r="I9698" i="2"/>
  <c r="A9698" i="2"/>
  <c r="K9697" i="2"/>
  <c r="J9697" i="2"/>
  <c r="I9697" i="2"/>
  <c r="A9697" i="2"/>
  <c r="K9696" i="2"/>
  <c r="J9696" i="2"/>
  <c r="I9696" i="2"/>
  <c r="A9696" i="2"/>
  <c r="K9695" i="2"/>
  <c r="J9695" i="2"/>
  <c r="I9695" i="2"/>
  <c r="A9695" i="2"/>
  <c r="K9694" i="2"/>
  <c r="J9694" i="2"/>
  <c r="I9694" i="2"/>
  <c r="A9694" i="2"/>
  <c r="K9693" i="2"/>
  <c r="J9693" i="2"/>
  <c r="I9693" i="2"/>
  <c r="A9693" i="2"/>
  <c r="K9692" i="2"/>
  <c r="J9692" i="2"/>
  <c r="I9692" i="2"/>
  <c r="A9692" i="2"/>
  <c r="K9691" i="2"/>
  <c r="J9691" i="2"/>
  <c r="I9691" i="2"/>
  <c r="A9691" i="2"/>
  <c r="K9690" i="2"/>
  <c r="J9690" i="2"/>
  <c r="I9690" i="2"/>
  <c r="A9690" i="2"/>
  <c r="K9689" i="2"/>
  <c r="J9689" i="2"/>
  <c r="I9689" i="2"/>
  <c r="A9689" i="2"/>
  <c r="K9688" i="2"/>
  <c r="J9688" i="2"/>
  <c r="I9688" i="2"/>
  <c r="A9688" i="2"/>
  <c r="K9687" i="2"/>
  <c r="J9687" i="2"/>
  <c r="I9687" i="2"/>
  <c r="A9687" i="2"/>
  <c r="K9686" i="2"/>
  <c r="J9686" i="2"/>
  <c r="I9686" i="2"/>
  <c r="A9686" i="2"/>
  <c r="K9685" i="2"/>
  <c r="J9685" i="2"/>
  <c r="I9685" i="2"/>
  <c r="A9685" i="2"/>
  <c r="K9684" i="2"/>
  <c r="J9684" i="2"/>
  <c r="I9684" i="2"/>
  <c r="A9684" i="2"/>
  <c r="K9683" i="2"/>
  <c r="J9683" i="2"/>
  <c r="I9683" i="2"/>
  <c r="A9683" i="2"/>
  <c r="K9682" i="2"/>
  <c r="J9682" i="2"/>
  <c r="I9682" i="2"/>
  <c r="A9682" i="2"/>
  <c r="K9681" i="2"/>
  <c r="J9681" i="2"/>
  <c r="I9681" i="2"/>
  <c r="A9681" i="2"/>
  <c r="K9680" i="2"/>
  <c r="J9680" i="2"/>
  <c r="I9680" i="2"/>
  <c r="A9680" i="2"/>
  <c r="K9679" i="2"/>
  <c r="J9679" i="2"/>
  <c r="I9679" i="2"/>
  <c r="A9679" i="2"/>
  <c r="K9678" i="2"/>
  <c r="J9678" i="2"/>
  <c r="I9678" i="2"/>
  <c r="A9678" i="2"/>
  <c r="K9677" i="2"/>
  <c r="J9677" i="2"/>
  <c r="I9677" i="2"/>
  <c r="A9677" i="2"/>
  <c r="K9676" i="2"/>
  <c r="J9676" i="2"/>
  <c r="I9676" i="2"/>
  <c r="A9676" i="2"/>
  <c r="K9675" i="2"/>
  <c r="J9675" i="2"/>
  <c r="I9675" i="2"/>
  <c r="A9675" i="2"/>
  <c r="K9674" i="2"/>
  <c r="J9674" i="2"/>
  <c r="I9674" i="2"/>
  <c r="A9674" i="2"/>
  <c r="K9673" i="2"/>
  <c r="J9673" i="2"/>
  <c r="I9673" i="2"/>
  <c r="A9673" i="2"/>
  <c r="K9672" i="2"/>
  <c r="J9672" i="2"/>
  <c r="I9672" i="2"/>
  <c r="A9672" i="2"/>
  <c r="K9671" i="2"/>
  <c r="J9671" i="2"/>
  <c r="I9671" i="2"/>
  <c r="A9671" i="2"/>
  <c r="K9670" i="2"/>
  <c r="J9670" i="2"/>
  <c r="I9670" i="2"/>
  <c r="A9670" i="2"/>
  <c r="K9669" i="2"/>
  <c r="J9669" i="2"/>
  <c r="I9669" i="2"/>
  <c r="A9669" i="2"/>
  <c r="K9668" i="2"/>
  <c r="J9668" i="2"/>
  <c r="I9668" i="2"/>
  <c r="A9668" i="2"/>
  <c r="K9667" i="2"/>
  <c r="J9667" i="2"/>
  <c r="I9667" i="2"/>
  <c r="A9667" i="2"/>
  <c r="K9666" i="2"/>
  <c r="J9666" i="2"/>
  <c r="I9666" i="2"/>
  <c r="A9666" i="2"/>
  <c r="K9665" i="2"/>
  <c r="J9665" i="2"/>
  <c r="I9665" i="2"/>
  <c r="A9665" i="2"/>
  <c r="K9664" i="2"/>
  <c r="J9664" i="2"/>
  <c r="I9664" i="2"/>
  <c r="A9664" i="2"/>
  <c r="K9663" i="2"/>
  <c r="J9663" i="2"/>
  <c r="I9663" i="2"/>
  <c r="A9663" i="2"/>
  <c r="K9662" i="2"/>
  <c r="J9662" i="2"/>
  <c r="I9662" i="2"/>
  <c r="A9662" i="2"/>
  <c r="K9661" i="2"/>
  <c r="J9661" i="2"/>
  <c r="I9661" i="2"/>
  <c r="A9661" i="2"/>
  <c r="K9660" i="2"/>
  <c r="J9660" i="2"/>
  <c r="I9660" i="2"/>
  <c r="A9660" i="2"/>
  <c r="K9659" i="2"/>
  <c r="J9659" i="2"/>
  <c r="I9659" i="2"/>
  <c r="A9659" i="2"/>
  <c r="K9658" i="2"/>
  <c r="J9658" i="2"/>
  <c r="I9658" i="2"/>
  <c r="A9658" i="2"/>
  <c r="K9657" i="2"/>
  <c r="J9657" i="2"/>
  <c r="I9657" i="2"/>
  <c r="A9657" i="2"/>
  <c r="K9656" i="2"/>
  <c r="J9656" i="2"/>
  <c r="I9656" i="2"/>
  <c r="A9656" i="2"/>
  <c r="J9655" i="2"/>
  <c r="I9655" i="2"/>
  <c r="J9654" i="2"/>
  <c r="I9654" i="2"/>
  <c r="K9653" i="2"/>
  <c r="J9653" i="2"/>
  <c r="I9653" i="2"/>
  <c r="A9653" i="2"/>
  <c r="K9652" i="2"/>
  <c r="J9652" i="2"/>
  <c r="I9652" i="2"/>
  <c r="A9652" i="2"/>
  <c r="J9651" i="2"/>
  <c r="I9651" i="2"/>
  <c r="K9650" i="2"/>
  <c r="J9650" i="2"/>
  <c r="I9650" i="2"/>
  <c r="A9650" i="2"/>
  <c r="K9649" i="2"/>
  <c r="J9649" i="2"/>
  <c r="I9649" i="2"/>
  <c r="A9649" i="2"/>
  <c r="K9648" i="2"/>
  <c r="J9648" i="2"/>
  <c r="I9648" i="2"/>
  <c r="A9648" i="2"/>
  <c r="K9647" i="2"/>
  <c r="J9647" i="2"/>
  <c r="I9647" i="2"/>
  <c r="A9647" i="2"/>
  <c r="K9646" i="2"/>
  <c r="J9646" i="2"/>
  <c r="I9646" i="2"/>
  <c r="A9646" i="2"/>
  <c r="K9645" i="2"/>
  <c r="J9645" i="2"/>
  <c r="I9645" i="2"/>
  <c r="A9645" i="2"/>
  <c r="J9644" i="2"/>
  <c r="I9644" i="2"/>
  <c r="J9643" i="2"/>
  <c r="I9643" i="2"/>
  <c r="K9642" i="2"/>
  <c r="J9642" i="2"/>
  <c r="I9642" i="2"/>
  <c r="A9642" i="2"/>
  <c r="K9641" i="2"/>
  <c r="J9641" i="2"/>
  <c r="I9641" i="2"/>
  <c r="A9641" i="2"/>
  <c r="K9640" i="2"/>
  <c r="J9640" i="2"/>
  <c r="I9640" i="2"/>
  <c r="A9640" i="2"/>
  <c r="K9639" i="2"/>
  <c r="J9639" i="2"/>
  <c r="I9639" i="2"/>
  <c r="A9639" i="2"/>
  <c r="K9638" i="2"/>
  <c r="J9638" i="2"/>
  <c r="I9638" i="2"/>
  <c r="A9638" i="2"/>
  <c r="K9637" i="2"/>
  <c r="J9637" i="2"/>
  <c r="I9637" i="2"/>
  <c r="A9637" i="2"/>
  <c r="K9636" i="2"/>
  <c r="J9636" i="2"/>
  <c r="I9636" i="2"/>
  <c r="A9636" i="2"/>
  <c r="K9635" i="2"/>
  <c r="J9635" i="2"/>
  <c r="I9635" i="2"/>
  <c r="A9635" i="2"/>
  <c r="K9634" i="2"/>
  <c r="J9634" i="2"/>
  <c r="I9634" i="2"/>
  <c r="A9634" i="2"/>
  <c r="K9633" i="2"/>
  <c r="J9633" i="2"/>
  <c r="I9633" i="2"/>
  <c r="A9633" i="2"/>
  <c r="K9632" i="2"/>
  <c r="J9632" i="2"/>
  <c r="I9632" i="2"/>
  <c r="A9632" i="2"/>
  <c r="K9631" i="2"/>
  <c r="J9631" i="2"/>
  <c r="I9631" i="2"/>
  <c r="A9631" i="2"/>
  <c r="K9630" i="2"/>
  <c r="J9630" i="2"/>
  <c r="I9630" i="2"/>
  <c r="A9630" i="2"/>
  <c r="K9629" i="2"/>
  <c r="J9629" i="2"/>
  <c r="I9629" i="2"/>
  <c r="A9629" i="2"/>
  <c r="K9628" i="2"/>
  <c r="J9628" i="2"/>
  <c r="I9628" i="2"/>
  <c r="A9628" i="2"/>
  <c r="K9627" i="2"/>
  <c r="J9627" i="2"/>
  <c r="I9627" i="2"/>
  <c r="A9627" i="2"/>
  <c r="K9626" i="2"/>
  <c r="J9626" i="2"/>
  <c r="I9626" i="2"/>
  <c r="A9626" i="2"/>
  <c r="K9625" i="2"/>
  <c r="J9625" i="2"/>
  <c r="I9625" i="2"/>
  <c r="A9625" i="2"/>
  <c r="K9624" i="2"/>
  <c r="J9624" i="2"/>
  <c r="I9624" i="2"/>
  <c r="A9624" i="2"/>
  <c r="K9623" i="2"/>
  <c r="J9623" i="2"/>
  <c r="I9623" i="2"/>
  <c r="A9623" i="2"/>
  <c r="K9622" i="2"/>
  <c r="J9622" i="2"/>
  <c r="I9622" i="2"/>
  <c r="A9622" i="2"/>
  <c r="J9621" i="2"/>
  <c r="I9621" i="2"/>
  <c r="K9620" i="2"/>
  <c r="J9620" i="2"/>
  <c r="I9620" i="2"/>
  <c r="A9620" i="2"/>
  <c r="K9619" i="2"/>
  <c r="J9619" i="2"/>
  <c r="I9619" i="2"/>
  <c r="A9619" i="2"/>
  <c r="K9618" i="2"/>
  <c r="J9618" i="2"/>
  <c r="I9618" i="2"/>
  <c r="A9618" i="2"/>
  <c r="K9617" i="2"/>
  <c r="J9617" i="2"/>
  <c r="I9617" i="2"/>
  <c r="A9617" i="2"/>
  <c r="J9616" i="2"/>
  <c r="I9616" i="2"/>
  <c r="K9615" i="2"/>
  <c r="J9615" i="2"/>
  <c r="I9615" i="2"/>
  <c r="A9615" i="2"/>
  <c r="K9614" i="2"/>
  <c r="J9614" i="2"/>
  <c r="I9614" i="2"/>
  <c r="A9614" i="2"/>
  <c r="K9613" i="2"/>
  <c r="J9613" i="2"/>
  <c r="I9613" i="2"/>
  <c r="A9613" i="2"/>
  <c r="K9612" i="2"/>
  <c r="J9612" i="2"/>
  <c r="I9612" i="2"/>
  <c r="A9612" i="2"/>
  <c r="K9611" i="2"/>
  <c r="J9611" i="2"/>
  <c r="I9611" i="2"/>
  <c r="A9611" i="2"/>
  <c r="K9610" i="2"/>
  <c r="J9610" i="2"/>
  <c r="I9610" i="2"/>
  <c r="A9610" i="2"/>
  <c r="K9609" i="2"/>
  <c r="J9609" i="2"/>
  <c r="I9609" i="2"/>
  <c r="A9609" i="2"/>
  <c r="K9608" i="2"/>
  <c r="J9608" i="2"/>
  <c r="I9608" i="2"/>
  <c r="A9608" i="2"/>
  <c r="K9607" i="2"/>
  <c r="J9607" i="2"/>
  <c r="I9607" i="2"/>
  <c r="A9607" i="2"/>
  <c r="K9606" i="2"/>
  <c r="J9606" i="2"/>
  <c r="I9606" i="2"/>
  <c r="A9606" i="2"/>
  <c r="K9605" i="2"/>
  <c r="J9605" i="2"/>
  <c r="I9605" i="2"/>
  <c r="A9605" i="2"/>
  <c r="K9604" i="2"/>
  <c r="J9604" i="2"/>
  <c r="I9604" i="2"/>
  <c r="A9604" i="2"/>
  <c r="K9603" i="2"/>
  <c r="J9603" i="2"/>
  <c r="I9603" i="2"/>
  <c r="A9603" i="2"/>
  <c r="K9602" i="2"/>
  <c r="J9602" i="2"/>
  <c r="I9602" i="2"/>
  <c r="A9602" i="2"/>
  <c r="K9601" i="2"/>
  <c r="J9601" i="2"/>
  <c r="I9601" i="2"/>
  <c r="A9601" i="2"/>
  <c r="K9600" i="2"/>
  <c r="J9600" i="2"/>
  <c r="I9600" i="2"/>
  <c r="A9600" i="2"/>
  <c r="K9599" i="2"/>
  <c r="J9599" i="2"/>
  <c r="I9599" i="2"/>
  <c r="A9599" i="2"/>
  <c r="J9598" i="2"/>
  <c r="I9598" i="2"/>
  <c r="K9597" i="2"/>
  <c r="J9597" i="2"/>
  <c r="I9597" i="2"/>
  <c r="A9597" i="2"/>
  <c r="K9596" i="2"/>
  <c r="J9596" i="2"/>
  <c r="I9596" i="2"/>
  <c r="A9596" i="2"/>
  <c r="K9595" i="2"/>
  <c r="J9595" i="2"/>
  <c r="I9595" i="2"/>
  <c r="A9595" i="2"/>
  <c r="J9594" i="2"/>
  <c r="I9594" i="2"/>
  <c r="K9593" i="2"/>
  <c r="J9593" i="2"/>
  <c r="I9593" i="2"/>
  <c r="A9593" i="2"/>
  <c r="K9592" i="2"/>
  <c r="J9592" i="2"/>
  <c r="I9592" i="2"/>
  <c r="A9592" i="2"/>
  <c r="K9591" i="2"/>
  <c r="J9591" i="2"/>
  <c r="I9591" i="2"/>
  <c r="A9591" i="2"/>
  <c r="K9590" i="2"/>
  <c r="J9590" i="2"/>
  <c r="I9590" i="2"/>
  <c r="A9590" i="2"/>
  <c r="K9589" i="2"/>
  <c r="J9589" i="2"/>
  <c r="I9589" i="2"/>
  <c r="A9589" i="2"/>
  <c r="K9588" i="2"/>
  <c r="J9588" i="2"/>
  <c r="I9588" i="2"/>
  <c r="A9588" i="2"/>
  <c r="K9587" i="2"/>
  <c r="J9587" i="2"/>
  <c r="I9587" i="2"/>
  <c r="A9587" i="2"/>
  <c r="K9586" i="2"/>
  <c r="J9586" i="2"/>
  <c r="I9586" i="2"/>
  <c r="A9586" i="2"/>
  <c r="K9585" i="2"/>
  <c r="J9585" i="2"/>
  <c r="I9585" i="2"/>
  <c r="A9585" i="2"/>
  <c r="K9584" i="2"/>
  <c r="J9584" i="2"/>
  <c r="I9584" i="2"/>
  <c r="A9584" i="2"/>
  <c r="K9583" i="2"/>
  <c r="J9583" i="2"/>
  <c r="I9583" i="2"/>
  <c r="A9583" i="2"/>
  <c r="K9582" i="2"/>
  <c r="J9582" i="2"/>
  <c r="I9582" i="2"/>
  <c r="A9582" i="2"/>
  <c r="K9581" i="2"/>
  <c r="J9581" i="2"/>
  <c r="I9581" i="2"/>
  <c r="A9581" i="2"/>
  <c r="K9580" i="2"/>
  <c r="J9580" i="2"/>
  <c r="I9580" i="2"/>
  <c r="A9580" i="2"/>
  <c r="K9579" i="2"/>
  <c r="J9579" i="2"/>
  <c r="I9579" i="2"/>
  <c r="A9579" i="2"/>
  <c r="J9578" i="2"/>
  <c r="I9578" i="2"/>
  <c r="J9577" i="2"/>
  <c r="I9577" i="2"/>
  <c r="K9576" i="2"/>
  <c r="J9576" i="2"/>
  <c r="I9576" i="2"/>
  <c r="A9576" i="2"/>
  <c r="K9575" i="2"/>
  <c r="J9575" i="2"/>
  <c r="I9575" i="2"/>
  <c r="A9575" i="2"/>
  <c r="K9574" i="2"/>
  <c r="J9574" i="2"/>
  <c r="I9574" i="2"/>
  <c r="A9574" i="2"/>
  <c r="K9573" i="2"/>
  <c r="J9573" i="2"/>
  <c r="I9573" i="2"/>
  <c r="A9573" i="2"/>
  <c r="K9572" i="2"/>
  <c r="J9572" i="2"/>
  <c r="I9572" i="2"/>
  <c r="A9572" i="2"/>
  <c r="K9571" i="2"/>
  <c r="J9571" i="2"/>
  <c r="I9571" i="2"/>
  <c r="A9571" i="2"/>
  <c r="K9570" i="2"/>
  <c r="J9570" i="2"/>
  <c r="I9570" i="2"/>
  <c r="A9570" i="2"/>
  <c r="K9569" i="2"/>
  <c r="J9569" i="2"/>
  <c r="I9569" i="2"/>
  <c r="A9569" i="2"/>
  <c r="K9568" i="2"/>
  <c r="J9568" i="2"/>
  <c r="I9568" i="2"/>
  <c r="A9568" i="2"/>
  <c r="K9567" i="2"/>
  <c r="J9567" i="2"/>
  <c r="I9567" i="2"/>
  <c r="A9567" i="2"/>
  <c r="K9566" i="2"/>
  <c r="J9566" i="2"/>
  <c r="I9566" i="2"/>
  <c r="A9566" i="2"/>
  <c r="K9565" i="2"/>
  <c r="J9565" i="2"/>
  <c r="I9565" i="2"/>
  <c r="A9565" i="2"/>
  <c r="J9564" i="2"/>
  <c r="I9564" i="2"/>
  <c r="K9563" i="2"/>
  <c r="J9563" i="2"/>
  <c r="I9563" i="2"/>
  <c r="A9563" i="2"/>
  <c r="K9562" i="2"/>
  <c r="J9562" i="2"/>
  <c r="I9562" i="2"/>
  <c r="A9562" i="2"/>
  <c r="K9561" i="2"/>
  <c r="J9561" i="2"/>
  <c r="I9561" i="2"/>
  <c r="A9561" i="2"/>
  <c r="K9560" i="2"/>
  <c r="J9560" i="2"/>
  <c r="I9560" i="2"/>
  <c r="A9560" i="2"/>
  <c r="K9559" i="2"/>
  <c r="J9559" i="2"/>
  <c r="I9559" i="2"/>
  <c r="A9559" i="2"/>
  <c r="K9558" i="2"/>
  <c r="J9558" i="2"/>
  <c r="I9558" i="2"/>
  <c r="A9558" i="2"/>
  <c r="K9557" i="2"/>
  <c r="J9557" i="2"/>
  <c r="I9557" i="2"/>
  <c r="A9557" i="2"/>
  <c r="K9556" i="2"/>
  <c r="J9556" i="2"/>
  <c r="I9556" i="2"/>
  <c r="A9556" i="2"/>
  <c r="K9555" i="2"/>
  <c r="J9555" i="2"/>
  <c r="I9555" i="2"/>
  <c r="A9555" i="2"/>
  <c r="K9554" i="2"/>
  <c r="J9554" i="2"/>
  <c r="I9554" i="2"/>
  <c r="A9554" i="2"/>
  <c r="K9553" i="2"/>
  <c r="J9553" i="2"/>
  <c r="I9553" i="2"/>
  <c r="A9553" i="2"/>
  <c r="K9552" i="2"/>
  <c r="J9552" i="2"/>
  <c r="I9552" i="2"/>
  <c r="A9552" i="2"/>
  <c r="K9551" i="2"/>
  <c r="J9551" i="2"/>
  <c r="I9551" i="2"/>
  <c r="A9551" i="2"/>
  <c r="K9550" i="2"/>
  <c r="J9550" i="2"/>
  <c r="I9550" i="2"/>
  <c r="A9550" i="2"/>
  <c r="J9549" i="2"/>
  <c r="I9549" i="2"/>
  <c r="K9548" i="2"/>
  <c r="J9548" i="2"/>
  <c r="I9548" i="2"/>
  <c r="A9548" i="2"/>
  <c r="K9547" i="2"/>
  <c r="J9547" i="2"/>
  <c r="I9547" i="2"/>
  <c r="A9547" i="2"/>
  <c r="K9546" i="2"/>
  <c r="J9546" i="2"/>
  <c r="I9546" i="2"/>
  <c r="A9546" i="2"/>
  <c r="K9545" i="2"/>
  <c r="J9545" i="2"/>
  <c r="I9545" i="2"/>
  <c r="A9545" i="2"/>
  <c r="K9544" i="2"/>
  <c r="J9544" i="2"/>
  <c r="I9544" i="2"/>
  <c r="A9544" i="2"/>
  <c r="K9543" i="2"/>
  <c r="J9543" i="2"/>
  <c r="I9543" i="2"/>
  <c r="A9543" i="2"/>
  <c r="K9542" i="2"/>
  <c r="J9542" i="2"/>
  <c r="I9542" i="2"/>
  <c r="A9542" i="2"/>
  <c r="K9541" i="2"/>
  <c r="J9541" i="2"/>
  <c r="I9541" i="2"/>
  <c r="A9541" i="2"/>
  <c r="K9540" i="2"/>
  <c r="J9540" i="2"/>
  <c r="I9540" i="2"/>
  <c r="A9540" i="2"/>
  <c r="K9539" i="2"/>
  <c r="J9539" i="2"/>
  <c r="I9539" i="2"/>
  <c r="A9539" i="2"/>
  <c r="K9538" i="2"/>
  <c r="J9538" i="2"/>
  <c r="I9538" i="2"/>
  <c r="A9538" i="2"/>
  <c r="K9537" i="2"/>
  <c r="J9537" i="2"/>
  <c r="I9537" i="2"/>
  <c r="A9537" i="2"/>
  <c r="K9536" i="2"/>
  <c r="J9536" i="2"/>
  <c r="I9536" i="2"/>
  <c r="A9536" i="2"/>
  <c r="K9535" i="2"/>
  <c r="J9535" i="2"/>
  <c r="I9535" i="2"/>
  <c r="A9535" i="2"/>
  <c r="K9534" i="2"/>
  <c r="J9534" i="2"/>
  <c r="I9534" i="2"/>
  <c r="A9534" i="2"/>
  <c r="K9533" i="2"/>
  <c r="J9533" i="2"/>
  <c r="I9533" i="2"/>
  <c r="A9533" i="2"/>
  <c r="K9532" i="2"/>
  <c r="J9532" i="2"/>
  <c r="I9532" i="2"/>
  <c r="A9532" i="2"/>
  <c r="K9531" i="2"/>
  <c r="J9531" i="2"/>
  <c r="I9531" i="2"/>
  <c r="A9531" i="2"/>
  <c r="K9530" i="2"/>
  <c r="J9530" i="2"/>
  <c r="I9530" i="2"/>
  <c r="A9530" i="2"/>
  <c r="K9529" i="2"/>
  <c r="J9529" i="2"/>
  <c r="I9529" i="2"/>
  <c r="A9529" i="2"/>
  <c r="J9528" i="2"/>
  <c r="I9528" i="2"/>
  <c r="K9527" i="2"/>
  <c r="J9527" i="2"/>
  <c r="I9527" i="2"/>
  <c r="A9527" i="2"/>
  <c r="K9526" i="2"/>
  <c r="J9526" i="2"/>
  <c r="I9526" i="2"/>
  <c r="A9526" i="2"/>
  <c r="K9525" i="2"/>
  <c r="J9525" i="2"/>
  <c r="I9525" i="2"/>
  <c r="A9525" i="2"/>
  <c r="K9524" i="2"/>
  <c r="J9524" i="2"/>
  <c r="I9524" i="2"/>
  <c r="A9524" i="2"/>
  <c r="K9523" i="2"/>
  <c r="J9523" i="2"/>
  <c r="I9523" i="2"/>
  <c r="A9523" i="2"/>
  <c r="K9522" i="2"/>
  <c r="J9522" i="2"/>
  <c r="I9522" i="2"/>
  <c r="A9522" i="2"/>
  <c r="K9521" i="2"/>
  <c r="J9521" i="2"/>
  <c r="I9521" i="2"/>
  <c r="A9521" i="2"/>
  <c r="K9520" i="2"/>
  <c r="J9520" i="2"/>
  <c r="I9520" i="2"/>
  <c r="A9520" i="2"/>
  <c r="K9519" i="2"/>
  <c r="J9519" i="2"/>
  <c r="I9519" i="2"/>
  <c r="A9519" i="2"/>
  <c r="K9518" i="2"/>
  <c r="J9518" i="2"/>
  <c r="I9518" i="2"/>
  <c r="A9518" i="2"/>
  <c r="K9517" i="2"/>
  <c r="J9517" i="2"/>
  <c r="I9517" i="2"/>
  <c r="A9517" i="2"/>
  <c r="K9516" i="2"/>
  <c r="J9516" i="2"/>
  <c r="I9516" i="2"/>
  <c r="A9516" i="2"/>
  <c r="K9515" i="2"/>
  <c r="J9515" i="2"/>
  <c r="I9515" i="2"/>
  <c r="A9515" i="2"/>
  <c r="K9514" i="2"/>
  <c r="J9514" i="2"/>
  <c r="I9514" i="2"/>
  <c r="A9514" i="2"/>
  <c r="K9513" i="2"/>
  <c r="J9513" i="2"/>
  <c r="I9513" i="2"/>
  <c r="A9513" i="2"/>
  <c r="K9512" i="2"/>
  <c r="J9512" i="2"/>
  <c r="I9512" i="2"/>
  <c r="A9512" i="2"/>
  <c r="K9511" i="2"/>
  <c r="J9511" i="2"/>
  <c r="I9511" i="2"/>
  <c r="A9511" i="2"/>
  <c r="K9510" i="2"/>
  <c r="J9510" i="2"/>
  <c r="I9510" i="2"/>
  <c r="A9510" i="2"/>
  <c r="K9509" i="2"/>
  <c r="J9509" i="2"/>
  <c r="I9509" i="2"/>
  <c r="A9509" i="2"/>
  <c r="K9508" i="2"/>
  <c r="J9508" i="2"/>
  <c r="I9508" i="2"/>
  <c r="A9508" i="2"/>
  <c r="K9507" i="2"/>
  <c r="J9507" i="2"/>
  <c r="I9507" i="2"/>
  <c r="A9507" i="2"/>
  <c r="K9506" i="2"/>
  <c r="J9506" i="2"/>
  <c r="I9506" i="2"/>
  <c r="A9506" i="2"/>
  <c r="K9505" i="2"/>
  <c r="J9505" i="2"/>
  <c r="I9505" i="2"/>
  <c r="A9505" i="2"/>
  <c r="K9504" i="2"/>
  <c r="J9504" i="2"/>
  <c r="I9504" i="2"/>
  <c r="A9504" i="2"/>
  <c r="K9503" i="2"/>
  <c r="J9503" i="2"/>
  <c r="I9503" i="2"/>
  <c r="A9503" i="2"/>
  <c r="K9502" i="2"/>
  <c r="J9502" i="2"/>
  <c r="I9502" i="2"/>
  <c r="A9502" i="2"/>
  <c r="K9501" i="2"/>
  <c r="J9501" i="2"/>
  <c r="I9501" i="2"/>
  <c r="A9501" i="2"/>
  <c r="K9500" i="2"/>
  <c r="J9500" i="2"/>
  <c r="I9500" i="2"/>
  <c r="A9500" i="2"/>
  <c r="K9499" i="2"/>
  <c r="J9499" i="2"/>
  <c r="I9499" i="2"/>
  <c r="A9499" i="2"/>
  <c r="K9498" i="2"/>
  <c r="J9498" i="2"/>
  <c r="I9498" i="2"/>
  <c r="A9498" i="2"/>
  <c r="K9497" i="2"/>
  <c r="J9497" i="2"/>
  <c r="I9497" i="2"/>
  <c r="A9497" i="2"/>
  <c r="K9496" i="2"/>
  <c r="J9496" i="2"/>
  <c r="I9496" i="2"/>
  <c r="A9496" i="2"/>
  <c r="J9495" i="2"/>
  <c r="I9495" i="2"/>
  <c r="J9494" i="2"/>
  <c r="I9494" i="2"/>
  <c r="K9493" i="2"/>
  <c r="J9493" i="2"/>
  <c r="I9493" i="2"/>
  <c r="A9493" i="2"/>
  <c r="K9492" i="2"/>
  <c r="J9492" i="2"/>
  <c r="I9492" i="2"/>
  <c r="A9492" i="2"/>
  <c r="K9491" i="2"/>
  <c r="J9491" i="2"/>
  <c r="I9491" i="2"/>
  <c r="A9491" i="2"/>
  <c r="K9490" i="2"/>
  <c r="J9490" i="2"/>
  <c r="I9490" i="2"/>
  <c r="A9490" i="2"/>
  <c r="K9489" i="2"/>
  <c r="J9489" i="2"/>
  <c r="I9489" i="2"/>
  <c r="A9489" i="2"/>
  <c r="K9488" i="2"/>
  <c r="J9488" i="2"/>
  <c r="I9488" i="2"/>
  <c r="A9488" i="2"/>
  <c r="K9487" i="2"/>
  <c r="J9487" i="2"/>
  <c r="I9487" i="2"/>
  <c r="A9487" i="2"/>
  <c r="K9486" i="2"/>
  <c r="J9486" i="2"/>
  <c r="I9486" i="2"/>
  <c r="A9486" i="2"/>
  <c r="K9485" i="2"/>
  <c r="J9485" i="2"/>
  <c r="I9485" i="2"/>
  <c r="A9485" i="2"/>
  <c r="K9484" i="2"/>
  <c r="J9484" i="2"/>
  <c r="I9484" i="2"/>
  <c r="A9484" i="2"/>
  <c r="K9483" i="2"/>
  <c r="J9483" i="2"/>
  <c r="I9483" i="2"/>
  <c r="A9483" i="2"/>
  <c r="K9482" i="2"/>
  <c r="J9482" i="2"/>
  <c r="I9482" i="2"/>
  <c r="A9482" i="2"/>
  <c r="K9481" i="2"/>
  <c r="J9481" i="2"/>
  <c r="I9481" i="2"/>
  <c r="A9481" i="2"/>
  <c r="K9480" i="2"/>
  <c r="J9480" i="2"/>
  <c r="I9480" i="2"/>
  <c r="A9480" i="2"/>
  <c r="K9479" i="2"/>
  <c r="J9479" i="2"/>
  <c r="I9479" i="2"/>
  <c r="A9479" i="2"/>
  <c r="K9478" i="2"/>
  <c r="J9478" i="2"/>
  <c r="I9478" i="2"/>
  <c r="A9478" i="2"/>
  <c r="K9477" i="2"/>
  <c r="J9477" i="2"/>
  <c r="I9477" i="2"/>
  <c r="A9477" i="2"/>
  <c r="K9476" i="2"/>
  <c r="J9476" i="2"/>
  <c r="I9476" i="2"/>
  <c r="A9476" i="2"/>
  <c r="J9475" i="2"/>
  <c r="I9475" i="2"/>
  <c r="K9474" i="2"/>
  <c r="J9474" i="2"/>
  <c r="I9474" i="2"/>
  <c r="A9474" i="2"/>
  <c r="K9473" i="2"/>
  <c r="J9473" i="2"/>
  <c r="I9473" i="2"/>
  <c r="A9473" i="2"/>
  <c r="K9472" i="2"/>
  <c r="J9472" i="2"/>
  <c r="I9472" i="2"/>
  <c r="A9472" i="2"/>
  <c r="J9471" i="2"/>
  <c r="I9471" i="2"/>
  <c r="K9470" i="2"/>
  <c r="J9470" i="2"/>
  <c r="I9470" i="2"/>
  <c r="A9470" i="2"/>
  <c r="K9469" i="2"/>
  <c r="J9469" i="2"/>
  <c r="I9469" i="2"/>
  <c r="A9469" i="2"/>
  <c r="K9468" i="2"/>
  <c r="J9468" i="2"/>
  <c r="I9468" i="2"/>
  <c r="A9468" i="2"/>
  <c r="K9467" i="2"/>
  <c r="J9467" i="2"/>
  <c r="I9467" i="2"/>
  <c r="A9467" i="2"/>
  <c r="K9466" i="2"/>
  <c r="J9466" i="2"/>
  <c r="I9466" i="2"/>
  <c r="A9466" i="2"/>
  <c r="K9465" i="2"/>
  <c r="J9465" i="2"/>
  <c r="I9465" i="2"/>
  <c r="A9465" i="2"/>
  <c r="K9464" i="2"/>
  <c r="J9464" i="2"/>
  <c r="I9464" i="2"/>
  <c r="A9464" i="2"/>
  <c r="K9463" i="2"/>
  <c r="J9463" i="2"/>
  <c r="I9463" i="2"/>
  <c r="A9463" i="2"/>
  <c r="K9462" i="2"/>
  <c r="J9462" i="2"/>
  <c r="I9462" i="2"/>
  <c r="A9462" i="2"/>
  <c r="K9461" i="2"/>
  <c r="J9461" i="2"/>
  <c r="I9461" i="2"/>
  <c r="A9461" i="2"/>
  <c r="K9460" i="2"/>
  <c r="J9460" i="2"/>
  <c r="I9460" i="2"/>
  <c r="A9460" i="2"/>
  <c r="K9459" i="2"/>
  <c r="J9459" i="2"/>
  <c r="I9459" i="2"/>
  <c r="A9459" i="2"/>
  <c r="K9458" i="2"/>
  <c r="J9458" i="2"/>
  <c r="I9458" i="2"/>
  <c r="A9458" i="2"/>
  <c r="K9457" i="2"/>
  <c r="J9457" i="2"/>
  <c r="I9457" i="2"/>
  <c r="A9457" i="2"/>
  <c r="K9456" i="2"/>
  <c r="J9456" i="2"/>
  <c r="I9456" i="2"/>
  <c r="A9456" i="2"/>
  <c r="J9455" i="2"/>
  <c r="I9455" i="2"/>
  <c r="K9454" i="2"/>
  <c r="J9454" i="2"/>
  <c r="I9454" i="2"/>
  <c r="A9454" i="2"/>
  <c r="K9453" i="2"/>
  <c r="J9453" i="2"/>
  <c r="I9453" i="2"/>
  <c r="A9453" i="2"/>
  <c r="K9452" i="2"/>
  <c r="J9452" i="2"/>
  <c r="I9452" i="2"/>
  <c r="A9452" i="2"/>
  <c r="K9451" i="2"/>
  <c r="J9451" i="2"/>
  <c r="I9451" i="2"/>
  <c r="A9451" i="2"/>
  <c r="K9450" i="2"/>
  <c r="J9450" i="2"/>
  <c r="I9450" i="2"/>
  <c r="A9450" i="2"/>
  <c r="K9449" i="2"/>
  <c r="J9449" i="2"/>
  <c r="I9449" i="2"/>
  <c r="A9449" i="2"/>
  <c r="K9448" i="2"/>
  <c r="J9448" i="2"/>
  <c r="I9448" i="2"/>
  <c r="A9448" i="2"/>
  <c r="K9447" i="2"/>
  <c r="J9447" i="2"/>
  <c r="I9447" i="2"/>
  <c r="A9447" i="2"/>
  <c r="K9446" i="2"/>
  <c r="J9446" i="2"/>
  <c r="I9446" i="2"/>
  <c r="A9446" i="2"/>
  <c r="K9445" i="2"/>
  <c r="J9445" i="2"/>
  <c r="I9445" i="2"/>
  <c r="A9445" i="2"/>
  <c r="K9444" i="2"/>
  <c r="J9444" i="2"/>
  <c r="I9444" i="2"/>
  <c r="A9444" i="2"/>
  <c r="K9443" i="2"/>
  <c r="J9443" i="2"/>
  <c r="I9443" i="2"/>
  <c r="A9443" i="2"/>
  <c r="K9442" i="2"/>
  <c r="J9442" i="2"/>
  <c r="I9442" i="2"/>
  <c r="A9442" i="2"/>
  <c r="K9441" i="2"/>
  <c r="J9441" i="2"/>
  <c r="I9441" i="2"/>
  <c r="A9441" i="2"/>
  <c r="K9440" i="2"/>
  <c r="J9440" i="2"/>
  <c r="I9440" i="2"/>
  <c r="A9440" i="2"/>
  <c r="K9439" i="2"/>
  <c r="J9439" i="2"/>
  <c r="I9439" i="2"/>
  <c r="A9439" i="2"/>
  <c r="K9438" i="2"/>
  <c r="J9438" i="2"/>
  <c r="I9438" i="2"/>
  <c r="A9438" i="2"/>
  <c r="J9437" i="2"/>
  <c r="I9437" i="2"/>
  <c r="K9436" i="2"/>
  <c r="J9436" i="2"/>
  <c r="I9436" i="2"/>
  <c r="A9436" i="2"/>
  <c r="K9435" i="2"/>
  <c r="J9435" i="2"/>
  <c r="I9435" i="2"/>
  <c r="A9435" i="2"/>
  <c r="K9434" i="2"/>
  <c r="J9434" i="2"/>
  <c r="I9434" i="2"/>
  <c r="A9434" i="2"/>
  <c r="K9433" i="2"/>
  <c r="J9433" i="2"/>
  <c r="I9433" i="2"/>
  <c r="A9433" i="2"/>
  <c r="K9432" i="2"/>
  <c r="J9432" i="2"/>
  <c r="I9432" i="2"/>
  <c r="A9432" i="2"/>
  <c r="K9431" i="2"/>
  <c r="J9431" i="2"/>
  <c r="I9431" i="2"/>
  <c r="A9431" i="2"/>
  <c r="K9430" i="2"/>
  <c r="J9430" i="2"/>
  <c r="I9430" i="2"/>
  <c r="A9430" i="2"/>
  <c r="K9429" i="2"/>
  <c r="J9429" i="2"/>
  <c r="I9429" i="2"/>
  <c r="A9429" i="2"/>
  <c r="K9428" i="2"/>
  <c r="J9428" i="2"/>
  <c r="I9428" i="2"/>
  <c r="A9428" i="2"/>
  <c r="J9427" i="2"/>
  <c r="I9427" i="2"/>
  <c r="K9426" i="2"/>
  <c r="J9426" i="2"/>
  <c r="I9426" i="2"/>
  <c r="A9426" i="2"/>
  <c r="K9425" i="2"/>
  <c r="J9425" i="2"/>
  <c r="I9425" i="2"/>
  <c r="A9425" i="2"/>
  <c r="K9424" i="2"/>
  <c r="J9424" i="2"/>
  <c r="I9424" i="2"/>
  <c r="A9424" i="2"/>
  <c r="K9423" i="2"/>
  <c r="J9423" i="2"/>
  <c r="I9423" i="2"/>
  <c r="A9423" i="2"/>
  <c r="K9422" i="2"/>
  <c r="J9422" i="2"/>
  <c r="I9422" i="2"/>
  <c r="A9422" i="2"/>
  <c r="K9421" i="2"/>
  <c r="J9421" i="2"/>
  <c r="I9421" i="2"/>
  <c r="A9421" i="2"/>
  <c r="K9420" i="2"/>
  <c r="J9420" i="2"/>
  <c r="I9420" i="2"/>
  <c r="A9420" i="2"/>
  <c r="K9419" i="2"/>
  <c r="J9419" i="2"/>
  <c r="I9419" i="2"/>
  <c r="A9419" i="2"/>
  <c r="K9418" i="2"/>
  <c r="J9418" i="2"/>
  <c r="I9418" i="2"/>
  <c r="A9418" i="2"/>
  <c r="K9417" i="2"/>
  <c r="J9417" i="2"/>
  <c r="I9417" i="2"/>
  <c r="A9417" i="2"/>
  <c r="K9416" i="2"/>
  <c r="J9416" i="2"/>
  <c r="I9416" i="2"/>
  <c r="A9416" i="2"/>
  <c r="K9415" i="2"/>
  <c r="J9415" i="2"/>
  <c r="I9415" i="2"/>
  <c r="A9415" i="2"/>
  <c r="K9414" i="2"/>
  <c r="J9414" i="2"/>
  <c r="I9414" i="2"/>
  <c r="A9414" i="2"/>
  <c r="K9413" i="2"/>
  <c r="J9413" i="2"/>
  <c r="I9413" i="2"/>
  <c r="A9413" i="2"/>
  <c r="K9412" i="2"/>
  <c r="J9412" i="2"/>
  <c r="I9412" i="2"/>
  <c r="A9412" i="2"/>
  <c r="K9411" i="2"/>
  <c r="J9411" i="2"/>
  <c r="I9411" i="2"/>
  <c r="A9411" i="2"/>
  <c r="K9410" i="2"/>
  <c r="J9410" i="2"/>
  <c r="I9410" i="2"/>
  <c r="A9410" i="2"/>
  <c r="K9409" i="2"/>
  <c r="J9409" i="2"/>
  <c r="I9409" i="2"/>
  <c r="A9409" i="2"/>
  <c r="K9408" i="2"/>
  <c r="J9408" i="2"/>
  <c r="I9408" i="2"/>
  <c r="A9408" i="2"/>
  <c r="K9407" i="2"/>
  <c r="J9407" i="2"/>
  <c r="I9407" i="2"/>
  <c r="A9407" i="2"/>
  <c r="K9406" i="2"/>
  <c r="J9406" i="2"/>
  <c r="I9406" i="2"/>
  <c r="A9406" i="2"/>
  <c r="K9405" i="2"/>
  <c r="J9405" i="2"/>
  <c r="I9405" i="2"/>
  <c r="A9405" i="2"/>
  <c r="K9404" i="2"/>
  <c r="J9404" i="2"/>
  <c r="I9404" i="2"/>
  <c r="A9404" i="2"/>
  <c r="K9403" i="2"/>
  <c r="J9403" i="2"/>
  <c r="I9403" i="2"/>
  <c r="A9403" i="2"/>
  <c r="K9402" i="2"/>
  <c r="J9402" i="2"/>
  <c r="I9402" i="2"/>
  <c r="A9402" i="2"/>
  <c r="K9401" i="2"/>
  <c r="J9401" i="2"/>
  <c r="I9401" i="2"/>
  <c r="A9401" i="2"/>
  <c r="K9400" i="2"/>
  <c r="J9400" i="2"/>
  <c r="I9400" i="2"/>
  <c r="A9400" i="2"/>
  <c r="K9399" i="2"/>
  <c r="J9399" i="2"/>
  <c r="I9399" i="2"/>
  <c r="A9399" i="2"/>
  <c r="K9398" i="2"/>
  <c r="J9398" i="2"/>
  <c r="I9398" i="2"/>
  <c r="A9398" i="2"/>
  <c r="K9397" i="2"/>
  <c r="J9397" i="2"/>
  <c r="I9397" i="2"/>
  <c r="A9397" i="2"/>
  <c r="K9396" i="2"/>
  <c r="J9396" i="2"/>
  <c r="I9396" i="2"/>
  <c r="A9396" i="2"/>
  <c r="K9395" i="2"/>
  <c r="J9395" i="2"/>
  <c r="I9395" i="2"/>
  <c r="A9395" i="2"/>
  <c r="K9394" i="2"/>
  <c r="J9394" i="2"/>
  <c r="I9394" i="2"/>
  <c r="A9394" i="2"/>
  <c r="K9393" i="2"/>
  <c r="J9393" i="2"/>
  <c r="I9393" i="2"/>
  <c r="A9393" i="2"/>
  <c r="K9392" i="2"/>
  <c r="J9392" i="2"/>
  <c r="I9392" i="2"/>
  <c r="A9392" i="2"/>
  <c r="K9391" i="2"/>
  <c r="J9391" i="2"/>
  <c r="I9391" i="2"/>
  <c r="A9391" i="2"/>
  <c r="K9390" i="2"/>
  <c r="J9390" i="2"/>
  <c r="I9390" i="2"/>
  <c r="A9390" i="2"/>
  <c r="K9389" i="2"/>
  <c r="J9389" i="2"/>
  <c r="I9389" i="2"/>
  <c r="A9389" i="2"/>
  <c r="K9388" i="2"/>
  <c r="J9388" i="2"/>
  <c r="I9388" i="2"/>
  <c r="A9388" i="2"/>
  <c r="K9387" i="2"/>
  <c r="J9387" i="2"/>
  <c r="I9387" i="2"/>
  <c r="A9387" i="2"/>
  <c r="K9386" i="2"/>
  <c r="J9386" i="2"/>
  <c r="I9386" i="2"/>
  <c r="A9386" i="2"/>
  <c r="K9385" i="2"/>
  <c r="J9385" i="2"/>
  <c r="I9385" i="2"/>
  <c r="A9385" i="2"/>
  <c r="J9384" i="2"/>
  <c r="I9384" i="2"/>
  <c r="K9383" i="2"/>
  <c r="J9383" i="2"/>
  <c r="I9383" i="2"/>
  <c r="A9383" i="2"/>
  <c r="K9382" i="2"/>
  <c r="J9382" i="2"/>
  <c r="I9382" i="2"/>
  <c r="A9382" i="2"/>
  <c r="K9381" i="2"/>
  <c r="J9381" i="2"/>
  <c r="I9381" i="2"/>
  <c r="A9381" i="2"/>
  <c r="K9380" i="2"/>
  <c r="J9380" i="2"/>
  <c r="I9380" i="2"/>
  <c r="A9380" i="2"/>
  <c r="K9379" i="2"/>
  <c r="J9379" i="2"/>
  <c r="I9379" i="2"/>
  <c r="A9379" i="2"/>
  <c r="K9378" i="2"/>
  <c r="J9378" i="2"/>
  <c r="I9378" i="2"/>
  <c r="A9378" i="2"/>
  <c r="K9377" i="2"/>
  <c r="J9377" i="2"/>
  <c r="I9377" i="2"/>
  <c r="A9377" i="2"/>
  <c r="K9376" i="2"/>
  <c r="J9376" i="2"/>
  <c r="I9376" i="2"/>
  <c r="A9376" i="2"/>
  <c r="K9375" i="2"/>
  <c r="J9375" i="2"/>
  <c r="I9375" i="2"/>
  <c r="A9375" i="2"/>
  <c r="K9374" i="2"/>
  <c r="J9374" i="2"/>
  <c r="I9374" i="2"/>
  <c r="A9374" i="2"/>
  <c r="K9373" i="2"/>
  <c r="J9373" i="2"/>
  <c r="I9373" i="2"/>
  <c r="A9373" i="2"/>
  <c r="J9372" i="2"/>
  <c r="I9372" i="2"/>
  <c r="K9371" i="2"/>
  <c r="J9371" i="2"/>
  <c r="I9371" i="2"/>
  <c r="A9371" i="2"/>
  <c r="K9370" i="2"/>
  <c r="J9370" i="2"/>
  <c r="I9370" i="2"/>
  <c r="A9370" i="2"/>
  <c r="K9369" i="2"/>
  <c r="J9369" i="2"/>
  <c r="I9369" i="2"/>
  <c r="A9369" i="2"/>
  <c r="K9368" i="2"/>
  <c r="J9368" i="2"/>
  <c r="I9368" i="2"/>
  <c r="A9368" i="2"/>
  <c r="K9367" i="2"/>
  <c r="J9367" i="2"/>
  <c r="I9367" i="2"/>
  <c r="A9367" i="2"/>
  <c r="K9366" i="2"/>
  <c r="J9366" i="2"/>
  <c r="I9366" i="2"/>
  <c r="A9366" i="2"/>
  <c r="K9365" i="2"/>
  <c r="J9365" i="2"/>
  <c r="I9365" i="2"/>
  <c r="A9365" i="2"/>
  <c r="K9364" i="2"/>
  <c r="J9364" i="2"/>
  <c r="I9364" i="2"/>
  <c r="A9364" i="2"/>
  <c r="K9363" i="2"/>
  <c r="J9363" i="2"/>
  <c r="I9363" i="2"/>
  <c r="A9363" i="2"/>
  <c r="J9362" i="2"/>
  <c r="I9362" i="2"/>
  <c r="K9361" i="2"/>
  <c r="J9361" i="2"/>
  <c r="I9361" i="2"/>
  <c r="A9361" i="2"/>
  <c r="K9360" i="2"/>
  <c r="J9360" i="2"/>
  <c r="I9360" i="2"/>
  <c r="A9360" i="2"/>
  <c r="K9359" i="2"/>
  <c r="J9359" i="2"/>
  <c r="I9359" i="2"/>
  <c r="A9359" i="2"/>
  <c r="K9358" i="2"/>
  <c r="J9358" i="2"/>
  <c r="I9358" i="2"/>
  <c r="A9358" i="2"/>
  <c r="K9357" i="2"/>
  <c r="J9357" i="2"/>
  <c r="I9357" i="2"/>
  <c r="A9357" i="2"/>
  <c r="K9356" i="2"/>
  <c r="J9356" i="2"/>
  <c r="I9356" i="2"/>
  <c r="A9356" i="2"/>
  <c r="J9355" i="2"/>
  <c r="I9355" i="2"/>
  <c r="K9354" i="2"/>
  <c r="J9354" i="2"/>
  <c r="I9354" i="2"/>
  <c r="A9354" i="2"/>
  <c r="K9353" i="2"/>
  <c r="J9353" i="2"/>
  <c r="I9353" i="2"/>
  <c r="A9353" i="2"/>
  <c r="K9352" i="2"/>
  <c r="J9352" i="2"/>
  <c r="I9352" i="2"/>
  <c r="A9352" i="2"/>
  <c r="K9351" i="2"/>
  <c r="J9351" i="2"/>
  <c r="I9351" i="2"/>
  <c r="A9351" i="2"/>
  <c r="K9350" i="2"/>
  <c r="J9350" i="2"/>
  <c r="I9350" i="2"/>
  <c r="A9350" i="2"/>
  <c r="K9349" i="2"/>
  <c r="J9349" i="2"/>
  <c r="I9349" i="2"/>
  <c r="A9349" i="2"/>
  <c r="K9348" i="2"/>
  <c r="J9348" i="2"/>
  <c r="I9348" i="2"/>
  <c r="A9348" i="2"/>
  <c r="K9347" i="2"/>
  <c r="J9347" i="2"/>
  <c r="I9347" i="2"/>
  <c r="A9347" i="2"/>
  <c r="K9346" i="2"/>
  <c r="J9346" i="2"/>
  <c r="I9346" i="2"/>
  <c r="A9346" i="2"/>
  <c r="K9345" i="2"/>
  <c r="J9345" i="2"/>
  <c r="I9345" i="2"/>
  <c r="A9345" i="2"/>
  <c r="K9344" i="2"/>
  <c r="J9344" i="2"/>
  <c r="I9344" i="2"/>
  <c r="A9344" i="2"/>
  <c r="K9343" i="2"/>
  <c r="J9343" i="2"/>
  <c r="I9343" i="2"/>
  <c r="A9343" i="2"/>
  <c r="K9342" i="2"/>
  <c r="J9342" i="2"/>
  <c r="I9342" i="2"/>
  <c r="A9342" i="2"/>
  <c r="K9341" i="2"/>
  <c r="J9341" i="2"/>
  <c r="I9341" i="2"/>
  <c r="A9341" i="2"/>
  <c r="K9340" i="2"/>
  <c r="J9340" i="2"/>
  <c r="I9340" i="2"/>
  <c r="A9340" i="2"/>
  <c r="K9339" i="2"/>
  <c r="J9339" i="2"/>
  <c r="I9339" i="2"/>
  <c r="A9339" i="2"/>
  <c r="K9338" i="2"/>
  <c r="J9338" i="2"/>
  <c r="I9338" i="2"/>
  <c r="A9338" i="2"/>
  <c r="K9337" i="2"/>
  <c r="J9337" i="2"/>
  <c r="I9337" i="2"/>
  <c r="A9337" i="2"/>
  <c r="K9336" i="2"/>
  <c r="J9336" i="2"/>
  <c r="I9336" i="2"/>
  <c r="A9336" i="2"/>
  <c r="K9335" i="2"/>
  <c r="J9335" i="2"/>
  <c r="I9335" i="2"/>
  <c r="A9335" i="2"/>
  <c r="K9334" i="2"/>
  <c r="J9334" i="2"/>
  <c r="I9334" i="2"/>
  <c r="A9334" i="2"/>
  <c r="K9333" i="2"/>
  <c r="J9333" i="2"/>
  <c r="I9333" i="2"/>
  <c r="A9333" i="2"/>
  <c r="K9332" i="2"/>
  <c r="J9332" i="2"/>
  <c r="I9332" i="2"/>
  <c r="A9332" i="2"/>
  <c r="K9331" i="2"/>
  <c r="J9331" i="2"/>
  <c r="I9331" i="2"/>
  <c r="A9331" i="2"/>
  <c r="J9330" i="2"/>
  <c r="I9330" i="2"/>
  <c r="K9329" i="2"/>
  <c r="J9329" i="2"/>
  <c r="I9329" i="2"/>
  <c r="A9329" i="2"/>
  <c r="K9328" i="2"/>
  <c r="J9328" i="2"/>
  <c r="I9328" i="2"/>
  <c r="A9328" i="2"/>
  <c r="K9327" i="2"/>
  <c r="J9327" i="2"/>
  <c r="I9327" i="2"/>
  <c r="A9327" i="2"/>
  <c r="K9326" i="2"/>
  <c r="J9326" i="2"/>
  <c r="I9326" i="2"/>
  <c r="A9326" i="2"/>
  <c r="K9325" i="2"/>
  <c r="J9325" i="2"/>
  <c r="I9325" i="2"/>
  <c r="A9325" i="2"/>
  <c r="K9324" i="2"/>
  <c r="J9324" i="2"/>
  <c r="I9324" i="2"/>
  <c r="A9324" i="2"/>
  <c r="K9323" i="2"/>
  <c r="J9323" i="2"/>
  <c r="I9323" i="2"/>
  <c r="A9323" i="2"/>
  <c r="K9322" i="2"/>
  <c r="J9322" i="2"/>
  <c r="I9322" i="2"/>
  <c r="A9322" i="2"/>
  <c r="K9321" i="2"/>
  <c r="J9321" i="2"/>
  <c r="I9321" i="2"/>
  <c r="A9321" i="2"/>
  <c r="K9320" i="2"/>
  <c r="J9320" i="2"/>
  <c r="I9320" i="2"/>
  <c r="A9320" i="2"/>
  <c r="K9319" i="2"/>
  <c r="J9319" i="2"/>
  <c r="I9319" i="2"/>
  <c r="A9319" i="2"/>
  <c r="K9318" i="2"/>
  <c r="J9318" i="2"/>
  <c r="I9318" i="2"/>
  <c r="A9318" i="2"/>
  <c r="K9317" i="2"/>
  <c r="J9317" i="2"/>
  <c r="I9317" i="2"/>
  <c r="A9317" i="2"/>
  <c r="K9316" i="2"/>
  <c r="J9316" i="2"/>
  <c r="I9316" i="2"/>
  <c r="A9316" i="2"/>
  <c r="K9315" i="2"/>
  <c r="J9315" i="2"/>
  <c r="I9315" i="2"/>
  <c r="A9315" i="2"/>
  <c r="K9314" i="2"/>
  <c r="J9314" i="2"/>
  <c r="I9314" i="2"/>
  <c r="A9314" i="2"/>
  <c r="K9313" i="2"/>
  <c r="J9313" i="2"/>
  <c r="I9313" i="2"/>
  <c r="A9313" i="2"/>
  <c r="K9312" i="2"/>
  <c r="J9312" i="2"/>
  <c r="I9312" i="2"/>
  <c r="A9312" i="2"/>
  <c r="K9311" i="2"/>
  <c r="J9311" i="2"/>
  <c r="I9311" i="2"/>
  <c r="A9311" i="2"/>
  <c r="K9310" i="2"/>
  <c r="J9310" i="2"/>
  <c r="I9310" i="2"/>
  <c r="A9310" i="2"/>
  <c r="K9309" i="2"/>
  <c r="J9309" i="2"/>
  <c r="I9309" i="2"/>
  <c r="A9309" i="2"/>
  <c r="K9308" i="2"/>
  <c r="J9308" i="2"/>
  <c r="I9308" i="2"/>
  <c r="A9308" i="2"/>
  <c r="K9307" i="2"/>
  <c r="J9307" i="2"/>
  <c r="I9307" i="2"/>
  <c r="A9307" i="2"/>
  <c r="K9306" i="2"/>
  <c r="J9306" i="2"/>
  <c r="I9306" i="2"/>
  <c r="A9306" i="2"/>
  <c r="K9305" i="2"/>
  <c r="J9305" i="2"/>
  <c r="I9305" i="2"/>
  <c r="A9305" i="2"/>
  <c r="K9304" i="2"/>
  <c r="J9304" i="2"/>
  <c r="I9304" i="2"/>
  <c r="A9304" i="2"/>
  <c r="K9303" i="2"/>
  <c r="J9303" i="2"/>
  <c r="I9303" i="2"/>
  <c r="A9303" i="2"/>
  <c r="K9302" i="2"/>
  <c r="J9302" i="2"/>
  <c r="I9302" i="2"/>
  <c r="A9302" i="2"/>
  <c r="K9301" i="2"/>
  <c r="J9301" i="2"/>
  <c r="I9301" i="2"/>
  <c r="A9301" i="2"/>
  <c r="K9299" i="2"/>
  <c r="J9299" i="2"/>
  <c r="I9299" i="2"/>
  <c r="A9299" i="2"/>
  <c r="K9298" i="2"/>
  <c r="J9298" i="2"/>
  <c r="I9298" i="2"/>
  <c r="A9298" i="2"/>
  <c r="K9297" i="2"/>
  <c r="J9297" i="2"/>
  <c r="I9297" i="2"/>
  <c r="A9297" i="2"/>
  <c r="K9296" i="2"/>
  <c r="J9296" i="2"/>
  <c r="I9296" i="2"/>
  <c r="A9296" i="2"/>
  <c r="K9295" i="2"/>
  <c r="J9295" i="2"/>
  <c r="I9295" i="2"/>
  <c r="A9295" i="2"/>
  <c r="K9294" i="2"/>
  <c r="J9294" i="2"/>
  <c r="I9294" i="2"/>
  <c r="A9294" i="2"/>
  <c r="K9293" i="2"/>
  <c r="J9293" i="2"/>
  <c r="I9293" i="2"/>
  <c r="A9293" i="2"/>
  <c r="K9292" i="2"/>
  <c r="J9292" i="2"/>
  <c r="I9292" i="2"/>
  <c r="A9292" i="2"/>
  <c r="J9291" i="2"/>
  <c r="I9291" i="2"/>
  <c r="K9290" i="2"/>
  <c r="J9290" i="2"/>
  <c r="I9290" i="2"/>
  <c r="A9290" i="2"/>
  <c r="K9289" i="2"/>
  <c r="J9289" i="2"/>
  <c r="I9289" i="2"/>
  <c r="A9289" i="2"/>
  <c r="K9288" i="2"/>
  <c r="J9288" i="2"/>
  <c r="I9288" i="2"/>
  <c r="A9288" i="2"/>
  <c r="K9287" i="2"/>
  <c r="J9287" i="2"/>
  <c r="I9287" i="2"/>
  <c r="A9287" i="2"/>
  <c r="K9286" i="2"/>
  <c r="J9286" i="2"/>
  <c r="I9286" i="2"/>
  <c r="A9286" i="2"/>
  <c r="K9285" i="2"/>
  <c r="J9285" i="2"/>
  <c r="I9285" i="2"/>
  <c r="A9285" i="2"/>
  <c r="K9284" i="2"/>
  <c r="J9284" i="2"/>
  <c r="I9284" i="2"/>
  <c r="A9284" i="2"/>
  <c r="K9283" i="2"/>
  <c r="J9283" i="2"/>
  <c r="I9283" i="2"/>
  <c r="A9283" i="2"/>
  <c r="K9282" i="2"/>
  <c r="J9282" i="2"/>
  <c r="I9282" i="2"/>
  <c r="A9282" i="2"/>
  <c r="K9281" i="2"/>
  <c r="J9281" i="2"/>
  <c r="I9281" i="2"/>
  <c r="A9281" i="2"/>
  <c r="K9280" i="2"/>
  <c r="J9280" i="2"/>
  <c r="I9280" i="2"/>
  <c r="A9280" i="2"/>
  <c r="K9279" i="2"/>
  <c r="J9279" i="2"/>
  <c r="I9279" i="2"/>
  <c r="A9279" i="2"/>
  <c r="K9278" i="2"/>
  <c r="J9278" i="2"/>
  <c r="I9278" i="2"/>
  <c r="A9278" i="2"/>
  <c r="K9277" i="2"/>
  <c r="J9277" i="2"/>
  <c r="I9277" i="2"/>
  <c r="A9277" i="2"/>
  <c r="K9276" i="2"/>
  <c r="J9276" i="2"/>
  <c r="I9276" i="2"/>
  <c r="A9276" i="2"/>
  <c r="K9275" i="2"/>
  <c r="J9275" i="2"/>
  <c r="I9275" i="2"/>
  <c r="A9275" i="2"/>
  <c r="K9274" i="2"/>
  <c r="J9274" i="2"/>
  <c r="I9274" i="2"/>
  <c r="A9274" i="2"/>
  <c r="K9273" i="2"/>
  <c r="J9273" i="2"/>
  <c r="I9273" i="2"/>
  <c r="A9273" i="2"/>
  <c r="K9272" i="2"/>
  <c r="J9272" i="2"/>
  <c r="I9272" i="2"/>
  <c r="A9272" i="2"/>
  <c r="K9271" i="2"/>
  <c r="J9271" i="2"/>
  <c r="I9271" i="2"/>
  <c r="A9271" i="2"/>
  <c r="K9270" i="2"/>
  <c r="J9270" i="2"/>
  <c r="I9270" i="2"/>
  <c r="A9270" i="2"/>
  <c r="K9269" i="2"/>
  <c r="J9269" i="2"/>
  <c r="I9269" i="2"/>
  <c r="A9269" i="2"/>
  <c r="K9268" i="2"/>
  <c r="J9268" i="2"/>
  <c r="I9268" i="2"/>
  <c r="A9268" i="2"/>
  <c r="K9267" i="2"/>
  <c r="J9267" i="2"/>
  <c r="I9267" i="2"/>
  <c r="A9267" i="2"/>
  <c r="K9266" i="2"/>
  <c r="J9266" i="2"/>
  <c r="I9266" i="2"/>
  <c r="A9266" i="2"/>
  <c r="K9265" i="2"/>
  <c r="J9265" i="2"/>
  <c r="I9265" i="2"/>
  <c r="A9265" i="2"/>
  <c r="K9264" i="2"/>
  <c r="J9264" i="2"/>
  <c r="I9264" i="2"/>
  <c r="A9264" i="2"/>
  <c r="K9263" i="2"/>
  <c r="J9263" i="2"/>
  <c r="I9263" i="2"/>
  <c r="A9263" i="2"/>
  <c r="K9262" i="2"/>
  <c r="J9262" i="2"/>
  <c r="I9262" i="2"/>
  <c r="A9262" i="2"/>
  <c r="K9261" i="2"/>
  <c r="J9261" i="2"/>
  <c r="I9261" i="2"/>
  <c r="A9261" i="2"/>
  <c r="K9260" i="2"/>
  <c r="J9260" i="2"/>
  <c r="I9260" i="2"/>
  <c r="A9260" i="2"/>
  <c r="K9259" i="2"/>
  <c r="J9259" i="2"/>
  <c r="I9259" i="2"/>
  <c r="A9259" i="2"/>
  <c r="K9258" i="2"/>
  <c r="J9258" i="2"/>
  <c r="I9258" i="2"/>
  <c r="A9258" i="2"/>
  <c r="K9257" i="2"/>
  <c r="J9257" i="2"/>
  <c r="I9257" i="2"/>
  <c r="A9257" i="2"/>
  <c r="K9256" i="2"/>
  <c r="J9256" i="2"/>
  <c r="I9256" i="2"/>
  <c r="A9256" i="2"/>
  <c r="K9255" i="2"/>
  <c r="J9255" i="2"/>
  <c r="I9255" i="2"/>
  <c r="A9255" i="2"/>
  <c r="K9254" i="2"/>
  <c r="J9254" i="2"/>
  <c r="I9254" i="2"/>
  <c r="A9254" i="2"/>
  <c r="K9253" i="2"/>
  <c r="J9253" i="2"/>
  <c r="I9253" i="2"/>
  <c r="A9253" i="2"/>
  <c r="K9252" i="2"/>
  <c r="J9252" i="2"/>
  <c r="I9252" i="2"/>
  <c r="A9252" i="2"/>
  <c r="K9251" i="2"/>
  <c r="J9251" i="2"/>
  <c r="I9251" i="2"/>
  <c r="A9251" i="2"/>
  <c r="K9250" i="2"/>
  <c r="J9250" i="2"/>
  <c r="I9250" i="2"/>
  <c r="A9250" i="2"/>
  <c r="J9249" i="2"/>
  <c r="I9249" i="2"/>
  <c r="K9248" i="2"/>
  <c r="J9248" i="2"/>
  <c r="I9248" i="2"/>
  <c r="A9248" i="2"/>
  <c r="K9247" i="2"/>
  <c r="J9247" i="2"/>
  <c r="I9247" i="2"/>
  <c r="A9247" i="2"/>
  <c r="K9246" i="2"/>
  <c r="J9246" i="2"/>
  <c r="I9246" i="2"/>
  <c r="A9246" i="2"/>
  <c r="K9245" i="2"/>
  <c r="J9245" i="2"/>
  <c r="I9245" i="2"/>
  <c r="A9245" i="2"/>
  <c r="K9244" i="2"/>
  <c r="J9244" i="2"/>
  <c r="I9244" i="2"/>
  <c r="A9244" i="2"/>
  <c r="K9243" i="2"/>
  <c r="J9243" i="2"/>
  <c r="I9243" i="2"/>
  <c r="A9243" i="2"/>
  <c r="K9242" i="2"/>
  <c r="J9242" i="2"/>
  <c r="I9242" i="2"/>
  <c r="A9242" i="2"/>
  <c r="K9241" i="2"/>
  <c r="J9241" i="2"/>
  <c r="I9241" i="2"/>
  <c r="A9241" i="2"/>
  <c r="K9240" i="2"/>
  <c r="J9240" i="2"/>
  <c r="I9240" i="2"/>
  <c r="A9240" i="2"/>
  <c r="K9239" i="2"/>
  <c r="J9239" i="2"/>
  <c r="I9239" i="2"/>
  <c r="A9239" i="2"/>
  <c r="K9238" i="2"/>
  <c r="J9238" i="2"/>
  <c r="I9238" i="2"/>
  <c r="A9238" i="2"/>
  <c r="K9237" i="2"/>
  <c r="J9237" i="2"/>
  <c r="I9237" i="2"/>
  <c r="A9237" i="2"/>
  <c r="K9236" i="2"/>
  <c r="J9236" i="2"/>
  <c r="I9236" i="2"/>
  <c r="A9236" i="2"/>
  <c r="K9235" i="2"/>
  <c r="J9235" i="2"/>
  <c r="I9235" i="2"/>
  <c r="A9235" i="2"/>
  <c r="K9234" i="2"/>
  <c r="J9234" i="2"/>
  <c r="I9234" i="2"/>
  <c r="A9234" i="2"/>
  <c r="K9233" i="2"/>
  <c r="J9233" i="2"/>
  <c r="I9233" i="2"/>
  <c r="A9233" i="2"/>
  <c r="K9232" i="2"/>
  <c r="J9232" i="2"/>
  <c r="I9232" i="2"/>
  <c r="A9232" i="2"/>
  <c r="K9231" i="2"/>
  <c r="J9231" i="2"/>
  <c r="I9231" i="2"/>
  <c r="A9231" i="2"/>
  <c r="K9230" i="2"/>
  <c r="J9230" i="2"/>
  <c r="I9230" i="2"/>
  <c r="A9230" i="2"/>
  <c r="K9229" i="2"/>
  <c r="J9229" i="2"/>
  <c r="I9229" i="2"/>
  <c r="A9229" i="2"/>
  <c r="K9228" i="2"/>
  <c r="J9228" i="2"/>
  <c r="I9228" i="2"/>
  <c r="A9228" i="2"/>
  <c r="K9227" i="2"/>
  <c r="J9227" i="2"/>
  <c r="I9227" i="2"/>
  <c r="A9227" i="2"/>
  <c r="K9226" i="2"/>
  <c r="J9226" i="2"/>
  <c r="I9226" i="2"/>
  <c r="A9226" i="2"/>
  <c r="K9225" i="2"/>
  <c r="J9225" i="2"/>
  <c r="I9225" i="2"/>
  <c r="A9225" i="2"/>
  <c r="K9224" i="2"/>
  <c r="J9224" i="2"/>
  <c r="I9224" i="2"/>
  <c r="A9224" i="2"/>
  <c r="K9223" i="2"/>
  <c r="J9223" i="2"/>
  <c r="I9223" i="2"/>
  <c r="A9223" i="2"/>
  <c r="K9222" i="2"/>
  <c r="J9222" i="2"/>
  <c r="I9222" i="2"/>
  <c r="A9222" i="2"/>
  <c r="K9221" i="2"/>
  <c r="J9221" i="2"/>
  <c r="I9221" i="2"/>
  <c r="A9221" i="2"/>
  <c r="K9220" i="2"/>
  <c r="J9220" i="2"/>
  <c r="I9220" i="2"/>
  <c r="A9220" i="2"/>
  <c r="K9219" i="2"/>
  <c r="J9219" i="2"/>
  <c r="I9219" i="2"/>
  <c r="A9219" i="2"/>
  <c r="K9218" i="2"/>
  <c r="J9218" i="2"/>
  <c r="I9218" i="2"/>
  <c r="A9218" i="2"/>
  <c r="K9217" i="2"/>
  <c r="J9217" i="2"/>
  <c r="I9217" i="2"/>
  <c r="A9217" i="2"/>
  <c r="K9216" i="2"/>
  <c r="J9216" i="2"/>
  <c r="I9216" i="2"/>
  <c r="A9216" i="2"/>
  <c r="K9215" i="2"/>
  <c r="J9215" i="2"/>
  <c r="I9215" i="2"/>
  <c r="A9215" i="2"/>
  <c r="K9214" i="2"/>
  <c r="J9214" i="2"/>
  <c r="I9214" i="2"/>
  <c r="A9214" i="2"/>
  <c r="K9213" i="2"/>
  <c r="J9213" i="2"/>
  <c r="I9213" i="2"/>
  <c r="A9213" i="2"/>
  <c r="K9212" i="2"/>
  <c r="J9212" i="2"/>
  <c r="I9212" i="2"/>
  <c r="A9212" i="2"/>
  <c r="K9211" i="2"/>
  <c r="J9211" i="2"/>
  <c r="I9211" i="2"/>
  <c r="A9211" i="2"/>
  <c r="K9210" i="2"/>
  <c r="J9210" i="2"/>
  <c r="I9210" i="2"/>
  <c r="A9210" i="2"/>
  <c r="K9209" i="2"/>
  <c r="J9209" i="2"/>
  <c r="I9209" i="2"/>
  <c r="A9209" i="2"/>
  <c r="K9208" i="2"/>
  <c r="J9208" i="2"/>
  <c r="I9208" i="2"/>
  <c r="A9208" i="2"/>
  <c r="K9207" i="2"/>
  <c r="J9207" i="2"/>
  <c r="I9207" i="2"/>
  <c r="A9207" i="2"/>
  <c r="K9206" i="2"/>
  <c r="J9206" i="2"/>
  <c r="I9206" i="2"/>
  <c r="A9206" i="2"/>
  <c r="K9205" i="2"/>
  <c r="J9205" i="2"/>
  <c r="I9205" i="2"/>
  <c r="A9205" i="2"/>
  <c r="K9204" i="2"/>
  <c r="J9204" i="2"/>
  <c r="I9204" i="2"/>
  <c r="A9204" i="2"/>
  <c r="K9203" i="2"/>
  <c r="J9203" i="2"/>
  <c r="I9203" i="2"/>
  <c r="A9203" i="2"/>
  <c r="K9202" i="2"/>
  <c r="J9202" i="2"/>
  <c r="I9202" i="2"/>
  <c r="A9202" i="2"/>
  <c r="K9201" i="2"/>
  <c r="J9201" i="2"/>
  <c r="I9201" i="2"/>
  <c r="A9201" i="2"/>
  <c r="K9200" i="2"/>
  <c r="J9200" i="2"/>
  <c r="I9200" i="2"/>
  <c r="A9200" i="2"/>
  <c r="K9199" i="2"/>
  <c r="J9199" i="2"/>
  <c r="I9199" i="2"/>
  <c r="A9199" i="2"/>
  <c r="K9198" i="2"/>
  <c r="J9198" i="2"/>
  <c r="I9198" i="2"/>
  <c r="A9198" i="2"/>
  <c r="K9197" i="2"/>
  <c r="J9197" i="2"/>
  <c r="I9197" i="2"/>
  <c r="A9197" i="2"/>
  <c r="K9196" i="2"/>
  <c r="J9196" i="2"/>
  <c r="I9196" i="2"/>
  <c r="A9196" i="2"/>
  <c r="K9195" i="2"/>
  <c r="J9195" i="2"/>
  <c r="I9195" i="2"/>
  <c r="A9195" i="2"/>
  <c r="K9194" i="2"/>
  <c r="J9194" i="2"/>
  <c r="I9194" i="2"/>
  <c r="A9194" i="2"/>
  <c r="K9193" i="2"/>
  <c r="J9193" i="2"/>
  <c r="I9193" i="2"/>
  <c r="A9193" i="2"/>
  <c r="K9192" i="2"/>
  <c r="J9192" i="2"/>
  <c r="I9192" i="2"/>
  <c r="A9192" i="2"/>
  <c r="K9191" i="2"/>
  <c r="J9191" i="2"/>
  <c r="I9191" i="2"/>
  <c r="A9191" i="2"/>
  <c r="K9190" i="2"/>
  <c r="J9190" i="2"/>
  <c r="I9190" i="2"/>
  <c r="A9190" i="2"/>
  <c r="K9189" i="2"/>
  <c r="J9189" i="2"/>
  <c r="I9189" i="2"/>
  <c r="A9189" i="2"/>
  <c r="K9188" i="2"/>
  <c r="J9188" i="2"/>
  <c r="I9188" i="2"/>
  <c r="A9188" i="2"/>
  <c r="K9187" i="2"/>
  <c r="J9187" i="2"/>
  <c r="I9187" i="2"/>
  <c r="A9187" i="2"/>
  <c r="K9186" i="2"/>
  <c r="J9186" i="2"/>
  <c r="I9186" i="2"/>
  <c r="A9186" i="2"/>
  <c r="K9185" i="2"/>
  <c r="J9185" i="2"/>
  <c r="I9185" i="2"/>
  <c r="A9185" i="2"/>
  <c r="K9184" i="2"/>
  <c r="J9184" i="2"/>
  <c r="I9184" i="2"/>
  <c r="A9184" i="2"/>
  <c r="K9183" i="2"/>
  <c r="J9183" i="2"/>
  <c r="I9183" i="2"/>
  <c r="A9183" i="2"/>
  <c r="K9182" i="2"/>
  <c r="J9182" i="2"/>
  <c r="I9182" i="2"/>
  <c r="A9182" i="2"/>
  <c r="K9181" i="2"/>
  <c r="J9181" i="2"/>
  <c r="I9181" i="2"/>
  <c r="A9181" i="2"/>
  <c r="K9180" i="2"/>
  <c r="J9180" i="2"/>
  <c r="I9180" i="2"/>
  <c r="A9180" i="2"/>
  <c r="K9179" i="2"/>
  <c r="J9179" i="2"/>
  <c r="I9179" i="2"/>
  <c r="A9179" i="2"/>
  <c r="K9178" i="2"/>
  <c r="J9178" i="2"/>
  <c r="I9178" i="2"/>
  <c r="A9178" i="2"/>
  <c r="K9177" i="2"/>
  <c r="J9177" i="2"/>
  <c r="I9177" i="2"/>
  <c r="A9177" i="2"/>
  <c r="K9176" i="2"/>
  <c r="J9176" i="2"/>
  <c r="I9176" i="2"/>
  <c r="A9176" i="2"/>
  <c r="K9175" i="2"/>
  <c r="J9175" i="2"/>
  <c r="I9175" i="2"/>
  <c r="A9175" i="2"/>
  <c r="K9174" i="2"/>
  <c r="J9174" i="2"/>
  <c r="I9174" i="2"/>
  <c r="A9174" i="2"/>
  <c r="K9173" i="2"/>
  <c r="J9173" i="2"/>
  <c r="I9173" i="2"/>
  <c r="A9173" i="2"/>
  <c r="K9172" i="2"/>
  <c r="J9172" i="2"/>
  <c r="I9172" i="2"/>
  <c r="A9172" i="2"/>
  <c r="K9171" i="2"/>
  <c r="J9171" i="2"/>
  <c r="I9171" i="2"/>
  <c r="A9171" i="2"/>
  <c r="K9170" i="2"/>
  <c r="J9170" i="2"/>
  <c r="I9170" i="2"/>
  <c r="A9170" i="2"/>
  <c r="K9169" i="2"/>
  <c r="J9169" i="2"/>
  <c r="I9169" i="2"/>
  <c r="A9169" i="2"/>
  <c r="K9168" i="2"/>
  <c r="J9168" i="2"/>
  <c r="I9168" i="2"/>
  <c r="A9168" i="2"/>
  <c r="K9167" i="2"/>
  <c r="J9167" i="2"/>
  <c r="I9167" i="2"/>
  <c r="A9167" i="2"/>
  <c r="K9166" i="2"/>
  <c r="J9166" i="2"/>
  <c r="I9166" i="2"/>
  <c r="A9166" i="2"/>
  <c r="K9165" i="2"/>
  <c r="J9165" i="2"/>
  <c r="I9165" i="2"/>
  <c r="A9165" i="2"/>
  <c r="K9164" i="2"/>
  <c r="J9164" i="2"/>
  <c r="I9164" i="2"/>
  <c r="A9164" i="2"/>
  <c r="K9163" i="2"/>
  <c r="J9163" i="2"/>
  <c r="I9163" i="2"/>
  <c r="A9163" i="2"/>
  <c r="J9162" i="2"/>
  <c r="I9162" i="2"/>
  <c r="K9161" i="2"/>
  <c r="J9161" i="2"/>
  <c r="I9161" i="2"/>
  <c r="A9161" i="2"/>
  <c r="K9160" i="2"/>
  <c r="J9160" i="2"/>
  <c r="I9160" i="2"/>
  <c r="A9160" i="2"/>
  <c r="K9159" i="2"/>
  <c r="J9159" i="2"/>
  <c r="I9159" i="2"/>
  <c r="A9159" i="2"/>
  <c r="K9158" i="2"/>
  <c r="J9158" i="2"/>
  <c r="I9158" i="2"/>
  <c r="A9158" i="2"/>
  <c r="K9157" i="2"/>
  <c r="J9157" i="2"/>
  <c r="I9157" i="2"/>
  <c r="A9157" i="2"/>
  <c r="K9156" i="2"/>
  <c r="J9156" i="2"/>
  <c r="I9156" i="2"/>
  <c r="A9156" i="2"/>
  <c r="K9155" i="2"/>
  <c r="J9155" i="2"/>
  <c r="I9155" i="2"/>
  <c r="A9155" i="2"/>
  <c r="K9154" i="2"/>
  <c r="J9154" i="2"/>
  <c r="I9154" i="2"/>
  <c r="A9154" i="2"/>
  <c r="K9153" i="2"/>
  <c r="J9153" i="2"/>
  <c r="I9153" i="2"/>
  <c r="A9153" i="2"/>
  <c r="K9152" i="2"/>
  <c r="J9152" i="2"/>
  <c r="I9152" i="2"/>
  <c r="A9152" i="2"/>
  <c r="K9151" i="2"/>
  <c r="J9151" i="2"/>
  <c r="I9151" i="2"/>
  <c r="A9151" i="2"/>
  <c r="K9150" i="2"/>
  <c r="J9150" i="2"/>
  <c r="I9150" i="2"/>
  <c r="A9150" i="2"/>
  <c r="K9149" i="2"/>
  <c r="J9149" i="2"/>
  <c r="I9149" i="2"/>
  <c r="A9149" i="2"/>
  <c r="K9148" i="2"/>
  <c r="J9148" i="2"/>
  <c r="I9148" i="2"/>
  <c r="A9148" i="2"/>
  <c r="K9147" i="2"/>
  <c r="J9147" i="2"/>
  <c r="I9147" i="2"/>
  <c r="A9147" i="2"/>
  <c r="K9146" i="2"/>
  <c r="J9146" i="2"/>
  <c r="I9146" i="2"/>
  <c r="A9146" i="2"/>
  <c r="K9145" i="2"/>
  <c r="J9145" i="2"/>
  <c r="I9145" i="2"/>
  <c r="A9145" i="2"/>
  <c r="K9144" i="2"/>
  <c r="J9144" i="2"/>
  <c r="I9144" i="2"/>
  <c r="A9144" i="2"/>
  <c r="K9143" i="2"/>
  <c r="J9143" i="2"/>
  <c r="I9143" i="2"/>
  <c r="A9143" i="2"/>
  <c r="K9142" i="2"/>
  <c r="J9142" i="2"/>
  <c r="I9142" i="2"/>
  <c r="A9142" i="2"/>
  <c r="K9141" i="2"/>
  <c r="J9141" i="2"/>
  <c r="I9141" i="2"/>
  <c r="A9141" i="2"/>
  <c r="K9140" i="2"/>
  <c r="J9140" i="2"/>
  <c r="I9140" i="2"/>
  <c r="A9140" i="2"/>
  <c r="J9139" i="2"/>
  <c r="I9139" i="2"/>
  <c r="K9138" i="2"/>
  <c r="J9138" i="2"/>
  <c r="I9138" i="2"/>
  <c r="A9138" i="2"/>
  <c r="K9137" i="2"/>
  <c r="J9137" i="2"/>
  <c r="I9137" i="2"/>
  <c r="A9137" i="2"/>
  <c r="K9136" i="2"/>
  <c r="J9136" i="2"/>
  <c r="I9136" i="2"/>
  <c r="A9136" i="2"/>
  <c r="K9135" i="2"/>
  <c r="J9135" i="2"/>
  <c r="I9135" i="2"/>
  <c r="A9135" i="2"/>
  <c r="K9134" i="2"/>
  <c r="J9134" i="2"/>
  <c r="I9134" i="2"/>
  <c r="A9134" i="2"/>
  <c r="K9133" i="2"/>
  <c r="J9133" i="2"/>
  <c r="I9133" i="2"/>
  <c r="A9133" i="2"/>
  <c r="K9132" i="2"/>
  <c r="J9132" i="2"/>
  <c r="I9132" i="2"/>
  <c r="A9132" i="2"/>
  <c r="K9131" i="2"/>
  <c r="J9131" i="2"/>
  <c r="I9131" i="2"/>
  <c r="A9131" i="2"/>
  <c r="K9130" i="2"/>
  <c r="J9130" i="2"/>
  <c r="I9130" i="2"/>
  <c r="A9130" i="2"/>
  <c r="K9129" i="2"/>
  <c r="J9129" i="2"/>
  <c r="I9129" i="2"/>
  <c r="A9129" i="2"/>
  <c r="K9128" i="2"/>
  <c r="J9128" i="2"/>
  <c r="I9128" i="2"/>
  <c r="A9128" i="2"/>
  <c r="K9127" i="2"/>
  <c r="J9127" i="2"/>
  <c r="I9127" i="2"/>
  <c r="A9127" i="2"/>
  <c r="K9126" i="2"/>
  <c r="J9126" i="2"/>
  <c r="I9126" i="2"/>
  <c r="A9126" i="2"/>
  <c r="K9125" i="2"/>
  <c r="J9125" i="2"/>
  <c r="I9125" i="2"/>
  <c r="A9125" i="2"/>
  <c r="K9124" i="2"/>
  <c r="J9124" i="2"/>
  <c r="I9124" i="2"/>
  <c r="A9124" i="2"/>
  <c r="K9123" i="2"/>
  <c r="J9123" i="2"/>
  <c r="I9123" i="2"/>
  <c r="A9123" i="2"/>
  <c r="K9122" i="2"/>
  <c r="J9122" i="2"/>
  <c r="I9122" i="2"/>
  <c r="A9122" i="2"/>
  <c r="K9121" i="2"/>
  <c r="J9121" i="2"/>
  <c r="I9121" i="2"/>
  <c r="A9121" i="2"/>
  <c r="K9120" i="2"/>
  <c r="J9120" i="2"/>
  <c r="I9120" i="2"/>
  <c r="A9120" i="2"/>
  <c r="K9119" i="2"/>
  <c r="J9119" i="2"/>
  <c r="I9119" i="2"/>
  <c r="A9119" i="2"/>
  <c r="J9118" i="2"/>
  <c r="I9118" i="2"/>
  <c r="K9117" i="2"/>
  <c r="J9117" i="2"/>
  <c r="I9117" i="2"/>
  <c r="A9117" i="2"/>
  <c r="K9116" i="2"/>
  <c r="J9116" i="2"/>
  <c r="I9116" i="2"/>
  <c r="A9116" i="2"/>
  <c r="K9115" i="2"/>
  <c r="J9115" i="2"/>
  <c r="I9115" i="2"/>
  <c r="A9115" i="2"/>
  <c r="K9114" i="2"/>
  <c r="J9114" i="2"/>
  <c r="I9114" i="2"/>
  <c r="A9114" i="2"/>
  <c r="K9113" i="2"/>
  <c r="J9113" i="2"/>
  <c r="I9113" i="2"/>
  <c r="A9113" i="2"/>
  <c r="K9112" i="2"/>
  <c r="J9112" i="2"/>
  <c r="I9112" i="2"/>
  <c r="A9112" i="2"/>
  <c r="K9111" i="2"/>
  <c r="J9111" i="2"/>
  <c r="I9111" i="2"/>
  <c r="A9111" i="2"/>
  <c r="K9110" i="2"/>
  <c r="J9110" i="2"/>
  <c r="I9110" i="2"/>
  <c r="A9110" i="2"/>
  <c r="K9109" i="2"/>
  <c r="J9109" i="2"/>
  <c r="I9109" i="2"/>
  <c r="A9109" i="2"/>
  <c r="K9108" i="2"/>
  <c r="J9108" i="2"/>
  <c r="I9108" i="2"/>
  <c r="A9108" i="2"/>
  <c r="K9107" i="2"/>
  <c r="J9107" i="2"/>
  <c r="I9107" i="2"/>
  <c r="A9107" i="2"/>
  <c r="K9106" i="2"/>
  <c r="J9106" i="2"/>
  <c r="I9106" i="2"/>
  <c r="A9106" i="2"/>
  <c r="K9105" i="2"/>
  <c r="J9105" i="2"/>
  <c r="I9105" i="2"/>
  <c r="A9105" i="2"/>
  <c r="K9104" i="2"/>
  <c r="J9104" i="2"/>
  <c r="I9104" i="2"/>
  <c r="A9104" i="2"/>
  <c r="K9103" i="2"/>
  <c r="J9103" i="2"/>
  <c r="I9103" i="2"/>
  <c r="A9103" i="2"/>
  <c r="K9102" i="2"/>
  <c r="J9102" i="2"/>
  <c r="I9102" i="2"/>
  <c r="A9102" i="2"/>
  <c r="K9101" i="2"/>
  <c r="J9101" i="2"/>
  <c r="I9101" i="2"/>
  <c r="A9101" i="2"/>
  <c r="K9100" i="2"/>
  <c r="J9100" i="2"/>
  <c r="I9100" i="2"/>
  <c r="A9100" i="2"/>
  <c r="K9099" i="2"/>
  <c r="J9099" i="2"/>
  <c r="I9099" i="2"/>
  <c r="A9099" i="2"/>
  <c r="K9098" i="2"/>
  <c r="J9098" i="2"/>
  <c r="I9098" i="2"/>
  <c r="A9098" i="2"/>
  <c r="K9097" i="2"/>
  <c r="J9097" i="2"/>
  <c r="I9097" i="2"/>
  <c r="A9097" i="2"/>
  <c r="J9096" i="2"/>
  <c r="I9096" i="2"/>
  <c r="K9095" i="2"/>
  <c r="J9095" i="2"/>
  <c r="I9095" i="2"/>
  <c r="A9095" i="2"/>
  <c r="K9094" i="2"/>
  <c r="J9094" i="2"/>
  <c r="I9094" i="2"/>
  <c r="A9094" i="2"/>
  <c r="K9093" i="2"/>
  <c r="J9093" i="2"/>
  <c r="I9093" i="2"/>
  <c r="A9093" i="2"/>
  <c r="K9092" i="2"/>
  <c r="J9092" i="2"/>
  <c r="I9092" i="2"/>
  <c r="A9092" i="2"/>
  <c r="K9091" i="2"/>
  <c r="J9091" i="2"/>
  <c r="I9091" i="2"/>
  <c r="A9091" i="2"/>
  <c r="K9090" i="2"/>
  <c r="J9090" i="2"/>
  <c r="I9090" i="2"/>
  <c r="A9090" i="2"/>
  <c r="K9089" i="2"/>
  <c r="J9089" i="2"/>
  <c r="I9089" i="2"/>
  <c r="A9089" i="2"/>
  <c r="K9088" i="2"/>
  <c r="J9088" i="2"/>
  <c r="I9088" i="2"/>
  <c r="A9088" i="2"/>
  <c r="K9087" i="2"/>
  <c r="J9087" i="2"/>
  <c r="I9087" i="2"/>
  <c r="A9087" i="2"/>
  <c r="K9086" i="2"/>
  <c r="J9086" i="2"/>
  <c r="I9086" i="2"/>
  <c r="A9086" i="2"/>
  <c r="K9085" i="2"/>
  <c r="J9085" i="2"/>
  <c r="I9085" i="2"/>
  <c r="A9085" i="2"/>
  <c r="K9084" i="2"/>
  <c r="J9084" i="2"/>
  <c r="I9084" i="2"/>
  <c r="A9084" i="2"/>
  <c r="K9083" i="2"/>
  <c r="J9083" i="2"/>
  <c r="I9083" i="2"/>
  <c r="A9083" i="2"/>
  <c r="K9082" i="2"/>
  <c r="J9082" i="2"/>
  <c r="I9082" i="2"/>
  <c r="A9082" i="2"/>
  <c r="K9081" i="2"/>
  <c r="J9081" i="2"/>
  <c r="I9081" i="2"/>
  <c r="A9081" i="2"/>
  <c r="K9080" i="2"/>
  <c r="J9080" i="2"/>
  <c r="I9080" i="2"/>
  <c r="A9080" i="2"/>
  <c r="K9079" i="2"/>
  <c r="J9079" i="2"/>
  <c r="I9079" i="2"/>
  <c r="A9079" i="2"/>
  <c r="K9078" i="2"/>
  <c r="J9078" i="2"/>
  <c r="I9078" i="2"/>
  <c r="A9078" i="2"/>
  <c r="K9077" i="2"/>
  <c r="J9077" i="2"/>
  <c r="I9077" i="2"/>
  <c r="A9077" i="2"/>
  <c r="K9076" i="2"/>
  <c r="J9076" i="2"/>
  <c r="I9076" i="2"/>
  <c r="A9076" i="2"/>
  <c r="J9075" i="2"/>
  <c r="I9075" i="2"/>
  <c r="K9074" i="2"/>
  <c r="J9074" i="2"/>
  <c r="I9074" i="2"/>
  <c r="A9074" i="2"/>
  <c r="K9073" i="2"/>
  <c r="J9073" i="2"/>
  <c r="I9073" i="2"/>
  <c r="A9073" i="2"/>
  <c r="J9072" i="2"/>
  <c r="I9072" i="2"/>
  <c r="K9071" i="2"/>
  <c r="J9071" i="2"/>
  <c r="I9071" i="2"/>
  <c r="A9071" i="2"/>
  <c r="K9070" i="2"/>
  <c r="J9070" i="2"/>
  <c r="I9070" i="2"/>
  <c r="A9070" i="2"/>
  <c r="K9069" i="2"/>
  <c r="J9069" i="2"/>
  <c r="I9069" i="2"/>
  <c r="A9069" i="2"/>
  <c r="K9068" i="2"/>
  <c r="J9068" i="2"/>
  <c r="I9068" i="2"/>
  <c r="A9068" i="2"/>
  <c r="K9067" i="2"/>
  <c r="J9067" i="2"/>
  <c r="I9067" i="2"/>
  <c r="A9067" i="2"/>
  <c r="K9066" i="2"/>
  <c r="J9066" i="2"/>
  <c r="I9066" i="2"/>
  <c r="A9066" i="2"/>
  <c r="K9065" i="2"/>
  <c r="J9065" i="2"/>
  <c r="I9065" i="2"/>
  <c r="A9065" i="2"/>
  <c r="K9064" i="2"/>
  <c r="J9064" i="2"/>
  <c r="I9064" i="2"/>
  <c r="A9064" i="2"/>
  <c r="K9063" i="2"/>
  <c r="J9063" i="2"/>
  <c r="I9063" i="2"/>
  <c r="A9063" i="2"/>
  <c r="K9062" i="2"/>
  <c r="J9062" i="2"/>
  <c r="I9062" i="2"/>
  <c r="A9062" i="2"/>
  <c r="K9061" i="2"/>
  <c r="J9061" i="2"/>
  <c r="I9061" i="2"/>
  <c r="A9061" i="2"/>
  <c r="K9060" i="2"/>
  <c r="J9060" i="2"/>
  <c r="I9060" i="2"/>
  <c r="A9060" i="2"/>
  <c r="K9059" i="2"/>
  <c r="J9059" i="2"/>
  <c r="I9059" i="2"/>
  <c r="A9059" i="2"/>
  <c r="K9058" i="2"/>
  <c r="J9058" i="2"/>
  <c r="I9058" i="2"/>
  <c r="A9058" i="2"/>
  <c r="K9057" i="2"/>
  <c r="J9057" i="2"/>
  <c r="I9057" i="2"/>
  <c r="A9057" i="2"/>
  <c r="K9056" i="2"/>
  <c r="J9056" i="2"/>
  <c r="I9056" i="2"/>
  <c r="A9056" i="2"/>
  <c r="J9055" i="2"/>
  <c r="I9055" i="2"/>
  <c r="J9054" i="2"/>
  <c r="I9054" i="2"/>
  <c r="K9053" i="2"/>
  <c r="J9053" i="2"/>
  <c r="I9053" i="2"/>
  <c r="A9053" i="2"/>
  <c r="K9052" i="2"/>
  <c r="J9052" i="2"/>
  <c r="I9052" i="2"/>
  <c r="A9052" i="2"/>
  <c r="K9051" i="2"/>
  <c r="J9051" i="2"/>
  <c r="I9051" i="2"/>
  <c r="A9051" i="2"/>
  <c r="K9050" i="2"/>
  <c r="J9050" i="2"/>
  <c r="I9050" i="2"/>
  <c r="A9050" i="2"/>
  <c r="K9049" i="2"/>
  <c r="J9049" i="2"/>
  <c r="I9049" i="2"/>
  <c r="A9049" i="2"/>
  <c r="K9048" i="2"/>
  <c r="J9048" i="2"/>
  <c r="I9048" i="2"/>
  <c r="A9048" i="2"/>
  <c r="K9047" i="2"/>
  <c r="J9047" i="2"/>
  <c r="I9047" i="2"/>
  <c r="A9047" i="2"/>
  <c r="K9046" i="2"/>
  <c r="J9046" i="2"/>
  <c r="I9046" i="2"/>
  <c r="A9046" i="2"/>
  <c r="K9045" i="2"/>
  <c r="J9045" i="2"/>
  <c r="I9045" i="2"/>
  <c r="A9045" i="2"/>
  <c r="K9044" i="2"/>
  <c r="J9044" i="2"/>
  <c r="I9044" i="2"/>
  <c r="A9044" i="2"/>
  <c r="K9043" i="2"/>
  <c r="J9043" i="2"/>
  <c r="I9043" i="2"/>
  <c r="A9043" i="2"/>
  <c r="K9042" i="2"/>
  <c r="J9042" i="2"/>
  <c r="I9042" i="2"/>
  <c r="A9042" i="2"/>
  <c r="K9041" i="2"/>
  <c r="J9041" i="2"/>
  <c r="I9041" i="2"/>
  <c r="A9041" i="2"/>
  <c r="K9040" i="2"/>
  <c r="J9040" i="2"/>
  <c r="I9040" i="2"/>
  <c r="A9040" i="2"/>
  <c r="K9039" i="2"/>
  <c r="J9039" i="2"/>
  <c r="I9039" i="2"/>
  <c r="A9039" i="2"/>
  <c r="K9038" i="2"/>
  <c r="J9038" i="2"/>
  <c r="I9038" i="2"/>
  <c r="A9038" i="2"/>
  <c r="K9037" i="2"/>
  <c r="J9037" i="2"/>
  <c r="I9037" i="2"/>
  <c r="A9037" i="2"/>
  <c r="K9036" i="2"/>
  <c r="J9036" i="2"/>
  <c r="I9036" i="2"/>
  <c r="A9036" i="2"/>
  <c r="K9035" i="2"/>
  <c r="J9035" i="2"/>
  <c r="I9035" i="2"/>
  <c r="A9035" i="2"/>
  <c r="K9034" i="2"/>
  <c r="J9034" i="2"/>
  <c r="I9034" i="2"/>
  <c r="A9034" i="2"/>
  <c r="K9033" i="2"/>
  <c r="J9033" i="2"/>
  <c r="I9033" i="2"/>
  <c r="A9033" i="2"/>
  <c r="K9032" i="2"/>
  <c r="J9032" i="2"/>
  <c r="I9032" i="2"/>
  <c r="A9032" i="2"/>
  <c r="K9031" i="2"/>
  <c r="J9031" i="2"/>
  <c r="I9031" i="2"/>
  <c r="A9031" i="2"/>
  <c r="K9030" i="2"/>
  <c r="J9030" i="2"/>
  <c r="I9030" i="2"/>
  <c r="A9030" i="2"/>
  <c r="K9029" i="2"/>
  <c r="J9029" i="2"/>
  <c r="I9029" i="2"/>
  <c r="A9029" i="2"/>
  <c r="K9028" i="2"/>
  <c r="J9028" i="2"/>
  <c r="I9028" i="2"/>
  <c r="A9028" i="2"/>
  <c r="K9027" i="2"/>
  <c r="J9027" i="2"/>
  <c r="I9027" i="2"/>
  <c r="A9027" i="2"/>
  <c r="K9026" i="2"/>
  <c r="J9026" i="2"/>
  <c r="I9026" i="2"/>
  <c r="A9026" i="2"/>
  <c r="K9025" i="2"/>
  <c r="J9025" i="2"/>
  <c r="I9025" i="2"/>
  <c r="A9025" i="2"/>
  <c r="K9024" i="2"/>
  <c r="J9024" i="2"/>
  <c r="I9024" i="2"/>
  <c r="A9024" i="2"/>
  <c r="K9023" i="2"/>
  <c r="J9023" i="2"/>
  <c r="I9023" i="2"/>
  <c r="A9023" i="2"/>
  <c r="K9022" i="2"/>
  <c r="J9022" i="2"/>
  <c r="I9022" i="2"/>
  <c r="A9022" i="2"/>
  <c r="K9021" i="2"/>
  <c r="J9021" i="2"/>
  <c r="I9021" i="2"/>
  <c r="A9021" i="2"/>
  <c r="K9020" i="2"/>
  <c r="J9020" i="2"/>
  <c r="I9020" i="2"/>
  <c r="A9020" i="2"/>
  <c r="K9019" i="2"/>
  <c r="J9019" i="2"/>
  <c r="I9019" i="2"/>
  <c r="A9019" i="2"/>
  <c r="J9018" i="2"/>
  <c r="I9018" i="2"/>
  <c r="K9017" i="2"/>
  <c r="J9017" i="2"/>
  <c r="I9017" i="2"/>
  <c r="A9017" i="2"/>
  <c r="K9016" i="2"/>
  <c r="J9016" i="2"/>
  <c r="I9016" i="2"/>
  <c r="A9016" i="2"/>
  <c r="K9015" i="2"/>
  <c r="J9015" i="2"/>
  <c r="I9015" i="2"/>
  <c r="A9015" i="2"/>
  <c r="K9014" i="2"/>
  <c r="J9014" i="2"/>
  <c r="I9014" i="2"/>
  <c r="A9014" i="2"/>
  <c r="K9013" i="2"/>
  <c r="J9013" i="2"/>
  <c r="I9013" i="2"/>
  <c r="A9013" i="2"/>
  <c r="K9012" i="2"/>
  <c r="J9012" i="2"/>
  <c r="I9012" i="2"/>
  <c r="A9012" i="2"/>
  <c r="K9011" i="2"/>
  <c r="J9011" i="2"/>
  <c r="I9011" i="2"/>
  <c r="A9011" i="2"/>
  <c r="K9010" i="2"/>
  <c r="J9010" i="2"/>
  <c r="I9010" i="2"/>
  <c r="A9010" i="2"/>
  <c r="K9009" i="2"/>
  <c r="J9009" i="2"/>
  <c r="I9009" i="2"/>
  <c r="A9009" i="2"/>
  <c r="K9008" i="2"/>
  <c r="J9008" i="2"/>
  <c r="I9008" i="2"/>
  <c r="A9008" i="2"/>
  <c r="K9007" i="2"/>
  <c r="J9007" i="2"/>
  <c r="I9007" i="2"/>
  <c r="A9007" i="2"/>
  <c r="K9006" i="2"/>
  <c r="J9006" i="2"/>
  <c r="I9006" i="2"/>
  <c r="A9006" i="2"/>
  <c r="K9005" i="2"/>
  <c r="J9005" i="2"/>
  <c r="I9005" i="2"/>
  <c r="A9005" i="2"/>
  <c r="K9004" i="2"/>
  <c r="J9004" i="2"/>
  <c r="I9004" i="2"/>
  <c r="A9004" i="2"/>
  <c r="K9003" i="2"/>
  <c r="J9003" i="2"/>
  <c r="I9003" i="2"/>
  <c r="A9003" i="2"/>
  <c r="K9002" i="2"/>
  <c r="J9002" i="2"/>
  <c r="I9002" i="2"/>
  <c r="A9002" i="2"/>
  <c r="K9001" i="2"/>
  <c r="J9001" i="2"/>
  <c r="I9001" i="2"/>
  <c r="A9001" i="2"/>
  <c r="K9000" i="2"/>
  <c r="J9000" i="2"/>
  <c r="I9000" i="2"/>
  <c r="A9000" i="2"/>
  <c r="K8999" i="2"/>
  <c r="J8999" i="2"/>
  <c r="I8999" i="2"/>
  <c r="A8999" i="2"/>
  <c r="K8998" i="2"/>
  <c r="J8998" i="2"/>
  <c r="I8998" i="2"/>
  <c r="A8998" i="2"/>
  <c r="K8997" i="2"/>
  <c r="J8997" i="2"/>
  <c r="I8997" i="2"/>
  <c r="A8997" i="2"/>
  <c r="K8996" i="2"/>
  <c r="J8996" i="2"/>
  <c r="I8996" i="2"/>
  <c r="A8996" i="2"/>
  <c r="K8995" i="2"/>
  <c r="J8995" i="2"/>
  <c r="I8995" i="2"/>
  <c r="A8995" i="2"/>
  <c r="K8994" i="2"/>
  <c r="J8994" i="2"/>
  <c r="I8994" i="2"/>
  <c r="A8994" i="2"/>
  <c r="K8993" i="2"/>
  <c r="J8993" i="2"/>
  <c r="I8993" i="2"/>
  <c r="A8993" i="2"/>
  <c r="K8992" i="2"/>
  <c r="J8992" i="2"/>
  <c r="I8992" i="2"/>
  <c r="A8992" i="2"/>
  <c r="K8991" i="2"/>
  <c r="J8991" i="2"/>
  <c r="I8991" i="2"/>
  <c r="A8991" i="2"/>
  <c r="K8990" i="2"/>
  <c r="J8990" i="2"/>
  <c r="I8990" i="2"/>
  <c r="A8990" i="2"/>
  <c r="K8989" i="2"/>
  <c r="J8989" i="2"/>
  <c r="I8989" i="2"/>
  <c r="A8989" i="2"/>
  <c r="K8988" i="2"/>
  <c r="J8988" i="2"/>
  <c r="I8988" i="2"/>
  <c r="A8988" i="2"/>
  <c r="K8987" i="2"/>
  <c r="J8987" i="2"/>
  <c r="I8987" i="2"/>
  <c r="A8987" i="2"/>
  <c r="K8986" i="2"/>
  <c r="J8986" i="2"/>
  <c r="I8986" i="2"/>
  <c r="A8986" i="2"/>
  <c r="K8985" i="2"/>
  <c r="J8985" i="2"/>
  <c r="I8985" i="2"/>
  <c r="A8985" i="2"/>
  <c r="K8984" i="2"/>
  <c r="J8984" i="2"/>
  <c r="I8984" i="2"/>
  <c r="A8984" i="2"/>
  <c r="K8983" i="2"/>
  <c r="J8983" i="2"/>
  <c r="I8983" i="2"/>
  <c r="A8983" i="2"/>
  <c r="K8982" i="2"/>
  <c r="J8982" i="2"/>
  <c r="I8982" i="2"/>
  <c r="A8982" i="2"/>
  <c r="K8981" i="2"/>
  <c r="J8981" i="2"/>
  <c r="I8981" i="2"/>
  <c r="A8981" i="2"/>
  <c r="K8980" i="2"/>
  <c r="J8980" i="2"/>
  <c r="I8980" i="2"/>
  <c r="A8980" i="2"/>
  <c r="K8979" i="2"/>
  <c r="J8979" i="2"/>
  <c r="I8979" i="2"/>
  <c r="A8979" i="2"/>
  <c r="K8978" i="2"/>
  <c r="J8978" i="2"/>
  <c r="I8978" i="2"/>
  <c r="A8978" i="2"/>
  <c r="K8977" i="2"/>
  <c r="J8977" i="2"/>
  <c r="I8977" i="2"/>
  <c r="A8977" i="2"/>
  <c r="K8976" i="2"/>
  <c r="J8976" i="2"/>
  <c r="I8976" i="2"/>
  <c r="A8976" i="2"/>
  <c r="K8975" i="2"/>
  <c r="J8975" i="2"/>
  <c r="I8975" i="2"/>
  <c r="A8975" i="2"/>
  <c r="K8974" i="2"/>
  <c r="J8974" i="2"/>
  <c r="I8974" i="2"/>
  <c r="A8974" i="2"/>
  <c r="K8973" i="2"/>
  <c r="J8973" i="2"/>
  <c r="I8973" i="2"/>
  <c r="A8973" i="2"/>
  <c r="K8972" i="2"/>
  <c r="J8972" i="2"/>
  <c r="I8972" i="2"/>
  <c r="A8972" i="2"/>
  <c r="K8971" i="2"/>
  <c r="J8971" i="2"/>
  <c r="I8971" i="2"/>
  <c r="A8971" i="2"/>
  <c r="K8970" i="2"/>
  <c r="J8970" i="2"/>
  <c r="I8970" i="2"/>
  <c r="A8970" i="2"/>
  <c r="K8969" i="2"/>
  <c r="J8969" i="2"/>
  <c r="I8969" i="2"/>
  <c r="A8969" i="2"/>
  <c r="K8968" i="2"/>
  <c r="J8968" i="2"/>
  <c r="I8968" i="2"/>
  <c r="A8968" i="2"/>
  <c r="K8967" i="2"/>
  <c r="J8967" i="2"/>
  <c r="I8967" i="2"/>
  <c r="A8967" i="2"/>
  <c r="K8966" i="2"/>
  <c r="J8966" i="2"/>
  <c r="I8966" i="2"/>
  <c r="A8966" i="2"/>
  <c r="K8965" i="2"/>
  <c r="J8965" i="2"/>
  <c r="I8965" i="2"/>
  <c r="A8965" i="2"/>
  <c r="K8964" i="2"/>
  <c r="J8964" i="2"/>
  <c r="I8964" i="2"/>
  <c r="A8964" i="2"/>
  <c r="K8963" i="2"/>
  <c r="J8963" i="2"/>
  <c r="I8963" i="2"/>
  <c r="A8963" i="2"/>
  <c r="K8962" i="2"/>
  <c r="J8962" i="2"/>
  <c r="I8962" i="2"/>
  <c r="A8962" i="2"/>
  <c r="K8961" i="2"/>
  <c r="J8961" i="2"/>
  <c r="I8961" i="2"/>
  <c r="A8961" i="2"/>
  <c r="K8960" i="2"/>
  <c r="J8960" i="2"/>
  <c r="I8960" i="2"/>
  <c r="A8960" i="2"/>
  <c r="K8959" i="2"/>
  <c r="J8959" i="2"/>
  <c r="I8959" i="2"/>
  <c r="A8959" i="2"/>
  <c r="K8958" i="2"/>
  <c r="J8958" i="2"/>
  <c r="I8958" i="2"/>
  <c r="A8958" i="2"/>
  <c r="K8957" i="2"/>
  <c r="J8957" i="2"/>
  <c r="I8957" i="2"/>
  <c r="A8957" i="2"/>
  <c r="K8956" i="2"/>
  <c r="J8956" i="2"/>
  <c r="I8956" i="2"/>
  <c r="A8956" i="2"/>
  <c r="K8955" i="2"/>
  <c r="J8955" i="2"/>
  <c r="I8955" i="2"/>
  <c r="A8955" i="2"/>
  <c r="K8954" i="2"/>
  <c r="J8954" i="2"/>
  <c r="I8954" i="2"/>
  <c r="A8954" i="2"/>
  <c r="K8953" i="2"/>
  <c r="J8953" i="2"/>
  <c r="I8953" i="2"/>
  <c r="A8953" i="2"/>
  <c r="K8952" i="2"/>
  <c r="J8952" i="2"/>
  <c r="I8952" i="2"/>
  <c r="A8952" i="2"/>
  <c r="K8951" i="2"/>
  <c r="J8951" i="2"/>
  <c r="I8951" i="2"/>
  <c r="A8951" i="2"/>
  <c r="K8950" i="2"/>
  <c r="J8950" i="2"/>
  <c r="I8950" i="2"/>
  <c r="A8950" i="2"/>
  <c r="J8949" i="2"/>
  <c r="I8949" i="2"/>
  <c r="K8948" i="2"/>
  <c r="J8948" i="2"/>
  <c r="I8948" i="2"/>
  <c r="A8948" i="2"/>
  <c r="K8947" i="2"/>
  <c r="J8947" i="2"/>
  <c r="I8947" i="2"/>
  <c r="A8947" i="2"/>
  <c r="K8946" i="2"/>
  <c r="J8946" i="2"/>
  <c r="I8946" i="2"/>
  <c r="A8946" i="2"/>
  <c r="K8945" i="2"/>
  <c r="J8945" i="2"/>
  <c r="I8945" i="2"/>
  <c r="A8945" i="2"/>
  <c r="K8944" i="2"/>
  <c r="J8944" i="2"/>
  <c r="I8944" i="2"/>
  <c r="A8944" i="2"/>
  <c r="K8943" i="2"/>
  <c r="J8943" i="2"/>
  <c r="I8943" i="2"/>
  <c r="A8943" i="2"/>
  <c r="J8942" i="2"/>
  <c r="I8942" i="2"/>
  <c r="K8941" i="2"/>
  <c r="J8941" i="2"/>
  <c r="I8941" i="2"/>
  <c r="A8941" i="2"/>
  <c r="K8940" i="2"/>
  <c r="J8940" i="2"/>
  <c r="I8940" i="2"/>
  <c r="A8940" i="2"/>
  <c r="K8939" i="2"/>
  <c r="J8939" i="2"/>
  <c r="I8939" i="2"/>
  <c r="A8939" i="2"/>
  <c r="K8938" i="2"/>
  <c r="J8938" i="2"/>
  <c r="I8938" i="2"/>
  <c r="A8938" i="2"/>
  <c r="K8937" i="2"/>
  <c r="J8937" i="2"/>
  <c r="I8937" i="2"/>
  <c r="A8937" i="2"/>
  <c r="K8936" i="2"/>
  <c r="J8936" i="2"/>
  <c r="I8936" i="2"/>
  <c r="A8936" i="2"/>
  <c r="K8935" i="2"/>
  <c r="J8935" i="2"/>
  <c r="I8935" i="2"/>
  <c r="A8935" i="2"/>
  <c r="K8934" i="2"/>
  <c r="J8934" i="2"/>
  <c r="I8934" i="2"/>
  <c r="A8934" i="2"/>
  <c r="K8933" i="2"/>
  <c r="J8933" i="2"/>
  <c r="I8933" i="2"/>
  <c r="A8933" i="2"/>
  <c r="K8932" i="2"/>
  <c r="J8932" i="2"/>
  <c r="I8932" i="2"/>
  <c r="A8932" i="2"/>
  <c r="K8931" i="2"/>
  <c r="J8931" i="2"/>
  <c r="I8931" i="2"/>
  <c r="A8931" i="2"/>
  <c r="K8930" i="2"/>
  <c r="J8930" i="2"/>
  <c r="I8930" i="2"/>
  <c r="A8930" i="2"/>
  <c r="K8929" i="2"/>
  <c r="J8929" i="2"/>
  <c r="I8929" i="2"/>
  <c r="A8929" i="2"/>
  <c r="K8928" i="2"/>
  <c r="J8928" i="2"/>
  <c r="I8928" i="2"/>
  <c r="A8928" i="2"/>
  <c r="K8927" i="2"/>
  <c r="J8927" i="2"/>
  <c r="I8927" i="2"/>
  <c r="A8927" i="2"/>
  <c r="K8926" i="2"/>
  <c r="J8926" i="2"/>
  <c r="I8926" i="2"/>
  <c r="A8926" i="2"/>
  <c r="K8925" i="2"/>
  <c r="J8925" i="2"/>
  <c r="I8925" i="2"/>
  <c r="A8925" i="2"/>
  <c r="K8924" i="2"/>
  <c r="J8924" i="2"/>
  <c r="I8924" i="2"/>
  <c r="A8924" i="2"/>
  <c r="K8923" i="2"/>
  <c r="J8923" i="2"/>
  <c r="I8923" i="2"/>
  <c r="A8923" i="2"/>
  <c r="K8922" i="2"/>
  <c r="J8922" i="2"/>
  <c r="I8922" i="2"/>
  <c r="A8922" i="2"/>
  <c r="K8921" i="2"/>
  <c r="J8921" i="2"/>
  <c r="I8921" i="2"/>
  <c r="A8921" i="2"/>
  <c r="K8920" i="2"/>
  <c r="J8920" i="2"/>
  <c r="I8920" i="2"/>
  <c r="A8920" i="2"/>
  <c r="K8919" i="2"/>
  <c r="J8919" i="2"/>
  <c r="I8919" i="2"/>
  <c r="A8919" i="2"/>
  <c r="K8918" i="2"/>
  <c r="J8918" i="2"/>
  <c r="I8918" i="2"/>
  <c r="A8918" i="2"/>
  <c r="K8917" i="2"/>
  <c r="J8917" i="2"/>
  <c r="I8917" i="2"/>
  <c r="A8917" i="2"/>
  <c r="J8916" i="2"/>
  <c r="I8916" i="2"/>
  <c r="K8915" i="2"/>
  <c r="J8915" i="2"/>
  <c r="I8915" i="2"/>
  <c r="A8915" i="2"/>
  <c r="K8914" i="2"/>
  <c r="J8914" i="2"/>
  <c r="I8914" i="2"/>
  <c r="A8914" i="2"/>
  <c r="K8913" i="2"/>
  <c r="J8913" i="2"/>
  <c r="I8913" i="2"/>
  <c r="A8913" i="2"/>
  <c r="K8912" i="2"/>
  <c r="J8912" i="2"/>
  <c r="I8912" i="2"/>
  <c r="A8912" i="2"/>
  <c r="K8911" i="2"/>
  <c r="J8911" i="2"/>
  <c r="I8911" i="2"/>
  <c r="A8911" i="2"/>
  <c r="K8910" i="2"/>
  <c r="J8910" i="2"/>
  <c r="I8910" i="2"/>
  <c r="A8910" i="2"/>
  <c r="K8909" i="2"/>
  <c r="J8909" i="2"/>
  <c r="I8909" i="2"/>
  <c r="A8909" i="2"/>
  <c r="K8908" i="2"/>
  <c r="J8908" i="2"/>
  <c r="I8908" i="2"/>
  <c r="A8908" i="2"/>
  <c r="K8907" i="2"/>
  <c r="J8907" i="2"/>
  <c r="I8907" i="2"/>
  <c r="A8907" i="2"/>
  <c r="J8906" i="2"/>
  <c r="I8906" i="2"/>
  <c r="K8905" i="2"/>
  <c r="J8905" i="2"/>
  <c r="I8905" i="2"/>
  <c r="A8905" i="2"/>
  <c r="K8904" i="2"/>
  <c r="J8904" i="2"/>
  <c r="I8904" i="2"/>
  <c r="A8904" i="2"/>
  <c r="K8903" i="2"/>
  <c r="J8903" i="2"/>
  <c r="I8903" i="2"/>
  <c r="A8903" i="2"/>
  <c r="K8902" i="2"/>
  <c r="J8902" i="2"/>
  <c r="I8902" i="2"/>
  <c r="A8902" i="2"/>
  <c r="K8901" i="2"/>
  <c r="J8901" i="2"/>
  <c r="I8901" i="2"/>
  <c r="A8901" i="2"/>
  <c r="K8900" i="2"/>
  <c r="J8900" i="2"/>
  <c r="I8900" i="2"/>
  <c r="A8900" i="2"/>
  <c r="J8899" i="2"/>
  <c r="I8899" i="2"/>
  <c r="K8898" i="2"/>
  <c r="J8898" i="2"/>
  <c r="I8898" i="2"/>
  <c r="A8898" i="2"/>
  <c r="K8897" i="2"/>
  <c r="J8897" i="2"/>
  <c r="I8897" i="2"/>
  <c r="A8897" i="2"/>
  <c r="K8896" i="2"/>
  <c r="J8896" i="2"/>
  <c r="I8896" i="2"/>
  <c r="A8896" i="2"/>
  <c r="K8895" i="2"/>
  <c r="J8895" i="2"/>
  <c r="I8895" i="2"/>
  <c r="A8895" i="2"/>
  <c r="K8894" i="2"/>
  <c r="J8894" i="2"/>
  <c r="I8894" i="2"/>
  <c r="A8894" i="2"/>
  <c r="K8893" i="2"/>
  <c r="J8893" i="2"/>
  <c r="I8893" i="2"/>
  <c r="A8893" i="2"/>
  <c r="K8892" i="2"/>
  <c r="J8892" i="2"/>
  <c r="I8892" i="2"/>
  <c r="A8892" i="2"/>
  <c r="K8891" i="2"/>
  <c r="J8891" i="2"/>
  <c r="I8891" i="2"/>
  <c r="A8891" i="2"/>
  <c r="K8890" i="2"/>
  <c r="J8890" i="2"/>
  <c r="I8890" i="2"/>
  <c r="A8890" i="2"/>
  <c r="K8889" i="2"/>
  <c r="J8889" i="2"/>
  <c r="I8889" i="2"/>
  <c r="A8889" i="2"/>
  <c r="K8888" i="2"/>
  <c r="J8888" i="2"/>
  <c r="I8888" i="2"/>
  <c r="A8888" i="2"/>
  <c r="K8887" i="2"/>
  <c r="J8887" i="2"/>
  <c r="I8887" i="2"/>
  <c r="A8887" i="2"/>
  <c r="K8886" i="2"/>
  <c r="J8886" i="2"/>
  <c r="I8886" i="2"/>
  <c r="A8886" i="2"/>
  <c r="K8885" i="2"/>
  <c r="J8885" i="2"/>
  <c r="I8885" i="2"/>
  <c r="A8885" i="2"/>
  <c r="J8884" i="2"/>
  <c r="I8884" i="2"/>
  <c r="K8883" i="2"/>
  <c r="J8883" i="2"/>
  <c r="I8883" i="2"/>
  <c r="A8883" i="2"/>
  <c r="K8882" i="2"/>
  <c r="J8882" i="2"/>
  <c r="I8882" i="2"/>
  <c r="A8882" i="2"/>
  <c r="K8881" i="2"/>
  <c r="J8881" i="2"/>
  <c r="I8881" i="2"/>
  <c r="A8881" i="2"/>
  <c r="K8880" i="2"/>
  <c r="J8880" i="2"/>
  <c r="I8880" i="2"/>
  <c r="A8880" i="2"/>
  <c r="K8879" i="2"/>
  <c r="J8879" i="2"/>
  <c r="I8879" i="2"/>
  <c r="A8879" i="2"/>
  <c r="K8878" i="2"/>
  <c r="J8878" i="2"/>
  <c r="I8878" i="2"/>
  <c r="A8878" i="2"/>
  <c r="K8877" i="2"/>
  <c r="J8877" i="2"/>
  <c r="I8877" i="2"/>
  <c r="A8877" i="2"/>
  <c r="K8876" i="2"/>
  <c r="J8876" i="2"/>
  <c r="I8876" i="2"/>
  <c r="A8876" i="2"/>
  <c r="K8875" i="2"/>
  <c r="J8875" i="2"/>
  <c r="I8875" i="2"/>
  <c r="A8875" i="2"/>
  <c r="K8874" i="2"/>
  <c r="J8874" i="2"/>
  <c r="I8874" i="2"/>
  <c r="A8874" i="2"/>
  <c r="K8873" i="2"/>
  <c r="J8873" i="2"/>
  <c r="I8873" i="2"/>
  <c r="A8873" i="2"/>
  <c r="K8872" i="2"/>
  <c r="J8872" i="2"/>
  <c r="I8872" i="2"/>
  <c r="A8872" i="2"/>
  <c r="K8871" i="2"/>
  <c r="J8871" i="2"/>
  <c r="I8871" i="2"/>
  <c r="A8871" i="2"/>
  <c r="K8870" i="2"/>
  <c r="J8870" i="2"/>
  <c r="I8870" i="2"/>
  <c r="A8870" i="2"/>
  <c r="K8869" i="2"/>
  <c r="J8869" i="2"/>
  <c r="I8869" i="2"/>
  <c r="A8869" i="2"/>
  <c r="K8868" i="2"/>
  <c r="J8868" i="2"/>
  <c r="I8868" i="2"/>
  <c r="A8868" i="2"/>
  <c r="K8867" i="2"/>
  <c r="J8867" i="2"/>
  <c r="I8867" i="2"/>
  <c r="A8867" i="2"/>
  <c r="K8866" i="2"/>
  <c r="J8866" i="2"/>
  <c r="I8866" i="2"/>
  <c r="A8866" i="2"/>
  <c r="K8865" i="2"/>
  <c r="J8865" i="2"/>
  <c r="I8865" i="2"/>
  <c r="A8865" i="2"/>
  <c r="K8864" i="2"/>
  <c r="J8864" i="2"/>
  <c r="I8864" i="2"/>
  <c r="A8864" i="2"/>
  <c r="K8863" i="2"/>
  <c r="J8863" i="2"/>
  <c r="I8863" i="2"/>
  <c r="A8863" i="2"/>
  <c r="K8862" i="2"/>
  <c r="J8862" i="2"/>
  <c r="I8862" i="2"/>
  <c r="A8862" i="2"/>
  <c r="K8861" i="2"/>
  <c r="J8861" i="2"/>
  <c r="I8861" i="2"/>
  <c r="A8861" i="2"/>
  <c r="K8860" i="2"/>
  <c r="J8860" i="2"/>
  <c r="I8860" i="2"/>
  <c r="A8860" i="2"/>
  <c r="K8859" i="2"/>
  <c r="J8859" i="2"/>
  <c r="I8859" i="2"/>
  <c r="A8859" i="2"/>
  <c r="K8858" i="2"/>
  <c r="J8858" i="2"/>
  <c r="I8858" i="2"/>
  <c r="A8858" i="2"/>
  <c r="K8857" i="2"/>
  <c r="J8857" i="2"/>
  <c r="I8857" i="2"/>
  <c r="A8857" i="2"/>
  <c r="K8856" i="2"/>
  <c r="J8856" i="2"/>
  <c r="I8856" i="2"/>
  <c r="A8856" i="2"/>
  <c r="K8855" i="2"/>
  <c r="J8855" i="2"/>
  <c r="I8855" i="2"/>
  <c r="A8855" i="2"/>
  <c r="K8854" i="2"/>
  <c r="J8854" i="2"/>
  <c r="I8854" i="2"/>
  <c r="A8854" i="2"/>
  <c r="K8853" i="2"/>
  <c r="J8853" i="2"/>
  <c r="I8853" i="2"/>
  <c r="A8853" i="2"/>
  <c r="K8852" i="2"/>
  <c r="J8852" i="2"/>
  <c r="I8852" i="2"/>
  <c r="A8852" i="2"/>
  <c r="K8851" i="2"/>
  <c r="J8851" i="2"/>
  <c r="I8851" i="2"/>
  <c r="A8851" i="2"/>
  <c r="K8850" i="2"/>
  <c r="J8850" i="2"/>
  <c r="I8850" i="2"/>
  <c r="A8850" i="2"/>
  <c r="K8849" i="2"/>
  <c r="J8849" i="2"/>
  <c r="I8849" i="2"/>
  <c r="A8849" i="2"/>
  <c r="K8848" i="2"/>
  <c r="J8848" i="2"/>
  <c r="I8848" i="2"/>
  <c r="A8848" i="2"/>
  <c r="K8847" i="2"/>
  <c r="J8847" i="2"/>
  <c r="I8847" i="2"/>
  <c r="A8847" i="2"/>
  <c r="K8846" i="2"/>
  <c r="J8846" i="2"/>
  <c r="I8846" i="2"/>
  <c r="A8846" i="2"/>
  <c r="K8845" i="2"/>
  <c r="J8845" i="2"/>
  <c r="I8845" i="2"/>
  <c r="A8845" i="2"/>
  <c r="K8844" i="2"/>
  <c r="J8844" i="2"/>
  <c r="I8844" i="2"/>
  <c r="A8844" i="2"/>
  <c r="K8843" i="2"/>
  <c r="J8843" i="2"/>
  <c r="I8843" i="2"/>
  <c r="A8843" i="2"/>
  <c r="K8842" i="2"/>
  <c r="J8842" i="2"/>
  <c r="I8842" i="2"/>
  <c r="A8842" i="2"/>
  <c r="K8841" i="2"/>
  <c r="J8841" i="2"/>
  <c r="I8841" i="2"/>
  <c r="A8841" i="2"/>
  <c r="K8840" i="2"/>
  <c r="J8840" i="2"/>
  <c r="I8840" i="2"/>
  <c r="A8840" i="2"/>
  <c r="K8839" i="2"/>
  <c r="J8839" i="2"/>
  <c r="I8839" i="2"/>
  <c r="A8839" i="2"/>
  <c r="K8838" i="2"/>
  <c r="J8838" i="2"/>
  <c r="I8838" i="2"/>
  <c r="A8838" i="2"/>
  <c r="K8837" i="2"/>
  <c r="J8837" i="2"/>
  <c r="I8837" i="2"/>
  <c r="A8837" i="2"/>
  <c r="K8836" i="2"/>
  <c r="J8836" i="2"/>
  <c r="I8836" i="2"/>
  <c r="A8836" i="2"/>
  <c r="K8835" i="2"/>
  <c r="J8835" i="2"/>
  <c r="I8835" i="2"/>
  <c r="A8835" i="2"/>
  <c r="K8834" i="2"/>
  <c r="J8834" i="2"/>
  <c r="I8834" i="2"/>
  <c r="A8834" i="2"/>
  <c r="K8833" i="2"/>
  <c r="J8833" i="2"/>
  <c r="I8833" i="2"/>
  <c r="A8833" i="2"/>
  <c r="K8832" i="2"/>
  <c r="J8832" i="2"/>
  <c r="I8832" i="2"/>
  <c r="A8832" i="2"/>
  <c r="K8831" i="2"/>
  <c r="J8831" i="2"/>
  <c r="I8831" i="2"/>
  <c r="A8831" i="2"/>
  <c r="K8830" i="2"/>
  <c r="J8830" i="2"/>
  <c r="I8830" i="2"/>
  <c r="A8830" i="2"/>
  <c r="K8829" i="2"/>
  <c r="J8829" i="2"/>
  <c r="I8829" i="2"/>
  <c r="A8829" i="2"/>
  <c r="K8828" i="2"/>
  <c r="J8828" i="2"/>
  <c r="I8828" i="2"/>
  <c r="A8828" i="2"/>
  <c r="K8827" i="2"/>
  <c r="J8827" i="2"/>
  <c r="I8827" i="2"/>
  <c r="A8827" i="2"/>
  <c r="K8826" i="2"/>
  <c r="J8826" i="2"/>
  <c r="I8826" i="2"/>
  <c r="A8826" i="2"/>
  <c r="K8825" i="2"/>
  <c r="J8825" i="2"/>
  <c r="I8825" i="2"/>
  <c r="A8825" i="2"/>
  <c r="K8824" i="2"/>
  <c r="J8824" i="2"/>
  <c r="I8824" i="2"/>
  <c r="A8824" i="2"/>
  <c r="K8823" i="2"/>
  <c r="J8823" i="2"/>
  <c r="I8823" i="2"/>
  <c r="A8823" i="2"/>
  <c r="K8822" i="2"/>
  <c r="J8822" i="2"/>
  <c r="I8822" i="2"/>
  <c r="A8822" i="2"/>
  <c r="K8821" i="2"/>
  <c r="J8821" i="2"/>
  <c r="I8821" i="2"/>
  <c r="A8821" i="2"/>
  <c r="K8820" i="2"/>
  <c r="J8820" i="2"/>
  <c r="I8820" i="2"/>
  <c r="A8820" i="2"/>
  <c r="K8819" i="2"/>
  <c r="J8819" i="2"/>
  <c r="I8819" i="2"/>
  <c r="A8819" i="2"/>
  <c r="K8818" i="2"/>
  <c r="J8818" i="2"/>
  <c r="I8818" i="2"/>
  <c r="A8818" i="2"/>
  <c r="K8817" i="2"/>
  <c r="J8817" i="2"/>
  <c r="I8817" i="2"/>
  <c r="A8817" i="2"/>
  <c r="K8816" i="2"/>
  <c r="J8816" i="2"/>
  <c r="I8816" i="2"/>
  <c r="A8816" i="2"/>
  <c r="K8815" i="2"/>
  <c r="J8815" i="2"/>
  <c r="I8815" i="2"/>
  <c r="A8815" i="2"/>
  <c r="K8814" i="2"/>
  <c r="J8814" i="2"/>
  <c r="I8814" i="2"/>
  <c r="A8814" i="2"/>
  <c r="K8813" i="2"/>
  <c r="J8813" i="2"/>
  <c r="I8813" i="2"/>
  <c r="A8813" i="2"/>
  <c r="K8812" i="2"/>
  <c r="J8812" i="2"/>
  <c r="I8812" i="2"/>
  <c r="A8812" i="2"/>
  <c r="K8811" i="2"/>
  <c r="J8811" i="2"/>
  <c r="I8811" i="2"/>
  <c r="A8811" i="2"/>
  <c r="J8810" i="2"/>
  <c r="I8810" i="2"/>
  <c r="K8809" i="2"/>
  <c r="J8809" i="2"/>
  <c r="I8809" i="2"/>
  <c r="A8809" i="2"/>
  <c r="K8808" i="2"/>
  <c r="J8808" i="2"/>
  <c r="I8808" i="2"/>
  <c r="A8808" i="2"/>
  <c r="K8807" i="2"/>
  <c r="J8807" i="2"/>
  <c r="I8807" i="2"/>
  <c r="A8807" i="2"/>
  <c r="K8806" i="2"/>
  <c r="J8806" i="2"/>
  <c r="I8806" i="2"/>
  <c r="A8806" i="2"/>
  <c r="K8805" i="2"/>
  <c r="J8805" i="2"/>
  <c r="I8805" i="2"/>
  <c r="A8805" i="2"/>
  <c r="K8804" i="2"/>
  <c r="J8804" i="2"/>
  <c r="I8804" i="2"/>
  <c r="A8804" i="2"/>
  <c r="K8803" i="2"/>
  <c r="J8803" i="2"/>
  <c r="I8803" i="2"/>
  <c r="A8803" i="2"/>
  <c r="K8802" i="2"/>
  <c r="J8802" i="2"/>
  <c r="I8802" i="2"/>
  <c r="A8802" i="2"/>
  <c r="K8801" i="2"/>
  <c r="J8801" i="2"/>
  <c r="I8801" i="2"/>
  <c r="A8801" i="2"/>
  <c r="K8800" i="2"/>
  <c r="J8800" i="2"/>
  <c r="I8800" i="2"/>
  <c r="A8800" i="2"/>
  <c r="K8799" i="2"/>
  <c r="J8799" i="2"/>
  <c r="I8799" i="2"/>
  <c r="A8799" i="2"/>
  <c r="K8798" i="2"/>
  <c r="J8798" i="2"/>
  <c r="I8798" i="2"/>
  <c r="A8798" i="2"/>
  <c r="K8797" i="2"/>
  <c r="J8797" i="2"/>
  <c r="I8797" i="2"/>
  <c r="A8797" i="2"/>
  <c r="K8796" i="2"/>
  <c r="J8796" i="2"/>
  <c r="I8796" i="2"/>
  <c r="A8796" i="2"/>
  <c r="K8795" i="2"/>
  <c r="J8795" i="2"/>
  <c r="I8795" i="2"/>
  <c r="A8795" i="2"/>
  <c r="K8794" i="2"/>
  <c r="J8794" i="2"/>
  <c r="I8794" i="2"/>
  <c r="A8794" i="2"/>
  <c r="K8793" i="2"/>
  <c r="J8793" i="2"/>
  <c r="I8793" i="2"/>
  <c r="A8793" i="2"/>
  <c r="K8792" i="2"/>
  <c r="J8792" i="2"/>
  <c r="I8792" i="2"/>
  <c r="A8792" i="2"/>
  <c r="K8791" i="2"/>
  <c r="J8791" i="2"/>
  <c r="I8791" i="2"/>
  <c r="A8791" i="2"/>
  <c r="K8790" i="2"/>
  <c r="J8790" i="2"/>
  <c r="I8790" i="2"/>
  <c r="A8790" i="2"/>
  <c r="K8789" i="2"/>
  <c r="J8789" i="2"/>
  <c r="I8789" i="2"/>
  <c r="A8789" i="2"/>
  <c r="K8788" i="2"/>
  <c r="J8788" i="2"/>
  <c r="I8788" i="2"/>
  <c r="A8788" i="2"/>
  <c r="K8787" i="2"/>
  <c r="J8787" i="2"/>
  <c r="I8787" i="2"/>
  <c r="A8787" i="2"/>
  <c r="K8786" i="2"/>
  <c r="J8786" i="2"/>
  <c r="I8786" i="2"/>
  <c r="A8786" i="2"/>
  <c r="K8785" i="2"/>
  <c r="J8785" i="2"/>
  <c r="I8785" i="2"/>
  <c r="A8785" i="2"/>
  <c r="K8784" i="2"/>
  <c r="J8784" i="2"/>
  <c r="I8784" i="2"/>
  <c r="A8784" i="2"/>
  <c r="K8783" i="2"/>
  <c r="J8783" i="2"/>
  <c r="I8783" i="2"/>
  <c r="A8783" i="2"/>
  <c r="K8782" i="2"/>
  <c r="J8782" i="2"/>
  <c r="I8782" i="2"/>
  <c r="A8782" i="2"/>
  <c r="K8781" i="2"/>
  <c r="J8781" i="2"/>
  <c r="I8781" i="2"/>
  <c r="A8781" i="2"/>
  <c r="K8780" i="2"/>
  <c r="J8780" i="2"/>
  <c r="I8780" i="2"/>
  <c r="A8780" i="2"/>
  <c r="K8779" i="2"/>
  <c r="J8779" i="2"/>
  <c r="I8779" i="2"/>
  <c r="A8779" i="2"/>
  <c r="K8778" i="2"/>
  <c r="J8778" i="2"/>
  <c r="I8778" i="2"/>
  <c r="A8778" i="2"/>
  <c r="K8777" i="2"/>
  <c r="J8777" i="2"/>
  <c r="I8777" i="2"/>
  <c r="A8777" i="2"/>
  <c r="K8776" i="2"/>
  <c r="J8776" i="2"/>
  <c r="I8776" i="2"/>
  <c r="A8776" i="2"/>
  <c r="K8775" i="2"/>
  <c r="J8775" i="2"/>
  <c r="I8775" i="2"/>
  <c r="A8775" i="2"/>
  <c r="K8774" i="2"/>
  <c r="J8774" i="2"/>
  <c r="I8774" i="2"/>
  <c r="A8774" i="2"/>
  <c r="K8773" i="2"/>
  <c r="J8773" i="2"/>
  <c r="I8773" i="2"/>
  <c r="A8773" i="2"/>
  <c r="J8772" i="2"/>
  <c r="I8772" i="2"/>
  <c r="K8771" i="2"/>
  <c r="J8771" i="2"/>
  <c r="I8771" i="2"/>
  <c r="A8771" i="2"/>
  <c r="J8770" i="2"/>
  <c r="I8770" i="2"/>
  <c r="K8769" i="2"/>
  <c r="J8769" i="2"/>
  <c r="I8769" i="2"/>
  <c r="A8769" i="2"/>
  <c r="K8768" i="2"/>
  <c r="J8768" i="2"/>
  <c r="I8768" i="2"/>
  <c r="A8768" i="2"/>
  <c r="K8767" i="2"/>
  <c r="J8767" i="2"/>
  <c r="I8767" i="2"/>
  <c r="A8767" i="2"/>
  <c r="K8766" i="2"/>
  <c r="J8766" i="2"/>
  <c r="I8766" i="2"/>
  <c r="A8766" i="2"/>
  <c r="K8765" i="2"/>
  <c r="J8765" i="2"/>
  <c r="I8765" i="2"/>
  <c r="A8765" i="2"/>
  <c r="J8764" i="2"/>
  <c r="I8764" i="2"/>
  <c r="K8763" i="2"/>
  <c r="J8763" i="2"/>
  <c r="I8763" i="2"/>
  <c r="A8763" i="2"/>
  <c r="K8762" i="2"/>
  <c r="J8762" i="2"/>
  <c r="I8762" i="2"/>
  <c r="A8762" i="2"/>
  <c r="K8761" i="2"/>
  <c r="J8761" i="2"/>
  <c r="I8761" i="2"/>
  <c r="A8761" i="2"/>
  <c r="K8760" i="2"/>
  <c r="J8760" i="2"/>
  <c r="I8760" i="2"/>
  <c r="A8760" i="2"/>
  <c r="K8759" i="2"/>
  <c r="J8759" i="2"/>
  <c r="I8759" i="2"/>
  <c r="A8759" i="2"/>
  <c r="J8758" i="2"/>
  <c r="I8758" i="2"/>
  <c r="K8757" i="2"/>
  <c r="J8757" i="2"/>
  <c r="I8757" i="2"/>
  <c r="A8757" i="2"/>
  <c r="K8756" i="2"/>
  <c r="J8756" i="2"/>
  <c r="I8756" i="2"/>
  <c r="A8756" i="2"/>
  <c r="K8755" i="2"/>
  <c r="J8755" i="2"/>
  <c r="I8755" i="2"/>
  <c r="A8755" i="2"/>
  <c r="K8754" i="2"/>
  <c r="J8754" i="2"/>
  <c r="I8754" i="2"/>
  <c r="A8754" i="2"/>
  <c r="K8753" i="2"/>
  <c r="J8753" i="2"/>
  <c r="I8753" i="2"/>
  <c r="A8753" i="2"/>
  <c r="K8752" i="2"/>
  <c r="J8752" i="2"/>
  <c r="I8752" i="2"/>
  <c r="A8752" i="2"/>
  <c r="K8751" i="2"/>
  <c r="J8751" i="2"/>
  <c r="I8751" i="2"/>
  <c r="A8751" i="2"/>
  <c r="K8750" i="2"/>
  <c r="J8750" i="2"/>
  <c r="I8750" i="2"/>
  <c r="A8750" i="2"/>
  <c r="K8749" i="2"/>
  <c r="J8749" i="2"/>
  <c r="I8749" i="2"/>
  <c r="A8749" i="2"/>
  <c r="K8748" i="2"/>
  <c r="J8748" i="2"/>
  <c r="I8748" i="2"/>
  <c r="A8748" i="2"/>
  <c r="K8747" i="2"/>
  <c r="J8747" i="2"/>
  <c r="I8747" i="2"/>
  <c r="A8747" i="2"/>
  <c r="K8746" i="2"/>
  <c r="J8746" i="2"/>
  <c r="I8746" i="2"/>
  <c r="A8746" i="2"/>
  <c r="K8745" i="2"/>
  <c r="J8745" i="2"/>
  <c r="I8745" i="2"/>
  <c r="A8745" i="2"/>
  <c r="K8744" i="2"/>
  <c r="J8744" i="2"/>
  <c r="I8744" i="2"/>
  <c r="A8744" i="2"/>
  <c r="K8743" i="2"/>
  <c r="J8743" i="2"/>
  <c r="I8743" i="2"/>
  <c r="A8743" i="2"/>
  <c r="K8742" i="2"/>
  <c r="J8742" i="2"/>
  <c r="I8742" i="2"/>
  <c r="A8742" i="2"/>
  <c r="K8741" i="2"/>
  <c r="J8741" i="2"/>
  <c r="I8741" i="2"/>
  <c r="A8741" i="2"/>
  <c r="J8740" i="2"/>
  <c r="I8740" i="2"/>
  <c r="K8739" i="2"/>
  <c r="J8739" i="2"/>
  <c r="I8739" i="2"/>
  <c r="A8739" i="2"/>
  <c r="K8738" i="2"/>
  <c r="J8738" i="2"/>
  <c r="I8738" i="2"/>
  <c r="A8738" i="2"/>
  <c r="K8737" i="2"/>
  <c r="J8737" i="2"/>
  <c r="I8737" i="2"/>
  <c r="A8737" i="2"/>
  <c r="K8736" i="2"/>
  <c r="J8736" i="2"/>
  <c r="I8736" i="2"/>
  <c r="A8736" i="2"/>
  <c r="K8735" i="2"/>
  <c r="J8735" i="2"/>
  <c r="I8735" i="2"/>
  <c r="A8735" i="2"/>
  <c r="K8734" i="2"/>
  <c r="J8734" i="2"/>
  <c r="I8734" i="2"/>
  <c r="A8734" i="2"/>
  <c r="K8733" i="2"/>
  <c r="J8733" i="2"/>
  <c r="I8733" i="2"/>
  <c r="A8733" i="2"/>
  <c r="K8732" i="2"/>
  <c r="J8732" i="2"/>
  <c r="I8732" i="2"/>
  <c r="A8732" i="2"/>
  <c r="K8731" i="2"/>
  <c r="J8731" i="2"/>
  <c r="I8731" i="2"/>
  <c r="A8731" i="2"/>
  <c r="K8730" i="2"/>
  <c r="J8730" i="2"/>
  <c r="I8730" i="2"/>
  <c r="A8730" i="2"/>
  <c r="K8729" i="2"/>
  <c r="J8729" i="2"/>
  <c r="I8729" i="2"/>
  <c r="A8729" i="2"/>
  <c r="J8728" i="2"/>
  <c r="I8728" i="2"/>
  <c r="K8727" i="2"/>
  <c r="J8727" i="2"/>
  <c r="I8727" i="2"/>
  <c r="A8727" i="2"/>
  <c r="K8726" i="2"/>
  <c r="J8726" i="2"/>
  <c r="I8726" i="2"/>
  <c r="A8726" i="2"/>
  <c r="K8725" i="2"/>
  <c r="J8725" i="2"/>
  <c r="I8725" i="2"/>
  <c r="A8725" i="2"/>
  <c r="K8724" i="2"/>
  <c r="J8724" i="2"/>
  <c r="I8724" i="2"/>
  <c r="A8724" i="2"/>
  <c r="K8723" i="2"/>
  <c r="J8723" i="2"/>
  <c r="I8723" i="2"/>
  <c r="A8723" i="2"/>
  <c r="K8722" i="2"/>
  <c r="J8722" i="2"/>
  <c r="I8722" i="2"/>
  <c r="A8722" i="2"/>
  <c r="K8721" i="2"/>
  <c r="J8721" i="2"/>
  <c r="I8721" i="2"/>
  <c r="A8721" i="2"/>
  <c r="K8720" i="2"/>
  <c r="J8720" i="2"/>
  <c r="I8720" i="2"/>
  <c r="A8720" i="2"/>
  <c r="K8719" i="2"/>
  <c r="J8719" i="2"/>
  <c r="I8719" i="2"/>
  <c r="A8719" i="2"/>
  <c r="K8718" i="2"/>
  <c r="J8718" i="2"/>
  <c r="I8718" i="2"/>
  <c r="A8718" i="2"/>
  <c r="K8717" i="2"/>
  <c r="J8717" i="2"/>
  <c r="I8717" i="2"/>
  <c r="A8717" i="2"/>
  <c r="K8716" i="2"/>
  <c r="J8716" i="2"/>
  <c r="I8716" i="2"/>
  <c r="A8716" i="2"/>
  <c r="J8715" i="2"/>
  <c r="I8715" i="2"/>
  <c r="K8714" i="2"/>
  <c r="J8714" i="2"/>
  <c r="I8714" i="2"/>
  <c r="A8714" i="2"/>
  <c r="K8713" i="2"/>
  <c r="J8713" i="2"/>
  <c r="I8713" i="2"/>
  <c r="A8713" i="2"/>
  <c r="K8712" i="2"/>
  <c r="J8712" i="2"/>
  <c r="I8712" i="2"/>
  <c r="A8712" i="2"/>
  <c r="J8711" i="2"/>
  <c r="I8711" i="2"/>
  <c r="K8710" i="2"/>
  <c r="J8710" i="2"/>
  <c r="I8710" i="2"/>
  <c r="A8710" i="2"/>
  <c r="K8709" i="2"/>
  <c r="J8709" i="2"/>
  <c r="I8709" i="2"/>
  <c r="A8709" i="2"/>
  <c r="K8708" i="2"/>
  <c r="J8708" i="2"/>
  <c r="I8708" i="2"/>
  <c r="A8708" i="2"/>
  <c r="K8707" i="2"/>
  <c r="J8707" i="2"/>
  <c r="I8707" i="2"/>
  <c r="A8707" i="2"/>
  <c r="K8706" i="2"/>
  <c r="J8706" i="2"/>
  <c r="I8706" i="2"/>
  <c r="A8706" i="2"/>
  <c r="K8705" i="2"/>
  <c r="J8705" i="2"/>
  <c r="I8705" i="2"/>
  <c r="A8705" i="2"/>
  <c r="K8704" i="2"/>
  <c r="J8704" i="2"/>
  <c r="I8704" i="2"/>
  <c r="A8704" i="2"/>
  <c r="K8703" i="2"/>
  <c r="J8703" i="2"/>
  <c r="I8703" i="2"/>
  <c r="A8703" i="2"/>
  <c r="K8702" i="2"/>
  <c r="J8702" i="2"/>
  <c r="I8702" i="2"/>
  <c r="A8702" i="2"/>
  <c r="K8701" i="2"/>
  <c r="J8701" i="2"/>
  <c r="I8701" i="2"/>
  <c r="A8701" i="2"/>
  <c r="K8700" i="2"/>
  <c r="J8700" i="2"/>
  <c r="I8700" i="2"/>
  <c r="A8700" i="2"/>
  <c r="K8699" i="2"/>
  <c r="J8699" i="2"/>
  <c r="I8699" i="2"/>
  <c r="A8699" i="2"/>
  <c r="K8698" i="2"/>
  <c r="J8698" i="2"/>
  <c r="I8698" i="2"/>
  <c r="A8698" i="2"/>
  <c r="K8697" i="2"/>
  <c r="J8697" i="2"/>
  <c r="I8697" i="2"/>
  <c r="A8697" i="2"/>
  <c r="K8696" i="2"/>
  <c r="J8696" i="2"/>
  <c r="I8696" i="2"/>
  <c r="A8696" i="2"/>
  <c r="K8695" i="2"/>
  <c r="J8695" i="2"/>
  <c r="I8695" i="2"/>
  <c r="A8695" i="2"/>
  <c r="K8694" i="2"/>
  <c r="J8694" i="2"/>
  <c r="I8694" i="2"/>
  <c r="A8694" i="2"/>
  <c r="K8693" i="2"/>
  <c r="J8693" i="2"/>
  <c r="I8693" i="2"/>
  <c r="A8693" i="2"/>
  <c r="K8692" i="2"/>
  <c r="J8692" i="2"/>
  <c r="I8692" i="2"/>
  <c r="A8692" i="2"/>
  <c r="K8691" i="2"/>
  <c r="J8691" i="2"/>
  <c r="I8691" i="2"/>
  <c r="A8691" i="2"/>
  <c r="K8690" i="2"/>
  <c r="J8690" i="2"/>
  <c r="I8690" i="2"/>
  <c r="A8690" i="2"/>
  <c r="K8689" i="2"/>
  <c r="J8689" i="2"/>
  <c r="I8689" i="2"/>
  <c r="A8689" i="2"/>
  <c r="K8688" i="2"/>
  <c r="J8688" i="2"/>
  <c r="I8688" i="2"/>
  <c r="A8688" i="2"/>
  <c r="K8687" i="2"/>
  <c r="J8687" i="2"/>
  <c r="I8687" i="2"/>
  <c r="A8687" i="2"/>
  <c r="K8686" i="2"/>
  <c r="J8686" i="2"/>
  <c r="I8686" i="2"/>
  <c r="A8686" i="2"/>
  <c r="K8685" i="2"/>
  <c r="J8685" i="2"/>
  <c r="I8685" i="2"/>
  <c r="A8685" i="2"/>
  <c r="K8684" i="2"/>
  <c r="J8684" i="2"/>
  <c r="I8684" i="2"/>
  <c r="A8684" i="2"/>
  <c r="K8683" i="2"/>
  <c r="J8683" i="2"/>
  <c r="I8683" i="2"/>
  <c r="A8683" i="2"/>
  <c r="K8682" i="2"/>
  <c r="J8682" i="2"/>
  <c r="I8682" i="2"/>
  <c r="A8682" i="2"/>
  <c r="K8681" i="2"/>
  <c r="J8681" i="2"/>
  <c r="I8681" i="2"/>
  <c r="A8681" i="2"/>
  <c r="K8680" i="2"/>
  <c r="J8680" i="2"/>
  <c r="I8680" i="2"/>
  <c r="A8680" i="2"/>
  <c r="K8679" i="2"/>
  <c r="J8679" i="2"/>
  <c r="I8679" i="2"/>
  <c r="A8679" i="2"/>
  <c r="K8678" i="2"/>
  <c r="J8678" i="2"/>
  <c r="I8678" i="2"/>
  <c r="A8678" i="2"/>
  <c r="J8677" i="2"/>
  <c r="I8677" i="2"/>
  <c r="K8676" i="2"/>
  <c r="J8676" i="2"/>
  <c r="I8676" i="2"/>
  <c r="A8676" i="2"/>
  <c r="K8675" i="2"/>
  <c r="J8675" i="2"/>
  <c r="I8675" i="2"/>
  <c r="A8675" i="2"/>
  <c r="K8674" i="2"/>
  <c r="J8674" i="2"/>
  <c r="I8674" i="2"/>
  <c r="A8674" i="2"/>
  <c r="K8673" i="2"/>
  <c r="J8673" i="2"/>
  <c r="I8673" i="2"/>
  <c r="A8673" i="2"/>
  <c r="K8672" i="2"/>
  <c r="J8672" i="2"/>
  <c r="I8672" i="2"/>
  <c r="A8672" i="2"/>
  <c r="K8671" i="2"/>
  <c r="J8671" i="2"/>
  <c r="I8671" i="2"/>
  <c r="A8671" i="2"/>
  <c r="K8670" i="2"/>
  <c r="J8670" i="2"/>
  <c r="I8670" i="2"/>
  <c r="A8670" i="2"/>
  <c r="K8669" i="2"/>
  <c r="J8669" i="2"/>
  <c r="I8669" i="2"/>
  <c r="A8669" i="2"/>
  <c r="K8668" i="2"/>
  <c r="J8668" i="2"/>
  <c r="I8668" i="2"/>
  <c r="A8668" i="2"/>
  <c r="K8667" i="2"/>
  <c r="J8667" i="2"/>
  <c r="I8667" i="2"/>
  <c r="A8667" i="2"/>
  <c r="J8666" i="2"/>
  <c r="I8666" i="2"/>
  <c r="K8665" i="2"/>
  <c r="J8665" i="2"/>
  <c r="I8665" i="2"/>
  <c r="A8665" i="2"/>
  <c r="K8664" i="2"/>
  <c r="J8664" i="2"/>
  <c r="I8664" i="2"/>
  <c r="A8664" i="2"/>
  <c r="K8663" i="2"/>
  <c r="J8663" i="2"/>
  <c r="I8663" i="2"/>
  <c r="A8663" i="2"/>
  <c r="K8662" i="2"/>
  <c r="J8662" i="2"/>
  <c r="I8662" i="2"/>
  <c r="A8662" i="2"/>
  <c r="K8661" i="2"/>
  <c r="J8661" i="2"/>
  <c r="I8661" i="2"/>
  <c r="A8661" i="2"/>
  <c r="K8660" i="2"/>
  <c r="J8660" i="2"/>
  <c r="I8660" i="2"/>
  <c r="A8660" i="2"/>
  <c r="K8659" i="2"/>
  <c r="J8659" i="2"/>
  <c r="I8659" i="2"/>
  <c r="A8659" i="2"/>
  <c r="K8658" i="2"/>
  <c r="J8658" i="2"/>
  <c r="I8658" i="2"/>
  <c r="A8658" i="2"/>
  <c r="K8657" i="2"/>
  <c r="J8657" i="2"/>
  <c r="I8657" i="2"/>
  <c r="A8657" i="2"/>
  <c r="K8656" i="2"/>
  <c r="J8656" i="2"/>
  <c r="I8656" i="2"/>
  <c r="A8656" i="2"/>
  <c r="K8655" i="2"/>
  <c r="J8655" i="2"/>
  <c r="I8655" i="2"/>
  <c r="A8655" i="2"/>
  <c r="K8654" i="2"/>
  <c r="J8654" i="2"/>
  <c r="I8654" i="2"/>
  <c r="A8654" i="2"/>
  <c r="K8653" i="2"/>
  <c r="J8653" i="2"/>
  <c r="I8653" i="2"/>
  <c r="A8653" i="2"/>
  <c r="K8652" i="2"/>
  <c r="J8652" i="2"/>
  <c r="I8652" i="2"/>
  <c r="A8652" i="2"/>
  <c r="K8651" i="2"/>
  <c r="J8651" i="2"/>
  <c r="I8651" i="2"/>
  <c r="A8651" i="2"/>
  <c r="K8650" i="2"/>
  <c r="J8650" i="2"/>
  <c r="I8650" i="2"/>
  <c r="A8650" i="2"/>
  <c r="K8649" i="2"/>
  <c r="J8649" i="2"/>
  <c r="I8649" i="2"/>
  <c r="A8649" i="2"/>
  <c r="K8648" i="2"/>
  <c r="J8648" i="2"/>
  <c r="I8648" i="2"/>
  <c r="A8648" i="2"/>
  <c r="K8647" i="2"/>
  <c r="J8647" i="2"/>
  <c r="I8647" i="2"/>
  <c r="A8647" i="2"/>
  <c r="J8646" i="2"/>
  <c r="I8646" i="2"/>
  <c r="K8645" i="2"/>
  <c r="J8645" i="2"/>
  <c r="I8645" i="2"/>
  <c r="A8645" i="2"/>
  <c r="K8644" i="2"/>
  <c r="J8644" i="2"/>
  <c r="I8644" i="2"/>
  <c r="A8644" i="2"/>
  <c r="K8643" i="2"/>
  <c r="J8643" i="2"/>
  <c r="I8643" i="2"/>
  <c r="A8643" i="2"/>
  <c r="K8642" i="2"/>
  <c r="J8642" i="2"/>
  <c r="I8642" i="2"/>
  <c r="A8642" i="2"/>
  <c r="K8641" i="2"/>
  <c r="J8641" i="2"/>
  <c r="I8641" i="2"/>
  <c r="A8641" i="2"/>
  <c r="K8640" i="2"/>
  <c r="J8640" i="2"/>
  <c r="I8640" i="2"/>
  <c r="A8640" i="2"/>
  <c r="K8639" i="2"/>
  <c r="J8639" i="2"/>
  <c r="I8639" i="2"/>
  <c r="A8639" i="2"/>
  <c r="K8638" i="2"/>
  <c r="J8638" i="2"/>
  <c r="I8638" i="2"/>
  <c r="A8638" i="2"/>
  <c r="K8637" i="2"/>
  <c r="J8637" i="2"/>
  <c r="I8637" i="2"/>
  <c r="A8637" i="2"/>
  <c r="K8636" i="2"/>
  <c r="J8636" i="2"/>
  <c r="I8636" i="2"/>
  <c r="A8636" i="2"/>
  <c r="K8635" i="2"/>
  <c r="J8635" i="2"/>
  <c r="I8635" i="2"/>
  <c r="A8635" i="2"/>
  <c r="J8634" i="2"/>
  <c r="I8634" i="2"/>
  <c r="J8633" i="2"/>
  <c r="I8633" i="2"/>
  <c r="K8632" i="2"/>
  <c r="J8632" i="2"/>
  <c r="I8632" i="2"/>
  <c r="A8632" i="2"/>
  <c r="K8631" i="2"/>
  <c r="J8631" i="2"/>
  <c r="I8631" i="2"/>
  <c r="A8631" i="2"/>
  <c r="K8630" i="2"/>
  <c r="J8630" i="2"/>
  <c r="I8630" i="2"/>
  <c r="A8630" i="2"/>
  <c r="K8629" i="2"/>
  <c r="J8629" i="2"/>
  <c r="I8629" i="2"/>
  <c r="A8629" i="2"/>
  <c r="J8628" i="2"/>
  <c r="I8628" i="2"/>
  <c r="K8627" i="2"/>
  <c r="J8627" i="2"/>
  <c r="I8627" i="2"/>
  <c r="A8627" i="2"/>
  <c r="K8626" i="2"/>
  <c r="J8626" i="2"/>
  <c r="I8626" i="2"/>
  <c r="A8626" i="2"/>
  <c r="K8625" i="2"/>
  <c r="J8625" i="2"/>
  <c r="I8625" i="2"/>
  <c r="A8625" i="2"/>
  <c r="K8624" i="2"/>
  <c r="J8624" i="2"/>
  <c r="I8624" i="2"/>
  <c r="A8624" i="2"/>
  <c r="K8623" i="2"/>
  <c r="J8623" i="2"/>
  <c r="I8623" i="2"/>
  <c r="A8623" i="2"/>
  <c r="K8622" i="2"/>
  <c r="J8622" i="2"/>
  <c r="I8622" i="2"/>
  <c r="A8622" i="2"/>
  <c r="K8621" i="2"/>
  <c r="J8621" i="2"/>
  <c r="I8621" i="2"/>
  <c r="A8621" i="2"/>
  <c r="K8620" i="2"/>
  <c r="J8620" i="2"/>
  <c r="I8620" i="2"/>
  <c r="A8620" i="2"/>
  <c r="K8619" i="2"/>
  <c r="J8619" i="2"/>
  <c r="I8619" i="2"/>
  <c r="A8619" i="2"/>
  <c r="K8618" i="2"/>
  <c r="J8618" i="2"/>
  <c r="I8618" i="2"/>
  <c r="A8618" i="2"/>
  <c r="K8617" i="2"/>
  <c r="J8617" i="2"/>
  <c r="I8617" i="2"/>
  <c r="A8617" i="2"/>
  <c r="K8616" i="2"/>
  <c r="J8616" i="2"/>
  <c r="I8616" i="2"/>
  <c r="A8616" i="2"/>
  <c r="K8615" i="2"/>
  <c r="J8615" i="2"/>
  <c r="I8615" i="2"/>
  <c r="A8615" i="2"/>
  <c r="J8614" i="2"/>
  <c r="I8614" i="2"/>
  <c r="K8613" i="2"/>
  <c r="J8613" i="2"/>
  <c r="I8613" i="2"/>
  <c r="A8613" i="2"/>
  <c r="K8612" i="2"/>
  <c r="J8612" i="2"/>
  <c r="I8612" i="2"/>
  <c r="A8612" i="2"/>
  <c r="K8611" i="2"/>
  <c r="J8611" i="2"/>
  <c r="I8611" i="2"/>
  <c r="A8611" i="2"/>
  <c r="K8610" i="2"/>
  <c r="J8610" i="2"/>
  <c r="I8610" i="2"/>
  <c r="A8610" i="2"/>
  <c r="K8609" i="2"/>
  <c r="J8609" i="2"/>
  <c r="I8609" i="2"/>
  <c r="A8609" i="2"/>
  <c r="K8608" i="2"/>
  <c r="J8608" i="2"/>
  <c r="I8608" i="2"/>
  <c r="A8608" i="2"/>
  <c r="K8607" i="2"/>
  <c r="J8607" i="2"/>
  <c r="I8607" i="2"/>
  <c r="A8607" i="2"/>
  <c r="K8606" i="2"/>
  <c r="J8606" i="2"/>
  <c r="I8606" i="2"/>
  <c r="A8606" i="2"/>
  <c r="J8605" i="2"/>
  <c r="I8605" i="2"/>
  <c r="K8604" i="2"/>
  <c r="J8604" i="2"/>
  <c r="I8604" i="2"/>
  <c r="A8604" i="2"/>
  <c r="K8603" i="2"/>
  <c r="J8603" i="2"/>
  <c r="I8603" i="2"/>
  <c r="A8603" i="2"/>
  <c r="K8602" i="2"/>
  <c r="J8602" i="2"/>
  <c r="I8602" i="2"/>
  <c r="A8602" i="2"/>
  <c r="K8601" i="2"/>
  <c r="J8601" i="2"/>
  <c r="I8601" i="2"/>
  <c r="A8601" i="2"/>
  <c r="K8600" i="2"/>
  <c r="J8600" i="2"/>
  <c r="I8600" i="2"/>
  <c r="A8600" i="2"/>
  <c r="K8599" i="2"/>
  <c r="J8599" i="2"/>
  <c r="I8599" i="2"/>
  <c r="A8599" i="2"/>
  <c r="K8598" i="2"/>
  <c r="J8598" i="2"/>
  <c r="I8598" i="2"/>
  <c r="A8598" i="2"/>
  <c r="K8597" i="2"/>
  <c r="J8597" i="2"/>
  <c r="I8597" i="2"/>
  <c r="A8597" i="2"/>
  <c r="J8596" i="2"/>
  <c r="I8596" i="2"/>
  <c r="K8595" i="2"/>
  <c r="J8595" i="2"/>
  <c r="I8595" i="2"/>
  <c r="A8595" i="2"/>
  <c r="J8594" i="2"/>
  <c r="I8594" i="2"/>
  <c r="K8593" i="2"/>
  <c r="J8593" i="2"/>
  <c r="I8593" i="2"/>
  <c r="A8593" i="2"/>
  <c r="K8592" i="2"/>
  <c r="J8592" i="2"/>
  <c r="I8592" i="2"/>
  <c r="A8592" i="2"/>
  <c r="K8591" i="2"/>
  <c r="J8591" i="2"/>
  <c r="I8591" i="2"/>
  <c r="A8591" i="2"/>
  <c r="K8590" i="2"/>
  <c r="J8590" i="2"/>
  <c r="I8590" i="2"/>
  <c r="A8590" i="2"/>
  <c r="K8589" i="2"/>
  <c r="J8589" i="2"/>
  <c r="I8589" i="2"/>
  <c r="A8589" i="2"/>
  <c r="K8588" i="2"/>
  <c r="J8588" i="2"/>
  <c r="I8588" i="2"/>
  <c r="A8588" i="2"/>
  <c r="K8587" i="2"/>
  <c r="J8587" i="2"/>
  <c r="I8587" i="2"/>
  <c r="A8587" i="2"/>
  <c r="K8586" i="2"/>
  <c r="J8586" i="2"/>
  <c r="I8586" i="2"/>
  <c r="A8586" i="2"/>
  <c r="K8585" i="2"/>
  <c r="J8585" i="2"/>
  <c r="I8585" i="2"/>
  <c r="A8585" i="2"/>
  <c r="K8584" i="2"/>
  <c r="J8584" i="2"/>
  <c r="I8584" i="2"/>
  <c r="A8584" i="2"/>
  <c r="K8583" i="2"/>
  <c r="J8583" i="2"/>
  <c r="I8583" i="2"/>
  <c r="A8583" i="2"/>
  <c r="K8582" i="2"/>
  <c r="J8582" i="2"/>
  <c r="I8582" i="2"/>
  <c r="A8582" i="2"/>
  <c r="K8581" i="2"/>
  <c r="J8581" i="2"/>
  <c r="I8581" i="2"/>
  <c r="A8581" i="2"/>
  <c r="K8580" i="2"/>
  <c r="J8580" i="2"/>
  <c r="I8580" i="2"/>
  <c r="A8580" i="2"/>
  <c r="K8579" i="2"/>
  <c r="J8579" i="2"/>
  <c r="I8579" i="2"/>
  <c r="A8579" i="2"/>
  <c r="K8578" i="2"/>
  <c r="J8578" i="2"/>
  <c r="I8578" i="2"/>
  <c r="A8578" i="2"/>
  <c r="K8577" i="2"/>
  <c r="J8577" i="2"/>
  <c r="I8577" i="2"/>
  <c r="A8577" i="2"/>
  <c r="K8576" i="2"/>
  <c r="J8576" i="2"/>
  <c r="I8576" i="2"/>
  <c r="A8576" i="2"/>
  <c r="K8575" i="2"/>
  <c r="J8575" i="2"/>
  <c r="I8575" i="2"/>
  <c r="A8575" i="2"/>
  <c r="K8574" i="2"/>
  <c r="J8574" i="2"/>
  <c r="I8574" i="2"/>
  <c r="A8574" i="2"/>
  <c r="K8573" i="2"/>
  <c r="J8573" i="2"/>
  <c r="I8573" i="2"/>
  <c r="A8573" i="2"/>
  <c r="K8572" i="2"/>
  <c r="J8572" i="2"/>
  <c r="I8572" i="2"/>
  <c r="A8572" i="2"/>
  <c r="K8571" i="2"/>
  <c r="J8571" i="2"/>
  <c r="I8571" i="2"/>
  <c r="A8571" i="2"/>
  <c r="K8570" i="2"/>
  <c r="J8570" i="2"/>
  <c r="I8570" i="2"/>
  <c r="A8570" i="2"/>
  <c r="K8569" i="2"/>
  <c r="J8569" i="2"/>
  <c r="I8569" i="2"/>
  <c r="A8569" i="2"/>
  <c r="K8568" i="2"/>
  <c r="J8568" i="2"/>
  <c r="I8568" i="2"/>
  <c r="A8568" i="2"/>
  <c r="K8567" i="2"/>
  <c r="J8567" i="2"/>
  <c r="I8567" i="2"/>
  <c r="A8567" i="2"/>
  <c r="K8566" i="2"/>
  <c r="J8566" i="2"/>
  <c r="I8566" i="2"/>
  <c r="A8566" i="2"/>
  <c r="K8565" i="2"/>
  <c r="J8565" i="2"/>
  <c r="I8565" i="2"/>
  <c r="A8565" i="2"/>
  <c r="J8564" i="2"/>
  <c r="I8564" i="2"/>
  <c r="K8563" i="2"/>
  <c r="J8563" i="2"/>
  <c r="I8563" i="2"/>
  <c r="A8563" i="2"/>
  <c r="K8562" i="2"/>
  <c r="J8562" i="2"/>
  <c r="I8562" i="2"/>
  <c r="A8562" i="2"/>
  <c r="K8561" i="2"/>
  <c r="J8561" i="2"/>
  <c r="I8561" i="2"/>
  <c r="A8561" i="2"/>
  <c r="K8560" i="2"/>
  <c r="J8560" i="2"/>
  <c r="I8560" i="2"/>
  <c r="A8560" i="2"/>
  <c r="K8559" i="2"/>
  <c r="J8559" i="2"/>
  <c r="I8559" i="2"/>
  <c r="A8559" i="2"/>
  <c r="J8558" i="2"/>
  <c r="I8558" i="2"/>
  <c r="J8557" i="2"/>
  <c r="I8557" i="2"/>
  <c r="K8556" i="2"/>
  <c r="J8556" i="2"/>
  <c r="I8556" i="2"/>
  <c r="A8556" i="2"/>
  <c r="K8555" i="2"/>
  <c r="J8555" i="2"/>
  <c r="I8555" i="2"/>
  <c r="A8555" i="2"/>
  <c r="K8554" i="2"/>
  <c r="J8554" i="2"/>
  <c r="I8554" i="2"/>
  <c r="A8554" i="2"/>
  <c r="K8553" i="2"/>
  <c r="J8553" i="2"/>
  <c r="I8553" i="2"/>
  <c r="A8553" i="2"/>
  <c r="K8552" i="2"/>
  <c r="J8552" i="2"/>
  <c r="I8552" i="2"/>
  <c r="A8552" i="2"/>
  <c r="K8551" i="2"/>
  <c r="J8551" i="2"/>
  <c r="I8551" i="2"/>
  <c r="A8551" i="2"/>
  <c r="K8550" i="2"/>
  <c r="J8550" i="2"/>
  <c r="I8550" i="2"/>
  <c r="A8550" i="2"/>
  <c r="K8549" i="2"/>
  <c r="J8549" i="2"/>
  <c r="I8549" i="2"/>
  <c r="A8549" i="2"/>
  <c r="K8548" i="2"/>
  <c r="J8548" i="2"/>
  <c r="I8548" i="2"/>
  <c r="A8548" i="2"/>
  <c r="K8547" i="2"/>
  <c r="J8547" i="2"/>
  <c r="I8547" i="2"/>
  <c r="A8547" i="2"/>
  <c r="K8546" i="2"/>
  <c r="J8546" i="2"/>
  <c r="I8546" i="2"/>
  <c r="A8546" i="2"/>
  <c r="K8545" i="2"/>
  <c r="J8545" i="2"/>
  <c r="I8545" i="2"/>
  <c r="A8545" i="2"/>
  <c r="K8544" i="2"/>
  <c r="J8544" i="2"/>
  <c r="I8544" i="2"/>
  <c r="A8544" i="2"/>
  <c r="K8543" i="2"/>
  <c r="J8543" i="2"/>
  <c r="I8543" i="2"/>
  <c r="A8543" i="2"/>
  <c r="K8542" i="2"/>
  <c r="J8542" i="2"/>
  <c r="I8542" i="2"/>
  <c r="A8542" i="2"/>
  <c r="K8541" i="2"/>
  <c r="J8541" i="2"/>
  <c r="I8541" i="2"/>
  <c r="A8541" i="2"/>
  <c r="K8540" i="2"/>
  <c r="J8540" i="2"/>
  <c r="I8540" i="2"/>
  <c r="A8540" i="2"/>
  <c r="K8539" i="2"/>
  <c r="J8539" i="2"/>
  <c r="I8539" i="2"/>
  <c r="A8539" i="2"/>
  <c r="K8538" i="2"/>
  <c r="J8538" i="2"/>
  <c r="I8538" i="2"/>
  <c r="A8538" i="2"/>
  <c r="K8537" i="2"/>
  <c r="J8537" i="2"/>
  <c r="I8537" i="2"/>
  <c r="A8537" i="2"/>
  <c r="K8536" i="2"/>
  <c r="J8536" i="2"/>
  <c r="I8536" i="2"/>
  <c r="A8536" i="2"/>
  <c r="K8535" i="2"/>
  <c r="J8535" i="2"/>
  <c r="I8535" i="2"/>
  <c r="A8535" i="2"/>
  <c r="K8534" i="2"/>
  <c r="J8534" i="2"/>
  <c r="I8534" i="2"/>
  <c r="A8534" i="2"/>
  <c r="K8533" i="2"/>
  <c r="J8533" i="2"/>
  <c r="I8533" i="2"/>
  <c r="A8533" i="2"/>
  <c r="K8532" i="2"/>
  <c r="J8532" i="2"/>
  <c r="I8532" i="2"/>
  <c r="A8532" i="2"/>
  <c r="K8531" i="2"/>
  <c r="J8531" i="2"/>
  <c r="I8531" i="2"/>
  <c r="A8531" i="2"/>
  <c r="J8530" i="2"/>
  <c r="I8530" i="2"/>
  <c r="J8529" i="2"/>
  <c r="I8529" i="2"/>
  <c r="K8528" i="2"/>
  <c r="J8528" i="2"/>
  <c r="I8528" i="2"/>
  <c r="A8528" i="2"/>
  <c r="K8527" i="2"/>
  <c r="J8527" i="2"/>
  <c r="I8527" i="2"/>
  <c r="A8527" i="2"/>
  <c r="K8526" i="2"/>
  <c r="J8526" i="2"/>
  <c r="I8526" i="2"/>
  <c r="A8526" i="2"/>
  <c r="J8525" i="2"/>
  <c r="I8525" i="2"/>
  <c r="K8524" i="2"/>
  <c r="J8524" i="2"/>
  <c r="I8524" i="2"/>
  <c r="A8524" i="2"/>
  <c r="K8523" i="2"/>
  <c r="J8523" i="2"/>
  <c r="I8523" i="2"/>
  <c r="A8523" i="2"/>
  <c r="K8522" i="2"/>
  <c r="J8522" i="2"/>
  <c r="I8522" i="2"/>
  <c r="A8522" i="2"/>
  <c r="K8521" i="2"/>
  <c r="J8521" i="2"/>
  <c r="I8521" i="2"/>
  <c r="A8521" i="2"/>
  <c r="K8520" i="2"/>
  <c r="J8520" i="2"/>
  <c r="I8520" i="2"/>
  <c r="A8520" i="2"/>
  <c r="K8519" i="2"/>
  <c r="J8519" i="2"/>
  <c r="I8519" i="2"/>
  <c r="A8519" i="2"/>
  <c r="K8518" i="2"/>
  <c r="J8518" i="2"/>
  <c r="I8518" i="2"/>
  <c r="A8518" i="2"/>
  <c r="J8517" i="2"/>
  <c r="I8517" i="2"/>
  <c r="K8516" i="2"/>
  <c r="J8516" i="2"/>
  <c r="I8516" i="2"/>
  <c r="A8516" i="2"/>
  <c r="K8515" i="2"/>
  <c r="J8515" i="2"/>
  <c r="I8515" i="2"/>
  <c r="A8515" i="2"/>
  <c r="K8514" i="2"/>
  <c r="J8514" i="2"/>
  <c r="I8514" i="2"/>
  <c r="A8514" i="2"/>
  <c r="K8513" i="2"/>
  <c r="J8513" i="2"/>
  <c r="I8513" i="2"/>
  <c r="A8513" i="2"/>
  <c r="K8512" i="2"/>
  <c r="J8512" i="2"/>
  <c r="I8512" i="2"/>
  <c r="A8512" i="2"/>
  <c r="K8511" i="2"/>
  <c r="J8511" i="2"/>
  <c r="I8511" i="2"/>
  <c r="A8511" i="2"/>
  <c r="K8510" i="2"/>
  <c r="J8510" i="2"/>
  <c r="I8510" i="2"/>
  <c r="A8510" i="2"/>
  <c r="K8509" i="2"/>
  <c r="J8509" i="2"/>
  <c r="I8509" i="2"/>
  <c r="A8509" i="2"/>
  <c r="K8508" i="2"/>
  <c r="J8508" i="2"/>
  <c r="I8508" i="2"/>
  <c r="A8508" i="2"/>
  <c r="K8507" i="2"/>
  <c r="J8507" i="2"/>
  <c r="I8507" i="2"/>
  <c r="A8507" i="2"/>
  <c r="J8506" i="2"/>
  <c r="I8506" i="2"/>
  <c r="K8505" i="2"/>
  <c r="J8505" i="2"/>
  <c r="I8505" i="2"/>
  <c r="A8505" i="2"/>
  <c r="K8504" i="2"/>
  <c r="J8504" i="2"/>
  <c r="I8504" i="2"/>
  <c r="A8504" i="2"/>
  <c r="K8503" i="2"/>
  <c r="J8503" i="2"/>
  <c r="I8503" i="2"/>
  <c r="A8503" i="2"/>
  <c r="K8502" i="2"/>
  <c r="J8502" i="2"/>
  <c r="I8502" i="2"/>
  <c r="A8502" i="2"/>
  <c r="K8501" i="2"/>
  <c r="J8501" i="2"/>
  <c r="I8501" i="2"/>
  <c r="A8501" i="2"/>
  <c r="K8500" i="2"/>
  <c r="J8500" i="2"/>
  <c r="I8500" i="2"/>
  <c r="A8500" i="2"/>
  <c r="K8499" i="2"/>
  <c r="J8499" i="2"/>
  <c r="I8499" i="2"/>
  <c r="A8499" i="2"/>
  <c r="K8498" i="2"/>
  <c r="J8498" i="2"/>
  <c r="I8498" i="2"/>
  <c r="A8498" i="2"/>
  <c r="K8497" i="2"/>
  <c r="J8497" i="2"/>
  <c r="I8497" i="2"/>
  <c r="A8497" i="2"/>
  <c r="K8496" i="2"/>
  <c r="J8496" i="2"/>
  <c r="I8496" i="2"/>
  <c r="A8496" i="2"/>
  <c r="K8495" i="2"/>
  <c r="J8495" i="2"/>
  <c r="I8495" i="2"/>
  <c r="A8495" i="2"/>
  <c r="J8494" i="2"/>
  <c r="I8494" i="2"/>
  <c r="K8493" i="2"/>
  <c r="J8493" i="2"/>
  <c r="I8493" i="2"/>
  <c r="A8493" i="2"/>
  <c r="K8492" i="2"/>
  <c r="J8492" i="2"/>
  <c r="I8492" i="2"/>
  <c r="A8492" i="2"/>
  <c r="K8491" i="2"/>
  <c r="J8491" i="2"/>
  <c r="I8491" i="2"/>
  <c r="A8491" i="2"/>
  <c r="K8490" i="2"/>
  <c r="J8490" i="2"/>
  <c r="I8490" i="2"/>
  <c r="A8490" i="2"/>
  <c r="K8489" i="2"/>
  <c r="J8489" i="2"/>
  <c r="I8489" i="2"/>
  <c r="A8489" i="2"/>
  <c r="K8488" i="2"/>
  <c r="J8488" i="2"/>
  <c r="I8488" i="2"/>
  <c r="A8488" i="2"/>
  <c r="K8487" i="2"/>
  <c r="J8487" i="2"/>
  <c r="I8487" i="2"/>
  <c r="A8487" i="2"/>
  <c r="K8486" i="2"/>
  <c r="J8486" i="2"/>
  <c r="I8486" i="2"/>
  <c r="A8486" i="2"/>
  <c r="K8485" i="2"/>
  <c r="J8485" i="2"/>
  <c r="I8485" i="2"/>
  <c r="A8485" i="2"/>
  <c r="K8484" i="2"/>
  <c r="J8484" i="2"/>
  <c r="I8484" i="2"/>
  <c r="A8484" i="2"/>
  <c r="K8483" i="2"/>
  <c r="J8483" i="2"/>
  <c r="I8483" i="2"/>
  <c r="A8483" i="2"/>
  <c r="K8482" i="2"/>
  <c r="J8482" i="2"/>
  <c r="I8482" i="2"/>
  <c r="A8482" i="2"/>
  <c r="K8481" i="2"/>
  <c r="J8481" i="2"/>
  <c r="I8481" i="2"/>
  <c r="A8481" i="2"/>
  <c r="K8480" i="2"/>
  <c r="J8480" i="2"/>
  <c r="I8480" i="2"/>
  <c r="A8480" i="2"/>
  <c r="K8479" i="2"/>
  <c r="J8479" i="2"/>
  <c r="I8479" i="2"/>
  <c r="A8479" i="2"/>
  <c r="K8478" i="2"/>
  <c r="J8478" i="2"/>
  <c r="I8478" i="2"/>
  <c r="A8478" i="2"/>
  <c r="K8477" i="2"/>
  <c r="J8477" i="2"/>
  <c r="I8477" i="2"/>
  <c r="A8477" i="2"/>
  <c r="K8476" i="2"/>
  <c r="J8476" i="2"/>
  <c r="I8476" i="2"/>
  <c r="A8476" i="2"/>
  <c r="K8475" i="2"/>
  <c r="J8475" i="2"/>
  <c r="I8475" i="2"/>
  <c r="A8475" i="2"/>
  <c r="K8474" i="2"/>
  <c r="J8474" i="2"/>
  <c r="I8474" i="2"/>
  <c r="A8474" i="2"/>
  <c r="K8473" i="2"/>
  <c r="J8473" i="2"/>
  <c r="I8473" i="2"/>
  <c r="A8473" i="2"/>
  <c r="K8472" i="2"/>
  <c r="J8472" i="2"/>
  <c r="I8472" i="2"/>
  <c r="A8472" i="2"/>
  <c r="K8471" i="2"/>
  <c r="J8471" i="2"/>
  <c r="I8471" i="2"/>
  <c r="A8471" i="2"/>
  <c r="K8470" i="2"/>
  <c r="J8470" i="2"/>
  <c r="I8470" i="2"/>
  <c r="A8470" i="2"/>
  <c r="K8469" i="2"/>
  <c r="J8469" i="2"/>
  <c r="I8469" i="2"/>
  <c r="A8469" i="2"/>
  <c r="K8468" i="2"/>
  <c r="J8468" i="2"/>
  <c r="I8468" i="2"/>
  <c r="A8468" i="2"/>
  <c r="K8467" i="2"/>
  <c r="J8467" i="2"/>
  <c r="I8467" i="2"/>
  <c r="A8467" i="2"/>
  <c r="K8466" i="2"/>
  <c r="J8466" i="2"/>
  <c r="I8466" i="2"/>
  <c r="A8466" i="2"/>
  <c r="K8465" i="2"/>
  <c r="J8465" i="2"/>
  <c r="I8465" i="2"/>
  <c r="A8465" i="2"/>
  <c r="K8464" i="2"/>
  <c r="J8464" i="2"/>
  <c r="I8464" i="2"/>
  <c r="A8464" i="2"/>
  <c r="J8463" i="2"/>
  <c r="I8463" i="2"/>
  <c r="K8462" i="2"/>
  <c r="J8462" i="2"/>
  <c r="I8462" i="2"/>
  <c r="A8462" i="2"/>
  <c r="J8461" i="2"/>
  <c r="I8461" i="2"/>
  <c r="K8460" i="2"/>
  <c r="J8460" i="2"/>
  <c r="I8460" i="2"/>
  <c r="A8460" i="2"/>
  <c r="K8459" i="2"/>
  <c r="J8459" i="2"/>
  <c r="I8459" i="2"/>
  <c r="A8459" i="2"/>
  <c r="K8458" i="2"/>
  <c r="J8458" i="2"/>
  <c r="I8458" i="2"/>
  <c r="A8458" i="2"/>
  <c r="K8457" i="2"/>
  <c r="J8457" i="2"/>
  <c r="I8457" i="2"/>
  <c r="A8457" i="2"/>
  <c r="J8456" i="2"/>
  <c r="I8456" i="2"/>
  <c r="J8455" i="2"/>
  <c r="I8455" i="2"/>
  <c r="K8454" i="2"/>
  <c r="J8454" i="2"/>
  <c r="I8454" i="2"/>
  <c r="A8454" i="2"/>
  <c r="K8453" i="2"/>
  <c r="J8453" i="2"/>
  <c r="I8453" i="2"/>
  <c r="A8453" i="2"/>
  <c r="K8452" i="2"/>
  <c r="J8452" i="2"/>
  <c r="I8452" i="2"/>
  <c r="A8452" i="2"/>
  <c r="J8451" i="2"/>
  <c r="I8451" i="2"/>
  <c r="K8450" i="2"/>
  <c r="J8450" i="2"/>
  <c r="I8450" i="2"/>
  <c r="A8450" i="2"/>
  <c r="K8449" i="2"/>
  <c r="J8449" i="2"/>
  <c r="I8449" i="2"/>
  <c r="A8449" i="2"/>
  <c r="K8448" i="2"/>
  <c r="J8448" i="2"/>
  <c r="I8448" i="2"/>
  <c r="A8448" i="2"/>
  <c r="K8447" i="2"/>
  <c r="J8447" i="2"/>
  <c r="I8447" i="2"/>
  <c r="A8447" i="2"/>
  <c r="K8446" i="2"/>
  <c r="J8446" i="2"/>
  <c r="I8446" i="2"/>
  <c r="A8446" i="2"/>
  <c r="K8445" i="2"/>
  <c r="J8445" i="2"/>
  <c r="I8445" i="2"/>
  <c r="A8445" i="2"/>
  <c r="K8444" i="2"/>
  <c r="J8444" i="2"/>
  <c r="I8444" i="2"/>
  <c r="A8444" i="2"/>
  <c r="K8443" i="2"/>
  <c r="J8443" i="2"/>
  <c r="I8443" i="2"/>
  <c r="A8443" i="2"/>
  <c r="K8442" i="2"/>
  <c r="J8442" i="2"/>
  <c r="I8442" i="2"/>
  <c r="A8442" i="2"/>
  <c r="K8441" i="2"/>
  <c r="J8441" i="2"/>
  <c r="I8441" i="2"/>
  <c r="A8441" i="2"/>
  <c r="K8440" i="2"/>
  <c r="J8440" i="2"/>
  <c r="I8440" i="2"/>
  <c r="A8440" i="2"/>
  <c r="K8439" i="2"/>
  <c r="J8439" i="2"/>
  <c r="I8439" i="2"/>
  <c r="A8439" i="2"/>
  <c r="K8438" i="2"/>
  <c r="J8438" i="2"/>
  <c r="I8438" i="2"/>
  <c r="A8438" i="2"/>
  <c r="K8437" i="2"/>
  <c r="J8437" i="2"/>
  <c r="I8437" i="2"/>
  <c r="A8437" i="2"/>
  <c r="K8436" i="2"/>
  <c r="J8436" i="2"/>
  <c r="I8436" i="2"/>
  <c r="A8436" i="2"/>
  <c r="K8435" i="2"/>
  <c r="J8435" i="2"/>
  <c r="I8435" i="2"/>
  <c r="A8435" i="2"/>
  <c r="K8434" i="2"/>
  <c r="J8434" i="2"/>
  <c r="I8434" i="2"/>
  <c r="A8434" i="2"/>
  <c r="K8433" i="2"/>
  <c r="J8433" i="2"/>
  <c r="I8433" i="2"/>
  <c r="A8433" i="2"/>
  <c r="K8432" i="2"/>
  <c r="J8432" i="2"/>
  <c r="I8432" i="2"/>
  <c r="A8432" i="2"/>
  <c r="K8431" i="2"/>
  <c r="J8431" i="2"/>
  <c r="I8431" i="2"/>
  <c r="A8431" i="2"/>
  <c r="J8430" i="2"/>
  <c r="I8430" i="2"/>
  <c r="K8429" i="2"/>
  <c r="J8429" i="2"/>
  <c r="I8429" i="2"/>
  <c r="A8429" i="2"/>
  <c r="K8428" i="2"/>
  <c r="J8428" i="2"/>
  <c r="I8428" i="2"/>
  <c r="A8428" i="2"/>
  <c r="K8427" i="2"/>
  <c r="J8427" i="2"/>
  <c r="I8427" i="2"/>
  <c r="A8427" i="2"/>
  <c r="J8426" i="2"/>
  <c r="I8426" i="2"/>
  <c r="K8425" i="2"/>
  <c r="J8425" i="2"/>
  <c r="I8425" i="2"/>
  <c r="A8425" i="2"/>
  <c r="K8424" i="2"/>
  <c r="J8424" i="2"/>
  <c r="I8424" i="2"/>
  <c r="A8424" i="2"/>
  <c r="K8423" i="2"/>
  <c r="J8423" i="2"/>
  <c r="I8423" i="2"/>
  <c r="A8423" i="2"/>
  <c r="K8422" i="2"/>
  <c r="J8422" i="2"/>
  <c r="I8422" i="2"/>
  <c r="A8422" i="2"/>
  <c r="K8421" i="2"/>
  <c r="J8421" i="2"/>
  <c r="I8421" i="2"/>
  <c r="A8421" i="2"/>
  <c r="K8420" i="2"/>
  <c r="J8420" i="2"/>
  <c r="I8420" i="2"/>
  <c r="A8420" i="2"/>
  <c r="K8419" i="2"/>
  <c r="J8419" i="2"/>
  <c r="I8419" i="2"/>
  <c r="A8419" i="2"/>
  <c r="J8418" i="2"/>
  <c r="I8418" i="2"/>
  <c r="K8417" i="2"/>
  <c r="J8417" i="2"/>
  <c r="I8417" i="2"/>
  <c r="A8417" i="2"/>
  <c r="K8416" i="2"/>
  <c r="J8416" i="2"/>
  <c r="I8416" i="2"/>
  <c r="A8416" i="2"/>
  <c r="K8415" i="2"/>
  <c r="J8415" i="2"/>
  <c r="I8415" i="2"/>
  <c r="A8415" i="2"/>
  <c r="K8414" i="2"/>
  <c r="J8414" i="2"/>
  <c r="I8414" i="2"/>
  <c r="A8414" i="2"/>
  <c r="K8413" i="2"/>
  <c r="J8413" i="2"/>
  <c r="I8413" i="2"/>
  <c r="A8413" i="2"/>
  <c r="K8412" i="2"/>
  <c r="J8412" i="2"/>
  <c r="I8412" i="2"/>
  <c r="A8412" i="2"/>
  <c r="K8411" i="2"/>
  <c r="J8411" i="2"/>
  <c r="I8411" i="2"/>
  <c r="A8411" i="2"/>
  <c r="K8410" i="2"/>
  <c r="J8410" i="2"/>
  <c r="I8410" i="2"/>
  <c r="A8410" i="2"/>
  <c r="K8409" i="2"/>
  <c r="J8409" i="2"/>
  <c r="I8409" i="2"/>
  <c r="A8409" i="2"/>
  <c r="K8408" i="2"/>
  <c r="J8408" i="2"/>
  <c r="I8408" i="2"/>
  <c r="A8408" i="2"/>
  <c r="K8407" i="2"/>
  <c r="J8407" i="2"/>
  <c r="I8407" i="2"/>
  <c r="A8407" i="2"/>
  <c r="K8406" i="2"/>
  <c r="J8406" i="2"/>
  <c r="I8406" i="2"/>
  <c r="A8406" i="2"/>
  <c r="K8405" i="2"/>
  <c r="J8405" i="2"/>
  <c r="I8405" i="2"/>
  <c r="A8405" i="2"/>
  <c r="K8404" i="2"/>
  <c r="J8404" i="2"/>
  <c r="I8404" i="2"/>
  <c r="A8404" i="2"/>
  <c r="K8403" i="2"/>
  <c r="J8403" i="2"/>
  <c r="I8403" i="2"/>
  <c r="A8403" i="2"/>
  <c r="K8402" i="2"/>
  <c r="J8402" i="2"/>
  <c r="I8402" i="2"/>
  <c r="A8402" i="2"/>
  <c r="J8401" i="2"/>
  <c r="I8401" i="2"/>
  <c r="K8400" i="2"/>
  <c r="J8400" i="2"/>
  <c r="I8400" i="2"/>
  <c r="A8400" i="2"/>
  <c r="K8399" i="2"/>
  <c r="J8399" i="2"/>
  <c r="I8399" i="2"/>
  <c r="A8399" i="2"/>
  <c r="K8398" i="2"/>
  <c r="J8398" i="2"/>
  <c r="I8398" i="2"/>
  <c r="A8398" i="2"/>
  <c r="K8397" i="2"/>
  <c r="J8397" i="2"/>
  <c r="I8397" i="2"/>
  <c r="A8397" i="2"/>
  <c r="J8396" i="2"/>
  <c r="I8396" i="2"/>
  <c r="K8395" i="2"/>
  <c r="J8395" i="2"/>
  <c r="I8395" i="2"/>
  <c r="A8395" i="2"/>
  <c r="K8394" i="2"/>
  <c r="J8394" i="2"/>
  <c r="I8394" i="2"/>
  <c r="A8394" i="2"/>
  <c r="K8393" i="2"/>
  <c r="J8393" i="2"/>
  <c r="I8393" i="2"/>
  <c r="A8393" i="2"/>
  <c r="K8392" i="2"/>
  <c r="J8392" i="2"/>
  <c r="I8392" i="2"/>
  <c r="A8392" i="2"/>
  <c r="K8391" i="2"/>
  <c r="J8391" i="2"/>
  <c r="I8391" i="2"/>
  <c r="A8391" i="2"/>
  <c r="K8390" i="2"/>
  <c r="J8390" i="2"/>
  <c r="I8390" i="2"/>
  <c r="A8390" i="2"/>
  <c r="K8389" i="2"/>
  <c r="J8389" i="2"/>
  <c r="I8389" i="2"/>
  <c r="A8389" i="2"/>
  <c r="K8388" i="2"/>
  <c r="J8388" i="2"/>
  <c r="I8388" i="2"/>
  <c r="A8388" i="2"/>
  <c r="K8387" i="2"/>
  <c r="J8387" i="2"/>
  <c r="I8387" i="2"/>
  <c r="A8387" i="2"/>
  <c r="K8386" i="2"/>
  <c r="J8386" i="2"/>
  <c r="I8386" i="2"/>
  <c r="A8386" i="2"/>
  <c r="K8385" i="2"/>
  <c r="J8385" i="2"/>
  <c r="I8385" i="2"/>
  <c r="A8385" i="2"/>
  <c r="K8384" i="2"/>
  <c r="J8384" i="2"/>
  <c r="I8384" i="2"/>
  <c r="A8384" i="2"/>
  <c r="K8383" i="2"/>
  <c r="J8383" i="2"/>
  <c r="I8383" i="2"/>
  <c r="A8383" i="2"/>
  <c r="K8382" i="2"/>
  <c r="J8382" i="2"/>
  <c r="I8382" i="2"/>
  <c r="A8382" i="2"/>
  <c r="K8381" i="2"/>
  <c r="J8381" i="2"/>
  <c r="I8381" i="2"/>
  <c r="A8381" i="2"/>
  <c r="J8380" i="2"/>
  <c r="I8380" i="2"/>
  <c r="K8379" i="2"/>
  <c r="J8379" i="2"/>
  <c r="I8379" i="2"/>
  <c r="A8379" i="2"/>
  <c r="K8378" i="2"/>
  <c r="J8378" i="2"/>
  <c r="I8378" i="2"/>
  <c r="A8378" i="2"/>
  <c r="K8377" i="2"/>
  <c r="J8377" i="2"/>
  <c r="I8377" i="2"/>
  <c r="A8377" i="2"/>
  <c r="K8376" i="2"/>
  <c r="J8376" i="2"/>
  <c r="I8376" i="2"/>
  <c r="A8376" i="2"/>
  <c r="K8375" i="2"/>
  <c r="J8375" i="2"/>
  <c r="I8375" i="2"/>
  <c r="A8375" i="2"/>
  <c r="K8374" i="2"/>
  <c r="J8374" i="2"/>
  <c r="I8374" i="2"/>
  <c r="A8374" i="2"/>
  <c r="K8373" i="2"/>
  <c r="J8373" i="2"/>
  <c r="I8373" i="2"/>
  <c r="A8373" i="2"/>
  <c r="K8372" i="2"/>
  <c r="J8372" i="2"/>
  <c r="I8372" i="2"/>
  <c r="A8372" i="2"/>
  <c r="K8371" i="2"/>
  <c r="J8371" i="2"/>
  <c r="I8371" i="2"/>
  <c r="A8371" i="2"/>
  <c r="K8370" i="2"/>
  <c r="J8370" i="2"/>
  <c r="I8370" i="2"/>
  <c r="A8370" i="2"/>
  <c r="K8369" i="2"/>
  <c r="J8369" i="2"/>
  <c r="I8369" i="2"/>
  <c r="A8369" i="2"/>
  <c r="K8368" i="2"/>
  <c r="J8368" i="2"/>
  <c r="I8368" i="2"/>
  <c r="A8368" i="2"/>
  <c r="K8367" i="2"/>
  <c r="J8367" i="2"/>
  <c r="I8367" i="2"/>
  <c r="A8367" i="2"/>
  <c r="K8366" i="2"/>
  <c r="J8366" i="2"/>
  <c r="I8366" i="2"/>
  <c r="A8366" i="2"/>
  <c r="K8365" i="2"/>
  <c r="J8365" i="2"/>
  <c r="I8365" i="2"/>
  <c r="A8365" i="2"/>
  <c r="J8364" i="2"/>
  <c r="I8364" i="2"/>
  <c r="K8363" i="2"/>
  <c r="J8363" i="2"/>
  <c r="I8363" i="2"/>
  <c r="A8363" i="2"/>
  <c r="K8362" i="2"/>
  <c r="J8362" i="2"/>
  <c r="I8362" i="2"/>
  <c r="A8362" i="2"/>
  <c r="K8361" i="2"/>
  <c r="J8361" i="2"/>
  <c r="I8361" i="2"/>
  <c r="A8361" i="2"/>
  <c r="K8360" i="2"/>
  <c r="J8360" i="2"/>
  <c r="I8360" i="2"/>
  <c r="A8360" i="2"/>
  <c r="K8359" i="2"/>
  <c r="J8359" i="2"/>
  <c r="I8359" i="2"/>
  <c r="A8359" i="2"/>
  <c r="K8358" i="2"/>
  <c r="J8358" i="2"/>
  <c r="I8358" i="2"/>
  <c r="A8358" i="2"/>
  <c r="K8357" i="2"/>
  <c r="J8357" i="2"/>
  <c r="I8357" i="2"/>
  <c r="A8357" i="2"/>
  <c r="K8356" i="2"/>
  <c r="J8356" i="2"/>
  <c r="I8356" i="2"/>
  <c r="A8356" i="2"/>
  <c r="J8355" i="2"/>
  <c r="I8355" i="2"/>
  <c r="K8354" i="2"/>
  <c r="J8354" i="2"/>
  <c r="I8354" i="2"/>
  <c r="A8354" i="2"/>
  <c r="K8353" i="2"/>
  <c r="J8353" i="2"/>
  <c r="I8353" i="2"/>
  <c r="A8353" i="2"/>
  <c r="K8352" i="2"/>
  <c r="J8352" i="2"/>
  <c r="I8352" i="2"/>
  <c r="A8352" i="2"/>
  <c r="K8351" i="2"/>
  <c r="J8351" i="2"/>
  <c r="I8351" i="2"/>
  <c r="A8351" i="2"/>
  <c r="K8350" i="2"/>
  <c r="J8350" i="2"/>
  <c r="I8350" i="2"/>
  <c r="A8350" i="2"/>
  <c r="K8349" i="2"/>
  <c r="J8349" i="2"/>
  <c r="I8349" i="2"/>
  <c r="A8349" i="2"/>
  <c r="K8348" i="2"/>
  <c r="J8348" i="2"/>
  <c r="I8348" i="2"/>
  <c r="A8348" i="2"/>
  <c r="K8347" i="2"/>
  <c r="J8347" i="2"/>
  <c r="I8347" i="2"/>
  <c r="A8347" i="2"/>
  <c r="K8346" i="2"/>
  <c r="J8346" i="2"/>
  <c r="I8346" i="2"/>
  <c r="A8346" i="2"/>
  <c r="K8345" i="2"/>
  <c r="J8345" i="2"/>
  <c r="I8345" i="2"/>
  <c r="A8345" i="2"/>
  <c r="K8344" i="2"/>
  <c r="J8344" i="2"/>
  <c r="I8344" i="2"/>
  <c r="A8344" i="2"/>
  <c r="K8343" i="2"/>
  <c r="J8343" i="2"/>
  <c r="I8343" i="2"/>
  <c r="A8343" i="2"/>
  <c r="K8342" i="2"/>
  <c r="J8342" i="2"/>
  <c r="I8342" i="2"/>
  <c r="A8342" i="2"/>
  <c r="K8341" i="2"/>
  <c r="J8341" i="2"/>
  <c r="I8341" i="2"/>
  <c r="A8341" i="2"/>
  <c r="J8340" i="2"/>
  <c r="I8340" i="2"/>
  <c r="K8339" i="2"/>
  <c r="J8339" i="2"/>
  <c r="I8339" i="2"/>
  <c r="A8339" i="2"/>
  <c r="K8338" i="2"/>
  <c r="J8338" i="2"/>
  <c r="I8338" i="2"/>
  <c r="A8338" i="2"/>
  <c r="K8337" i="2"/>
  <c r="J8337" i="2"/>
  <c r="I8337" i="2"/>
  <c r="A8337" i="2"/>
  <c r="K8336" i="2"/>
  <c r="J8336" i="2"/>
  <c r="I8336" i="2"/>
  <c r="A8336" i="2"/>
  <c r="K8335" i="2"/>
  <c r="J8335" i="2"/>
  <c r="I8335" i="2"/>
  <c r="A8335" i="2"/>
  <c r="K8334" i="2"/>
  <c r="J8334" i="2"/>
  <c r="I8334" i="2"/>
  <c r="A8334" i="2"/>
  <c r="K8333" i="2"/>
  <c r="J8333" i="2"/>
  <c r="I8333" i="2"/>
  <c r="A8333" i="2"/>
  <c r="K8332" i="2"/>
  <c r="J8332" i="2"/>
  <c r="I8332" i="2"/>
  <c r="A8332" i="2"/>
  <c r="K8331" i="2"/>
  <c r="J8331" i="2"/>
  <c r="I8331" i="2"/>
  <c r="A8331" i="2"/>
  <c r="J8330" i="2"/>
  <c r="I8330" i="2"/>
  <c r="K8329" i="2"/>
  <c r="J8329" i="2"/>
  <c r="I8329" i="2"/>
  <c r="A8329" i="2"/>
  <c r="K8328" i="2"/>
  <c r="J8328" i="2"/>
  <c r="I8328" i="2"/>
  <c r="A8328" i="2"/>
  <c r="K8327" i="2"/>
  <c r="J8327" i="2"/>
  <c r="I8327" i="2"/>
  <c r="A8327" i="2"/>
  <c r="K8326" i="2"/>
  <c r="J8326" i="2"/>
  <c r="I8326" i="2"/>
  <c r="A8326" i="2"/>
  <c r="K8325" i="2"/>
  <c r="J8325" i="2"/>
  <c r="I8325" i="2"/>
  <c r="A8325" i="2"/>
  <c r="K8324" i="2"/>
  <c r="J8324" i="2"/>
  <c r="I8324" i="2"/>
  <c r="A8324" i="2"/>
  <c r="K8323" i="2"/>
  <c r="J8323" i="2"/>
  <c r="I8323" i="2"/>
  <c r="A8323" i="2"/>
  <c r="K8322" i="2"/>
  <c r="J8322" i="2"/>
  <c r="I8322" i="2"/>
  <c r="A8322" i="2"/>
  <c r="K8321" i="2"/>
  <c r="J8321" i="2"/>
  <c r="I8321" i="2"/>
  <c r="A8321" i="2"/>
  <c r="K8320" i="2"/>
  <c r="J8320" i="2"/>
  <c r="I8320" i="2"/>
  <c r="A8320" i="2"/>
  <c r="K8319" i="2"/>
  <c r="J8319" i="2"/>
  <c r="I8319" i="2"/>
  <c r="A8319" i="2"/>
  <c r="J8318" i="2"/>
  <c r="I8318" i="2"/>
  <c r="K8317" i="2"/>
  <c r="J8317" i="2"/>
  <c r="I8317" i="2"/>
  <c r="A8317" i="2"/>
  <c r="K8316" i="2"/>
  <c r="J8316" i="2"/>
  <c r="I8316" i="2"/>
  <c r="A8316" i="2"/>
  <c r="K8315" i="2"/>
  <c r="J8315" i="2"/>
  <c r="I8315" i="2"/>
  <c r="A8315" i="2"/>
  <c r="K8314" i="2"/>
  <c r="J8314" i="2"/>
  <c r="I8314" i="2"/>
  <c r="A8314" i="2"/>
  <c r="K8313" i="2"/>
  <c r="J8313" i="2"/>
  <c r="I8313" i="2"/>
  <c r="A8313" i="2"/>
  <c r="K8312" i="2"/>
  <c r="J8312" i="2"/>
  <c r="I8312" i="2"/>
  <c r="A8312" i="2"/>
  <c r="K8311" i="2"/>
  <c r="J8311" i="2"/>
  <c r="I8311" i="2"/>
  <c r="A8311" i="2"/>
  <c r="K8310" i="2"/>
  <c r="J8310" i="2"/>
  <c r="I8310" i="2"/>
  <c r="A8310" i="2"/>
  <c r="K8309" i="2"/>
  <c r="J8309" i="2"/>
  <c r="I8309" i="2"/>
  <c r="A8309" i="2"/>
  <c r="K8308" i="2"/>
  <c r="J8308" i="2"/>
  <c r="I8308" i="2"/>
  <c r="A8308" i="2"/>
  <c r="K8307" i="2"/>
  <c r="J8307" i="2"/>
  <c r="I8307" i="2"/>
  <c r="A8307" i="2"/>
  <c r="J8306" i="2"/>
  <c r="I8306" i="2"/>
  <c r="K8305" i="2"/>
  <c r="J8305" i="2"/>
  <c r="I8305" i="2"/>
  <c r="A8305" i="2"/>
  <c r="K8304" i="2"/>
  <c r="J8304" i="2"/>
  <c r="I8304" i="2"/>
  <c r="A8304" i="2"/>
  <c r="K8303" i="2"/>
  <c r="J8303" i="2"/>
  <c r="I8303" i="2"/>
  <c r="A8303" i="2"/>
  <c r="K8302" i="2"/>
  <c r="J8302" i="2"/>
  <c r="I8302" i="2"/>
  <c r="A8302" i="2"/>
  <c r="K8301" i="2"/>
  <c r="J8301" i="2"/>
  <c r="I8301" i="2"/>
  <c r="A8301" i="2"/>
  <c r="K8300" i="2"/>
  <c r="J8300" i="2"/>
  <c r="I8300" i="2"/>
  <c r="A8300" i="2"/>
  <c r="K8299" i="2"/>
  <c r="J8299" i="2"/>
  <c r="I8299" i="2"/>
  <c r="A8299" i="2"/>
  <c r="K8298" i="2"/>
  <c r="J8298" i="2"/>
  <c r="I8298" i="2"/>
  <c r="A8298" i="2"/>
  <c r="K8297" i="2"/>
  <c r="J8297" i="2"/>
  <c r="I8297" i="2"/>
  <c r="A8297" i="2"/>
  <c r="K8296" i="2"/>
  <c r="J8296" i="2"/>
  <c r="I8296" i="2"/>
  <c r="A8296" i="2"/>
  <c r="K8295" i="2"/>
  <c r="J8295" i="2"/>
  <c r="I8295" i="2"/>
  <c r="A8295" i="2"/>
  <c r="K8294" i="2"/>
  <c r="J8294" i="2"/>
  <c r="I8294" i="2"/>
  <c r="A8294" i="2"/>
  <c r="K8293" i="2"/>
  <c r="J8293" i="2"/>
  <c r="I8293" i="2"/>
  <c r="A8293" i="2"/>
  <c r="K8292" i="2"/>
  <c r="J8292" i="2"/>
  <c r="I8292" i="2"/>
  <c r="A8292" i="2"/>
  <c r="K8291" i="2"/>
  <c r="J8291" i="2"/>
  <c r="I8291" i="2"/>
  <c r="A8291" i="2"/>
  <c r="K8290" i="2"/>
  <c r="J8290" i="2"/>
  <c r="I8290" i="2"/>
  <c r="A8290" i="2"/>
  <c r="K8289" i="2"/>
  <c r="J8289" i="2"/>
  <c r="I8289" i="2"/>
  <c r="A8289" i="2"/>
  <c r="K8288" i="2"/>
  <c r="J8288" i="2"/>
  <c r="I8288" i="2"/>
  <c r="A8288" i="2"/>
  <c r="K8287" i="2"/>
  <c r="J8287" i="2"/>
  <c r="I8287" i="2"/>
  <c r="A8287" i="2"/>
  <c r="K8286" i="2"/>
  <c r="J8286" i="2"/>
  <c r="I8286" i="2"/>
  <c r="A8286" i="2"/>
  <c r="K8285" i="2"/>
  <c r="J8285" i="2"/>
  <c r="I8285" i="2"/>
  <c r="A8285" i="2"/>
  <c r="K8284" i="2"/>
  <c r="J8284" i="2"/>
  <c r="I8284" i="2"/>
  <c r="A8284" i="2"/>
  <c r="K8283" i="2"/>
  <c r="J8283" i="2"/>
  <c r="I8283" i="2"/>
  <c r="A8283" i="2"/>
  <c r="K8282" i="2"/>
  <c r="J8282" i="2"/>
  <c r="I8282" i="2"/>
  <c r="A8282" i="2"/>
  <c r="J8281" i="2"/>
  <c r="I8281" i="2"/>
  <c r="J8280" i="2"/>
  <c r="I8280" i="2"/>
  <c r="K8279" i="2"/>
  <c r="J8279" i="2"/>
  <c r="I8279" i="2"/>
  <c r="A8279" i="2"/>
  <c r="K8278" i="2"/>
  <c r="J8278" i="2"/>
  <c r="I8278" i="2"/>
  <c r="A8278" i="2"/>
  <c r="K8277" i="2"/>
  <c r="J8277" i="2"/>
  <c r="I8277" i="2"/>
  <c r="A8277" i="2"/>
  <c r="K8276" i="2"/>
  <c r="J8276" i="2"/>
  <c r="I8276" i="2"/>
  <c r="A8276" i="2"/>
  <c r="K8275" i="2"/>
  <c r="J8275" i="2"/>
  <c r="I8275" i="2"/>
  <c r="A8275" i="2"/>
  <c r="K8274" i="2"/>
  <c r="J8274" i="2"/>
  <c r="I8274" i="2"/>
  <c r="A8274" i="2"/>
  <c r="K8273" i="2"/>
  <c r="J8273" i="2"/>
  <c r="I8273" i="2"/>
  <c r="A8273" i="2"/>
  <c r="J8272" i="2"/>
  <c r="I8272" i="2"/>
  <c r="K8271" i="2"/>
  <c r="J8271" i="2"/>
  <c r="I8271" i="2"/>
  <c r="A8271" i="2"/>
  <c r="J8270" i="2"/>
  <c r="I8270" i="2"/>
  <c r="K8269" i="2"/>
  <c r="J8269" i="2"/>
  <c r="I8269" i="2"/>
  <c r="A8269" i="2"/>
  <c r="K8268" i="2"/>
  <c r="J8268" i="2"/>
  <c r="I8268" i="2"/>
  <c r="A8268" i="2"/>
  <c r="K8267" i="2"/>
  <c r="J8267" i="2"/>
  <c r="I8267" i="2"/>
  <c r="A8267" i="2"/>
  <c r="K8266" i="2"/>
  <c r="J8266" i="2"/>
  <c r="I8266" i="2"/>
  <c r="A8266" i="2"/>
  <c r="K8265" i="2"/>
  <c r="J8265" i="2"/>
  <c r="I8265" i="2"/>
  <c r="A8265" i="2"/>
  <c r="K8264" i="2"/>
  <c r="J8264" i="2"/>
  <c r="I8264" i="2"/>
  <c r="A8264" i="2"/>
  <c r="K8263" i="2"/>
  <c r="J8263" i="2"/>
  <c r="I8263" i="2"/>
  <c r="A8263" i="2"/>
  <c r="K8262" i="2"/>
  <c r="J8262" i="2"/>
  <c r="I8262" i="2"/>
  <c r="A8262" i="2"/>
  <c r="K8261" i="2"/>
  <c r="J8261" i="2"/>
  <c r="I8261" i="2"/>
  <c r="A8261" i="2"/>
  <c r="K8260" i="2"/>
  <c r="J8260" i="2"/>
  <c r="I8260" i="2"/>
  <c r="A8260" i="2"/>
  <c r="K8259" i="2"/>
  <c r="J8259" i="2"/>
  <c r="I8259" i="2"/>
  <c r="A8259" i="2"/>
  <c r="K8258" i="2"/>
  <c r="J8258" i="2"/>
  <c r="I8258" i="2"/>
  <c r="A8258" i="2"/>
  <c r="K8257" i="2"/>
  <c r="J8257" i="2"/>
  <c r="I8257" i="2"/>
  <c r="A8257" i="2"/>
  <c r="K8256" i="2"/>
  <c r="J8256" i="2"/>
  <c r="I8256" i="2"/>
  <c r="A8256" i="2"/>
  <c r="K8255" i="2"/>
  <c r="J8255" i="2"/>
  <c r="I8255" i="2"/>
  <c r="A8255" i="2"/>
  <c r="K8254" i="2"/>
  <c r="J8254" i="2"/>
  <c r="I8254" i="2"/>
  <c r="A8254" i="2"/>
  <c r="K8253" i="2"/>
  <c r="J8253" i="2"/>
  <c r="I8253" i="2"/>
  <c r="A8253" i="2"/>
  <c r="K8252" i="2"/>
  <c r="J8252" i="2"/>
  <c r="I8252" i="2"/>
  <c r="A8252" i="2"/>
  <c r="K8251" i="2"/>
  <c r="J8251" i="2"/>
  <c r="I8251" i="2"/>
  <c r="A8251" i="2"/>
  <c r="K8250" i="2"/>
  <c r="J8250" i="2"/>
  <c r="I8250" i="2"/>
  <c r="A8250" i="2"/>
  <c r="K8249" i="2"/>
  <c r="J8249" i="2"/>
  <c r="I8249" i="2"/>
  <c r="A8249" i="2"/>
  <c r="K8248" i="2"/>
  <c r="J8248" i="2"/>
  <c r="I8248" i="2"/>
  <c r="A8248" i="2"/>
  <c r="K8247" i="2"/>
  <c r="J8247" i="2"/>
  <c r="I8247" i="2"/>
  <c r="A8247" i="2"/>
  <c r="K8246" i="2"/>
  <c r="J8246" i="2"/>
  <c r="I8246" i="2"/>
  <c r="A8246" i="2"/>
  <c r="K8245" i="2"/>
  <c r="J8245" i="2"/>
  <c r="I8245" i="2"/>
  <c r="A8245" i="2"/>
  <c r="K8244" i="2"/>
  <c r="J8244" i="2"/>
  <c r="I8244" i="2"/>
  <c r="A8244" i="2"/>
  <c r="K8243" i="2"/>
  <c r="J8243" i="2"/>
  <c r="I8243" i="2"/>
  <c r="A8243" i="2"/>
  <c r="K8242" i="2"/>
  <c r="J8242" i="2"/>
  <c r="I8242" i="2"/>
  <c r="A8242" i="2"/>
  <c r="K8241" i="2"/>
  <c r="J8241" i="2"/>
  <c r="I8241" i="2"/>
  <c r="A8241" i="2"/>
  <c r="K8240" i="2"/>
  <c r="J8240" i="2"/>
  <c r="I8240" i="2"/>
  <c r="A8240" i="2"/>
  <c r="K8239" i="2"/>
  <c r="J8239" i="2"/>
  <c r="I8239" i="2"/>
  <c r="A8239" i="2"/>
  <c r="K8238" i="2"/>
  <c r="J8238" i="2"/>
  <c r="I8238" i="2"/>
  <c r="A8238" i="2"/>
  <c r="K8237" i="2"/>
  <c r="J8237" i="2"/>
  <c r="I8237" i="2"/>
  <c r="A8237" i="2"/>
  <c r="K8236" i="2"/>
  <c r="J8236" i="2"/>
  <c r="I8236" i="2"/>
  <c r="A8236" i="2"/>
  <c r="K8235" i="2"/>
  <c r="J8235" i="2"/>
  <c r="I8235" i="2"/>
  <c r="A8235" i="2"/>
  <c r="K8234" i="2"/>
  <c r="J8234" i="2"/>
  <c r="I8234" i="2"/>
  <c r="A8234" i="2"/>
  <c r="K8233" i="2"/>
  <c r="J8233" i="2"/>
  <c r="I8233" i="2"/>
  <c r="A8233" i="2"/>
  <c r="J8232" i="2"/>
  <c r="I8232" i="2"/>
  <c r="K8231" i="2"/>
  <c r="J8231" i="2"/>
  <c r="I8231" i="2"/>
  <c r="A8231" i="2"/>
  <c r="K8230" i="2"/>
  <c r="J8230" i="2"/>
  <c r="I8230" i="2"/>
  <c r="A8230" i="2"/>
  <c r="K8229" i="2"/>
  <c r="J8229" i="2"/>
  <c r="I8229" i="2"/>
  <c r="A8229" i="2"/>
  <c r="K8228" i="2"/>
  <c r="J8228" i="2"/>
  <c r="I8228" i="2"/>
  <c r="A8228" i="2"/>
  <c r="J8227" i="2"/>
  <c r="I8227" i="2"/>
  <c r="K8226" i="2"/>
  <c r="J8226" i="2"/>
  <c r="I8226" i="2"/>
  <c r="A8226" i="2"/>
  <c r="K8225" i="2"/>
  <c r="J8225" i="2"/>
  <c r="I8225" i="2"/>
  <c r="A8225" i="2"/>
  <c r="K8224" i="2"/>
  <c r="J8224" i="2"/>
  <c r="I8224" i="2"/>
  <c r="A8224" i="2"/>
  <c r="K8223" i="2"/>
  <c r="J8223" i="2"/>
  <c r="I8223" i="2"/>
  <c r="A8223" i="2"/>
  <c r="K8222" i="2"/>
  <c r="J8222" i="2"/>
  <c r="I8222" i="2"/>
  <c r="A8222" i="2"/>
  <c r="K8221" i="2"/>
  <c r="J8221" i="2"/>
  <c r="I8221" i="2"/>
  <c r="A8221" i="2"/>
  <c r="K8220" i="2"/>
  <c r="J8220" i="2"/>
  <c r="I8220" i="2"/>
  <c r="A8220" i="2"/>
  <c r="K8219" i="2"/>
  <c r="J8219" i="2"/>
  <c r="I8219" i="2"/>
  <c r="A8219" i="2"/>
  <c r="K8218" i="2"/>
  <c r="J8218" i="2"/>
  <c r="I8218" i="2"/>
  <c r="A8218" i="2"/>
  <c r="K8217" i="2"/>
  <c r="J8217" i="2"/>
  <c r="I8217" i="2"/>
  <c r="A8217" i="2"/>
  <c r="K8216" i="2"/>
  <c r="J8216" i="2"/>
  <c r="I8216" i="2"/>
  <c r="A8216" i="2"/>
  <c r="K8215" i="2"/>
  <c r="J8215" i="2"/>
  <c r="I8215" i="2"/>
  <c r="A8215" i="2"/>
  <c r="K8214" i="2"/>
  <c r="J8214" i="2"/>
  <c r="I8214" i="2"/>
  <c r="A8214" i="2"/>
  <c r="K8213" i="2"/>
  <c r="J8213" i="2"/>
  <c r="I8213" i="2"/>
  <c r="A8213" i="2"/>
  <c r="K8212" i="2"/>
  <c r="J8212" i="2"/>
  <c r="I8212" i="2"/>
  <c r="A8212" i="2"/>
  <c r="K8211" i="2"/>
  <c r="J8211" i="2"/>
  <c r="I8211" i="2"/>
  <c r="A8211" i="2"/>
  <c r="K8210" i="2"/>
  <c r="J8210" i="2"/>
  <c r="I8210" i="2"/>
  <c r="A8210" i="2"/>
  <c r="K8209" i="2"/>
  <c r="J8209" i="2"/>
  <c r="I8209" i="2"/>
  <c r="A8209" i="2"/>
  <c r="K8208" i="2"/>
  <c r="J8208" i="2"/>
  <c r="I8208" i="2"/>
  <c r="A8208" i="2"/>
  <c r="K8207" i="2"/>
  <c r="J8207" i="2"/>
  <c r="I8207" i="2"/>
  <c r="A8207" i="2"/>
  <c r="K8206" i="2"/>
  <c r="J8206" i="2"/>
  <c r="I8206" i="2"/>
  <c r="A8206" i="2"/>
  <c r="K8205" i="2"/>
  <c r="J8205" i="2"/>
  <c r="I8205" i="2"/>
  <c r="A8205" i="2"/>
  <c r="K8204" i="2"/>
  <c r="J8204" i="2"/>
  <c r="I8204" i="2"/>
  <c r="A8204" i="2"/>
  <c r="K8203" i="2"/>
  <c r="J8203" i="2"/>
  <c r="I8203" i="2"/>
  <c r="A8203" i="2"/>
  <c r="K8202" i="2"/>
  <c r="J8202" i="2"/>
  <c r="I8202" i="2"/>
  <c r="A8202" i="2"/>
  <c r="K8201" i="2"/>
  <c r="J8201" i="2"/>
  <c r="I8201" i="2"/>
  <c r="A8201" i="2"/>
  <c r="K8200" i="2"/>
  <c r="J8200" i="2"/>
  <c r="I8200" i="2"/>
  <c r="A8200" i="2"/>
  <c r="K8199" i="2"/>
  <c r="J8199" i="2"/>
  <c r="I8199" i="2"/>
  <c r="A8199" i="2"/>
  <c r="K8198" i="2"/>
  <c r="J8198" i="2"/>
  <c r="I8198" i="2"/>
  <c r="A8198" i="2"/>
  <c r="K8197" i="2"/>
  <c r="J8197" i="2"/>
  <c r="I8197" i="2"/>
  <c r="A8197" i="2"/>
  <c r="K8196" i="2"/>
  <c r="J8196" i="2"/>
  <c r="I8196" i="2"/>
  <c r="A8196" i="2"/>
  <c r="K8195" i="2"/>
  <c r="J8195" i="2"/>
  <c r="I8195" i="2"/>
  <c r="A8195" i="2"/>
  <c r="K8194" i="2"/>
  <c r="J8194" i="2"/>
  <c r="I8194" i="2"/>
  <c r="A8194" i="2"/>
  <c r="K8193" i="2"/>
  <c r="J8193" i="2"/>
  <c r="I8193" i="2"/>
  <c r="A8193" i="2"/>
  <c r="K8192" i="2"/>
  <c r="J8192" i="2"/>
  <c r="I8192" i="2"/>
  <c r="A8192" i="2"/>
  <c r="K8191" i="2"/>
  <c r="J8191" i="2"/>
  <c r="I8191" i="2"/>
  <c r="A8191" i="2"/>
  <c r="K8190" i="2"/>
  <c r="J8190" i="2"/>
  <c r="I8190" i="2"/>
  <c r="A8190" i="2"/>
  <c r="K8189" i="2"/>
  <c r="J8189" i="2"/>
  <c r="I8189" i="2"/>
  <c r="A8189" i="2"/>
  <c r="K8188" i="2"/>
  <c r="J8188" i="2"/>
  <c r="I8188" i="2"/>
  <c r="A8188" i="2"/>
  <c r="K8187" i="2"/>
  <c r="J8187" i="2"/>
  <c r="I8187" i="2"/>
  <c r="A8187" i="2"/>
  <c r="K8186" i="2"/>
  <c r="J8186" i="2"/>
  <c r="I8186" i="2"/>
  <c r="A8186" i="2"/>
  <c r="K8185" i="2"/>
  <c r="J8185" i="2"/>
  <c r="I8185" i="2"/>
  <c r="A8185" i="2"/>
  <c r="K8184" i="2"/>
  <c r="J8184" i="2"/>
  <c r="I8184" i="2"/>
  <c r="A8184" i="2"/>
  <c r="K8183" i="2"/>
  <c r="J8183" i="2"/>
  <c r="I8183" i="2"/>
  <c r="A8183" i="2"/>
  <c r="K8182" i="2"/>
  <c r="J8182" i="2"/>
  <c r="I8182" i="2"/>
  <c r="A8182" i="2"/>
  <c r="K8181" i="2"/>
  <c r="J8181" i="2"/>
  <c r="I8181" i="2"/>
  <c r="A8181" i="2"/>
  <c r="K8180" i="2"/>
  <c r="J8180" i="2"/>
  <c r="I8180" i="2"/>
  <c r="A8180" i="2"/>
  <c r="K8179" i="2"/>
  <c r="J8179" i="2"/>
  <c r="I8179" i="2"/>
  <c r="A8179" i="2"/>
  <c r="K8178" i="2"/>
  <c r="J8178" i="2"/>
  <c r="I8178" i="2"/>
  <c r="A8178" i="2"/>
  <c r="K8177" i="2"/>
  <c r="J8177" i="2"/>
  <c r="I8177" i="2"/>
  <c r="A8177" i="2"/>
  <c r="K8176" i="2"/>
  <c r="J8176" i="2"/>
  <c r="I8176" i="2"/>
  <c r="A8176" i="2"/>
  <c r="K8175" i="2"/>
  <c r="J8175" i="2"/>
  <c r="I8175" i="2"/>
  <c r="A8175" i="2"/>
  <c r="K8174" i="2"/>
  <c r="J8174" i="2"/>
  <c r="I8174" i="2"/>
  <c r="A8174" i="2"/>
  <c r="K8173" i="2"/>
  <c r="J8173" i="2"/>
  <c r="I8173" i="2"/>
  <c r="A8173" i="2"/>
  <c r="K8172" i="2"/>
  <c r="J8172" i="2"/>
  <c r="I8172" i="2"/>
  <c r="A8172" i="2"/>
  <c r="K8171" i="2"/>
  <c r="J8171" i="2"/>
  <c r="I8171" i="2"/>
  <c r="A8171" i="2"/>
  <c r="K8170" i="2"/>
  <c r="J8170" i="2"/>
  <c r="I8170" i="2"/>
  <c r="A8170" i="2"/>
  <c r="K8169" i="2"/>
  <c r="J8169" i="2"/>
  <c r="I8169" i="2"/>
  <c r="A8169" i="2"/>
  <c r="K8168" i="2"/>
  <c r="J8168" i="2"/>
  <c r="I8168" i="2"/>
  <c r="A8168" i="2"/>
  <c r="K8167" i="2"/>
  <c r="J8167" i="2"/>
  <c r="I8167" i="2"/>
  <c r="A8167" i="2"/>
  <c r="K8166" i="2"/>
  <c r="J8166" i="2"/>
  <c r="I8166" i="2"/>
  <c r="A8166" i="2"/>
  <c r="K8165" i="2"/>
  <c r="J8165" i="2"/>
  <c r="I8165" i="2"/>
  <c r="A8165" i="2"/>
  <c r="J8164" i="2"/>
  <c r="I8164" i="2"/>
  <c r="K8163" i="2"/>
  <c r="J8163" i="2"/>
  <c r="I8163" i="2"/>
  <c r="A8163" i="2"/>
  <c r="K8162" i="2"/>
  <c r="J8162" i="2"/>
  <c r="I8162" i="2"/>
  <c r="A8162" i="2"/>
  <c r="K8161" i="2"/>
  <c r="J8161" i="2"/>
  <c r="I8161" i="2"/>
  <c r="A8161" i="2"/>
  <c r="K8160" i="2"/>
  <c r="J8160" i="2"/>
  <c r="I8160" i="2"/>
  <c r="A8160" i="2"/>
  <c r="K8159" i="2"/>
  <c r="J8159" i="2"/>
  <c r="I8159" i="2"/>
  <c r="A8159" i="2"/>
  <c r="J8158" i="2"/>
  <c r="I8158" i="2"/>
  <c r="K8157" i="2"/>
  <c r="J8157" i="2"/>
  <c r="I8157" i="2"/>
  <c r="A8157" i="2"/>
  <c r="K8156" i="2"/>
  <c r="J8156" i="2"/>
  <c r="I8156" i="2"/>
  <c r="A8156" i="2"/>
  <c r="K8155" i="2"/>
  <c r="J8155" i="2"/>
  <c r="I8155" i="2"/>
  <c r="A8155" i="2"/>
  <c r="K8154" i="2"/>
  <c r="J8154" i="2"/>
  <c r="I8154" i="2"/>
  <c r="A8154" i="2"/>
  <c r="K8153" i="2"/>
  <c r="J8153" i="2"/>
  <c r="I8153" i="2"/>
  <c r="A8153" i="2"/>
  <c r="K8152" i="2"/>
  <c r="J8152" i="2"/>
  <c r="I8152" i="2"/>
  <c r="A8152" i="2"/>
  <c r="K8151" i="2"/>
  <c r="J8151" i="2"/>
  <c r="I8151" i="2"/>
  <c r="A8151" i="2"/>
  <c r="K8150" i="2"/>
  <c r="J8150" i="2"/>
  <c r="I8150" i="2"/>
  <c r="A8150" i="2"/>
  <c r="K8149" i="2"/>
  <c r="J8149" i="2"/>
  <c r="I8149" i="2"/>
  <c r="A8149" i="2"/>
  <c r="K8148" i="2"/>
  <c r="J8148" i="2"/>
  <c r="I8148" i="2"/>
  <c r="A8148" i="2"/>
  <c r="K8147" i="2"/>
  <c r="J8147" i="2"/>
  <c r="I8147" i="2"/>
  <c r="A8147" i="2"/>
  <c r="K8146" i="2"/>
  <c r="J8146" i="2"/>
  <c r="I8146" i="2"/>
  <c r="A8146" i="2"/>
  <c r="K8145" i="2"/>
  <c r="J8145" i="2"/>
  <c r="I8145" i="2"/>
  <c r="A8145" i="2"/>
  <c r="J8144" i="2"/>
  <c r="I8144" i="2"/>
  <c r="K8143" i="2"/>
  <c r="J8143" i="2"/>
  <c r="I8143" i="2"/>
  <c r="A8143" i="2"/>
  <c r="K8142" i="2"/>
  <c r="J8142" i="2"/>
  <c r="I8142" i="2"/>
  <c r="A8142" i="2"/>
  <c r="K8141" i="2"/>
  <c r="J8141" i="2"/>
  <c r="I8141" i="2"/>
  <c r="A8141" i="2"/>
  <c r="K8140" i="2"/>
  <c r="J8140" i="2"/>
  <c r="I8140" i="2"/>
  <c r="A8140" i="2"/>
  <c r="K8139" i="2"/>
  <c r="J8139" i="2"/>
  <c r="I8139" i="2"/>
  <c r="A8139" i="2"/>
  <c r="K8138" i="2"/>
  <c r="J8138" i="2"/>
  <c r="I8138" i="2"/>
  <c r="A8138" i="2"/>
  <c r="K8137" i="2"/>
  <c r="J8137" i="2"/>
  <c r="I8137" i="2"/>
  <c r="A8137" i="2"/>
  <c r="K8136" i="2"/>
  <c r="J8136" i="2"/>
  <c r="I8136" i="2"/>
  <c r="A8136" i="2"/>
  <c r="J8135" i="2"/>
  <c r="I8135" i="2"/>
  <c r="K8134" i="2"/>
  <c r="J8134" i="2"/>
  <c r="I8134" i="2"/>
  <c r="A8134" i="2"/>
  <c r="K8133" i="2"/>
  <c r="J8133" i="2"/>
  <c r="I8133" i="2"/>
  <c r="A8133" i="2"/>
  <c r="K8132" i="2"/>
  <c r="J8132" i="2"/>
  <c r="I8132" i="2"/>
  <c r="A8132" i="2"/>
  <c r="K8131" i="2"/>
  <c r="J8131" i="2"/>
  <c r="I8131" i="2"/>
  <c r="A8131" i="2"/>
  <c r="K8130" i="2"/>
  <c r="J8130" i="2"/>
  <c r="I8130" i="2"/>
  <c r="A8130" i="2"/>
  <c r="J8129" i="2"/>
  <c r="I8129" i="2"/>
  <c r="J8128" i="2"/>
  <c r="I8128" i="2"/>
  <c r="K8127" i="2"/>
  <c r="J8127" i="2"/>
  <c r="I8127" i="2"/>
  <c r="A8127" i="2"/>
  <c r="K8126" i="2"/>
  <c r="J8126" i="2"/>
  <c r="I8126" i="2"/>
  <c r="A8126" i="2"/>
  <c r="K8125" i="2"/>
  <c r="J8125" i="2"/>
  <c r="I8125" i="2"/>
  <c r="A8125" i="2"/>
  <c r="K8124" i="2"/>
  <c r="J8124" i="2"/>
  <c r="I8124" i="2"/>
  <c r="A8124" i="2"/>
  <c r="K8123" i="2"/>
  <c r="J8123" i="2"/>
  <c r="I8123" i="2"/>
  <c r="A8123" i="2"/>
  <c r="K8122" i="2"/>
  <c r="J8122" i="2"/>
  <c r="I8122" i="2"/>
  <c r="A8122" i="2"/>
  <c r="K8121" i="2"/>
  <c r="J8121" i="2"/>
  <c r="I8121" i="2"/>
  <c r="A8121" i="2"/>
  <c r="K8120" i="2"/>
  <c r="J8120" i="2"/>
  <c r="I8120" i="2"/>
  <c r="A8120" i="2"/>
  <c r="K8119" i="2"/>
  <c r="J8119" i="2"/>
  <c r="I8119" i="2"/>
  <c r="A8119" i="2"/>
  <c r="K8118" i="2"/>
  <c r="J8118" i="2"/>
  <c r="I8118" i="2"/>
  <c r="A8118" i="2"/>
  <c r="K8117" i="2"/>
  <c r="J8117" i="2"/>
  <c r="I8117" i="2"/>
  <c r="A8117" i="2"/>
  <c r="K8116" i="2"/>
  <c r="J8116" i="2"/>
  <c r="I8116" i="2"/>
  <c r="A8116" i="2"/>
  <c r="K8115" i="2"/>
  <c r="J8115" i="2"/>
  <c r="I8115" i="2"/>
  <c r="A8115" i="2"/>
  <c r="J8114" i="2"/>
  <c r="I8114" i="2"/>
  <c r="K8113" i="2"/>
  <c r="J8113" i="2"/>
  <c r="I8113" i="2"/>
  <c r="A8113" i="2"/>
  <c r="K8112" i="2"/>
  <c r="J8112" i="2"/>
  <c r="I8112" i="2"/>
  <c r="A8112" i="2"/>
  <c r="K8111" i="2"/>
  <c r="J8111" i="2"/>
  <c r="I8111" i="2"/>
  <c r="A8111" i="2"/>
  <c r="K8110" i="2"/>
  <c r="J8110" i="2"/>
  <c r="I8110" i="2"/>
  <c r="A8110" i="2"/>
  <c r="K8109" i="2"/>
  <c r="J8109" i="2"/>
  <c r="I8109" i="2"/>
  <c r="A8109" i="2"/>
  <c r="K8108" i="2"/>
  <c r="J8108" i="2"/>
  <c r="I8108" i="2"/>
  <c r="A8108" i="2"/>
  <c r="K8107" i="2"/>
  <c r="J8107" i="2"/>
  <c r="I8107" i="2"/>
  <c r="A8107" i="2"/>
  <c r="K8106" i="2"/>
  <c r="J8106" i="2"/>
  <c r="I8106" i="2"/>
  <c r="A8106" i="2"/>
  <c r="K8105" i="2"/>
  <c r="J8105" i="2"/>
  <c r="I8105" i="2"/>
  <c r="A8105" i="2"/>
  <c r="K8104" i="2"/>
  <c r="J8104" i="2"/>
  <c r="I8104" i="2"/>
  <c r="A8104" i="2"/>
  <c r="K8103" i="2"/>
  <c r="J8103" i="2"/>
  <c r="I8103" i="2"/>
  <c r="A8103" i="2"/>
  <c r="K8102" i="2"/>
  <c r="J8102" i="2"/>
  <c r="I8102" i="2"/>
  <c r="A8102" i="2"/>
  <c r="K8101" i="2"/>
  <c r="J8101" i="2"/>
  <c r="I8101" i="2"/>
  <c r="A8101" i="2"/>
  <c r="K8100" i="2"/>
  <c r="J8100" i="2"/>
  <c r="I8100" i="2"/>
  <c r="A8100" i="2"/>
  <c r="K8099" i="2"/>
  <c r="J8099" i="2"/>
  <c r="I8099" i="2"/>
  <c r="A8099" i="2"/>
  <c r="K8098" i="2"/>
  <c r="J8098" i="2"/>
  <c r="I8098" i="2"/>
  <c r="A8098" i="2"/>
  <c r="K8097" i="2"/>
  <c r="J8097" i="2"/>
  <c r="I8097" i="2"/>
  <c r="A8097" i="2"/>
  <c r="K8096" i="2"/>
  <c r="J8096" i="2"/>
  <c r="I8096" i="2"/>
  <c r="A8096" i="2"/>
  <c r="K8095" i="2"/>
  <c r="J8095" i="2"/>
  <c r="I8095" i="2"/>
  <c r="A8095" i="2"/>
  <c r="K8094" i="2"/>
  <c r="J8094" i="2"/>
  <c r="I8094" i="2"/>
  <c r="A8094" i="2"/>
  <c r="K8093" i="2"/>
  <c r="J8093" i="2"/>
  <c r="I8093" i="2"/>
  <c r="A8093" i="2"/>
  <c r="K8092" i="2"/>
  <c r="J8092" i="2"/>
  <c r="I8092" i="2"/>
  <c r="A8092" i="2"/>
  <c r="K8091" i="2"/>
  <c r="J8091" i="2"/>
  <c r="I8091" i="2"/>
  <c r="A8091" i="2"/>
  <c r="K8090" i="2"/>
  <c r="J8090" i="2"/>
  <c r="I8090" i="2"/>
  <c r="A8090" i="2"/>
  <c r="K8089" i="2"/>
  <c r="J8089" i="2"/>
  <c r="I8089" i="2"/>
  <c r="A8089" i="2"/>
  <c r="K8088" i="2"/>
  <c r="J8088" i="2"/>
  <c r="I8088" i="2"/>
  <c r="A8088" i="2"/>
  <c r="K8087" i="2"/>
  <c r="J8087" i="2"/>
  <c r="I8087" i="2"/>
  <c r="A8087" i="2"/>
  <c r="K8086" i="2"/>
  <c r="J8086" i="2"/>
  <c r="I8086" i="2"/>
  <c r="A8086" i="2"/>
  <c r="K8085" i="2"/>
  <c r="J8085" i="2"/>
  <c r="I8085" i="2"/>
  <c r="A8085" i="2"/>
  <c r="K8084" i="2"/>
  <c r="J8084" i="2"/>
  <c r="I8084" i="2"/>
  <c r="A8084" i="2"/>
  <c r="J8083" i="2"/>
  <c r="I8083" i="2"/>
  <c r="K8082" i="2"/>
  <c r="J8082" i="2"/>
  <c r="I8082" i="2"/>
  <c r="A8082" i="2"/>
  <c r="K8081" i="2"/>
  <c r="J8081" i="2"/>
  <c r="I8081" i="2"/>
  <c r="A8081" i="2"/>
  <c r="K8080" i="2"/>
  <c r="J8080" i="2"/>
  <c r="I8080" i="2"/>
  <c r="A8080" i="2"/>
  <c r="K8079" i="2"/>
  <c r="J8079" i="2"/>
  <c r="I8079" i="2"/>
  <c r="A8079" i="2"/>
  <c r="K8078" i="2"/>
  <c r="J8078" i="2"/>
  <c r="I8078" i="2"/>
  <c r="A8078" i="2"/>
  <c r="K8077" i="2"/>
  <c r="J8077" i="2"/>
  <c r="I8077" i="2"/>
  <c r="A8077" i="2"/>
  <c r="K8076" i="2"/>
  <c r="J8076" i="2"/>
  <c r="I8076" i="2"/>
  <c r="A8076" i="2"/>
  <c r="K8075" i="2"/>
  <c r="J8075" i="2"/>
  <c r="I8075" i="2"/>
  <c r="A8075" i="2"/>
  <c r="K8074" i="2"/>
  <c r="J8074" i="2"/>
  <c r="I8074" i="2"/>
  <c r="A8074" i="2"/>
  <c r="J8073" i="2"/>
  <c r="I8073" i="2"/>
  <c r="J8072" i="2"/>
  <c r="I8072" i="2"/>
  <c r="K8071" i="2"/>
  <c r="J8071" i="2"/>
  <c r="I8071" i="2"/>
  <c r="A8071" i="2"/>
  <c r="K8070" i="2"/>
  <c r="J8070" i="2"/>
  <c r="I8070" i="2"/>
  <c r="A8070" i="2"/>
  <c r="K8069" i="2"/>
  <c r="J8069" i="2"/>
  <c r="I8069" i="2"/>
  <c r="A8069" i="2"/>
  <c r="K8068" i="2"/>
  <c r="J8068" i="2"/>
  <c r="I8068" i="2"/>
  <c r="A8068" i="2"/>
  <c r="K8067" i="2"/>
  <c r="J8067" i="2"/>
  <c r="I8067" i="2"/>
  <c r="A8067" i="2"/>
  <c r="K8066" i="2"/>
  <c r="J8066" i="2"/>
  <c r="I8066" i="2"/>
  <c r="A8066" i="2"/>
  <c r="K8065" i="2"/>
  <c r="J8065" i="2"/>
  <c r="I8065" i="2"/>
  <c r="A8065" i="2"/>
  <c r="K8064" i="2"/>
  <c r="J8064" i="2"/>
  <c r="I8064" i="2"/>
  <c r="A8064" i="2"/>
  <c r="K8063" i="2"/>
  <c r="J8063" i="2"/>
  <c r="I8063" i="2"/>
  <c r="A8063" i="2"/>
  <c r="K8062" i="2"/>
  <c r="J8062" i="2"/>
  <c r="I8062" i="2"/>
  <c r="A8062" i="2"/>
  <c r="K8061" i="2"/>
  <c r="J8061" i="2"/>
  <c r="I8061" i="2"/>
  <c r="A8061" i="2"/>
  <c r="K8060" i="2"/>
  <c r="J8060" i="2"/>
  <c r="I8060" i="2"/>
  <c r="A8060" i="2"/>
  <c r="K8059" i="2"/>
  <c r="J8059" i="2"/>
  <c r="I8059" i="2"/>
  <c r="A8059" i="2"/>
  <c r="K8058" i="2"/>
  <c r="J8058" i="2"/>
  <c r="I8058" i="2"/>
  <c r="A8058" i="2"/>
  <c r="K8057" i="2"/>
  <c r="J8057" i="2"/>
  <c r="I8057" i="2"/>
  <c r="A8057" i="2"/>
  <c r="K8056" i="2"/>
  <c r="J8056" i="2"/>
  <c r="I8056" i="2"/>
  <c r="A8056" i="2"/>
  <c r="K8055" i="2"/>
  <c r="J8055" i="2"/>
  <c r="I8055" i="2"/>
  <c r="A8055" i="2"/>
  <c r="K8054" i="2"/>
  <c r="J8054" i="2"/>
  <c r="I8054" i="2"/>
  <c r="A8054" i="2"/>
  <c r="K8053" i="2"/>
  <c r="J8053" i="2"/>
  <c r="I8053" i="2"/>
  <c r="A8053" i="2"/>
  <c r="K8052" i="2"/>
  <c r="J8052" i="2"/>
  <c r="I8052" i="2"/>
  <c r="A8052" i="2"/>
  <c r="K8051" i="2"/>
  <c r="J8051" i="2"/>
  <c r="I8051" i="2"/>
  <c r="A8051" i="2"/>
  <c r="K8050" i="2"/>
  <c r="J8050" i="2"/>
  <c r="I8050" i="2"/>
  <c r="A8050" i="2"/>
  <c r="K8049" i="2"/>
  <c r="J8049" i="2"/>
  <c r="I8049" i="2"/>
  <c r="A8049" i="2"/>
  <c r="K8048" i="2"/>
  <c r="J8048" i="2"/>
  <c r="I8048" i="2"/>
  <c r="A8048" i="2"/>
  <c r="K8047" i="2"/>
  <c r="J8047" i="2"/>
  <c r="I8047" i="2"/>
  <c r="A8047" i="2"/>
  <c r="K8046" i="2"/>
  <c r="J8046" i="2"/>
  <c r="I8046" i="2"/>
  <c r="A8046" i="2"/>
  <c r="K8045" i="2"/>
  <c r="J8045" i="2"/>
  <c r="I8045" i="2"/>
  <c r="A8045" i="2"/>
  <c r="K8044" i="2"/>
  <c r="J8044" i="2"/>
  <c r="I8044" i="2"/>
  <c r="A8044" i="2"/>
  <c r="K8043" i="2"/>
  <c r="J8043" i="2"/>
  <c r="I8043" i="2"/>
  <c r="A8043" i="2"/>
  <c r="K8042" i="2"/>
  <c r="J8042" i="2"/>
  <c r="I8042" i="2"/>
  <c r="A8042" i="2"/>
  <c r="K8041" i="2"/>
  <c r="J8041" i="2"/>
  <c r="I8041" i="2"/>
  <c r="A8041" i="2"/>
  <c r="K8040" i="2"/>
  <c r="J8040" i="2"/>
  <c r="I8040" i="2"/>
  <c r="A8040" i="2"/>
  <c r="K8039" i="2"/>
  <c r="J8039" i="2"/>
  <c r="I8039" i="2"/>
  <c r="A8039" i="2"/>
  <c r="J8038" i="2"/>
  <c r="I8038" i="2"/>
  <c r="J8037" i="2"/>
  <c r="I8037" i="2"/>
  <c r="K8036" i="2"/>
  <c r="J8036" i="2"/>
  <c r="I8036" i="2"/>
  <c r="A8036" i="2"/>
  <c r="K8035" i="2"/>
  <c r="J8035" i="2"/>
  <c r="I8035" i="2"/>
  <c r="A8035" i="2"/>
  <c r="J8034" i="2"/>
  <c r="I8034" i="2"/>
  <c r="K8033" i="2"/>
  <c r="J8033" i="2"/>
  <c r="I8033" i="2"/>
  <c r="A8033" i="2"/>
  <c r="K8032" i="2"/>
  <c r="J8032" i="2"/>
  <c r="I8032" i="2"/>
  <c r="A8032" i="2"/>
  <c r="K8031" i="2"/>
  <c r="J8031" i="2"/>
  <c r="I8031" i="2"/>
  <c r="A8031" i="2"/>
  <c r="K8030" i="2"/>
  <c r="J8030" i="2"/>
  <c r="I8030" i="2"/>
  <c r="A8030" i="2"/>
  <c r="K8029" i="2"/>
  <c r="J8029" i="2"/>
  <c r="I8029" i="2"/>
  <c r="A8029" i="2"/>
  <c r="K8028" i="2"/>
  <c r="J8028" i="2"/>
  <c r="I8028" i="2"/>
  <c r="A8028" i="2"/>
  <c r="K8027" i="2"/>
  <c r="J8027" i="2"/>
  <c r="I8027" i="2"/>
  <c r="A8027" i="2"/>
  <c r="K8026" i="2"/>
  <c r="J8026" i="2"/>
  <c r="I8026" i="2"/>
  <c r="A8026" i="2"/>
  <c r="K8025" i="2"/>
  <c r="J8025" i="2"/>
  <c r="I8025" i="2"/>
  <c r="A8025" i="2"/>
  <c r="K8024" i="2"/>
  <c r="J8024" i="2"/>
  <c r="I8024" i="2"/>
  <c r="A8024" i="2"/>
  <c r="K8023" i="2"/>
  <c r="J8023" i="2"/>
  <c r="I8023" i="2"/>
  <c r="A8023" i="2"/>
  <c r="J8022" i="2"/>
  <c r="I8022" i="2"/>
  <c r="K8021" i="2"/>
  <c r="J8021" i="2"/>
  <c r="I8021" i="2"/>
  <c r="A8021" i="2"/>
  <c r="K8020" i="2"/>
  <c r="J8020" i="2"/>
  <c r="I8020" i="2"/>
  <c r="A8020" i="2"/>
  <c r="K8019" i="2"/>
  <c r="J8019" i="2"/>
  <c r="I8019" i="2"/>
  <c r="A8019" i="2"/>
  <c r="J8018" i="2"/>
  <c r="I8018" i="2"/>
  <c r="K8017" i="2"/>
  <c r="J8017" i="2"/>
  <c r="I8017" i="2"/>
  <c r="A8017" i="2"/>
  <c r="K8016" i="2"/>
  <c r="J8016" i="2"/>
  <c r="I8016" i="2"/>
  <c r="A8016" i="2"/>
  <c r="K8015" i="2"/>
  <c r="J8015" i="2"/>
  <c r="I8015" i="2"/>
  <c r="A8015" i="2"/>
  <c r="K8014" i="2"/>
  <c r="J8014" i="2"/>
  <c r="I8014" i="2"/>
  <c r="A8014" i="2"/>
  <c r="K8013" i="2"/>
  <c r="J8013" i="2"/>
  <c r="I8013" i="2"/>
  <c r="A8013" i="2"/>
  <c r="K8012" i="2"/>
  <c r="J8012" i="2"/>
  <c r="I8012" i="2"/>
  <c r="A8012" i="2"/>
  <c r="K8011" i="2"/>
  <c r="J8011" i="2"/>
  <c r="I8011" i="2"/>
  <c r="A8011" i="2"/>
  <c r="K8010" i="2"/>
  <c r="J8010" i="2"/>
  <c r="I8010" i="2"/>
  <c r="A8010" i="2"/>
  <c r="K8009" i="2"/>
  <c r="J8009" i="2"/>
  <c r="I8009" i="2"/>
  <c r="A8009" i="2"/>
  <c r="K8008" i="2"/>
  <c r="J8008" i="2"/>
  <c r="I8008" i="2"/>
  <c r="A8008" i="2"/>
  <c r="K8007" i="2"/>
  <c r="J8007" i="2"/>
  <c r="I8007" i="2"/>
  <c r="A8007" i="2"/>
  <c r="K8006" i="2"/>
  <c r="J8006" i="2"/>
  <c r="I8006" i="2"/>
  <c r="A8006" i="2"/>
  <c r="K8005" i="2"/>
  <c r="J8005" i="2"/>
  <c r="I8005" i="2"/>
  <c r="A8005" i="2"/>
  <c r="K8004" i="2"/>
  <c r="J8004" i="2"/>
  <c r="I8004" i="2"/>
  <c r="A8004" i="2"/>
  <c r="K8003" i="2"/>
  <c r="J8003" i="2"/>
  <c r="I8003" i="2"/>
  <c r="A8003" i="2"/>
  <c r="K8002" i="2"/>
  <c r="J8002" i="2"/>
  <c r="I8002" i="2"/>
  <c r="A8002" i="2"/>
  <c r="K8001" i="2"/>
  <c r="J8001" i="2"/>
  <c r="I8001" i="2"/>
  <c r="A8001" i="2"/>
  <c r="J8000" i="2"/>
  <c r="I8000" i="2"/>
  <c r="K7999" i="2"/>
  <c r="J7999" i="2"/>
  <c r="I7999" i="2"/>
  <c r="A7999" i="2"/>
  <c r="K7998" i="2"/>
  <c r="J7998" i="2"/>
  <c r="I7998" i="2"/>
  <c r="A7998" i="2"/>
  <c r="K7997" i="2"/>
  <c r="J7997" i="2"/>
  <c r="I7997" i="2"/>
  <c r="A7997" i="2"/>
  <c r="K7996" i="2"/>
  <c r="J7996" i="2"/>
  <c r="I7996" i="2"/>
  <c r="A7996" i="2"/>
  <c r="K7995" i="2"/>
  <c r="J7995" i="2"/>
  <c r="I7995" i="2"/>
  <c r="A7995" i="2"/>
  <c r="K7994" i="2"/>
  <c r="J7994" i="2"/>
  <c r="I7994" i="2"/>
  <c r="A7994" i="2"/>
  <c r="K7993" i="2"/>
  <c r="J7993" i="2"/>
  <c r="I7993" i="2"/>
  <c r="A7993" i="2"/>
  <c r="K7992" i="2"/>
  <c r="J7992" i="2"/>
  <c r="I7992" i="2"/>
  <c r="A7992" i="2"/>
  <c r="K7991" i="2"/>
  <c r="J7991" i="2"/>
  <c r="I7991" i="2"/>
  <c r="A7991" i="2"/>
  <c r="K7990" i="2"/>
  <c r="J7990" i="2"/>
  <c r="I7990" i="2"/>
  <c r="A7990" i="2"/>
  <c r="K7989" i="2"/>
  <c r="J7989" i="2"/>
  <c r="I7989" i="2"/>
  <c r="A7989" i="2"/>
  <c r="K7988" i="2"/>
  <c r="J7988" i="2"/>
  <c r="I7988" i="2"/>
  <c r="A7988" i="2"/>
  <c r="K7987" i="2"/>
  <c r="J7987" i="2"/>
  <c r="I7987" i="2"/>
  <c r="A7987" i="2"/>
  <c r="K7986" i="2"/>
  <c r="J7986" i="2"/>
  <c r="I7986" i="2"/>
  <c r="A7986" i="2"/>
  <c r="K7985" i="2"/>
  <c r="J7985" i="2"/>
  <c r="I7985" i="2"/>
  <c r="A7985" i="2"/>
  <c r="K7984" i="2"/>
  <c r="J7984" i="2"/>
  <c r="I7984" i="2"/>
  <c r="A7984" i="2"/>
  <c r="K7983" i="2"/>
  <c r="J7983" i="2"/>
  <c r="I7983" i="2"/>
  <c r="A7983" i="2"/>
  <c r="J7982" i="2"/>
  <c r="I7982" i="2"/>
  <c r="K7981" i="2"/>
  <c r="J7981" i="2"/>
  <c r="I7981" i="2"/>
  <c r="A7981" i="2"/>
  <c r="K7980" i="2"/>
  <c r="J7980" i="2"/>
  <c r="I7980" i="2"/>
  <c r="A7980" i="2"/>
  <c r="K7979" i="2"/>
  <c r="J7979" i="2"/>
  <c r="I7979" i="2"/>
  <c r="A7979" i="2"/>
  <c r="K7978" i="2"/>
  <c r="J7978" i="2"/>
  <c r="I7978" i="2"/>
  <c r="A7978" i="2"/>
  <c r="K7977" i="2"/>
  <c r="J7977" i="2"/>
  <c r="I7977" i="2"/>
  <c r="A7977" i="2"/>
  <c r="K7976" i="2"/>
  <c r="J7976" i="2"/>
  <c r="I7976" i="2"/>
  <c r="A7976" i="2"/>
  <c r="K7975" i="2"/>
  <c r="J7975" i="2"/>
  <c r="I7975" i="2"/>
  <c r="A7975" i="2"/>
  <c r="K7974" i="2"/>
  <c r="J7974" i="2"/>
  <c r="I7974" i="2"/>
  <c r="A7974" i="2"/>
  <c r="K7973" i="2"/>
  <c r="J7973" i="2"/>
  <c r="I7973" i="2"/>
  <c r="A7973" i="2"/>
  <c r="K7972" i="2"/>
  <c r="J7972" i="2"/>
  <c r="I7972" i="2"/>
  <c r="A7972" i="2"/>
  <c r="J7971" i="2"/>
  <c r="I7971" i="2"/>
  <c r="K7970" i="2"/>
  <c r="J7970" i="2"/>
  <c r="I7970" i="2"/>
  <c r="A7970" i="2"/>
  <c r="K7969" i="2"/>
  <c r="J7969" i="2"/>
  <c r="I7969" i="2"/>
  <c r="A7969" i="2"/>
  <c r="K7968" i="2"/>
  <c r="J7968" i="2"/>
  <c r="I7968" i="2"/>
  <c r="A7968" i="2"/>
  <c r="K7967" i="2"/>
  <c r="J7967" i="2"/>
  <c r="I7967" i="2"/>
  <c r="A7967" i="2"/>
  <c r="K7966" i="2"/>
  <c r="J7966" i="2"/>
  <c r="I7966" i="2"/>
  <c r="A7966" i="2"/>
  <c r="J7965" i="2"/>
  <c r="I7965" i="2"/>
  <c r="K7964" i="2"/>
  <c r="J7964" i="2"/>
  <c r="I7964" i="2"/>
  <c r="A7964" i="2"/>
  <c r="K7963" i="2"/>
  <c r="J7963" i="2"/>
  <c r="I7963" i="2"/>
  <c r="A7963" i="2"/>
  <c r="K7962" i="2"/>
  <c r="J7962" i="2"/>
  <c r="I7962" i="2"/>
  <c r="A7962" i="2"/>
  <c r="K7961" i="2"/>
  <c r="J7961" i="2"/>
  <c r="I7961" i="2"/>
  <c r="A7961" i="2"/>
  <c r="K7960" i="2"/>
  <c r="J7960" i="2"/>
  <c r="I7960" i="2"/>
  <c r="A7960" i="2"/>
  <c r="J7959" i="2"/>
  <c r="I7959" i="2"/>
  <c r="K7958" i="2"/>
  <c r="J7958" i="2"/>
  <c r="I7958" i="2"/>
  <c r="A7958" i="2"/>
  <c r="K7957" i="2"/>
  <c r="J7957" i="2"/>
  <c r="I7957" i="2"/>
  <c r="A7957" i="2"/>
  <c r="K7956" i="2"/>
  <c r="J7956" i="2"/>
  <c r="I7956" i="2"/>
  <c r="A7956" i="2"/>
  <c r="J7955" i="2"/>
  <c r="I7955" i="2"/>
  <c r="K7954" i="2"/>
  <c r="J7954" i="2"/>
  <c r="I7954" i="2"/>
  <c r="A7954" i="2"/>
  <c r="K7953" i="2"/>
  <c r="J7953" i="2"/>
  <c r="I7953" i="2"/>
  <c r="A7953" i="2"/>
  <c r="K7952" i="2"/>
  <c r="J7952" i="2"/>
  <c r="I7952" i="2"/>
  <c r="A7952" i="2"/>
  <c r="K7951" i="2"/>
  <c r="J7951" i="2"/>
  <c r="I7951" i="2"/>
  <c r="A7951" i="2"/>
  <c r="K7950" i="2"/>
  <c r="J7950" i="2"/>
  <c r="I7950" i="2"/>
  <c r="A7950" i="2"/>
  <c r="K7949" i="2"/>
  <c r="J7949" i="2"/>
  <c r="I7949" i="2"/>
  <c r="A7949" i="2"/>
  <c r="K7948" i="2"/>
  <c r="J7948" i="2"/>
  <c r="I7948" i="2"/>
  <c r="A7948" i="2"/>
  <c r="K7947" i="2"/>
  <c r="J7947" i="2"/>
  <c r="I7947" i="2"/>
  <c r="A7947" i="2"/>
  <c r="K7946" i="2"/>
  <c r="J7946" i="2"/>
  <c r="I7946" i="2"/>
  <c r="A7946" i="2"/>
  <c r="K7945" i="2"/>
  <c r="J7945" i="2"/>
  <c r="I7945" i="2"/>
  <c r="A7945" i="2"/>
  <c r="K7944" i="2"/>
  <c r="J7944" i="2"/>
  <c r="I7944" i="2"/>
  <c r="A7944" i="2"/>
  <c r="K7943" i="2"/>
  <c r="J7943" i="2"/>
  <c r="I7943" i="2"/>
  <c r="A7943" i="2"/>
  <c r="K7942" i="2"/>
  <c r="J7942" i="2"/>
  <c r="I7942" i="2"/>
  <c r="A7942" i="2"/>
  <c r="K7941" i="2"/>
  <c r="J7941" i="2"/>
  <c r="I7941" i="2"/>
  <c r="A7941" i="2"/>
  <c r="K7940" i="2"/>
  <c r="J7940" i="2"/>
  <c r="I7940" i="2"/>
  <c r="A7940" i="2"/>
  <c r="K7939" i="2"/>
  <c r="J7939" i="2"/>
  <c r="I7939" i="2"/>
  <c r="A7939" i="2"/>
  <c r="K7938" i="2"/>
  <c r="J7938" i="2"/>
  <c r="I7938" i="2"/>
  <c r="A7938" i="2"/>
  <c r="K7937" i="2"/>
  <c r="J7937" i="2"/>
  <c r="I7937" i="2"/>
  <c r="A7937" i="2"/>
  <c r="K7936" i="2"/>
  <c r="J7936" i="2"/>
  <c r="I7936" i="2"/>
  <c r="A7936" i="2"/>
  <c r="K7935" i="2"/>
  <c r="J7935" i="2"/>
  <c r="I7935" i="2"/>
  <c r="A7935" i="2"/>
  <c r="K7934" i="2"/>
  <c r="J7934" i="2"/>
  <c r="I7934" i="2"/>
  <c r="A7934" i="2"/>
  <c r="K7933" i="2"/>
  <c r="J7933" i="2"/>
  <c r="I7933" i="2"/>
  <c r="A7933" i="2"/>
  <c r="J7932" i="2"/>
  <c r="I7932" i="2"/>
  <c r="K7931" i="2"/>
  <c r="J7931" i="2"/>
  <c r="I7931" i="2"/>
  <c r="A7931" i="2"/>
  <c r="K7930" i="2"/>
  <c r="J7930" i="2"/>
  <c r="I7930" i="2"/>
  <c r="A7930" i="2"/>
  <c r="K7929" i="2"/>
  <c r="J7929" i="2"/>
  <c r="I7929" i="2"/>
  <c r="A7929" i="2"/>
  <c r="K7928" i="2"/>
  <c r="J7928" i="2"/>
  <c r="I7928" i="2"/>
  <c r="A7928" i="2"/>
  <c r="K7927" i="2"/>
  <c r="J7927" i="2"/>
  <c r="I7927" i="2"/>
  <c r="A7927" i="2"/>
  <c r="K7926" i="2"/>
  <c r="J7926" i="2"/>
  <c r="I7926" i="2"/>
  <c r="A7926" i="2"/>
  <c r="K7925" i="2"/>
  <c r="J7925" i="2"/>
  <c r="I7925" i="2"/>
  <c r="A7925" i="2"/>
  <c r="K7924" i="2"/>
  <c r="J7924" i="2"/>
  <c r="I7924" i="2"/>
  <c r="A7924" i="2"/>
  <c r="J7923" i="2"/>
  <c r="I7923" i="2"/>
  <c r="K7922" i="2"/>
  <c r="J7922" i="2"/>
  <c r="I7922" i="2"/>
  <c r="A7922" i="2"/>
  <c r="K7921" i="2"/>
  <c r="J7921" i="2"/>
  <c r="I7921" i="2"/>
  <c r="A7921" i="2"/>
  <c r="K7920" i="2"/>
  <c r="J7920" i="2"/>
  <c r="I7920" i="2"/>
  <c r="A7920" i="2"/>
  <c r="K7919" i="2"/>
  <c r="J7919" i="2"/>
  <c r="I7919" i="2"/>
  <c r="A7919" i="2"/>
  <c r="K7918" i="2"/>
  <c r="J7918" i="2"/>
  <c r="I7918" i="2"/>
  <c r="A7918" i="2"/>
  <c r="K7917" i="2"/>
  <c r="J7917" i="2"/>
  <c r="I7917" i="2"/>
  <c r="A7917" i="2"/>
  <c r="J7916" i="2"/>
  <c r="I7916" i="2"/>
  <c r="K7915" i="2"/>
  <c r="J7915" i="2"/>
  <c r="I7915" i="2"/>
  <c r="A7915" i="2"/>
  <c r="K7914" i="2"/>
  <c r="J7914" i="2"/>
  <c r="I7914" i="2"/>
  <c r="A7914" i="2"/>
  <c r="K7913" i="2"/>
  <c r="J7913" i="2"/>
  <c r="I7913" i="2"/>
  <c r="A7913" i="2"/>
  <c r="K7912" i="2"/>
  <c r="J7912" i="2"/>
  <c r="I7912" i="2"/>
  <c r="A7912" i="2"/>
  <c r="K7911" i="2"/>
  <c r="J7911" i="2"/>
  <c r="I7911" i="2"/>
  <c r="A7911" i="2"/>
  <c r="K7910" i="2"/>
  <c r="J7910" i="2"/>
  <c r="I7910" i="2"/>
  <c r="A7910" i="2"/>
  <c r="K7909" i="2"/>
  <c r="J7909" i="2"/>
  <c r="I7909" i="2"/>
  <c r="A7909" i="2"/>
  <c r="K7908" i="2"/>
  <c r="J7908" i="2"/>
  <c r="I7908" i="2"/>
  <c r="A7908" i="2"/>
  <c r="J7907" i="2"/>
  <c r="I7907" i="2"/>
  <c r="K7906" i="2"/>
  <c r="J7906" i="2"/>
  <c r="I7906" i="2"/>
  <c r="A7906" i="2"/>
  <c r="J7905" i="2"/>
  <c r="I7905" i="2"/>
  <c r="K7904" i="2"/>
  <c r="J7904" i="2"/>
  <c r="I7904" i="2"/>
  <c r="A7904" i="2"/>
  <c r="K7903" i="2"/>
  <c r="J7903" i="2"/>
  <c r="I7903" i="2"/>
  <c r="A7903" i="2"/>
  <c r="K7902" i="2"/>
  <c r="J7902" i="2"/>
  <c r="I7902" i="2"/>
  <c r="A7902" i="2"/>
  <c r="K7901" i="2"/>
  <c r="J7901" i="2"/>
  <c r="I7901" i="2"/>
  <c r="A7901" i="2"/>
  <c r="K7900" i="2"/>
  <c r="J7900" i="2"/>
  <c r="I7900" i="2"/>
  <c r="A7900" i="2"/>
  <c r="K7899" i="2"/>
  <c r="J7899" i="2"/>
  <c r="I7899" i="2"/>
  <c r="A7899" i="2"/>
  <c r="K7898" i="2"/>
  <c r="J7898" i="2"/>
  <c r="I7898" i="2"/>
  <c r="A7898" i="2"/>
  <c r="J7897" i="2"/>
  <c r="I7897" i="2"/>
  <c r="K7896" i="2"/>
  <c r="J7896" i="2"/>
  <c r="I7896" i="2"/>
  <c r="A7896" i="2"/>
  <c r="K7895" i="2"/>
  <c r="J7895" i="2"/>
  <c r="I7895" i="2"/>
  <c r="A7895" i="2"/>
  <c r="K7894" i="2"/>
  <c r="J7894" i="2"/>
  <c r="I7894" i="2"/>
  <c r="A7894" i="2"/>
  <c r="K7893" i="2"/>
  <c r="J7893" i="2"/>
  <c r="I7893" i="2"/>
  <c r="A7893" i="2"/>
  <c r="K7892" i="2"/>
  <c r="J7892" i="2"/>
  <c r="I7892" i="2"/>
  <c r="A7892" i="2"/>
  <c r="K7891" i="2"/>
  <c r="J7891" i="2"/>
  <c r="I7891" i="2"/>
  <c r="A7891" i="2"/>
  <c r="K7890" i="2"/>
  <c r="J7890" i="2"/>
  <c r="I7890" i="2"/>
  <c r="A7890" i="2"/>
  <c r="J7889" i="2"/>
  <c r="I7889" i="2"/>
  <c r="J7888" i="2"/>
  <c r="I7888" i="2"/>
  <c r="K7887" i="2"/>
  <c r="J7887" i="2"/>
  <c r="I7887" i="2"/>
  <c r="A7887" i="2"/>
  <c r="K7886" i="2"/>
  <c r="J7886" i="2"/>
  <c r="I7886" i="2"/>
  <c r="A7886" i="2"/>
  <c r="K7885" i="2"/>
  <c r="J7885" i="2"/>
  <c r="I7885" i="2"/>
  <c r="A7885" i="2"/>
  <c r="K7884" i="2"/>
  <c r="J7884" i="2"/>
  <c r="I7884" i="2"/>
  <c r="A7884" i="2"/>
  <c r="K7883" i="2"/>
  <c r="J7883" i="2"/>
  <c r="I7883" i="2"/>
  <c r="A7883" i="2"/>
  <c r="K7882" i="2"/>
  <c r="J7882" i="2"/>
  <c r="I7882" i="2"/>
  <c r="A7882" i="2"/>
  <c r="K7881" i="2"/>
  <c r="J7881" i="2"/>
  <c r="I7881" i="2"/>
  <c r="A7881" i="2"/>
  <c r="J7880" i="2"/>
  <c r="I7880" i="2"/>
  <c r="K7879" i="2"/>
  <c r="J7879" i="2"/>
  <c r="I7879" i="2"/>
  <c r="A7879" i="2"/>
  <c r="K7878" i="2"/>
  <c r="J7878" i="2"/>
  <c r="I7878" i="2"/>
  <c r="A7878" i="2"/>
  <c r="K7877" i="2"/>
  <c r="J7877" i="2"/>
  <c r="I7877" i="2"/>
  <c r="A7877" i="2"/>
  <c r="K7876" i="2"/>
  <c r="J7876" i="2"/>
  <c r="I7876" i="2"/>
  <c r="A7876" i="2"/>
  <c r="K7875" i="2"/>
  <c r="J7875" i="2"/>
  <c r="I7875" i="2"/>
  <c r="A7875" i="2"/>
  <c r="K7874" i="2"/>
  <c r="J7874" i="2"/>
  <c r="I7874" i="2"/>
  <c r="A7874" i="2"/>
  <c r="K7873" i="2"/>
  <c r="J7873" i="2"/>
  <c r="I7873" i="2"/>
  <c r="A7873" i="2"/>
  <c r="J7872" i="2"/>
  <c r="I7872" i="2"/>
  <c r="K7871" i="2"/>
  <c r="J7871" i="2"/>
  <c r="I7871" i="2"/>
  <c r="A7871" i="2"/>
  <c r="K7870" i="2"/>
  <c r="J7870" i="2"/>
  <c r="I7870" i="2"/>
  <c r="A7870" i="2"/>
  <c r="K7869" i="2"/>
  <c r="J7869" i="2"/>
  <c r="I7869" i="2"/>
  <c r="A7869" i="2"/>
  <c r="K7868" i="2"/>
  <c r="J7868" i="2"/>
  <c r="I7868" i="2"/>
  <c r="A7868" i="2"/>
  <c r="K7867" i="2"/>
  <c r="J7867" i="2"/>
  <c r="I7867" i="2"/>
  <c r="A7867" i="2"/>
  <c r="K7866" i="2"/>
  <c r="J7866" i="2"/>
  <c r="I7866" i="2"/>
  <c r="A7866" i="2"/>
  <c r="K7865" i="2"/>
  <c r="J7865" i="2"/>
  <c r="I7865" i="2"/>
  <c r="A7865" i="2"/>
  <c r="K7864" i="2"/>
  <c r="J7864" i="2"/>
  <c r="I7864" i="2"/>
  <c r="A7864" i="2"/>
  <c r="K7863" i="2"/>
  <c r="J7863" i="2"/>
  <c r="I7863" i="2"/>
  <c r="A7863" i="2"/>
  <c r="K7862" i="2"/>
  <c r="J7862" i="2"/>
  <c r="I7862" i="2"/>
  <c r="A7862" i="2"/>
  <c r="K7861" i="2"/>
  <c r="J7861" i="2"/>
  <c r="I7861" i="2"/>
  <c r="A7861" i="2"/>
  <c r="K7860" i="2"/>
  <c r="J7860" i="2"/>
  <c r="I7860" i="2"/>
  <c r="A7860" i="2"/>
  <c r="K7859" i="2"/>
  <c r="J7859" i="2"/>
  <c r="I7859" i="2"/>
  <c r="A7859" i="2"/>
  <c r="K7858" i="2"/>
  <c r="J7858" i="2"/>
  <c r="I7858" i="2"/>
  <c r="A7858" i="2"/>
  <c r="K7857" i="2"/>
  <c r="J7857" i="2"/>
  <c r="I7857" i="2"/>
  <c r="A7857" i="2"/>
  <c r="K7856" i="2"/>
  <c r="J7856" i="2"/>
  <c r="I7856" i="2"/>
  <c r="A7856" i="2"/>
  <c r="K7855" i="2"/>
  <c r="J7855" i="2"/>
  <c r="I7855" i="2"/>
  <c r="A7855" i="2"/>
  <c r="K7854" i="2"/>
  <c r="J7854" i="2"/>
  <c r="I7854" i="2"/>
  <c r="A7854" i="2"/>
  <c r="K7853" i="2"/>
  <c r="J7853" i="2"/>
  <c r="I7853" i="2"/>
  <c r="A7853" i="2"/>
  <c r="K7852" i="2"/>
  <c r="J7852" i="2"/>
  <c r="I7852" i="2"/>
  <c r="A7852" i="2"/>
  <c r="K7851" i="2"/>
  <c r="J7851" i="2"/>
  <c r="I7851" i="2"/>
  <c r="A7851" i="2"/>
  <c r="K7850" i="2"/>
  <c r="J7850" i="2"/>
  <c r="I7850" i="2"/>
  <c r="A7850" i="2"/>
  <c r="K7849" i="2"/>
  <c r="J7849" i="2"/>
  <c r="I7849" i="2"/>
  <c r="A7849" i="2"/>
  <c r="K7848" i="2"/>
  <c r="J7848" i="2"/>
  <c r="I7848" i="2"/>
  <c r="A7848" i="2"/>
  <c r="K7847" i="2"/>
  <c r="J7847" i="2"/>
  <c r="I7847" i="2"/>
  <c r="A7847" i="2"/>
  <c r="K7846" i="2"/>
  <c r="J7846" i="2"/>
  <c r="I7846" i="2"/>
  <c r="A7846" i="2"/>
  <c r="K7845" i="2"/>
  <c r="J7845" i="2"/>
  <c r="I7845" i="2"/>
  <c r="A7845" i="2"/>
  <c r="K7844" i="2"/>
  <c r="J7844" i="2"/>
  <c r="I7844" i="2"/>
  <c r="A7844" i="2"/>
  <c r="K7843" i="2"/>
  <c r="J7843" i="2"/>
  <c r="I7843" i="2"/>
  <c r="A7843" i="2"/>
  <c r="K7842" i="2"/>
  <c r="J7842" i="2"/>
  <c r="I7842" i="2"/>
  <c r="A7842" i="2"/>
  <c r="K7841" i="2"/>
  <c r="J7841" i="2"/>
  <c r="I7841" i="2"/>
  <c r="A7841" i="2"/>
  <c r="K7840" i="2"/>
  <c r="J7840" i="2"/>
  <c r="I7840" i="2"/>
  <c r="A7840" i="2"/>
  <c r="K7839" i="2"/>
  <c r="J7839" i="2"/>
  <c r="I7839" i="2"/>
  <c r="A7839" i="2"/>
  <c r="K7838" i="2"/>
  <c r="J7838" i="2"/>
  <c r="I7838" i="2"/>
  <c r="A7838" i="2"/>
  <c r="K7837" i="2"/>
  <c r="J7837" i="2"/>
  <c r="I7837" i="2"/>
  <c r="A7837" i="2"/>
  <c r="K7836" i="2"/>
  <c r="J7836" i="2"/>
  <c r="I7836" i="2"/>
  <c r="A7836" i="2"/>
  <c r="J7835" i="2"/>
  <c r="I7835" i="2"/>
  <c r="K7834" i="2"/>
  <c r="J7834" i="2"/>
  <c r="I7834" i="2"/>
  <c r="A7834" i="2"/>
  <c r="K7833" i="2"/>
  <c r="J7833" i="2"/>
  <c r="I7833" i="2"/>
  <c r="A7833" i="2"/>
  <c r="K7832" i="2"/>
  <c r="J7832" i="2"/>
  <c r="I7832" i="2"/>
  <c r="A7832" i="2"/>
  <c r="K7831" i="2"/>
  <c r="J7831" i="2"/>
  <c r="I7831" i="2"/>
  <c r="A7831" i="2"/>
  <c r="K7830" i="2"/>
  <c r="J7830" i="2"/>
  <c r="I7830" i="2"/>
  <c r="A7830" i="2"/>
  <c r="K7829" i="2"/>
  <c r="J7829" i="2"/>
  <c r="I7829" i="2"/>
  <c r="A7829" i="2"/>
  <c r="K7828" i="2"/>
  <c r="J7828" i="2"/>
  <c r="I7828" i="2"/>
  <c r="A7828" i="2"/>
  <c r="K7827" i="2"/>
  <c r="J7827" i="2"/>
  <c r="I7827" i="2"/>
  <c r="A7827" i="2"/>
  <c r="K7826" i="2"/>
  <c r="J7826" i="2"/>
  <c r="I7826" i="2"/>
  <c r="A7826" i="2"/>
  <c r="K7825" i="2"/>
  <c r="J7825" i="2"/>
  <c r="I7825" i="2"/>
  <c r="A7825" i="2"/>
  <c r="K7824" i="2"/>
  <c r="J7824" i="2"/>
  <c r="I7824" i="2"/>
  <c r="A7824" i="2"/>
  <c r="K7823" i="2"/>
  <c r="J7823" i="2"/>
  <c r="I7823" i="2"/>
  <c r="A7823" i="2"/>
  <c r="K7822" i="2"/>
  <c r="J7822" i="2"/>
  <c r="I7822" i="2"/>
  <c r="A7822" i="2"/>
  <c r="K7821" i="2"/>
  <c r="J7821" i="2"/>
  <c r="I7821" i="2"/>
  <c r="A7821" i="2"/>
  <c r="K7820" i="2"/>
  <c r="J7820" i="2"/>
  <c r="I7820" i="2"/>
  <c r="A7820" i="2"/>
  <c r="K7819" i="2"/>
  <c r="J7819" i="2"/>
  <c r="I7819" i="2"/>
  <c r="A7819" i="2"/>
  <c r="K7818" i="2"/>
  <c r="J7818" i="2"/>
  <c r="I7818" i="2"/>
  <c r="A7818" i="2"/>
  <c r="J7817" i="2"/>
  <c r="I7817" i="2"/>
  <c r="K7816" i="2"/>
  <c r="J7816" i="2"/>
  <c r="I7816" i="2"/>
  <c r="A7816" i="2"/>
  <c r="K7815" i="2"/>
  <c r="J7815" i="2"/>
  <c r="I7815" i="2"/>
  <c r="A7815" i="2"/>
  <c r="K7814" i="2"/>
  <c r="J7814" i="2"/>
  <c r="I7814" i="2"/>
  <c r="A7814" i="2"/>
  <c r="K7813" i="2"/>
  <c r="J7813" i="2"/>
  <c r="I7813" i="2"/>
  <c r="A7813" i="2"/>
  <c r="K7812" i="2"/>
  <c r="J7812" i="2"/>
  <c r="I7812" i="2"/>
  <c r="A7812" i="2"/>
  <c r="K7811" i="2"/>
  <c r="J7811" i="2"/>
  <c r="I7811" i="2"/>
  <c r="A7811" i="2"/>
  <c r="K7810" i="2"/>
  <c r="J7810" i="2"/>
  <c r="I7810" i="2"/>
  <c r="A7810" i="2"/>
  <c r="K7809" i="2"/>
  <c r="J7809" i="2"/>
  <c r="I7809" i="2"/>
  <c r="A7809" i="2"/>
  <c r="K7808" i="2"/>
  <c r="J7808" i="2"/>
  <c r="I7808" i="2"/>
  <c r="A7808" i="2"/>
  <c r="K7807" i="2"/>
  <c r="J7807" i="2"/>
  <c r="I7807" i="2"/>
  <c r="A7807" i="2"/>
  <c r="K7806" i="2"/>
  <c r="J7806" i="2"/>
  <c r="I7806" i="2"/>
  <c r="A7806" i="2"/>
  <c r="K7805" i="2"/>
  <c r="J7805" i="2"/>
  <c r="I7805" i="2"/>
  <c r="A7805" i="2"/>
  <c r="K7804" i="2"/>
  <c r="J7804" i="2"/>
  <c r="I7804" i="2"/>
  <c r="A7804" i="2"/>
  <c r="K7803" i="2"/>
  <c r="J7803" i="2"/>
  <c r="I7803" i="2"/>
  <c r="A7803" i="2"/>
  <c r="K7802" i="2"/>
  <c r="J7802" i="2"/>
  <c r="I7802" i="2"/>
  <c r="A7802" i="2"/>
  <c r="K7801" i="2"/>
  <c r="J7801" i="2"/>
  <c r="I7801" i="2"/>
  <c r="A7801" i="2"/>
  <c r="K7800" i="2"/>
  <c r="J7800" i="2"/>
  <c r="I7800" i="2"/>
  <c r="A7800" i="2"/>
  <c r="K7799" i="2"/>
  <c r="J7799" i="2"/>
  <c r="I7799" i="2"/>
  <c r="A7799" i="2"/>
  <c r="K7798" i="2"/>
  <c r="J7798" i="2"/>
  <c r="I7798" i="2"/>
  <c r="A7798" i="2"/>
  <c r="K7797" i="2"/>
  <c r="J7797" i="2"/>
  <c r="I7797" i="2"/>
  <c r="A7797" i="2"/>
  <c r="K7796" i="2"/>
  <c r="J7796" i="2"/>
  <c r="I7796" i="2"/>
  <c r="A7796" i="2"/>
  <c r="K7795" i="2"/>
  <c r="J7795" i="2"/>
  <c r="I7795" i="2"/>
  <c r="A7795" i="2"/>
  <c r="K7794" i="2"/>
  <c r="J7794" i="2"/>
  <c r="I7794" i="2"/>
  <c r="A7794" i="2"/>
  <c r="K7793" i="2"/>
  <c r="J7793" i="2"/>
  <c r="I7793" i="2"/>
  <c r="A7793" i="2"/>
  <c r="K7792" i="2"/>
  <c r="J7792" i="2"/>
  <c r="I7792" i="2"/>
  <c r="A7792" i="2"/>
  <c r="K7791" i="2"/>
  <c r="J7791" i="2"/>
  <c r="I7791" i="2"/>
  <c r="A7791" i="2"/>
  <c r="K7790" i="2"/>
  <c r="J7790" i="2"/>
  <c r="I7790" i="2"/>
  <c r="A7790" i="2"/>
  <c r="K7789" i="2"/>
  <c r="J7789" i="2"/>
  <c r="I7789" i="2"/>
  <c r="A7789" i="2"/>
  <c r="K7788" i="2"/>
  <c r="J7788" i="2"/>
  <c r="I7788" i="2"/>
  <c r="A7788" i="2"/>
  <c r="K7787" i="2"/>
  <c r="J7787" i="2"/>
  <c r="I7787" i="2"/>
  <c r="A7787" i="2"/>
  <c r="K7786" i="2"/>
  <c r="J7786" i="2"/>
  <c r="I7786" i="2"/>
  <c r="A7786" i="2"/>
  <c r="K7785" i="2"/>
  <c r="J7785" i="2"/>
  <c r="I7785" i="2"/>
  <c r="A7785" i="2"/>
  <c r="K7784" i="2"/>
  <c r="J7784" i="2"/>
  <c r="I7784" i="2"/>
  <c r="A7784" i="2"/>
  <c r="K7783" i="2"/>
  <c r="J7783" i="2"/>
  <c r="I7783" i="2"/>
  <c r="A7783" i="2"/>
  <c r="K7782" i="2"/>
  <c r="J7782" i="2"/>
  <c r="I7782" i="2"/>
  <c r="A7782" i="2"/>
  <c r="K7781" i="2"/>
  <c r="J7781" i="2"/>
  <c r="I7781" i="2"/>
  <c r="A7781" i="2"/>
  <c r="K7780" i="2"/>
  <c r="J7780" i="2"/>
  <c r="I7780" i="2"/>
  <c r="A7780" i="2"/>
  <c r="K7779" i="2"/>
  <c r="J7779" i="2"/>
  <c r="I7779" i="2"/>
  <c r="A7779" i="2"/>
  <c r="K7778" i="2"/>
  <c r="J7778" i="2"/>
  <c r="I7778" i="2"/>
  <c r="A7778" i="2"/>
  <c r="K7777" i="2"/>
  <c r="J7777" i="2"/>
  <c r="I7777" i="2"/>
  <c r="A7777" i="2"/>
  <c r="K7776" i="2"/>
  <c r="J7776" i="2"/>
  <c r="I7776" i="2"/>
  <c r="A7776" i="2"/>
  <c r="K7775" i="2"/>
  <c r="J7775" i="2"/>
  <c r="I7775" i="2"/>
  <c r="A7775" i="2"/>
  <c r="K7774" i="2"/>
  <c r="J7774" i="2"/>
  <c r="I7774" i="2"/>
  <c r="A7774" i="2"/>
  <c r="K7773" i="2"/>
  <c r="J7773" i="2"/>
  <c r="I7773" i="2"/>
  <c r="A7773" i="2"/>
  <c r="J7772" i="2"/>
  <c r="I7772" i="2"/>
  <c r="K7771" i="2"/>
  <c r="J7771" i="2"/>
  <c r="I7771" i="2"/>
  <c r="A7771" i="2"/>
  <c r="K7770" i="2"/>
  <c r="J7770" i="2"/>
  <c r="I7770" i="2"/>
  <c r="A7770" i="2"/>
  <c r="K7769" i="2"/>
  <c r="J7769" i="2"/>
  <c r="I7769" i="2"/>
  <c r="A7769" i="2"/>
  <c r="K7768" i="2"/>
  <c r="J7768" i="2"/>
  <c r="I7768" i="2"/>
  <c r="A7768" i="2"/>
  <c r="K7767" i="2"/>
  <c r="J7767" i="2"/>
  <c r="I7767" i="2"/>
  <c r="A7767" i="2"/>
  <c r="K7766" i="2"/>
  <c r="J7766" i="2"/>
  <c r="I7766" i="2"/>
  <c r="A7766" i="2"/>
  <c r="K7765" i="2"/>
  <c r="J7765" i="2"/>
  <c r="I7765" i="2"/>
  <c r="A7765" i="2"/>
  <c r="K7764" i="2"/>
  <c r="J7764" i="2"/>
  <c r="I7764" i="2"/>
  <c r="A7764" i="2"/>
  <c r="K7763" i="2"/>
  <c r="J7763" i="2"/>
  <c r="I7763" i="2"/>
  <c r="A7763" i="2"/>
  <c r="K7762" i="2"/>
  <c r="J7762" i="2"/>
  <c r="I7762" i="2"/>
  <c r="A7762" i="2"/>
  <c r="K7761" i="2"/>
  <c r="J7761" i="2"/>
  <c r="I7761" i="2"/>
  <c r="A7761" i="2"/>
  <c r="K7760" i="2"/>
  <c r="J7760" i="2"/>
  <c r="I7760" i="2"/>
  <c r="A7760" i="2"/>
  <c r="K7759" i="2"/>
  <c r="J7759" i="2"/>
  <c r="I7759" i="2"/>
  <c r="A7759" i="2"/>
  <c r="K7758" i="2"/>
  <c r="J7758" i="2"/>
  <c r="I7758" i="2"/>
  <c r="A7758" i="2"/>
  <c r="K7757" i="2"/>
  <c r="J7757" i="2"/>
  <c r="I7757" i="2"/>
  <c r="A7757" i="2"/>
  <c r="K7756" i="2"/>
  <c r="J7756" i="2"/>
  <c r="I7756" i="2"/>
  <c r="A7756" i="2"/>
  <c r="K7755" i="2"/>
  <c r="J7755" i="2"/>
  <c r="I7755" i="2"/>
  <c r="A7755" i="2"/>
  <c r="K7754" i="2"/>
  <c r="J7754" i="2"/>
  <c r="I7754" i="2"/>
  <c r="A7754" i="2"/>
  <c r="K7753" i="2"/>
  <c r="J7753" i="2"/>
  <c r="I7753" i="2"/>
  <c r="A7753" i="2"/>
  <c r="K7752" i="2"/>
  <c r="J7752" i="2"/>
  <c r="I7752" i="2"/>
  <c r="A7752" i="2"/>
  <c r="K7751" i="2"/>
  <c r="J7751" i="2"/>
  <c r="I7751" i="2"/>
  <c r="A7751" i="2"/>
  <c r="K7750" i="2"/>
  <c r="J7750" i="2"/>
  <c r="I7750" i="2"/>
  <c r="A7750" i="2"/>
  <c r="K7749" i="2"/>
  <c r="J7749" i="2"/>
  <c r="I7749" i="2"/>
  <c r="A7749" i="2"/>
  <c r="K7748" i="2"/>
  <c r="J7748" i="2"/>
  <c r="I7748" i="2"/>
  <c r="A7748" i="2"/>
  <c r="K7747" i="2"/>
  <c r="J7747" i="2"/>
  <c r="I7747" i="2"/>
  <c r="A7747" i="2"/>
  <c r="K7746" i="2"/>
  <c r="J7746" i="2"/>
  <c r="I7746" i="2"/>
  <c r="A7746" i="2"/>
  <c r="K7745" i="2"/>
  <c r="J7745" i="2"/>
  <c r="I7745" i="2"/>
  <c r="A7745" i="2"/>
  <c r="K7744" i="2"/>
  <c r="J7744" i="2"/>
  <c r="I7744" i="2"/>
  <c r="A7744" i="2"/>
  <c r="K7743" i="2"/>
  <c r="J7743" i="2"/>
  <c r="I7743" i="2"/>
  <c r="A7743" i="2"/>
  <c r="K7742" i="2"/>
  <c r="J7742" i="2"/>
  <c r="I7742" i="2"/>
  <c r="A7742" i="2"/>
  <c r="K7741" i="2"/>
  <c r="J7741" i="2"/>
  <c r="I7741" i="2"/>
  <c r="A7741" i="2"/>
  <c r="K7740" i="2"/>
  <c r="J7740" i="2"/>
  <c r="I7740" i="2"/>
  <c r="A7740" i="2"/>
  <c r="K7739" i="2"/>
  <c r="J7739" i="2"/>
  <c r="I7739" i="2"/>
  <c r="A7739" i="2"/>
  <c r="K7738" i="2"/>
  <c r="J7738" i="2"/>
  <c r="I7738" i="2"/>
  <c r="A7738" i="2"/>
  <c r="K7737" i="2"/>
  <c r="J7737" i="2"/>
  <c r="I7737" i="2"/>
  <c r="A7737" i="2"/>
  <c r="K7736" i="2"/>
  <c r="J7736" i="2"/>
  <c r="I7736" i="2"/>
  <c r="A7736" i="2"/>
  <c r="K7735" i="2"/>
  <c r="J7735" i="2"/>
  <c r="I7735" i="2"/>
  <c r="A7735" i="2"/>
  <c r="K7734" i="2"/>
  <c r="J7734" i="2"/>
  <c r="I7734" i="2"/>
  <c r="A7734" i="2"/>
  <c r="K7733" i="2"/>
  <c r="J7733" i="2"/>
  <c r="I7733" i="2"/>
  <c r="A7733" i="2"/>
  <c r="K7732" i="2"/>
  <c r="J7732" i="2"/>
  <c r="I7732" i="2"/>
  <c r="A7732" i="2"/>
  <c r="K7731" i="2"/>
  <c r="J7731" i="2"/>
  <c r="I7731" i="2"/>
  <c r="A7731" i="2"/>
  <c r="K7730" i="2"/>
  <c r="J7730" i="2"/>
  <c r="I7730" i="2"/>
  <c r="A7730" i="2"/>
  <c r="K7729" i="2"/>
  <c r="J7729" i="2"/>
  <c r="I7729" i="2"/>
  <c r="A7729" i="2"/>
  <c r="K7728" i="2"/>
  <c r="J7728" i="2"/>
  <c r="I7728" i="2"/>
  <c r="A7728" i="2"/>
  <c r="K7727" i="2"/>
  <c r="J7727" i="2"/>
  <c r="I7727" i="2"/>
  <c r="A7727" i="2"/>
  <c r="K7726" i="2"/>
  <c r="J7726" i="2"/>
  <c r="I7726" i="2"/>
  <c r="A7726" i="2"/>
  <c r="K7725" i="2"/>
  <c r="J7725" i="2"/>
  <c r="I7725" i="2"/>
  <c r="A7725" i="2"/>
  <c r="K7724" i="2"/>
  <c r="J7724" i="2"/>
  <c r="I7724" i="2"/>
  <c r="A7724" i="2"/>
  <c r="K7723" i="2"/>
  <c r="J7723" i="2"/>
  <c r="I7723" i="2"/>
  <c r="A7723" i="2"/>
  <c r="K7722" i="2"/>
  <c r="J7722" i="2"/>
  <c r="I7722" i="2"/>
  <c r="A7722" i="2"/>
  <c r="J7721" i="2"/>
  <c r="I7721" i="2"/>
  <c r="J7720" i="2"/>
  <c r="I7720" i="2"/>
  <c r="K7719" i="2"/>
  <c r="J7719" i="2"/>
  <c r="I7719" i="2"/>
  <c r="A7719" i="2"/>
  <c r="K7718" i="2"/>
  <c r="J7718" i="2"/>
  <c r="I7718" i="2"/>
  <c r="A7718" i="2"/>
  <c r="K7717" i="2"/>
  <c r="J7717" i="2"/>
  <c r="I7717" i="2"/>
  <c r="A7717" i="2"/>
  <c r="K7716" i="2"/>
  <c r="J7716" i="2"/>
  <c r="I7716" i="2"/>
  <c r="A7716" i="2"/>
  <c r="K7715" i="2"/>
  <c r="J7715" i="2"/>
  <c r="I7715" i="2"/>
  <c r="A7715" i="2"/>
  <c r="K7714" i="2"/>
  <c r="J7714" i="2"/>
  <c r="I7714" i="2"/>
  <c r="A7714" i="2"/>
  <c r="K7713" i="2"/>
  <c r="J7713" i="2"/>
  <c r="I7713" i="2"/>
  <c r="A7713" i="2"/>
  <c r="K7712" i="2"/>
  <c r="J7712" i="2"/>
  <c r="I7712" i="2"/>
  <c r="A7712" i="2"/>
  <c r="K7711" i="2"/>
  <c r="J7711" i="2"/>
  <c r="I7711" i="2"/>
  <c r="A7711" i="2"/>
  <c r="K7710" i="2"/>
  <c r="J7710" i="2"/>
  <c r="I7710" i="2"/>
  <c r="A7710" i="2"/>
  <c r="K7709" i="2"/>
  <c r="J7709" i="2"/>
  <c r="I7709" i="2"/>
  <c r="A7709" i="2"/>
  <c r="K7708" i="2"/>
  <c r="J7708" i="2"/>
  <c r="I7708" i="2"/>
  <c r="A7708" i="2"/>
  <c r="K7707" i="2"/>
  <c r="J7707" i="2"/>
  <c r="I7707" i="2"/>
  <c r="A7707" i="2"/>
  <c r="K7706" i="2"/>
  <c r="J7706" i="2"/>
  <c r="I7706" i="2"/>
  <c r="A7706" i="2"/>
  <c r="K7705" i="2"/>
  <c r="J7705" i="2"/>
  <c r="I7705" i="2"/>
  <c r="A7705" i="2"/>
  <c r="K7704" i="2"/>
  <c r="J7704" i="2"/>
  <c r="I7704" i="2"/>
  <c r="A7704" i="2"/>
  <c r="J7703" i="2"/>
  <c r="I7703" i="2"/>
  <c r="K7702" i="2"/>
  <c r="J7702" i="2"/>
  <c r="I7702" i="2"/>
  <c r="A7702" i="2"/>
  <c r="K7701" i="2"/>
  <c r="J7701" i="2"/>
  <c r="I7701" i="2"/>
  <c r="A7701" i="2"/>
  <c r="J7700" i="2"/>
  <c r="I7700" i="2"/>
  <c r="K7699" i="2"/>
  <c r="J7699" i="2"/>
  <c r="I7699" i="2"/>
  <c r="A7699" i="2"/>
  <c r="K7698" i="2"/>
  <c r="J7698" i="2"/>
  <c r="I7698" i="2"/>
  <c r="A7698" i="2"/>
  <c r="K7697" i="2"/>
  <c r="J7697" i="2"/>
  <c r="I7697" i="2"/>
  <c r="A7697" i="2"/>
  <c r="K7696" i="2"/>
  <c r="J7696" i="2"/>
  <c r="I7696" i="2"/>
  <c r="A7696" i="2"/>
  <c r="K7695" i="2"/>
  <c r="J7695" i="2"/>
  <c r="I7695" i="2"/>
  <c r="A7695" i="2"/>
  <c r="K7694" i="2"/>
  <c r="J7694" i="2"/>
  <c r="I7694" i="2"/>
  <c r="A7694" i="2"/>
  <c r="K7693" i="2"/>
  <c r="J7693" i="2"/>
  <c r="I7693" i="2"/>
  <c r="A7693" i="2"/>
  <c r="K7692" i="2"/>
  <c r="J7692" i="2"/>
  <c r="I7692" i="2"/>
  <c r="A7692" i="2"/>
  <c r="K7691" i="2"/>
  <c r="J7691" i="2"/>
  <c r="I7691" i="2"/>
  <c r="A7691" i="2"/>
  <c r="K7690" i="2"/>
  <c r="J7690" i="2"/>
  <c r="I7690" i="2"/>
  <c r="A7690" i="2"/>
  <c r="K7689" i="2"/>
  <c r="J7689" i="2"/>
  <c r="I7689" i="2"/>
  <c r="A7689" i="2"/>
  <c r="K7688" i="2"/>
  <c r="J7688" i="2"/>
  <c r="I7688" i="2"/>
  <c r="A7688" i="2"/>
  <c r="K7687" i="2"/>
  <c r="J7687" i="2"/>
  <c r="I7687" i="2"/>
  <c r="A7687" i="2"/>
  <c r="K7686" i="2"/>
  <c r="J7686" i="2"/>
  <c r="I7686" i="2"/>
  <c r="A7686" i="2"/>
  <c r="K7685" i="2"/>
  <c r="J7685" i="2"/>
  <c r="I7685" i="2"/>
  <c r="A7685" i="2"/>
  <c r="K7684" i="2"/>
  <c r="J7684" i="2"/>
  <c r="I7684" i="2"/>
  <c r="A7684" i="2"/>
  <c r="K7683" i="2"/>
  <c r="J7683" i="2"/>
  <c r="I7683" i="2"/>
  <c r="A7683" i="2"/>
  <c r="K7682" i="2"/>
  <c r="J7682" i="2"/>
  <c r="I7682" i="2"/>
  <c r="A7682" i="2"/>
  <c r="K7681" i="2"/>
  <c r="J7681" i="2"/>
  <c r="I7681" i="2"/>
  <c r="A7681" i="2"/>
  <c r="K7680" i="2"/>
  <c r="J7680" i="2"/>
  <c r="I7680" i="2"/>
  <c r="A7680" i="2"/>
  <c r="K7679" i="2"/>
  <c r="J7679" i="2"/>
  <c r="I7679" i="2"/>
  <c r="A7679" i="2"/>
  <c r="K7678" i="2"/>
  <c r="J7678" i="2"/>
  <c r="I7678" i="2"/>
  <c r="A7678" i="2"/>
  <c r="K7677" i="2"/>
  <c r="J7677" i="2"/>
  <c r="I7677" i="2"/>
  <c r="A7677" i="2"/>
  <c r="K7676" i="2"/>
  <c r="J7676" i="2"/>
  <c r="I7676" i="2"/>
  <c r="A7676" i="2"/>
  <c r="K7675" i="2"/>
  <c r="J7675" i="2"/>
  <c r="I7675" i="2"/>
  <c r="A7675" i="2"/>
  <c r="K7674" i="2"/>
  <c r="J7674" i="2"/>
  <c r="I7674" i="2"/>
  <c r="A7674" i="2"/>
  <c r="K7673" i="2"/>
  <c r="J7673" i="2"/>
  <c r="I7673" i="2"/>
  <c r="A7673" i="2"/>
  <c r="K7672" i="2"/>
  <c r="J7672" i="2"/>
  <c r="I7672" i="2"/>
  <c r="A7672" i="2"/>
  <c r="K7671" i="2"/>
  <c r="J7671" i="2"/>
  <c r="I7671" i="2"/>
  <c r="A7671" i="2"/>
  <c r="K7670" i="2"/>
  <c r="J7670" i="2"/>
  <c r="I7670" i="2"/>
  <c r="A7670" i="2"/>
  <c r="K7669" i="2"/>
  <c r="J7669" i="2"/>
  <c r="I7669" i="2"/>
  <c r="A7669" i="2"/>
  <c r="K7668" i="2"/>
  <c r="J7668" i="2"/>
  <c r="I7668" i="2"/>
  <c r="A7668" i="2"/>
  <c r="K7667" i="2"/>
  <c r="J7667" i="2"/>
  <c r="I7667" i="2"/>
  <c r="A7667" i="2"/>
  <c r="K7666" i="2"/>
  <c r="J7666" i="2"/>
  <c r="I7666" i="2"/>
  <c r="A7666" i="2"/>
  <c r="K7665" i="2"/>
  <c r="J7665" i="2"/>
  <c r="I7665" i="2"/>
  <c r="A7665" i="2"/>
  <c r="K7664" i="2"/>
  <c r="J7664" i="2"/>
  <c r="I7664" i="2"/>
  <c r="A7664" i="2"/>
  <c r="K7663" i="2"/>
  <c r="J7663" i="2"/>
  <c r="I7663" i="2"/>
  <c r="A7663" i="2"/>
  <c r="K7662" i="2"/>
  <c r="J7662" i="2"/>
  <c r="I7662" i="2"/>
  <c r="A7662" i="2"/>
  <c r="K7661" i="2"/>
  <c r="J7661" i="2"/>
  <c r="I7661" i="2"/>
  <c r="A7661" i="2"/>
  <c r="K7660" i="2"/>
  <c r="J7660" i="2"/>
  <c r="I7660" i="2"/>
  <c r="A7660" i="2"/>
  <c r="K7659" i="2"/>
  <c r="J7659" i="2"/>
  <c r="I7659" i="2"/>
  <c r="A7659" i="2"/>
  <c r="K7658" i="2"/>
  <c r="J7658" i="2"/>
  <c r="I7658" i="2"/>
  <c r="A7658" i="2"/>
  <c r="K7657" i="2"/>
  <c r="J7657" i="2"/>
  <c r="I7657" i="2"/>
  <c r="A7657" i="2"/>
  <c r="K7656" i="2"/>
  <c r="J7656" i="2"/>
  <c r="I7656" i="2"/>
  <c r="A7656" i="2"/>
  <c r="K7655" i="2"/>
  <c r="J7655" i="2"/>
  <c r="I7655" i="2"/>
  <c r="A7655" i="2"/>
  <c r="K7654" i="2"/>
  <c r="J7654" i="2"/>
  <c r="I7654" i="2"/>
  <c r="A7654" i="2"/>
  <c r="K7653" i="2"/>
  <c r="J7653" i="2"/>
  <c r="I7653" i="2"/>
  <c r="A7653" i="2"/>
  <c r="K7652" i="2"/>
  <c r="J7652" i="2"/>
  <c r="I7652" i="2"/>
  <c r="A7652" i="2"/>
  <c r="J7651" i="2"/>
  <c r="I7651" i="2"/>
  <c r="K7650" i="2"/>
  <c r="J7650" i="2"/>
  <c r="I7650" i="2"/>
  <c r="A7650" i="2"/>
  <c r="K7649" i="2"/>
  <c r="J7649" i="2"/>
  <c r="I7649" i="2"/>
  <c r="A7649" i="2"/>
  <c r="K7648" i="2"/>
  <c r="J7648" i="2"/>
  <c r="I7648" i="2"/>
  <c r="A7648" i="2"/>
  <c r="K7647" i="2"/>
  <c r="J7647" i="2"/>
  <c r="I7647" i="2"/>
  <c r="A7647" i="2"/>
  <c r="K7646" i="2"/>
  <c r="J7646" i="2"/>
  <c r="I7646" i="2"/>
  <c r="A7646" i="2"/>
  <c r="K7645" i="2"/>
  <c r="J7645" i="2"/>
  <c r="I7645" i="2"/>
  <c r="A7645" i="2"/>
  <c r="J7644" i="2"/>
  <c r="I7644" i="2"/>
  <c r="K7643" i="2"/>
  <c r="J7643" i="2"/>
  <c r="I7643" i="2"/>
  <c r="A7643" i="2"/>
  <c r="J7642" i="2"/>
  <c r="I7642" i="2"/>
  <c r="K7641" i="2"/>
  <c r="J7641" i="2"/>
  <c r="I7641" i="2"/>
  <c r="A7641" i="2"/>
  <c r="K7640" i="2"/>
  <c r="J7640" i="2"/>
  <c r="I7640" i="2"/>
  <c r="A7640" i="2"/>
  <c r="K7639" i="2"/>
  <c r="J7639" i="2"/>
  <c r="I7639" i="2"/>
  <c r="A7639" i="2"/>
  <c r="K7638" i="2"/>
  <c r="J7638" i="2"/>
  <c r="I7638" i="2"/>
  <c r="A7638" i="2"/>
  <c r="K7637" i="2"/>
  <c r="J7637" i="2"/>
  <c r="I7637" i="2"/>
  <c r="A7637" i="2"/>
  <c r="K7636" i="2"/>
  <c r="J7636" i="2"/>
  <c r="I7636" i="2"/>
  <c r="A7636" i="2"/>
  <c r="K7635" i="2"/>
  <c r="J7635" i="2"/>
  <c r="I7635" i="2"/>
  <c r="A7635" i="2"/>
  <c r="K7634" i="2"/>
  <c r="J7634" i="2"/>
  <c r="I7634" i="2"/>
  <c r="A7634" i="2"/>
  <c r="K7633" i="2"/>
  <c r="J7633" i="2"/>
  <c r="I7633" i="2"/>
  <c r="A7633" i="2"/>
  <c r="K7632" i="2"/>
  <c r="J7632" i="2"/>
  <c r="I7632" i="2"/>
  <c r="A7632" i="2"/>
  <c r="K7631" i="2"/>
  <c r="J7631" i="2"/>
  <c r="I7631" i="2"/>
  <c r="A7631" i="2"/>
  <c r="K7630" i="2"/>
  <c r="J7630" i="2"/>
  <c r="I7630" i="2"/>
  <c r="A7630" i="2"/>
  <c r="K7629" i="2"/>
  <c r="J7629" i="2"/>
  <c r="I7629" i="2"/>
  <c r="A7629" i="2"/>
  <c r="K7628" i="2"/>
  <c r="J7628" i="2"/>
  <c r="I7628" i="2"/>
  <c r="A7628" i="2"/>
  <c r="K7627" i="2"/>
  <c r="J7627" i="2"/>
  <c r="I7627" i="2"/>
  <c r="A7627" i="2"/>
  <c r="K7626" i="2"/>
  <c r="J7626" i="2"/>
  <c r="I7626" i="2"/>
  <c r="A7626" i="2"/>
  <c r="K7625" i="2"/>
  <c r="J7625" i="2"/>
  <c r="I7625" i="2"/>
  <c r="A7625" i="2"/>
  <c r="K7624" i="2"/>
  <c r="J7624" i="2"/>
  <c r="I7624" i="2"/>
  <c r="A7624" i="2"/>
  <c r="K7623" i="2"/>
  <c r="J7623" i="2"/>
  <c r="I7623" i="2"/>
  <c r="A7623" i="2"/>
  <c r="K7622" i="2"/>
  <c r="J7622" i="2"/>
  <c r="I7622" i="2"/>
  <c r="A7622" i="2"/>
  <c r="K7621" i="2"/>
  <c r="J7621" i="2"/>
  <c r="I7621" i="2"/>
  <c r="A7621" i="2"/>
  <c r="K7620" i="2"/>
  <c r="J7620" i="2"/>
  <c r="I7620" i="2"/>
  <c r="A7620" i="2"/>
  <c r="K7619" i="2"/>
  <c r="J7619" i="2"/>
  <c r="I7619" i="2"/>
  <c r="A7619" i="2"/>
  <c r="K7618" i="2"/>
  <c r="J7618" i="2"/>
  <c r="I7618" i="2"/>
  <c r="A7618" i="2"/>
  <c r="K7617" i="2"/>
  <c r="J7617" i="2"/>
  <c r="I7617" i="2"/>
  <c r="A7617" i="2"/>
  <c r="K7616" i="2"/>
  <c r="J7616" i="2"/>
  <c r="I7616" i="2"/>
  <c r="A7616" i="2"/>
  <c r="K7615" i="2"/>
  <c r="J7615" i="2"/>
  <c r="I7615" i="2"/>
  <c r="A7615" i="2"/>
  <c r="K7614" i="2"/>
  <c r="J7614" i="2"/>
  <c r="I7614" i="2"/>
  <c r="A7614" i="2"/>
  <c r="K7613" i="2"/>
  <c r="J7613" i="2"/>
  <c r="I7613" i="2"/>
  <c r="A7613" i="2"/>
  <c r="K7612" i="2"/>
  <c r="J7612" i="2"/>
  <c r="I7612" i="2"/>
  <c r="A7612" i="2"/>
  <c r="K7611" i="2"/>
  <c r="J7611" i="2"/>
  <c r="I7611" i="2"/>
  <c r="A7611" i="2"/>
  <c r="K7610" i="2"/>
  <c r="J7610" i="2"/>
  <c r="I7610" i="2"/>
  <c r="A7610" i="2"/>
  <c r="K7609" i="2"/>
  <c r="J7609" i="2"/>
  <c r="I7609" i="2"/>
  <c r="A7609" i="2"/>
  <c r="K7608" i="2"/>
  <c r="J7608" i="2"/>
  <c r="I7608" i="2"/>
  <c r="A7608" i="2"/>
  <c r="K7607" i="2"/>
  <c r="J7607" i="2"/>
  <c r="I7607" i="2"/>
  <c r="A7607" i="2"/>
  <c r="K7606" i="2"/>
  <c r="J7606" i="2"/>
  <c r="I7606" i="2"/>
  <c r="A7606" i="2"/>
  <c r="K7605" i="2"/>
  <c r="J7605" i="2"/>
  <c r="I7605" i="2"/>
  <c r="A7605" i="2"/>
  <c r="J7604" i="2"/>
  <c r="I7604" i="2"/>
  <c r="K7603" i="2"/>
  <c r="J7603" i="2"/>
  <c r="I7603" i="2"/>
  <c r="A7603" i="2"/>
  <c r="K7602" i="2"/>
  <c r="J7602" i="2"/>
  <c r="I7602" i="2"/>
  <c r="A7602" i="2"/>
  <c r="K7601" i="2"/>
  <c r="J7601" i="2"/>
  <c r="I7601" i="2"/>
  <c r="A7601" i="2"/>
  <c r="K7600" i="2"/>
  <c r="J7600" i="2"/>
  <c r="I7600" i="2"/>
  <c r="A7600" i="2"/>
  <c r="K7599" i="2"/>
  <c r="J7599" i="2"/>
  <c r="I7599" i="2"/>
  <c r="A7599" i="2"/>
  <c r="K7598" i="2"/>
  <c r="J7598" i="2"/>
  <c r="I7598" i="2"/>
  <c r="A7598" i="2"/>
  <c r="K7597" i="2"/>
  <c r="J7597" i="2"/>
  <c r="I7597" i="2"/>
  <c r="A7597" i="2"/>
  <c r="K7596" i="2"/>
  <c r="J7596" i="2"/>
  <c r="I7596" i="2"/>
  <c r="A7596" i="2"/>
  <c r="K7595" i="2"/>
  <c r="J7595" i="2"/>
  <c r="I7595" i="2"/>
  <c r="A7595" i="2"/>
  <c r="K7594" i="2"/>
  <c r="J7594" i="2"/>
  <c r="I7594" i="2"/>
  <c r="A7594" i="2"/>
  <c r="K7593" i="2"/>
  <c r="J7593" i="2"/>
  <c r="I7593" i="2"/>
  <c r="A7593" i="2"/>
  <c r="K7592" i="2"/>
  <c r="J7592" i="2"/>
  <c r="I7592" i="2"/>
  <c r="A7592" i="2"/>
  <c r="K7591" i="2"/>
  <c r="J7591" i="2"/>
  <c r="I7591" i="2"/>
  <c r="A7591" i="2"/>
  <c r="K7590" i="2"/>
  <c r="J7590" i="2"/>
  <c r="I7590" i="2"/>
  <c r="A7590" i="2"/>
  <c r="K7589" i="2"/>
  <c r="J7589" i="2"/>
  <c r="I7589" i="2"/>
  <c r="A7589" i="2"/>
  <c r="K7588" i="2"/>
  <c r="J7588" i="2"/>
  <c r="I7588" i="2"/>
  <c r="A7588" i="2"/>
  <c r="K7587" i="2"/>
  <c r="J7587" i="2"/>
  <c r="I7587" i="2"/>
  <c r="A7587" i="2"/>
  <c r="K7586" i="2"/>
  <c r="J7586" i="2"/>
  <c r="I7586" i="2"/>
  <c r="A7586" i="2"/>
  <c r="K7585" i="2"/>
  <c r="J7585" i="2"/>
  <c r="I7585" i="2"/>
  <c r="A7585" i="2"/>
  <c r="K7584" i="2"/>
  <c r="J7584" i="2"/>
  <c r="I7584" i="2"/>
  <c r="A7584" i="2"/>
  <c r="K7583" i="2"/>
  <c r="J7583" i="2"/>
  <c r="I7583" i="2"/>
  <c r="A7583" i="2"/>
  <c r="K7582" i="2"/>
  <c r="J7582" i="2"/>
  <c r="I7582" i="2"/>
  <c r="A7582" i="2"/>
  <c r="K7581" i="2"/>
  <c r="J7581" i="2"/>
  <c r="I7581" i="2"/>
  <c r="A7581" i="2"/>
  <c r="K7580" i="2"/>
  <c r="J7580" i="2"/>
  <c r="I7580" i="2"/>
  <c r="A7580" i="2"/>
  <c r="K7579" i="2"/>
  <c r="J7579" i="2"/>
  <c r="I7579" i="2"/>
  <c r="A7579" i="2"/>
  <c r="K7578" i="2"/>
  <c r="J7578" i="2"/>
  <c r="I7578" i="2"/>
  <c r="A7578" i="2"/>
  <c r="K7577" i="2"/>
  <c r="J7577" i="2"/>
  <c r="I7577" i="2"/>
  <c r="A7577" i="2"/>
  <c r="K7576" i="2"/>
  <c r="J7576" i="2"/>
  <c r="I7576" i="2"/>
  <c r="A7576" i="2"/>
  <c r="K7575" i="2"/>
  <c r="J7575" i="2"/>
  <c r="I7575" i="2"/>
  <c r="A7575" i="2"/>
  <c r="K7574" i="2"/>
  <c r="J7574" i="2"/>
  <c r="I7574" i="2"/>
  <c r="A7574" i="2"/>
  <c r="K7573" i="2"/>
  <c r="J7573" i="2"/>
  <c r="I7573" i="2"/>
  <c r="A7573" i="2"/>
  <c r="K7572" i="2"/>
  <c r="J7572" i="2"/>
  <c r="I7572" i="2"/>
  <c r="A7572" i="2"/>
  <c r="K7571" i="2"/>
  <c r="J7571" i="2"/>
  <c r="I7571" i="2"/>
  <c r="A7571" i="2"/>
  <c r="K7570" i="2"/>
  <c r="J7570" i="2"/>
  <c r="I7570" i="2"/>
  <c r="A7570" i="2"/>
  <c r="K7569" i="2"/>
  <c r="J7569" i="2"/>
  <c r="I7569" i="2"/>
  <c r="A7569" i="2"/>
  <c r="K7568" i="2"/>
  <c r="J7568" i="2"/>
  <c r="I7568" i="2"/>
  <c r="A7568" i="2"/>
  <c r="K7567" i="2"/>
  <c r="J7567" i="2"/>
  <c r="I7567" i="2"/>
  <c r="A7567" i="2"/>
  <c r="K7566" i="2"/>
  <c r="J7566" i="2"/>
  <c r="I7566" i="2"/>
  <c r="A7566" i="2"/>
  <c r="K7565" i="2"/>
  <c r="J7565" i="2"/>
  <c r="I7565" i="2"/>
  <c r="A7565" i="2"/>
  <c r="K7564" i="2"/>
  <c r="J7564" i="2"/>
  <c r="I7564" i="2"/>
  <c r="A7564" i="2"/>
  <c r="K7563" i="2"/>
  <c r="J7563" i="2"/>
  <c r="I7563" i="2"/>
  <c r="A7563" i="2"/>
  <c r="K7562" i="2"/>
  <c r="J7562" i="2"/>
  <c r="I7562" i="2"/>
  <c r="A7562" i="2"/>
  <c r="K7561" i="2"/>
  <c r="J7561" i="2"/>
  <c r="I7561" i="2"/>
  <c r="A7561" i="2"/>
  <c r="K7560" i="2"/>
  <c r="J7560" i="2"/>
  <c r="I7560" i="2"/>
  <c r="A7560" i="2"/>
  <c r="K7559" i="2"/>
  <c r="J7559" i="2"/>
  <c r="I7559" i="2"/>
  <c r="A7559" i="2"/>
  <c r="K7558" i="2"/>
  <c r="J7558" i="2"/>
  <c r="I7558" i="2"/>
  <c r="A7558" i="2"/>
  <c r="K7557" i="2"/>
  <c r="J7557" i="2"/>
  <c r="I7557" i="2"/>
  <c r="A7557" i="2"/>
  <c r="K7556" i="2"/>
  <c r="J7556" i="2"/>
  <c r="I7556" i="2"/>
  <c r="A7556" i="2"/>
  <c r="K7555" i="2"/>
  <c r="J7555" i="2"/>
  <c r="I7555" i="2"/>
  <c r="A7555" i="2"/>
  <c r="K7554" i="2"/>
  <c r="J7554" i="2"/>
  <c r="I7554" i="2"/>
  <c r="A7554" i="2"/>
  <c r="K7553" i="2"/>
  <c r="J7553" i="2"/>
  <c r="I7553" i="2"/>
  <c r="A7553" i="2"/>
  <c r="K7552" i="2"/>
  <c r="J7552" i="2"/>
  <c r="I7552" i="2"/>
  <c r="A7552" i="2"/>
  <c r="K7551" i="2"/>
  <c r="J7551" i="2"/>
  <c r="I7551" i="2"/>
  <c r="A7551" i="2"/>
  <c r="K7550" i="2"/>
  <c r="J7550" i="2"/>
  <c r="I7550" i="2"/>
  <c r="A7550" i="2"/>
  <c r="K7549" i="2"/>
  <c r="J7549" i="2"/>
  <c r="I7549" i="2"/>
  <c r="A7549" i="2"/>
  <c r="K7548" i="2"/>
  <c r="J7548" i="2"/>
  <c r="I7548" i="2"/>
  <c r="A7548" i="2"/>
  <c r="K7547" i="2"/>
  <c r="J7547" i="2"/>
  <c r="I7547" i="2"/>
  <c r="A7547" i="2"/>
  <c r="K7546" i="2"/>
  <c r="J7546" i="2"/>
  <c r="I7546" i="2"/>
  <c r="A7546" i="2"/>
  <c r="K7545" i="2"/>
  <c r="J7545" i="2"/>
  <c r="I7545" i="2"/>
  <c r="A7545" i="2"/>
  <c r="K7544" i="2"/>
  <c r="J7544" i="2"/>
  <c r="I7544" i="2"/>
  <c r="A7544" i="2"/>
  <c r="K7543" i="2"/>
  <c r="J7543" i="2"/>
  <c r="I7543" i="2"/>
  <c r="A7543" i="2"/>
  <c r="K7542" i="2"/>
  <c r="J7542" i="2"/>
  <c r="I7542" i="2"/>
  <c r="A7542" i="2"/>
  <c r="K7541" i="2"/>
  <c r="J7541" i="2"/>
  <c r="I7541" i="2"/>
  <c r="A7541" i="2"/>
  <c r="K7540" i="2"/>
  <c r="J7540" i="2"/>
  <c r="I7540" i="2"/>
  <c r="A7540" i="2"/>
  <c r="K7539" i="2"/>
  <c r="J7539" i="2"/>
  <c r="I7539" i="2"/>
  <c r="A7539" i="2"/>
  <c r="K7538" i="2"/>
  <c r="J7538" i="2"/>
  <c r="I7538" i="2"/>
  <c r="A7538" i="2"/>
  <c r="J7537" i="2"/>
  <c r="I7537" i="2"/>
  <c r="K7536" i="2"/>
  <c r="J7536" i="2"/>
  <c r="I7536" i="2"/>
  <c r="A7536" i="2"/>
  <c r="K7535" i="2"/>
  <c r="J7535" i="2"/>
  <c r="I7535" i="2"/>
  <c r="A7535" i="2"/>
  <c r="K7534" i="2"/>
  <c r="J7534" i="2"/>
  <c r="I7534" i="2"/>
  <c r="A7534" i="2"/>
  <c r="K7533" i="2"/>
  <c r="J7533" i="2"/>
  <c r="I7533" i="2"/>
  <c r="A7533" i="2"/>
  <c r="K7532" i="2"/>
  <c r="J7532" i="2"/>
  <c r="I7532" i="2"/>
  <c r="A7532" i="2"/>
  <c r="K7531" i="2"/>
  <c r="J7531" i="2"/>
  <c r="I7531" i="2"/>
  <c r="A7531" i="2"/>
  <c r="K7530" i="2"/>
  <c r="J7530" i="2"/>
  <c r="I7530" i="2"/>
  <c r="A7530" i="2"/>
  <c r="K7529" i="2"/>
  <c r="J7529" i="2"/>
  <c r="I7529" i="2"/>
  <c r="A7529" i="2"/>
  <c r="K7528" i="2"/>
  <c r="J7528" i="2"/>
  <c r="I7528" i="2"/>
  <c r="A7528" i="2"/>
  <c r="K7527" i="2"/>
  <c r="J7527" i="2"/>
  <c r="I7527" i="2"/>
  <c r="A7527" i="2"/>
  <c r="K7526" i="2"/>
  <c r="J7526" i="2"/>
  <c r="I7526" i="2"/>
  <c r="A7526" i="2"/>
  <c r="K7525" i="2"/>
  <c r="J7525" i="2"/>
  <c r="I7525" i="2"/>
  <c r="A7525" i="2"/>
  <c r="K7524" i="2"/>
  <c r="J7524" i="2"/>
  <c r="I7524" i="2"/>
  <c r="A7524" i="2"/>
  <c r="K7523" i="2"/>
  <c r="J7523" i="2"/>
  <c r="I7523" i="2"/>
  <c r="A7523" i="2"/>
  <c r="K7522" i="2"/>
  <c r="J7522" i="2"/>
  <c r="I7522" i="2"/>
  <c r="A7522" i="2"/>
  <c r="K7521" i="2"/>
  <c r="J7521" i="2"/>
  <c r="I7521" i="2"/>
  <c r="A7521" i="2"/>
  <c r="K7520" i="2"/>
  <c r="J7520" i="2"/>
  <c r="I7520" i="2"/>
  <c r="A7520" i="2"/>
  <c r="K7519" i="2"/>
  <c r="J7519" i="2"/>
  <c r="I7519" i="2"/>
  <c r="A7519" i="2"/>
  <c r="K7518" i="2"/>
  <c r="J7518" i="2"/>
  <c r="I7518" i="2"/>
  <c r="A7518" i="2"/>
  <c r="K7517" i="2"/>
  <c r="J7517" i="2"/>
  <c r="I7517" i="2"/>
  <c r="A7517" i="2"/>
  <c r="K7516" i="2"/>
  <c r="J7516" i="2"/>
  <c r="I7516" i="2"/>
  <c r="A7516" i="2"/>
  <c r="K7515" i="2"/>
  <c r="J7515" i="2"/>
  <c r="I7515" i="2"/>
  <c r="A7515" i="2"/>
  <c r="K7514" i="2"/>
  <c r="J7514" i="2"/>
  <c r="I7514" i="2"/>
  <c r="A7514" i="2"/>
  <c r="K7513" i="2"/>
  <c r="J7513" i="2"/>
  <c r="I7513" i="2"/>
  <c r="A7513" i="2"/>
  <c r="K7512" i="2"/>
  <c r="J7512" i="2"/>
  <c r="I7512" i="2"/>
  <c r="A7512" i="2"/>
  <c r="K7511" i="2"/>
  <c r="J7511" i="2"/>
  <c r="I7511" i="2"/>
  <c r="A7511" i="2"/>
  <c r="K7510" i="2"/>
  <c r="J7510" i="2"/>
  <c r="I7510" i="2"/>
  <c r="A7510" i="2"/>
  <c r="K7509" i="2"/>
  <c r="J7509" i="2"/>
  <c r="I7509" i="2"/>
  <c r="A7509" i="2"/>
  <c r="K7508" i="2"/>
  <c r="J7508" i="2"/>
  <c r="I7508" i="2"/>
  <c r="A7508" i="2"/>
  <c r="J7507" i="2"/>
  <c r="I7507" i="2"/>
  <c r="K7506" i="2"/>
  <c r="J7506" i="2"/>
  <c r="I7506" i="2"/>
  <c r="A7506" i="2"/>
  <c r="K7505" i="2"/>
  <c r="J7505" i="2"/>
  <c r="I7505" i="2"/>
  <c r="A7505" i="2"/>
  <c r="K7504" i="2"/>
  <c r="J7504" i="2"/>
  <c r="I7504" i="2"/>
  <c r="A7504" i="2"/>
  <c r="K7503" i="2"/>
  <c r="J7503" i="2"/>
  <c r="I7503" i="2"/>
  <c r="A7503" i="2"/>
  <c r="K7502" i="2"/>
  <c r="J7502" i="2"/>
  <c r="I7502" i="2"/>
  <c r="A7502" i="2"/>
  <c r="K7501" i="2"/>
  <c r="J7501" i="2"/>
  <c r="I7501" i="2"/>
  <c r="A7501" i="2"/>
  <c r="K7500" i="2"/>
  <c r="J7500" i="2"/>
  <c r="I7500" i="2"/>
  <c r="A7500" i="2"/>
  <c r="K7499" i="2"/>
  <c r="J7499" i="2"/>
  <c r="I7499" i="2"/>
  <c r="A7499" i="2"/>
  <c r="K7498" i="2"/>
  <c r="J7498" i="2"/>
  <c r="I7498" i="2"/>
  <c r="A7498" i="2"/>
  <c r="K7497" i="2"/>
  <c r="J7497" i="2"/>
  <c r="I7497" i="2"/>
  <c r="A7497" i="2"/>
  <c r="K7496" i="2"/>
  <c r="J7496" i="2"/>
  <c r="I7496" i="2"/>
  <c r="A7496" i="2"/>
  <c r="K7495" i="2"/>
  <c r="J7495" i="2"/>
  <c r="I7495" i="2"/>
  <c r="A7495" i="2"/>
  <c r="K7494" i="2"/>
  <c r="J7494" i="2"/>
  <c r="I7494" i="2"/>
  <c r="A7494" i="2"/>
  <c r="K7493" i="2"/>
  <c r="J7493" i="2"/>
  <c r="I7493" i="2"/>
  <c r="A7493" i="2"/>
  <c r="K7492" i="2"/>
  <c r="J7492" i="2"/>
  <c r="I7492" i="2"/>
  <c r="A7492" i="2"/>
  <c r="K7491" i="2"/>
  <c r="J7491" i="2"/>
  <c r="I7491" i="2"/>
  <c r="A7491" i="2"/>
  <c r="K7490" i="2"/>
  <c r="J7490" i="2"/>
  <c r="I7490" i="2"/>
  <c r="A7490" i="2"/>
  <c r="K7489" i="2"/>
  <c r="J7489" i="2"/>
  <c r="I7489" i="2"/>
  <c r="A7489" i="2"/>
  <c r="K7488" i="2"/>
  <c r="J7488" i="2"/>
  <c r="I7488" i="2"/>
  <c r="A7488" i="2"/>
  <c r="K7487" i="2"/>
  <c r="J7487" i="2"/>
  <c r="I7487" i="2"/>
  <c r="A7487" i="2"/>
  <c r="K7486" i="2"/>
  <c r="J7486" i="2"/>
  <c r="I7486" i="2"/>
  <c r="A7486" i="2"/>
  <c r="K7485" i="2"/>
  <c r="J7485" i="2"/>
  <c r="I7485" i="2"/>
  <c r="A7485" i="2"/>
  <c r="K7484" i="2"/>
  <c r="J7484" i="2"/>
  <c r="I7484" i="2"/>
  <c r="A7484" i="2"/>
  <c r="K7483" i="2"/>
  <c r="J7483" i="2"/>
  <c r="I7483" i="2"/>
  <c r="A7483" i="2"/>
  <c r="K7482" i="2"/>
  <c r="J7482" i="2"/>
  <c r="I7482" i="2"/>
  <c r="A7482" i="2"/>
  <c r="K7481" i="2"/>
  <c r="J7481" i="2"/>
  <c r="I7481" i="2"/>
  <c r="A7481" i="2"/>
  <c r="K7480" i="2"/>
  <c r="J7480" i="2"/>
  <c r="I7480" i="2"/>
  <c r="A7480" i="2"/>
  <c r="K7479" i="2"/>
  <c r="J7479" i="2"/>
  <c r="I7479" i="2"/>
  <c r="A7479" i="2"/>
  <c r="K7478" i="2"/>
  <c r="J7478" i="2"/>
  <c r="I7478" i="2"/>
  <c r="A7478" i="2"/>
  <c r="K7477" i="2"/>
  <c r="J7477" i="2"/>
  <c r="I7477" i="2"/>
  <c r="A7477" i="2"/>
  <c r="K7476" i="2"/>
  <c r="J7476" i="2"/>
  <c r="I7476" i="2"/>
  <c r="A7476" i="2"/>
  <c r="K7475" i="2"/>
  <c r="J7475" i="2"/>
  <c r="I7475" i="2"/>
  <c r="A7475" i="2"/>
  <c r="K7474" i="2"/>
  <c r="J7474" i="2"/>
  <c r="I7474" i="2"/>
  <c r="A7474" i="2"/>
  <c r="K7473" i="2"/>
  <c r="J7473" i="2"/>
  <c r="I7473" i="2"/>
  <c r="A7473" i="2"/>
  <c r="K7472" i="2"/>
  <c r="J7472" i="2"/>
  <c r="I7472" i="2"/>
  <c r="A7472" i="2"/>
  <c r="K7471" i="2"/>
  <c r="J7471" i="2"/>
  <c r="I7471" i="2"/>
  <c r="A7471" i="2"/>
  <c r="K7470" i="2"/>
  <c r="J7470" i="2"/>
  <c r="I7470" i="2"/>
  <c r="A7470" i="2"/>
  <c r="K7469" i="2"/>
  <c r="J7469" i="2"/>
  <c r="I7469" i="2"/>
  <c r="A7469" i="2"/>
  <c r="K7468" i="2"/>
  <c r="J7468" i="2"/>
  <c r="I7468" i="2"/>
  <c r="A7468" i="2"/>
  <c r="K7467" i="2"/>
  <c r="J7467" i="2"/>
  <c r="I7467" i="2"/>
  <c r="A7467" i="2"/>
  <c r="K7466" i="2"/>
  <c r="J7466" i="2"/>
  <c r="I7466" i="2"/>
  <c r="A7466" i="2"/>
  <c r="K7465" i="2"/>
  <c r="J7465" i="2"/>
  <c r="I7465" i="2"/>
  <c r="A7465" i="2"/>
  <c r="K7464" i="2"/>
  <c r="J7464" i="2"/>
  <c r="I7464" i="2"/>
  <c r="A7464" i="2"/>
  <c r="J7463" i="2"/>
  <c r="I7463" i="2"/>
  <c r="K7462" i="2"/>
  <c r="J7462" i="2"/>
  <c r="I7462" i="2"/>
  <c r="A7462" i="2"/>
  <c r="K7461" i="2"/>
  <c r="J7461" i="2"/>
  <c r="I7461" i="2"/>
  <c r="A7461" i="2"/>
  <c r="K7460" i="2"/>
  <c r="J7460" i="2"/>
  <c r="I7460" i="2"/>
  <c r="A7460" i="2"/>
  <c r="K7459" i="2"/>
  <c r="J7459" i="2"/>
  <c r="I7459" i="2"/>
  <c r="A7459" i="2"/>
  <c r="K7458" i="2"/>
  <c r="J7458" i="2"/>
  <c r="I7458" i="2"/>
  <c r="A7458" i="2"/>
  <c r="K7457" i="2"/>
  <c r="J7457" i="2"/>
  <c r="I7457" i="2"/>
  <c r="A7457" i="2"/>
  <c r="K7456" i="2"/>
  <c r="J7456" i="2"/>
  <c r="I7456" i="2"/>
  <c r="A7456" i="2"/>
  <c r="K7455" i="2"/>
  <c r="J7455" i="2"/>
  <c r="I7455" i="2"/>
  <c r="A7455" i="2"/>
  <c r="K7454" i="2"/>
  <c r="J7454" i="2"/>
  <c r="I7454" i="2"/>
  <c r="A7454" i="2"/>
  <c r="K7453" i="2"/>
  <c r="J7453" i="2"/>
  <c r="I7453" i="2"/>
  <c r="A7453" i="2"/>
  <c r="K7452" i="2"/>
  <c r="J7452" i="2"/>
  <c r="I7452" i="2"/>
  <c r="A7452" i="2"/>
  <c r="K7451" i="2"/>
  <c r="J7451" i="2"/>
  <c r="I7451" i="2"/>
  <c r="A7451" i="2"/>
  <c r="K7450" i="2"/>
  <c r="J7450" i="2"/>
  <c r="I7450" i="2"/>
  <c r="A7450" i="2"/>
  <c r="K7449" i="2"/>
  <c r="J7449" i="2"/>
  <c r="I7449" i="2"/>
  <c r="A7449" i="2"/>
  <c r="K7448" i="2"/>
  <c r="J7448" i="2"/>
  <c r="I7448" i="2"/>
  <c r="A7448" i="2"/>
  <c r="K7447" i="2"/>
  <c r="J7447" i="2"/>
  <c r="I7447" i="2"/>
  <c r="A7447" i="2"/>
  <c r="K7446" i="2"/>
  <c r="J7446" i="2"/>
  <c r="I7446" i="2"/>
  <c r="A7446" i="2"/>
  <c r="K7445" i="2"/>
  <c r="J7445" i="2"/>
  <c r="I7445" i="2"/>
  <c r="A7445" i="2"/>
  <c r="K7444" i="2"/>
  <c r="J7444" i="2"/>
  <c r="I7444" i="2"/>
  <c r="A7444" i="2"/>
  <c r="K7443" i="2"/>
  <c r="J7443" i="2"/>
  <c r="I7443" i="2"/>
  <c r="A7443" i="2"/>
  <c r="K7442" i="2"/>
  <c r="J7442" i="2"/>
  <c r="I7442" i="2"/>
  <c r="A7442" i="2"/>
  <c r="K7441" i="2"/>
  <c r="J7441" i="2"/>
  <c r="I7441" i="2"/>
  <c r="A7441" i="2"/>
  <c r="K7440" i="2"/>
  <c r="J7440" i="2"/>
  <c r="I7440" i="2"/>
  <c r="A7440" i="2"/>
  <c r="K7439" i="2"/>
  <c r="J7439" i="2"/>
  <c r="I7439" i="2"/>
  <c r="A7439" i="2"/>
  <c r="K7438" i="2"/>
  <c r="J7438" i="2"/>
  <c r="I7438" i="2"/>
  <c r="A7438" i="2"/>
  <c r="K7437" i="2"/>
  <c r="J7437" i="2"/>
  <c r="I7437" i="2"/>
  <c r="A7437" i="2"/>
  <c r="K7436" i="2"/>
  <c r="J7436" i="2"/>
  <c r="I7436" i="2"/>
  <c r="A7436" i="2"/>
  <c r="K7435" i="2"/>
  <c r="J7435" i="2"/>
  <c r="I7435" i="2"/>
  <c r="A7435" i="2"/>
  <c r="K7434" i="2"/>
  <c r="J7434" i="2"/>
  <c r="I7434" i="2"/>
  <c r="A7434" i="2"/>
  <c r="K7433" i="2"/>
  <c r="J7433" i="2"/>
  <c r="I7433" i="2"/>
  <c r="A7433" i="2"/>
  <c r="K7432" i="2"/>
  <c r="J7432" i="2"/>
  <c r="I7432" i="2"/>
  <c r="A7432" i="2"/>
  <c r="K7431" i="2"/>
  <c r="J7431" i="2"/>
  <c r="I7431" i="2"/>
  <c r="A7431" i="2"/>
  <c r="K7430" i="2"/>
  <c r="J7430" i="2"/>
  <c r="I7430" i="2"/>
  <c r="A7430" i="2"/>
  <c r="K7429" i="2"/>
  <c r="J7429" i="2"/>
  <c r="I7429" i="2"/>
  <c r="A7429" i="2"/>
  <c r="K7428" i="2"/>
  <c r="J7428" i="2"/>
  <c r="I7428" i="2"/>
  <c r="A7428" i="2"/>
  <c r="K7427" i="2"/>
  <c r="J7427" i="2"/>
  <c r="I7427" i="2"/>
  <c r="A7427" i="2"/>
  <c r="J7426" i="2"/>
  <c r="I7426" i="2"/>
  <c r="K7425" i="2"/>
  <c r="J7425" i="2"/>
  <c r="I7425" i="2"/>
  <c r="A7425" i="2"/>
  <c r="K7424" i="2"/>
  <c r="J7424" i="2"/>
  <c r="I7424" i="2"/>
  <c r="A7424" i="2"/>
  <c r="K7423" i="2"/>
  <c r="J7423" i="2"/>
  <c r="I7423" i="2"/>
  <c r="A7423" i="2"/>
  <c r="K7422" i="2"/>
  <c r="J7422" i="2"/>
  <c r="I7422" i="2"/>
  <c r="A7422" i="2"/>
  <c r="K7421" i="2"/>
  <c r="J7421" i="2"/>
  <c r="I7421" i="2"/>
  <c r="A7421" i="2"/>
  <c r="K7420" i="2"/>
  <c r="J7420" i="2"/>
  <c r="I7420" i="2"/>
  <c r="A7420" i="2"/>
  <c r="K7419" i="2"/>
  <c r="J7419" i="2"/>
  <c r="I7419" i="2"/>
  <c r="A7419" i="2"/>
  <c r="K7418" i="2"/>
  <c r="J7418" i="2"/>
  <c r="I7418" i="2"/>
  <c r="A7418" i="2"/>
  <c r="K7417" i="2"/>
  <c r="J7417" i="2"/>
  <c r="I7417" i="2"/>
  <c r="A7417" i="2"/>
  <c r="K7416" i="2"/>
  <c r="J7416" i="2"/>
  <c r="I7416" i="2"/>
  <c r="A7416" i="2"/>
  <c r="K7415" i="2"/>
  <c r="J7415" i="2"/>
  <c r="I7415" i="2"/>
  <c r="A7415" i="2"/>
  <c r="K7414" i="2"/>
  <c r="J7414" i="2"/>
  <c r="I7414" i="2"/>
  <c r="A7414" i="2"/>
  <c r="K7413" i="2"/>
  <c r="J7413" i="2"/>
  <c r="I7413" i="2"/>
  <c r="A7413" i="2"/>
  <c r="K7412" i="2"/>
  <c r="J7412" i="2"/>
  <c r="I7412" i="2"/>
  <c r="A7412" i="2"/>
  <c r="K7411" i="2"/>
  <c r="J7411" i="2"/>
  <c r="I7411" i="2"/>
  <c r="A7411" i="2"/>
  <c r="K7410" i="2"/>
  <c r="J7410" i="2"/>
  <c r="I7410" i="2"/>
  <c r="A7410" i="2"/>
  <c r="K7409" i="2"/>
  <c r="J7409" i="2"/>
  <c r="I7409" i="2"/>
  <c r="A7409" i="2"/>
  <c r="K7408" i="2"/>
  <c r="J7408" i="2"/>
  <c r="I7408" i="2"/>
  <c r="A7408" i="2"/>
  <c r="K7407" i="2"/>
  <c r="J7407" i="2"/>
  <c r="I7407" i="2"/>
  <c r="A7407" i="2"/>
  <c r="K7406" i="2"/>
  <c r="J7406" i="2"/>
  <c r="I7406" i="2"/>
  <c r="A7406" i="2"/>
  <c r="J7405" i="2"/>
  <c r="I7405" i="2"/>
  <c r="K7404" i="2"/>
  <c r="J7404" i="2"/>
  <c r="I7404" i="2"/>
  <c r="A7404" i="2"/>
  <c r="K7403" i="2"/>
  <c r="J7403" i="2"/>
  <c r="I7403" i="2"/>
  <c r="A7403" i="2"/>
  <c r="K7402" i="2"/>
  <c r="J7402" i="2"/>
  <c r="I7402" i="2"/>
  <c r="A7402" i="2"/>
  <c r="K7401" i="2"/>
  <c r="J7401" i="2"/>
  <c r="I7401" i="2"/>
  <c r="A7401" i="2"/>
  <c r="K7400" i="2"/>
  <c r="J7400" i="2"/>
  <c r="I7400" i="2"/>
  <c r="A7400" i="2"/>
  <c r="K7399" i="2"/>
  <c r="J7399" i="2"/>
  <c r="I7399" i="2"/>
  <c r="A7399" i="2"/>
  <c r="J7398" i="2"/>
  <c r="I7398" i="2"/>
  <c r="K7397" i="2"/>
  <c r="J7397" i="2"/>
  <c r="I7397" i="2"/>
  <c r="A7397" i="2"/>
  <c r="K7396" i="2"/>
  <c r="J7396" i="2"/>
  <c r="I7396" i="2"/>
  <c r="A7396" i="2"/>
  <c r="K7395" i="2"/>
  <c r="J7395" i="2"/>
  <c r="I7395" i="2"/>
  <c r="A7395" i="2"/>
  <c r="K7394" i="2"/>
  <c r="J7394" i="2"/>
  <c r="I7394" i="2"/>
  <c r="A7394" i="2"/>
  <c r="J7393" i="2"/>
  <c r="I7393" i="2"/>
  <c r="K7392" i="2"/>
  <c r="J7392" i="2"/>
  <c r="I7392" i="2"/>
  <c r="A7392" i="2"/>
  <c r="K7391" i="2"/>
  <c r="J7391" i="2"/>
  <c r="I7391" i="2"/>
  <c r="A7391" i="2"/>
  <c r="K7390" i="2"/>
  <c r="J7390" i="2"/>
  <c r="I7390" i="2"/>
  <c r="A7390" i="2"/>
  <c r="K7389" i="2"/>
  <c r="J7389" i="2"/>
  <c r="I7389" i="2"/>
  <c r="A7389" i="2"/>
  <c r="J7388" i="2"/>
  <c r="I7388" i="2"/>
  <c r="K7387" i="2"/>
  <c r="J7387" i="2"/>
  <c r="I7387" i="2"/>
  <c r="A7387" i="2"/>
  <c r="K7386" i="2"/>
  <c r="J7386" i="2"/>
  <c r="I7386" i="2"/>
  <c r="A7386" i="2"/>
  <c r="K7385" i="2"/>
  <c r="J7385" i="2"/>
  <c r="I7385" i="2"/>
  <c r="A7385" i="2"/>
  <c r="K7384" i="2"/>
  <c r="J7384" i="2"/>
  <c r="I7384" i="2"/>
  <c r="A7384" i="2"/>
  <c r="J7383" i="2"/>
  <c r="I7383" i="2"/>
  <c r="K7382" i="2"/>
  <c r="J7382" i="2"/>
  <c r="I7382" i="2"/>
  <c r="A7382" i="2"/>
  <c r="K7381" i="2"/>
  <c r="J7381" i="2"/>
  <c r="I7381" i="2"/>
  <c r="A7381" i="2"/>
  <c r="K7380" i="2"/>
  <c r="J7380" i="2"/>
  <c r="I7380" i="2"/>
  <c r="A7380" i="2"/>
  <c r="K7379" i="2"/>
  <c r="J7379" i="2"/>
  <c r="I7379" i="2"/>
  <c r="A7379" i="2"/>
  <c r="K7378" i="2"/>
  <c r="J7378" i="2"/>
  <c r="I7378" i="2"/>
  <c r="A7378" i="2"/>
  <c r="K7377" i="2"/>
  <c r="J7377" i="2"/>
  <c r="I7377" i="2"/>
  <c r="A7377" i="2"/>
  <c r="K7376" i="2"/>
  <c r="J7376" i="2"/>
  <c r="I7376" i="2"/>
  <c r="A7376" i="2"/>
  <c r="K7375" i="2"/>
  <c r="J7375" i="2"/>
  <c r="I7375" i="2"/>
  <c r="A7375" i="2"/>
  <c r="K7374" i="2"/>
  <c r="J7374" i="2"/>
  <c r="I7374" i="2"/>
  <c r="A7374" i="2"/>
  <c r="K7373" i="2"/>
  <c r="J7373" i="2"/>
  <c r="I7373" i="2"/>
  <c r="A7373" i="2"/>
  <c r="K7372" i="2"/>
  <c r="J7372" i="2"/>
  <c r="I7372" i="2"/>
  <c r="A7372" i="2"/>
  <c r="K7371" i="2"/>
  <c r="J7371" i="2"/>
  <c r="I7371" i="2"/>
  <c r="A7371" i="2"/>
  <c r="K7370" i="2"/>
  <c r="J7370" i="2"/>
  <c r="I7370" i="2"/>
  <c r="A7370" i="2"/>
  <c r="K7369" i="2"/>
  <c r="J7369" i="2"/>
  <c r="I7369" i="2"/>
  <c r="A7369" i="2"/>
  <c r="J7368" i="2"/>
  <c r="I7368" i="2"/>
  <c r="K7367" i="2"/>
  <c r="J7367" i="2"/>
  <c r="I7367" i="2"/>
  <c r="A7367" i="2"/>
  <c r="K7366" i="2"/>
  <c r="J7366" i="2"/>
  <c r="I7366" i="2"/>
  <c r="A7366" i="2"/>
  <c r="K7365" i="2"/>
  <c r="J7365" i="2"/>
  <c r="I7365" i="2"/>
  <c r="A7365" i="2"/>
  <c r="K7364" i="2"/>
  <c r="J7364" i="2"/>
  <c r="I7364" i="2"/>
  <c r="A7364" i="2"/>
  <c r="K7363" i="2"/>
  <c r="J7363" i="2"/>
  <c r="I7363" i="2"/>
  <c r="A7363" i="2"/>
  <c r="K7362" i="2"/>
  <c r="J7362" i="2"/>
  <c r="I7362" i="2"/>
  <c r="A7362" i="2"/>
  <c r="K7361" i="2"/>
  <c r="J7361" i="2"/>
  <c r="I7361" i="2"/>
  <c r="A7361" i="2"/>
  <c r="K7360" i="2"/>
  <c r="J7360" i="2"/>
  <c r="I7360" i="2"/>
  <c r="A7360" i="2"/>
  <c r="K7359" i="2"/>
  <c r="J7359" i="2"/>
  <c r="I7359" i="2"/>
  <c r="A7359" i="2"/>
  <c r="K7358" i="2"/>
  <c r="J7358" i="2"/>
  <c r="I7358" i="2"/>
  <c r="A7358" i="2"/>
  <c r="K7357" i="2"/>
  <c r="J7357" i="2"/>
  <c r="I7357" i="2"/>
  <c r="A7357" i="2"/>
  <c r="K7356" i="2"/>
  <c r="J7356" i="2"/>
  <c r="I7356" i="2"/>
  <c r="A7356" i="2"/>
  <c r="K7355" i="2"/>
  <c r="J7355" i="2"/>
  <c r="I7355" i="2"/>
  <c r="A7355" i="2"/>
  <c r="K7354" i="2"/>
  <c r="J7354" i="2"/>
  <c r="I7354" i="2"/>
  <c r="A7354" i="2"/>
  <c r="K7353" i="2"/>
  <c r="J7353" i="2"/>
  <c r="I7353" i="2"/>
  <c r="A7353" i="2"/>
  <c r="K7352" i="2"/>
  <c r="J7352" i="2"/>
  <c r="I7352" i="2"/>
  <c r="A7352" i="2"/>
  <c r="K7351" i="2"/>
  <c r="J7351" i="2"/>
  <c r="I7351" i="2"/>
  <c r="A7351" i="2"/>
  <c r="K7350" i="2"/>
  <c r="J7350" i="2"/>
  <c r="I7350" i="2"/>
  <c r="A7350" i="2"/>
  <c r="K7349" i="2"/>
  <c r="J7349" i="2"/>
  <c r="I7349" i="2"/>
  <c r="A7349" i="2"/>
  <c r="K7348" i="2"/>
  <c r="J7348" i="2"/>
  <c r="I7348" i="2"/>
  <c r="A7348" i="2"/>
  <c r="K7347" i="2"/>
  <c r="J7347" i="2"/>
  <c r="I7347" i="2"/>
  <c r="A7347" i="2"/>
  <c r="K7346" i="2"/>
  <c r="J7346" i="2"/>
  <c r="I7346" i="2"/>
  <c r="A7346" i="2"/>
  <c r="K7345" i="2"/>
  <c r="J7345" i="2"/>
  <c r="I7345" i="2"/>
  <c r="A7345" i="2"/>
  <c r="K7344" i="2"/>
  <c r="J7344" i="2"/>
  <c r="I7344" i="2"/>
  <c r="A7344" i="2"/>
  <c r="K7343" i="2"/>
  <c r="J7343" i="2"/>
  <c r="I7343" i="2"/>
  <c r="A7343" i="2"/>
  <c r="K7342" i="2"/>
  <c r="J7342" i="2"/>
  <c r="I7342" i="2"/>
  <c r="A7342" i="2"/>
  <c r="K7341" i="2"/>
  <c r="J7341" i="2"/>
  <c r="I7341" i="2"/>
  <c r="A7341" i="2"/>
  <c r="K7340" i="2"/>
  <c r="J7340" i="2"/>
  <c r="I7340" i="2"/>
  <c r="A7340" i="2"/>
  <c r="J7339" i="2"/>
  <c r="I7339" i="2"/>
  <c r="K7338" i="2"/>
  <c r="J7338" i="2"/>
  <c r="I7338" i="2"/>
  <c r="A7338" i="2"/>
  <c r="K7337" i="2"/>
  <c r="J7337" i="2"/>
  <c r="I7337" i="2"/>
  <c r="A7337" i="2"/>
  <c r="K7336" i="2"/>
  <c r="J7336" i="2"/>
  <c r="I7336" i="2"/>
  <c r="A7336" i="2"/>
  <c r="K7335" i="2"/>
  <c r="J7335" i="2"/>
  <c r="I7335" i="2"/>
  <c r="A7335" i="2"/>
  <c r="K7334" i="2"/>
  <c r="J7334" i="2"/>
  <c r="I7334" i="2"/>
  <c r="A7334" i="2"/>
  <c r="K7333" i="2"/>
  <c r="J7333" i="2"/>
  <c r="I7333" i="2"/>
  <c r="A7333" i="2"/>
  <c r="K7332" i="2"/>
  <c r="J7332" i="2"/>
  <c r="I7332" i="2"/>
  <c r="A7332" i="2"/>
  <c r="K7331" i="2"/>
  <c r="J7331" i="2"/>
  <c r="I7331" i="2"/>
  <c r="A7331" i="2"/>
  <c r="K7330" i="2"/>
  <c r="J7330" i="2"/>
  <c r="I7330" i="2"/>
  <c r="A7330" i="2"/>
  <c r="K7329" i="2"/>
  <c r="J7329" i="2"/>
  <c r="I7329" i="2"/>
  <c r="A7329" i="2"/>
  <c r="K7328" i="2"/>
  <c r="J7328" i="2"/>
  <c r="I7328" i="2"/>
  <c r="A7328" i="2"/>
  <c r="K7327" i="2"/>
  <c r="J7327" i="2"/>
  <c r="I7327" i="2"/>
  <c r="A7327" i="2"/>
  <c r="K7326" i="2"/>
  <c r="J7326" i="2"/>
  <c r="I7326" i="2"/>
  <c r="A7326" i="2"/>
  <c r="K7325" i="2"/>
  <c r="J7325" i="2"/>
  <c r="I7325" i="2"/>
  <c r="A7325" i="2"/>
  <c r="K7324" i="2"/>
  <c r="J7324" i="2"/>
  <c r="I7324" i="2"/>
  <c r="A7324" i="2"/>
  <c r="K7323" i="2"/>
  <c r="J7323" i="2"/>
  <c r="I7323" i="2"/>
  <c r="A7323" i="2"/>
  <c r="K7322" i="2"/>
  <c r="J7322" i="2"/>
  <c r="I7322" i="2"/>
  <c r="A7322" i="2"/>
  <c r="K7321" i="2"/>
  <c r="J7321" i="2"/>
  <c r="I7321" i="2"/>
  <c r="A7321" i="2"/>
  <c r="K7320" i="2"/>
  <c r="J7320" i="2"/>
  <c r="I7320" i="2"/>
  <c r="A7320" i="2"/>
  <c r="K7319" i="2"/>
  <c r="J7319" i="2"/>
  <c r="I7319" i="2"/>
  <c r="A7319" i="2"/>
  <c r="K7318" i="2"/>
  <c r="J7318" i="2"/>
  <c r="I7318" i="2"/>
  <c r="A7318" i="2"/>
  <c r="J7317" i="2"/>
  <c r="I7317" i="2"/>
  <c r="K7316" i="2"/>
  <c r="J7316" i="2"/>
  <c r="I7316" i="2"/>
  <c r="A7316" i="2"/>
  <c r="K7315" i="2"/>
  <c r="J7315" i="2"/>
  <c r="I7315" i="2"/>
  <c r="A7315" i="2"/>
  <c r="K7314" i="2"/>
  <c r="J7314" i="2"/>
  <c r="I7314" i="2"/>
  <c r="A7314" i="2"/>
  <c r="K7313" i="2"/>
  <c r="J7313" i="2"/>
  <c r="I7313" i="2"/>
  <c r="A7313" i="2"/>
  <c r="K7312" i="2"/>
  <c r="J7312" i="2"/>
  <c r="I7312" i="2"/>
  <c r="A7312" i="2"/>
  <c r="K7311" i="2"/>
  <c r="J7311" i="2"/>
  <c r="I7311" i="2"/>
  <c r="A7311" i="2"/>
  <c r="J7310" i="2"/>
  <c r="I7310" i="2"/>
  <c r="J7309" i="2"/>
  <c r="I7309" i="2"/>
  <c r="K7308" i="2"/>
  <c r="J7308" i="2"/>
  <c r="I7308" i="2"/>
  <c r="A7308" i="2"/>
  <c r="K7307" i="2"/>
  <c r="J7307" i="2"/>
  <c r="I7307" i="2"/>
  <c r="A7307" i="2"/>
  <c r="K7306" i="2"/>
  <c r="J7306" i="2"/>
  <c r="I7306" i="2"/>
  <c r="A7306" i="2"/>
  <c r="K7305" i="2"/>
  <c r="J7305" i="2"/>
  <c r="I7305" i="2"/>
  <c r="A7305" i="2"/>
  <c r="K7304" i="2"/>
  <c r="J7304" i="2"/>
  <c r="I7304" i="2"/>
  <c r="A7304" i="2"/>
  <c r="K7303" i="2"/>
  <c r="J7303" i="2"/>
  <c r="I7303" i="2"/>
  <c r="A7303" i="2"/>
  <c r="K7302" i="2"/>
  <c r="J7302" i="2"/>
  <c r="I7302" i="2"/>
  <c r="A7302" i="2"/>
  <c r="J7301" i="2"/>
  <c r="I7301" i="2"/>
  <c r="K7300" i="2"/>
  <c r="J7300" i="2"/>
  <c r="I7300" i="2"/>
  <c r="A7300" i="2"/>
  <c r="K7299" i="2"/>
  <c r="J7299" i="2"/>
  <c r="I7299" i="2"/>
  <c r="A7299" i="2"/>
  <c r="K7298" i="2"/>
  <c r="J7298" i="2"/>
  <c r="I7298" i="2"/>
  <c r="A7298" i="2"/>
  <c r="K7297" i="2"/>
  <c r="J7297" i="2"/>
  <c r="I7297" i="2"/>
  <c r="A7297" i="2"/>
  <c r="K7296" i="2"/>
  <c r="J7296" i="2"/>
  <c r="I7296" i="2"/>
  <c r="A7296" i="2"/>
  <c r="K7295" i="2"/>
  <c r="J7295" i="2"/>
  <c r="I7295" i="2"/>
  <c r="A7295" i="2"/>
  <c r="K7294" i="2"/>
  <c r="J7294" i="2"/>
  <c r="I7294" i="2"/>
  <c r="A7294" i="2"/>
  <c r="K7293" i="2"/>
  <c r="J7293" i="2"/>
  <c r="I7293" i="2"/>
  <c r="A7293" i="2"/>
  <c r="K7292" i="2"/>
  <c r="J7292" i="2"/>
  <c r="I7292" i="2"/>
  <c r="A7292" i="2"/>
  <c r="K7291" i="2"/>
  <c r="J7291" i="2"/>
  <c r="I7291" i="2"/>
  <c r="A7291" i="2"/>
  <c r="K7290" i="2"/>
  <c r="J7290" i="2"/>
  <c r="I7290" i="2"/>
  <c r="A7290" i="2"/>
  <c r="K7289" i="2"/>
  <c r="J7289" i="2"/>
  <c r="I7289" i="2"/>
  <c r="A7289" i="2"/>
  <c r="K7288" i="2"/>
  <c r="J7288" i="2"/>
  <c r="I7288" i="2"/>
  <c r="A7288" i="2"/>
  <c r="K7287" i="2"/>
  <c r="J7287" i="2"/>
  <c r="I7287" i="2"/>
  <c r="A7287" i="2"/>
  <c r="K7286" i="2"/>
  <c r="J7286" i="2"/>
  <c r="I7286" i="2"/>
  <c r="A7286" i="2"/>
  <c r="K7285" i="2"/>
  <c r="J7285" i="2"/>
  <c r="I7285" i="2"/>
  <c r="A7285" i="2"/>
  <c r="K7284" i="2"/>
  <c r="J7284" i="2"/>
  <c r="I7284" i="2"/>
  <c r="A7284" i="2"/>
  <c r="K7283" i="2"/>
  <c r="J7283" i="2"/>
  <c r="I7283" i="2"/>
  <c r="A7283" i="2"/>
  <c r="K7282" i="2"/>
  <c r="J7282" i="2"/>
  <c r="I7282" i="2"/>
  <c r="A7282" i="2"/>
  <c r="J7281" i="2"/>
  <c r="I7281" i="2"/>
  <c r="J7280" i="2"/>
  <c r="I7280" i="2"/>
  <c r="J7279" i="2"/>
  <c r="I7279" i="2"/>
  <c r="K7278" i="2"/>
  <c r="J7278" i="2"/>
  <c r="I7278" i="2"/>
  <c r="A7278" i="2"/>
  <c r="K7277" i="2"/>
  <c r="J7277" i="2"/>
  <c r="I7277" i="2"/>
  <c r="A7277" i="2"/>
  <c r="K7276" i="2"/>
  <c r="J7276" i="2"/>
  <c r="I7276" i="2"/>
  <c r="A7276" i="2"/>
  <c r="K7275" i="2"/>
  <c r="J7275" i="2"/>
  <c r="I7275" i="2"/>
  <c r="A7275" i="2"/>
  <c r="J7274" i="2"/>
  <c r="I7274" i="2"/>
  <c r="K7273" i="2"/>
  <c r="J7273" i="2"/>
  <c r="I7273" i="2"/>
  <c r="A7273" i="2"/>
  <c r="K7272" i="2"/>
  <c r="J7272" i="2"/>
  <c r="I7272" i="2"/>
  <c r="A7272" i="2"/>
  <c r="K7271" i="2"/>
  <c r="J7271" i="2"/>
  <c r="I7271" i="2"/>
  <c r="A7271" i="2"/>
  <c r="K7270" i="2"/>
  <c r="J7270" i="2"/>
  <c r="I7270" i="2"/>
  <c r="A7270" i="2"/>
  <c r="K7269" i="2"/>
  <c r="J7269" i="2"/>
  <c r="I7269" i="2"/>
  <c r="A7269" i="2"/>
  <c r="K7268" i="2"/>
  <c r="J7268" i="2"/>
  <c r="I7268" i="2"/>
  <c r="A7268" i="2"/>
  <c r="K7267" i="2"/>
  <c r="J7267" i="2"/>
  <c r="I7267" i="2"/>
  <c r="A7267" i="2"/>
  <c r="K7266" i="2"/>
  <c r="J7266" i="2"/>
  <c r="I7266" i="2"/>
  <c r="A7266" i="2"/>
  <c r="K7265" i="2"/>
  <c r="J7265" i="2"/>
  <c r="I7265" i="2"/>
  <c r="A7265" i="2"/>
  <c r="K7264" i="2"/>
  <c r="J7264" i="2"/>
  <c r="I7264" i="2"/>
  <c r="A7264" i="2"/>
  <c r="K7263" i="2"/>
  <c r="J7263" i="2"/>
  <c r="I7263" i="2"/>
  <c r="A7263" i="2"/>
  <c r="K7262" i="2"/>
  <c r="J7262" i="2"/>
  <c r="I7262" i="2"/>
  <c r="A7262" i="2"/>
  <c r="K7261" i="2"/>
  <c r="J7261" i="2"/>
  <c r="I7261" i="2"/>
  <c r="A7261" i="2"/>
  <c r="K7260" i="2"/>
  <c r="J7260" i="2"/>
  <c r="I7260" i="2"/>
  <c r="A7260" i="2"/>
  <c r="K7259" i="2"/>
  <c r="J7259" i="2"/>
  <c r="I7259" i="2"/>
  <c r="A7259" i="2"/>
  <c r="K7258" i="2"/>
  <c r="J7258" i="2"/>
  <c r="I7258" i="2"/>
  <c r="A7258" i="2"/>
  <c r="K7257" i="2"/>
  <c r="J7257" i="2"/>
  <c r="I7257" i="2"/>
  <c r="A7257" i="2"/>
  <c r="K7256" i="2"/>
  <c r="J7256" i="2"/>
  <c r="I7256" i="2"/>
  <c r="A7256" i="2"/>
  <c r="K7255" i="2"/>
  <c r="J7255" i="2"/>
  <c r="I7255" i="2"/>
  <c r="A7255" i="2"/>
  <c r="K7254" i="2"/>
  <c r="J7254" i="2"/>
  <c r="I7254" i="2"/>
  <c r="A7254" i="2"/>
  <c r="J7253" i="2"/>
  <c r="I7253" i="2"/>
  <c r="K7252" i="2"/>
  <c r="J7252" i="2"/>
  <c r="I7252" i="2"/>
  <c r="A7252" i="2"/>
  <c r="K7251" i="2"/>
  <c r="J7251" i="2"/>
  <c r="I7251" i="2"/>
  <c r="A7251" i="2"/>
  <c r="J7250" i="2"/>
  <c r="I7250" i="2"/>
  <c r="K7249" i="2"/>
  <c r="J7249" i="2"/>
  <c r="I7249" i="2"/>
  <c r="A7249" i="2"/>
  <c r="K7248" i="2"/>
  <c r="J7248" i="2"/>
  <c r="I7248" i="2"/>
  <c r="A7248" i="2"/>
  <c r="K7247" i="2"/>
  <c r="J7247" i="2"/>
  <c r="I7247" i="2"/>
  <c r="A7247" i="2"/>
  <c r="J7246" i="2"/>
  <c r="I7246" i="2"/>
  <c r="K7245" i="2"/>
  <c r="J7245" i="2"/>
  <c r="I7245" i="2"/>
  <c r="A7245" i="2"/>
  <c r="K7244" i="2"/>
  <c r="J7244" i="2"/>
  <c r="I7244" i="2"/>
  <c r="A7244" i="2"/>
  <c r="K7243" i="2"/>
  <c r="J7243" i="2"/>
  <c r="I7243" i="2"/>
  <c r="A7243" i="2"/>
  <c r="K7242" i="2"/>
  <c r="J7242" i="2"/>
  <c r="I7242" i="2"/>
  <c r="A7242" i="2"/>
  <c r="K7241" i="2"/>
  <c r="J7241" i="2"/>
  <c r="I7241" i="2"/>
  <c r="A7241" i="2"/>
  <c r="K7240" i="2"/>
  <c r="J7240" i="2"/>
  <c r="I7240" i="2"/>
  <c r="A7240" i="2"/>
  <c r="K7239" i="2"/>
  <c r="J7239" i="2"/>
  <c r="I7239" i="2"/>
  <c r="A7239" i="2"/>
  <c r="K7238" i="2"/>
  <c r="J7238" i="2"/>
  <c r="I7238" i="2"/>
  <c r="A7238" i="2"/>
  <c r="K7237" i="2"/>
  <c r="J7237" i="2"/>
  <c r="I7237" i="2"/>
  <c r="A7237" i="2"/>
  <c r="K7236" i="2"/>
  <c r="J7236" i="2"/>
  <c r="I7236" i="2"/>
  <c r="A7236" i="2"/>
  <c r="K7235" i="2"/>
  <c r="J7235" i="2"/>
  <c r="I7235" i="2"/>
  <c r="A7235" i="2"/>
  <c r="K7234" i="2"/>
  <c r="J7234" i="2"/>
  <c r="I7234" i="2"/>
  <c r="A7234" i="2"/>
  <c r="K7233" i="2"/>
  <c r="J7233" i="2"/>
  <c r="I7233" i="2"/>
  <c r="A7233" i="2"/>
  <c r="K7232" i="2"/>
  <c r="J7232" i="2"/>
  <c r="I7232" i="2"/>
  <c r="A7232" i="2"/>
  <c r="K7231" i="2"/>
  <c r="J7231" i="2"/>
  <c r="I7231" i="2"/>
  <c r="A7231" i="2"/>
  <c r="K7230" i="2"/>
  <c r="J7230" i="2"/>
  <c r="I7230" i="2"/>
  <c r="A7230" i="2"/>
  <c r="K7229" i="2"/>
  <c r="J7229" i="2"/>
  <c r="I7229" i="2"/>
  <c r="A7229" i="2"/>
  <c r="K7228" i="2"/>
  <c r="J7228" i="2"/>
  <c r="I7228" i="2"/>
  <c r="A7228" i="2"/>
  <c r="K7227" i="2"/>
  <c r="J7227" i="2"/>
  <c r="I7227" i="2"/>
  <c r="A7227" i="2"/>
  <c r="K7226" i="2"/>
  <c r="J7226" i="2"/>
  <c r="I7226" i="2"/>
  <c r="A7226" i="2"/>
  <c r="K7225" i="2"/>
  <c r="J7225" i="2"/>
  <c r="I7225" i="2"/>
  <c r="A7225" i="2"/>
  <c r="K7224" i="2"/>
  <c r="J7224" i="2"/>
  <c r="I7224" i="2"/>
  <c r="A7224" i="2"/>
  <c r="K7223" i="2"/>
  <c r="J7223" i="2"/>
  <c r="I7223" i="2"/>
  <c r="A7223" i="2"/>
  <c r="K7222" i="2"/>
  <c r="J7222" i="2"/>
  <c r="I7222" i="2"/>
  <c r="A7222" i="2"/>
  <c r="K7221" i="2"/>
  <c r="J7221" i="2"/>
  <c r="I7221" i="2"/>
  <c r="A7221" i="2"/>
  <c r="K7220" i="2"/>
  <c r="J7220" i="2"/>
  <c r="I7220" i="2"/>
  <c r="A7220" i="2"/>
  <c r="K7219" i="2"/>
  <c r="J7219" i="2"/>
  <c r="I7219" i="2"/>
  <c r="A7219" i="2"/>
  <c r="J7218" i="2"/>
  <c r="I7218" i="2"/>
  <c r="K7217" i="2"/>
  <c r="J7217" i="2"/>
  <c r="I7217" i="2"/>
  <c r="A7217" i="2"/>
  <c r="K7216" i="2"/>
  <c r="J7216" i="2"/>
  <c r="I7216" i="2"/>
  <c r="A7216" i="2"/>
  <c r="K7215" i="2"/>
  <c r="J7215" i="2"/>
  <c r="I7215" i="2"/>
  <c r="A7215" i="2"/>
  <c r="K7214" i="2"/>
  <c r="J7214" i="2"/>
  <c r="I7214" i="2"/>
  <c r="A7214" i="2"/>
  <c r="K7213" i="2"/>
  <c r="J7213" i="2"/>
  <c r="I7213" i="2"/>
  <c r="A7213" i="2"/>
  <c r="K7212" i="2"/>
  <c r="J7212" i="2"/>
  <c r="I7212" i="2"/>
  <c r="A7212" i="2"/>
  <c r="K7211" i="2"/>
  <c r="J7211" i="2"/>
  <c r="I7211" i="2"/>
  <c r="A7211" i="2"/>
  <c r="K7210" i="2"/>
  <c r="J7210" i="2"/>
  <c r="I7210" i="2"/>
  <c r="A7210" i="2"/>
  <c r="K7209" i="2"/>
  <c r="J7209" i="2"/>
  <c r="I7209" i="2"/>
  <c r="A7209" i="2"/>
  <c r="K7208" i="2"/>
  <c r="J7208" i="2"/>
  <c r="I7208" i="2"/>
  <c r="A7208" i="2"/>
  <c r="K7207" i="2"/>
  <c r="J7207" i="2"/>
  <c r="I7207" i="2"/>
  <c r="A7207" i="2"/>
  <c r="K7206" i="2"/>
  <c r="J7206" i="2"/>
  <c r="I7206" i="2"/>
  <c r="A7206" i="2"/>
  <c r="K7205" i="2"/>
  <c r="J7205" i="2"/>
  <c r="I7205" i="2"/>
  <c r="A7205" i="2"/>
  <c r="K7204" i="2"/>
  <c r="J7204" i="2"/>
  <c r="I7204" i="2"/>
  <c r="A7204" i="2"/>
  <c r="K7203" i="2"/>
  <c r="J7203" i="2"/>
  <c r="I7203" i="2"/>
  <c r="A7203" i="2"/>
  <c r="K7202" i="2"/>
  <c r="J7202" i="2"/>
  <c r="I7202" i="2"/>
  <c r="A7202" i="2"/>
  <c r="K7201" i="2"/>
  <c r="J7201" i="2"/>
  <c r="I7201" i="2"/>
  <c r="A7201" i="2"/>
  <c r="K7200" i="2"/>
  <c r="J7200" i="2"/>
  <c r="I7200" i="2"/>
  <c r="A7200" i="2"/>
  <c r="K7199" i="2"/>
  <c r="J7199" i="2"/>
  <c r="I7199" i="2"/>
  <c r="A7199" i="2"/>
  <c r="K7198" i="2"/>
  <c r="J7198" i="2"/>
  <c r="I7198" i="2"/>
  <c r="A7198" i="2"/>
  <c r="K7197" i="2"/>
  <c r="J7197" i="2"/>
  <c r="I7197" i="2"/>
  <c r="A7197" i="2"/>
  <c r="K7196" i="2"/>
  <c r="J7196" i="2"/>
  <c r="I7196" i="2"/>
  <c r="A7196" i="2"/>
  <c r="K7195" i="2"/>
  <c r="J7195" i="2"/>
  <c r="I7195" i="2"/>
  <c r="A7195" i="2"/>
  <c r="K7194" i="2"/>
  <c r="J7194" i="2"/>
  <c r="I7194" i="2"/>
  <c r="A7194" i="2"/>
  <c r="K7193" i="2"/>
  <c r="J7193" i="2"/>
  <c r="I7193" i="2"/>
  <c r="A7193" i="2"/>
  <c r="K7192" i="2"/>
  <c r="J7192" i="2"/>
  <c r="I7192" i="2"/>
  <c r="A7192" i="2"/>
  <c r="K7191" i="2"/>
  <c r="J7191" i="2"/>
  <c r="I7191" i="2"/>
  <c r="A7191" i="2"/>
  <c r="K7190" i="2"/>
  <c r="J7190" i="2"/>
  <c r="I7190" i="2"/>
  <c r="A7190" i="2"/>
  <c r="K7189" i="2"/>
  <c r="J7189" i="2"/>
  <c r="I7189" i="2"/>
  <c r="A7189" i="2"/>
  <c r="J7188" i="2"/>
  <c r="I7188" i="2"/>
  <c r="K7187" i="2"/>
  <c r="J7187" i="2"/>
  <c r="I7187" i="2"/>
  <c r="A7187" i="2"/>
  <c r="K7186" i="2"/>
  <c r="J7186" i="2"/>
  <c r="I7186" i="2"/>
  <c r="A7186" i="2"/>
  <c r="K7185" i="2"/>
  <c r="J7185" i="2"/>
  <c r="I7185" i="2"/>
  <c r="A7185" i="2"/>
  <c r="K7184" i="2"/>
  <c r="J7184" i="2"/>
  <c r="I7184" i="2"/>
  <c r="A7184" i="2"/>
  <c r="K7183" i="2"/>
  <c r="J7183" i="2"/>
  <c r="I7183" i="2"/>
  <c r="A7183" i="2"/>
  <c r="K7182" i="2"/>
  <c r="J7182" i="2"/>
  <c r="I7182" i="2"/>
  <c r="A7182" i="2"/>
  <c r="K7181" i="2"/>
  <c r="J7181" i="2"/>
  <c r="I7181" i="2"/>
  <c r="A7181" i="2"/>
  <c r="K7180" i="2"/>
  <c r="J7180" i="2"/>
  <c r="I7180" i="2"/>
  <c r="A7180" i="2"/>
  <c r="K7179" i="2"/>
  <c r="J7179" i="2"/>
  <c r="I7179" i="2"/>
  <c r="A7179" i="2"/>
  <c r="K7178" i="2"/>
  <c r="J7178" i="2"/>
  <c r="I7178" i="2"/>
  <c r="A7178" i="2"/>
  <c r="K7177" i="2"/>
  <c r="J7177" i="2"/>
  <c r="I7177" i="2"/>
  <c r="A7177" i="2"/>
  <c r="K7176" i="2"/>
  <c r="J7176" i="2"/>
  <c r="I7176" i="2"/>
  <c r="A7176" i="2"/>
  <c r="K7175" i="2"/>
  <c r="J7175" i="2"/>
  <c r="I7175" i="2"/>
  <c r="A7175" i="2"/>
  <c r="K7174" i="2"/>
  <c r="J7174" i="2"/>
  <c r="I7174" i="2"/>
  <c r="A7174" i="2"/>
  <c r="K7173" i="2"/>
  <c r="J7173" i="2"/>
  <c r="I7173" i="2"/>
  <c r="A7173" i="2"/>
  <c r="K7172" i="2"/>
  <c r="J7172" i="2"/>
  <c r="I7172" i="2"/>
  <c r="A7172" i="2"/>
  <c r="K7171" i="2"/>
  <c r="J7171" i="2"/>
  <c r="I7171" i="2"/>
  <c r="A7171" i="2"/>
  <c r="K7170" i="2"/>
  <c r="J7170" i="2"/>
  <c r="I7170" i="2"/>
  <c r="A7170" i="2"/>
  <c r="K7169" i="2"/>
  <c r="J7169" i="2"/>
  <c r="I7169" i="2"/>
  <c r="A7169" i="2"/>
  <c r="K7168" i="2"/>
  <c r="J7168" i="2"/>
  <c r="I7168" i="2"/>
  <c r="A7168" i="2"/>
  <c r="K7167" i="2"/>
  <c r="J7167" i="2"/>
  <c r="I7167" i="2"/>
  <c r="A7167" i="2"/>
  <c r="K7166" i="2"/>
  <c r="J7166" i="2"/>
  <c r="I7166" i="2"/>
  <c r="A7166" i="2"/>
  <c r="K7165" i="2"/>
  <c r="J7165" i="2"/>
  <c r="I7165" i="2"/>
  <c r="A7165" i="2"/>
  <c r="K7164" i="2"/>
  <c r="J7164" i="2"/>
  <c r="I7164" i="2"/>
  <c r="A7164" i="2"/>
  <c r="K7163" i="2"/>
  <c r="J7163" i="2"/>
  <c r="I7163" i="2"/>
  <c r="A7163" i="2"/>
  <c r="K7162" i="2"/>
  <c r="J7162" i="2"/>
  <c r="I7162" i="2"/>
  <c r="A7162" i="2"/>
  <c r="K7161" i="2"/>
  <c r="J7161" i="2"/>
  <c r="I7161" i="2"/>
  <c r="A7161" i="2"/>
  <c r="K7160" i="2"/>
  <c r="J7160" i="2"/>
  <c r="I7160" i="2"/>
  <c r="A7160" i="2"/>
  <c r="K7159" i="2"/>
  <c r="J7159" i="2"/>
  <c r="I7159" i="2"/>
  <c r="A7159" i="2"/>
  <c r="K7158" i="2"/>
  <c r="J7158" i="2"/>
  <c r="I7158" i="2"/>
  <c r="A7158" i="2"/>
  <c r="K7157" i="2"/>
  <c r="J7157" i="2"/>
  <c r="I7157" i="2"/>
  <c r="A7157" i="2"/>
  <c r="K7156" i="2"/>
  <c r="J7156" i="2"/>
  <c r="I7156" i="2"/>
  <c r="A7156" i="2"/>
  <c r="K7155" i="2"/>
  <c r="J7155" i="2"/>
  <c r="I7155" i="2"/>
  <c r="A7155" i="2"/>
  <c r="J7154" i="2"/>
  <c r="I7154" i="2"/>
  <c r="K7153" i="2"/>
  <c r="J7153" i="2"/>
  <c r="I7153" i="2"/>
  <c r="A7153" i="2"/>
  <c r="K7152" i="2"/>
  <c r="J7152" i="2"/>
  <c r="I7152" i="2"/>
  <c r="A7152" i="2"/>
  <c r="K7151" i="2"/>
  <c r="J7151" i="2"/>
  <c r="I7151" i="2"/>
  <c r="A7151" i="2"/>
  <c r="K7150" i="2"/>
  <c r="J7150" i="2"/>
  <c r="I7150" i="2"/>
  <c r="A7150" i="2"/>
  <c r="K7149" i="2"/>
  <c r="J7149" i="2"/>
  <c r="I7149" i="2"/>
  <c r="A7149" i="2"/>
  <c r="K7148" i="2"/>
  <c r="J7148" i="2"/>
  <c r="I7148" i="2"/>
  <c r="A7148" i="2"/>
  <c r="K7147" i="2"/>
  <c r="J7147" i="2"/>
  <c r="I7147" i="2"/>
  <c r="A7147" i="2"/>
  <c r="K7146" i="2"/>
  <c r="J7146" i="2"/>
  <c r="I7146" i="2"/>
  <c r="A7146" i="2"/>
  <c r="K7145" i="2"/>
  <c r="J7145" i="2"/>
  <c r="I7145" i="2"/>
  <c r="A7145" i="2"/>
  <c r="K7144" i="2"/>
  <c r="J7144" i="2"/>
  <c r="I7144" i="2"/>
  <c r="A7144" i="2"/>
  <c r="K7143" i="2"/>
  <c r="J7143" i="2"/>
  <c r="I7143" i="2"/>
  <c r="A7143" i="2"/>
  <c r="K7142" i="2"/>
  <c r="J7142" i="2"/>
  <c r="I7142" i="2"/>
  <c r="A7142" i="2"/>
  <c r="K7141" i="2"/>
  <c r="J7141" i="2"/>
  <c r="I7141" i="2"/>
  <c r="A7141" i="2"/>
  <c r="K7140" i="2"/>
  <c r="J7140" i="2"/>
  <c r="I7140" i="2"/>
  <c r="A7140" i="2"/>
  <c r="K7139" i="2"/>
  <c r="J7139" i="2"/>
  <c r="I7139" i="2"/>
  <c r="A7139" i="2"/>
  <c r="K7138" i="2"/>
  <c r="J7138" i="2"/>
  <c r="I7138" i="2"/>
  <c r="A7138" i="2"/>
  <c r="K7137" i="2"/>
  <c r="J7137" i="2"/>
  <c r="I7137" i="2"/>
  <c r="A7137" i="2"/>
  <c r="K7136" i="2"/>
  <c r="J7136" i="2"/>
  <c r="I7136" i="2"/>
  <c r="A7136" i="2"/>
  <c r="K7135" i="2"/>
  <c r="J7135" i="2"/>
  <c r="I7135" i="2"/>
  <c r="A7135" i="2"/>
  <c r="K7134" i="2"/>
  <c r="J7134" i="2"/>
  <c r="I7134" i="2"/>
  <c r="A7134" i="2"/>
  <c r="J7133" i="2"/>
  <c r="I7133" i="2"/>
  <c r="K7132" i="2"/>
  <c r="J7132" i="2"/>
  <c r="I7132" i="2"/>
  <c r="A7132" i="2"/>
  <c r="K7131" i="2"/>
  <c r="J7131" i="2"/>
  <c r="I7131" i="2"/>
  <c r="A7131" i="2"/>
  <c r="J7130" i="2"/>
  <c r="I7130" i="2"/>
  <c r="K7129" i="2"/>
  <c r="J7129" i="2"/>
  <c r="I7129" i="2"/>
  <c r="A7129" i="2"/>
  <c r="K7128" i="2"/>
  <c r="J7128" i="2"/>
  <c r="I7128" i="2"/>
  <c r="A7128" i="2"/>
  <c r="K7127" i="2"/>
  <c r="J7127" i="2"/>
  <c r="I7127" i="2"/>
  <c r="A7127" i="2"/>
  <c r="K7126" i="2"/>
  <c r="J7126" i="2"/>
  <c r="I7126" i="2"/>
  <c r="A7126" i="2"/>
  <c r="K7125" i="2"/>
  <c r="J7125" i="2"/>
  <c r="I7125" i="2"/>
  <c r="A7125" i="2"/>
  <c r="K7124" i="2"/>
  <c r="J7124" i="2"/>
  <c r="I7124" i="2"/>
  <c r="A7124" i="2"/>
  <c r="K7123" i="2"/>
  <c r="J7123" i="2"/>
  <c r="I7123" i="2"/>
  <c r="A7123" i="2"/>
  <c r="K7122" i="2"/>
  <c r="J7122" i="2"/>
  <c r="I7122" i="2"/>
  <c r="A7122" i="2"/>
  <c r="K7121" i="2"/>
  <c r="J7121" i="2"/>
  <c r="I7121" i="2"/>
  <c r="A7121" i="2"/>
  <c r="K7120" i="2"/>
  <c r="J7120" i="2"/>
  <c r="I7120" i="2"/>
  <c r="A7120" i="2"/>
  <c r="K7119" i="2"/>
  <c r="J7119" i="2"/>
  <c r="I7119" i="2"/>
  <c r="A7119" i="2"/>
  <c r="K7118" i="2"/>
  <c r="J7118" i="2"/>
  <c r="I7118" i="2"/>
  <c r="A7118" i="2"/>
  <c r="K7117" i="2"/>
  <c r="J7117" i="2"/>
  <c r="I7117" i="2"/>
  <c r="A7117" i="2"/>
  <c r="K7116" i="2"/>
  <c r="J7116" i="2"/>
  <c r="I7116" i="2"/>
  <c r="A7116" i="2"/>
  <c r="K7115" i="2"/>
  <c r="J7115" i="2"/>
  <c r="I7115" i="2"/>
  <c r="A7115" i="2"/>
  <c r="K7114" i="2"/>
  <c r="J7114" i="2"/>
  <c r="I7114" i="2"/>
  <c r="A7114" i="2"/>
  <c r="K7113" i="2"/>
  <c r="J7113" i="2"/>
  <c r="I7113" i="2"/>
  <c r="A7113" i="2"/>
  <c r="K7112" i="2"/>
  <c r="J7112" i="2"/>
  <c r="I7112" i="2"/>
  <c r="A7112" i="2"/>
  <c r="K7111" i="2"/>
  <c r="J7111" i="2"/>
  <c r="I7111" i="2"/>
  <c r="A7111" i="2"/>
  <c r="K7110" i="2"/>
  <c r="J7110" i="2"/>
  <c r="I7110" i="2"/>
  <c r="A7110" i="2"/>
  <c r="K7109" i="2"/>
  <c r="J7109" i="2"/>
  <c r="I7109" i="2"/>
  <c r="A7109" i="2"/>
  <c r="K7108" i="2"/>
  <c r="J7108" i="2"/>
  <c r="I7108" i="2"/>
  <c r="A7108" i="2"/>
  <c r="K7107" i="2"/>
  <c r="J7107" i="2"/>
  <c r="I7107" i="2"/>
  <c r="A7107" i="2"/>
  <c r="K7106" i="2"/>
  <c r="J7106" i="2"/>
  <c r="I7106" i="2"/>
  <c r="A7106" i="2"/>
  <c r="K7105" i="2"/>
  <c r="J7105" i="2"/>
  <c r="I7105" i="2"/>
  <c r="A7105" i="2"/>
  <c r="K7104" i="2"/>
  <c r="J7104" i="2"/>
  <c r="I7104" i="2"/>
  <c r="A7104" i="2"/>
  <c r="K7103" i="2"/>
  <c r="J7103" i="2"/>
  <c r="I7103" i="2"/>
  <c r="A7103" i="2"/>
  <c r="K7102" i="2"/>
  <c r="J7102" i="2"/>
  <c r="I7102" i="2"/>
  <c r="A7102" i="2"/>
  <c r="K7101" i="2"/>
  <c r="J7101" i="2"/>
  <c r="I7101" i="2"/>
  <c r="A7101" i="2"/>
  <c r="K7100" i="2"/>
  <c r="J7100" i="2"/>
  <c r="I7100" i="2"/>
  <c r="A7100" i="2"/>
  <c r="K7099" i="2"/>
  <c r="J7099" i="2"/>
  <c r="I7099" i="2"/>
  <c r="A7099" i="2"/>
  <c r="K7098" i="2"/>
  <c r="J7098" i="2"/>
  <c r="I7098" i="2"/>
  <c r="A7098" i="2"/>
  <c r="K7097" i="2"/>
  <c r="J7097" i="2"/>
  <c r="I7097" i="2"/>
  <c r="A7097" i="2"/>
  <c r="K7096" i="2"/>
  <c r="J7096" i="2"/>
  <c r="I7096" i="2"/>
  <c r="A7096" i="2"/>
  <c r="K7095" i="2"/>
  <c r="J7095" i="2"/>
  <c r="I7095" i="2"/>
  <c r="A7095" i="2"/>
  <c r="K7094" i="2"/>
  <c r="J7094" i="2"/>
  <c r="I7094" i="2"/>
  <c r="A7094" i="2"/>
  <c r="K7093" i="2"/>
  <c r="J7093" i="2"/>
  <c r="I7093" i="2"/>
  <c r="A7093" i="2"/>
  <c r="K7092" i="2"/>
  <c r="J7092" i="2"/>
  <c r="I7092" i="2"/>
  <c r="A7092" i="2"/>
  <c r="K7091" i="2"/>
  <c r="J7091" i="2"/>
  <c r="I7091" i="2"/>
  <c r="A7091" i="2"/>
  <c r="K7090" i="2"/>
  <c r="J7090" i="2"/>
  <c r="I7090" i="2"/>
  <c r="A7090" i="2"/>
  <c r="K7089" i="2"/>
  <c r="J7089" i="2"/>
  <c r="I7089" i="2"/>
  <c r="A7089" i="2"/>
  <c r="K7088" i="2"/>
  <c r="J7088" i="2"/>
  <c r="I7088" i="2"/>
  <c r="A7088" i="2"/>
  <c r="K7087" i="2"/>
  <c r="J7087" i="2"/>
  <c r="I7087" i="2"/>
  <c r="A7087" i="2"/>
  <c r="K7086" i="2"/>
  <c r="J7086" i="2"/>
  <c r="I7086" i="2"/>
  <c r="A7086" i="2"/>
  <c r="K7085" i="2"/>
  <c r="J7085" i="2"/>
  <c r="I7085" i="2"/>
  <c r="A7085" i="2"/>
  <c r="K7084" i="2"/>
  <c r="J7084" i="2"/>
  <c r="I7084" i="2"/>
  <c r="A7084" i="2"/>
  <c r="K7083" i="2"/>
  <c r="J7083" i="2"/>
  <c r="I7083" i="2"/>
  <c r="A7083" i="2"/>
  <c r="K7082" i="2"/>
  <c r="J7082" i="2"/>
  <c r="I7082" i="2"/>
  <c r="A7082" i="2"/>
  <c r="J7081" i="2"/>
  <c r="I7081" i="2"/>
  <c r="K7080" i="2"/>
  <c r="J7080" i="2"/>
  <c r="I7080" i="2"/>
  <c r="A7080" i="2"/>
  <c r="K7079" i="2"/>
  <c r="J7079" i="2"/>
  <c r="I7079" i="2"/>
  <c r="A7079" i="2"/>
  <c r="K7078" i="2"/>
  <c r="J7078" i="2"/>
  <c r="I7078" i="2"/>
  <c r="A7078" i="2"/>
  <c r="J7077" i="2"/>
  <c r="I7077" i="2"/>
  <c r="K7076" i="2"/>
  <c r="J7076" i="2"/>
  <c r="I7076" i="2"/>
  <c r="A7076" i="2"/>
  <c r="K7075" i="2"/>
  <c r="J7075" i="2"/>
  <c r="I7075" i="2"/>
  <c r="A7075" i="2"/>
  <c r="K7074" i="2"/>
  <c r="J7074" i="2"/>
  <c r="I7074" i="2"/>
  <c r="A7074" i="2"/>
  <c r="K7073" i="2"/>
  <c r="J7073" i="2"/>
  <c r="I7073" i="2"/>
  <c r="A7073" i="2"/>
  <c r="K7072" i="2"/>
  <c r="J7072" i="2"/>
  <c r="I7072" i="2"/>
  <c r="A7072" i="2"/>
  <c r="K7071" i="2"/>
  <c r="J7071" i="2"/>
  <c r="I7071" i="2"/>
  <c r="A7071" i="2"/>
  <c r="K7070" i="2"/>
  <c r="J7070" i="2"/>
  <c r="I7070" i="2"/>
  <c r="A7070" i="2"/>
  <c r="K7069" i="2"/>
  <c r="J7069" i="2"/>
  <c r="I7069" i="2"/>
  <c r="A7069" i="2"/>
  <c r="K7068" i="2"/>
  <c r="J7068" i="2"/>
  <c r="I7068" i="2"/>
  <c r="A7068" i="2"/>
  <c r="K7067" i="2"/>
  <c r="J7067" i="2"/>
  <c r="I7067" i="2"/>
  <c r="A7067" i="2"/>
  <c r="K7066" i="2"/>
  <c r="J7066" i="2"/>
  <c r="I7066" i="2"/>
  <c r="A7066" i="2"/>
  <c r="K7065" i="2"/>
  <c r="J7065" i="2"/>
  <c r="I7065" i="2"/>
  <c r="A7065" i="2"/>
  <c r="K7064" i="2"/>
  <c r="J7064" i="2"/>
  <c r="I7064" i="2"/>
  <c r="A7064" i="2"/>
  <c r="K7063" i="2"/>
  <c r="J7063" i="2"/>
  <c r="I7063" i="2"/>
  <c r="A7063" i="2"/>
  <c r="J7062" i="2"/>
  <c r="I7062" i="2"/>
  <c r="K7061" i="2"/>
  <c r="J7061" i="2"/>
  <c r="I7061" i="2"/>
  <c r="A7061" i="2"/>
  <c r="K7060" i="2"/>
  <c r="J7060" i="2"/>
  <c r="I7060" i="2"/>
  <c r="A7060" i="2"/>
  <c r="K7059" i="2"/>
  <c r="J7059" i="2"/>
  <c r="I7059" i="2"/>
  <c r="A7059" i="2"/>
  <c r="K7058" i="2"/>
  <c r="J7058" i="2"/>
  <c r="I7058" i="2"/>
  <c r="A7058" i="2"/>
  <c r="K7057" i="2"/>
  <c r="J7057" i="2"/>
  <c r="I7057" i="2"/>
  <c r="A7057" i="2"/>
  <c r="K7056" i="2"/>
  <c r="J7056" i="2"/>
  <c r="I7056" i="2"/>
  <c r="A7056" i="2"/>
  <c r="K7055" i="2"/>
  <c r="J7055" i="2"/>
  <c r="I7055" i="2"/>
  <c r="A7055" i="2"/>
  <c r="K7054" i="2"/>
  <c r="J7054" i="2"/>
  <c r="I7054" i="2"/>
  <c r="A7054" i="2"/>
  <c r="J7053" i="2"/>
  <c r="I7053" i="2"/>
  <c r="K7052" i="2"/>
  <c r="J7052" i="2"/>
  <c r="I7052" i="2"/>
  <c r="A7052" i="2"/>
  <c r="K7051" i="2"/>
  <c r="J7051" i="2"/>
  <c r="I7051" i="2"/>
  <c r="A7051" i="2"/>
  <c r="K7050" i="2"/>
  <c r="J7050" i="2"/>
  <c r="I7050" i="2"/>
  <c r="A7050" i="2"/>
  <c r="K7049" i="2"/>
  <c r="J7049" i="2"/>
  <c r="I7049" i="2"/>
  <c r="A7049" i="2"/>
  <c r="J7048" i="2"/>
  <c r="I7048" i="2"/>
  <c r="K7047" i="2"/>
  <c r="J7047" i="2"/>
  <c r="I7047" i="2"/>
  <c r="A7047" i="2"/>
  <c r="K7046" i="2"/>
  <c r="J7046" i="2"/>
  <c r="I7046" i="2"/>
  <c r="A7046" i="2"/>
  <c r="J7045" i="2"/>
  <c r="I7045" i="2"/>
  <c r="K7044" i="2"/>
  <c r="J7044" i="2"/>
  <c r="I7044" i="2"/>
  <c r="A7044" i="2"/>
  <c r="K7043" i="2"/>
  <c r="J7043" i="2"/>
  <c r="I7043" i="2"/>
  <c r="A7043" i="2"/>
  <c r="K7042" i="2"/>
  <c r="J7042" i="2"/>
  <c r="I7042" i="2"/>
  <c r="A7042" i="2"/>
  <c r="K7041" i="2"/>
  <c r="J7041" i="2"/>
  <c r="I7041" i="2"/>
  <c r="A7041" i="2"/>
  <c r="K7040" i="2"/>
  <c r="J7040" i="2"/>
  <c r="I7040" i="2"/>
  <c r="A7040" i="2"/>
  <c r="K7039" i="2"/>
  <c r="J7039" i="2"/>
  <c r="I7039" i="2"/>
  <c r="A7039" i="2"/>
  <c r="K7038" i="2"/>
  <c r="J7038" i="2"/>
  <c r="I7038" i="2"/>
  <c r="A7038" i="2"/>
  <c r="K7037" i="2"/>
  <c r="J7037" i="2"/>
  <c r="I7037" i="2"/>
  <c r="A7037" i="2"/>
  <c r="J7036" i="2"/>
  <c r="I7036" i="2"/>
  <c r="J7035" i="2"/>
  <c r="I7035" i="2"/>
  <c r="K7034" i="2"/>
  <c r="J7034" i="2"/>
  <c r="I7034" i="2"/>
  <c r="A7034" i="2"/>
  <c r="J7033" i="2"/>
  <c r="I7033" i="2"/>
  <c r="K7032" i="2"/>
  <c r="J7032" i="2"/>
  <c r="I7032" i="2"/>
  <c r="A7032" i="2"/>
  <c r="J7031" i="2"/>
  <c r="I7031" i="2"/>
  <c r="J7030" i="2"/>
  <c r="I7030" i="2"/>
  <c r="K7029" i="2"/>
  <c r="J7029" i="2"/>
  <c r="I7029" i="2"/>
  <c r="A7029" i="2"/>
  <c r="J7028" i="2"/>
  <c r="I7028" i="2"/>
  <c r="K7027" i="2"/>
  <c r="J7027" i="2"/>
  <c r="I7027" i="2"/>
  <c r="A7027" i="2"/>
  <c r="K7026" i="2"/>
  <c r="J7026" i="2"/>
  <c r="I7026" i="2"/>
  <c r="A7026" i="2"/>
  <c r="K7025" i="2"/>
  <c r="J7025" i="2"/>
  <c r="I7025" i="2"/>
  <c r="A7025" i="2"/>
  <c r="J7024" i="2"/>
  <c r="I7024" i="2"/>
  <c r="K7023" i="2"/>
  <c r="J7023" i="2"/>
  <c r="I7023" i="2"/>
  <c r="A7023" i="2"/>
  <c r="K7022" i="2"/>
  <c r="J7022" i="2"/>
  <c r="I7022" i="2"/>
  <c r="A7022" i="2"/>
  <c r="K7021" i="2"/>
  <c r="J7021" i="2"/>
  <c r="I7021" i="2"/>
  <c r="A7021" i="2"/>
  <c r="J7020" i="2"/>
  <c r="I7020" i="2"/>
  <c r="K7019" i="2"/>
  <c r="J7019" i="2"/>
  <c r="I7019" i="2"/>
  <c r="A7019" i="2"/>
  <c r="K7018" i="2"/>
  <c r="J7018" i="2"/>
  <c r="I7018" i="2"/>
  <c r="A7018" i="2"/>
  <c r="K7017" i="2"/>
  <c r="J7017" i="2"/>
  <c r="I7017" i="2"/>
  <c r="A7017" i="2"/>
  <c r="K7016" i="2"/>
  <c r="J7016" i="2"/>
  <c r="I7016" i="2"/>
  <c r="A7016" i="2"/>
  <c r="K7015" i="2"/>
  <c r="J7015" i="2"/>
  <c r="I7015" i="2"/>
  <c r="A7015" i="2"/>
  <c r="K7014" i="2"/>
  <c r="J7014" i="2"/>
  <c r="I7014" i="2"/>
  <c r="A7014" i="2"/>
  <c r="K7013" i="2"/>
  <c r="J7013" i="2"/>
  <c r="I7013" i="2"/>
  <c r="A7013" i="2"/>
  <c r="K7012" i="2"/>
  <c r="J7012" i="2"/>
  <c r="I7012" i="2"/>
  <c r="A7012" i="2"/>
  <c r="K7011" i="2"/>
  <c r="J7011" i="2"/>
  <c r="I7011" i="2"/>
  <c r="A7011" i="2"/>
  <c r="K7010" i="2"/>
  <c r="J7010" i="2"/>
  <c r="I7010" i="2"/>
  <c r="A7010" i="2"/>
  <c r="K7009" i="2"/>
  <c r="J7009" i="2"/>
  <c r="I7009" i="2"/>
  <c r="A7009" i="2"/>
  <c r="K7008" i="2"/>
  <c r="J7008" i="2"/>
  <c r="I7008" i="2"/>
  <c r="A7008" i="2"/>
  <c r="K7007" i="2"/>
  <c r="J7007" i="2"/>
  <c r="I7007" i="2"/>
  <c r="A7007" i="2"/>
  <c r="K7006" i="2"/>
  <c r="J7006" i="2"/>
  <c r="I7006" i="2"/>
  <c r="A7006" i="2"/>
  <c r="K7005" i="2"/>
  <c r="J7005" i="2"/>
  <c r="I7005" i="2"/>
  <c r="A7005" i="2"/>
  <c r="K7004" i="2"/>
  <c r="J7004" i="2"/>
  <c r="I7004" i="2"/>
  <c r="A7004" i="2"/>
  <c r="K7003" i="2"/>
  <c r="J7003" i="2"/>
  <c r="I7003" i="2"/>
  <c r="A7003" i="2"/>
  <c r="K7002" i="2"/>
  <c r="J7002" i="2"/>
  <c r="I7002" i="2"/>
  <c r="A7002" i="2"/>
  <c r="K7001" i="2"/>
  <c r="J7001" i="2"/>
  <c r="I7001" i="2"/>
  <c r="A7001" i="2"/>
  <c r="K7000" i="2"/>
  <c r="J7000" i="2"/>
  <c r="I7000" i="2"/>
  <c r="A7000" i="2"/>
  <c r="K6999" i="2"/>
  <c r="J6999" i="2"/>
  <c r="I6999" i="2"/>
  <c r="A6999" i="2"/>
  <c r="K6998" i="2"/>
  <c r="J6998" i="2"/>
  <c r="I6998" i="2"/>
  <c r="A6998" i="2"/>
  <c r="K6997" i="2"/>
  <c r="J6997" i="2"/>
  <c r="I6997" i="2"/>
  <c r="A6997" i="2"/>
  <c r="K6996" i="2"/>
  <c r="J6996" i="2"/>
  <c r="I6996" i="2"/>
  <c r="A6996" i="2"/>
  <c r="K6995" i="2"/>
  <c r="J6995" i="2"/>
  <c r="I6995" i="2"/>
  <c r="A6995" i="2"/>
  <c r="K6994" i="2"/>
  <c r="J6994" i="2"/>
  <c r="I6994" i="2"/>
  <c r="A6994" i="2"/>
  <c r="K6993" i="2"/>
  <c r="J6993" i="2"/>
  <c r="I6993" i="2"/>
  <c r="A6993" i="2"/>
  <c r="K6992" i="2"/>
  <c r="J6992" i="2"/>
  <c r="I6992" i="2"/>
  <c r="A6992" i="2"/>
  <c r="K6991" i="2"/>
  <c r="J6991" i="2"/>
  <c r="I6991" i="2"/>
  <c r="A6991" i="2"/>
  <c r="K6990" i="2"/>
  <c r="J6990" i="2"/>
  <c r="I6990" i="2"/>
  <c r="A6990" i="2"/>
  <c r="K6989" i="2"/>
  <c r="J6989" i="2"/>
  <c r="I6989" i="2"/>
  <c r="A6989" i="2"/>
  <c r="K6988" i="2"/>
  <c r="J6988" i="2"/>
  <c r="I6988" i="2"/>
  <c r="A6988" i="2"/>
  <c r="K6987" i="2"/>
  <c r="J6987" i="2"/>
  <c r="I6987" i="2"/>
  <c r="A6987" i="2"/>
  <c r="K6986" i="2"/>
  <c r="J6986" i="2"/>
  <c r="I6986" i="2"/>
  <c r="A6986" i="2"/>
  <c r="K6985" i="2"/>
  <c r="J6985" i="2"/>
  <c r="I6985" i="2"/>
  <c r="A6985" i="2"/>
  <c r="K6984" i="2"/>
  <c r="J6984" i="2"/>
  <c r="I6984" i="2"/>
  <c r="A6984" i="2"/>
  <c r="K6983" i="2"/>
  <c r="J6983" i="2"/>
  <c r="I6983" i="2"/>
  <c r="A6983" i="2"/>
  <c r="K6982" i="2"/>
  <c r="J6982" i="2"/>
  <c r="I6982" i="2"/>
  <c r="A6982" i="2"/>
  <c r="K6981" i="2"/>
  <c r="J6981" i="2"/>
  <c r="I6981" i="2"/>
  <c r="A6981" i="2"/>
  <c r="K6980" i="2"/>
  <c r="J6980" i="2"/>
  <c r="I6980" i="2"/>
  <c r="A6980" i="2"/>
  <c r="K6979" i="2"/>
  <c r="J6979" i="2"/>
  <c r="I6979" i="2"/>
  <c r="A6979" i="2"/>
  <c r="K6978" i="2"/>
  <c r="J6978" i="2"/>
  <c r="I6978" i="2"/>
  <c r="A6978" i="2"/>
  <c r="K6977" i="2"/>
  <c r="J6977" i="2"/>
  <c r="I6977" i="2"/>
  <c r="A6977" i="2"/>
  <c r="K6976" i="2"/>
  <c r="J6976" i="2"/>
  <c r="I6976" i="2"/>
  <c r="A6976" i="2"/>
  <c r="K6975" i="2"/>
  <c r="J6975" i="2"/>
  <c r="I6975" i="2"/>
  <c r="A6975" i="2"/>
  <c r="K6974" i="2"/>
  <c r="J6974" i="2"/>
  <c r="I6974" i="2"/>
  <c r="A6974" i="2"/>
  <c r="K6973" i="2"/>
  <c r="J6973" i="2"/>
  <c r="I6973" i="2"/>
  <c r="A6973" i="2"/>
  <c r="K6972" i="2"/>
  <c r="J6972" i="2"/>
  <c r="I6972" i="2"/>
  <c r="A6972" i="2"/>
  <c r="K6971" i="2"/>
  <c r="J6971" i="2"/>
  <c r="I6971" i="2"/>
  <c r="A6971" i="2"/>
  <c r="K6970" i="2"/>
  <c r="J6970" i="2"/>
  <c r="I6970" i="2"/>
  <c r="A6970" i="2"/>
  <c r="K6969" i="2"/>
  <c r="J6969" i="2"/>
  <c r="I6969" i="2"/>
  <c r="A6969" i="2"/>
  <c r="K6968" i="2"/>
  <c r="J6968" i="2"/>
  <c r="I6968" i="2"/>
  <c r="A6968" i="2"/>
  <c r="K6967" i="2"/>
  <c r="J6967" i="2"/>
  <c r="I6967" i="2"/>
  <c r="A6967" i="2"/>
  <c r="K6966" i="2"/>
  <c r="J6966" i="2"/>
  <c r="I6966" i="2"/>
  <c r="A6966" i="2"/>
  <c r="K6965" i="2"/>
  <c r="J6965" i="2"/>
  <c r="I6965" i="2"/>
  <c r="A6965" i="2"/>
  <c r="K6964" i="2"/>
  <c r="J6964" i="2"/>
  <c r="I6964" i="2"/>
  <c r="A6964" i="2"/>
  <c r="K6963" i="2"/>
  <c r="J6963" i="2"/>
  <c r="I6963" i="2"/>
  <c r="A6963" i="2"/>
  <c r="K6962" i="2"/>
  <c r="J6962" i="2"/>
  <c r="I6962" i="2"/>
  <c r="A6962" i="2"/>
  <c r="K6961" i="2"/>
  <c r="J6961" i="2"/>
  <c r="I6961" i="2"/>
  <c r="A6961" i="2"/>
  <c r="K6960" i="2"/>
  <c r="J6960" i="2"/>
  <c r="I6960" i="2"/>
  <c r="A6960" i="2"/>
  <c r="K6959" i="2"/>
  <c r="J6959" i="2"/>
  <c r="I6959" i="2"/>
  <c r="A6959" i="2"/>
  <c r="K6958" i="2"/>
  <c r="J6958" i="2"/>
  <c r="I6958" i="2"/>
  <c r="A6958" i="2"/>
  <c r="K6957" i="2"/>
  <c r="J6957" i="2"/>
  <c r="I6957" i="2"/>
  <c r="A6957" i="2"/>
  <c r="K6956" i="2"/>
  <c r="J6956" i="2"/>
  <c r="I6956" i="2"/>
  <c r="A6956" i="2"/>
  <c r="K6955" i="2"/>
  <c r="J6955" i="2"/>
  <c r="I6955" i="2"/>
  <c r="A6955" i="2"/>
  <c r="K6954" i="2"/>
  <c r="J6954" i="2"/>
  <c r="I6954" i="2"/>
  <c r="A6954" i="2"/>
  <c r="K6953" i="2"/>
  <c r="J6953" i="2"/>
  <c r="I6953" i="2"/>
  <c r="A6953" i="2"/>
  <c r="K6952" i="2"/>
  <c r="J6952" i="2"/>
  <c r="I6952" i="2"/>
  <c r="A6952" i="2"/>
  <c r="K6951" i="2"/>
  <c r="J6951" i="2"/>
  <c r="I6951" i="2"/>
  <c r="A6951" i="2"/>
  <c r="K6950" i="2"/>
  <c r="J6950" i="2"/>
  <c r="I6950" i="2"/>
  <c r="A6950" i="2"/>
  <c r="K6949" i="2"/>
  <c r="J6949" i="2"/>
  <c r="I6949" i="2"/>
  <c r="A6949" i="2"/>
  <c r="K6948" i="2"/>
  <c r="J6948" i="2"/>
  <c r="I6948" i="2"/>
  <c r="A6948" i="2"/>
  <c r="K6947" i="2"/>
  <c r="J6947" i="2"/>
  <c r="I6947" i="2"/>
  <c r="A6947" i="2"/>
  <c r="K6946" i="2"/>
  <c r="J6946" i="2"/>
  <c r="I6946" i="2"/>
  <c r="A6946" i="2"/>
  <c r="K6945" i="2"/>
  <c r="J6945" i="2"/>
  <c r="I6945" i="2"/>
  <c r="A6945" i="2"/>
  <c r="K6944" i="2"/>
  <c r="J6944" i="2"/>
  <c r="I6944" i="2"/>
  <c r="A6944" i="2"/>
  <c r="K6943" i="2"/>
  <c r="J6943" i="2"/>
  <c r="I6943" i="2"/>
  <c r="A6943" i="2"/>
  <c r="K6942" i="2"/>
  <c r="J6942" i="2"/>
  <c r="I6942" i="2"/>
  <c r="A6942" i="2"/>
  <c r="K6941" i="2"/>
  <c r="J6941" i="2"/>
  <c r="I6941" i="2"/>
  <c r="A6941" i="2"/>
  <c r="K6940" i="2"/>
  <c r="J6940" i="2"/>
  <c r="I6940" i="2"/>
  <c r="A6940" i="2"/>
  <c r="K6939" i="2"/>
  <c r="J6939" i="2"/>
  <c r="I6939" i="2"/>
  <c r="A6939" i="2"/>
  <c r="K6938" i="2"/>
  <c r="J6938" i="2"/>
  <c r="I6938" i="2"/>
  <c r="A6938" i="2"/>
  <c r="K6937" i="2"/>
  <c r="J6937" i="2"/>
  <c r="I6937" i="2"/>
  <c r="A6937" i="2"/>
  <c r="K6936" i="2"/>
  <c r="J6936" i="2"/>
  <c r="I6936" i="2"/>
  <c r="A6936" i="2"/>
  <c r="K6935" i="2"/>
  <c r="J6935" i="2"/>
  <c r="I6935" i="2"/>
  <c r="A6935" i="2"/>
  <c r="K6934" i="2"/>
  <c r="J6934" i="2"/>
  <c r="I6934" i="2"/>
  <c r="A6934" i="2"/>
  <c r="K6933" i="2"/>
  <c r="J6933" i="2"/>
  <c r="I6933" i="2"/>
  <c r="A6933" i="2"/>
  <c r="K6932" i="2"/>
  <c r="J6932" i="2"/>
  <c r="I6932" i="2"/>
  <c r="A6932" i="2"/>
  <c r="K6931" i="2"/>
  <c r="J6931" i="2"/>
  <c r="I6931" i="2"/>
  <c r="A6931" i="2"/>
  <c r="K6930" i="2"/>
  <c r="J6930" i="2"/>
  <c r="I6930" i="2"/>
  <c r="A6930" i="2"/>
  <c r="K6929" i="2"/>
  <c r="J6929" i="2"/>
  <c r="I6929" i="2"/>
  <c r="A6929" i="2"/>
  <c r="K6928" i="2"/>
  <c r="J6928" i="2"/>
  <c r="I6928" i="2"/>
  <c r="A6928" i="2"/>
  <c r="K6927" i="2"/>
  <c r="J6927" i="2"/>
  <c r="I6927" i="2"/>
  <c r="A6927" i="2"/>
  <c r="K6926" i="2"/>
  <c r="J6926" i="2"/>
  <c r="I6926" i="2"/>
  <c r="A6926" i="2"/>
  <c r="K6925" i="2"/>
  <c r="J6925" i="2"/>
  <c r="I6925" i="2"/>
  <c r="A6925" i="2"/>
  <c r="K6924" i="2"/>
  <c r="J6924" i="2"/>
  <c r="I6924" i="2"/>
  <c r="A6924" i="2"/>
  <c r="K6923" i="2"/>
  <c r="J6923" i="2"/>
  <c r="I6923" i="2"/>
  <c r="A6923" i="2"/>
  <c r="K6922" i="2"/>
  <c r="J6922" i="2"/>
  <c r="I6922" i="2"/>
  <c r="A6922" i="2"/>
  <c r="K6921" i="2"/>
  <c r="J6921" i="2"/>
  <c r="I6921" i="2"/>
  <c r="A6921" i="2"/>
  <c r="K6920" i="2"/>
  <c r="J6920" i="2"/>
  <c r="I6920" i="2"/>
  <c r="A6920" i="2"/>
  <c r="K6919" i="2"/>
  <c r="J6919" i="2"/>
  <c r="I6919" i="2"/>
  <c r="A6919" i="2"/>
  <c r="K6918" i="2"/>
  <c r="J6918" i="2"/>
  <c r="I6918" i="2"/>
  <c r="A6918" i="2"/>
  <c r="K6917" i="2"/>
  <c r="J6917" i="2"/>
  <c r="I6917" i="2"/>
  <c r="A6917" i="2"/>
  <c r="K6916" i="2"/>
  <c r="J6916" i="2"/>
  <c r="I6916" i="2"/>
  <c r="A6916" i="2"/>
  <c r="K6915" i="2"/>
  <c r="J6915" i="2"/>
  <c r="I6915" i="2"/>
  <c r="A6915" i="2"/>
  <c r="K6914" i="2"/>
  <c r="J6914" i="2"/>
  <c r="I6914" i="2"/>
  <c r="A6914" i="2"/>
  <c r="K6913" i="2"/>
  <c r="J6913" i="2"/>
  <c r="I6913" i="2"/>
  <c r="A6913" i="2"/>
  <c r="K6912" i="2"/>
  <c r="J6912" i="2"/>
  <c r="I6912" i="2"/>
  <c r="A6912" i="2"/>
  <c r="K6911" i="2"/>
  <c r="J6911" i="2"/>
  <c r="I6911" i="2"/>
  <c r="A6911" i="2"/>
  <c r="K6910" i="2"/>
  <c r="J6910" i="2"/>
  <c r="I6910" i="2"/>
  <c r="A6910" i="2"/>
  <c r="K6909" i="2"/>
  <c r="J6909" i="2"/>
  <c r="I6909" i="2"/>
  <c r="A6909" i="2"/>
  <c r="K6908" i="2"/>
  <c r="J6908" i="2"/>
  <c r="I6908" i="2"/>
  <c r="A6908" i="2"/>
  <c r="K6907" i="2"/>
  <c r="J6907" i="2"/>
  <c r="I6907" i="2"/>
  <c r="A6907" i="2"/>
  <c r="K6906" i="2"/>
  <c r="J6906" i="2"/>
  <c r="I6906" i="2"/>
  <c r="A6906" i="2"/>
  <c r="K6905" i="2"/>
  <c r="J6905" i="2"/>
  <c r="I6905" i="2"/>
  <c r="A6905" i="2"/>
  <c r="K6904" i="2"/>
  <c r="J6904" i="2"/>
  <c r="I6904" i="2"/>
  <c r="A6904" i="2"/>
  <c r="K6903" i="2"/>
  <c r="J6903" i="2"/>
  <c r="I6903" i="2"/>
  <c r="A6903" i="2"/>
  <c r="K6902" i="2"/>
  <c r="J6902" i="2"/>
  <c r="I6902" i="2"/>
  <c r="A6902" i="2"/>
  <c r="K6901" i="2"/>
  <c r="J6901" i="2"/>
  <c r="I6901" i="2"/>
  <c r="A6901" i="2"/>
  <c r="K6900" i="2"/>
  <c r="J6900" i="2"/>
  <c r="I6900" i="2"/>
  <c r="A6900" i="2"/>
  <c r="K6899" i="2"/>
  <c r="J6899" i="2"/>
  <c r="I6899" i="2"/>
  <c r="A6899" i="2"/>
  <c r="K6898" i="2"/>
  <c r="J6898" i="2"/>
  <c r="I6898" i="2"/>
  <c r="A6898" i="2"/>
  <c r="K6897" i="2"/>
  <c r="J6897" i="2"/>
  <c r="I6897" i="2"/>
  <c r="A6897" i="2"/>
  <c r="K6896" i="2"/>
  <c r="J6896" i="2"/>
  <c r="I6896" i="2"/>
  <c r="A6896" i="2"/>
  <c r="K6895" i="2"/>
  <c r="J6895" i="2"/>
  <c r="I6895" i="2"/>
  <c r="A6895" i="2"/>
  <c r="K6894" i="2"/>
  <c r="J6894" i="2"/>
  <c r="I6894" i="2"/>
  <c r="A6894" i="2"/>
  <c r="K6893" i="2"/>
  <c r="J6893" i="2"/>
  <c r="I6893" i="2"/>
  <c r="A6893" i="2"/>
  <c r="K6892" i="2"/>
  <c r="J6892" i="2"/>
  <c r="I6892" i="2"/>
  <c r="A6892" i="2"/>
  <c r="K6891" i="2"/>
  <c r="J6891" i="2"/>
  <c r="I6891" i="2"/>
  <c r="A6891" i="2"/>
  <c r="K6890" i="2"/>
  <c r="J6890" i="2"/>
  <c r="I6890" i="2"/>
  <c r="A6890" i="2"/>
  <c r="K6889" i="2"/>
  <c r="J6889" i="2"/>
  <c r="I6889" i="2"/>
  <c r="A6889" i="2"/>
  <c r="K6888" i="2"/>
  <c r="J6888" i="2"/>
  <c r="I6888" i="2"/>
  <c r="A6888" i="2"/>
  <c r="K6887" i="2"/>
  <c r="J6887" i="2"/>
  <c r="I6887" i="2"/>
  <c r="A6887" i="2"/>
  <c r="K6886" i="2"/>
  <c r="J6886" i="2"/>
  <c r="I6886" i="2"/>
  <c r="A6886" i="2"/>
  <c r="K6885" i="2"/>
  <c r="J6885" i="2"/>
  <c r="I6885" i="2"/>
  <c r="A6885" i="2"/>
  <c r="K6884" i="2"/>
  <c r="J6884" i="2"/>
  <c r="I6884" i="2"/>
  <c r="A6884" i="2"/>
  <c r="K6883" i="2"/>
  <c r="J6883" i="2"/>
  <c r="I6883" i="2"/>
  <c r="A6883" i="2"/>
  <c r="K6882" i="2"/>
  <c r="J6882" i="2"/>
  <c r="I6882" i="2"/>
  <c r="A6882" i="2"/>
  <c r="K6881" i="2"/>
  <c r="J6881" i="2"/>
  <c r="I6881" i="2"/>
  <c r="A6881" i="2"/>
  <c r="K6880" i="2"/>
  <c r="J6880" i="2"/>
  <c r="I6880" i="2"/>
  <c r="A6880" i="2"/>
  <c r="K6879" i="2"/>
  <c r="J6879" i="2"/>
  <c r="I6879" i="2"/>
  <c r="A6879" i="2"/>
  <c r="K6878" i="2"/>
  <c r="J6878" i="2"/>
  <c r="I6878" i="2"/>
  <c r="A6878" i="2"/>
  <c r="K6877" i="2"/>
  <c r="J6877" i="2"/>
  <c r="I6877" i="2"/>
  <c r="A6877" i="2"/>
  <c r="K6876" i="2"/>
  <c r="J6876" i="2"/>
  <c r="I6876" i="2"/>
  <c r="A6876" i="2"/>
  <c r="K6875" i="2"/>
  <c r="J6875" i="2"/>
  <c r="I6875" i="2"/>
  <c r="A6875" i="2"/>
  <c r="K6874" i="2"/>
  <c r="J6874" i="2"/>
  <c r="I6874" i="2"/>
  <c r="A6874" i="2"/>
  <c r="K6873" i="2"/>
  <c r="J6873" i="2"/>
  <c r="I6873" i="2"/>
  <c r="A6873" i="2"/>
  <c r="K6872" i="2"/>
  <c r="J6872" i="2"/>
  <c r="I6872" i="2"/>
  <c r="A6872" i="2"/>
  <c r="K6871" i="2"/>
  <c r="J6871" i="2"/>
  <c r="I6871" i="2"/>
  <c r="A6871" i="2"/>
  <c r="K6870" i="2"/>
  <c r="J6870" i="2"/>
  <c r="I6870" i="2"/>
  <c r="A6870" i="2"/>
  <c r="K6869" i="2"/>
  <c r="J6869" i="2"/>
  <c r="I6869" i="2"/>
  <c r="A6869" i="2"/>
  <c r="K6868" i="2"/>
  <c r="J6868" i="2"/>
  <c r="I6868" i="2"/>
  <c r="A6868" i="2"/>
  <c r="K6867" i="2"/>
  <c r="J6867" i="2"/>
  <c r="I6867" i="2"/>
  <c r="A6867" i="2"/>
  <c r="K6866" i="2"/>
  <c r="J6866" i="2"/>
  <c r="I6866" i="2"/>
  <c r="A6866" i="2"/>
  <c r="K6865" i="2"/>
  <c r="J6865" i="2"/>
  <c r="I6865" i="2"/>
  <c r="A6865" i="2"/>
  <c r="K6864" i="2"/>
  <c r="J6864" i="2"/>
  <c r="I6864" i="2"/>
  <c r="A6864" i="2"/>
  <c r="K6863" i="2"/>
  <c r="J6863" i="2"/>
  <c r="I6863" i="2"/>
  <c r="A6863" i="2"/>
  <c r="K6862" i="2"/>
  <c r="J6862" i="2"/>
  <c r="I6862" i="2"/>
  <c r="A6862" i="2"/>
  <c r="K6861" i="2"/>
  <c r="J6861" i="2"/>
  <c r="I6861" i="2"/>
  <c r="A6861" i="2"/>
  <c r="K6860" i="2"/>
  <c r="J6860" i="2"/>
  <c r="I6860" i="2"/>
  <c r="A6860" i="2"/>
  <c r="K6859" i="2"/>
  <c r="J6859" i="2"/>
  <c r="I6859" i="2"/>
  <c r="A6859" i="2"/>
  <c r="K6858" i="2"/>
  <c r="J6858" i="2"/>
  <c r="I6858" i="2"/>
  <c r="A6858" i="2"/>
  <c r="K6857" i="2"/>
  <c r="J6857" i="2"/>
  <c r="I6857" i="2"/>
  <c r="A6857" i="2"/>
  <c r="K6856" i="2"/>
  <c r="J6856" i="2"/>
  <c r="I6856" i="2"/>
  <c r="A6856" i="2"/>
  <c r="K6855" i="2"/>
  <c r="J6855" i="2"/>
  <c r="I6855" i="2"/>
  <c r="A6855" i="2"/>
  <c r="K6854" i="2"/>
  <c r="J6854" i="2"/>
  <c r="I6854" i="2"/>
  <c r="A6854" i="2"/>
  <c r="K6853" i="2"/>
  <c r="J6853" i="2"/>
  <c r="I6853" i="2"/>
  <c r="A6853" i="2"/>
  <c r="K6852" i="2"/>
  <c r="J6852" i="2"/>
  <c r="I6852" i="2"/>
  <c r="A6852" i="2"/>
  <c r="K6851" i="2"/>
  <c r="J6851" i="2"/>
  <c r="I6851" i="2"/>
  <c r="A6851" i="2"/>
  <c r="K6850" i="2"/>
  <c r="J6850" i="2"/>
  <c r="I6850" i="2"/>
  <c r="A6850" i="2"/>
  <c r="K6849" i="2"/>
  <c r="J6849" i="2"/>
  <c r="I6849" i="2"/>
  <c r="A6849" i="2"/>
  <c r="K6848" i="2"/>
  <c r="J6848" i="2"/>
  <c r="I6848" i="2"/>
  <c r="A6848" i="2"/>
  <c r="K6847" i="2"/>
  <c r="J6847" i="2"/>
  <c r="I6847" i="2"/>
  <c r="A6847" i="2"/>
  <c r="K6846" i="2"/>
  <c r="J6846" i="2"/>
  <c r="I6846" i="2"/>
  <c r="A6846" i="2"/>
  <c r="J6845" i="2"/>
  <c r="I6845" i="2"/>
  <c r="K6844" i="2"/>
  <c r="J6844" i="2"/>
  <c r="I6844" i="2"/>
  <c r="A6844" i="2"/>
  <c r="K6843" i="2"/>
  <c r="J6843" i="2"/>
  <c r="I6843" i="2"/>
  <c r="A6843" i="2"/>
  <c r="K6842" i="2"/>
  <c r="J6842" i="2"/>
  <c r="I6842" i="2"/>
  <c r="A6842" i="2"/>
  <c r="K6841" i="2"/>
  <c r="J6841" i="2"/>
  <c r="I6841" i="2"/>
  <c r="A6841" i="2"/>
  <c r="K6840" i="2"/>
  <c r="J6840" i="2"/>
  <c r="I6840" i="2"/>
  <c r="A6840" i="2"/>
  <c r="K6839" i="2"/>
  <c r="J6839" i="2"/>
  <c r="I6839" i="2"/>
  <c r="A6839" i="2"/>
  <c r="K6838" i="2"/>
  <c r="J6838" i="2"/>
  <c r="I6838" i="2"/>
  <c r="A6838" i="2"/>
  <c r="K6837" i="2"/>
  <c r="J6837" i="2"/>
  <c r="I6837" i="2"/>
  <c r="A6837" i="2"/>
  <c r="K6836" i="2"/>
  <c r="J6836" i="2"/>
  <c r="I6836" i="2"/>
  <c r="A6836" i="2"/>
  <c r="K6835" i="2"/>
  <c r="J6835" i="2"/>
  <c r="I6835" i="2"/>
  <c r="A6835" i="2"/>
  <c r="K6834" i="2"/>
  <c r="J6834" i="2"/>
  <c r="I6834" i="2"/>
  <c r="A6834" i="2"/>
  <c r="K6833" i="2"/>
  <c r="J6833" i="2"/>
  <c r="I6833" i="2"/>
  <c r="A6833" i="2"/>
  <c r="K6832" i="2"/>
  <c r="J6832" i="2"/>
  <c r="I6832" i="2"/>
  <c r="A6832" i="2"/>
  <c r="K6831" i="2"/>
  <c r="J6831" i="2"/>
  <c r="I6831" i="2"/>
  <c r="A6831" i="2"/>
  <c r="K6830" i="2"/>
  <c r="J6830" i="2"/>
  <c r="I6830" i="2"/>
  <c r="A6830" i="2"/>
  <c r="K6829" i="2"/>
  <c r="J6829" i="2"/>
  <c r="I6829" i="2"/>
  <c r="A6829" i="2"/>
  <c r="K6828" i="2"/>
  <c r="J6828" i="2"/>
  <c r="I6828" i="2"/>
  <c r="A6828" i="2"/>
  <c r="K6827" i="2"/>
  <c r="J6827" i="2"/>
  <c r="I6827" i="2"/>
  <c r="A6827" i="2"/>
  <c r="K6826" i="2"/>
  <c r="J6826" i="2"/>
  <c r="I6826" i="2"/>
  <c r="A6826" i="2"/>
  <c r="K6825" i="2"/>
  <c r="J6825" i="2"/>
  <c r="I6825" i="2"/>
  <c r="A6825" i="2"/>
  <c r="K6824" i="2"/>
  <c r="J6824" i="2"/>
  <c r="I6824" i="2"/>
  <c r="A6824" i="2"/>
  <c r="K6823" i="2"/>
  <c r="J6823" i="2"/>
  <c r="I6823" i="2"/>
  <c r="A6823" i="2"/>
  <c r="K6822" i="2"/>
  <c r="J6822" i="2"/>
  <c r="I6822" i="2"/>
  <c r="A6822" i="2"/>
  <c r="K6821" i="2"/>
  <c r="J6821" i="2"/>
  <c r="I6821" i="2"/>
  <c r="A6821" i="2"/>
  <c r="K6820" i="2"/>
  <c r="J6820" i="2"/>
  <c r="I6820" i="2"/>
  <c r="A6820" i="2"/>
  <c r="K6819" i="2"/>
  <c r="J6819" i="2"/>
  <c r="I6819" i="2"/>
  <c r="A6819" i="2"/>
  <c r="K6818" i="2"/>
  <c r="J6818" i="2"/>
  <c r="I6818" i="2"/>
  <c r="A6818" i="2"/>
  <c r="K6817" i="2"/>
  <c r="J6817" i="2"/>
  <c r="I6817" i="2"/>
  <c r="A6817" i="2"/>
  <c r="K6816" i="2"/>
  <c r="J6816" i="2"/>
  <c r="I6816" i="2"/>
  <c r="A6816" i="2"/>
  <c r="K6815" i="2"/>
  <c r="J6815" i="2"/>
  <c r="I6815" i="2"/>
  <c r="A6815" i="2"/>
  <c r="K6814" i="2"/>
  <c r="J6814" i="2"/>
  <c r="I6814" i="2"/>
  <c r="A6814" i="2"/>
  <c r="K6813" i="2"/>
  <c r="J6813" i="2"/>
  <c r="I6813" i="2"/>
  <c r="A6813" i="2"/>
  <c r="K6812" i="2"/>
  <c r="J6812" i="2"/>
  <c r="I6812" i="2"/>
  <c r="A6812" i="2"/>
  <c r="K6811" i="2"/>
  <c r="J6811" i="2"/>
  <c r="I6811" i="2"/>
  <c r="A6811" i="2"/>
  <c r="K6810" i="2"/>
  <c r="J6810" i="2"/>
  <c r="I6810" i="2"/>
  <c r="A6810" i="2"/>
  <c r="K6809" i="2"/>
  <c r="J6809" i="2"/>
  <c r="I6809" i="2"/>
  <c r="A6809" i="2"/>
  <c r="K6808" i="2"/>
  <c r="J6808" i="2"/>
  <c r="I6808" i="2"/>
  <c r="A6808" i="2"/>
  <c r="K6807" i="2"/>
  <c r="J6807" i="2"/>
  <c r="I6807" i="2"/>
  <c r="A6807" i="2"/>
  <c r="K6806" i="2"/>
  <c r="J6806" i="2"/>
  <c r="I6806" i="2"/>
  <c r="A6806" i="2"/>
  <c r="K6805" i="2"/>
  <c r="J6805" i="2"/>
  <c r="I6805" i="2"/>
  <c r="A6805" i="2"/>
  <c r="K6804" i="2"/>
  <c r="J6804" i="2"/>
  <c r="I6804" i="2"/>
  <c r="A6804" i="2"/>
  <c r="K6803" i="2"/>
  <c r="J6803" i="2"/>
  <c r="I6803" i="2"/>
  <c r="A6803" i="2"/>
  <c r="K6802" i="2"/>
  <c r="J6802" i="2"/>
  <c r="I6802" i="2"/>
  <c r="A6802" i="2"/>
  <c r="K6801" i="2"/>
  <c r="J6801" i="2"/>
  <c r="I6801" i="2"/>
  <c r="A6801" i="2"/>
  <c r="K6800" i="2"/>
  <c r="J6800" i="2"/>
  <c r="I6800" i="2"/>
  <c r="A6800" i="2"/>
  <c r="K6799" i="2"/>
  <c r="J6799" i="2"/>
  <c r="I6799" i="2"/>
  <c r="A6799" i="2"/>
  <c r="K6798" i="2"/>
  <c r="J6798" i="2"/>
  <c r="I6798" i="2"/>
  <c r="A6798" i="2"/>
  <c r="K6797" i="2"/>
  <c r="J6797" i="2"/>
  <c r="I6797" i="2"/>
  <c r="A6797" i="2"/>
  <c r="K6796" i="2"/>
  <c r="J6796" i="2"/>
  <c r="I6796" i="2"/>
  <c r="A6796" i="2"/>
  <c r="K6795" i="2"/>
  <c r="J6795" i="2"/>
  <c r="I6795" i="2"/>
  <c r="A6795" i="2"/>
  <c r="K6794" i="2"/>
  <c r="J6794" i="2"/>
  <c r="I6794" i="2"/>
  <c r="A6794" i="2"/>
  <c r="K6793" i="2"/>
  <c r="J6793" i="2"/>
  <c r="I6793" i="2"/>
  <c r="A6793" i="2"/>
  <c r="K6792" i="2"/>
  <c r="J6792" i="2"/>
  <c r="I6792" i="2"/>
  <c r="A6792" i="2"/>
  <c r="K6791" i="2"/>
  <c r="J6791" i="2"/>
  <c r="I6791" i="2"/>
  <c r="A6791" i="2"/>
  <c r="K6790" i="2"/>
  <c r="J6790" i="2"/>
  <c r="I6790" i="2"/>
  <c r="A6790" i="2"/>
  <c r="K6789" i="2"/>
  <c r="J6789" i="2"/>
  <c r="I6789" i="2"/>
  <c r="A6789" i="2"/>
  <c r="K6788" i="2"/>
  <c r="J6788" i="2"/>
  <c r="I6788" i="2"/>
  <c r="A6788" i="2"/>
  <c r="K6787" i="2"/>
  <c r="J6787" i="2"/>
  <c r="I6787" i="2"/>
  <c r="A6787" i="2"/>
  <c r="K6786" i="2"/>
  <c r="J6786" i="2"/>
  <c r="I6786" i="2"/>
  <c r="A6786" i="2"/>
  <c r="K6785" i="2"/>
  <c r="J6785" i="2"/>
  <c r="I6785" i="2"/>
  <c r="A6785" i="2"/>
  <c r="K6784" i="2"/>
  <c r="J6784" i="2"/>
  <c r="I6784" i="2"/>
  <c r="A6784" i="2"/>
  <c r="K6783" i="2"/>
  <c r="J6783" i="2"/>
  <c r="I6783" i="2"/>
  <c r="A6783" i="2"/>
  <c r="K6782" i="2"/>
  <c r="J6782" i="2"/>
  <c r="I6782" i="2"/>
  <c r="A6782" i="2"/>
  <c r="K6781" i="2"/>
  <c r="J6781" i="2"/>
  <c r="I6781" i="2"/>
  <c r="A6781" i="2"/>
  <c r="K6780" i="2"/>
  <c r="J6780" i="2"/>
  <c r="I6780" i="2"/>
  <c r="A6780" i="2"/>
  <c r="K6779" i="2"/>
  <c r="J6779" i="2"/>
  <c r="I6779" i="2"/>
  <c r="A6779" i="2"/>
  <c r="K6778" i="2"/>
  <c r="J6778" i="2"/>
  <c r="I6778" i="2"/>
  <c r="A6778" i="2"/>
  <c r="K6777" i="2"/>
  <c r="J6777" i="2"/>
  <c r="I6777" i="2"/>
  <c r="A6777" i="2"/>
  <c r="K6776" i="2"/>
  <c r="J6776" i="2"/>
  <c r="I6776" i="2"/>
  <c r="A6776" i="2"/>
  <c r="K6775" i="2"/>
  <c r="J6775" i="2"/>
  <c r="I6775" i="2"/>
  <c r="A6775" i="2"/>
  <c r="K6774" i="2"/>
  <c r="J6774" i="2"/>
  <c r="I6774" i="2"/>
  <c r="A6774" i="2"/>
  <c r="K6773" i="2"/>
  <c r="J6773" i="2"/>
  <c r="I6773" i="2"/>
  <c r="A6773" i="2"/>
  <c r="K6772" i="2"/>
  <c r="J6772" i="2"/>
  <c r="I6772" i="2"/>
  <c r="A6772" i="2"/>
  <c r="K6771" i="2"/>
  <c r="J6771" i="2"/>
  <c r="I6771" i="2"/>
  <c r="A6771" i="2"/>
  <c r="K6770" i="2"/>
  <c r="J6770" i="2"/>
  <c r="I6770" i="2"/>
  <c r="A6770" i="2"/>
  <c r="K6769" i="2"/>
  <c r="J6769" i="2"/>
  <c r="I6769" i="2"/>
  <c r="A6769" i="2"/>
  <c r="K6768" i="2"/>
  <c r="J6768" i="2"/>
  <c r="I6768" i="2"/>
  <c r="A6768" i="2"/>
  <c r="K6767" i="2"/>
  <c r="J6767" i="2"/>
  <c r="I6767" i="2"/>
  <c r="A6767" i="2"/>
  <c r="K6766" i="2"/>
  <c r="J6766" i="2"/>
  <c r="I6766" i="2"/>
  <c r="A6766" i="2"/>
  <c r="K6765" i="2"/>
  <c r="J6765" i="2"/>
  <c r="I6765" i="2"/>
  <c r="A6765" i="2"/>
  <c r="K6764" i="2"/>
  <c r="J6764" i="2"/>
  <c r="I6764" i="2"/>
  <c r="A6764" i="2"/>
  <c r="K6763" i="2"/>
  <c r="J6763" i="2"/>
  <c r="I6763" i="2"/>
  <c r="A6763" i="2"/>
  <c r="K6762" i="2"/>
  <c r="J6762" i="2"/>
  <c r="I6762" i="2"/>
  <c r="A6762" i="2"/>
  <c r="K6761" i="2"/>
  <c r="J6761" i="2"/>
  <c r="I6761" i="2"/>
  <c r="A6761" i="2"/>
  <c r="K6760" i="2"/>
  <c r="J6760" i="2"/>
  <c r="I6760" i="2"/>
  <c r="A6760" i="2"/>
  <c r="K6759" i="2"/>
  <c r="J6759" i="2"/>
  <c r="I6759" i="2"/>
  <c r="A6759" i="2"/>
  <c r="K6758" i="2"/>
  <c r="J6758" i="2"/>
  <c r="I6758" i="2"/>
  <c r="A6758" i="2"/>
  <c r="K6757" i="2"/>
  <c r="J6757" i="2"/>
  <c r="I6757" i="2"/>
  <c r="A6757" i="2"/>
  <c r="K6756" i="2"/>
  <c r="J6756" i="2"/>
  <c r="I6756" i="2"/>
  <c r="A6756" i="2"/>
  <c r="K6755" i="2"/>
  <c r="J6755" i="2"/>
  <c r="I6755" i="2"/>
  <c r="A6755" i="2"/>
  <c r="K6754" i="2"/>
  <c r="J6754" i="2"/>
  <c r="I6754" i="2"/>
  <c r="A6754" i="2"/>
  <c r="K6753" i="2"/>
  <c r="J6753" i="2"/>
  <c r="I6753" i="2"/>
  <c r="A6753" i="2"/>
  <c r="K6752" i="2"/>
  <c r="J6752" i="2"/>
  <c r="I6752" i="2"/>
  <c r="A6752" i="2"/>
  <c r="K6751" i="2"/>
  <c r="J6751" i="2"/>
  <c r="I6751" i="2"/>
  <c r="A6751" i="2"/>
  <c r="K6750" i="2"/>
  <c r="J6750" i="2"/>
  <c r="I6750" i="2"/>
  <c r="A6750" i="2"/>
  <c r="K6749" i="2"/>
  <c r="J6749" i="2"/>
  <c r="I6749" i="2"/>
  <c r="A6749" i="2"/>
  <c r="K6748" i="2"/>
  <c r="J6748" i="2"/>
  <c r="I6748" i="2"/>
  <c r="A6748" i="2"/>
  <c r="K6747" i="2"/>
  <c r="J6747" i="2"/>
  <c r="I6747" i="2"/>
  <c r="A6747" i="2"/>
  <c r="K6746" i="2"/>
  <c r="J6746" i="2"/>
  <c r="I6746" i="2"/>
  <c r="A6746" i="2"/>
  <c r="K6745" i="2"/>
  <c r="J6745" i="2"/>
  <c r="I6745" i="2"/>
  <c r="A6745" i="2"/>
  <c r="K6744" i="2"/>
  <c r="J6744" i="2"/>
  <c r="I6744" i="2"/>
  <c r="A6744" i="2"/>
  <c r="K6743" i="2"/>
  <c r="J6743" i="2"/>
  <c r="I6743" i="2"/>
  <c r="A6743" i="2"/>
  <c r="K6742" i="2"/>
  <c r="J6742" i="2"/>
  <c r="I6742" i="2"/>
  <c r="A6742" i="2"/>
  <c r="K6741" i="2"/>
  <c r="J6741" i="2"/>
  <c r="I6741" i="2"/>
  <c r="A6741" i="2"/>
  <c r="K6740" i="2"/>
  <c r="J6740" i="2"/>
  <c r="I6740" i="2"/>
  <c r="A6740" i="2"/>
  <c r="K6739" i="2"/>
  <c r="J6739" i="2"/>
  <c r="I6739" i="2"/>
  <c r="A6739" i="2"/>
  <c r="K6738" i="2"/>
  <c r="J6738" i="2"/>
  <c r="I6738" i="2"/>
  <c r="A6738" i="2"/>
  <c r="K6737" i="2"/>
  <c r="J6737" i="2"/>
  <c r="I6737" i="2"/>
  <c r="A6737" i="2"/>
  <c r="K6736" i="2"/>
  <c r="J6736" i="2"/>
  <c r="I6736" i="2"/>
  <c r="A6736" i="2"/>
  <c r="K6735" i="2"/>
  <c r="J6735" i="2"/>
  <c r="I6735" i="2"/>
  <c r="A6735" i="2"/>
  <c r="K6734" i="2"/>
  <c r="J6734" i="2"/>
  <c r="I6734" i="2"/>
  <c r="A6734" i="2"/>
  <c r="K6733" i="2"/>
  <c r="J6733" i="2"/>
  <c r="I6733" i="2"/>
  <c r="A6733" i="2"/>
  <c r="K6732" i="2"/>
  <c r="J6732" i="2"/>
  <c r="I6732" i="2"/>
  <c r="A6732" i="2"/>
  <c r="K6731" i="2"/>
  <c r="J6731" i="2"/>
  <c r="I6731" i="2"/>
  <c r="A6731" i="2"/>
  <c r="K6730" i="2"/>
  <c r="J6730" i="2"/>
  <c r="I6730" i="2"/>
  <c r="A6730" i="2"/>
  <c r="K6729" i="2"/>
  <c r="J6729" i="2"/>
  <c r="I6729" i="2"/>
  <c r="A6729" i="2"/>
  <c r="K6728" i="2"/>
  <c r="J6728" i="2"/>
  <c r="I6728" i="2"/>
  <c r="A6728" i="2"/>
  <c r="K6727" i="2"/>
  <c r="J6727" i="2"/>
  <c r="I6727" i="2"/>
  <c r="A6727" i="2"/>
  <c r="K6726" i="2"/>
  <c r="J6726" i="2"/>
  <c r="I6726" i="2"/>
  <c r="A6726" i="2"/>
  <c r="K6725" i="2"/>
  <c r="J6725" i="2"/>
  <c r="I6725" i="2"/>
  <c r="A6725" i="2"/>
  <c r="K6724" i="2"/>
  <c r="J6724" i="2"/>
  <c r="I6724" i="2"/>
  <c r="A6724" i="2"/>
  <c r="K6723" i="2"/>
  <c r="J6723" i="2"/>
  <c r="I6723" i="2"/>
  <c r="A6723" i="2"/>
  <c r="K6722" i="2"/>
  <c r="J6722" i="2"/>
  <c r="I6722" i="2"/>
  <c r="A6722" i="2"/>
  <c r="J6721" i="2"/>
  <c r="I6721" i="2"/>
  <c r="K6720" i="2"/>
  <c r="J6720" i="2"/>
  <c r="I6720" i="2"/>
  <c r="A6720" i="2"/>
  <c r="K6719" i="2"/>
  <c r="J6719" i="2"/>
  <c r="I6719" i="2"/>
  <c r="A6719" i="2"/>
  <c r="K6718" i="2"/>
  <c r="J6718" i="2"/>
  <c r="I6718" i="2"/>
  <c r="A6718" i="2"/>
  <c r="K6717" i="2"/>
  <c r="J6717" i="2"/>
  <c r="I6717" i="2"/>
  <c r="A6717" i="2"/>
  <c r="K6716" i="2"/>
  <c r="J6716" i="2"/>
  <c r="I6716" i="2"/>
  <c r="A6716" i="2"/>
  <c r="K6715" i="2"/>
  <c r="J6715" i="2"/>
  <c r="I6715" i="2"/>
  <c r="A6715" i="2"/>
  <c r="K6714" i="2"/>
  <c r="J6714" i="2"/>
  <c r="I6714" i="2"/>
  <c r="A6714" i="2"/>
  <c r="K6713" i="2"/>
  <c r="J6713" i="2"/>
  <c r="I6713" i="2"/>
  <c r="A6713" i="2"/>
  <c r="K6712" i="2"/>
  <c r="J6712" i="2"/>
  <c r="I6712" i="2"/>
  <c r="A6712" i="2"/>
  <c r="K6711" i="2"/>
  <c r="J6711" i="2"/>
  <c r="I6711" i="2"/>
  <c r="A6711" i="2"/>
  <c r="K6710" i="2"/>
  <c r="J6710" i="2"/>
  <c r="I6710" i="2"/>
  <c r="A6710" i="2"/>
  <c r="K6709" i="2"/>
  <c r="J6709" i="2"/>
  <c r="I6709" i="2"/>
  <c r="A6709" i="2"/>
  <c r="K6708" i="2"/>
  <c r="J6708" i="2"/>
  <c r="I6708" i="2"/>
  <c r="A6708" i="2"/>
  <c r="K6707" i="2"/>
  <c r="J6707" i="2"/>
  <c r="I6707" i="2"/>
  <c r="A6707" i="2"/>
  <c r="K6706" i="2"/>
  <c r="J6706" i="2"/>
  <c r="I6706" i="2"/>
  <c r="A6706" i="2"/>
  <c r="K6705" i="2"/>
  <c r="J6705" i="2"/>
  <c r="I6705" i="2"/>
  <c r="A6705" i="2"/>
  <c r="K6704" i="2"/>
  <c r="J6704" i="2"/>
  <c r="I6704" i="2"/>
  <c r="A6704" i="2"/>
  <c r="K6703" i="2"/>
  <c r="J6703" i="2"/>
  <c r="I6703" i="2"/>
  <c r="A6703" i="2"/>
  <c r="K6702" i="2"/>
  <c r="J6702" i="2"/>
  <c r="I6702" i="2"/>
  <c r="A6702" i="2"/>
  <c r="K6701" i="2"/>
  <c r="J6701" i="2"/>
  <c r="I6701" i="2"/>
  <c r="A6701" i="2"/>
  <c r="K6700" i="2"/>
  <c r="J6700" i="2"/>
  <c r="I6700" i="2"/>
  <c r="A6700" i="2"/>
  <c r="K6699" i="2"/>
  <c r="J6699" i="2"/>
  <c r="I6699" i="2"/>
  <c r="A6699" i="2"/>
  <c r="K6698" i="2"/>
  <c r="J6698" i="2"/>
  <c r="I6698" i="2"/>
  <c r="A6698" i="2"/>
  <c r="K6697" i="2"/>
  <c r="J6697" i="2"/>
  <c r="I6697" i="2"/>
  <c r="A6697" i="2"/>
  <c r="K6696" i="2"/>
  <c r="J6696" i="2"/>
  <c r="I6696" i="2"/>
  <c r="A6696" i="2"/>
  <c r="K6695" i="2"/>
  <c r="J6695" i="2"/>
  <c r="I6695" i="2"/>
  <c r="A6695" i="2"/>
  <c r="K6694" i="2"/>
  <c r="J6694" i="2"/>
  <c r="I6694" i="2"/>
  <c r="A6694" i="2"/>
  <c r="K6693" i="2"/>
  <c r="J6693" i="2"/>
  <c r="I6693" i="2"/>
  <c r="A6693" i="2"/>
  <c r="K6692" i="2"/>
  <c r="J6692" i="2"/>
  <c r="I6692" i="2"/>
  <c r="A6692" i="2"/>
  <c r="K6691" i="2"/>
  <c r="J6691" i="2"/>
  <c r="I6691" i="2"/>
  <c r="A6691" i="2"/>
  <c r="K6690" i="2"/>
  <c r="J6690" i="2"/>
  <c r="I6690" i="2"/>
  <c r="A6690" i="2"/>
  <c r="K6689" i="2"/>
  <c r="J6689" i="2"/>
  <c r="I6689" i="2"/>
  <c r="A6689" i="2"/>
  <c r="K6688" i="2"/>
  <c r="J6688" i="2"/>
  <c r="I6688" i="2"/>
  <c r="A6688" i="2"/>
  <c r="K6687" i="2"/>
  <c r="J6687" i="2"/>
  <c r="I6687" i="2"/>
  <c r="A6687" i="2"/>
  <c r="K6686" i="2"/>
  <c r="J6686" i="2"/>
  <c r="I6686" i="2"/>
  <c r="A6686" i="2"/>
  <c r="K6685" i="2"/>
  <c r="J6685" i="2"/>
  <c r="I6685" i="2"/>
  <c r="A6685" i="2"/>
  <c r="K6684" i="2"/>
  <c r="J6684" i="2"/>
  <c r="I6684" i="2"/>
  <c r="A6684" i="2"/>
  <c r="K6683" i="2"/>
  <c r="J6683" i="2"/>
  <c r="I6683" i="2"/>
  <c r="A6683" i="2"/>
  <c r="K6682" i="2"/>
  <c r="J6682" i="2"/>
  <c r="I6682" i="2"/>
  <c r="A6682" i="2"/>
  <c r="K6681" i="2"/>
  <c r="J6681" i="2"/>
  <c r="I6681" i="2"/>
  <c r="A6681" i="2"/>
  <c r="K6680" i="2"/>
  <c r="J6680" i="2"/>
  <c r="I6680" i="2"/>
  <c r="A6680" i="2"/>
  <c r="K6679" i="2"/>
  <c r="J6679" i="2"/>
  <c r="I6679" i="2"/>
  <c r="A6679" i="2"/>
  <c r="K6678" i="2"/>
  <c r="J6678" i="2"/>
  <c r="I6678" i="2"/>
  <c r="A6678" i="2"/>
  <c r="K6677" i="2"/>
  <c r="J6677" i="2"/>
  <c r="I6677" i="2"/>
  <c r="A6677" i="2"/>
  <c r="K6676" i="2"/>
  <c r="J6676" i="2"/>
  <c r="I6676" i="2"/>
  <c r="A6676" i="2"/>
  <c r="K6675" i="2"/>
  <c r="J6675" i="2"/>
  <c r="I6675" i="2"/>
  <c r="A6675" i="2"/>
  <c r="K6674" i="2"/>
  <c r="J6674" i="2"/>
  <c r="I6674" i="2"/>
  <c r="A6674" i="2"/>
  <c r="K6673" i="2"/>
  <c r="J6673" i="2"/>
  <c r="I6673" i="2"/>
  <c r="A6673" i="2"/>
  <c r="K6672" i="2"/>
  <c r="J6672" i="2"/>
  <c r="I6672" i="2"/>
  <c r="A6672" i="2"/>
  <c r="K6671" i="2"/>
  <c r="J6671" i="2"/>
  <c r="I6671" i="2"/>
  <c r="A6671" i="2"/>
  <c r="K6670" i="2"/>
  <c r="J6670" i="2"/>
  <c r="I6670" i="2"/>
  <c r="A6670" i="2"/>
  <c r="K6669" i="2"/>
  <c r="J6669" i="2"/>
  <c r="I6669" i="2"/>
  <c r="A6669" i="2"/>
  <c r="K6668" i="2"/>
  <c r="J6668" i="2"/>
  <c r="I6668" i="2"/>
  <c r="A6668" i="2"/>
  <c r="K6667" i="2"/>
  <c r="J6667" i="2"/>
  <c r="I6667" i="2"/>
  <c r="A6667" i="2"/>
  <c r="K6666" i="2"/>
  <c r="J6666" i="2"/>
  <c r="I6666" i="2"/>
  <c r="A6666" i="2"/>
  <c r="K6665" i="2"/>
  <c r="J6665" i="2"/>
  <c r="I6665" i="2"/>
  <c r="A6665" i="2"/>
  <c r="K6664" i="2"/>
  <c r="J6664" i="2"/>
  <c r="I6664" i="2"/>
  <c r="A6664" i="2"/>
  <c r="K6663" i="2"/>
  <c r="J6663" i="2"/>
  <c r="I6663" i="2"/>
  <c r="A6663" i="2"/>
  <c r="K6662" i="2"/>
  <c r="J6662" i="2"/>
  <c r="I6662" i="2"/>
  <c r="A6662" i="2"/>
  <c r="K6661" i="2"/>
  <c r="J6661" i="2"/>
  <c r="I6661" i="2"/>
  <c r="A6661" i="2"/>
  <c r="K6660" i="2"/>
  <c r="J6660" i="2"/>
  <c r="I6660" i="2"/>
  <c r="A6660" i="2"/>
  <c r="K6659" i="2"/>
  <c r="J6659" i="2"/>
  <c r="I6659" i="2"/>
  <c r="A6659" i="2"/>
  <c r="K6658" i="2"/>
  <c r="J6658" i="2"/>
  <c r="I6658" i="2"/>
  <c r="A6658" i="2"/>
  <c r="K6657" i="2"/>
  <c r="J6657" i="2"/>
  <c r="I6657" i="2"/>
  <c r="A6657" i="2"/>
  <c r="K6656" i="2"/>
  <c r="J6656" i="2"/>
  <c r="I6656" i="2"/>
  <c r="A6656" i="2"/>
  <c r="K6655" i="2"/>
  <c r="J6655" i="2"/>
  <c r="I6655" i="2"/>
  <c r="A6655" i="2"/>
  <c r="K6654" i="2"/>
  <c r="J6654" i="2"/>
  <c r="I6654" i="2"/>
  <c r="A6654" i="2"/>
  <c r="K6653" i="2"/>
  <c r="J6653" i="2"/>
  <c r="I6653" i="2"/>
  <c r="A6653" i="2"/>
  <c r="K6652" i="2"/>
  <c r="J6652" i="2"/>
  <c r="I6652" i="2"/>
  <c r="A6652" i="2"/>
  <c r="K6651" i="2"/>
  <c r="J6651" i="2"/>
  <c r="I6651" i="2"/>
  <c r="A6651" i="2"/>
  <c r="K6650" i="2"/>
  <c r="J6650" i="2"/>
  <c r="I6650" i="2"/>
  <c r="A6650" i="2"/>
  <c r="K6649" i="2"/>
  <c r="J6649" i="2"/>
  <c r="I6649" i="2"/>
  <c r="A6649" i="2"/>
  <c r="K6648" i="2"/>
  <c r="J6648" i="2"/>
  <c r="I6648" i="2"/>
  <c r="A6648" i="2"/>
  <c r="K6647" i="2"/>
  <c r="J6647" i="2"/>
  <c r="I6647" i="2"/>
  <c r="A6647" i="2"/>
  <c r="K6646" i="2"/>
  <c r="J6646" i="2"/>
  <c r="I6646" i="2"/>
  <c r="A6646" i="2"/>
  <c r="K6645" i="2"/>
  <c r="J6645" i="2"/>
  <c r="I6645" i="2"/>
  <c r="A6645" i="2"/>
  <c r="K6644" i="2"/>
  <c r="J6644" i="2"/>
  <c r="I6644" i="2"/>
  <c r="A6644" i="2"/>
  <c r="K6643" i="2"/>
  <c r="J6643" i="2"/>
  <c r="I6643" i="2"/>
  <c r="A6643" i="2"/>
  <c r="K6642" i="2"/>
  <c r="J6642" i="2"/>
  <c r="I6642" i="2"/>
  <c r="A6642" i="2"/>
  <c r="K6641" i="2"/>
  <c r="J6641" i="2"/>
  <c r="I6641" i="2"/>
  <c r="A6641" i="2"/>
  <c r="K6640" i="2"/>
  <c r="J6640" i="2"/>
  <c r="I6640" i="2"/>
  <c r="A6640" i="2"/>
  <c r="K6639" i="2"/>
  <c r="J6639" i="2"/>
  <c r="I6639" i="2"/>
  <c r="A6639" i="2"/>
  <c r="K6638" i="2"/>
  <c r="J6638" i="2"/>
  <c r="I6638" i="2"/>
  <c r="A6638" i="2"/>
  <c r="K6637" i="2"/>
  <c r="J6637" i="2"/>
  <c r="I6637" i="2"/>
  <c r="A6637" i="2"/>
  <c r="K6636" i="2"/>
  <c r="J6636" i="2"/>
  <c r="I6636" i="2"/>
  <c r="A6636" i="2"/>
  <c r="K6635" i="2"/>
  <c r="J6635" i="2"/>
  <c r="I6635" i="2"/>
  <c r="A6635" i="2"/>
  <c r="K6634" i="2"/>
  <c r="J6634" i="2"/>
  <c r="I6634" i="2"/>
  <c r="A6634" i="2"/>
  <c r="K6633" i="2"/>
  <c r="J6633" i="2"/>
  <c r="I6633" i="2"/>
  <c r="A6633" i="2"/>
  <c r="K6632" i="2"/>
  <c r="J6632" i="2"/>
  <c r="I6632" i="2"/>
  <c r="A6632" i="2"/>
  <c r="K6631" i="2"/>
  <c r="J6631" i="2"/>
  <c r="I6631" i="2"/>
  <c r="A6631" i="2"/>
  <c r="K6630" i="2"/>
  <c r="J6630" i="2"/>
  <c r="I6630" i="2"/>
  <c r="A6630" i="2"/>
  <c r="K6629" i="2"/>
  <c r="J6629" i="2"/>
  <c r="I6629" i="2"/>
  <c r="A6629" i="2"/>
  <c r="K6628" i="2"/>
  <c r="J6628" i="2"/>
  <c r="I6628" i="2"/>
  <c r="A6628" i="2"/>
  <c r="K6627" i="2"/>
  <c r="J6627" i="2"/>
  <c r="I6627" i="2"/>
  <c r="A6627" i="2"/>
  <c r="K6626" i="2"/>
  <c r="J6626" i="2"/>
  <c r="I6626" i="2"/>
  <c r="A6626" i="2"/>
  <c r="K6625" i="2"/>
  <c r="J6625" i="2"/>
  <c r="I6625" i="2"/>
  <c r="A6625" i="2"/>
  <c r="K6624" i="2"/>
  <c r="J6624" i="2"/>
  <c r="I6624" i="2"/>
  <c r="A6624" i="2"/>
  <c r="K6623" i="2"/>
  <c r="J6623" i="2"/>
  <c r="I6623" i="2"/>
  <c r="A6623" i="2"/>
  <c r="K6622" i="2"/>
  <c r="J6622" i="2"/>
  <c r="I6622" i="2"/>
  <c r="A6622" i="2"/>
  <c r="K6621" i="2"/>
  <c r="J6621" i="2"/>
  <c r="I6621" i="2"/>
  <c r="A6621" i="2"/>
  <c r="K6620" i="2"/>
  <c r="J6620" i="2"/>
  <c r="I6620" i="2"/>
  <c r="A6620" i="2"/>
  <c r="K6619" i="2"/>
  <c r="J6619" i="2"/>
  <c r="I6619" i="2"/>
  <c r="A6619" i="2"/>
  <c r="K6618" i="2"/>
  <c r="J6618" i="2"/>
  <c r="I6618" i="2"/>
  <c r="A6618" i="2"/>
  <c r="K6617" i="2"/>
  <c r="J6617" i="2"/>
  <c r="I6617" i="2"/>
  <c r="A6617" i="2"/>
  <c r="K6616" i="2"/>
  <c r="J6616" i="2"/>
  <c r="I6616" i="2"/>
  <c r="A6616" i="2"/>
  <c r="K6615" i="2"/>
  <c r="J6615" i="2"/>
  <c r="I6615" i="2"/>
  <c r="A6615" i="2"/>
  <c r="K6614" i="2"/>
  <c r="J6614" i="2"/>
  <c r="I6614" i="2"/>
  <c r="A6614" i="2"/>
  <c r="K6613" i="2"/>
  <c r="J6613" i="2"/>
  <c r="I6613" i="2"/>
  <c r="A6613" i="2"/>
  <c r="K6612" i="2"/>
  <c r="J6612" i="2"/>
  <c r="I6612" i="2"/>
  <c r="A6612" i="2"/>
  <c r="K6611" i="2"/>
  <c r="J6611" i="2"/>
  <c r="I6611" i="2"/>
  <c r="A6611" i="2"/>
  <c r="K6610" i="2"/>
  <c r="J6610" i="2"/>
  <c r="I6610" i="2"/>
  <c r="A6610" i="2"/>
  <c r="K6609" i="2"/>
  <c r="J6609" i="2"/>
  <c r="I6609" i="2"/>
  <c r="A6609" i="2"/>
  <c r="K6608" i="2"/>
  <c r="J6608" i="2"/>
  <c r="I6608" i="2"/>
  <c r="A6608" i="2"/>
  <c r="K6607" i="2"/>
  <c r="J6607" i="2"/>
  <c r="I6607" i="2"/>
  <c r="A6607" i="2"/>
  <c r="K6606" i="2"/>
  <c r="J6606" i="2"/>
  <c r="I6606" i="2"/>
  <c r="A6606" i="2"/>
  <c r="K6605" i="2"/>
  <c r="J6605" i="2"/>
  <c r="I6605" i="2"/>
  <c r="A6605" i="2"/>
  <c r="K6604" i="2"/>
  <c r="J6604" i="2"/>
  <c r="I6604" i="2"/>
  <c r="A6604" i="2"/>
  <c r="K6603" i="2"/>
  <c r="J6603" i="2"/>
  <c r="I6603" i="2"/>
  <c r="A6603" i="2"/>
  <c r="K6602" i="2"/>
  <c r="J6602" i="2"/>
  <c r="I6602" i="2"/>
  <c r="A6602" i="2"/>
  <c r="K6601" i="2"/>
  <c r="J6601" i="2"/>
  <c r="I6601" i="2"/>
  <c r="A6601" i="2"/>
  <c r="K6600" i="2"/>
  <c r="J6600" i="2"/>
  <c r="I6600" i="2"/>
  <c r="A6600" i="2"/>
  <c r="K6599" i="2"/>
  <c r="J6599" i="2"/>
  <c r="I6599" i="2"/>
  <c r="A6599" i="2"/>
  <c r="K6598" i="2"/>
  <c r="J6598" i="2"/>
  <c r="I6598" i="2"/>
  <c r="A6598" i="2"/>
  <c r="K6597" i="2"/>
  <c r="J6597" i="2"/>
  <c r="I6597" i="2"/>
  <c r="A6597" i="2"/>
  <c r="K6596" i="2"/>
  <c r="J6596" i="2"/>
  <c r="I6596" i="2"/>
  <c r="A6596" i="2"/>
  <c r="K6595" i="2"/>
  <c r="J6595" i="2"/>
  <c r="I6595" i="2"/>
  <c r="A6595" i="2"/>
  <c r="K6594" i="2"/>
  <c r="J6594" i="2"/>
  <c r="I6594" i="2"/>
  <c r="A6594" i="2"/>
  <c r="K6593" i="2"/>
  <c r="J6593" i="2"/>
  <c r="I6593" i="2"/>
  <c r="A6593" i="2"/>
  <c r="K6592" i="2"/>
  <c r="J6592" i="2"/>
  <c r="I6592" i="2"/>
  <c r="A6592" i="2"/>
  <c r="K6591" i="2"/>
  <c r="J6591" i="2"/>
  <c r="I6591" i="2"/>
  <c r="A6591" i="2"/>
  <c r="K6590" i="2"/>
  <c r="J6590" i="2"/>
  <c r="I6590" i="2"/>
  <c r="A6590" i="2"/>
  <c r="K6589" i="2"/>
  <c r="J6589" i="2"/>
  <c r="I6589" i="2"/>
  <c r="A6589" i="2"/>
  <c r="K6588" i="2"/>
  <c r="J6588" i="2"/>
  <c r="I6588" i="2"/>
  <c r="A6588" i="2"/>
  <c r="K6587" i="2"/>
  <c r="J6587" i="2"/>
  <c r="I6587" i="2"/>
  <c r="A6587" i="2"/>
  <c r="K6586" i="2"/>
  <c r="J6586" i="2"/>
  <c r="I6586" i="2"/>
  <c r="A6586" i="2"/>
  <c r="J6585" i="2"/>
  <c r="I6585" i="2"/>
  <c r="K6584" i="2"/>
  <c r="J6584" i="2"/>
  <c r="I6584" i="2"/>
  <c r="A6584" i="2"/>
  <c r="K6583" i="2"/>
  <c r="J6583" i="2"/>
  <c r="I6583" i="2"/>
  <c r="A6583" i="2"/>
  <c r="K6582" i="2"/>
  <c r="J6582" i="2"/>
  <c r="I6582" i="2"/>
  <c r="A6582" i="2"/>
  <c r="K6581" i="2"/>
  <c r="J6581" i="2"/>
  <c r="I6581" i="2"/>
  <c r="A6581" i="2"/>
  <c r="K6580" i="2"/>
  <c r="J6580" i="2"/>
  <c r="I6580" i="2"/>
  <c r="A6580" i="2"/>
  <c r="K6579" i="2"/>
  <c r="J6579" i="2"/>
  <c r="I6579" i="2"/>
  <c r="A6579" i="2"/>
  <c r="K6578" i="2"/>
  <c r="J6578" i="2"/>
  <c r="I6578" i="2"/>
  <c r="A6578" i="2"/>
  <c r="K6577" i="2"/>
  <c r="J6577" i="2"/>
  <c r="I6577" i="2"/>
  <c r="A6577" i="2"/>
  <c r="K6576" i="2"/>
  <c r="J6576" i="2"/>
  <c r="I6576" i="2"/>
  <c r="A6576" i="2"/>
  <c r="K6575" i="2"/>
  <c r="J6575" i="2"/>
  <c r="I6575" i="2"/>
  <c r="A6575" i="2"/>
  <c r="K6574" i="2"/>
  <c r="J6574" i="2"/>
  <c r="I6574" i="2"/>
  <c r="A6574" i="2"/>
  <c r="K6573" i="2"/>
  <c r="J6573" i="2"/>
  <c r="I6573" i="2"/>
  <c r="A6573" i="2"/>
  <c r="K6572" i="2"/>
  <c r="J6572" i="2"/>
  <c r="I6572" i="2"/>
  <c r="A6572" i="2"/>
  <c r="K6571" i="2"/>
  <c r="J6571" i="2"/>
  <c r="I6571" i="2"/>
  <c r="A6571" i="2"/>
  <c r="K6570" i="2"/>
  <c r="J6570" i="2"/>
  <c r="I6570" i="2"/>
  <c r="A6570" i="2"/>
  <c r="K6569" i="2"/>
  <c r="J6569" i="2"/>
  <c r="I6569" i="2"/>
  <c r="A6569" i="2"/>
  <c r="K6568" i="2"/>
  <c r="J6568" i="2"/>
  <c r="I6568" i="2"/>
  <c r="A6568" i="2"/>
  <c r="K6567" i="2"/>
  <c r="J6567" i="2"/>
  <c r="I6567" i="2"/>
  <c r="A6567" i="2"/>
  <c r="K6566" i="2"/>
  <c r="J6566" i="2"/>
  <c r="I6566" i="2"/>
  <c r="A6566" i="2"/>
  <c r="K6565" i="2"/>
  <c r="J6565" i="2"/>
  <c r="I6565" i="2"/>
  <c r="A6565" i="2"/>
  <c r="K6564" i="2"/>
  <c r="J6564" i="2"/>
  <c r="I6564" i="2"/>
  <c r="A6564" i="2"/>
  <c r="K6563" i="2"/>
  <c r="J6563" i="2"/>
  <c r="I6563" i="2"/>
  <c r="A6563" i="2"/>
  <c r="K6562" i="2"/>
  <c r="J6562" i="2"/>
  <c r="I6562" i="2"/>
  <c r="A6562" i="2"/>
  <c r="K6561" i="2"/>
  <c r="J6561" i="2"/>
  <c r="I6561" i="2"/>
  <c r="A6561" i="2"/>
  <c r="K6560" i="2"/>
  <c r="J6560" i="2"/>
  <c r="I6560" i="2"/>
  <c r="A6560" i="2"/>
  <c r="K6559" i="2"/>
  <c r="J6559" i="2"/>
  <c r="I6559" i="2"/>
  <c r="A6559" i="2"/>
  <c r="K6558" i="2"/>
  <c r="J6558" i="2"/>
  <c r="I6558" i="2"/>
  <c r="A6558" i="2"/>
  <c r="K6557" i="2"/>
  <c r="J6557" i="2"/>
  <c r="I6557" i="2"/>
  <c r="A6557" i="2"/>
  <c r="K6556" i="2"/>
  <c r="J6556" i="2"/>
  <c r="I6556" i="2"/>
  <c r="A6556" i="2"/>
  <c r="K6555" i="2"/>
  <c r="J6555" i="2"/>
  <c r="I6555" i="2"/>
  <c r="A6555" i="2"/>
  <c r="K6554" i="2"/>
  <c r="J6554" i="2"/>
  <c r="I6554" i="2"/>
  <c r="A6554" i="2"/>
  <c r="K6553" i="2"/>
  <c r="J6553" i="2"/>
  <c r="I6553" i="2"/>
  <c r="A6553" i="2"/>
  <c r="K6552" i="2"/>
  <c r="J6552" i="2"/>
  <c r="I6552" i="2"/>
  <c r="A6552" i="2"/>
  <c r="K6551" i="2"/>
  <c r="J6551" i="2"/>
  <c r="I6551" i="2"/>
  <c r="A6551" i="2"/>
  <c r="K6550" i="2"/>
  <c r="J6550" i="2"/>
  <c r="I6550" i="2"/>
  <c r="A6550" i="2"/>
  <c r="K6549" i="2"/>
  <c r="J6549" i="2"/>
  <c r="I6549" i="2"/>
  <c r="A6549" i="2"/>
  <c r="K6548" i="2"/>
  <c r="J6548" i="2"/>
  <c r="I6548" i="2"/>
  <c r="A6548" i="2"/>
  <c r="K6547" i="2"/>
  <c r="J6547" i="2"/>
  <c r="I6547" i="2"/>
  <c r="A6547" i="2"/>
  <c r="K6546" i="2"/>
  <c r="J6546" i="2"/>
  <c r="I6546" i="2"/>
  <c r="A6546" i="2"/>
  <c r="K6545" i="2"/>
  <c r="J6545" i="2"/>
  <c r="I6545" i="2"/>
  <c r="A6545" i="2"/>
  <c r="K6544" i="2"/>
  <c r="J6544" i="2"/>
  <c r="I6544" i="2"/>
  <c r="A6544" i="2"/>
  <c r="K6543" i="2"/>
  <c r="J6543" i="2"/>
  <c r="I6543" i="2"/>
  <c r="A6543" i="2"/>
  <c r="K6542" i="2"/>
  <c r="J6542" i="2"/>
  <c r="I6542" i="2"/>
  <c r="A6542" i="2"/>
  <c r="K6541" i="2"/>
  <c r="J6541" i="2"/>
  <c r="I6541" i="2"/>
  <c r="A6541" i="2"/>
  <c r="K6540" i="2"/>
  <c r="J6540" i="2"/>
  <c r="I6540" i="2"/>
  <c r="A6540" i="2"/>
  <c r="K6539" i="2"/>
  <c r="J6539" i="2"/>
  <c r="I6539" i="2"/>
  <c r="A6539" i="2"/>
  <c r="K6538" i="2"/>
  <c r="J6538" i="2"/>
  <c r="I6538" i="2"/>
  <c r="A6538" i="2"/>
  <c r="K6537" i="2"/>
  <c r="J6537" i="2"/>
  <c r="I6537" i="2"/>
  <c r="A6537" i="2"/>
  <c r="K6536" i="2"/>
  <c r="J6536" i="2"/>
  <c r="I6536" i="2"/>
  <c r="A6536" i="2"/>
  <c r="K6535" i="2"/>
  <c r="J6535" i="2"/>
  <c r="I6535" i="2"/>
  <c r="A6535" i="2"/>
  <c r="K6534" i="2"/>
  <c r="J6534" i="2"/>
  <c r="I6534" i="2"/>
  <c r="A6534" i="2"/>
  <c r="K6533" i="2"/>
  <c r="J6533" i="2"/>
  <c r="I6533" i="2"/>
  <c r="A6533" i="2"/>
  <c r="K6532" i="2"/>
  <c r="J6532" i="2"/>
  <c r="I6532" i="2"/>
  <c r="A6532" i="2"/>
  <c r="K6531" i="2"/>
  <c r="J6531" i="2"/>
  <c r="I6531" i="2"/>
  <c r="A6531" i="2"/>
  <c r="K6530" i="2"/>
  <c r="J6530" i="2"/>
  <c r="I6530" i="2"/>
  <c r="A6530" i="2"/>
  <c r="K6529" i="2"/>
  <c r="J6529" i="2"/>
  <c r="I6529" i="2"/>
  <c r="A6529" i="2"/>
  <c r="K6528" i="2"/>
  <c r="J6528" i="2"/>
  <c r="I6528" i="2"/>
  <c r="A6528" i="2"/>
  <c r="K6527" i="2"/>
  <c r="J6527" i="2"/>
  <c r="I6527" i="2"/>
  <c r="A6527" i="2"/>
  <c r="K6526" i="2"/>
  <c r="J6526" i="2"/>
  <c r="I6526" i="2"/>
  <c r="A6526" i="2"/>
  <c r="K6525" i="2"/>
  <c r="J6525" i="2"/>
  <c r="I6525" i="2"/>
  <c r="A6525" i="2"/>
  <c r="K6524" i="2"/>
  <c r="J6524" i="2"/>
  <c r="I6524" i="2"/>
  <c r="A6524" i="2"/>
  <c r="K6523" i="2"/>
  <c r="J6523" i="2"/>
  <c r="I6523" i="2"/>
  <c r="A6523" i="2"/>
  <c r="K6522" i="2"/>
  <c r="J6522" i="2"/>
  <c r="I6522" i="2"/>
  <c r="A6522" i="2"/>
  <c r="K6521" i="2"/>
  <c r="J6521" i="2"/>
  <c r="I6521" i="2"/>
  <c r="A6521" i="2"/>
  <c r="K6520" i="2"/>
  <c r="J6520" i="2"/>
  <c r="I6520" i="2"/>
  <c r="A6520" i="2"/>
  <c r="K6519" i="2"/>
  <c r="J6519" i="2"/>
  <c r="I6519" i="2"/>
  <c r="A6519" i="2"/>
  <c r="K6518" i="2"/>
  <c r="J6518" i="2"/>
  <c r="I6518" i="2"/>
  <c r="A6518" i="2"/>
  <c r="K6517" i="2"/>
  <c r="J6517" i="2"/>
  <c r="I6517" i="2"/>
  <c r="A6517" i="2"/>
  <c r="K6516" i="2"/>
  <c r="J6516" i="2"/>
  <c r="I6516" i="2"/>
  <c r="A6516" i="2"/>
  <c r="K6515" i="2"/>
  <c r="J6515" i="2"/>
  <c r="I6515" i="2"/>
  <c r="A6515" i="2"/>
  <c r="K6514" i="2"/>
  <c r="J6514" i="2"/>
  <c r="I6514" i="2"/>
  <c r="A6514" i="2"/>
  <c r="K6513" i="2"/>
  <c r="J6513" i="2"/>
  <c r="I6513" i="2"/>
  <c r="A6513" i="2"/>
  <c r="K6512" i="2"/>
  <c r="J6512" i="2"/>
  <c r="I6512" i="2"/>
  <c r="A6512" i="2"/>
  <c r="K6511" i="2"/>
  <c r="J6511" i="2"/>
  <c r="I6511" i="2"/>
  <c r="A6511" i="2"/>
  <c r="K6510" i="2"/>
  <c r="J6510" i="2"/>
  <c r="I6510" i="2"/>
  <c r="A6510" i="2"/>
  <c r="K6509" i="2"/>
  <c r="J6509" i="2"/>
  <c r="I6509" i="2"/>
  <c r="A6509" i="2"/>
  <c r="K6508" i="2"/>
  <c r="J6508" i="2"/>
  <c r="I6508" i="2"/>
  <c r="A6508" i="2"/>
  <c r="K6507" i="2"/>
  <c r="J6507" i="2"/>
  <c r="I6507" i="2"/>
  <c r="A6507" i="2"/>
  <c r="K6506" i="2"/>
  <c r="J6506" i="2"/>
  <c r="I6506" i="2"/>
  <c r="A6506" i="2"/>
  <c r="K6505" i="2"/>
  <c r="J6505" i="2"/>
  <c r="I6505" i="2"/>
  <c r="A6505" i="2"/>
  <c r="K6504" i="2"/>
  <c r="J6504" i="2"/>
  <c r="I6504" i="2"/>
  <c r="A6504" i="2"/>
  <c r="K6503" i="2"/>
  <c r="J6503" i="2"/>
  <c r="I6503" i="2"/>
  <c r="A6503" i="2"/>
  <c r="K6502" i="2"/>
  <c r="J6502" i="2"/>
  <c r="I6502" i="2"/>
  <c r="A6502" i="2"/>
  <c r="K6501" i="2"/>
  <c r="J6501" i="2"/>
  <c r="I6501" i="2"/>
  <c r="A6501" i="2"/>
  <c r="K6500" i="2"/>
  <c r="J6500" i="2"/>
  <c r="I6500" i="2"/>
  <c r="A6500" i="2"/>
  <c r="K6499" i="2"/>
  <c r="J6499" i="2"/>
  <c r="I6499" i="2"/>
  <c r="A6499" i="2"/>
  <c r="K6498" i="2"/>
  <c r="J6498" i="2"/>
  <c r="I6498" i="2"/>
  <c r="A6498" i="2"/>
  <c r="K6497" i="2"/>
  <c r="J6497" i="2"/>
  <c r="I6497" i="2"/>
  <c r="A6497" i="2"/>
  <c r="K6496" i="2"/>
  <c r="J6496" i="2"/>
  <c r="I6496" i="2"/>
  <c r="A6496" i="2"/>
  <c r="K6495" i="2"/>
  <c r="J6495" i="2"/>
  <c r="I6495" i="2"/>
  <c r="A6495" i="2"/>
  <c r="K6494" i="2"/>
  <c r="J6494" i="2"/>
  <c r="I6494" i="2"/>
  <c r="A6494" i="2"/>
  <c r="K6493" i="2"/>
  <c r="J6493" i="2"/>
  <c r="I6493" i="2"/>
  <c r="A6493" i="2"/>
  <c r="K6492" i="2"/>
  <c r="J6492" i="2"/>
  <c r="I6492" i="2"/>
  <c r="A6492" i="2"/>
  <c r="K6491" i="2"/>
  <c r="J6491" i="2"/>
  <c r="I6491" i="2"/>
  <c r="A6491" i="2"/>
  <c r="K6490" i="2"/>
  <c r="J6490" i="2"/>
  <c r="I6490" i="2"/>
  <c r="A6490" i="2"/>
  <c r="K6489" i="2"/>
  <c r="J6489" i="2"/>
  <c r="I6489" i="2"/>
  <c r="A6489" i="2"/>
  <c r="K6488" i="2"/>
  <c r="J6488" i="2"/>
  <c r="I6488" i="2"/>
  <c r="A6488" i="2"/>
  <c r="K6487" i="2"/>
  <c r="J6487" i="2"/>
  <c r="I6487" i="2"/>
  <c r="A6487" i="2"/>
  <c r="K6486" i="2"/>
  <c r="J6486" i="2"/>
  <c r="I6486" i="2"/>
  <c r="A6486" i="2"/>
  <c r="K6485" i="2"/>
  <c r="J6485" i="2"/>
  <c r="I6485" i="2"/>
  <c r="A6485" i="2"/>
  <c r="K6484" i="2"/>
  <c r="J6484" i="2"/>
  <c r="I6484" i="2"/>
  <c r="A6484" i="2"/>
  <c r="K6483" i="2"/>
  <c r="J6483" i="2"/>
  <c r="I6483" i="2"/>
  <c r="A6483" i="2"/>
  <c r="K6482" i="2"/>
  <c r="J6482" i="2"/>
  <c r="I6482" i="2"/>
  <c r="A6482" i="2"/>
  <c r="K6481" i="2"/>
  <c r="J6481" i="2"/>
  <c r="I6481" i="2"/>
  <c r="A6481" i="2"/>
  <c r="K6480" i="2"/>
  <c r="J6480" i="2"/>
  <c r="I6480" i="2"/>
  <c r="A6480" i="2"/>
  <c r="K6479" i="2"/>
  <c r="J6479" i="2"/>
  <c r="I6479" i="2"/>
  <c r="A6479" i="2"/>
  <c r="K6478" i="2"/>
  <c r="J6478" i="2"/>
  <c r="I6478" i="2"/>
  <c r="A6478" i="2"/>
  <c r="K6477" i="2"/>
  <c r="J6477" i="2"/>
  <c r="I6477" i="2"/>
  <c r="A6477" i="2"/>
  <c r="K6476" i="2"/>
  <c r="J6476" i="2"/>
  <c r="I6476" i="2"/>
  <c r="A6476" i="2"/>
  <c r="K6475" i="2"/>
  <c r="J6475" i="2"/>
  <c r="I6475" i="2"/>
  <c r="A6475" i="2"/>
  <c r="K6474" i="2"/>
  <c r="J6474" i="2"/>
  <c r="I6474" i="2"/>
  <c r="A6474" i="2"/>
  <c r="K6473" i="2"/>
  <c r="J6473" i="2"/>
  <c r="I6473" i="2"/>
  <c r="A6473" i="2"/>
  <c r="K6472" i="2"/>
  <c r="J6472" i="2"/>
  <c r="I6472" i="2"/>
  <c r="A6472" i="2"/>
  <c r="K6471" i="2"/>
  <c r="J6471" i="2"/>
  <c r="I6471" i="2"/>
  <c r="A6471" i="2"/>
  <c r="K6470" i="2"/>
  <c r="J6470" i="2"/>
  <c r="I6470" i="2"/>
  <c r="A6470" i="2"/>
  <c r="K6469" i="2"/>
  <c r="J6469" i="2"/>
  <c r="I6469" i="2"/>
  <c r="A6469" i="2"/>
  <c r="K6468" i="2"/>
  <c r="J6468" i="2"/>
  <c r="I6468" i="2"/>
  <c r="A6468" i="2"/>
  <c r="K6467" i="2"/>
  <c r="J6467" i="2"/>
  <c r="I6467" i="2"/>
  <c r="A6467" i="2"/>
  <c r="K6466" i="2"/>
  <c r="J6466" i="2"/>
  <c r="I6466" i="2"/>
  <c r="A6466" i="2"/>
  <c r="K6465" i="2"/>
  <c r="J6465" i="2"/>
  <c r="I6465" i="2"/>
  <c r="A6465" i="2"/>
  <c r="K6464" i="2"/>
  <c r="J6464" i="2"/>
  <c r="I6464" i="2"/>
  <c r="A6464" i="2"/>
  <c r="K6463" i="2"/>
  <c r="J6463" i="2"/>
  <c r="I6463" i="2"/>
  <c r="A6463" i="2"/>
  <c r="K6462" i="2"/>
  <c r="J6462" i="2"/>
  <c r="I6462" i="2"/>
  <c r="A6462" i="2"/>
  <c r="K6461" i="2"/>
  <c r="J6461" i="2"/>
  <c r="I6461" i="2"/>
  <c r="A6461" i="2"/>
  <c r="K6460" i="2"/>
  <c r="J6460" i="2"/>
  <c r="I6460" i="2"/>
  <c r="A6460" i="2"/>
  <c r="K6459" i="2"/>
  <c r="J6459" i="2"/>
  <c r="I6459" i="2"/>
  <c r="A6459" i="2"/>
  <c r="K6458" i="2"/>
  <c r="J6458" i="2"/>
  <c r="I6458" i="2"/>
  <c r="A6458" i="2"/>
  <c r="K6457" i="2"/>
  <c r="J6457" i="2"/>
  <c r="I6457" i="2"/>
  <c r="A6457" i="2"/>
  <c r="K6456" i="2"/>
  <c r="J6456" i="2"/>
  <c r="I6456" i="2"/>
  <c r="A6456" i="2"/>
  <c r="K6455" i="2"/>
  <c r="J6455" i="2"/>
  <c r="I6455" i="2"/>
  <c r="A6455" i="2"/>
  <c r="K6454" i="2"/>
  <c r="J6454" i="2"/>
  <c r="I6454" i="2"/>
  <c r="A6454" i="2"/>
  <c r="K6453" i="2"/>
  <c r="J6453" i="2"/>
  <c r="I6453" i="2"/>
  <c r="A6453" i="2"/>
  <c r="K6452" i="2"/>
  <c r="J6452" i="2"/>
  <c r="I6452" i="2"/>
  <c r="A6452" i="2"/>
  <c r="K6451" i="2"/>
  <c r="J6451" i="2"/>
  <c r="I6451" i="2"/>
  <c r="A6451" i="2"/>
  <c r="K6450" i="2"/>
  <c r="J6450" i="2"/>
  <c r="I6450" i="2"/>
  <c r="A6450" i="2"/>
  <c r="K6449" i="2"/>
  <c r="J6449" i="2"/>
  <c r="I6449" i="2"/>
  <c r="A6449" i="2"/>
  <c r="K6448" i="2"/>
  <c r="J6448" i="2"/>
  <c r="I6448" i="2"/>
  <c r="A6448" i="2"/>
  <c r="K6447" i="2"/>
  <c r="J6447" i="2"/>
  <c r="I6447" i="2"/>
  <c r="A6447" i="2"/>
  <c r="K6446" i="2"/>
  <c r="J6446" i="2"/>
  <c r="I6446" i="2"/>
  <c r="A6446" i="2"/>
  <c r="K6445" i="2"/>
  <c r="J6445" i="2"/>
  <c r="I6445" i="2"/>
  <c r="A6445" i="2"/>
  <c r="K6444" i="2"/>
  <c r="J6444" i="2"/>
  <c r="I6444" i="2"/>
  <c r="A6444" i="2"/>
  <c r="K6443" i="2"/>
  <c r="J6443" i="2"/>
  <c r="I6443" i="2"/>
  <c r="A6443" i="2"/>
  <c r="K6442" i="2"/>
  <c r="J6442" i="2"/>
  <c r="I6442" i="2"/>
  <c r="A6442" i="2"/>
  <c r="K6441" i="2"/>
  <c r="J6441" i="2"/>
  <c r="I6441" i="2"/>
  <c r="A6441" i="2"/>
  <c r="K6440" i="2"/>
  <c r="J6440" i="2"/>
  <c r="I6440" i="2"/>
  <c r="A6440" i="2"/>
  <c r="K6439" i="2"/>
  <c r="J6439" i="2"/>
  <c r="I6439" i="2"/>
  <c r="A6439" i="2"/>
  <c r="K6438" i="2"/>
  <c r="J6438" i="2"/>
  <c r="I6438" i="2"/>
  <c r="A6438" i="2"/>
  <c r="K6437" i="2"/>
  <c r="J6437" i="2"/>
  <c r="I6437" i="2"/>
  <c r="A6437" i="2"/>
  <c r="K6436" i="2"/>
  <c r="J6436" i="2"/>
  <c r="I6436" i="2"/>
  <c r="A6436" i="2"/>
  <c r="K6435" i="2"/>
  <c r="J6435" i="2"/>
  <c r="I6435" i="2"/>
  <c r="A6435" i="2"/>
  <c r="K6434" i="2"/>
  <c r="J6434" i="2"/>
  <c r="I6434" i="2"/>
  <c r="A6434" i="2"/>
  <c r="K6433" i="2"/>
  <c r="J6433" i="2"/>
  <c r="I6433" i="2"/>
  <c r="A6433" i="2"/>
  <c r="K6432" i="2"/>
  <c r="J6432" i="2"/>
  <c r="I6432" i="2"/>
  <c r="A6432" i="2"/>
  <c r="K6431" i="2"/>
  <c r="J6431" i="2"/>
  <c r="I6431" i="2"/>
  <c r="A6431" i="2"/>
  <c r="K6430" i="2"/>
  <c r="J6430" i="2"/>
  <c r="I6430" i="2"/>
  <c r="A6430" i="2"/>
  <c r="K6429" i="2"/>
  <c r="J6429" i="2"/>
  <c r="I6429" i="2"/>
  <c r="A6429" i="2"/>
  <c r="K6428" i="2"/>
  <c r="J6428" i="2"/>
  <c r="I6428" i="2"/>
  <c r="A6428" i="2"/>
  <c r="K6427" i="2"/>
  <c r="J6427" i="2"/>
  <c r="I6427" i="2"/>
  <c r="A6427" i="2"/>
  <c r="K6426" i="2"/>
  <c r="J6426" i="2"/>
  <c r="I6426" i="2"/>
  <c r="A6426" i="2"/>
  <c r="K6425" i="2"/>
  <c r="J6425" i="2"/>
  <c r="I6425" i="2"/>
  <c r="A6425" i="2"/>
  <c r="K6424" i="2"/>
  <c r="J6424" i="2"/>
  <c r="I6424" i="2"/>
  <c r="A6424" i="2"/>
  <c r="K6423" i="2"/>
  <c r="J6423" i="2"/>
  <c r="I6423" i="2"/>
  <c r="A6423" i="2"/>
  <c r="K6422" i="2"/>
  <c r="J6422" i="2"/>
  <c r="I6422" i="2"/>
  <c r="A6422" i="2"/>
  <c r="K6421" i="2"/>
  <c r="J6421" i="2"/>
  <c r="I6421" i="2"/>
  <c r="A6421" i="2"/>
  <c r="K6420" i="2"/>
  <c r="J6420" i="2"/>
  <c r="I6420" i="2"/>
  <c r="A6420" i="2"/>
  <c r="K6419" i="2"/>
  <c r="J6419" i="2"/>
  <c r="I6419" i="2"/>
  <c r="A6419" i="2"/>
  <c r="K6418" i="2"/>
  <c r="J6418" i="2"/>
  <c r="I6418" i="2"/>
  <c r="A6418" i="2"/>
  <c r="K6417" i="2"/>
  <c r="J6417" i="2"/>
  <c r="I6417" i="2"/>
  <c r="A6417" i="2"/>
  <c r="K6416" i="2"/>
  <c r="J6416" i="2"/>
  <c r="I6416" i="2"/>
  <c r="A6416" i="2"/>
  <c r="K6415" i="2"/>
  <c r="J6415" i="2"/>
  <c r="I6415" i="2"/>
  <c r="A6415" i="2"/>
  <c r="K6414" i="2"/>
  <c r="J6414" i="2"/>
  <c r="I6414" i="2"/>
  <c r="A6414" i="2"/>
  <c r="K6413" i="2"/>
  <c r="J6413" i="2"/>
  <c r="I6413" i="2"/>
  <c r="A6413" i="2"/>
  <c r="K6412" i="2"/>
  <c r="J6412" i="2"/>
  <c r="I6412" i="2"/>
  <c r="A6412" i="2"/>
  <c r="K6411" i="2"/>
  <c r="J6411" i="2"/>
  <c r="I6411" i="2"/>
  <c r="A6411" i="2"/>
  <c r="K6410" i="2"/>
  <c r="J6410" i="2"/>
  <c r="I6410" i="2"/>
  <c r="A6410" i="2"/>
  <c r="K6409" i="2"/>
  <c r="J6409" i="2"/>
  <c r="I6409" i="2"/>
  <c r="A6409" i="2"/>
  <c r="K6408" i="2"/>
  <c r="J6408" i="2"/>
  <c r="I6408" i="2"/>
  <c r="A6408" i="2"/>
  <c r="K6407" i="2"/>
  <c r="J6407" i="2"/>
  <c r="I6407" i="2"/>
  <c r="A6407" i="2"/>
  <c r="K6406" i="2"/>
  <c r="J6406" i="2"/>
  <c r="I6406" i="2"/>
  <c r="A6406" i="2"/>
  <c r="K6405" i="2"/>
  <c r="J6405" i="2"/>
  <c r="I6405" i="2"/>
  <c r="A6405" i="2"/>
  <c r="K6404" i="2"/>
  <c r="J6404" i="2"/>
  <c r="I6404" i="2"/>
  <c r="A6404" i="2"/>
  <c r="K6403" i="2"/>
  <c r="J6403" i="2"/>
  <c r="I6403" i="2"/>
  <c r="A6403" i="2"/>
  <c r="K6402" i="2"/>
  <c r="J6402" i="2"/>
  <c r="I6402" i="2"/>
  <c r="A6402" i="2"/>
  <c r="K6401" i="2"/>
  <c r="J6401" i="2"/>
  <c r="I6401" i="2"/>
  <c r="A6401" i="2"/>
  <c r="K6400" i="2"/>
  <c r="J6400" i="2"/>
  <c r="I6400" i="2"/>
  <c r="A6400" i="2"/>
  <c r="K6399" i="2"/>
  <c r="J6399" i="2"/>
  <c r="I6399" i="2"/>
  <c r="A6399" i="2"/>
  <c r="K6398" i="2"/>
  <c r="J6398" i="2"/>
  <c r="I6398" i="2"/>
  <c r="A6398" i="2"/>
  <c r="K6397" i="2"/>
  <c r="J6397" i="2"/>
  <c r="I6397" i="2"/>
  <c r="A6397" i="2"/>
  <c r="K6396" i="2"/>
  <c r="J6396" i="2"/>
  <c r="I6396" i="2"/>
  <c r="A6396" i="2"/>
  <c r="K6395" i="2"/>
  <c r="J6395" i="2"/>
  <c r="I6395" i="2"/>
  <c r="A6395" i="2"/>
  <c r="K6394" i="2"/>
  <c r="J6394" i="2"/>
  <c r="I6394" i="2"/>
  <c r="A6394" i="2"/>
  <c r="K6393" i="2"/>
  <c r="J6393" i="2"/>
  <c r="I6393" i="2"/>
  <c r="A6393" i="2"/>
  <c r="K6392" i="2"/>
  <c r="J6392" i="2"/>
  <c r="I6392" i="2"/>
  <c r="A6392" i="2"/>
  <c r="K6391" i="2"/>
  <c r="J6391" i="2"/>
  <c r="I6391" i="2"/>
  <c r="A6391" i="2"/>
  <c r="K6390" i="2"/>
  <c r="J6390" i="2"/>
  <c r="I6390" i="2"/>
  <c r="A6390" i="2"/>
  <c r="K6389" i="2"/>
  <c r="J6389" i="2"/>
  <c r="I6389" i="2"/>
  <c r="A6389" i="2"/>
  <c r="K6388" i="2"/>
  <c r="J6388" i="2"/>
  <c r="I6388" i="2"/>
  <c r="A6388" i="2"/>
  <c r="K6387" i="2"/>
  <c r="J6387" i="2"/>
  <c r="I6387" i="2"/>
  <c r="A6387" i="2"/>
  <c r="K6386" i="2"/>
  <c r="J6386" i="2"/>
  <c r="I6386" i="2"/>
  <c r="A6386" i="2"/>
  <c r="K6385" i="2"/>
  <c r="J6385" i="2"/>
  <c r="I6385" i="2"/>
  <c r="A6385" i="2"/>
  <c r="K6384" i="2"/>
  <c r="J6384" i="2"/>
  <c r="I6384" i="2"/>
  <c r="A6384" i="2"/>
  <c r="K6383" i="2"/>
  <c r="J6383" i="2"/>
  <c r="I6383" i="2"/>
  <c r="A6383" i="2"/>
  <c r="K6382" i="2"/>
  <c r="J6382" i="2"/>
  <c r="I6382" i="2"/>
  <c r="A6382" i="2"/>
  <c r="K6381" i="2"/>
  <c r="J6381" i="2"/>
  <c r="I6381" i="2"/>
  <c r="A6381" i="2"/>
  <c r="K6380" i="2"/>
  <c r="J6380" i="2"/>
  <c r="I6380" i="2"/>
  <c r="A6380" i="2"/>
  <c r="K6379" i="2"/>
  <c r="J6379" i="2"/>
  <c r="I6379" i="2"/>
  <c r="A6379" i="2"/>
  <c r="K6378" i="2"/>
  <c r="J6378" i="2"/>
  <c r="I6378" i="2"/>
  <c r="A6378" i="2"/>
  <c r="K6377" i="2"/>
  <c r="J6377" i="2"/>
  <c r="I6377" i="2"/>
  <c r="A6377" i="2"/>
  <c r="K6376" i="2"/>
  <c r="J6376" i="2"/>
  <c r="I6376" i="2"/>
  <c r="A6376" i="2"/>
  <c r="K6375" i="2"/>
  <c r="J6375" i="2"/>
  <c r="I6375" i="2"/>
  <c r="A6375" i="2"/>
  <c r="K6374" i="2"/>
  <c r="J6374" i="2"/>
  <c r="I6374" i="2"/>
  <c r="A6374" i="2"/>
  <c r="K6373" i="2"/>
  <c r="J6373" i="2"/>
  <c r="I6373" i="2"/>
  <c r="A6373" i="2"/>
  <c r="K6372" i="2"/>
  <c r="J6372" i="2"/>
  <c r="I6372" i="2"/>
  <c r="A6372" i="2"/>
  <c r="K6371" i="2"/>
  <c r="J6371" i="2"/>
  <c r="I6371" i="2"/>
  <c r="A6371" i="2"/>
  <c r="K6370" i="2"/>
  <c r="J6370" i="2"/>
  <c r="I6370" i="2"/>
  <c r="A6370" i="2"/>
  <c r="K6369" i="2"/>
  <c r="J6369" i="2"/>
  <c r="I6369" i="2"/>
  <c r="A6369" i="2"/>
  <c r="K6368" i="2"/>
  <c r="J6368" i="2"/>
  <c r="I6368" i="2"/>
  <c r="A6368" i="2"/>
  <c r="K6367" i="2"/>
  <c r="J6367" i="2"/>
  <c r="I6367" i="2"/>
  <c r="A6367" i="2"/>
  <c r="K6366" i="2"/>
  <c r="J6366" i="2"/>
  <c r="I6366" i="2"/>
  <c r="A6366" i="2"/>
  <c r="K6365" i="2"/>
  <c r="J6365" i="2"/>
  <c r="I6365" i="2"/>
  <c r="A6365" i="2"/>
  <c r="K6364" i="2"/>
  <c r="J6364" i="2"/>
  <c r="I6364" i="2"/>
  <c r="A6364" i="2"/>
  <c r="K6363" i="2"/>
  <c r="J6363" i="2"/>
  <c r="I6363" i="2"/>
  <c r="A6363" i="2"/>
  <c r="K6362" i="2"/>
  <c r="J6362" i="2"/>
  <c r="I6362" i="2"/>
  <c r="A6362" i="2"/>
  <c r="K6361" i="2"/>
  <c r="J6361" i="2"/>
  <c r="I6361" i="2"/>
  <c r="A6361" i="2"/>
  <c r="K6360" i="2"/>
  <c r="J6360" i="2"/>
  <c r="I6360" i="2"/>
  <c r="A6360" i="2"/>
  <c r="K6359" i="2"/>
  <c r="J6359" i="2"/>
  <c r="I6359" i="2"/>
  <c r="A6359" i="2"/>
  <c r="K6358" i="2"/>
  <c r="J6358" i="2"/>
  <c r="I6358" i="2"/>
  <c r="A6358" i="2"/>
  <c r="K6357" i="2"/>
  <c r="J6357" i="2"/>
  <c r="I6357" i="2"/>
  <c r="A6357" i="2"/>
  <c r="K6356" i="2"/>
  <c r="J6356" i="2"/>
  <c r="I6356" i="2"/>
  <c r="A6356" i="2"/>
  <c r="K6355" i="2"/>
  <c r="J6355" i="2"/>
  <c r="I6355" i="2"/>
  <c r="A6355" i="2"/>
  <c r="K6354" i="2"/>
  <c r="J6354" i="2"/>
  <c r="I6354" i="2"/>
  <c r="A6354" i="2"/>
  <c r="K6353" i="2"/>
  <c r="J6353" i="2"/>
  <c r="I6353" i="2"/>
  <c r="A6353" i="2"/>
  <c r="K6352" i="2"/>
  <c r="J6352" i="2"/>
  <c r="I6352" i="2"/>
  <c r="A6352" i="2"/>
  <c r="K6351" i="2"/>
  <c r="J6351" i="2"/>
  <c r="I6351" i="2"/>
  <c r="A6351" i="2"/>
  <c r="K6350" i="2"/>
  <c r="J6350" i="2"/>
  <c r="I6350" i="2"/>
  <c r="A6350" i="2"/>
  <c r="K6349" i="2"/>
  <c r="J6349" i="2"/>
  <c r="I6349" i="2"/>
  <c r="A6349" i="2"/>
  <c r="K6348" i="2"/>
  <c r="J6348" i="2"/>
  <c r="I6348" i="2"/>
  <c r="A6348" i="2"/>
  <c r="K6347" i="2"/>
  <c r="J6347" i="2"/>
  <c r="I6347" i="2"/>
  <c r="A6347" i="2"/>
  <c r="K6346" i="2"/>
  <c r="J6346" i="2"/>
  <c r="I6346" i="2"/>
  <c r="A6346" i="2"/>
  <c r="K6345" i="2"/>
  <c r="J6345" i="2"/>
  <c r="I6345" i="2"/>
  <c r="A6345" i="2"/>
  <c r="K6344" i="2"/>
  <c r="J6344" i="2"/>
  <c r="I6344" i="2"/>
  <c r="A6344" i="2"/>
  <c r="K6343" i="2"/>
  <c r="J6343" i="2"/>
  <c r="I6343" i="2"/>
  <c r="A6343" i="2"/>
  <c r="K6342" i="2"/>
  <c r="J6342" i="2"/>
  <c r="I6342" i="2"/>
  <c r="A6342" i="2"/>
  <c r="K6341" i="2"/>
  <c r="J6341" i="2"/>
  <c r="I6341" i="2"/>
  <c r="A6341" i="2"/>
  <c r="K6340" i="2"/>
  <c r="J6340" i="2"/>
  <c r="I6340" i="2"/>
  <c r="A6340" i="2"/>
  <c r="K6339" i="2"/>
  <c r="J6339" i="2"/>
  <c r="I6339" i="2"/>
  <c r="A6339" i="2"/>
  <c r="K6338" i="2"/>
  <c r="J6338" i="2"/>
  <c r="I6338" i="2"/>
  <c r="A6338" i="2"/>
  <c r="K6337" i="2"/>
  <c r="J6337" i="2"/>
  <c r="I6337" i="2"/>
  <c r="A6337" i="2"/>
  <c r="K6336" i="2"/>
  <c r="J6336" i="2"/>
  <c r="I6336" i="2"/>
  <c r="A6336" i="2"/>
  <c r="K6335" i="2"/>
  <c r="J6335" i="2"/>
  <c r="I6335" i="2"/>
  <c r="A6335" i="2"/>
  <c r="K6334" i="2"/>
  <c r="J6334" i="2"/>
  <c r="I6334" i="2"/>
  <c r="A6334" i="2"/>
  <c r="K6333" i="2"/>
  <c r="J6333" i="2"/>
  <c r="I6333" i="2"/>
  <c r="A6333" i="2"/>
  <c r="K6332" i="2"/>
  <c r="J6332" i="2"/>
  <c r="I6332" i="2"/>
  <c r="A6332" i="2"/>
  <c r="K6331" i="2"/>
  <c r="J6331" i="2"/>
  <c r="I6331" i="2"/>
  <c r="A6331" i="2"/>
  <c r="K6330" i="2"/>
  <c r="J6330" i="2"/>
  <c r="I6330" i="2"/>
  <c r="A6330" i="2"/>
  <c r="K6329" i="2"/>
  <c r="J6329" i="2"/>
  <c r="I6329" i="2"/>
  <c r="A6329" i="2"/>
  <c r="K6328" i="2"/>
  <c r="J6328" i="2"/>
  <c r="I6328" i="2"/>
  <c r="A6328" i="2"/>
  <c r="K6327" i="2"/>
  <c r="J6327" i="2"/>
  <c r="I6327" i="2"/>
  <c r="A6327" i="2"/>
  <c r="K6326" i="2"/>
  <c r="J6326" i="2"/>
  <c r="I6326" i="2"/>
  <c r="A6326" i="2"/>
  <c r="K6325" i="2"/>
  <c r="J6325" i="2"/>
  <c r="I6325" i="2"/>
  <c r="A6325" i="2"/>
  <c r="K6324" i="2"/>
  <c r="J6324" i="2"/>
  <c r="I6324" i="2"/>
  <c r="A6324" i="2"/>
  <c r="K6323" i="2"/>
  <c r="J6323" i="2"/>
  <c r="I6323" i="2"/>
  <c r="A6323" i="2"/>
  <c r="K6322" i="2"/>
  <c r="J6322" i="2"/>
  <c r="I6322" i="2"/>
  <c r="A6322" i="2"/>
  <c r="K6321" i="2"/>
  <c r="J6321" i="2"/>
  <c r="I6321" i="2"/>
  <c r="A6321" i="2"/>
  <c r="K6320" i="2"/>
  <c r="J6320" i="2"/>
  <c r="I6320" i="2"/>
  <c r="A6320" i="2"/>
  <c r="K6319" i="2"/>
  <c r="J6319" i="2"/>
  <c r="I6319" i="2"/>
  <c r="A6319" i="2"/>
  <c r="K6318" i="2"/>
  <c r="J6318" i="2"/>
  <c r="I6318" i="2"/>
  <c r="A6318" i="2"/>
  <c r="K6317" i="2"/>
  <c r="J6317" i="2"/>
  <c r="I6317" i="2"/>
  <c r="A6317" i="2"/>
  <c r="K6316" i="2"/>
  <c r="J6316" i="2"/>
  <c r="I6316" i="2"/>
  <c r="A6316" i="2"/>
  <c r="K6315" i="2"/>
  <c r="J6315" i="2"/>
  <c r="I6315" i="2"/>
  <c r="A6315" i="2"/>
  <c r="K6314" i="2"/>
  <c r="J6314" i="2"/>
  <c r="I6314" i="2"/>
  <c r="A6314" i="2"/>
  <c r="K6313" i="2"/>
  <c r="J6313" i="2"/>
  <c r="I6313" i="2"/>
  <c r="A6313" i="2"/>
  <c r="K6312" i="2"/>
  <c r="J6312" i="2"/>
  <c r="I6312" i="2"/>
  <c r="A6312" i="2"/>
  <c r="K6311" i="2"/>
  <c r="J6311" i="2"/>
  <c r="I6311" i="2"/>
  <c r="A6311" i="2"/>
  <c r="K6310" i="2"/>
  <c r="J6310" i="2"/>
  <c r="I6310" i="2"/>
  <c r="A6310" i="2"/>
  <c r="K6309" i="2"/>
  <c r="J6309" i="2"/>
  <c r="I6309" i="2"/>
  <c r="A6309" i="2"/>
  <c r="K6308" i="2"/>
  <c r="J6308" i="2"/>
  <c r="I6308" i="2"/>
  <c r="A6308" i="2"/>
  <c r="K6307" i="2"/>
  <c r="J6307" i="2"/>
  <c r="I6307" i="2"/>
  <c r="A6307" i="2"/>
  <c r="K6306" i="2"/>
  <c r="J6306" i="2"/>
  <c r="I6306" i="2"/>
  <c r="A6306" i="2"/>
  <c r="K6305" i="2"/>
  <c r="J6305" i="2"/>
  <c r="I6305" i="2"/>
  <c r="A6305" i="2"/>
  <c r="K6304" i="2"/>
  <c r="J6304" i="2"/>
  <c r="I6304" i="2"/>
  <c r="A6304" i="2"/>
  <c r="K6303" i="2"/>
  <c r="J6303" i="2"/>
  <c r="I6303" i="2"/>
  <c r="A6303" i="2"/>
  <c r="K6302" i="2"/>
  <c r="J6302" i="2"/>
  <c r="I6302" i="2"/>
  <c r="A6302" i="2"/>
  <c r="K6301" i="2"/>
  <c r="J6301" i="2"/>
  <c r="I6301" i="2"/>
  <c r="A6301" i="2"/>
  <c r="K6300" i="2"/>
  <c r="J6300" i="2"/>
  <c r="I6300" i="2"/>
  <c r="A6300" i="2"/>
  <c r="K6299" i="2"/>
  <c r="J6299" i="2"/>
  <c r="I6299" i="2"/>
  <c r="A6299" i="2"/>
  <c r="K6298" i="2"/>
  <c r="J6298" i="2"/>
  <c r="I6298" i="2"/>
  <c r="A6298" i="2"/>
  <c r="K6297" i="2"/>
  <c r="J6297" i="2"/>
  <c r="I6297" i="2"/>
  <c r="A6297" i="2"/>
  <c r="K6296" i="2"/>
  <c r="J6296" i="2"/>
  <c r="I6296" i="2"/>
  <c r="A6296" i="2"/>
  <c r="K6295" i="2"/>
  <c r="J6295" i="2"/>
  <c r="I6295" i="2"/>
  <c r="A6295" i="2"/>
  <c r="K6294" i="2"/>
  <c r="J6294" i="2"/>
  <c r="I6294" i="2"/>
  <c r="A6294" i="2"/>
  <c r="K6293" i="2"/>
  <c r="J6293" i="2"/>
  <c r="I6293" i="2"/>
  <c r="A6293" i="2"/>
  <c r="K6292" i="2"/>
  <c r="J6292" i="2"/>
  <c r="I6292" i="2"/>
  <c r="A6292" i="2"/>
  <c r="K6291" i="2"/>
  <c r="J6291" i="2"/>
  <c r="I6291" i="2"/>
  <c r="A6291" i="2"/>
  <c r="K6290" i="2"/>
  <c r="J6290" i="2"/>
  <c r="I6290" i="2"/>
  <c r="A6290" i="2"/>
  <c r="K6289" i="2"/>
  <c r="J6289" i="2"/>
  <c r="I6289" i="2"/>
  <c r="A6289" i="2"/>
  <c r="K6288" i="2"/>
  <c r="J6288" i="2"/>
  <c r="I6288" i="2"/>
  <c r="A6288" i="2"/>
  <c r="K6287" i="2"/>
  <c r="J6287" i="2"/>
  <c r="I6287" i="2"/>
  <c r="A6287" i="2"/>
  <c r="K6286" i="2"/>
  <c r="J6286" i="2"/>
  <c r="I6286" i="2"/>
  <c r="A6286" i="2"/>
  <c r="K6285" i="2"/>
  <c r="J6285" i="2"/>
  <c r="I6285" i="2"/>
  <c r="A6285" i="2"/>
  <c r="K6284" i="2"/>
  <c r="J6284" i="2"/>
  <c r="I6284" i="2"/>
  <c r="A6284" i="2"/>
  <c r="K6283" i="2"/>
  <c r="J6283" i="2"/>
  <c r="I6283" i="2"/>
  <c r="A6283" i="2"/>
  <c r="K6282" i="2"/>
  <c r="J6282" i="2"/>
  <c r="I6282" i="2"/>
  <c r="A6282" i="2"/>
  <c r="K6281" i="2"/>
  <c r="J6281" i="2"/>
  <c r="I6281" i="2"/>
  <c r="A6281" i="2"/>
  <c r="K6280" i="2"/>
  <c r="J6280" i="2"/>
  <c r="I6280" i="2"/>
  <c r="A6280" i="2"/>
  <c r="K6279" i="2"/>
  <c r="J6279" i="2"/>
  <c r="I6279" i="2"/>
  <c r="A6279" i="2"/>
  <c r="K6278" i="2"/>
  <c r="J6278" i="2"/>
  <c r="I6278" i="2"/>
  <c r="A6278" i="2"/>
  <c r="K6277" i="2"/>
  <c r="J6277" i="2"/>
  <c r="I6277" i="2"/>
  <c r="A6277" i="2"/>
  <c r="K6276" i="2"/>
  <c r="J6276" i="2"/>
  <c r="I6276" i="2"/>
  <c r="A6276" i="2"/>
  <c r="K6275" i="2"/>
  <c r="J6275" i="2"/>
  <c r="I6275" i="2"/>
  <c r="A6275" i="2"/>
  <c r="K6274" i="2"/>
  <c r="J6274" i="2"/>
  <c r="I6274" i="2"/>
  <c r="A6274" i="2"/>
  <c r="K6273" i="2"/>
  <c r="J6273" i="2"/>
  <c r="I6273" i="2"/>
  <c r="A6273" i="2"/>
  <c r="K6272" i="2"/>
  <c r="J6272" i="2"/>
  <c r="I6272" i="2"/>
  <c r="A6272" i="2"/>
  <c r="K6271" i="2"/>
  <c r="J6271" i="2"/>
  <c r="I6271" i="2"/>
  <c r="A6271" i="2"/>
  <c r="K6270" i="2"/>
  <c r="J6270" i="2"/>
  <c r="I6270" i="2"/>
  <c r="A6270" i="2"/>
  <c r="K6269" i="2"/>
  <c r="J6269" i="2"/>
  <c r="I6269" i="2"/>
  <c r="A6269" i="2"/>
  <c r="K6268" i="2"/>
  <c r="J6268" i="2"/>
  <c r="I6268" i="2"/>
  <c r="A6268" i="2"/>
  <c r="K6267" i="2"/>
  <c r="J6267" i="2"/>
  <c r="I6267" i="2"/>
  <c r="A6267" i="2"/>
  <c r="K6266" i="2"/>
  <c r="J6266" i="2"/>
  <c r="I6266" i="2"/>
  <c r="A6266" i="2"/>
  <c r="K6265" i="2"/>
  <c r="J6265" i="2"/>
  <c r="I6265" i="2"/>
  <c r="A6265" i="2"/>
  <c r="K6264" i="2"/>
  <c r="J6264" i="2"/>
  <c r="I6264" i="2"/>
  <c r="A6264" i="2"/>
  <c r="K6263" i="2"/>
  <c r="J6263" i="2"/>
  <c r="I6263" i="2"/>
  <c r="A6263" i="2"/>
  <c r="K6262" i="2"/>
  <c r="J6262" i="2"/>
  <c r="I6262" i="2"/>
  <c r="A6262" i="2"/>
  <c r="K6261" i="2"/>
  <c r="J6261" i="2"/>
  <c r="I6261" i="2"/>
  <c r="A6261" i="2"/>
  <c r="K6260" i="2"/>
  <c r="J6260" i="2"/>
  <c r="I6260" i="2"/>
  <c r="A6260" i="2"/>
  <c r="K6259" i="2"/>
  <c r="J6259" i="2"/>
  <c r="I6259" i="2"/>
  <c r="A6259" i="2"/>
  <c r="K6258" i="2"/>
  <c r="J6258" i="2"/>
  <c r="I6258" i="2"/>
  <c r="A6258" i="2"/>
  <c r="K6257" i="2"/>
  <c r="J6257" i="2"/>
  <c r="I6257" i="2"/>
  <c r="A6257" i="2"/>
  <c r="K6256" i="2"/>
  <c r="J6256" i="2"/>
  <c r="I6256" i="2"/>
  <c r="A6256" i="2"/>
  <c r="K6255" i="2"/>
  <c r="J6255" i="2"/>
  <c r="I6255" i="2"/>
  <c r="A6255" i="2"/>
  <c r="K6254" i="2"/>
  <c r="J6254" i="2"/>
  <c r="I6254" i="2"/>
  <c r="A6254" i="2"/>
  <c r="K6253" i="2"/>
  <c r="J6253" i="2"/>
  <c r="I6253" i="2"/>
  <c r="A6253" i="2"/>
  <c r="K6252" i="2"/>
  <c r="J6252" i="2"/>
  <c r="I6252" i="2"/>
  <c r="A6252" i="2"/>
  <c r="K6251" i="2"/>
  <c r="J6251" i="2"/>
  <c r="I6251" i="2"/>
  <c r="A6251" i="2"/>
  <c r="K6250" i="2"/>
  <c r="J6250" i="2"/>
  <c r="I6250" i="2"/>
  <c r="A6250" i="2"/>
  <c r="K6249" i="2"/>
  <c r="J6249" i="2"/>
  <c r="I6249" i="2"/>
  <c r="A6249" i="2"/>
  <c r="K6248" i="2"/>
  <c r="J6248" i="2"/>
  <c r="I6248" i="2"/>
  <c r="A6248" i="2"/>
  <c r="K6247" i="2"/>
  <c r="J6247" i="2"/>
  <c r="I6247" i="2"/>
  <c r="A6247" i="2"/>
  <c r="K6246" i="2"/>
  <c r="J6246" i="2"/>
  <c r="I6246" i="2"/>
  <c r="A6246" i="2"/>
  <c r="K6245" i="2"/>
  <c r="J6245" i="2"/>
  <c r="I6245" i="2"/>
  <c r="A6245" i="2"/>
  <c r="K6244" i="2"/>
  <c r="J6244" i="2"/>
  <c r="I6244" i="2"/>
  <c r="A6244" i="2"/>
  <c r="K6243" i="2"/>
  <c r="J6243" i="2"/>
  <c r="I6243" i="2"/>
  <c r="A6243" i="2"/>
  <c r="K6242" i="2"/>
  <c r="J6242" i="2"/>
  <c r="I6242" i="2"/>
  <c r="A6242" i="2"/>
  <c r="K6241" i="2"/>
  <c r="J6241" i="2"/>
  <c r="I6241" i="2"/>
  <c r="A6241" i="2"/>
  <c r="K6240" i="2"/>
  <c r="J6240" i="2"/>
  <c r="I6240" i="2"/>
  <c r="A6240" i="2"/>
  <c r="K6239" i="2"/>
  <c r="J6239" i="2"/>
  <c r="I6239" i="2"/>
  <c r="A6239" i="2"/>
  <c r="K6238" i="2"/>
  <c r="J6238" i="2"/>
  <c r="I6238" i="2"/>
  <c r="A6238" i="2"/>
  <c r="K6237" i="2"/>
  <c r="J6237" i="2"/>
  <c r="I6237" i="2"/>
  <c r="A6237" i="2"/>
  <c r="K6236" i="2"/>
  <c r="J6236" i="2"/>
  <c r="I6236" i="2"/>
  <c r="A6236" i="2"/>
  <c r="K6235" i="2"/>
  <c r="J6235" i="2"/>
  <c r="I6235" i="2"/>
  <c r="A6235" i="2"/>
  <c r="K6234" i="2"/>
  <c r="J6234" i="2"/>
  <c r="I6234" i="2"/>
  <c r="A6234" i="2"/>
  <c r="K6233" i="2"/>
  <c r="J6233" i="2"/>
  <c r="I6233" i="2"/>
  <c r="A6233" i="2"/>
  <c r="K6232" i="2"/>
  <c r="J6232" i="2"/>
  <c r="I6232" i="2"/>
  <c r="A6232" i="2"/>
  <c r="K6231" i="2"/>
  <c r="J6231" i="2"/>
  <c r="I6231" i="2"/>
  <c r="A6231" i="2"/>
  <c r="K6230" i="2"/>
  <c r="J6230" i="2"/>
  <c r="I6230" i="2"/>
  <c r="A6230" i="2"/>
  <c r="K6229" i="2"/>
  <c r="J6229" i="2"/>
  <c r="I6229" i="2"/>
  <c r="A6229" i="2"/>
  <c r="K6228" i="2"/>
  <c r="J6228" i="2"/>
  <c r="I6228" i="2"/>
  <c r="A6228" i="2"/>
  <c r="K6227" i="2"/>
  <c r="J6227" i="2"/>
  <c r="I6227" i="2"/>
  <c r="A6227" i="2"/>
  <c r="K6226" i="2"/>
  <c r="J6226" i="2"/>
  <c r="I6226" i="2"/>
  <c r="A6226" i="2"/>
  <c r="K6225" i="2"/>
  <c r="J6225" i="2"/>
  <c r="I6225" i="2"/>
  <c r="A6225" i="2"/>
  <c r="K6224" i="2"/>
  <c r="J6224" i="2"/>
  <c r="I6224" i="2"/>
  <c r="A6224" i="2"/>
  <c r="K6223" i="2"/>
  <c r="J6223" i="2"/>
  <c r="I6223" i="2"/>
  <c r="A6223" i="2"/>
  <c r="K6222" i="2"/>
  <c r="J6222" i="2"/>
  <c r="I6222" i="2"/>
  <c r="A6222" i="2"/>
  <c r="K6221" i="2"/>
  <c r="J6221" i="2"/>
  <c r="I6221" i="2"/>
  <c r="A6221" i="2"/>
  <c r="K6220" i="2"/>
  <c r="J6220" i="2"/>
  <c r="I6220" i="2"/>
  <c r="A6220" i="2"/>
  <c r="K6219" i="2"/>
  <c r="J6219" i="2"/>
  <c r="I6219" i="2"/>
  <c r="A6219" i="2"/>
  <c r="K6218" i="2"/>
  <c r="J6218" i="2"/>
  <c r="I6218" i="2"/>
  <c r="A6218" i="2"/>
  <c r="K6217" i="2"/>
  <c r="J6217" i="2"/>
  <c r="I6217" i="2"/>
  <c r="A6217" i="2"/>
  <c r="K6216" i="2"/>
  <c r="J6216" i="2"/>
  <c r="I6216" i="2"/>
  <c r="A6216" i="2"/>
  <c r="K6215" i="2"/>
  <c r="J6215" i="2"/>
  <c r="I6215" i="2"/>
  <c r="A6215" i="2"/>
  <c r="K6214" i="2"/>
  <c r="J6214" i="2"/>
  <c r="I6214" i="2"/>
  <c r="A6214" i="2"/>
  <c r="K6213" i="2"/>
  <c r="J6213" i="2"/>
  <c r="I6213" i="2"/>
  <c r="A6213" i="2"/>
  <c r="K6212" i="2"/>
  <c r="J6212" i="2"/>
  <c r="I6212" i="2"/>
  <c r="A6212" i="2"/>
  <c r="K6211" i="2"/>
  <c r="J6211" i="2"/>
  <c r="I6211" i="2"/>
  <c r="A6211" i="2"/>
  <c r="K6210" i="2"/>
  <c r="J6210" i="2"/>
  <c r="I6210" i="2"/>
  <c r="A6210" i="2"/>
  <c r="K6209" i="2"/>
  <c r="J6209" i="2"/>
  <c r="I6209" i="2"/>
  <c r="A6209" i="2"/>
  <c r="K6208" i="2"/>
  <c r="J6208" i="2"/>
  <c r="I6208" i="2"/>
  <c r="A6208" i="2"/>
  <c r="K6207" i="2"/>
  <c r="J6207" i="2"/>
  <c r="I6207" i="2"/>
  <c r="A6207" i="2"/>
  <c r="K6206" i="2"/>
  <c r="J6206" i="2"/>
  <c r="I6206" i="2"/>
  <c r="A6206" i="2"/>
  <c r="K6205" i="2"/>
  <c r="J6205" i="2"/>
  <c r="I6205" i="2"/>
  <c r="A6205" i="2"/>
  <c r="K6204" i="2"/>
  <c r="J6204" i="2"/>
  <c r="I6204" i="2"/>
  <c r="A6204" i="2"/>
  <c r="K6203" i="2"/>
  <c r="J6203" i="2"/>
  <c r="I6203" i="2"/>
  <c r="A6203" i="2"/>
  <c r="K6202" i="2"/>
  <c r="J6202" i="2"/>
  <c r="I6202" i="2"/>
  <c r="A6202" i="2"/>
  <c r="K6201" i="2"/>
  <c r="J6201" i="2"/>
  <c r="I6201" i="2"/>
  <c r="A6201" i="2"/>
  <c r="K6200" i="2"/>
  <c r="J6200" i="2"/>
  <c r="I6200" i="2"/>
  <c r="A6200" i="2"/>
  <c r="K6199" i="2"/>
  <c r="J6199" i="2"/>
  <c r="I6199" i="2"/>
  <c r="A6199" i="2"/>
  <c r="K6198" i="2"/>
  <c r="J6198" i="2"/>
  <c r="I6198" i="2"/>
  <c r="A6198" i="2"/>
  <c r="K6197" i="2"/>
  <c r="J6197" i="2"/>
  <c r="I6197" i="2"/>
  <c r="A6197" i="2"/>
  <c r="K6196" i="2"/>
  <c r="J6196" i="2"/>
  <c r="I6196" i="2"/>
  <c r="A6196" i="2"/>
  <c r="K6195" i="2"/>
  <c r="J6195" i="2"/>
  <c r="I6195" i="2"/>
  <c r="A6195" i="2"/>
  <c r="K6194" i="2"/>
  <c r="J6194" i="2"/>
  <c r="I6194" i="2"/>
  <c r="A6194" i="2"/>
  <c r="K6193" i="2"/>
  <c r="J6193" i="2"/>
  <c r="I6193" i="2"/>
  <c r="A6193" i="2"/>
  <c r="K6192" i="2"/>
  <c r="J6192" i="2"/>
  <c r="I6192" i="2"/>
  <c r="A6192" i="2"/>
  <c r="K6191" i="2"/>
  <c r="J6191" i="2"/>
  <c r="I6191" i="2"/>
  <c r="A6191" i="2"/>
  <c r="K6190" i="2"/>
  <c r="J6190" i="2"/>
  <c r="I6190" i="2"/>
  <c r="A6190" i="2"/>
  <c r="K6189" i="2"/>
  <c r="J6189" i="2"/>
  <c r="I6189" i="2"/>
  <c r="A6189" i="2"/>
  <c r="K6188" i="2"/>
  <c r="J6188" i="2"/>
  <c r="I6188" i="2"/>
  <c r="A6188" i="2"/>
  <c r="K6187" i="2"/>
  <c r="J6187" i="2"/>
  <c r="I6187" i="2"/>
  <c r="A6187" i="2"/>
  <c r="K6186" i="2"/>
  <c r="J6186" i="2"/>
  <c r="I6186" i="2"/>
  <c r="A6186" i="2"/>
  <c r="K6185" i="2"/>
  <c r="J6185" i="2"/>
  <c r="I6185" i="2"/>
  <c r="A6185" i="2"/>
  <c r="K6184" i="2"/>
  <c r="J6184" i="2"/>
  <c r="I6184" i="2"/>
  <c r="A6184" i="2"/>
  <c r="K6183" i="2"/>
  <c r="J6183" i="2"/>
  <c r="I6183" i="2"/>
  <c r="A6183" i="2"/>
  <c r="K6182" i="2"/>
  <c r="J6182" i="2"/>
  <c r="I6182" i="2"/>
  <c r="A6182" i="2"/>
  <c r="K6181" i="2"/>
  <c r="J6181" i="2"/>
  <c r="I6181" i="2"/>
  <c r="A6181" i="2"/>
  <c r="K6180" i="2"/>
  <c r="J6180" i="2"/>
  <c r="I6180" i="2"/>
  <c r="A6180" i="2"/>
  <c r="K6179" i="2"/>
  <c r="J6179" i="2"/>
  <c r="I6179" i="2"/>
  <c r="A6179" i="2"/>
  <c r="K6178" i="2"/>
  <c r="J6178" i="2"/>
  <c r="I6178" i="2"/>
  <c r="A6178" i="2"/>
  <c r="K6177" i="2"/>
  <c r="J6177" i="2"/>
  <c r="I6177" i="2"/>
  <c r="A6177" i="2"/>
  <c r="K6176" i="2"/>
  <c r="J6176" i="2"/>
  <c r="I6176" i="2"/>
  <c r="A6176" i="2"/>
  <c r="K6175" i="2"/>
  <c r="J6175" i="2"/>
  <c r="I6175" i="2"/>
  <c r="A6175" i="2"/>
  <c r="K6174" i="2"/>
  <c r="J6174" i="2"/>
  <c r="I6174" i="2"/>
  <c r="A6174" i="2"/>
  <c r="K6173" i="2"/>
  <c r="J6173" i="2"/>
  <c r="I6173" i="2"/>
  <c r="A6173" i="2"/>
  <c r="K6172" i="2"/>
  <c r="J6172" i="2"/>
  <c r="I6172" i="2"/>
  <c r="A6172" i="2"/>
  <c r="K6171" i="2"/>
  <c r="J6171" i="2"/>
  <c r="I6171" i="2"/>
  <c r="A6171" i="2"/>
  <c r="K6170" i="2"/>
  <c r="J6170" i="2"/>
  <c r="I6170" i="2"/>
  <c r="A6170" i="2"/>
  <c r="K6169" i="2"/>
  <c r="J6169" i="2"/>
  <c r="I6169" i="2"/>
  <c r="A6169" i="2"/>
  <c r="K6168" i="2"/>
  <c r="J6168" i="2"/>
  <c r="I6168" i="2"/>
  <c r="A6168" i="2"/>
  <c r="K6167" i="2"/>
  <c r="J6167" i="2"/>
  <c r="I6167" i="2"/>
  <c r="A6167" i="2"/>
  <c r="K6166" i="2"/>
  <c r="J6166" i="2"/>
  <c r="I6166" i="2"/>
  <c r="A6166" i="2"/>
  <c r="K6165" i="2"/>
  <c r="J6165" i="2"/>
  <c r="I6165" i="2"/>
  <c r="A6165" i="2"/>
  <c r="K6164" i="2"/>
  <c r="J6164" i="2"/>
  <c r="I6164" i="2"/>
  <c r="A6164" i="2"/>
  <c r="K6163" i="2"/>
  <c r="J6163" i="2"/>
  <c r="I6163" i="2"/>
  <c r="A6163" i="2"/>
  <c r="K6162" i="2"/>
  <c r="J6162" i="2"/>
  <c r="I6162" i="2"/>
  <c r="A6162" i="2"/>
  <c r="K6161" i="2"/>
  <c r="J6161" i="2"/>
  <c r="I6161" i="2"/>
  <c r="A6161" i="2"/>
  <c r="K6160" i="2"/>
  <c r="J6160" i="2"/>
  <c r="I6160" i="2"/>
  <c r="A6160" i="2"/>
  <c r="K6159" i="2"/>
  <c r="J6159" i="2"/>
  <c r="I6159" i="2"/>
  <c r="A6159" i="2"/>
  <c r="K6158" i="2"/>
  <c r="J6158" i="2"/>
  <c r="I6158" i="2"/>
  <c r="A6158" i="2"/>
  <c r="K6157" i="2"/>
  <c r="J6157" i="2"/>
  <c r="I6157" i="2"/>
  <c r="A6157" i="2"/>
  <c r="K6156" i="2"/>
  <c r="J6156" i="2"/>
  <c r="I6156" i="2"/>
  <c r="A6156" i="2"/>
  <c r="K6155" i="2"/>
  <c r="J6155" i="2"/>
  <c r="I6155" i="2"/>
  <c r="A6155" i="2"/>
  <c r="K6154" i="2"/>
  <c r="J6154" i="2"/>
  <c r="I6154" i="2"/>
  <c r="A6154" i="2"/>
  <c r="K6153" i="2"/>
  <c r="J6153" i="2"/>
  <c r="I6153" i="2"/>
  <c r="A6153" i="2"/>
  <c r="K6152" i="2"/>
  <c r="J6152" i="2"/>
  <c r="I6152" i="2"/>
  <c r="A6152" i="2"/>
  <c r="K6151" i="2"/>
  <c r="J6151" i="2"/>
  <c r="I6151" i="2"/>
  <c r="A6151" i="2"/>
  <c r="K6150" i="2"/>
  <c r="J6150" i="2"/>
  <c r="I6150" i="2"/>
  <c r="A6150" i="2"/>
  <c r="K6149" i="2"/>
  <c r="J6149" i="2"/>
  <c r="I6149" i="2"/>
  <c r="A6149" i="2"/>
  <c r="K6148" i="2"/>
  <c r="J6148" i="2"/>
  <c r="I6148" i="2"/>
  <c r="A6148" i="2"/>
  <c r="K6147" i="2"/>
  <c r="J6147" i="2"/>
  <c r="I6147" i="2"/>
  <c r="A6147" i="2"/>
  <c r="K6146" i="2"/>
  <c r="J6146" i="2"/>
  <c r="I6146" i="2"/>
  <c r="A6146" i="2"/>
  <c r="K6145" i="2"/>
  <c r="J6145" i="2"/>
  <c r="I6145" i="2"/>
  <c r="A6145" i="2"/>
  <c r="K6144" i="2"/>
  <c r="J6144" i="2"/>
  <c r="I6144" i="2"/>
  <c r="A6144" i="2"/>
  <c r="K6143" i="2"/>
  <c r="J6143" i="2"/>
  <c r="I6143" i="2"/>
  <c r="A6143" i="2"/>
  <c r="K6142" i="2"/>
  <c r="J6142" i="2"/>
  <c r="I6142" i="2"/>
  <c r="A6142" i="2"/>
  <c r="K6141" i="2"/>
  <c r="J6141" i="2"/>
  <c r="I6141" i="2"/>
  <c r="A6141" i="2"/>
  <c r="K6140" i="2"/>
  <c r="J6140" i="2"/>
  <c r="I6140" i="2"/>
  <c r="A6140" i="2"/>
  <c r="K6139" i="2"/>
  <c r="J6139" i="2"/>
  <c r="I6139" i="2"/>
  <c r="A6139" i="2"/>
  <c r="K6138" i="2"/>
  <c r="J6138" i="2"/>
  <c r="I6138" i="2"/>
  <c r="A6138" i="2"/>
  <c r="K6137" i="2"/>
  <c r="J6137" i="2"/>
  <c r="I6137" i="2"/>
  <c r="A6137" i="2"/>
  <c r="K6136" i="2"/>
  <c r="J6136" i="2"/>
  <c r="I6136" i="2"/>
  <c r="A6136" i="2"/>
  <c r="K6135" i="2"/>
  <c r="J6135" i="2"/>
  <c r="I6135" i="2"/>
  <c r="A6135" i="2"/>
  <c r="K6134" i="2"/>
  <c r="J6134" i="2"/>
  <c r="I6134" i="2"/>
  <c r="A6134" i="2"/>
  <c r="K6133" i="2"/>
  <c r="J6133" i="2"/>
  <c r="I6133" i="2"/>
  <c r="A6133" i="2"/>
  <c r="K6132" i="2"/>
  <c r="J6132" i="2"/>
  <c r="I6132" i="2"/>
  <c r="A6132" i="2"/>
  <c r="K6131" i="2"/>
  <c r="J6131" i="2"/>
  <c r="I6131" i="2"/>
  <c r="A6131" i="2"/>
  <c r="K6130" i="2"/>
  <c r="J6130" i="2"/>
  <c r="I6130" i="2"/>
  <c r="A6130" i="2"/>
  <c r="K6129" i="2"/>
  <c r="J6129" i="2"/>
  <c r="I6129" i="2"/>
  <c r="A6129" i="2"/>
  <c r="K6128" i="2"/>
  <c r="J6128" i="2"/>
  <c r="I6128" i="2"/>
  <c r="A6128" i="2"/>
  <c r="K6127" i="2"/>
  <c r="J6127" i="2"/>
  <c r="I6127" i="2"/>
  <c r="A6127" i="2"/>
  <c r="K6126" i="2"/>
  <c r="J6126" i="2"/>
  <c r="I6126" i="2"/>
  <c r="A6126" i="2"/>
  <c r="K6125" i="2"/>
  <c r="J6125" i="2"/>
  <c r="I6125" i="2"/>
  <c r="A6125" i="2"/>
  <c r="K6124" i="2"/>
  <c r="J6124" i="2"/>
  <c r="I6124" i="2"/>
  <c r="A6124" i="2"/>
  <c r="K6123" i="2"/>
  <c r="J6123" i="2"/>
  <c r="I6123" i="2"/>
  <c r="A6123" i="2"/>
  <c r="K6122" i="2"/>
  <c r="J6122" i="2"/>
  <c r="I6122" i="2"/>
  <c r="A6122" i="2"/>
  <c r="K6121" i="2"/>
  <c r="J6121" i="2"/>
  <c r="I6121" i="2"/>
  <c r="A6121" i="2"/>
  <c r="K6120" i="2"/>
  <c r="J6120" i="2"/>
  <c r="I6120" i="2"/>
  <c r="A6120" i="2"/>
  <c r="K6119" i="2"/>
  <c r="J6119" i="2"/>
  <c r="I6119" i="2"/>
  <c r="A6119" i="2"/>
  <c r="K6118" i="2"/>
  <c r="J6118" i="2"/>
  <c r="I6118" i="2"/>
  <c r="A6118" i="2"/>
  <c r="K6117" i="2"/>
  <c r="J6117" i="2"/>
  <c r="I6117" i="2"/>
  <c r="A6117" i="2"/>
  <c r="K6116" i="2"/>
  <c r="J6116" i="2"/>
  <c r="I6116" i="2"/>
  <c r="A6116" i="2"/>
  <c r="K6115" i="2"/>
  <c r="J6115" i="2"/>
  <c r="I6115" i="2"/>
  <c r="A6115" i="2"/>
  <c r="K6114" i="2"/>
  <c r="J6114" i="2"/>
  <c r="I6114" i="2"/>
  <c r="A6114" i="2"/>
  <c r="K6113" i="2"/>
  <c r="J6113" i="2"/>
  <c r="I6113" i="2"/>
  <c r="A6113" i="2"/>
  <c r="K6112" i="2"/>
  <c r="J6112" i="2"/>
  <c r="I6112" i="2"/>
  <c r="A6112" i="2"/>
  <c r="K6111" i="2"/>
  <c r="J6111" i="2"/>
  <c r="I6111" i="2"/>
  <c r="A6111" i="2"/>
  <c r="K6110" i="2"/>
  <c r="J6110" i="2"/>
  <c r="I6110" i="2"/>
  <c r="A6110" i="2"/>
  <c r="K6109" i="2"/>
  <c r="J6109" i="2"/>
  <c r="I6109" i="2"/>
  <c r="A6109" i="2"/>
  <c r="K6108" i="2"/>
  <c r="J6108" i="2"/>
  <c r="I6108" i="2"/>
  <c r="A6108" i="2"/>
  <c r="K6107" i="2"/>
  <c r="J6107" i="2"/>
  <c r="I6107" i="2"/>
  <c r="A6107" i="2"/>
  <c r="K6106" i="2"/>
  <c r="J6106" i="2"/>
  <c r="I6106" i="2"/>
  <c r="A6106" i="2"/>
  <c r="K6105" i="2"/>
  <c r="J6105" i="2"/>
  <c r="I6105" i="2"/>
  <c r="A6105" i="2"/>
  <c r="K6104" i="2"/>
  <c r="J6104" i="2"/>
  <c r="I6104" i="2"/>
  <c r="A6104" i="2"/>
  <c r="K6103" i="2"/>
  <c r="J6103" i="2"/>
  <c r="I6103" i="2"/>
  <c r="A6103" i="2"/>
  <c r="K6102" i="2"/>
  <c r="J6102" i="2"/>
  <c r="I6102" i="2"/>
  <c r="A6102" i="2"/>
  <c r="K6101" i="2"/>
  <c r="J6101" i="2"/>
  <c r="I6101" i="2"/>
  <c r="A6101" i="2"/>
  <c r="K6100" i="2"/>
  <c r="J6100" i="2"/>
  <c r="I6100" i="2"/>
  <c r="A6100" i="2"/>
  <c r="K6099" i="2"/>
  <c r="J6099" i="2"/>
  <c r="I6099" i="2"/>
  <c r="A6099" i="2"/>
  <c r="K6098" i="2"/>
  <c r="J6098" i="2"/>
  <c r="I6098" i="2"/>
  <c r="A6098" i="2"/>
  <c r="K6097" i="2"/>
  <c r="J6097" i="2"/>
  <c r="I6097" i="2"/>
  <c r="A6097" i="2"/>
  <c r="K6096" i="2"/>
  <c r="J6096" i="2"/>
  <c r="I6096" i="2"/>
  <c r="A6096" i="2"/>
  <c r="K6095" i="2"/>
  <c r="J6095" i="2"/>
  <c r="I6095" i="2"/>
  <c r="A6095" i="2"/>
  <c r="K6094" i="2"/>
  <c r="J6094" i="2"/>
  <c r="I6094" i="2"/>
  <c r="A6094" i="2"/>
  <c r="K6093" i="2"/>
  <c r="J6093" i="2"/>
  <c r="I6093" i="2"/>
  <c r="A6093" i="2"/>
  <c r="K6092" i="2"/>
  <c r="J6092" i="2"/>
  <c r="I6092" i="2"/>
  <c r="A6092" i="2"/>
  <c r="K6091" i="2"/>
  <c r="J6091" i="2"/>
  <c r="I6091" i="2"/>
  <c r="A6091" i="2"/>
  <c r="K6090" i="2"/>
  <c r="J6090" i="2"/>
  <c r="I6090" i="2"/>
  <c r="A6090" i="2"/>
  <c r="K6089" i="2"/>
  <c r="J6089" i="2"/>
  <c r="I6089" i="2"/>
  <c r="A6089" i="2"/>
  <c r="K6088" i="2"/>
  <c r="J6088" i="2"/>
  <c r="I6088" i="2"/>
  <c r="A6088" i="2"/>
  <c r="K6087" i="2"/>
  <c r="J6087" i="2"/>
  <c r="I6087" i="2"/>
  <c r="A6087" i="2"/>
  <c r="K6086" i="2"/>
  <c r="J6086" i="2"/>
  <c r="I6086" i="2"/>
  <c r="A6086" i="2"/>
  <c r="K6085" i="2"/>
  <c r="J6085" i="2"/>
  <c r="I6085" i="2"/>
  <c r="A6085" i="2"/>
  <c r="K6084" i="2"/>
  <c r="J6084" i="2"/>
  <c r="I6084" i="2"/>
  <c r="A6084" i="2"/>
  <c r="K6083" i="2"/>
  <c r="J6083" i="2"/>
  <c r="I6083" i="2"/>
  <c r="A6083" i="2"/>
  <c r="K6082" i="2"/>
  <c r="J6082" i="2"/>
  <c r="I6082" i="2"/>
  <c r="A6082" i="2"/>
  <c r="K6081" i="2"/>
  <c r="J6081" i="2"/>
  <c r="I6081" i="2"/>
  <c r="A6081" i="2"/>
  <c r="K6080" i="2"/>
  <c r="J6080" i="2"/>
  <c r="I6080" i="2"/>
  <c r="A6080" i="2"/>
  <c r="K6079" i="2"/>
  <c r="J6079" i="2"/>
  <c r="I6079" i="2"/>
  <c r="A6079" i="2"/>
  <c r="K6078" i="2"/>
  <c r="J6078" i="2"/>
  <c r="I6078" i="2"/>
  <c r="A6078" i="2"/>
  <c r="K6077" i="2"/>
  <c r="J6077" i="2"/>
  <c r="I6077" i="2"/>
  <c r="A6077" i="2"/>
  <c r="K6076" i="2"/>
  <c r="J6076" i="2"/>
  <c r="I6076" i="2"/>
  <c r="A6076" i="2"/>
  <c r="K6075" i="2"/>
  <c r="J6075" i="2"/>
  <c r="I6075" i="2"/>
  <c r="A6075" i="2"/>
  <c r="K6074" i="2"/>
  <c r="J6074" i="2"/>
  <c r="I6074" i="2"/>
  <c r="A6074" i="2"/>
  <c r="K6073" i="2"/>
  <c r="J6073" i="2"/>
  <c r="I6073" i="2"/>
  <c r="A6073" i="2"/>
  <c r="K6072" i="2"/>
  <c r="J6072" i="2"/>
  <c r="I6072" i="2"/>
  <c r="A6072" i="2"/>
  <c r="K6071" i="2"/>
  <c r="J6071" i="2"/>
  <c r="I6071" i="2"/>
  <c r="A6071" i="2"/>
  <c r="K6070" i="2"/>
  <c r="J6070" i="2"/>
  <c r="I6070" i="2"/>
  <c r="A6070" i="2"/>
  <c r="K6069" i="2"/>
  <c r="J6069" i="2"/>
  <c r="I6069" i="2"/>
  <c r="A6069" i="2"/>
  <c r="K6068" i="2"/>
  <c r="J6068" i="2"/>
  <c r="I6068" i="2"/>
  <c r="A6068" i="2"/>
  <c r="K6067" i="2"/>
  <c r="J6067" i="2"/>
  <c r="I6067" i="2"/>
  <c r="A6067" i="2"/>
  <c r="K6066" i="2"/>
  <c r="J6066" i="2"/>
  <c r="I6066" i="2"/>
  <c r="A6066" i="2"/>
  <c r="K6065" i="2"/>
  <c r="J6065" i="2"/>
  <c r="I6065" i="2"/>
  <c r="A6065" i="2"/>
  <c r="K6064" i="2"/>
  <c r="J6064" i="2"/>
  <c r="I6064" i="2"/>
  <c r="A6064" i="2"/>
  <c r="K6063" i="2"/>
  <c r="J6063" i="2"/>
  <c r="I6063" i="2"/>
  <c r="A6063" i="2"/>
  <c r="K6062" i="2"/>
  <c r="J6062" i="2"/>
  <c r="I6062" i="2"/>
  <c r="A6062" i="2"/>
  <c r="K6061" i="2"/>
  <c r="J6061" i="2"/>
  <c r="I6061" i="2"/>
  <c r="A6061" i="2"/>
  <c r="K6060" i="2"/>
  <c r="J6060" i="2"/>
  <c r="I6060" i="2"/>
  <c r="A6060" i="2"/>
  <c r="K6059" i="2"/>
  <c r="J6059" i="2"/>
  <c r="I6059" i="2"/>
  <c r="A6059" i="2"/>
  <c r="K6058" i="2"/>
  <c r="J6058" i="2"/>
  <c r="I6058" i="2"/>
  <c r="A6058" i="2"/>
  <c r="K6057" i="2"/>
  <c r="J6057" i="2"/>
  <c r="I6057" i="2"/>
  <c r="A6057" i="2"/>
  <c r="K6056" i="2"/>
  <c r="J6056" i="2"/>
  <c r="I6056" i="2"/>
  <c r="A6056" i="2"/>
  <c r="K6055" i="2"/>
  <c r="J6055" i="2"/>
  <c r="I6055" i="2"/>
  <c r="A6055" i="2"/>
  <c r="K6054" i="2"/>
  <c r="J6054" i="2"/>
  <c r="I6054" i="2"/>
  <c r="A6054" i="2"/>
  <c r="K6053" i="2"/>
  <c r="J6053" i="2"/>
  <c r="I6053" i="2"/>
  <c r="A6053" i="2"/>
  <c r="K6052" i="2"/>
  <c r="J6052" i="2"/>
  <c r="I6052" i="2"/>
  <c r="A6052" i="2"/>
  <c r="K6051" i="2"/>
  <c r="J6051" i="2"/>
  <c r="I6051" i="2"/>
  <c r="A6051" i="2"/>
  <c r="K6050" i="2"/>
  <c r="J6050" i="2"/>
  <c r="I6050" i="2"/>
  <c r="A6050" i="2"/>
  <c r="K6049" i="2"/>
  <c r="J6049" i="2"/>
  <c r="I6049" i="2"/>
  <c r="A6049" i="2"/>
  <c r="K6048" i="2"/>
  <c r="J6048" i="2"/>
  <c r="I6048" i="2"/>
  <c r="A6048" i="2"/>
  <c r="K6047" i="2"/>
  <c r="J6047" i="2"/>
  <c r="I6047" i="2"/>
  <c r="A6047" i="2"/>
  <c r="K6046" i="2"/>
  <c r="J6046" i="2"/>
  <c r="I6046" i="2"/>
  <c r="A6046" i="2"/>
  <c r="K6045" i="2"/>
  <c r="J6045" i="2"/>
  <c r="I6045" i="2"/>
  <c r="A6045" i="2"/>
  <c r="K6044" i="2"/>
  <c r="J6044" i="2"/>
  <c r="I6044" i="2"/>
  <c r="A6044" i="2"/>
  <c r="K6043" i="2"/>
  <c r="J6043" i="2"/>
  <c r="I6043" i="2"/>
  <c r="A6043" i="2"/>
  <c r="K6042" i="2"/>
  <c r="J6042" i="2"/>
  <c r="I6042" i="2"/>
  <c r="A6042" i="2"/>
  <c r="K6041" i="2"/>
  <c r="J6041" i="2"/>
  <c r="I6041" i="2"/>
  <c r="A6041" i="2"/>
  <c r="K6040" i="2"/>
  <c r="J6040" i="2"/>
  <c r="I6040" i="2"/>
  <c r="A6040" i="2"/>
  <c r="K6039" i="2"/>
  <c r="J6039" i="2"/>
  <c r="I6039" i="2"/>
  <c r="A6039" i="2"/>
  <c r="K6038" i="2"/>
  <c r="J6038" i="2"/>
  <c r="I6038" i="2"/>
  <c r="A6038" i="2"/>
  <c r="K6037" i="2"/>
  <c r="J6037" i="2"/>
  <c r="I6037" i="2"/>
  <c r="A6037" i="2"/>
  <c r="K6036" i="2"/>
  <c r="J6036" i="2"/>
  <c r="I6036" i="2"/>
  <c r="A6036" i="2"/>
  <c r="K6035" i="2"/>
  <c r="J6035" i="2"/>
  <c r="I6035" i="2"/>
  <c r="A6035" i="2"/>
  <c r="K6034" i="2"/>
  <c r="J6034" i="2"/>
  <c r="I6034" i="2"/>
  <c r="A6034" i="2"/>
  <c r="K6033" i="2"/>
  <c r="J6033" i="2"/>
  <c r="I6033" i="2"/>
  <c r="A6033" i="2"/>
  <c r="K6032" i="2"/>
  <c r="J6032" i="2"/>
  <c r="I6032" i="2"/>
  <c r="A6032" i="2"/>
  <c r="K6031" i="2"/>
  <c r="J6031" i="2"/>
  <c r="I6031" i="2"/>
  <c r="A6031" i="2"/>
  <c r="K6030" i="2"/>
  <c r="J6030" i="2"/>
  <c r="I6030" i="2"/>
  <c r="A6030" i="2"/>
  <c r="K6029" i="2"/>
  <c r="J6029" i="2"/>
  <c r="I6029" i="2"/>
  <c r="A6029" i="2"/>
  <c r="K6028" i="2"/>
  <c r="J6028" i="2"/>
  <c r="I6028" i="2"/>
  <c r="A6028" i="2"/>
  <c r="K6027" i="2"/>
  <c r="J6027" i="2"/>
  <c r="I6027" i="2"/>
  <c r="A6027" i="2"/>
  <c r="K6026" i="2"/>
  <c r="J6026" i="2"/>
  <c r="I6026" i="2"/>
  <c r="A6026" i="2"/>
  <c r="K6025" i="2"/>
  <c r="J6025" i="2"/>
  <c r="I6025" i="2"/>
  <c r="A6025" i="2"/>
  <c r="K6024" i="2"/>
  <c r="J6024" i="2"/>
  <c r="I6024" i="2"/>
  <c r="A6024" i="2"/>
  <c r="K6023" i="2"/>
  <c r="J6023" i="2"/>
  <c r="I6023" i="2"/>
  <c r="A6023" i="2"/>
  <c r="K6022" i="2"/>
  <c r="J6022" i="2"/>
  <c r="I6022" i="2"/>
  <c r="A6022" i="2"/>
  <c r="K6021" i="2"/>
  <c r="J6021" i="2"/>
  <c r="I6021" i="2"/>
  <c r="A6021" i="2"/>
  <c r="K6020" i="2"/>
  <c r="J6020" i="2"/>
  <c r="I6020" i="2"/>
  <c r="A6020" i="2"/>
  <c r="K6019" i="2"/>
  <c r="J6019" i="2"/>
  <c r="I6019" i="2"/>
  <c r="A6019" i="2"/>
  <c r="K6018" i="2"/>
  <c r="J6018" i="2"/>
  <c r="I6018" i="2"/>
  <c r="A6018" i="2"/>
  <c r="K6017" i="2"/>
  <c r="J6017" i="2"/>
  <c r="I6017" i="2"/>
  <c r="A6017" i="2"/>
  <c r="K6016" i="2"/>
  <c r="J6016" i="2"/>
  <c r="I6016" i="2"/>
  <c r="A6016" i="2"/>
  <c r="K6015" i="2"/>
  <c r="J6015" i="2"/>
  <c r="I6015" i="2"/>
  <c r="A6015" i="2"/>
  <c r="K6014" i="2"/>
  <c r="J6014" i="2"/>
  <c r="I6014" i="2"/>
  <c r="A6014" i="2"/>
  <c r="K6013" i="2"/>
  <c r="J6013" i="2"/>
  <c r="I6013" i="2"/>
  <c r="A6013" i="2"/>
  <c r="K6012" i="2"/>
  <c r="J6012" i="2"/>
  <c r="I6012" i="2"/>
  <c r="A6012" i="2"/>
  <c r="K6011" i="2"/>
  <c r="J6011" i="2"/>
  <c r="I6011" i="2"/>
  <c r="A6011" i="2"/>
  <c r="K6010" i="2"/>
  <c r="J6010" i="2"/>
  <c r="I6010" i="2"/>
  <c r="A6010" i="2"/>
  <c r="K6009" i="2"/>
  <c r="J6009" i="2"/>
  <c r="I6009" i="2"/>
  <c r="A6009" i="2"/>
  <c r="K6008" i="2"/>
  <c r="J6008" i="2"/>
  <c r="I6008" i="2"/>
  <c r="A6008" i="2"/>
  <c r="K6007" i="2"/>
  <c r="J6007" i="2"/>
  <c r="I6007" i="2"/>
  <c r="A6007" i="2"/>
  <c r="K6006" i="2"/>
  <c r="J6006" i="2"/>
  <c r="I6006" i="2"/>
  <c r="A6006" i="2"/>
  <c r="K6005" i="2"/>
  <c r="J6005" i="2"/>
  <c r="I6005" i="2"/>
  <c r="A6005" i="2"/>
  <c r="K6004" i="2"/>
  <c r="J6004" i="2"/>
  <c r="I6004" i="2"/>
  <c r="A6004" i="2"/>
  <c r="K6003" i="2"/>
  <c r="J6003" i="2"/>
  <c r="I6003" i="2"/>
  <c r="A6003" i="2"/>
  <c r="K6002" i="2"/>
  <c r="J6002" i="2"/>
  <c r="I6002" i="2"/>
  <c r="A6002" i="2"/>
  <c r="K6001" i="2"/>
  <c r="J6001" i="2"/>
  <c r="I6001" i="2"/>
  <c r="A6001" i="2"/>
  <c r="K6000" i="2"/>
  <c r="J6000" i="2"/>
  <c r="I6000" i="2"/>
  <c r="A6000" i="2"/>
  <c r="K5999" i="2"/>
  <c r="J5999" i="2"/>
  <c r="I5999" i="2"/>
  <c r="A5999" i="2"/>
  <c r="K5998" i="2"/>
  <c r="J5998" i="2"/>
  <c r="I5998" i="2"/>
  <c r="A5998" i="2"/>
  <c r="K5997" i="2"/>
  <c r="J5997" i="2"/>
  <c r="I5997" i="2"/>
  <c r="A5997" i="2"/>
  <c r="K5996" i="2"/>
  <c r="J5996" i="2"/>
  <c r="I5996" i="2"/>
  <c r="A5996" i="2"/>
  <c r="K5995" i="2"/>
  <c r="J5995" i="2"/>
  <c r="I5995" i="2"/>
  <c r="A5995" i="2"/>
  <c r="K5994" i="2"/>
  <c r="J5994" i="2"/>
  <c r="I5994" i="2"/>
  <c r="A5994" i="2"/>
  <c r="K5993" i="2"/>
  <c r="J5993" i="2"/>
  <c r="I5993" i="2"/>
  <c r="A5993" i="2"/>
  <c r="K5992" i="2"/>
  <c r="J5992" i="2"/>
  <c r="I5992" i="2"/>
  <c r="A5992" i="2"/>
  <c r="K5991" i="2"/>
  <c r="J5991" i="2"/>
  <c r="I5991" i="2"/>
  <c r="A5991" i="2"/>
  <c r="K5990" i="2"/>
  <c r="J5990" i="2"/>
  <c r="I5990" i="2"/>
  <c r="A5990" i="2"/>
  <c r="K5989" i="2"/>
  <c r="J5989" i="2"/>
  <c r="I5989" i="2"/>
  <c r="A5989" i="2"/>
  <c r="K5988" i="2"/>
  <c r="J5988" i="2"/>
  <c r="I5988" i="2"/>
  <c r="A5988" i="2"/>
  <c r="K5987" i="2"/>
  <c r="J5987" i="2"/>
  <c r="I5987" i="2"/>
  <c r="A5987" i="2"/>
  <c r="K5986" i="2"/>
  <c r="J5986" i="2"/>
  <c r="I5986" i="2"/>
  <c r="A5986" i="2"/>
  <c r="K5985" i="2"/>
  <c r="J5985" i="2"/>
  <c r="I5985" i="2"/>
  <c r="A5985" i="2"/>
  <c r="K5984" i="2"/>
  <c r="J5984" i="2"/>
  <c r="I5984" i="2"/>
  <c r="A5984" i="2"/>
  <c r="K5983" i="2"/>
  <c r="J5983" i="2"/>
  <c r="I5983" i="2"/>
  <c r="A5983" i="2"/>
  <c r="K5982" i="2"/>
  <c r="J5982" i="2"/>
  <c r="I5982" i="2"/>
  <c r="A5982" i="2"/>
  <c r="K5981" i="2"/>
  <c r="J5981" i="2"/>
  <c r="I5981" i="2"/>
  <c r="A5981" i="2"/>
  <c r="K5980" i="2"/>
  <c r="J5980" i="2"/>
  <c r="I5980" i="2"/>
  <c r="A5980" i="2"/>
  <c r="K5979" i="2"/>
  <c r="J5979" i="2"/>
  <c r="I5979" i="2"/>
  <c r="A5979" i="2"/>
  <c r="K5978" i="2"/>
  <c r="J5978" i="2"/>
  <c r="I5978" i="2"/>
  <c r="A5978" i="2"/>
  <c r="K5977" i="2"/>
  <c r="J5977" i="2"/>
  <c r="I5977" i="2"/>
  <c r="A5977" i="2"/>
  <c r="K5976" i="2"/>
  <c r="J5976" i="2"/>
  <c r="I5976" i="2"/>
  <c r="A5976" i="2"/>
  <c r="K5975" i="2"/>
  <c r="J5975" i="2"/>
  <c r="I5975" i="2"/>
  <c r="A5975" i="2"/>
  <c r="K5974" i="2"/>
  <c r="J5974" i="2"/>
  <c r="I5974" i="2"/>
  <c r="A5974" i="2"/>
  <c r="K5973" i="2"/>
  <c r="J5973" i="2"/>
  <c r="I5973" i="2"/>
  <c r="A5973" i="2"/>
  <c r="K5972" i="2"/>
  <c r="J5972" i="2"/>
  <c r="I5972" i="2"/>
  <c r="A5972" i="2"/>
  <c r="K5971" i="2"/>
  <c r="J5971" i="2"/>
  <c r="I5971" i="2"/>
  <c r="A5971" i="2"/>
  <c r="K5970" i="2"/>
  <c r="J5970" i="2"/>
  <c r="I5970" i="2"/>
  <c r="A5970" i="2"/>
  <c r="K5969" i="2"/>
  <c r="J5969" i="2"/>
  <c r="I5969" i="2"/>
  <c r="A5969" i="2"/>
  <c r="K5968" i="2"/>
  <c r="J5968" i="2"/>
  <c r="I5968" i="2"/>
  <c r="A5968" i="2"/>
  <c r="K5967" i="2"/>
  <c r="J5967" i="2"/>
  <c r="I5967" i="2"/>
  <c r="A5967" i="2"/>
  <c r="K5966" i="2"/>
  <c r="J5966" i="2"/>
  <c r="I5966" i="2"/>
  <c r="A5966" i="2"/>
  <c r="K5965" i="2"/>
  <c r="J5965" i="2"/>
  <c r="I5965" i="2"/>
  <c r="A5965" i="2"/>
  <c r="K5964" i="2"/>
  <c r="J5964" i="2"/>
  <c r="I5964" i="2"/>
  <c r="A5964" i="2"/>
  <c r="K5963" i="2"/>
  <c r="J5963" i="2"/>
  <c r="I5963" i="2"/>
  <c r="A5963" i="2"/>
  <c r="K5962" i="2"/>
  <c r="J5962" i="2"/>
  <c r="I5962" i="2"/>
  <c r="A5962" i="2"/>
  <c r="K5961" i="2"/>
  <c r="J5961" i="2"/>
  <c r="I5961" i="2"/>
  <c r="A5961" i="2"/>
  <c r="K5960" i="2"/>
  <c r="J5960" i="2"/>
  <c r="I5960" i="2"/>
  <c r="A5960" i="2"/>
  <c r="K5959" i="2"/>
  <c r="J5959" i="2"/>
  <c r="I5959" i="2"/>
  <c r="A5959" i="2"/>
  <c r="K5958" i="2"/>
  <c r="J5958" i="2"/>
  <c r="I5958" i="2"/>
  <c r="A5958" i="2"/>
  <c r="K5957" i="2"/>
  <c r="J5957" i="2"/>
  <c r="I5957" i="2"/>
  <c r="A5957" i="2"/>
  <c r="K5956" i="2"/>
  <c r="J5956" i="2"/>
  <c r="I5956" i="2"/>
  <c r="A5956" i="2"/>
  <c r="K5955" i="2"/>
  <c r="J5955" i="2"/>
  <c r="I5955" i="2"/>
  <c r="A5955" i="2"/>
  <c r="K5954" i="2"/>
  <c r="J5954" i="2"/>
  <c r="I5954" i="2"/>
  <c r="A5954" i="2"/>
  <c r="K5953" i="2"/>
  <c r="J5953" i="2"/>
  <c r="I5953" i="2"/>
  <c r="A5953" i="2"/>
  <c r="K5952" i="2"/>
  <c r="J5952" i="2"/>
  <c r="I5952" i="2"/>
  <c r="A5952" i="2"/>
  <c r="K5951" i="2"/>
  <c r="J5951" i="2"/>
  <c r="I5951" i="2"/>
  <c r="A5951" i="2"/>
  <c r="K5950" i="2"/>
  <c r="J5950" i="2"/>
  <c r="I5950" i="2"/>
  <c r="A5950" i="2"/>
  <c r="K5949" i="2"/>
  <c r="J5949" i="2"/>
  <c r="I5949" i="2"/>
  <c r="A5949" i="2"/>
  <c r="K5948" i="2"/>
  <c r="J5948" i="2"/>
  <c r="I5948" i="2"/>
  <c r="A5948" i="2"/>
  <c r="K5947" i="2"/>
  <c r="J5947" i="2"/>
  <c r="I5947" i="2"/>
  <c r="A5947" i="2"/>
  <c r="K5946" i="2"/>
  <c r="J5946" i="2"/>
  <c r="I5946" i="2"/>
  <c r="A5946" i="2"/>
  <c r="K5945" i="2"/>
  <c r="J5945" i="2"/>
  <c r="I5945" i="2"/>
  <c r="A5945" i="2"/>
  <c r="K5944" i="2"/>
  <c r="J5944" i="2"/>
  <c r="I5944" i="2"/>
  <c r="A5944" i="2"/>
  <c r="K5943" i="2"/>
  <c r="J5943" i="2"/>
  <c r="I5943" i="2"/>
  <c r="A5943" i="2"/>
  <c r="K5942" i="2"/>
  <c r="J5942" i="2"/>
  <c r="I5942" i="2"/>
  <c r="A5942" i="2"/>
  <c r="K5941" i="2"/>
  <c r="J5941" i="2"/>
  <c r="I5941" i="2"/>
  <c r="A5941" i="2"/>
  <c r="K5940" i="2"/>
  <c r="J5940" i="2"/>
  <c r="I5940" i="2"/>
  <c r="A5940" i="2"/>
  <c r="K5939" i="2"/>
  <c r="J5939" i="2"/>
  <c r="I5939" i="2"/>
  <c r="A5939" i="2"/>
  <c r="K5938" i="2"/>
  <c r="J5938" i="2"/>
  <c r="I5938" i="2"/>
  <c r="A5938" i="2"/>
  <c r="K5937" i="2"/>
  <c r="J5937" i="2"/>
  <c r="I5937" i="2"/>
  <c r="A5937" i="2"/>
  <c r="K5936" i="2"/>
  <c r="J5936" i="2"/>
  <c r="I5936" i="2"/>
  <c r="A5936" i="2"/>
  <c r="K5935" i="2"/>
  <c r="J5935" i="2"/>
  <c r="I5935" i="2"/>
  <c r="A5935" i="2"/>
  <c r="K5934" i="2"/>
  <c r="J5934" i="2"/>
  <c r="I5934" i="2"/>
  <c r="A5934" i="2"/>
  <c r="K5933" i="2"/>
  <c r="J5933" i="2"/>
  <c r="I5933" i="2"/>
  <c r="A5933" i="2"/>
  <c r="K5932" i="2"/>
  <c r="J5932" i="2"/>
  <c r="I5932" i="2"/>
  <c r="A5932" i="2"/>
  <c r="K5931" i="2"/>
  <c r="J5931" i="2"/>
  <c r="I5931" i="2"/>
  <c r="A5931" i="2"/>
  <c r="K5930" i="2"/>
  <c r="J5930" i="2"/>
  <c r="I5930" i="2"/>
  <c r="A5930" i="2"/>
  <c r="K5929" i="2"/>
  <c r="J5929" i="2"/>
  <c r="I5929" i="2"/>
  <c r="A5929" i="2"/>
  <c r="K5928" i="2"/>
  <c r="J5928" i="2"/>
  <c r="I5928" i="2"/>
  <c r="A5928" i="2"/>
  <c r="K5927" i="2"/>
  <c r="J5927" i="2"/>
  <c r="I5927" i="2"/>
  <c r="A5927" i="2"/>
  <c r="K5926" i="2"/>
  <c r="J5926" i="2"/>
  <c r="I5926" i="2"/>
  <c r="A5926" i="2"/>
  <c r="K5925" i="2"/>
  <c r="J5925" i="2"/>
  <c r="I5925" i="2"/>
  <c r="A5925" i="2"/>
  <c r="K5924" i="2"/>
  <c r="J5924" i="2"/>
  <c r="I5924" i="2"/>
  <c r="A5924" i="2"/>
  <c r="K5923" i="2"/>
  <c r="J5923" i="2"/>
  <c r="I5923" i="2"/>
  <c r="A5923" i="2"/>
  <c r="K5922" i="2"/>
  <c r="J5922" i="2"/>
  <c r="I5922" i="2"/>
  <c r="A5922" i="2"/>
  <c r="K5921" i="2"/>
  <c r="J5921" i="2"/>
  <c r="I5921" i="2"/>
  <c r="A5921" i="2"/>
  <c r="K5920" i="2"/>
  <c r="J5920" i="2"/>
  <c r="I5920" i="2"/>
  <c r="A5920" i="2"/>
  <c r="K5919" i="2"/>
  <c r="J5919" i="2"/>
  <c r="I5919" i="2"/>
  <c r="A5919" i="2"/>
  <c r="K5918" i="2"/>
  <c r="J5918" i="2"/>
  <c r="I5918" i="2"/>
  <c r="A5918" i="2"/>
  <c r="K5917" i="2"/>
  <c r="J5917" i="2"/>
  <c r="I5917" i="2"/>
  <c r="A5917" i="2"/>
  <c r="K5916" i="2"/>
  <c r="J5916" i="2"/>
  <c r="I5916" i="2"/>
  <c r="A5916" i="2"/>
  <c r="K5915" i="2"/>
  <c r="J5915" i="2"/>
  <c r="I5915" i="2"/>
  <c r="A5915" i="2"/>
  <c r="K5914" i="2"/>
  <c r="J5914" i="2"/>
  <c r="I5914" i="2"/>
  <c r="A5914" i="2"/>
  <c r="K5913" i="2"/>
  <c r="J5913" i="2"/>
  <c r="I5913" i="2"/>
  <c r="A5913" i="2"/>
  <c r="K5912" i="2"/>
  <c r="J5912" i="2"/>
  <c r="I5912" i="2"/>
  <c r="A5912" i="2"/>
  <c r="K5911" i="2"/>
  <c r="J5911" i="2"/>
  <c r="I5911" i="2"/>
  <c r="A5911" i="2"/>
  <c r="K5910" i="2"/>
  <c r="J5910" i="2"/>
  <c r="I5910" i="2"/>
  <c r="A5910" i="2"/>
  <c r="K5909" i="2"/>
  <c r="J5909" i="2"/>
  <c r="I5909" i="2"/>
  <c r="A5909" i="2"/>
  <c r="K5908" i="2"/>
  <c r="J5908" i="2"/>
  <c r="I5908" i="2"/>
  <c r="A5908" i="2"/>
  <c r="K5907" i="2"/>
  <c r="J5907" i="2"/>
  <c r="I5907" i="2"/>
  <c r="A5907" i="2"/>
  <c r="K5906" i="2"/>
  <c r="J5906" i="2"/>
  <c r="I5906" i="2"/>
  <c r="A5906" i="2"/>
  <c r="K5905" i="2"/>
  <c r="J5905" i="2"/>
  <c r="I5905" i="2"/>
  <c r="A5905" i="2"/>
  <c r="K5904" i="2"/>
  <c r="J5904" i="2"/>
  <c r="I5904" i="2"/>
  <c r="A5904" i="2"/>
  <c r="K5903" i="2"/>
  <c r="J5903" i="2"/>
  <c r="I5903" i="2"/>
  <c r="A5903" i="2"/>
  <c r="K5902" i="2"/>
  <c r="J5902" i="2"/>
  <c r="I5902" i="2"/>
  <c r="A5902" i="2"/>
  <c r="K5901" i="2"/>
  <c r="J5901" i="2"/>
  <c r="I5901" i="2"/>
  <c r="A5901" i="2"/>
  <c r="K5900" i="2"/>
  <c r="J5900" i="2"/>
  <c r="I5900" i="2"/>
  <c r="A5900" i="2"/>
  <c r="K5899" i="2"/>
  <c r="J5899" i="2"/>
  <c r="I5899" i="2"/>
  <c r="A5899" i="2"/>
  <c r="K5898" i="2"/>
  <c r="J5898" i="2"/>
  <c r="I5898" i="2"/>
  <c r="A5898" i="2"/>
  <c r="K5897" i="2"/>
  <c r="J5897" i="2"/>
  <c r="I5897" i="2"/>
  <c r="A5897" i="2"/>
  <c r="K5896" i="2"/>
  <c r="J5896" i="2"/>
  <c r="I5896" i="2"/>
  <c r="A5896" i="2"/>
  <c r="K5895" i="2"/>
  <c r="J5895" i="2"/>
  <c r="I5895" i="2"/>
  <c r="A5895" i="2"/>
  <c r="K5894" i="2"/>
  <c r="J5894" i="2"/>
  <c r="I5894" i="2"/>
  <c r="A5894" i="2"/>
  <c r="K5893" i="2"/>
  <c r="J5893" i="2"/>
  <c r="I5893" i="2"/>
  <c r="A5893" i="2"/>
  <c r="K5892" i="2"/>
  <c r="J5892" i="2"/>
  <c r="I5892" i="2"/>
  <c r="A5892" i="2"/>
  <c r="K5891" i="2"/>
  <c r="J5891" i="2"/>
  <c r="I5891" i="2"/>
  <c r="A5891" i="2"/>
  <c r="K5890" i="2"/>
  <c r="J5890" i="2"/>
  <c r="I5890" i="2"/>
  <c r="A5890" i="2"/>
  <c r="K5889" i="2"/>
  <c r="J5889" i="2"/>
  <c r="I5889" i="2"/>
  <c r="A5889" i="2"/>
  <c r="K5888" i="2"/>
  <c r="J5888" i="2"/>
  <c r="I5888" i="2"/>
  <c r="A5888" i="2"/>
  <c r="K5887" i="2"/>
  <c r="J5887" i="2"/>
  <c r="I5887" i="2"/>
  <c r="A5887" i="2"/>
  <c r="K5886" i="2"/>
  <c r="J5886" i="2"/>
  <c r="I5886" i="2"/>
  <c r="A5886" i="2"/>
  <c r="K5885" i="2"/>
  <c r="J5885" i="2"/>
  <c r="I5885" i="2"/>
  <c r="A5885" i="2"/>
  <c r="K5884" i="2"/>
  <c r="J5884" i="2"/>
  <c r="I5884" i="2"/>
  <c r="A5884" i="2"/>
  <c r="K5883" i="2"/>
  <c r="J5883" i="2"/>
  <c r="I5883" i="2"/>
  <c r="A5883" i="2"/>
  <c r="K5882" i="2"/>
  <c r="J5882" i="2"/>
  <c r="I5882" i="2"/>
  <c r="A5882" i="2"/>
  <c r="K5881" i="2"/>
  <c r="J5881" i="2"/>
  <c r="I5881" i="2"/>
  <c r="A5881" i="2"/>
  <c r="K5880" i="2"/>
  <c r="J5880" i="2"/>
  <c r="I5880" i="2"/>
  <c r="A5880" i="2"/>
  <c r="J5879" i="2"/>
  <c r="I5879" i="2"/>
  <c r="K5878" i="2"/>
  <c r="J5878" i="2"/>
  <c r="I5878" i="2"/>
  <c r="A5878" i="2"/>
  <c r="K5877" i="2"/>
  <c r="J5877" i="2"/>
  <c r="I5877" i="2"/>
  <c r="A5877" i="2"/>
  <c r="K5876" i="2"/>
  <c r="J5876" i="2"/>
  <c r="I5876" i="2"/>
  <c r="A5876" i="2"/>
  <c r="K5875" i="2"/>
  <c r="J5875" i="2"/>
  <c r="I5875" i="2"/>
  <c r="A5875" i="2"/>
  <c r="K5874" i="2"/>
  <c r="J5874" i="2"/>
  <c r="I5874" i="2"/>
  <c r="A5874" i="2"/>
  <c r="K5873" i="2"/>
  <c r="J5873" i="2"/>
  <c r="I5873" i="2"/>
  <c r="A5873" i="2"/>
  <c r="K5872" i="2"/>
  <c r="J5872" i="2"/>
  <c r="I5872" i="2"/>
  <c r="A5872" i="2"/>
  <c r="K5871" i="2"/>
  <c r="J5871" i="2"/>
  <c r="I5871" i="2"/>
  <c r="A5871" i="2"/>
  <c r="K5870" i="2"/>
  <c r="J5870" i="2"/>
  <c r="I5870" i="2"/>
  <c r="A5870" i="2"/>
  <c r="K5869" i="2"/>
  <c r="J5869" i="2"/>
  <c r="I5869" i="2"/>
  <c r="A5869" i="2"/>
  <c r="K5868" i="2"/>
  <c r="J5868" i="2"/>
  <c r="I5868" i="2"/>
  <c r="A5868" i="2"/>
  <c r="K5867" i="2"/>
  <c r="J5867" i="2"/>
  <c r="I5867" i="2"/>
  <c r="A5867" i="2"/>
  <c r="K5866" i="2"/>
  <c r="J5866" i="2"/>
  <c r="I5866" i="2"/>
  <c r="A5866" i="2"/>
  <c r="K5865" i="2"/>
  <c r="J5865" i="2"/>
  <c r="I5865" i="2"/>
  <c r="A5865" i="2"/>
  <c r="K5864" i="2"/>
  <c r="J5864" i="2"/>
  <c r="I5864" i="2"/>
  <c r="A5864" i="2"/>
  <c r="K5863" i="2"/>
  <c r="J5863" i="2"/>
  <c r="I5863" i="2"/>
  <c r="A5863" i="2"/>
  <c r="K5862" i="2"/>
  <c r="J5862" i="2"/>
  <c r="I5862" i="2"/>
  <c r="A5862" i="2"/>
  <c r="K5861" i="2"/>
  <c r="J5861" i="2"/>
  <c r="I5861" i="2"/>
  <c r="A5861" i="2"/>
  <c r="K5860" i="2"/>
  <c r="J5860" i="2"/>
  <c r="I5860" i="2"/>
  <c r="A5860" i="2"/>
  <c r="K5859" i="2"/>
  <c r="J5859" i="2"/>
  <c r="I5859" i="2"/>
  <c r="A5859" i="2"/>
  <c r="K5858" i="2"/>
  <c r="J5858" i="2"/>
  <c r="I5858" i="2"/>
  <c r="A5858" i="2"/>
  <c r="K5857" i="2"/>
  <c r="J5857" i="2"/>
  <c r="I5857" i="2"/>
  <c r="A5857" i="2"/>
  <c r="K5856" i="2"/>
  <c r="J5856" i="2"/>
  <c r="I5856" i="2"/>
  <c r="A5856" i="2"/>
  <c r="K5855" i="2"/>
  <c r="J5855" i="2"/>
  <c r="I5855" i="2"/>
  <c r="A5855" i="2"/>
  <c r="K5854" i="2"/>
  <c r="J5854" i="2"/>
  <c r="I5854" i="2"/>
  <c r="A5854" i="2"/>
  <c r="K5853" i="2"/>
  <c r="J5853" i="2"/>
  <c r="I5853" i="2"/>
  <c r="A5853" i="2"/>
  <c r="K5852" i="2"/>
  <c r="J5852" i="2"/>
  <c r="I5852" i="2"/>
  <c r="A5852" i="2"/>
  <c r="K5851" i="2"/>
  <c r="J5851" i="2"/>
  <c r="I5851" i="2"/>
  <c r="A5851" i="2"/>
  <c r="K5850" i="2"/>
  <c r="J5850" i="2"/>
  <c r="I5850" i="2"/>
  <c r="A5850" i="2"/>
  <c r="K5849" i="2"/>
  <c r="J5849" i="2"/>
  <c r="I5849" i="2"/>
  <c r="A5849" i="2"/>
  <c r="K5848" i="2"/>
  <c r="J5848" i="2"/>
  <c r="I5848" i="2"/>
  <c r="A5848" i="2"/>
  <c r="K5847" i="2"/>
  <c r="J5847" i="2"/>
  <c r="I5847" i="2"/>
  <c r="A5847" i="2"/>
  <c r="K5846" i="2"/>
  <c r="J5846" i="2"/>
  <c r="I5846" i="2"/>
  <c r="A5846" i="2"/>
  <c r="K5845" i="2"/>
  <c r="J5845" i="2"/>
  <c r="I5845" i="2"/>
  <c r="A5845" i="2"/>
  <c r="K5844" i="2"/>
  <c r="J5844" i="2"/>
  <c r="I5844" i="2"/>
  <c r="A5844" i="2"/>
  <c r="K5843" i="2"/>
  <c r="J5843" i="2"/>
  <c r="I5843" i="2"/>
  <c r="A5843" i="2"/>
  <c r="K5842" i="2"/>
  <c r="J5842" i="2"/>
  <c r="I5842" i="2"/>
  <c r="A5842" i="2"/>
  <c r="K5841" i="2"/>
  <c r="J5841" i="2"/>
  <c r="I5841" i="2"/>
  <c r="A5841" i="2"/>
  <c r="K5840" i="2"/>
  <c r="J5840" i="2"/>
  <c r="I5840" i="2"/>
  <c r="A5840" i="2"/>
  <c r="K5839" i="2"/>
  <c r="J5839" i="2"/>
  <c r="I5839" i="2"/>
  <c r="A5839" i="2"/>
  <c r="K5838" i="2"/>
  <c r="J5838" i="2"/>
  <c r="I5838" i="2"/>
  <c r="A5838" i="2"/>
  <c r="K5837" i="2"/>
  <c r="J5837" i="2"/>
  <c r="I5837" i="2"/>
  <c r="A5837" i="2"/>
  <c r="K5836" i="2"/>
  <c r="J5836" i="2"/>
  <c r="I5836" i="2"/>
  <c r="A5836" i="2"/>
  <c r="K5835" i="2"/>
  <c r="J5835" i="2"/>
  <c r="I5835" i="2"/>
  <c r="A5835" i="2"/>
  <c r="K5834" i="2"/>
  <c r="J5834" i="2"/>
  <c r="I5834" i="2"/>
  <c r="A5834" i="2"/>
  <c r="K5833" i="2"/>
  <c r="J5833" i="2"/>
  <c r="I5833" i="2"/>
  <c r="A5833" i="2"/>
  <c r="K5832" i="2"/>
  <c r="J5832" i="2"/>
  <c r="I5832" i="2"/>
  <c r="A5832" i="2"/>
  <c r="K5831" i="2"/>
  <c r="J5831" i="2"/>
  <c r="I5831" i="2"/>
  <c r="A5831" i="2"/>
  <c r="K5830" i="2"/>
  <c r="J5830" i="2"/>
  <c r="I5830" i="2"/>
  <c r="A5830" i="2"/>
  <c r="K5829" i="2"/>
  <c r="J5829" i="2"/>
  <c r="I5829" i="2"/>
  <c r="A5829" i="2"/>
  <c r="K5828" i="2"/>
  <c r="J5828" i="2"/>
  <c r="I5828" i="2"/>
  <c r="A5828" i="2"/>
  <c r="K5827" i="2"/>
  <c r="J5827" i="2"/>
  <c r="I5827" i="2"/>
  <c r="A5827" i="2"/>
  <c r="K5826" i="2"/>
  <c r="J5826" i="2"/>
  <c r="I5826" i="2"/>
  <c r="A5826" i="2"/>
  <c r="K5825" i="2"/>
  <c r="J5825" i="2"/>
  <c r="I5825" i="2"/>
  <c r="A5825" i="2"/>
  <c r="K5824" i="2"/>
  <c r="J5824" i="2"/>
  <c r="I5824" i="2"/>
  <c r="A5824" i="2"/>
  <c r="K5823" i="2"/>
  <c r="J5823" i="2"/>
  <c r="I5823" i="2"/>
  <c r="A5823" i="2"/>
  <c r="K5822" i="2"/>
  <c r="J5822" i="2"/>
  <c r="I5822" i="2"/>
  <c r="A5822" i="2"/>
  <c r="K5821" i="2"/>
  <c r="J5821" i="2"/>
  <c r="I5821" i="2"/>
  <c r="A5821" i="2"/>
  <c r="K5820" i="2"/>
  <c r="J5820" i="2"/>
  <c r="I5820" i="2"/>
  <c r="A5820" i="2"/>
  <c r="K5819" i="2"/>
  <c r="J5819" i="2"/>
  <c r="I5819" i="2"/>
  <c r="A5819" i="2"/>
  <c r="K5818" i="2"/>
  <c r="J5818" i="2"/>
  <c r="I5818" i="2"/>
  <c r="A5818" i="2"/>
  <c r="K5817" i="2"/>
  <c r="J5817" i="2"/>
  <c r="I5817" i="2"/>
  <c r="A5817" i="2"/>
  <c r="K5816" i="2"/>
  <c r="J5816" i="2"/>
  <c r="I5816" i="2"/>
  <c r="A5816" i="2"/>
  <c r="K5815" i="2"/>
  <c r="J5815" i="2"/>
  <c r="I5815" i="2"/>
  <c r="A5815" i="2"/>
  <c r="K5814" i="2"/>
  <c r="J5814" i="2"/>
  <c r="I5814" i="2"/>
  <c r="A5814" i="2"/>
  <c r="K5813" i="2"/>
  <c r="J5813" i="2"/>
  <c r="I5813" i="2"/>
  <c r="A5813" i="2"/>
  <c r="K5812" i="2"/>
  <c r="J5812" i="2"/>
  <c r="I5812" i="2"/>
  <c r="A5812" i="2"/>
  <c r="K5811" i="2"/>
  <c r="J5811" i="2"/>
  <c r="I5811" i="2"/>
  <c r="A5811" i="2"/>
  <c r="K5810" i="2"/>
  <c r="J5810" i="2"/>
  <c r="I5810" i="2"/>
  <c r="A5810" i="2"/>
  <c r="K5809" i="2"/>
  <c r="J5809" i="2"/>
  <c r="I5809" i="2"/>
  <c r="A5809" i="2"/>
  <c r="K5808" i="2"/>
  <c r="J5808" i="2"/>
  <c r="I5808" i="2"/>
  <c r="A5808" i="2"/>
  <c r="K5807" i="2"/>
  <c r="J5807" i="2"/>
  <c r="I5807" i="2"/>
  <c r="A5807" i="2"/>
  <c r="K5806" i="2"/>
  <c r="J5806" i="2"/>
  <c r="I5806" i="2"/>
  <c r="A5806" i="2"/>
  <c r="K5805" i="2"/>
  <c r="J5805" i="2"/>
  <c r="I5805" i="2"/>
  <c r="A5805" i="2"/>
  <c r="K5804" i="2"/>
  <c r="J5804" i="2"/>
  <c r="I5804" i="2"/>
  <c r="A5804" i="2"/>
  <c r="K5803" i="2"/>
  <c r="J5803" i="2"/>
  <c r="I5803" i="2"/>
  <c r="A5803" i="2"/>
  <c r="K5802" i="2"/>
  <c r="J5802" i="2"/>
  <c r="I5802" i="2"/>
  <c r="A5802" i="2"/>
  <c r="K5801" i="2"/>
  <c r="J5801" i="2"/>
  <c r="I5801" i="2"/>
  <c r="A5801" i="2"/>
  <c r="K5800" i="2"/>
  <c r="J5800" i="2"/>
  <c r="I5800" i="2"/>
  <c r="A5800" i="2"/>
  <c r="K5799" i="2"/>
  <c r="J5799" i="2"/>
  <c r="I5799" i="2"/>
  <c r="A5799" i="2"/>
  <c r="K5798" i="2"/>
  <c r="J5798" i="2"/>
  <c r="I5798" i="2"/>
  <c r="A5798" i="2"/>
  <c r="K5797" i="2"/>
  <c r="J5797" i="2"/>
  <c r="I5797" i="2"/>
  <c r="A5797" i="2"/>
  <c r="K5796" i="2"/>
  <c r="J5796" i="2"/>
  <c r="I5796" i="2"/>
  <c r="A5796" i="2"/>
  <c r="K5795" i="2"/>
  <c r="J5795" i="2"/>
  <c r="I5795" i="2"/>
  <c r="A5795" i="2"/>
  <c r="K5794" i="2"/>
  <c r="J5794" i="2"/>
  <c r="I5794" i="2"/>
  <c r="A5794" i="2"/>
  <c r="K5793" i="2"/>
  <c r="J5793" i="2"/>
  <c r="I5793" i="2"/>
  <c r="A5793" i="2"/>
  <c r="K5792" i="2"/>
  <c r="J5792" i="2"/>
  <c r="I5792" i="2"/>
  <c r="A5792" i="2"/>
  <c r="K5791" i="2"/>
  <c r="J5791" i="2"/>
  <c r="I5791" i="2"/>
  <c r="A5791" i="2"/>
  <c r="K5790" i="2"/>
  <c r="J5790" i="2"/>
  <c r="I5790" i="2"/>
  <c r="A5790" i="2"/>
  <c r="K5789" i="2"/>
  <c r="J5789" i="2"/>
  <c r="I5789" i="2"/>
  <c r="A5789" i="2"/>
  <c r="K5788" i="2"/>
  <c r="J5788" i="2"/>
  <c r="I5788" i="2"/>
  <c r="A5788" i="2"/>
  <c r="K5787" i="2"/>
  <c r="J5787" i="2"/>
  <c r="I5787" i="2"/>
  <c r="A5787" i="2"/>
  <c r="K5786" i="2"/>
  <c r="J5786" i="2"/>
  <c r="I5786" i="2"/>
  <c r="A5786" i="2"/>
  <c r="K5785" i="2"/>
  <c r="J5785" i="2"/>
  <c r="I5785" i="2"/>
  <c r="A5785" i="2"/>
  <c r="K5784" i="2"/>
  <c r="J5784" i="2"/>
  <c r="I5784" i="2"/>
  <c r="A5784" i="2"/>
  <c r="K5783" i="2"/>
  <c r="J5783" i="2"/>
  <c r="I5783" i="2"/>
  <c r="A5783" i="2"/>
  <c r="K5782" i="2"/>
  <c r="J5782" i="2"/>
  <c r="I5782" i="2"/>
  <c r="A5782" i="2"/>
  <c r="K5781" i="2"/>
  <c r="J5781" i="2"/>
  <c r="I5781" i="2"/>
  <c r="A5781" i="2"/>
  <c r="K5780" i="2"/>
  <c r="J5780" i="2"/>
  <c r="I5780" i="2"/>
  <c r="A5780" i="2"/>
  <c r="K5779" i="2"/>
  <c r="J5779" i="2"/>
  <c r="I5779" i="2"/>
  <c r="A5779" i="2"/>
  <c r="K5778" i="2"/>
  <c r="J5778" i="2"/>
  <c r="I5778" i="2"/>
  <c r="A5778" i="2"/>
  <c r="K5777" i="2"/>
  <c r="J5777" i="2"/>
  <c r="I5777" i="2"/>
  <c r="A5777" i="2"/>
  <c r="K5776" i="2"/>
  <c r="J5776" i="2"/>
  <c r="I5776" i="2"/>
  <c r="A5776" i="2"/>
  <c r="K5775" i="2"/>
  <c r="J5775" i="2"/>
  <c r="I5775" i="2"/>
  <c r="A5775" i="2"/>
  <c r="K5774" i="2"/>
  <c r="J5774" i="2"/>
  <c r="I5774" i="2"/>
  <c r="A5774" i="2"/>
  <c r="K5773" i="2"/>
  <c r="J5773" i="2"/>
  <c r="I5773" i="2"/>
  <c r="A5773" i="2"/>
  <c r="K5772" i="2"/>
  <c r="J5772" i="2"/>
  <c r="I5772" i="2"/>
  <c r="A5772" i="2"/>
  <c r="K5771" i="2"/>
  <c r="J5771" i="2"/>
  <c r="I5771" i="2"/>
  <c r="A5771" i="2"/>
  <c r="K5770" i="2"/>
  <c r="J5770" i="2"/>
  <c r="I5770" i="2"/>
  <c r="A5770" i="2"/>
  <c r="K5769" i="2"/>
  <c r="J5769" i="2"/>
  <c r="I5769" i="2"/>
  <c r="A5769" i="2"/>
  <c r="K5768" i="2"/>
  <c r="J5768" i="2"/>
  <c r="I5768" i="2"/>
  <c r="A5768" i="2"/>
  <c r="K5767" i="2"/>
  <c r="J5767" i="2"/>
  <c r="I5767" i="2"/>
  <c r="A5767" i="2"/>
  <c r="K5766" i="2"/>
  <c r="J5766" i="2"/>
  <c r="I5766" i="2"/>
  <c r="A5766" i="2"/>
  <c r="K5765" i="2"/>
  <c r="J5765" i="2"/>
  <c r="I5765" i="2"/>
  <c r="A5765" i="2"/>
  <c r="K5764" i="2"/>
  <c r="J5764" i="2"/>
  <c r="I5764" i="2"/>
  <c r="A5764" i="2"/>
  <c r="K5763" i="2"/>
  <c r="J5763" i="2"/>
  <c r="I5763" i="2"/>
  <c r="A5763" i="2"/>
  <c r="K5762" i="2"/>
  <c r="J5762" i="2"/>
  <c r="I5762" i="2"/>
  <c r="A5762" i="2"/>
  <c r="K5761" i="2"/>
  <c r="J5761" i="2"/>
  <c r="I5761" i="2"/>
  <c r="A5761" i="2"/>
  <c r="K5760" i="2"/>
  <c r="J5760" i="2"/>
  <c r="I5760" i="2"/>
  <c r="A5760" i="2"/>
  <c r="K5759" i="2"/>
  <c r="J5759" i="2"/>
  <c r="I5759" i="2"/>
  <c r="A5759" i="2"/>
  <c r="K5758" i="2"/>
  <c r="J5758" i="2"/>
  <c r="I5758" i="2"/>
  <c r="A5758" i="2"/>
  <c r="K5757" i="2"/>
  <c r="J5757" i="2"/>
  <c r="I5757" i="2"/>
  <c r="A5757" i="2"/>
  <c r="K5756" i="2"/>
  <c r="J5756" i="2"/>
  <c r="I5756" i="2"/>
  <c r="A5756" i="2"/>
  <c r="K5755" i="2"/>
  <c r="J5755" i="2"/>
  <c r="I5755" i="2"/>
  <c r="A5755" i="2"/>
  <c r="K5754" i="2"/>
  <c r="J5754" i="2"/>
  <c r="I5754" i="2"/>
  <c r="A5754" i="2"/>
  <c r="K5753" i="2"/>
  <c r="J5753" i="2"/>
  <c r="I5753" i="2"/>
  <c r="A5753" i="2"/>
  <c r="K5752" i="2"/>
  <c r="J5752" i="2"/>
  <c r="I5752" i="2"/>
  <c r="A5752" i="2"/>
  <c r="K5751" i="2"/>
  <c r="J5751" i="2"/>
  <c r="I5751" i="2"/>
  <c r="A5751" i="2"/>
  <c r="K5750" i="2"/>
  <c r="J5750" i="2"/>
  <c r="I5750" i="2"/>
  <c r="A5750" i="2"/>
  <c r="K5749" i="2"/>
  <c r="J5749" i="2"/>
  <c r="I5749" i="2"/>
  <c r="A5749" i="2"/>
  <c r="K5748" i="2"/>
  <c r="J5748" i="2"/>
  <c r="I5748" i="2"/>
  <c r="A5748" i="2"/>
  <c r="K5747" i="2"/>
  <c r="J5747" i="2"/>
  <c r="I5747" i="2"/>
  <c r="A5747" i="2"/>
  <c r="K5746" i="2"/>
  <c r="J5746" i="2"/>
  <c r="I5746" i="2"/>
  <c r="A5746" i="2"/>
  <c r="K5745" i="2"/>
  <c r="J5745" i="2"/>
  <c r="I5745" i="2"/>
  <c r="A5745" i="2"/>
  <c r="K5744" i="2"/>
  <c r="J5744" i="2"/>
  <c r="I5744" i="2"/>
  <c r="A5744" i="2"/>
  <c r="K5743" i="2"/>
  <c r="J5743" i="2"/>
  <c r="I5743" i="2"/>
  <c r="A5743" i="2"/>
  <c r="K5742" i="2"/>
  <c r="J5742" i="2"/>
  <c r="I5742" i="2"/>
  <c r="A5742" i="2"/>
  <c r="K5741" i="2"/>
  <c r="J5741" i="2"/>
  <c r="I5741" i="2"/>
  <c r="A5741" i="2"/>
  <c r="K5740" i="2"/>
  <c r="J5740" i="2"/>
  <c r="I5740" i="2"/>
  <c r="A5740" i="2"/>
  <c r="K5739" i="2"/>
  <c r="J5739" i="2"/>
  <c r="I5739" i="2"/>
  <c r="A5739" i="2"/>
  <c r="K5738" i="2"/>
  <c r="J5738" i="2"/>
  <c r="I5738" i="2"/>
  <c r="A5738" i="2"/>
  <c r="K5737" i="2"/>
  <c r="J5737" i="2"/>
  <c r="I5737" i="2"/>
  <c r="A5737" i="2"/>
  <c r="K5736" i="2"/>
  <c r="J5736" i="2"/>
  <c r="I5736" i="2"/>
  <c r="A5736" i="2"/>
  <c r="K5735" i="2"/>
  <c r="J5735" i="2"/>
  <c r="I5735" i="2"/>
  <c r="A5735" i="2"/>
  <c r="K5734" i="2"/>
  <c r="J5734" i="2"/>
  <c r="I5734" i="2"/>
  <c r="A5734" i="2"/>
  <c r="K5733" i="2"/>
  <c r="J5733" i="2"/>
  <c r="I5733" i="2"/>
  <c r="A5733" i="2"/>
  <c r="K5732" i="2"/>
  <c r="J5732" i="2"/>
  <c r="I5732" i="2"/>
  <c r="A5732" i="2"/>
  <c r="K5731" i="2"/>
  <c r="J5731" i="2"/>
  <c r="I5731" i="2"/>
  <c r="A5731" i="2"/>
  <c r="K5730" i="2"/>
  <c r="J5730" i="2"/>
  <c r="I5730" i="2"/>
  <c r="A5730" i="2"/>
  <c r="K5729" i="2"/>
  <c r="J5729" i="2"/>
  <c r="I5729" i="2"/>
  <c r="A5729" i="2"/>
  <c r="K5728" i="2"/>
  <c r="J5728" i="2"/>
  <c r="I5728" i="2"/>
  <c r="A5728" i="2"/>
  <c r="K5727" i="2"/>
  <c r="J5727" i="2"/>
  <c r="I5727" i="2"/>
  <c r="A5727" i="2"/>
  <c r="K5726" i="2"/>
  <c r="J5726" i="2"/>
  <c r="I5726" i="2"/>
  <c r="A5726" i="2"/>
  <c r="K5725" i="2"/>
  <c r="J5725" i="2"/>
  <c r="I5725" i="2"/>
  <c r="A5725" i="2"/>
  <c r="K5724" i="2"/>
  <c r="J5724" i="2"/>
  <c r="I5724" i="2"/>
  <c r="A5724" i="2"/>
  <c r="K5723" i="2"/>
  <c r="J5723" i="2"/>
  <c r="I5723" i="2"/>
  <c r="A5723" i="2"/>
  <c r="K5722" i="2"/>
  <c r="J5722" i="2"/>
  <c r="I5722" i="2"/>
  <c r="A5722" i="2"/>
  <c r="K5721" i="2"/>
  <c r="J5721" i="2"/>
  <c r="I5721" i="2"/>
  <c r="A5721" i="2"/>
  <c r="K5720" i="2"/>
  <c r="J5720" i="2"/>
  <c r="I5720" i="2"/>
  <c r="A5720" i="2"/>
  <c r="K5719" i="2"/>
  <c r="J5719" i="2"/>
  <c r="I5719" i="2"/>
  <c r="A5719" i="2"/>
  <c r="K5718" i="2"/>
  <c r="J5718" i="2"/>
  <c r="I5718" i="2"/>
  <c r="A5718" i="2"/>
  <c r="K5717" i="2"/>
  <c r="J5717" i="2"/>
  <c r="I5717" i="2"/>
  <c r="A5717" i="2"/>
  <c r="K5716" i="2"/>
  <c r="J5716" i="2"/>
  <c r="I5716" i="2"/>
  <c r="A5716" i="2"/>
  <c r="K5715" i="2"/>
  <c r="J5715" i="2"/>
  <c r="I5715" i="2"/>
  <c r="A5715" i="2"/>
  <c r="K5714" i="2"/>
  <c r="J5714" i="2"/>
  <c r="I5714" i="2"/>
  <c r="A5714" i="2"/>
  <c r="K5713" i="2"/>
  <c r="J5713" i="2"/>
  <c r="I5713" i="2"/>
  <c r="A5713" i="2"/>
  <c r="K5712" i="2"/>
  <c r="J5712" i="2"/>
  <c r="I5712" i="2"/>
  <c r="A5712" i="2"/>
  <c r="K5711" i="2"/>
  <c r="J5711" i="2"/>
  <c r="I5711" i="2"/>
  <c r="A5711" i="2"/>
  <c r="K5710" i="2"/>
  <c r="J5710" i="2"/>
  <c r="I5710" i="2"/>
  <c r="A5710" i="2"/>
  <c r="K5709" i="2"/>
  <c r="J5709" i="2"/>
  <c r="I5709" i="2"/>
  <c r="A5709" i="2"/>
  <c r="K5708" i="2"/>
  <c r="J5708" i="2"/>
  <c r="I5708" i="2"/>
  <c r="A5708" i="2"/>
  <c r="K5707" i="2"/>
  <c r="J5707" i="2"/>
  <c r="I5707" i="2"/>
  <c r="A5707" i="2"/>
  <c r="K5706" i="2"/>
  <c r="J5706" i="2"/>
  <c r="I5706" i="2"/>
  <c r="A5706" i="2"/>
  <c r="K5705" i="2"/>
  <c r="J5705" i="2"/>
  <c r="I5705" i="2"/>
  <c r="A5705" i="2"/>
  <c r="K5704" i="2"/>
  <c r="J5704" i="2"/>
  <c r="I5704" i="2"/>
  <c r="A5704" i="2"/>
  <c r="K5703" i="2"/>
  <c r="J5703" i="2"/>
  <c r="I5703" i="2"/>
  <c r="A5703" i="2"/>
  <c r="K5702" i="2"/>
  <c r="J5702" i="2"/>
  <c r="I5702" i="2"/>
  <c r="A5702" i="2"/>
  <c r="K5701" i="2"/>
  <c r="J5701" i="2"/>
  <c r="I5701" i="2"/>
  <c r="A5701" i="2"/>
  <c r="K5700" i="2"/>
  <c r="J5700" i="2"/>
  <c r="I5700" i="2"/>
  <c r="A5700" i="2"/>
  <c r="K5699" i="2"/>
  <c r="J5699" i="2"/>
  <c r="I5699" i="2"/>
  <c r="A5699" i="2"/>
  <c r="K5698" i="2"/>
  <c r="J5698" i="2"/>
  <c r="I5698" i="2"/>
  <c r="A5698" i="2"/>
  <c r="K5697" i="2"/>
  <c r="J5697" i="2"/>
  <c r="I5697" i="2"/>
  <c r="A5697" i="2"/>
  <c r="K5696" i="2"/>
  <c r="J5696" i="2"/>
  <c r="I5696" i="2"/>
  <c r="A5696" i="2"/>
  <c r="K5695" i="2"/>
  <c r="J5695" i="2"/>
  <c r="I5695" i="2"/>
  <c r="A5695" i="2"/>
  <c r="K5694" i="2"/>
  <c r="J5694" i="2"/>
  <c r="I5694" i="2"/>
  <c r="A5694" i="2"/>
  <c r="K5693" i="2"/>
  <c r="J5693" i="2"/>
  <c r="I5693" i="2"/>
  <c r="A5693" i="2"/>
  <c r="K5692" i="2"/>
  <c r="J5692" i="2"/>
  <c r="I5692" i="2"/>
  <c r="A5692" i="2"/>
  <c r="K5691" i="2"/>
  <c r="J5691" i="2"/>
  <c r="I5691" i="2"/>
  <c r="A5691" i="2"/>
  <c r="K5690" i="2"/>
  <c r="J5690" i="2"/>
  <c r="I5690" i="2"/>
  <c r="A5690" i="2"/>
  <c r="K5689" i="2"/>
  <c r="J5689" i="2"/>
  <c r="I5689" i="2"/>
  <c r="A5689" i="2"/>
  <c r="K5688" i="2"/>
  <c r="J5688" i="2"/>
  <c r="I5688" i="2"/>
  <c r="A5688" i="2"/>
  <c r="K5687" i="2"/>
  <c r="J5687" i="2"/>
  <c r="I5687" i="2"/>
  <c r="A5687" i="2"/>
  <c r="K5686" i="2"/>
  <c r="J5686" i="2"/>
  <c r="I5686" i="2"/>
  <c r="A5686" i="2"/>
  <c r="K5685" i="2"/>
  <c r="J5685" i="2"/>
  <c r="I5685" i="2"/>
  <c r="A5685" i="2"/>
  <c r="K5684" i="2"/>
  <c r="J5684" i="2"/>
  <c r="I5684" i="2"/>
  <c r="A5684" i="2"/>
  <c r="K5683" i="2"/>
  <c r="J5683" i="2"/>
  <c r="I5683" i="2"/>
  <c r="A5683" i="2"/>
  <c r="K5682" i="2"/>
  <c r="J5682" i="2"/>
  <c r="I5682" i="2"/>
  <c r="A5682" i="2"/>
  <c r="K5681" i="2"/>
  <c r="J5681" i="2"/>
  <c r="I5681" i="2"/>
  <c r="A5681" i="2"/>
  <c r="K5680" i="2"/>
  <c r="J5680" i="2"/>
  <c r="I5680" i="2"/>
  <c r="A5680" i="2"/>
  <c r="K5679" i="2"/>
  <c r="J5679" i="2"/>
  <c r="I5679" i="2"/>
  <c r="A5679" i="2"/>
  <c r="K5678" i="2"/>
  <c r="J5678" i="2"/>
  <c r="I5678" i="2"/>
  <c r="A5678" i="2"/>
  <c r="K5677" i="2"/>
  <c r="J5677" i="2"/>
  <c r="I5677" i="2"/>
  <c r="A5677" i="2"/>
  <c r="K5676" i="2"/>
  <c r="J5676" i="2"/>
  <c r="I5676" i="2"/>
  <c r="A5676" i="2"/>
  <c r="K5675" i="2"/>
  <c r="J5675" i="2"/>
  <c r="I5675" i="2"/>
  <c r="A5675" i="2"/>
  <c r="K5674" i="2"/>
  <c r="J5674" i="2"/>
  <c r="I5674" i="2"/>
  <c r="A5674" i="2"/>
  <c r="K5673" i="2"/>
  <c r="J5673" i="2"/>
  <c r="I5673" i="2"/>
  <c r="A5673" i="2"/>
  <c r="K5672" i="2"/>
  <c r="J5672" i="2"/>
  <c r="I5672" i="2"/>
  <c r="A5672" i="2"/>
  <c r="K5671" i="2"/>
  <c r="J5671" i="2"/>
  <c r="I5671" i="2"/>
  <c r="A5671" i="2"/>
  <c r="K5670" i="2"/>
  <c r="J5670" i="2"/>
  <c r="I5670" i="2"/>
  <c r="A5670" i="2"/>
  <c r="K5669" i="2"/>
  <c r="J5669" i="2"/>
  <c r="I5669" i="2"/>
  <c r="A5669" i="2"/>
  <c r="K5668" i="2"/>
  <c r="J5668" i="2"/>
  <c r="I5668" i="2"/>
  <c r="A5668" i="2"/>
  <c r="K5667" i="2"/>
  <c r="J5667" i="2"/>
  <c r="I5667" i="2"/>
  <c r="A5667" i="2"/>
  <c r="K5666" i="2"/>
  <c r="J5666" i="2"/>
  <c r="I5666" i="2"/>
  <c r="A5666" i="2"/>
  <c r="K5665" i="2"/>
  <c r="J5665" i="2"/>
  <c r="I5665" i="2"/>
  <c r="A5665" i="2"/>
  <c r="K5664" i="2"/>
  <c r="J5664" i="2"/>
  <c r="I5664" i="2"/>
  <c r="A5664" i="2"/>
  <c r="K5663" i="2"/>
  <c r="J5663" i="2"/>
  <c r="I5663" i="2"/>
  <c r="A5663" i="2"/>
  <c r="K5662" i="2"/>
  <c r="J5662" i="2"/>
  <c r="I5662" i="2"/>
  <c r="A5662" i="2"/>
  <c r="K5661" i="2"/>
  <c r="J5661" i="2"/>
  <c r="I5661" i="2"/>
  <c r="A5661" i="2"/>
  <c r="K5660" i="2"/>
  <c r="J5660" i="2"/>
  <c r="I5660" i="2"/>
  <c r="A5660" i="2"/>
  <c r="K5659" i="2"/>
  <c r="J5659" i="2"/>
  <c r="I5659" i="2"/>
  <c r="A5659" i="2"/>
  <c r="K5658" i="2"/>
  <c r="J5658" i="2"/>
  <c r="I5658" i="2"/>
  <c r="A5658" i="2"/>
  <c r="K5657" i="2"/>
  <c r="J5657" i="2"/>
  <c r="I5657" i="2"/>
  <c r="A5657" i="2"/>
  <c r="K5656" i="2"/>
  <c r="J5656" i="2"/>
  <c r="I5656" i="2"/>
  <c r="A5656" i="2"/>
  <c r="K5655" i="2"/>
  <c r="J5655" i="2"/>
  <c r="I5655" i="2"/>
  <c r="A5655" i="2"/>
  <c r="K5654" i="2"/>
  <c r="J5654" i="2"/>
  <c r="I5654" i="2"/>
  <c r="A5654" i="2"/>
  <c r="K5653" i="2"/>
  <c r="J5653" i="2"/>
  <c r="I5653" i="2"/>
  <c r="A5653" i="2"/>
  <c r="K5652" i="2"/>
  <c r="J5652" i="2"/>
  <c r="I5652" i="2"/>
  <c r="A5652" i="2"/>
  <c r="K5651" i="2"/>
  <c r="J5651" i="2"/>
  <c r="I5651" i="2"/>
  <c r="A5651" i="2"/>
  <c r="K5650" i="2"/>
  <c r="J5650" i="2"/>
  <c r="I5650" i="2"/>
  <c r="A5650" i="2"/>
  <c r="K5649" i="2"/>
  <c r="J5649" i="2"/>
  <c r="I5649" i="2"/>
  <c r="A5649" i="2"/>
  <c r="K5648" i="2"/>
  <c r="J5648" i="2"/>
  <c r="I5648" i="2"/>
  <c r="A5648" i="2"/>
  <c r="K5647" i="2"/>
  <c r="J5647" i="2"/>
  <c r="I5647" i="2"/>
  <c r="A5647" i="2"/>
  <c r="K5646" i="2"/>
  <c r="J5646" i="2"/>
  <c r="I5646" i="2"/>
  <c r="A5646" i="2"/>
  <c r="K5645" i="2"/>
  <c r="J5645" i="2"/>
  <c r="I5645" i="2"/>
  <c r="A5645" i="2"/>
  <c r="K5644" i="2"/>
  <c r="J5644" i="2"/>
  <c r="I5644" i="2"/>
  <c r="A5644" i="2"/>
  <c r="K5643" i="2"/>
  <c r="J5643" i="2"/>
  <c r="I5643" i="2"/>
  <c r="A5643" i="2"/>
  <c r="K5642" i="2"/>
  <c r="J5642" i="2"/>
  <c r="I5642" i="2"/>
  <c r="A5642" i="2"/>
  <c r="K5641" i="2"/>
  <c r="J5641" i="2"/>
  <c r="I5641" i="2"/>
  <c r="A5641" i="2"/>
  <c r="K5640" i="2"/>
  <c r="J5640" i="2"/>
  <c r="I5640" i="2"/>
  <c r="A5640" i="2"/>
  <c r="K5639" i="2"/>
  <c r="J5639" i="2"/>
  <c r="I5639" i="2"/>
  <c r="A5639" i="2"/>
  <c r="K5638" i="2"/>
  <c r="J5638" i="2"/>
  <c r="I5638" i="2"/>
  <c r="A5638" i="2"/>
  <c r="K5637" i="2"/>
  <c r="J5637" i="2"/>
  <c r="I5637" i="2"/>
  <c r="A5637" i="2"/>
  <c r="K5636" i="2"/>
  <c r="J5636" i="2"/>
  <c r="I5636" i="2"/>
  <c r="A5636" i="2"/>
  <c r="K5635" i="2"/>
  <c r="J5635" i="2"/>
  <c r="I5635" i="2"/>
  <c r="A5635" i="2"/>
  <c r="K5634" i="2"/>
  <c r="J5634" i="2"/>
  <c r="I5634" i="2"/>
  <c r="A5634" i="2"/>
  <c r="K5633" i="2"/>
  <c r="J5633" i="2"/>
  <c r="I5633" i="2"/>
  <c r="A5633" i="2"/>
  <c r="K5632" i="2"/>
  <c r="J5632" i="2"/>
  <c r="I5632" i="2"/>
  <c r="A5632" i="2"/>
  <c r="K5631" i="2"/>
  <c r="J5631" i="2"/>
  <c r="I5631" i="2"/>
  <c r="A5631" i="2"/>
  <c r="K5630" i="2"/>
  <c r="J5630" i="2"/>
  <c r="I5630" i="2"/>
  <c r="A5630" i="2"/>
  <c r="K5629" i="2"/>
  <c r="J5629" i="2"/>
  <c r="I5629" i="2"/>
  <c r="A5629" i="2"/>
  <c r="K5628" i="2"/>
  <c r="J5628" i="2"/>
  <c r="I5628" i="2"/>
  <c r="A5628" i="2"/>
  <c r="K5627" i="2"/>
  <c r="J5627" i="2"/>
  <c r="I5627" i="2"/>
  <c r="A5627" i="2"/>
  <c r="K5626" i="2"/>
  <c r="J5626" i="2"/>
  <c r="I5626" i="2"/>
  <c r="A5626" i="2"/>
  <c r="K5625" i="2"/>
  <c r="J5625" i="2"/>
  <c r="I5625" i="2"/>
  <c r="A5625" i="2"/>
  <c r="K5624" i="2"/>
  <c r="J5624" i="2"/>
  <c r="I5624" i="2"/>
  <c r="A5624" i="2"/>
  <c r="K5623" i="2"/>
  <c r="J5623" i="2"/>
  <c r="I5623" i="2"/>
  <c r="A5623" i="2"/>
  <c r="K5622" i="2"/>
  <c r="J5622" i="2"/>
  <c r="I5622" i="2"/>
  <c r="A5622" i="2"/>
  <c r="K5621" i="2"/>
  <c r="J5621" i="2"/>
  <c r="I5621" i="2"/>
  <c r="A5621" i="2"/>
  <c r="K5620" i="2"/>
  <c r="J5620" i="2"/>
  <c r="I5620" i="2"/>
  <c r="A5620" i="2"/>
  <c r="K5619" i="2"/>
  <c r="J5619" i="2"/>
  <c r="I5619" i="2"/>
  <c r="A5619" i="2"/>
  <c r="K5618" i="2"/>
  <c r="J5618" i="2"/>
  <c r="I5618" i="2"/>
  <c r="A5618" i="2"/>
  <c r="K5617" i="2"/>
  <c r="J5617" i="2"/>
  <c r="I5617" i="2"/>
  <c r="A5617" i="2"/>
  <c r="K5616" i="2"/>
  <c r="J5616" i="2"/>
  <c r="I5616" i="2"/>
  <c r="A5616" i="2"/>
  <c r="K5615" i="2"/>
  <c r="J5615" i="2"/>
  <c r="I5615" i="2"/>
  <c r="A5615" i="2"/>
  <c r="K5614" i="2"/>
  <c r="J5614" i="2"/>
  <c r="I5614" i="2"/>
  <c r="A5614" i="2"/>
  <c r="K5613" i="2"/>
  <c r="J5613" i="2"/>
  <c r="I5613" i="2"/>
  <c r="A5613" i="2"/>
  <c r="K5612" i="2"/>
  <c r="J5612" i="2"/>
  <c r="I5612" i="2"/>
  <c r="A5612" i="2"/>
  <c r="K5611" i="2"/>
  <c r="J5611" i="2"/>
  <c r="I5611" i="2"/>
  <c r="A5611" i="2"/>
  <c r="K5610" i="2"/>
  <c r="J5610" i="2"/>
  <c r="I5610" i="2"/>
  <c r="A5610" i="2"/>
  <c r="K5609" i="2"/>
  <c r="J5609" i="2"/>
  <c r="I5609" i="2"/>
  <c r="A5609" i="2"/>
  <c r="K5608" i="2"/>
  <c r="J5608" i="2"/>
  <c r="I5608" i="2"/>
  <c r="A5608" i="2"/>
  <c r="K5607" i="2"/>
  <c r="J5607" i="2"/>
  <c r="I5607" i="2"/>
  <c r="A5607" i="2"/>
  <c r="K5606" i="2"/>
  <c r="J5606" i="2"/>
  <c r="I5606" i="2"/>
  <c r="A5606" i="2"/>
  <c r="K5605" i="2"/>
  <c r="J5605" i="2"/>
  <c r="I5605" i="2"/>
  <c r="A5605" i="2"/>
  <c r="K5604" i="2"/>
  <c r="J5604" i="2"/>
  <c r="I5604" i="2"/>
  <c r="A5604" i="2"/>
  <c r="K5603" i="2"/>
  <c r="J5603" i="2"/>
  <c r="I5603" i="2"/>
  <c r="A5603" i="2"/>
  <c r="K5602" i="2"/>
  <c r="J5602" i="2"/>
  <c r="I5602" i="2"/>
  <c r="A5602" i="2"/>
  <c r="K5601" i="2"/>
  <c r="J5601" i="2"/>
  <c r="I5601" i="2"/>
  <c r="A5601" i="2"/>
  <c r="K5600" i="2"/>
  <c r="J5600" i="2"/>
  <c r="I5600" i="2"/>
  <c r="A5600" i="2"/>
  <c r="K5599" i="2"/>
  <c r="J5599" i="2"/>
  <c r="I5599" i="2"/>
  <c r="A5599" i="2"/>
  <c r="K5598" i="2"/>
  <c r="J5598" i="2"/>
  <c r="I5598" i="2"/>
  <c r="A5598" i="2"/>
  <c r="K5597" i="2"/>
  <c r="J5597" i="2"/>
  <c r="I5597" i="2"/>
  <c r="A5597" i="2"/>
  <c r="K5596" i="2"/>
  <c r="J5596" i="2"/>
  <c r="I5596" i="2"/>
  <c r="A5596" i="2"/>
  <c r="K5595" i="2"/>
  <c r="J5595" i="2"/>
  <c r="I5595" i="2"/>
  <c r="A5595" i="2"/>
  <c r="K5594" i="2"/>
  <c r="J5594" i="2"/>
  <c r="I5594" i="2"/>
  <c r="A5594" i="2"/>
  <c r="K5593" i="2"/>
  <c r="J5593" i="2"/>
  <c r="I5593" i="2"/>
  <c r="A5593" i="2"/>
  <c r="K5592" i="2"/>
  <c r="J5592" i="2"/>
  <c r="I5592" i="2"/>
  <c r="A5592" i="2"/>
  <c r="K5591" i="2"/>
  <c r="J5591" i="2"/>
  <c r="I5591" i="2"/>
  <c r="A5591" i="2"/>
  <c r="K5590" i="2"/>
  <c r="J5590" i="2"/>
  <c r="I5590" i="2"/>
  <c r="A5590" i="2"/>
  <c r="K5589" i="2"/>
  <c r="J5589" i="2"/>
  <c r="I5589" i="2"/>
  <c r="A5589" i="2"/>
  <c r="K5588" i="2"/>
  <c r="J5588" i="2"/>
  <c r="I5588" i="2"/>
  <c r="A5588" i="2"/>
  <c r="K5587" i="2"/>
  <c r="J5587" i="2"/>
  <c r="I5587" i="2"/>
  <c r="A5587" i="2"/>
  <c r="K5586" i="2"/>
  <c r="J5586" i="2"/>
  <c r="I5586" i="2"/>
  <c r="A5586" i="2"/>
  <c r="K5585" i="2"/>
  <c r="J5585" i="2"/>
  <c r="I5585" i="2"/>
  <c r="A5585" i="2"/>
  <c r="K5584" i="2"/>
  <c r="J5584" i="2"/>
  <c r="I5584" i="2"/>
  <c r="A5584" i="2"/>
  <c r="K5583" i="2"/>
  <c r="J5583" i="2"/>
  <c r="I5583" i="2"/>
  <c r="A5583" i="2"/>
  <c r="K5582" i="2"/>
  <c r="J5582" i="2"/>
  <c r="I5582" i="2"/>
  <c r="A5582" i="2"/>
  <c r="K5581" i="2"/>
  <c r="J5581" i="2"/>
  <c r="I5581" i="2"/>
  <c r="A5581" i="2"/>
  <c r="K5580" i="2"/>
  <c r="J5580" i="2"/>
  <c r="I5580" i="2"/>
  <c r="A5580" i="2"/>
  <c r="K5579" i="2"/>
  <c r="J5579" i="2"/>
  <c r="I5579" i="2"/>
  <c r="A5579" i="2"/>
  <c r="K5578" i="2"/>
  <c r="J5578" i="2"/>
  <c r="I5578" i="2"/>
  <c r="A5578" i="2"/>
  <c r="K5577" i="2"/>
  <c r="J5577" i="2"/>
  <c r="I5577" i="2"/>
  <c r="A5577" i="2"/>
  <c r="K5576" i="2"/>
  <c r="J5576" i="2"/>
  <c r="I5576" i="2"/>
  <c r="A5576" i="2"/>
  <c r="K5575" i="2"/>
  <c r="J5575" i="2"/>
  <c r="I5575" i="2"/>
  <c r="A5575" i="2"/>
  <c r="K5574" i="2"/>
  <c r="J5574" i="2"/>
  <c r="I5574" i="2"/>
  <c r="A5574" i="2"/>
  <c r="K5573" i="2"/>
  <c r="J5573" i="2"/>
  <c r="I5573" i="2"/>
  <c r="A5573" i="2"/>
  <c r="K5572" i="2"/>
  <c r="J5572" i="2"/>
  <c r="I5572" i="2"/>
  <c r="A5572" i="2"/>
  <c r="K5571" i="2"/>
  <c r="J5571" i="2"/>
  <c r="I5571" i="2"/>
  <c r="A5571" i="2"/>
  <c r="K5570" i="2"/>
  <c r="J5570" i="2"/>
  <c r="I5570" i="2"/>
  <c r="A5570" i="2"/>
  <c r="K5569" i="2"/>
  <c r="J5569" i="2"/>
  <c r="I5569" i="2"/>
  <c r="A5569" i="2"/>
  <c r="J5568" i="2"/>
  <c r="I5568" i="2"/>
  <c r="K5567" i="2"/>
  <c r="J5567" i="2"/>
  <c r="I5567" i="2"/>
  <c r="A5567" i="2"/>
  <c r="K5566" i="2"/>
  <c r="J5566" i="2"/>
  <c r="I5566" i="2"/>
  <c r="A5566" i="2"/>
  <c r="K5565" i="2"/>
  <c r="J5565" i="2"/>
  <c r="I5565" i="2"/>
  <c r="A5565" i="2"/>
  <c r="K5564" i="2"/>
  <c r="J5564" i="2"/>
  <c r="I5564" i="2"/>
  <c r="A5564" i="2"/>
  <c r="K5563" i="2"/>
  <c r="J5563" i="2"/>
  <c r="I5563" i="2"/>
  <c r="A5563" i="2"/>
  <c r="K5562" i="2"/>
  <c r="J5562" i="2"/>
  <c r="I5562" i="2"/>
  <c r="A5562" i="2"/>
  <c r="K5561" i="2"/>
  <c r="J5561" i="2"/>
  <c r="I5561" i="2"/>
  <c r="A5561" i="2"/>
  <c r="K5560" i="2"/>
  <c r="J5560" i="2"/>
  <c r="I5560" i="2"/>
  <c r="A5560" i="2"/>
  <c r="K5559" i="2"/>
  <c r="J5559" i="2"/>
  <c r="I5559" i="2"/>
  <c r="A5559" i="2"/>
  <c r="K5558" i="2"/>
  <c r="J5558" i="2"/>
  <c r="I5558" i="2"/>
  <c r="A5558" i="2"/>
  <c r="K5557" i="2"/>
  <c r="J5557" i="2"/>
  <c r="I5557" i="2"/>
  <c r="A5557" i="2"/>
  <c r="K5556" i="2"/>
  <c r="J5556" i="2"/>
  <c r="I5556" i="2"/>
  <c r="A5556" i="2"/>
  <c r="K5555" i="2"/>
  <c r="J5555" i="2"/>
  <c r="I5555" i="2"/>
  <c r="A5555" i="2"/>
  <c r="K5554" i="2"/>
  <c r="J5554" i="2"/>
  <c r="I5554" i="2"/>
  <c r="A5554" i="2"/>
  <c r="K5553" i="2"/>
  <c r="J5553" i="2"/>
  <c r="I5553" i="2"/>
  <c r="A5553" i="2"/>
  <c r="K5552" i="2"/>
  <c r="J5552" i="2"/>
  <c r="I5552" i="2"/>
  <c r="A5552" i="2"/>
  <c r="K5551" i="2"/>
  <c r="J5551" i="2"/>
  <c r="I5551" i="2"/>
  <c r="A5551" i="2"/>
  <c r="K5550" i="2"/>
  <c r="J5550" i="2"/>
  <c r="I5550" i="2"/>
  <c r="A5550" i="2"/>
  <c r="K5549" i="2"/>
  <c r="J5549" i="2"/>
  <c r="I5549" i="2"/>
  <c r="A5549" i="2"/>
  <c r="K5548" i="2"/>
  <c r="J5548" i="2"/>
  <c r="I5548" i="2"/>
  <c r="A5548" i="2"/>
  <c r="K5547" i="2"/>
  <c r="J5547" i="2"/>
  <c r="I5547" i="2"/>
  <c r="A5547" i="2"/>
  <c r="K5546" i="2"/>
  <c r="J5546" i="2"/>
  <c r="I5546" i="2"/>
  <c r="A5546" i="2"/>
  <c r="K5545" i="2"/>
  <c r="J5545" i="2"/>
  <c r="I5545" i="2"/>
  <c r="A5545" i="2"/>
  <c r="K5544" i="2"/>
  <c r="J5544" i="2"/>
  <c r="I5544" i="2"/>
  <c r="A5544" i="2"/>
  <c r="K5543" i="2"/>
  <c r="J5543" i="2"/>
  <c r="I5543" i="2"/>
  <c r="A5543" i="2"/>
  <c r="K5542" i="2"/>
  <c r="J5542" i="2"/>
  <c r="I5542" i="2"/>
  <c r="A5542" i="2"/>
  <c r="K5541" i="2"/>
  <c r="J5541" i="2"/>
  <c r="I5541" i="2"/>
  <c r="A5541" i="2"/>
  <c r="K5540" i="2"/>
  <c r="J5540" i="2"/>
  <c r="I5540" i="2"/>
  <c r="A5540" i="2"/>
  <c r="K5539" i="2"/>
  <c r="J5539" i="2"/>
  <c r="I5539" i="2"/>
  <c r="A5539" i="2"/>
  <c r="K5538" i="2"/>
  <c r="J5538" i="2"/>
  <c r="I5538" i="2"/>
  <c r="A5538" i="2"/>
  <c r="K5537" i="2"/>
  <c r="J5537" i="2"/>
  <c r="I5537" i="2"/>
  <c r="A5537" i="2"/>
  <c r="K5536" i="2"/>
  <c r="J5536" i="2"/>
  <c r="I5536" i="2"/>
  <c r="A5536" i="2"/>
  <c r="K5535" i="2"/>
  <c r="J5535" i="2"/>
  <c r="I5535" i="2"/>
  <c r="A5535" i="2"/>
  <c r="K5534" i="2"/>
  <c r="J5534" i="2"/>
  <c r="I5534" i="2"/>
  <c r="A5534" i="2"/>
  <c r="K5533" i="2"/>
  <c r="J5533" i="2"/>
  <c r="I5533" i="2"/>
  <c r="A5533" i="2"/>
  <c r="K5532" i="2"/>
  <c r="J5532" i="2"/>
  <c r="I5532" i="2"/>
  <c r="A5532" i="2"/>
  <c r="K5531" i="2"/>
  <c r="J5531" i="2"/>
  <c r="I5531" i="2"/>
  <c r="A5531" i="2"/>
  <c r="K5530" i="2"/>
  <c r="J5530" i="2"/>
  <c r="I5530" i="2"/>
  <c r="A5530" i="2"/>
  <c r="K5529" i="2"/>
  <c r="J5529" i="2"/>
  <c r="I5529" i="2"/>
  <c r="A5529" i="2"/>
  <c r="K5528" i="2"/>
  <c r="J5528" i="2"/>
  <c r="I5528" i="2"/>
  <c r="A5528" i="2"/>
  <c r="K5527" i="2"/>
  <c r="J5527" i="2"/>
  <c r="I5527" i="2"/>
  <c r="A5527" i="2"/>
  <c r="K5526" i="2"/>
  <c r="J5526" i="2"/>
  <c r="I5526" i="2"/>
  <c r="A5526" i="2"/>
  <c r="K5525" i="2"/>
  <c r="J5525" i="2"/>
  <c r="I5525" i="2"/>
  <c r="A5525" i="2"/>
  <c r="K5524" i="2"/>
  <c r="J5524" i="2"/>
  <c r="I5524" i="2"/>
  <c r="A5524" i="2"/>
  <c r="K5523" i="2"/>
  <c r="J5523" i="2"/>
  <c r="I5523" i="2"/>
  <c r="A5523" i="2"/>
  <c r="K5522" i="2"/>
  <c r="J5522" i="2"/>
  <c r="I5522" i="2"/>
  <c r="A5522" i="2"/>
  <c r="K5521" i="2"/>
  <c r="J5521" i="2"/>
  <c r="I5521" i="2"/>
  <c r="A5521" i="2"/>
  <c r="K5520" i="2"/>
  <c r="J5520" i="2"/>
  <c r="I5520" i="2"/>
  <c r="A5520" i="2"/>
  <c r="K5519" i="2"/>
  <c r="J5519" i="2"/>
  <c r="I5519" i="2"/>
  <c r="A5519" i="2"/>
  <c r="K5518" i="2"/>
  <c r="J5518" i="2"/>
  <c r="I5518" i="2"/>
  <c r="A5518" i="2"/>
  <c r="K5517" i="2"/>
  <c r="J5517" i="2"/>
  <c r="I5517" i="2"/>
  <c r="A5517" i="2"/>
  <c r="K5516" i="2"/>
  <c r="J5516" i="2"/>
  <c r="I5516" i="2"/>
  <c r="A5516" i="2"/>
  <c r="K5515" i="2"/>
  <c r="J5515" i="2"/>
  <c r="I5515" i="2"/>
  <c r="A5515" i="2"/>
  <c r="K5514" i="2"/>
  <c r="J5514" i="2"/>
  <c r="I5514" i="2"/>
  <c r="A5514" i="2"/>
  <c r="K5513" i="2"/>
  <c r="J5513" i="2"/>
  <c r="I5513" i="2"/>
  <c r="A5513" i="2"/>
  <c r="K5512" i="2"/>
  <c r="J5512" i="2"/>
  <c r="I5512" i="2"/>
  <c r="A5512" i="2"/>
  <c r="K5511" i="2"/>
  <c r="J5511" i="2"/>
  <c r="I5511" i="2"/>
  <c r="A5511" i="2"/>
  <c r="K5510" i="2"/>
  <c r="J5510" i="2"/>
  <c r="I5510" i="2"/>
  <c r="A5510" i="2"/>
  <c r="K5509" i="2"/>
  <c r="J5509" i="2"/>
  <c r="I5509" i="2"/>
  <c r="A5509" i="2"/>
  <c r="K5508" i="2"/>
  <c r="J5508" i="2"/>
  <c r="I5508" i="2"/>
  <c r="A5508" i="2"/>
  <c r="K5507" i="2"/>
  <c r="J5507" i="2"/>
  <c r="I5507" i="2"/>
  <c r="A5507" i="2"/>
  <c r="K5506" i="2"/>
  <c r="J5506" i="2"/>
  <c r="I5506" i="2"/>
  <c r="A5506" i="2"/>
  <c r="K5505" i="2"/>
  <c r="J5505" i="2"/>
  <c r="I5505" i="2"/>
  <c r="A5505" i="2"/>
  <c r="K5504" i="2"/>
  <c r="J5504" i="2"/>
  <c r="I5504" i="2"/>
  <c r="A5504" i="2"/>
  <c r="K5503" i="2"/>
  <c r="J5503" i="2"/>
  <c r="I5503" i="2"/>
  <c r="A5503" i="2"/>
  <c r="K5502" i="2"/>
  <c r="J5502" i="2"/>
  <c r="I5502" i="2"/>
  <c r="A5502" i="2"/>
  <c r="K5501" i="2"/>
  <c r="J5501" i="2"/>
  <c r="I5501" i="2"/>
  <c r="A5501" i="2"/>
  <c r="K5500" i="2"/>
  <c r="J5500" i="2"/>
  <c r="I5500" i="2"/>
  <c r="A5500" i="2"/>
  <c r="K5499" i="2"/>
  <c r="J5499" i="2"/>
  <c r="I5499" i="2"/>
  <c r="A5499" i="2"/>
  <c r="K5498" i="2"/>
  <c r="J5498" i="2"/>
  <c r="I5498" i="2"/>
  <c r="A5498" i="2"/>
  <c r="K5497" i="2"/>
  <c r="J5497" i="2"/>
  <c r="I5497" i="2"/>
  <c r="A5497" i="2"/>
  <c r="K5496" i="2"/>
  <c r="J5496" i="2"/>
  <c r="I5496" i="2"/>
  <c r="A5496" i="2"/>
  <c r="K5495" i="2"/>
  <c r="J5495" i="2"/>
  <c r="I5495" i="2"/>
  <c r="A5495" i="2"/>
  <c r="K5494" i="2"/>
  <c r="J5494" i="2"/>
  <c r="I5494" i="2"/>
  <c r="A5494" i="2"/>
  <c r="K5493" i="2"/>
  <c r="J5493" i="2"/>
  <c r="I5493" i="2"/>
  <c r="A5493" i="2"/>
  <c r="K5492" i="2"/>
  <c r="J5492" i="2"/>
  <c r="I5492" i="2"/>
  <c r="A5492" i="2"/>
  <c r="K5491" i="2"/>
  <c r="J5491" i="2"/>
  <c r="I5491" i="2"/>
  <c r="A5491" i="2"/>
  <c r="K5490" i="2"/>
  <c r="J5490" i="2"/>
  <c r="I5490" i="2"/>
  <c r="A5490" i="2"/>
  <c r="K5489" i="2"/>
  <c r="J5489" i="2"/>
  <c r="I5489" i="2"/>
  <c r="A5489" i="2"/>
  <c r="K5488" i="2"/>
  <c r="J5488" i="2"/>
  <c r="I5488" i="2"/>
  <c r="A5488" i="2"/>
  <c r="K5487" i="2"/>
  <c r="J5487" i="2"/>
  <c r="I5487" i="2"/>
  <c r="A5487" i="2"/>
  <c r="K5486" i="2"/>
  <c r="J5486" i="2"/>
  <c r="I5486" i="2"/>
  <c r="A5486" i="2"/>
  <c r="K5485" i="2"/>
  <c r="J5485" i="2"/>
  <c r="I5485" i="2"/>
  <c r="A5485" i="2"/>
  <c r="K5484" i="2"/>
  <c r="J5484" i="2"/>
  <c r="I5484" i="2"/>
  <c r="A5484" i="2"/>
  <c r="K5483" i="2"/>
  <c r="J5483" i="2"/>
  <c r="I5483" i="2"/>
  <c r="A5483" i="2"/>
  <c r="K5482" i="2"/>
  <c r="J5482" i="2"/>
  <c r="I5482" i="2"/>
  <c r="A5482" i="2"/>
  <c r="K5481" i="2"/>
  <c r="J5481" i="2"/>
  <c r="I5481" i="2"/>
  <c r="A5481" i="2"/>
  <c r="K5480" i="2"/>
  <c r="J5480" i="2"/>
  <c r="I5480" i="2"/>
  <c r="A5480" i="2"/>
  <c r="K5479" i="2"/>
  <c r="J5479" i="2"/>
  <c r="I5479" i="2"/>
  <c r="A5479" i="2"/>
  <c r="K5478" i="2"/>
  <c r="J5478" i="2"/>
  <c r="I5478" i="2"/>
  <c r="A5478" i="2"/>
  <c r="K5477" i="2"/>
  <c r="J5477" i="2"/>
  <c r="I5477" i="2"/>
  <c r="A5477" i="2"/>
  <c r="K5476" i="2"/>
  <c r="J5476" i="2"/>
  <c r="I5476" i="2"/>
  <c r="A5476" i="2"/>
  <c r="K5475" i="2"/>
  <c r="J5475" i="2"/>
  <c r="I5475" i="2"/>
  <c r="A5475" i="2"/>
  <c r="K5474" i="2"/>
  <c r="J5474" i="2"/>
  <c r="I5474" i="2"/>
  <c r="A5474" i="2"/>
  <c r="K5473" i="2"/>
  <c r="J5473" i="2"/>
  <c r="I5473" i="2"/>
  <c r="A5473" i="2"/>
  <c r="K5472" i="2"/>
  <c r="J5472" i="2"/>
  <c r="I5472" i="2"/>
  <c r="A5472" i="2"/>
  <c r="K5471" i="2"/>
  <c r="J5471" i="2"/>
  <c r="I5471" i="2"/>
  <c r="A5471" i="2"/>
  <c r="K5470" i="2"/>
  <c r="J5470" i="2"/>
  <c r="I5470" i="2"/>
  <c r="A5470" i="2"/>
  <c r="K5469" i="2"/>
  <c r="J5469" i="2"/>
  <c r="I5469" i="2"/>
  <c r="A5469" i="2"/>
  <c r="K5468" i="2"/>
  <c r="J5468" i="2"/>
  <c r="I5468" i="2"/>
  <c r="A5468" i="2"/>
  <c r="K5467" i="2"/>
  <c r="J5467" i="2"/>
  <c r="I5467" i="2"/>
  <c r="A5467" i="2"/>
  <c r="K5466" i="2"/>
  <c r="J5466" i="2"/>
  <c r="I5466" i="2"/>
  <c r="A5466" i="2"/>
  <c r="K5465" i="2"/>
  <c r="J5465" i="2"/>
  <c r="I5465" i="2"/>
  <c r="A5465" i="2"/>
  <c r="K5464" i="2"/>
  <c r="J5464" i="2"/>
  <c r="I5464" i="2"/>
  <c r="A5464" i="2"/>
  <c r="K5463" i="2"/>
  <c r="J5463" i="2"/>
  <c r="I5463" i="2"/>
  <c r="A5463" i="2"/>
  <c r="K5462" i="2"/>
  <c r="J5462" i="2"/>
  <c r="I5462" i="2"/>
  <c r="A5462" i="2"/>
  <c r="K5461" i="2"/>
  <c r="J5461" i="2"/>
  <c r="I5461" i="2"/>
  <c r="A5461" i="2"/>
  <c r="K5460" i="2"/>
  <c r="J5460" i="2"/>
  <c r="I5460" i="2"/>
  <c r="A5460" i="2"/>
  <c r="K5459" i="2"/>
  <c r="J5459" i="2"/>
  <c r="I5459" i="2"/>
  <c r="A5459" i="2"/>
  <c r="K5458" i="2"/>
  <c r="J5458" i="2"/>
  <c r="I5458" i="2"/>
  <c r="A5458" i="2"/>
  <c r="K5457" i="2"/>
  <c r="J5457" i="2"/>
  <c r="I5457" i="2"/>
  <c r="A5457" i="2"/>
  <c r="K5456" i="2"/>
  <c r="J5456" i="2"/>
  <c r="I5456" i="2"/>
  <c r="A5456" i="2"/>
  <c r="K5455" i="2"/>
  <c r="J5455" i="2"/>
  <c r="I5455" i="2"/>
  <c r="A5455" i="2"/>
  <c r="K5454" i="2"/>
  <c r="J5454" i="2"/>
  <c r="I5454" i="2"/>
  <c r="A5454" i="2"/>
  <c r="K5453" i="2"/>
  <c r="J5453" i="2"/>
  <c r="I5453" i="2"/>
  <c r="A5453" i="2"/>
  <c r="K5452" i="2"/>
  <c r="J5452" i="2"/>
  <c r="I5452" i="2"/>
  <c r="A5452" i="2"/>
  <c r="K5451" i="2"/>
  <c r="J5451" i="2"/>
  <c r="I5451" i="2"/>
  <c r="A5451" i="2"/>
  <c r="K5450" i="2"/>
  <c r="J5450" i="2"/>
  <c r="I5450" i="2"/>
  <c r="A5450" i="2"/>
  <c r="K5449" i="2"/>
  <c r="J5449" i="2"/>
  <c r="I5449" i="2"/>
  <c r="A5449" i="2"/>
  <c r="K5448" i="2"/>
  <c r="J5448" i="2"/>
  <c r="I5448" i="2"/>
  <c r="A5448" i="2"/>
  <c r="K5447" i="2"/>
  <c r="J5447" i="2"/>
  <c r="I5447" i="2"/>
  <c r="A5447" i="2"/>
  <c r="K5446" i="2"/>
  <c r="J5446" i="2"/>
  <c r="I5446" i="2"/>
  <c r="A5446" i="2"/>
  <c r="K5445" i="2"/>
  <c r="J5445" i="2"/>
  <c r="I5445" i="2"/>
  <c r="A5445" i="2"/>
  <c r="K5444" i="2"/>
  <c r="J5444" i="2"/>
  <c r="I5444" i="2"/>
  <c r="A5444" i="2"/>
  <c r="K5443" i="2"/>
  <c r="J5443" i="2"/>
  <c r="I5443" i="2"/>
  <c r="A5443" i="2"/>
  <c r="K5442" i="2"/>
  <c r="J5442" i="2"/>
  <c r="I5442" i="2"/>
  <c r="A5442" i="2"/>
  <c r="K5441" i="2"/>
  <c r="J5441" i="2"/>
  <c r="I5441" i="2"/>
  <c r="A5441" i="2"/>
  <c r="K5440" i="2"/>
  <c r="J5440" i="2"/>
  <c r="I5440" i="2"/>
  <c r="A5440" i="2"/>
  <c r="K5439" i="2"/>
  <c r="J5439" i="2"/>
  <c r="I5439" i="2"/>
  <c r="A5439" i="2"/>
  <c r="K5438" i="2"/>
  <c r="J5438" i="2"/>
  <c r="I5438" i="2"/>
  <c r="A5438" i="2"/>
  <c r="K5437" i="2"/>
  <c r="J5437" i="2"/>
  <c r="I5437" i="2"/>
  <c r="A5437" i="2"/>
  <c r="K5436" i="2"/>
  <c r="J5436" i="2"/>
  <c r="I5436" i="2"/>
  <c r="A5436" i="2"/>
  <c r="K5435" i="2"/>
  <c r="J5435" i="2"/>
  <c r="I5435" i="2"/>
  <c r="A5435" i="2"/>
  <c r="K5434" i="2"/>
  <c r="J5434" i="2"/>
  <c r="I5434" i="2"/>
  <c r="A5434" i="2"/>
  <c r="K5433" i="2"/>
  <c r="J5433" i="2"/>
  <c r="I5433" i="2"/>
  <c r="A5433" i="2"/>
  <c r="K5432" i="2"/>
  <c r="J5432" i="2"/>
  <c r="I5432" i="2"/>
  <c r="A5432" i="2"/>
  <c r="K5431" i="2"/>
  <c r="J5431" i="2"/>
  <c r="I5431" i="2"/>
  <c r="A5431" i="2"/>
  <c r="K5430" i="2"/>
  <c r="J5430" i="2"/>
  <c r="I5430" i="2"/>
  <c r="A5430" i="2"/>
  <c r="K5429" i="2"/>
  <c r="J5429" i="2"/>
  <c r="I5429" i="2"/>
  <c r="A5429" i="2"/>
  <c r="K5428" i="2"/>
  <c r="J5428" i="2"/>
  <c r="I5428" i="2"/>
  <c r="A5428" i="2"/>
  <c r="K5427" i="2"/>
  <c r="J5427" i="2"/>
  <c r="I5427" i="2"/>
  <c r="A5427" i="2"/>
  <c r="K5426" i="2"/>
  <c r="J5426" i="2"/>
  <c r="I5426" i="2"/>
  <c r="A5426" i="2"/>
  <c r="K5425" i="2"/>
  <c r="J5425" i="2"/>
  <c r="I5425" i="2"/>
  <c r="A5425" i="2"/>
  <c r="K5424" i="2"/>
  <c r="J5424" i="2"/>
  <c r="I5424" i="2"/>
  <c r="A5424" i="2"/>
  <c r="K5423" i="2"/>
  <c r="J5423" i="2"/>
  <c r="I5423" i="2"/>
  <c r="A5423" i="2"/>
  <c r="K5422" i="2"/>
  <c r="J5422" i="2"/>
  <c r="I5422" i="2"/>
  <c r="A5422" i="2"/>
  <c r="K5421" i="2"/>
  <c r="J5421" i="2"/>
  <c r="I5421" i="2"/>
  <c r="A5421" i="2"/>
  <c r="K5420" i="2"/>
  <c r="J5420" i="2"/>
  <c r="I5420" i="2"/>
  <c r="A5420" i="2"/>
  <c r="K5419" i="2"/>
  <c r="J5419" i="2"/>
  <c r="I5419" i="2"/>
  <c r="A5419" i="2"/>
  <c r="K5418" i="2"/>
  <c r="J5418" i="2"/>
  <c r="I5418" i="2"/>
  <c r="A5418" i="2"/>
  <c r="K5417" i="2"/>
  <c r="J5417" i="2"/>
  <c r="I5417" i="2"/>
  <c r="A5417" i="2"/>
  <c r="K5416" i="2"/>
  <c r="J5416" i="2"/>
  <c r="I5416" i="2"/>
  <c r="A5416" i="2"/>
  <c r="K5415" i="2"/>
  <c r="J5415" i="2"/>
  <c r="I5415" i="2"/>
  <c r="A5415" i="2"/>
  <c r="K5414" i="2"/>
  <c r="J5414" i="2"/>
  <c r="I5414" i="2"/>
  <c r="A5414" i="2"/>
  <c r="K5413" i="2"/>
  <c r="J5413" i="2"/>
  <c r="I5413" i="2"/>
  <c r="A5413" i="2"/>
  <c r="K5412" i="2"/>
  <c r="J5412" i="2"/>
  <c r="I5412" i="2"/>
  <c r="A5412" i="2"/>
  <c r="K5411" i="2"/>
  <c r="J5411" i="2"/>
  <c r="I5411" i="2"/>
  <c r="A5411" i="2"/>
  <c r="K5410" i="2"/>
  <c r="J5410" i="2"/>
  <c r="I5410" i="2"/>
  <c r="A5410" i="2"/>
  <c r="K5409" i="2"/>
  <c r="J5409" i="2"/>
  <c r="I5409" i="2"/>
  <c r="A5409" i="2"/>
  <c r="K5408" i="2"/>
  <c r="J5408" i="2"/>
  <c r="I5408" i="2"/>
  <c r="A5408" i="2"/>
  <c r="K5407" i="2"/>
  <c r="J5407" i="2"/>
  <c r="I5407" i="2"/>
  <c r="A5407" i="2"/>
  <c r="K5406" i="2"/>
  <c r="J5406" i="2"/>
  <c r="I5406" i="2"/>
  <c r="A5406" i="2"/>
  <c r="K5405" i="2"/>
  <c r="J5405" i="2"/>
  <c r="I5405" i="2"/>
  <c r="A5405" i="2"/>
  <c r="K5404" i="2"/>
  <c r="J5404" i="2"/>
  <c r="I5404" i="2"/>
  <c r="A5404" i="2"/>
  <c r="K5403" i="2"/>
  <c r="J5403" i="2"/>
  <c r="I5403" i="2"/>
  <c r="A5403" i="2"/>
  <c r="K5402" i="2"/>
  <c r="J5402" i="2"/>
  <c r="I5402" i="2"/>
  <c r="A5402" i="2"/>
  <c r="K5401" i="2"/>
  <c r="J5401" i="2"/>
  <c r="I5401" i="2"/>
  <c r="A5401" i="2"/>
  <c r="K5400" i="2"/>
  <c r="J5400" i="2"/>
  <c r="I5400" i="2"/>
  <c r="A5400" i="2"/>
  <c r="K5399" i="2"/>
  <c r="J5399" i="2"/>
  <c r="I5399" i="2"/>
  <c r="A5399" i="2"/>
  <c r="K5398" i="2"/>
  <c r="J5398" i="2"/>
  <c r="I5398" i="2"/>
  <c r="A5398" i="2"/>
  <c r="K5397" i="2"/>
  <c r="J5397" i="2"/>
  <c r="I5397" i="2"/>
  <c r="A5397" i="2"/>
  <c r="K5396" i="2"/>
  <c r="J5396" i="2"/>
  <c r="I5396" i="2"/>
  <c r="A5396" i="2"/>
  <c r="K5395" i="2"/>
  <c r="J5395" i="2"/>
  <c r="I5395" i="2"/>
  <c r="A5395" i="2"/>
  <c r="K5394" i="2"/>
  <c r="J5394" i="2"/>
  <c r="I5394" i="2"/>
  <c r="A5394" i="2"/>
  <c r="K5393" i="2"/>
  <c r="J5393" i="2"/>
  <c r="I5393" i="2"/>
  <c r="A5393" i="2"/>
  <c r="K5392" i="2"/>
  <c r="J5392" i="2"/>
  <c r="I5392" i="2"/>
  <c r="A5392" i="2"/>
  <c r="K5391" i="2"/>
  <c r="J5391" i="2"/>
  <c r="I5391" i="2"/>
  <c r="A5391" i="2"/>
  <c r="K5390" i="2"/>
  <c r="J5390" i="2"/>
  <c r="I5390" i="2"/>
  <c r="A5390" i="2"/>
  <c r="K5389" i="2"/>
  <c r="J5389" i="2"/>
  <c r="I5389" i="2"/>
  <c r="A5389" i="2"/>
  <c r="K5388" i="2"/>
  <c r="J5388" i="2"/>
  <c r="I5388" i="2"/>
  <c r="A5388" i="2"/>
  <c r="K5387" i="2"/>
  <c r="J5387" i="2"/>
  <c r="I5387" i="2"/>
  <c r="A5387" i="2"/>
  <c r="K5386" i="2"/>
  <c r="J5386" i="2"/>
  <c r="I5386" i="2"/>
  <c r="A5386" i="2"/>
  <c r="K5385" i="2"/>
  <c r="J5385" i="2"/>
  <c r="I5385" i="2"/>
  <c r="A5385" i="2"/>
  <c r="K5384" i="2"/>
  <c r="J5384" i="2"/>
  <c r="I5384" i="2"/>
  <c r="A5384" i="2"/>
  <c r="K5383" i="2"/>
  <c r="J5383" i="2"/>
  <c r="I5383" i="2"/>
  <c r="A5383" i="2"/>
  <c r="K5382" i="2"/>
  <c r="J5382" i="2"/>
  <c r="I5382" i="2"/>
  <c r="A5382" i="2"/>
  <c r="K5381" i="2"/>
  <c r="J5381" i="2"/>
  <c r="I5381" i="2"/>
  <c r="A5381" i="2"/>
  <c r="K5380" i="2"/>
  <c r="J5380" i="2"/>
  <c r="I5380" i="2"/>
  <c r="A5380" i="2"/>
  <c r="K5379" i="2"/>
  <c r="J5379" i="2"/>
  <c r="I5379" i="2"/>
  <c r="A5379" i="2"/>
  <c r="K5378" i="2"/>
  <c r="J5378" i="2"/>
  <c r="I5378" i="2"/>
  <c r="A5378" i="2"/>
  <c r="K5377" i="2"/>
  <c r="J5377" i="2"/>
  <c r="I5377" i="2"/>
  <c r="A5377" i="2"/>
  <c r="K5376" i="2"/>
  <c r="J5376" i="2"/>
  <c r="I5376" i="2"/>
  <c r="A5376" i="2"/>
  <c r="K5375" i="2"/>
  <c r="J5375" i="2"/>
  <c r="I5375" i="2"/>
  <c r="A5375" i="2"/>
  <c r="K5374" i="2"/>
  <c r="J5374" i="2"/>
  <c r="I5374" i="2"/>
  <c r="A5374" i="2"/>
  <c r="K5373" i="2"/>
  <c r="J5373" i="2"/>
  <c r="I5373" i="2"/>
  <c r="A5373" i="2"/>
  <c r="K5372" i="2"/>
  <c r="J5372" i="2"/>
  <c r="I5372" i="2"/>
  <c r="A5372" i="2"/>
  <c r="K5371" i="2"/>
  <c r="J5371" i="2"/>
  <c r="I5371" i="2"/>
  <c r="A5371" i="2"/>
  <c r="K5370" i="2"/>
  <c r="J5370" i="2"/>
  <c r="I5370" i="2"/>
  <c r="A5370" i="2"/>
  <c r="K5369" i="2"/>
  <c r="J5369" i="2"/>
  <c r="I5369" i="2"/>
  <c r="A5369" i="2"/>
  <c r="K5368" i="2"/>
  <c r="J5368" i="2"/>
  <c r="I5368" i="2"/>
  <c r="A5368" i="2"/>
  <c r="K5367" i="2"/>
  <c r="J5367" i="2"/>
  <c r="I5367" i="2"/>
  <c r="A5367" i="2"/>
  <c r="K5366" i="2"/>
  <c r="J5366" i="2"/>
  <c r="I5366" i="2"/>
  <c r="A5366" i="2"/>
  <c r="K5365" i="2"/>
  <c r="J5365" i="2"/>
  <c r="I5365" i="2"/>
  <c r="A5365" i="2"/>
  <c r="K5364" i="2"/>
  <c r="J5364" i="2"/>
  <c r="I5364" i="2"/>
  <c r="A5364" i="2"/>
  <c r="K5363" i="2"/>
  <c r="J5363" i="2"/>
  <c r="I5363" i="2"/>
  <c r="A5363" i="2"/>
  <c r="K5362" i="2"/>
  <c r="J5362" i="2"/>
  <c r="I5362" i="2"/>
  <c r="A5362" i="2"/>
  <c r="K5361" i="2"/>
  <c r="J5361" i="2"/>
  <c r="I5361" i="2"/>
  <c r="A5361" i="2"/>
  <c r="K5360" i="2"/>
  <c r="J5360" i="2"/>
  <c r="I5360" i="2"/>
  <c r="A5360" i="2"/>
  <c r="K5359" i="2"/>
  <c r="J5359" i="2"/>
  <c r="I5359" i="2"/>
  <c r="A5359" i="2"/>
  <c r="K5358" i="2"/>
  <c r="J5358" i="2"/>
  <c r="I5358" i="2"/>
  <c r="A5358" i="2"/>
  <c r="K5357" i="2"/>
  <c r="J5357" i="2"/>
  <c r="I5357" i="2"/>
  <c r="A5357" i="2"/>
  <c r="K5356" i="2"/>
  <c r="J5356" i="2"/>
  <c r="I5356" i="2"/>
  <c r="A5356" i="2"/>
  <c r="K5355" i="2"/>
  <c r="J5355" i="2"/>
  <c r="I5355" i="2"/>
  <c r="A5355" i="2"/>
  <c r="K5354" i="2"/>
  <c r="J5354" i="2"/>
  <c r="I5354" i="2"/>
  <c r="A5354" i="2"/>
  <c r="K5353" i="2"/>
  <c r="J5353" i="2"/>
  <c r="I5353" i="2"/>
  <c r="A5353" i="2"/>
  <c r="K5352" i="2"/>
  <c r="J5352" i="2"/>
  <c r="I5352" i="2"/>
  <c r="A5352" i="2"/>
  <c r="K5351" i="2"/>
  <c r="J5351" i="2"/>
  <c r="I5351" i="2"/>
  <c r="A5351" i="2"/>
  <c r="K5350" i="2"/>
  <c r="J5350" i="2"/>
  <c r="I5350" i="2"/>
  <c r="A5350" i="2"/>
  <c r="K5349" i="2"/>
  <c r="J5349" i="2"/>
  <c r="I5349" i="2"/>
  <c r="A5349" i="2"/>
  <c r="K5348" i="2"/>
  <c r="J5348" i="2"/>
  <c r="I5348" i="2"/>
  <c r="A5348" i="2"/>
  <c r="K5347" i="2"/>
  <c r="J5347" i="2"/>
  <c r="I5347" i="2"/>
  <c r="A5347" i="2"/>
  <c r="K5346" i="2"/>
  <c r="J5346" i="2"/>
  <c r="I5346" i="2"/>
  <c r="A5346" i="2"/>
  <c r="K5345" i="2"/>
  <c r="J5345" i="2"/>
  <c r="I5345" i="2"/>
  <c r="A5345" i="2"/>
  <c r="K5344" i="2"/>
  <c r="J5344" i="2"/>
  <c r="I5344" i="2"/>
  <c r="A5344" i="2"/>
  <c r="K5343" i="2"/>
  <c r="J5343" i="2"/>
  <c r="I5343" i="2"/>
  <c r="A5343" i="2"/>
  <c r="K5342" i="2"/>
  <c r="J5342" i="2"/>
  <c r="I5342" i="2"/>
  <c r="A5342" i="2"/>
  <c r="K5341" i="2"/>
  <c r="J5341" i="2"/>
  <c r="I5341" i="2"/>
  <c r="A5341" i="2"/>
  <c r="K5340" i="2"/>
  <c r="J5340" i="2"/>
  <c r="I5340" i="2"/>
  <c r="A5340" i="2"/>
  <c r="K5339" i="2"/>
  <c r="J5339" i="2"/>
  <c r="I5339" i="2"/>
  <c r="A5339" i="2"/>
  <c r="K5338" i="2"/>
  <c r="J5338" i="2"/>
  <c r="I5338" i="2"/>
  <c r="A5338" i="2"/>
  <c r="K5337" i="2"/>
  <c r="J5337" i="2"/>
  <c r="I5337" i="2"/>
  <c r="A5337" i="2"/>
  <c r="K5336" i="2"/>
  <c r="J5336" i="2"/>
  <c r="I5336" i="2"/>
  <c r="A5336" i="2"/>
  <c r="K5335" i="2"/>
  <c r="J5335" i="2"/>
  <c r="I5335" i="2"/>
  <c r="A5335" i="2"/>
  <c r="K5334" i="2"/>
  <c r="J5334" i="2"/>
  <c r="I5334" i="2"/>
  <c r="A5334" i="2"/>
  <c r="K5333" i="2"/>
  <c r="J5333" i="2"/>
  <c r="I5333" i="2"/>
  <c r="A5333" i="2"/>
  <c r="K5332" i="2"/>
  <c r="J5332" i="2"/>
  <c r="I5332" i="2"/>
  <c r="A5332" i="2"/>
  <c r="K5331" i="2"/>
  <c r="J5331" i="2"/>
  <c r="I5331" i="2"/>
  <c r="A5331" i="2"/>
  <c r="K5330" i="2"/>
  <c r="J5330" i="2"/>
  <c r="I5330" i="2"/>
  <c r="A5330" i="2"/>
  <c r="K5329" i="2"/>
  <c r="J5329" i="2"/>
  <c r="I5329" i="2"/>
  <c r="A5329" i="2"/>
  <c r="K5328" i="2"/>
  <c r="J5328" i="2"/>
  <c r="I5328" i="2"/>
  <c r="A5328" i="2"/>
  <c r="K5327" i="2"/>
  <c r="J5327" i="2"/>
  <c r="I5327" i="2"/>
  <c r="A5327" i="2"/>
  <c r="K5326" i="2"/>
  <c r="J5326" i="2"/>
  <c r="I5326" i="2"/>
  <c r="A5326" i="2"/>
  <c r="K5325" i="2"/>
  <c r="J5325" i="2"/>
  <c r="I5325" i="2"/>
  <c r="A5325" i="2"/>
  <c r="K5324" i="2"/>
  <c r="J5324" i="2"/>
  <c r="I5324" i="2"/>
  <c r="A5324" i="2"/>
  <c r="K5323" i="2"/>
  <c r="J5323" i="2"/>
  <c r="I5323" i="2"/>
  <c r="A5323" i="2"/>
  <c r="K5322" i="2"/>
  <c r="J5322" i="2"/>
  <c r="I5322" i="2"/>
  <c r="A5322" i="2"/>
  <c r="K5321" i="2"/>
  <c r="J5321" i="2"/>
  <c r="I5321" i="2"/>
  <c r="A5321" i="2"/>
  <c r="K5320" i="2"/>
  <c r="J5320" i="2"/>
  <c r="I5320" i="2"/>
  <c r="A5320" i="2"/>
  <c r="K5319" i="2"/>
  <c r="J5319" i="2"/>
  <c r="I5319" i="2"/>
  <c r="A5319" i="2"/>
  <c r="K5318" i="2"/>
  <c r="J5318" i="2"/>
  <c r="I5318" i="2"/>
  <c r="A5318" i="2"/>
  <c r="K5317" i="2"/>
  <c r="J5317" i="2"/>
  <c r="I5317" i="2"/>
  <c r="A5317" i="2"/>
  <c r="K5316" i="2"/>
  <c r="J5316" i="2"/>
  <c r="I5316" i="2"/>
  <c r="A5316" i="2"/>
  <c r="K5315" i="2"/>
  <c r="J5315" i="2"/>
  <c r="I5315" i="2"/>
  <c r="A5315" i="2"/>
  <c r="K5314" i="2"/>
  <c r="J5314" i="2"/>
  <c r="I5314" i="2"/>
  <c r="A5314" i="2"/>
  <c r="K5313" i="2"/>
  <c r="J5313" i="2"/>
  <c r="I5313" i="2"/>
  <c r="A5313" i="2"/>
  <c r="K5312" i="2"/>
  <c r="J5312" i="2"/>
  <c r="I5312" i="2"/>
  <c r="A5312" i="2"/>
  <c r="K5311" i="2"/>
  <c r="J5311" i="2"/>
  <c r="I5311" i="2"/>
  <c r="A5311" i="2"/>
  <c r="K5310" i="2"/>
  <c r="J5310" i="2"/>
  <c r="I5310" i="2"/>
  <c r="A5310" i="2"/>
  <c r="K5309" i="2"/>
  <c r="J5309" i="2"/>
  <c r="I5309" i="2"/>
  <c r="A5309" i="2"/>
  <c r="K5308" i="2"/>
  <c r="J5308" i="2"/>
  <c r="I5308" i="2"/>
  <c r="A5308" i="2"/>
  <c r="K5307" i="2"/>
  <c r="J5307" i="2"/>
  <c r="I5307" i="2"/>
  <c r="A5307" i="2"/>
  <c r="K5306" i="2"/>
  <c r="J5306" i="2"/>
  <c r="I5306" i="2"/>
  <c r="A5306" i="2"/>
  <c r="K5305" i="2"/>
  <c r="J5305" i="2"/>
  <c r="I5305" i="2"/>
  <c r="A5305" i="2"/>
  <c r="K5304" i="2"/>
  <c r="J5304" i="2"/>
  <c r="I5304" i="2"/>
  <c r="A5304" i="2"/>
  <c r="K5303" i="2"/>
  <c r="J5303" i="2"/>
  <c r="I5303" i="2"/>
  <c r="A5303" i="2"/>
  <c r="K5302" i="2"/>
  <c r="J5302" i="2"/>
  <c r="I5302" i="2"/>
  <c r="A5302" i="2"/>
  <c r="K5301" i="2"/>
  <c r="J5301" i="2"/>
  <c r="I5301" i="2"/>
  <c r="A5301" i="2"/>
  <c r="K5300" i="2"/>
  <c r="J5300" i="2"/>
  <c r="I5300" i="2"/>
  <c r="A5300" i="2"/>
  <c r="K5299" i="2"/>
  <c r="J5299" i="2"/>
  <c r="I5299" i="2"/>
  <c r="A5299" i="2"/>
  <c r="K5298" i="2"/>
  <c r="J5298" i="2"/>
  <c r="I5298" i="2"/>
  <c r="A5298" i="2"/>
  <c r="K5297" i="2"/>
  <c r="J5297" i="2"/>
  <c r="I5297" i="2"/>
  <c r="A5297" i="2"/>
  <c r="K5296" i="2"/>
  <c r="J5296" i="2"/>
  <c r="I5296" i="2"/>
  <c r="A5296" i="2"/>
  <c r="K5295" i="2"/>
  <c r="J5295" i="2"/>
  <c r="I5295" i="2"/>
  <c r="A5295" i="2"/>
  <c r="K5294" i="2"/>
  <c r="J5294" i="2"/>
  <c r="I5294" i="2"/>
  <c r="A5294" i="2"/>
  <c r="K5293" i="2"/>
  <c r="J5293" i="2"/>
  <c r="I5293" i="2"/>
  <c r="A5293" i="2"/>
  <c r="K5292" i="2"/>
  <c r="J5292" i="2"/>
  <c r="I5292" i="2"/>
  <c r="A5292" i="2"/>
  <c r="K5291" i="2"/>
  <c r="J5291" i="2"/>
  <c r="I5291" i="2"/>
  <c r="A5291" i="2"/>
  <c r="K5290" i="2"/>
  <c r="J5290" i="2"/>
  <c r="I5290" i="2"/>
  <c r="A5290" i="2"/>
  <c r="K5289" i="2"/>
  <c r="J5289" i="2"/>
  <c r="I5289" i="2"/>
  <c r="A5289" i="2"/>
  <c r="K5288" i="2"/>
  <c r="J5288" i="2"/>
  <c r="I5288" i="2"/>
  <c r="A5288" i="2"/>
  <c r="K5287" i="2"/>
  <c r="J5287" i="2"/>
  <c r="I5287" i="2"/>
  <c r="A5287" i="2"/>
  <c r="K5286" i="2"/>
  <c r="J5286" i="2"/>
  <c r="I5286" i="2"/>
  <c r="A5286" i="2"/>
  <c r="K5285" i="2"/>
  <c r="J5285" i="2"/>
  <c r="I5285" i="2"/>
  <c r="A5285" i="2"/>
  <c r="K5284" i="2"/>
  <c r="J5284" i="2"/>
  <c r="I5284" i="2"/>
  <c r="A5284" i="2"/>
  <c r="K5283" i="2"/>
  <c r="J5283" i="2"/>
  <c r="I5283" i="2"/>
  <c r="A5283" i="2"/>
  <c r="K5282" i="2"/>
  <c r="J5282" i="2"/>
  <c r="I5282" i="2"/>
  <c r="A5282" i="2"/>
  <c r="K5281" i="2"/>
  <c r="J5281" i="2"/>
  <c r="I5281" i="2"/>
  <c r="A5281" i="2"/>
  <c r="K5280" i="2"/>
  <c r="J5280" i="2"/>
  <c r="I5280" i="2"/>
  <c r="A5280" i="2"/>
  <c r="K5279" i="2"/>
  <c r="J5279" i="2"/>
  <c r="I5279" i="2"/>
  <c r="A5279" i="2"/>
  <c r="K5278" i="2"/>
  <c r="J5278" i="2"/>
  <c r="I5278" i="2"/>
  <c r="A5278" i="2"/>
  <c r="K5277" i="2"/>
  <c r="J5277" i="2"/>
  <c r="I5277" i="2"/>
  <c r="A5277" i="2"/>
  <c r="K5276" i="2"/>
  <c r="J5276" i="2"/>
  <c r="I5276" i="2"/>
  <c r="A5276" i="2"/>
  <c r="K5275" i="2"/>
  <c r="J5275" i="2"/>
  <c r="I5275" i="2"/>
  <c r="A5275" i="2"/>
  <c r="K5274" i="2"/>
  <c r="J5274" i="2"/>
  <c r="I5274" i="2"/>
  <c r="A5274" i="2"/>
  <c r="K5273" i="2"/>
  <c r="J5273" i="2"/>
  <c r="I5273" i="2"/>
  <c r="A5273" i="2"/>
  <c r="K5272" i="2"/>
  <c r="J5272" i="2"/>
  <c r="I5272" i="2"/>
  <c r="A5272" i="2"/>
  <c r="K5271" i="2"/>
  <c r="J5271" i="2"/>
  <c r="I5271" i="2"/>
  <c r="A5271" i="2"/>
  <c r="K5270" i="2"/>
  <c r="J5270" i="2"/>
  <c r="I5270" i="2"/>
  <c r="A5270" i="2"/>
  <c r="K5269" i="2"/>
  <c r="J5269" i="2"/>
  <c r="I5269" i="2"/>
  <c r="A5269" i="2"/>
  <c r="K5268" i="2"/>
  <c r="J5268" i="2"/>
  <c r="I5268" i="2"/>
  <c r="A5268" i="2"/>
  <c r="K5267" i="2"/>
  <c r="J5267" i="2"/>
  <c r="I5267" i="2"/>
  <c r="A5267" i="2"/>
  <c r="K5266" i="2"/>
  <c r="J5266" i="2"/>
  <c r="I5266" i="2"/>
  <c r="A5266" i="2"/>
  <c r="K5265" i="2"/>
  <c r="J5265" i="2"/>
  <c r="I5265" i="2"/>
  <c r="A5265" i="2"/>
  <c r="K5264" i="2"/>
  <c r="J5264" i="2"/>
  <c r="I5264" i="2"/>
  <c r="A5264" i="2"/>
  <c r="K5263" i="2"/>
  <c r="J5263" i="2"/>
  <c r="I5263" i="2"/>
  <c r="A5263" i="2"/>
  <c r="K5262" i="2"/>
  <c r="J5262" i="2"/>
  <c r="I5262" i="2"/>
  <c r="A5262" i="2"/>
  <c r="K5261" i="2"/>
  <c r="J5261" i="2"/>
  <c r="I5261" i="2"/>
  <c r="A5261" i="2"/>
  <c r="K5260" i="2"/>
  <c r="J5260" i="2"/>
  <c r="I5260" i="2"/>
  <c r="A5260" i="2"/>
  <c r="K5259" i="2"/>
  <c r="J5259" i="2"/>
  <c r="I5259" i="2"/>
  <c r="A5259" i="2"/>
  <c r="K5258" i="2"/>
  <c r="J5258" i="2"/>
  <c r="I5258" i="2"/>
  <c r="A5258" i="2"/>
  <c r="K5257" i="2"/>
  <c r="J5257" i="2"/>
  <c r="I5257" i="2"/>
  <c r="A5257" i="2"/>
  <c r="K5256" i="2"/>
  <c r="J5256" i="2"/>
  <c r="I5256" i="2"/>
  <c r="A5256" i="2"/>
  <c r="K5255" i="2"/>
  <c r="J5255" i="2"/>
  <c r="I5255" i="2"/>
  <c r="A5255" i="2"/>
  <c r="K5254" i="2"/>
  <c r="J5254" i="2"/>
  <c r="I5254" i="2"/>
  <c r="A5254" i="2"/>
  <c r="K5253" i="2"/>
  <c r="J5253" i="2"/>
  <c r="I5253" i="2"/>
  <c r="A5253" i="2"/>
  <c r="K5252" i="2"/>
  <c r="J5252" i="2"/>
  <c r="I5252" i="2"/>
  <c r="A5252" i="2"/>
  <c r="K5251" i="2"/>
  <c r="J5251" i="2"/>
  <c r="I5251" i="2"/>
  <c r="A5251" i="2"/>
  <c r="K5250" i="2"/>
  <c r="J5250" i="2"/>
  <c r="I5250" i="2"/>
  <c r="A5250" i="2"/>
  <c r="K5249" i="2"/>
  <c r="J5249" i="2"/>
  <c r="I5249" i="2"/>
  <c r="A5249" i="2"/>
  <c r="K5248" i="2"/>
  <c r="J5248" i="2"/>
  <c r="I5248" i="2"/>
  <c r="A5248" i="2"/>
  <c r="K5247" i="2"/>
  <c r="J5247" i="2"/>
  <c r="I5247" i="2"/>
  <c r="A5247" i="2"/>
  <c r="K5246" i="2"/>
  <c r="J5246" i="2"/>
  <c r="I5246" i="2"/>
  <c r="A5246" i="2"/>
  <c r="K5245" i="2"/>
  <c r="J5245" i="2"/>
  <c r="I5245" i="2"/>
  <c r="A5245" i="2"/>
  <c r="K5244" i="2"/>
  <c r="J5244" i="2"/>
  <c r="I5244" i="2"/>
  <c r="A5244" i="2"/>
  <c r="K5243" i="2"/>
  <c r="J5243" i="2"/>
  <c r="I5243" i="2"/>
  <c r="A5243" i="2"/>
  <c r="K5242" i="2"/>
  <c r="J5242" i="2"/>
  <c r="I5242" i="2"/>
  <c r="A5242" i="2"/>
  <c r="K5241" i="2"/>
  <c r="J5241" i="2"/>
  <c r="I5241" i="2"/>
  <c r="A5241" i="2"/>
  <c r="K5240" i="2"/>
  <c r="J5240" i="2"/>
  <c r="I5240" i="2"/>
  <c r="A5240" i="2"/>
  <c r="K5239" i="2"/>
  <c r="J5239" i="2"/>
  <c r="I5239" i="2"/>
  <c r="A5239" i="2"/>
  <c r="K5238" i="2"/>
  <c r="J5238" i="2"/>
  <c r="I5238" i="2"/>
  <c r="A5238" i="2"/>
  <c r="K5237" i="2"/>
  <c r="J5237" i="2"/>
  <c r="I5237" i="2"/>
  <c r="A5237" i="2"/>
  <c r="K5236" i="2"/>
  <c r="J5236" i="2"/>
  <c r="I5236" i="2"/>
  <c r="A5236" i="2"/>
  <c r="K5235" i="2"/>
  <c r="J5235" i="2"/>
  <c r="I5235" i="2"/>
  <c r="A5235" i="2"/>
  <c r="K5234" i="2"/>
  <c r="J5234" i="2"/>
  <c r="I5234" i="2"/>
  <c r="A5234" i="2"/>
  <c r="K5233" i="2"/>
  <c r="J5233" i="2"/>
  <c r="I5233" i="2"/>
  <c r="A5233" i="2"/>
  <c r="K5232" i="2"/>
  <c r="J5232" i="2"/>
  <c r="I5232" i="2"/>
  <c r="A5232" i="2"/>
  <c r="K5231" i="2"/>
  <c r="J5231" i="2"/>
  <c r="I5231" i="2"/>
  <c r="A5231" i="2"/>
  <c r="K5230" i="2"/>
  <c r="J5230" i="2"/>
  <c r="I5230" i="2"/>
  <c r="A5230" i="2"/>
  <c r="K5229" i="2"/>
  <c r="J5229" i="2"/>
  <c r="I5229" i="2"/>
  <c r="A5229" i="2"/>
  <c r="K5228" i="2"/>
  <c r="J5228" i="2"/>
  <c r="I5228" i="2"/>
  <c r="A5228" i="2"/>
  <c r="K5227" i="2"/>
  <c r="J5227" i="2"/>
  <c r="I5227" i="2"/>
  <c r="A5227" i="2"/>
  <c r="K5226" i="2"/>
  <c r="J5226" i="2"/>
  <c r="I5226" i="2"/>
  <c r="A5226" i="2"/>
  <c r="K5225" i="2"/>
  <c r="J5225" i="2"/>
  <c r="I5225" i="2"/>
  <c r="A5225" i="2"/>
  <c r="K5224" i="2"/>
  <c r="J5224" i="2"/>
  <c r="I5224" i="2"/>
  <c r="A5224" i="2"/>
  <c r="K5223" i="2"/>
  <c r="J5223" i="2"/>
  <c r="I5223" i="2"/>
  <c r="A5223" i="2"/>
  <c r="K5222" i="2"/>
  <c r="J5222" i="2"/>
  <c r="I5222" i="2"/>
  <c r="A5222" i="2"/>
  <c r="K5221" i="2"/>
  <c r="J5221" i="2"/>
  <c r="I5221" i="2"/>
  <c r="A5221" i="2"/>
  <c r="K5220" i="2"/>
  <c r="J5220" i="2"/>
  <c r="I5220" i="2"/>
  <c r="A5220" i="2"/>
  <c r="K5219" i="2"/>
  <c r="J5219" i="2"/>
  <c r="I5219" i="2"/>
  <c r="A5219" i="2"/>
  <c r="K5218" i="2"/>
  <c r="J5218" i="2"/>
  <c r="I5218" i="2"/>
  <c r="A5218" i="2"/>
  <c r="K5217" i="2"/>
  <c r="J5217" i="2"/>
  <c r="I5217" i="2"/>
  <c r="A5217" i="2"/>
  <c r="K5216" i="2"/>
  <c r="J5216" i="2"/>
  <c r="I5216" i="2"/>
  <c r="A5216" i="2"/>
  <c r="K5215" i="2"/>
  <c r="J5215" i="2"/>
  <c r="I5215" i="2"/>
  <c r="A5215" i="2"/>
  <c r="K5214" i="2"/>
  <c r="J5214" i="2"/>
  <c r="I5214" i="2"/>
  <c r="A5214" i="2"/>
  <c r="K5213" i="2"/>
  <c r="J5213" i="2"/>
  <c r="I5213" i="2"/>
  <c r="A5213" i="2"/>
  <c r="K5212" i="2"/>
  <c r="J5212" i="2"/>
  <c r="I5212" i="2"/>
  <c r="A5212" i="2"/>
  <c r="K5211" i="2"/>
  <c r="J5211" i="2"/>
  <c r="I5211" i="2"/>
  <c r="A5211" i="2"/>
  <c r="K5210" i="2"/>
  <c r="J5210" i="2"/>
  <c r="I5210" i="2"/>
  <c r="A5210" i="2"/>
  <c r="K5209" i="2"/>
  <c r="J5209" i="2"/>
  <c r="I5209" i="2"/>
  <c r="A5209" i="2"/>
  <c r="K5208" i="2"/>
  <c r="J5208" i="2"/>
  <c r="I5208" i="2"/>
  <c r="A5208" i="2"/>
  <c r="K5207" i="2"/>
  <c r="J5207" i="2"/>
  <c r="I5207" i="2"/>
  <c r="A5207" i="2"/>
  <c r="K5206" i="2"/>
  <c r="J5206" i="2"/>
  <c r="I5206" i="2"/>
  <c r="A5206" i="2"/>
  <c r="K5205" i="2"/>
  <c r="J5205" i="2"/>
  <c r="I5205" i="2"/>
  <c r="A5205" i="2"/>
  <c r="K5204" i="2"/>
  <c r="J5204" i="2"/>
  <c r="I5204" i="2"/>
  <c r="A5204" i="2"/>
  <c r="K5203" i="2"/>
  <c r="J5203" i="2"/>
  <c r="I5203" i="2"/>
  <c r="A5203" i="2"/>
  <c r="K5202" i="2"/>
  <c r="J5202" i="2"/>
  <c r="I5202" i="2"/>
  <c r="A5202" i="2"/>
  <c r="K5201" i="2"/>
  <c r="J5201" i="2"/>
  <c r="I5201" i="2"/>
  <c r="A5201" i="2"/>
  <c r="K5200" i="2"/>
  <c r="J5200" i="2"/>
  <c r="I5200" i="2"/>
  <c r="A5200" i="2"/>
  <c r="K5199" i="2"/>
  <c r="J5199" i="2"/>
  <c r="I5199" i="2"/>
  <c r="A5199" i="2"/>
  <c r="K5198" i="2"/>
  <c r="J5198" i="2"/>
  <c r="I5198" i="2"/>
  <c r="A5198" i="2"/>
  <c r="K5197" i="2"/>
  <c r="J5197" i="2"/>
  <c r="I5197" i="2"/>
  <c r="A5197" i="2"/>
  <c r="K5196" i="2"/>
  <c r="J5196" i="2"/>
  <c r="I5196" i="2"/>
  <c r="A5196" i="2"/>
  <c r="K5195" i="2"/>
  <c r="J5195" i="2"/>
  <c r="I5195" i="2"/>
  <c r="A5195" i="2"/>
  <c r="K5194" i="2"/>
  <c r="J5194" i="2"/>
  <c r="I5194" i="2"/>
  <c r="A5194" i="2"/>
  <c r="K5193" i="2"/>
  <c r="J5193" i="2"/>
  <c r="I5193" i="2"/>
  <c r="A5193" i="2"/>
  <c r="K5192" i="2"/>
  <c r="J5192" i="2"/>
  <c r="I5192" i="2"/>
  <c r="A5192" i="2"/>
  <c r="K5191" i="2"/>
  <c r="J5191" i="2"/>
  <c r="I5191" i="2"/>
  <c r="A5191" i="2"/>
  <c r="K5190" i="2"/>
  <c r="J5190" i="2"/>
  <c r="I5190" i="2"/>
  <c r="A5190" i="2"/>
  <c r="K5189" i="2"/>
  <c r="J5189" i="2"/>
  <c r="I5189" i="2"/>
  <c r="A5189" i="2"/>
  <c r="K5188" i="2"/>
  <c r="J5188" i="2"/>
  <c r="I5188" i="2"/>
  <c r="A5188" i="2"/>
  <c r="K5187" i="2"/>
  <c r="J5187" i="2"/>
  <c r="I5187" i="2"/>
  <c r="A5187" i="2"/>
  <c r="K5186" i="2"/>
  <c r="J5186" i="2"/>
  <c r="I5186" i="2"/>
  <c r="A5186" i="2"/>
  <c r="K5185" i="2"/>
  <c r="J5185" i="2"/>
  <c r="I5185" i="2"/>
  <c r="A5185" i="2"/>
  <c r="K5184" i="2"/>
  <c r="J5184" i="2"/>
  <c r="I5184" i="2"/>
  <c r="A5184" i="2"/>
  <c r="K5183" i="2"/>
  <c r="J5183" i="2"/>
  <c r="I5183" i="2"/>
  <c r="A5183" i="2"/>
  <c r="K5182" i="2"/>
  <c r="J5182" i="2"/>
  <c r="I5182" i="2"/>
  <c r="A5182" i="2"/>
  <c r="K5181" i="2"/>
  <c r="J5181" i="2"/>
  <c r="I5181" i="2"/>
  <c r="A5181" i="2"/>
  <c r="K5180" i="2"/>
  <c r="J5180" i="2"/>
  <c r="I5180" i="2"/>
  <c r="A5180" i="2"/>
  <c r="K5179" i="2"/>
  <c r="J5179" i="2"/>
  <c r="I5179" i="2"/>
  <c r="A5179" i="2"/>
  <c r="K5178" i="2"/>
  <c r="J5178" i="2"/>
  <c r="I5178" i="2"/>
  <c r="A5178" i="2"/>
  <c r="K5177" i="2"/>
  <c r="J5177" i="2"/>
  <c r="I5177" i="2"/>
  <c r="A5177" i="2"/>
  <c r="K5176" i="2"/>
  <c r="J5176" i="2"/>
  <c r="I5176" i="2"/>
  <c r="A5176" i="2"/>
  <c r="K5175" i="2"/>
  <c r="J5175" i="2"/>
  <c r="I5175" i="2"/>
  <c r="A5175" i="2"/>
  <c r="K5174" i="2"/>
  <c r="J5174" i="2"/>
  <c r="I5174" i="2"/>
  <c r="A5174" i="2"/>
  <c r="K5173" i="2"/>
  <c r="J5173" i="2"/>
  <c r="I5173" i="2"/>
  <c r="A5173" i="2"/>
  <c r="K5172" i="2"/>
  <c r="J5172" i="2"/>
  <c r="I5172" i="2"/>
  <c r="A5172" i="2"/>
  <c r="K5171" i="2"/>
  <c r="J5171" i="2"/>
  <c r="I5171" i="2"/>
  <c r="A5171" i="2"/>
  <c r="K5170" i="2"/>
  <c r="J5170" i="2"/>
  <c r="I5170" i="2"/>
  <c r="A5170" i="2"/>
  <c r="K5169" i="2"/>
  <c r="J5169" i="2"/>
  <c r="I5169" i="2"/>
  <c r="A5169" i="2"/>
  <c r="K5168" i="2"/>
  <c r="J5168" i="2"/>
  <c r="I5168" i="2"/>
  <c r="A5168" i="2"/>
  <c r="K5167" i="2"/>
  <c r="J5167" i="2"/>
  <c r="I5167" i="2"/>
  <c r="A5167" i="2"/>
  <c r="K5166" i="2"/>
  <c r="J5166" i="2"/>
  <c r="I5166" i="2"/>
  <c r="A5166" i="2"/>
  <c r="K5165" i="2"/>
  <c r="J5165" i="2"/>
  <c r="I5165" i="2"/>
  <c r="A5165" i="2"/>
  <c r="K5164" i="2"/>
  <c r="J5164" i="2"/>
  <c r="I5164" i="2"/>
  <c r="A5164" i="2"/>
  <c r="K5163" i="2"/>
  <c r="J5163" i="2"/>
  <c r="I5163" i="2"/>
  <c r="A5163" i="2"/>
  <c r="K5162" i="2"/>
  <c r="J5162" i="2"/>
  <c r="I5162" i="2"/>
  <c r="A5162" i="2"/>
  <c r="K5161" i="2"/>
  <c r="J5161" i="2"/>
  <c r="I5161" i="2"/>
  <c r="A5161" i="2"/>
  <c r="K5160" i="2"/>
  <c r="J5160" i="2"/>
  <c r="I5160" i="2"/>
  <c r="A5160" i="2"/>
  <c r="K5159" i="2"/>
  <c r="J5159" i="2"/>
  <c r="I5159" i="2"/>
  <c r="A5159" i="2"/>
  <c r="K5158" i="2"/>
  <c r="J5158" i="2"/>
  <c r="I5158" i="2"/>
  <c r="A5158" i="2"/>
  <c r="K5157" i="2"/>
  <c r="J5157" i="2"/>
  <c r="I5157" i="2"/>
  <c r="A5157" i="2"/>
  <c r="K5156" i="2"/>
  <c r="J5156" i="2"/>
  <c r="I5156" i="2"/>
  <c r="A5156" i="2"/>
  <c r="K5155" i="2"/>
  <c r="J5155" i="2"/>
  <c r="I5155" i="2"/>
  <c r="A5155" i="2"/>
  <c r="K5154" i="2"/>
  <c r="J5154" i="2"/>
  <c r="I5154" i="2"/>
  <c r="A5154" i="2"/>
  <c r="K5153" i="2"/>
  <c r="J5153" i="2"/>
  <c r="I5153" i="2"/>
  <c r="A5153" i="2"/>
  <c r="K5152" i="2"/>
  <c r="J5152" i="2"/>
  <c r="I5152" i="2"/>
  <c r="A5152" i="2"/>
  <c r="K5151" i="2"/>
  <c r="J5151" i="2"/>
  <c r="I5151" i="2"/>
  <c r="A5151" i="2"/>
  <c r="K5150" i="2"/>
  <c r="J5150" i="2"/>
  <c r="I5150" i="2"/>
  <c r="A5150" i="2"/>
  <c r="K5149" i="2"/>
  <c r="J5149" i="2"/>
  <c r="I5149" i="2"/>
  <c r="A5149" i="2"/>
  <c r="K5148" i="2"/>
  <c r="J5148" i="2"/>
  <c r="I5148" i="2"/>
  <c r="A5148" i="2"/>
  <c r="K5147" i="2"/>
  <c r="J5147" i="2"/>
  <c r="I5147" i="2"/>
  <c r="A5147" i="2"/>
  <c r="K5146" i="2"/>
  <c r="J5146" i="2"/>
  <c r="I5146" i="2"/>
  <c r="A5146" i="2"/>
  <c r="K5145" i="2"/>
  <c r="J5145" i="2"/>
  <c r="I5145" i="2"/>
  <c r="A5145" i="2"/>
  <c r="K5144" i="2"/>
  <c r="J5144" i="2"/>
  <c r="I5144" i="2"/>
  <c r="A5144" i="2"/>
  <c r="K5143" i="2"/>
  <c r="J5143" i="2"/>
  <c r="I5143" i="2"/>
  <c r="A5143" i="2"/>
  <c r="K5142" i="2"/>
  <c r="J5142" i="2"/>
  <c r="I5142" i="2"/>
  <c r="A5142" i="2"/>
  <c r="K5141" i="2"/>
  <c r="J5141" i="2"/>
  <c r="I5141" i="2"/>
  <c r="A5141" i="2"/>
  <c r="K5140" i="2"/>
  <c r="J5140" i="2"/>
  <c r="I5140" i="2"/>
  <c r="A5140" i="2"/>
  <c r="K5139" i="2"/>
  <c r="J5139" i="2"/>
  <c r="I5139" i="2"/>
  <c r="A5139" i="2"/>
  <c r="K5138" i="2"/>
  <c r="J5138" i="2"/>
  <c r="I5138" i="2"/>
  <c r="A5138" i="2"/>
  <c r="K5137" i="2"/>
  <c r="J5137" i="2"/>
  <c r="I5137" i="2"/>
  <c r="A5137" i="2"/>
  <c r="K5136" i="2"/>
  <c r="J5136" i="2"/>
  <c r="I5136" i="2"/>
  <c r="A5136" i="2"/>
  <c r="K5135" i="2"/>
  <c r="J5135" i="2"/>
  <c r="I5135" i="2"/>
  <c r="A5135" i="2"/>
  <c r="K5134" i="2"/>
  <c r="J5134" i="2"/>
  <c r="I5134" i="2"/>
  <c r="A5134" i="2"/>
  <c r="K5133" i="2"/>
  <c r="J5133" i="2"/>
  <c r="I5133" i="2"/>
  <c r="A5133" i="2"/>
  <c r="K5132" i="2"/>
  <c r="J5132" i="2"/>
  <c r="I5132" i="2"/>
  <c r="A5132" i="2"/>
  <c r="K5131" i="2"/>
  <c r="J5131" i="2"/>
  <c r="I5131" i="2"/>
  <c r="A5131" i="2"/>
  <c r="K5130" i="2"/>
  <c r="J5130" i="2"/>
  <c r="I5130" i="2"/>
  <c r="A5130" i="2"/>
  <c r="K5129" i="2"/>
  <c r="J5129" i="2"/>
  <c r="I5129" i="2"/>
  <c r="A5129" i="2"/>
  <c r="K5128" i="2"/>
  <c r="J5128" i="2"/>
  <c r="I5128" i="2"/>
  <c r="A5128" i="2"/>
  <c r="K5127" i="2"/>
  <c r="J5127" i="2"/>
  <c r="I5127" i="2"/>
  <c r="A5127" i="2"/>
  <c r="K5126" i="2"/>
  <c r="J5126" i="2"/>
  <c r="I5126" i="2"/>
  <c r="A5126" i="2"/>
  <c r="K5125" i="2"/>
  <c r="J5125" i="2"/>
  <c r="I5125" i="2"/>
  <c r="A5125" i="2"/>
  <c r="K5124" i="2"/>
  <c r="J5124" i="2"/>
  <c r="I5124" i="2"/>
  <c r="A5124" i="2"/>
  <c r="K5123" i="2"/>
  <c r="J5123" i="2"/>
  <c r="I5123" i="2"/>
  <c r="A5123" i="2"/>
  <c r="K5122" i="2"/>
  <c r="J5122" i="2"/>
  <c r="I5122" i="2"/>
  <c r="A5122" i="2"/>
  <c r="K5121" i="2"/>
  <c r="J5121" i="2"/>
  <c r="I5121" i="2"/>
  <c r="A5121" i="2"/>
  <c r="K5120" i="2"/>
  <c r="J5120" i="2"/>
  <c r="I5120" i="2"/>
  <c r="A5120" i="2"/>
  <c r="K5119" i="2"/>
  <c r="J5119" i="2"/>
  <c r="I5119" i="2"/>
  <c r="A5119" i="2"/>
  <c r="K5118" i="2"/>
  <c r="J5118" i="2"/>
  <c r="I5118" i="2"/>
  <c r="A5118" i="2"/>
  <c r="K5117" i="2"/>
  <c r="J5117" i="2"/>
  <c r="I5117" i="2"/>
  <c r="A5117" i="2"/>
  <c r="K5116" i="2"/>
  <c r="J5116" i="2"/>
  <c r="I5116" i="2"/>
  <c r="A5116" i="2"/>
  <c r="K5115" i="2"/>
  <c r="J5115" i="2"/>
  <c r="I5115" i="2"/>
  <c r="A5115" i="2"/>
  <c r="K5114" i="2"/>
  <c r="J5114" i="2"/>
  <c r="I5114" i="2"/>
  <c r="A5114" i="2"/>
  <c r="K5113" i="2"/>
  <c r="J5113" i="2"/>
  <c r="I5113" i="2"/>
  <c r="A5113" i="2"/>
  <c r="K5112" i="2"/>
  <c r="J5112" i="2"/>
  <c r="I5112" i="2"/>
  <c r="A5112" i="2"/>
  <c r="K5111" i="2"/>
  <c r="J5111" i="2"/>
  <c r="I5111" i="2"/>
  <c r="A5111" i="2"/>
  <c r="K5110" i="2"/>
  <c r="J5110" i="2"/>
  <c r="I5110" i="2"/>
  <c r="A5110" i="2"/>
  <c r="K5109" i="2"/>
  <c r="J5109" i="2"/>
  <c r="I5109" i="2"/>
  <c r="A5109" i="2"/>
  <c r="K5108" i="2"/>
  <c r="J5108" i="2"/>
  <c r="I5108" i="2"/>
  <c r="A5108" i="2"/>
  <c r="K5107" i="2"/>
  <c r="J5107" i="2"/>
  <c r="I5107" i="2"/>
  <c r="A5107" i="2"/>
  <c r="K5106" i="2"/>
  <c r="J5106" i="2"/>
  <c r="I5106" i="2"/>
  <c r="A5106" i="2"/>
  <c r="K5105" i="2"/>
  <c r="J5105" i="2"/>
  <c r="I5105" i="2"/>
  <c r="A5105" i="2"/>
  <c r="K5104" i="2"/>
  <c r="J5104" i="2"/>
  <c r="I5104" i="2"/>
  <c r="A5104" i="2"/>
  <c r="K5103" i="2"/>
  <c r="J5103" i="2"/>
  <c r="I5103" i="2"/>
  <c r="A5103" i="2"/>
  <c r="K5102" i="2"/>
  <c r="J5102" i="2"/>
  <c r="I5102" i="2"/>
  <c r="A5102" i="2"/>
  <c r="K5101" i="2"/>
  <c r="J5101" i="2"/>
  <c r="I5101" i="2"/>
  <c r="A5101" i="2"/>
  <c r="K5100" i="2"/>
  <c r="J5100" i="2"/>
  <c r="I5100" i="2"/>
  <c r="A5100" i="2"/>
  <c r="K5099" i="2"/>
  <c r="J5099" i="2"/>
  <c r="I5099" i="2"/>
  <c r="A5099" i="2"/>
  <c r="K5098" i="2"/>
  <c r="J5098" i="2"/>
  <c r="I5098" i="2"/>
  <c r="A5098" i="2"/>
  <c r="K5097" i="2"/>
  <c r="J5097" i="2"/>
  <c r="I5097" i="2"/>
  <c r="A5097" i="2"/>
  <c r="K5096" i="2"/>
  <c r="J5096" i="2"/>
  <c r="I5096" i="2"/>
  <c r="A5096" i="2"/>
  <c r="K5095" i="2"/>
  <c r="J5095" i="2"/>
  <c r="I5095" i="2"/>
  <c r="A5095" i="2"/>
  <c r="K5094" i="2"/>
  <c r="J5094" i="2"/>
  <c r="I5094" i="2"/>
  <c r="A5094" i="2"/>
  <c r="K5093" i="2"/>
  <c r="J5093" i="2"/>
  <c r="I5093" i="2"/>
  <c r="A5093" i="2"/>
  <c r="K5092" i="2"/>
  <c r="J5092" i="2"/>
  <c r="I5092" i="2"/>
  <c r="A5092" i="2"/>
  <c r="K5091" i="2"/>
  <c r="J5091" i="2"/>
  <c r="I5091" i="2"/>
  <c r="A5091" i="2"/>
  <c r="K5090" i="2"/>
  <c r="J5090" i="2"/>
  <c r="I5090" i="2"/>
  <c r="A5090" i="2"/>
  <c r="K5089" i="2"/>
  <c r="J5089" i="2"/>
  <c r="I5089" i="2"/>
  <c r="A5089" i="2"/>
  <c r="K5088" i="2"/>
  <c r="J5088" i="2"/>
  <c r="I5088" i="2"/>
  <c r="A5088" i="2"/>
  <c r="K5087" i="2"/>
  <c r="J5087" i="2"/>
  <c r="I5087" i="2"/>
  <c r="A5087" i="2"/>
  <c r="K5086" i="2"/>
  <c r="J5086" i="2"/>
  <c r="I5086" i="2"/>
  <c r="A5086" i="2"/>
  <c r="K5085" i="2"/>
  <c r="J5085" i="2"/>
  <c r="I5085" i="2"/>
  <c r="A5085" i="2"/>
  <c r="K5084" i="2"/>
  <c r="J5084" i="2"/>
  <c r="I5084" i="2"/>
  <c r="A5084" i="2"/>
  <c r="K5083" i="2"/>
  <c r="J5083" i="2"/>
  <c r="I5083" i="2"/>
  <c r="A5083" i="2"/>
  <c r="K5082" i="2"/>
  <c r="J5082" i="2"/>
  <c r="I5082" i="2"/>
  <c r="A5082" i="2"/>
  <c r="K5081" i="2"/>
  <c r="J5081" i="2"/>
  <c r="I5081" i="2"/>
  <c r="A5081" i="2"/>
  <c r="K5080" i="2"/>
  <c r="J5080" i="2"/>
  <c r="I5080" i="2"/>
  <c r="A5080" i="2"/>
  <c r="K5079" i="2"/>
  <c r="J5079" i="2"/>
  <c r="I5079" i="2"/>
  <c r="A5079" i="2"/>
  <c r="K5078" i="2"/>
  <c r="J5078" i="2"/>
  <c r="I5078" i="2"/>
  <c r="A5078" i="2"/>
  <c r="K5077" i="2"/>
  <c r="J5077" i="2"/>
  <c r="I5077" i="2"/>
  <c r="A5077" i="2"/>
  <c r="K5076" i="2"/>
  <c r="J5076" i="2"/>
  <c r="I5076" i="2"/>
  <c r="A5076" i="2"/>
  <c r="K5075" i="2"/>
  <c r="J5075" i="2"/>
  <c r="I5075" i="2"/>
  <c r="A5075" i="2"/>
  <c r="K5074" i="2"/>
  <c r="J5074" i="2"/>
  <c r="I5074" i="2"/>
  <c r="A5074" i="2"/>
  <c r="K5073" i="2"/>
  <c r="J5073" i="2"/>
  <c r="I5073" i="2"/>
  <c r="A5073" i="2"/>
  <c r="K5072" i="2"/>
  <c r="J5072" i="2"/>
  <c r="I5072" i="2"/>
  <c r="A5072" i="2"/>
  <c r="K5071" i="2"/>
  <c r="J5071" i="2"/>
  <c r="I5071" i="2"/>
  <c r="A5071" i="2"/>
  <c r="K5070" i="2"/>
  <c r="J5070" i="2"/>
  <c r="I5070" i="2"/>
  <c r="A5070" i="2"/>
  <c r="K5069" i="2"/>
  <c r="J5069" i="2"/>
  <c r="I5069" i="2"/>
  <c r="A5069" i="2"/>
  <c r="K5068" i="2"/>
  <c r="J5068" i="2"/>
  <c r="I5068" i="2"/>
  <c r="A5068" i="2"/>
  <c r="K5067" i="2"/>
  <c r="J5067" i="2"/>
  <c r="I5067" i="2"/>
  <c r="A5067" i="2"/>
  <c r="K5066" i="2"/>
  <c r="J5066" i="2"/>
  <c r="I5066" i="2"/>
  <c r="A5066" i="2"/>
  <c r="K5065" i="2"/>
  <c r="J5065" i="2"/>
  <c r="I5065" i="2"/>
  <c r="A5065" i="2"/>
  <c r="K5064" i="2"/>
  <c r="J5064" i="2"/>
  <c r="I5064" i="2"/>
  <c r="A5064" i="2"/>
  <c r="K5063" i="2"/>
  <c r="J5063" i="2"/>
  <c r="I5063" i="2"/>
  <c r="A5063" i="2"/>
  <c r="K5062" i="2"/>
  <c r="J5062" i="2"/>
  <c r="I5062" i="2"/>
  <c r="A5062" i="2"/>
  <c r="K5061" i="2"/>
  <c r="J5061" i="2"/>
  <c r="I5061" i="2"/>
  <c r="A5061" i="2"/>
  <c r="K5060" i="2"/>
  <c r="J5060" i="2"/>
  <c r="I5060" i="2"/>
  <c r="A5060" i="2"/>
  <c r="K5059" i="2"/>
  <c r="J5059" i="2"/>
  <c r="I5059" i="2"/>
  <c r="A5059" i="2"/>
  <c r="K5058" i="2"/>
  <c r="J5058" i="2"/>
  <c r="I5058" i="2"/>
  <c r="A5058" i="2"/>
  <c r="K5057" i="2"/>
  <c r="J5057" i="2"/>
  <c r="I5057" i="2"/>
  <c r="A5057" i="2"/>
  <c r="K5056" i="2"/>
  <c r="J5056" i="2"/>
  <c r="I5056" i="2"/>
  <c r="A5056" i="2"/>
  <c r="K5055" i="2"/>
  <c r="J5055" i="2"/>
  <c r="I5055" i="2"/>
  <c r="A5055" i="2"/>
  <c r="K5054" i="2"/>
  <c r="J5054" i="2"/>
  <c r="I5054" i="2"/>
  <c r="A5054" i="2"/>
  <c r="K5053" i="2"/>
  <c r="J5053" i="2"/>
  <c r="I5053" i="2"/>
  <c r="A5053" i="2"/>
  <c r="K5052" i="2"/>
  <c r="J5052" i="2"/>
  <c r="I5052" i="2"/>
  <c r="A5052" i="2"/>
  <c r="K5051" i="2"/>
  <c r="J5051" i="2"/>
  <c r="I5051" i="2"/>
  <c r="A5051" i="2"/>
  <c r="K5050" i="2"/>
  <c r="J5050" i="2"/>
  <c r="I5050" i="2"/>
  <c r="A5050" i="2"/>
  <c r="K5049" i="2"/>
  <c r="J5049" i="2"/>
  <c r="I5049" i="2"/>
  <c r="A5049" i="2"/>
  <c r="K5048" i="2"/>
  <c r="J5048" i="2"/>
  <c r="I5048" i="2"/>
  <c r="A5048" i="2"/>
  <c r="K5047" i="2"/>
  <c r="J5047" i="2"/>
  <c r="I5047" i="2"/>
  <c r="A5047" i="2"/>
  <c r="K5046" i="2"/>
  <c r="J5046" i="2"/>
  <c r="I5046" i="2"/>
  <c r="A5046" i="2"/>
  <c r="K5045" i="2"/>
  <c r="J5045" i="2"/>
  <c r="I5045" i="2"/>
  <c r="A5045" i="2"/>
  <c r="K5044" i="2"/>
  <c r="J5044" i="2"/>
  <c r="I5044" i="2"/>
  <c r="A5044" i="2"/>
  <c r="K5043" i="2"/>
  <c r="J5043" i="2"/>
  <c r="I5043" i="2"/>
  <c r="A5043" i="2"/>
  <c r="K5042" i="2"/>
  <c r="J5042" i="2"/>
  <c r="I5042" i="2"/>
  <c r="A5042" i="2"/>
  <c r="K5041" i="2"/>
  <c r="J5041" i="2"/>
  <c r="I5041" i="2"/>
  <c r="A5041" i="2"/>
  <c r="K5040" i="2"/>
  <c r="J5040" i="2"/>
  <c r="I5040" i="2"/>
  <c r="A5040" i="2"/>
  <c r="K5039" i="2"/>
  <c r="J5039" i="2"/>
  <c r="I5039" i="2"/>
  <c r="A5039" i="2"/>
  <c r="K5038" i="2"/>
  <c r="J5038" i="2"/>
  <c r="I5038" i="2"/>
  <c r="A5038" i="2"/>
  <c r="K5037" i="2"/>
  <c r="J5037" i="2"/>
  <c r="I5037" i="2"/>
  <c r="A5037" i="2"/>
  <c r="K5036" i="2"/>
  <c r="J5036" i="2"/>
  <c r="I5036" i="2"/>
  <c r="A5036" i="2"/>
  <c r="K5035" i="2"/>
  <c r="J5035" i="2"/>
  <c r="I5035" i="2"/>
  <c r="A5035" i="2"/>
  <c r="K5034" i="2"/>
  <c r="J5034" i="2"/>
  <c r="I5034" i="2"/>
  <c r="A5034" i="2"/>
  <c r="K5033" i="2"/>
  <c r="J5033" i="2"/>
  <c r="I5033" i="2"/>
  <c r="A5033" i="2"/>
  <c r="K5032" i="2"/>
  <c r="J5032" i="2"/>
  <c r="I5032" i="2"/>
  <c r="A5032" i="2"/>
  <c r="K5031" i="2"/>
  <c r="J5031" i="2"/>
  <c r="I5031" i="2"/>
  <c r="A5031" i="2"/>
  <c r="K5030" i="2"/>
  <c r="J5030" i="2"/>
  <c r="I5030" i="2"/>
  <c r="A5030" i="2"/>
  <c r="K5029" i="2"/>
  <c r="J5029" i="2"/>
  <c r="I5029" i="2"/>
  <c r="A5029" i="2"/>
  <c r="K5028" i="2"/>
  <c r="J5028" i="2"/>
  <c r="I5028" i="2"/>
  <c r="A5028" i="2"/>
  <c r="K5027" i="2"/>
  <c r="J5027" i="2"/>
  <c r="I5027" i="2"/>
  <c r="A5027" i="2"/>
  <c r="K5026" i="2"/>
  <c r="J5026" i="2"/>
  <c r="I5026" i="2"/>
  <c r="A5026" i="2"/>
  <c r="K5025" i="2"/>
  <c r="J5025" i="2"/>
  <c r="I5025" i="2"/>
  <c r="A5025" i="2"/>
  <c r="K5024" i="2"/>
  <c r="J5024" i="2"/>
  <c r="I5024" i="2"/>
  <c r="A5024" i="2"/>
  <c r="K5023" i="2"/>
  <c r="J5023" i="2"/>
  <c r="I5023" i="2"/>
  <c r="A5023" i="2"/>
  <c r="K5022" i="2"/>
  <c r="J5022" i="2"/>
  <c r="I5022" i="2"/>
  <c r="A5022" i="2"/>
  <c r="K5021" i="2"/>
  <c r="J5021" i="2"/>
  <c r="I5021" i="2"/>
  <c r="A5021" i="2"/>
  <c r="K5020" i="2"/>
  <c r="J5020" i="2"/>
  <c r="I5020" i="2"/>
  <c r="A5020" i="2"/>
  <c r="K5019" i="2"/>
  <c r="J5019" i="2"/>
  <c r="I5019" i="2"/>
  <c r="A5019" i="2"/>
  <c r="K5018" i="2"/>
  <c r="J5018" i="2"/>
  <c r="I5018" i="2"/>
  <c r="A5018" i="2"/>
  <c r="K5017" i="2"/>
  <c r="J5017" i="2"/>
  <c r="I5017" i="2"/>
  <c r="A5017" i="2"/>
  <c r="K5016" i="2"/>
  <c r="J5016" i="2"/>
  <c r="I5016" i="2"/>
  <c r="A5016" i="2"/>
  <c r="K5015" i="2"/>
  <c r="J5015" i="2"/>
  <c r="I5015" i="2"/>
  <c r="A5015" i="2"/>
  <c r="K5014" i="2"/>
  <c r="J5014" i="2"/>
  <c r="I5014" i="2"/>
  <c r="A5014" i="2"/>
  <c r="K5013" i="2"/>
  <c r="J5013" i="2"/>
  <c r="I5013" i="2"/>
  <c r="A5013" i="2"/>
  <c r="K5012" i="2"/>
  <c r="J5012" i="2"/>
  <c r="I5012" i="2"/>
  <c r="A5012" i="2"/>
  <c r="K5011" i="2"/>
  <c r="J5011" i="2"/>
  <c r="I5011" i="2"/>
  <c r="A5011" i="2"/>
  <c r="K5010" i="2"/>
  <c r="J5010" i="2"/>
  <c r="I5010" i="2"/>
  <c r="A5010" i="2"/>
  <c r="K5009" i="2"/>
  <c r="J5009" i="2"/>
  <c r="I5009" i="2"/>
  <c r="A5009" i="2"/>
  <c r="K5008" i="2"/>
  <c r="J5008" i="2"/>
  <c r="I5008" i="2"/>
  <c r="A5008" i="2"/>
  <c r="K5007" i="2"/>
  <c r="J5007" i="2"/>
  <c r="I5007" i="2"/>
  <c r="A5007" i="2"/>
  <c r="K5006" i="2"/>
  <c r="J5006" i="2"/>
  <c r="I5006" i="2"/>
  <c r="A5006" i="2"/>
  <c r="K5005" i="2"/>
  <c r="J5005" i="2"/>
  <c r="I5005" i="2"/>
  <c r="A5005" i="2"/>
  <c r="K5004" i="2"/>
  <c r="J5004" i="2"/>
  <c r="I5004" i="2"/>
  <c r="A5004" i="2"/>
  <c r="K5003" i="2"/>
  <c r="J5003" i="2"/>
  <c r="I5003" i="2"/>
  <c r="A5003" i="2"/>
  <c r="K5002" i="2"/>
  <c r="J5002" i="2"/>
  <c r="I5002" i="2"/>
  <c r="A5002" i="2"/>
  <c r="K5001" i="2"/>
  <c r="J5001" i="2"/>
  <c r="I5001" i="2"/>
  <c r="A5001" i="2"/>
  <c r="K5000" i="2"/>
  <c r="J5000" i="2"/>
  <c r="I5000" i="2"/>
  <c r="A5000" i="2"/>
  <c r="K4999" i="2"/>
  <c r="J4999" i="2"/>
  <c r="I4999" i="2"/>
  <c r="A4999" i="2"/>
  <c r="K4998" i="2"/>
  <c r="J4998" i="2"/>
  <c r="I4998" i="2"/>
  <c r="A4998" i="2"/>
  <c r="K4997" i="2"/>
  <c r="J4997" i="2"/>
  <c r="I4997" i="2"/>
  <c r="A4997" i="2"/>
  <c r="K4996" i="2"/>
  <c r="J4996" i="2"/>
  <c r="I4996" i="2"/>
  <c r="A4996" i="2"/>
  <c r="K4995" i="2"/>
  <c r="J4995" i="2"/>
  <c r="I4995" i="2"/>
  <c r="A4995" i="2"/>
  <c r="K4994" i="2"/>
  <c r="J4994" i="2"/>
  <c r="I4994" i="2"/>
  <c r="A4994" i="2"/>
  <c r="K4993" i="2"/>
  <c r="J4993" i="2"/>
  <c r="I4993" i="2"/>
  <c r="A4993" i="2"/>
  <c r="K4992" i="2"/>
  <c r="J4992" i="2"/>
  <c r="I4992" i="2"/>
  <c r="A4992" i="2"/>
  <c r="K4991" i="2"/>
  <c r="J4991" i="2"/>
  <c r="I4991" i="2"/>
  <c r="A4991" i="2"/>
  <c r="K4990" i="2"/>
  <c r="J4990" i="2"/>
  <c r="I4990" i="2"/>
  <c r="A4990" i="2"/>
  <c r="K4989" i="2"/>
  <c r="J4989" i="2"/>
  <c r="I4989" i="2"/>
  <c r="A4989" i="2"/>
  <c r="K4988" i="2"/>
  <c r="J4988" i="2"/>
  <c r="I4988" i="2"/>
  <c r="A4988" i="2"/>
  <c r="K4987" i="2"/>
  <c r="J4987" i="2"/>
  <c r="I4987" i="2"/>
  <c r="A4987" i="2"/>
  <c r="K4986" i="2"/>
  <c r="J4986" i="2"/>
  <c r="I4986" i="2"/>
  <c r="A4986" i="2"/>
  <c r="K4985" i="2"/>
  <c r="J4985" i="2"/>
  <c r="I4985" i="2"/>
  <c r="A4985" i="2"/>
  <c r="K4984" i="2"/>
  <c r="J4984" i="2"/>
  <c r="I4984" i="2"/>
  <c r="A4984" i="2"/>
  <c r="K4983" i="2"/>
  <c r="J4983" i="2"/>
  <c r="I4983" i="2"/>
  <c r="A4983" i="2"/>
  <c r="K4982" i="2"/>
  <c r="J4982" i="2"/>
  <c r="I4982" i="2"/>
  <c r="A4982" i="2"/>
  <c r="K4981" i="2"/>
  <c r="J4981" i="2"/>
  <c r="I4981" i="2"/>
  <c r="A4981" i="2"/>
  <c r="K4980" i="2"/>
  <c r="J4980" i="2"/>
  <c r="I4980" i="2"/>
  <c r="A4980" i="2"/>
  <c r="K4979" i="2"/>
  <c r="J4979" i="2"/>
  <c r="I4979" i="2"/>
  <c r="A4979" i="2"/>
  <c r="K4978" i="2"/>
  <c r="J4978" i="2"/>
  <c r="I4978" i="2"/>
  <c r="A4978" i="2"/>
  <c r="K4977" i="2"/>
  <c r="J4977" i="2"/>
  <c r="I4977" i="2"/>
  <c r="A4977" i="2"/>
  <c r="K4976" i="2"/>
  <c r="J4976" i="2"/>
  <c r="I4976" i="2"/>
  <c r="A4976" i="2"/>
  <c r="K4975" i="2"/>
  <c r="J4975" i="2"/>
  <c r="I4975" i="2"/>
  <c r="A4975" i="2"/>
  <c r="K4974" i="2"/>
  <c r="J4974" i="2"/>
  <c r="I4974" i="2"/>
  <c r="A4974" i="2"/>
  <c r="K4973" i="2"/>
  <c r="J4973" i="2"/>
  <c r="I4973" i="2"/>
  <c r="A4973" i="2"/>
  <c r="K4972" i="2"/>
  <c r="J4972" i="2"/>
  <c r="I4972" i="2"/>
  <c r="A4972" i="2"/>
  <c r="K4971" i="2"/>
  <c r="J4971" i="2"/>
  <c r="I4971" i="2"/>
  <c r="A4971" i="2"/>
  <c r="K4970" i="2"/>
  <c r="J4970" i="2"/>
  <c r="I4970" i="2"/>
  <c r="A4970" i="2"/>
  <c r="K4969" i="2"/>
  <c r="J4969" i="2"/>
  <c r="I4969" i="2"/>
  <c r="A4969" i="2"/>
  <c r="K4968" i="2"/>
  <c r="J4968" i="2"/>
  <c r="I4968" i="2"/>
  <c r="A4968" i="2"/>
  <c r="K4967" i="2"/>
  <c r="J4967" i="2"/>
  <c r="I4967" i="2"/>
  <c r="A4967" i="2"/>
  <c r="K4966" i="2"/>
  <c r="J4966" i="2"/>
  <c r="I4966" i="2"/>
  <c r="A4966" i="2"/>
  <c r="K4965" i="2"/>
  <c r="J4965" i="2"/>
  <c r="I4965" i="2"/>
  <c r="A4965" i="2"/>
  <c r="K4964" i="2"/>
  <c r="J4964" i="2"/>
  <c r="I4964" i="2"/>
  <c r="A4964" i="2"/>
  <c r="K4963" i="2"/>
  <c r="J4963" i="2"/>
  <c r="I4963" i="2"/>
  <c r="A4963" i="2"/>
  <c r="K4962" i="2"/>
  <c r="J4962" i="2"/>
  <c r="I4962" i="2"/>
  <c r="A4962" i="2"/>
  <c r="K4961" i="2"/>
  <c r="J4961" i="2"/>
  <c r="I4961" i="2"/>
  <c r="A4961" i="2"/>
  <c r="K4960" i="2"/>
  <c r="J4960" i="2"/>
  <c r="I4960" i="2"/>
  <c r="A4960" i="2"/>
  <c r="K4959" i="2"/>
  <c r="J4959" i="2"/>
  <c r="I4959" i="2"/>
  <c r="A4959" i="2"/>
  <c r="K4958" i="2"/>
  <c r="J4958" i="2"/>
  <c r="I4958" i="2"/>
  <c r="A4958" i="2"/>
  <c r="K4957" i="2"/>
  <c r="J4957" i="2"/>
  <c r="I4957" i="2"/>
  <c r="A4957" i="2"/>
  <c r="K4956" i="2"/>
  <c r="J4956" i="2"/>
  <c r="A4956" i="2"/>
  <c r="K4955" i="2"/>
  <c r="J4955" i="2"/>
  <c r="I4955" i="2"/>
  <c r="A4955" i="2"/>
  <c r="K4954" i="2"/>
  <c r="J4954" i="2"/>
  <c r="I4954" i="2"/>
  <c r="A4954" i="2"/>
  <c r="K4953" i="2"/>
  <c r="J4953" i="2"/>
  <c r="I4953" i="2"/>
  <c r="A4953" i="2"/>
  <c r="K4952" i="2"/>
  <c r="J4952" i="2"/>
  <c r="I4952" i="2"/>
  <c r="A4952" i="2"/>
  <c r="K4951" i="2"/>
  <c r="J4951" i="2"/>
  <c r="I4951" i="2"/>
  <c r="A4951" i="2"/>
  <c r="K4950" i="2"/>
  <c r="J4950" i="2"/>
  <c r="I4950" i="2"/>
  <c r="A4950" i="2"/>
  <c r="K4949" i="2"/>
  <c r="J4949" i="2"/>
  <c r="I4949" i="2"/>
  <c r="A4949" i="2"/>
  <c r="K4948" i="2"/>
  <c r="J4948" i="2"/>
  <c r="I4948" i="2"/>
  <c r="A4948" i="2"/>
  <c r="K4947" i="2"/>
  <c r="J4947" i="2"/>
  <c r="I4947" i="2"/>
  <c r="A4947" i="2"/>
  <c r="K4946" i="2"/>
  <c r="J4946" i="2"/>
  <c r="I4946" i="2"/>
  <c r="A4946" i="2"/>
  <c r="K4945" i="2"/>
  <c r="J4945" i="2"/>
  <c r="I4945" i="2"/>
  <c r="A4945" i="2"/>
  <c r="K4944" i="2"/>
  <c r="J4944" i="2"/>
  <c r="I4944" i="2"/>
  <c r="A4944" i="2"/>
  <c r="K4943" i="2"/>
  <c r="J4943" i="2"/>
  <c r="I4943" i="2"/>
  <c r="A4943" i="2"/>
  <c r="K4942" i="2"/>
  <c r="J4942" i="2"/>
  <c r="I4942" i="2"/>
  <c r="A4942" i="2"/>
  <c r="K4941" i="2"/>
  <c r="J4941" i="2"/>
  <c r="I4941" i="2"/>
  <c r="A4941" i="2"/>
  <c r="K4940" i="2"/>
  <c r="J4940" i="2"/>
  <c r="I4940" i="2"/>
  <c r="A4940" i="2"/>
  <c r="K4939" i="2"/>
  <c r="J4939" i="2"/>
  <c r="I4939" i="2"/>
  <c r="A4939" i="2"/>
  <c r="K4938" i="2"/>
  <c r="J4938" i="2"/>
  <c r="I4938" i="2"/>
  <c r="A4938" i="2"/>
  <c r="K4937" i="2"/>
  <c r="J4937" i="2"/>
  <c r="I4937" i="2"/>
  <c r="A4937" i="2"/>
  <c r="K4936" i="2"/>
  <c r="J4936" i="2"/>
  <c r="I4936" i="2"/>
  <c r="A4936" i="2"/>
  <c r="K4935" i="2"/>
  <c r="J4935" i="2"/>
  <c r="I4935" i="2"/>
  <c r="A4935" i="2"/>
  <c r="K4934" i="2"/>
  <c r="J4934" i="2"/>
  <c r="I4934" i="2"/>
  <c r="A4934" i="2"/>
  <c r="K4933" i="2"/>
  <c r="J4933" i="2"/>
  <c r="I4933" i="2"/>
  <c r="A4933" i="2"/>
  <c r="K4932" i="2"/>
  <c r="J4932" i="2"/>
  <c r="I4932" i="2"/>
  <c r="A4932" i="2"/>
  <c r="K4931" i="2"/>
  <c r="J4931" i="2"/>
  <c r="I4931" i="2"/>
  <c r="A4931" i="2"/>
  <c r="K4930" i="2"/>
  <c r="J4930" i="2"/>
  <c r="I4930" i="2"/>
  <c r="A4930" i="2"/>
  <c r="K4929" i="2"/>
  <c r="J4929" i="2"/>
  <c r="I4929" i="2"/>
  <c r="A4929" i="2"/>
  <c r="K4928" i="2"/>
  <c r="J4928" i="2"/>
  <c r="I4928" i="2"/>
  <c r="A4928" i="2"/>
  <c r="K4927" i="2"/>
  <c r="J4927" i="2"/>
  <c r="I4927" i="2"/>
  <c r="A4927" i="2"/>
  <c r="K4926" i="2"/>
  <c r="J4926" i="2"/>
  <c r="I4926" i="2"/>
  <c r="A4926" i="2"/>
  <c r="K4925" i="2"/>
  <c r="J4925" i="2"/>
  <c r="I4925" i="2"/>
  <c r="A4925" i="2"/>
  <c r="K4924" i="2"/>
  <c r="J4924" i="2"/>
  <c r="I4924" i="2"/>
  <c r="A4924" i="2"/>
  <c r="K4923" i="2"/>
  <c r="J4923" i="2"/>
  <c r="I4923" i="2"/>
  <c r="A4923" i="2"/>
  <c r="K4922" i="2"/>
  <c r="J4922" i="2"/>
  <c r="I4922" i="2"/>
  <c r="A4922" i="2"/>
  <c r="K4921" i="2"/>
  <c r="J4921" i="2"/>
  <c r="I4921" i="2"/>
  <c r="A4921" i="2"/>
  <c r="K4920" i="2"/>
  <c r="J4920" i="2"/>
  <c r="I4920" i="2"/>
  <c r="A4920" i="2"/>
  <c r="K4919" i="2"/>
  <c r="J4919" i="2"/>
  <c r="I4919" i="2"/>
  <c r="A4919" i="2"/>
  <c r="K4918" i="2"/>
  <c r="J4918" i="2"/>
  <c r="I4918" i="2"/>
  <c r="A4918" i="2"/>
  <c r="K4917" i="2"/>
  <c r="J4917" i="2"/>
  <c r="I4917" i="2"/>
  <c r="A4917" i="2"/>
  <c r="K4916" i="2"/>
  <c r="J4916" i="2"/>
  <c r="I4916" i="2"/>
  <c r="A4916" i="2"/>
  <c r="K4915" i="2"/>
  <c r="J4915" i="2"/>
  <c r="I4915" i="2"/>
  <c r="A4915" i="2"/>
  <c r="K4914" i="2"/>
  <c r="J4914" i="2"/>
  <c r="I4914" i="2"/>
  <c r="A4914" i="2"/>
  <c r="K4913" i="2"/>
  <c r="J4913" i="2"/>
  <c r="I4913" i="2"/>
  <c r="A4913" i="2"/>
  <c r="K4912" i="2"/>
  <c r="J4912" i="2"/>
  <c r="I4912" i="2"/>
  <c r="A4912" i="2"/>
  <c r="K4911" i="2"/>
  <c r="J4911" i="2"/>
  <c r="I4911" i="2"/>
  <c r="A4911" i="2"/>
  <c r="K4910" i="2"/>
  <c r="J4910" i="2"/>
  <c r="I4910" i="2"/>
  <c r="A4910" i="2"/>
  <c r="K4909" i="2"/>
  <c r="J4909" i="2"/>
  <c r="I4909" i="2"/>
  <c r="A4909" i="2"/>
  <c r="K4908" i="2"/>
  <c r="J4908" i="2"/>
  <c r="I4908" i="2"/>
  <c r="A4908" i="2"/>
  <c r="K4907" i="2"/>
  <c r="J4907" i="2"/>
  <c r="I4907" i="2"/>
  <c r="A4907" i="2"/>
  <c r="K4906" i="2"/>
  <c r="J4906" i="2"/>
  <c r="I4906" i="2"/>
  <c r="A4906" i="2"/>
  <c r="K4905" i="2"/>
  <c r="J4905" i="2"/>
  <c r="I4905" i="2"/>
  <c r="A4905" i="2"/>
  <c r="K4904" i="2"/>
  <c r="J4904" i="2"/>
  <c r="I4904" i="2"/>
  <c r="A4904" i="2"/>
  <c r="K4903" i="2"/>
  <c r="J4903" i="2"/>
  <c r="I4903" i="2"/>
  <c r="A4903" i="2"/>
  <c r="K4902" i="2"/>
  <c r="J4902" i="2"/>
  <c r="I4902" i="2"/>
  <c r="A4902" i="2"/>
  <c r="K4901" i="2"/>
  <c r="J4901" i="2"/>
  <c r="I4901" i="2"/>
  <c r="A4901" i="2"/>
  <c r="K4900" i="2"/>
  <c r="J4900" i="2"/>
  <c r="I4900" i="2"/>
  <c r="A4900" i="2"/>
  <c r="K4899" i="2"/>
  <c r="J4899" i="2"/>
  <c r="I4899" i="2"/>
  <c r="A4899" i="2"/>
  <c r="K4898" i="2"/>
  <c r="J4898" i="2"/>
  <c r="I4898" i="2"/>
  <c r="A4898" i="2"/>
  <c r="K4897" i="2"/>
  <c r="J4897" i="2"/>
  <c r="I4897" i="2"/>
  <c r="A4897" i="2"/>
  <c r="K4896" i="2"/>
  <c r="J4896" i="2"/>
  <c r="I4896" i="2"/>
  <c r="A4896" i="2"/>
  <c r="K4895" i="2"/>
  <c r="J4895" i="2"/>
  <c r="I4895" i="2"/>
  <c r="A4895" i="2"/>
  <c r="K4894" i="2"/>
  <c r="J4894" i="2"/>
  <c r="I4894" i="2"/>
  <c r="A4894" i="2"/>
  <c r="K4893" i="2"/>
  <c r="J4893" i="2"/>
  <c r="I4893" i="2"/>
  <c r="A4893" i="2"/>
  <c r="K4892" i="2"/>
  <c r="J4892" i="2"/>
  <c r="I4892" i="2"/>
  <c r="A4892" i="2"/>
  <c r="K4891" i="2"/>
  <c r="J4891" i="2"/>
  <c r="I4891" i="2"/>
  <c r="A4891" i="2"/>
  <c r="K4890" i="2"/>
  <c r="J4890" i="2"/>
  <c r="I4890" i="2"/>
  <c r="A4890" i="2"/>
  <c r="K4889" i="2"/>
  <c r="J4889" i="2"/>
  <c r="I4889" i="2"/>
  <c r="A4889" i="2"/>
  <c r="K4888" i="2"/>
  <c r="J4888" i="2"/>
  <c r="I4888" i="2"/>
  <c r="A4888" i="2"/>
  <c r="K4887" i="2"/>
  <c r="J4887" i="2"/>
  <c r="I4887" i="2"/>
  <c r="A4887" i="2"/>
  <c r="K4886" i="2"/>
  <c r="J4886" i="2"/>
  <c r="I4886" i="2"/>
  <c r="A4886" i="2"/>
  <c r="K4885" i="2"/>
  <c r="J4885" i="2"/>
  <c r="I4885" i="2"/>
  <c r="A4885" i="2"/>
  <c r="K4884" i="2"/>
  <c r="J4884" i="2"/>
  <c r="I4884" i="2"/>
  <c r="A4884" i="2"/>
  <c r="K4883" i="2"/>
  <c r="J4883" i="2"/>
  <c r="I4883" i="2"/>
  <c r="A4883" i="2"/>
  <c r="K4882" i="2"/>
  <c r="J4882" i="2"/>
  <c r="I4882" i="2"/>
  <c r="A4882" i="2"/>
  <c r="K4881" i="2"/>
  <c r="J4881" i="2"/>
  <c r="I4881" i="2"/>
  <c r="A4881" i="2"/>
  <c r="K4880" i="2"/>
  <c r="J4880" i="2"/>
  <c r="I4880" i="2"/>
  <c r="A4880" i="2"/>
  <c r="K4879" i="2"/>
  <c r="J4879" i="2"/>
  <c r="I4879" i="2"/>
  <c r="A4879" i="2"/>
  <c r="K4878" i="2"/>
  <c r="J4878" i="2"/>
  <c r="I4878" i="2"/>
  <c r="A4878" i="2"/>
  <c r="K4877" i="2"/>
  <c r="J4877" i="2"/>
  <c r="I4877" i="2"/>
  <c r="A4877" i="2"/>
  <c r="K4876" i="2"/>
  <c r="J4876" i="2"/>
  <c r="I4876" i="2"/>
  <c r="A4876" i="2"/>
  <c r="K4875" i="2"/>
  <c r="J4875" i="2"/>
  <c r="I4875" i="2"/>
  <c r="A4875" i="2"/>
  <c r="K4874" i="2"/>
  <c r="J4874" i="2"/>
  <c r="I4874" i="2"/>
  <c r="A4874" i="2"/>
  <c r="K4873" i="2"/>
  <c r="J4873" i="2"/>
  <c r="I4873" i="2"/>
  <c r="A4873" i="2"/>
  <c r="K4872" i="2"/>
  <c r="J4872" i="2"/>
  <c r="I4872" i="2"/>
  <c r="A4872" i="2"/>
  <c r="K4871" i="2"/>
  <c r="J4871" i="2"/>
  <c r="I4871" i="2"/>
  <c r="A4871" i="2"/>
  <c r="K4870" i="2"/>
  <c r="J4870" i="2"/>
  <c r="I4870" i="2"/>
  <c r="A4870" i="2"/>
  <c r="K4869" i="2"/>
  <c r="J4869" i="2"/>
  <c r="I4869" i="2"/>
  <c r="A4869" i="2"/>
  <c r="K4868" i="2"/>
  <c r="J4868" i="2"/>
  <c r="I4868" i="2"/>
  <c r="A4868" i="2"/>
  <c r="K4867" i="2"/>
  <c r="J4867" i="2"/>
  <c r="I4867" i="2"/>
  <c r="A4867" i="2"/>
  <c r="K4866" i="2"/>
  <c r="J4866" i="2"/>
  <c r="I4866" i="2"/>
  <c r="A4866" i="2"/>
  <c r="K4865" i="2"/>
  <c r="J4865" i="2"/>
  <c r="I4865" i="2"/>
  <c r="A4865" i="2"/>
  <c r="K4864" i="2"/>
  <c r="J4864" i="2"/>
  <c r="I4864" i="2"/>
  <c r="A4864" i="2"/>
  <c r="K4863" i="2"/>
  <c r="J4863" i="2"/>
  <c r="I4863" i="2"/>
  <c r="A4863" i="2"/>
  <c r="K4862" i="2"/>
  <c r="J4862" i="2"/>
  <c r="I4862" i="2"/>
  <c r="A4862" i="2"/>
  <c r="K4861" i="2"/>
  <c r="J4861" i="2"/>
  <c r="I4861" i="2"/>
  <c r="A4861" i="2"/>
  <c r="K4860" i="2"/>
  <c r="J4860" i="2"/>
  <c r="I4860" i="2"/>
  <c r="A4860" i="2"/>
  <c r="K4859" i="2"/>
  <c r="J4859" i="2"/>
  <c r="I4859" i="2"/>
  <c r="A4859" i="2"/>
  <c r="K4858" i="2"/>
  <c r="J4858" i="2"/>
  <c r="I4858" i="2"/>
  <c r="A4858" i="2"/>
  <c r="K4857" i="2"/>
  <c r="J4857" i="2"/>
  <c r="I4857" i="2"/>
  <c r="A4857" i="2"/>
  <c r="K4856" i="2"/>
  <c r="J4856" i="2"/>
  <c r="I4856" i="2"/>
  <c r="A4856" i="2"/>
  <c r="K4855" i="2"/>
  <c r="J4855" i="2"/>
  <c r="I4855" i="2"/>
  <c r="A4855" i="2"/>
  <c r="K4854" i="2"/>
  <c r="J4854" i="2"/>
  <c r="I4854" i="2"/>
  <c r="A4854" i="2"/>
  <c r="K4853" i="2"/>
  <c r="J4853" i="2"/>
  <c r="I4853" i="2"/>
  <c r="A4853" i="2"/>
  <c r="K4852" i="2"/>
  <c r="J4852" i="2"/>
  <c r="I4852" i="2"/>
  <c r="A4852" i="2"/>
  <c r="K4851" i="2"/>
  <c r="J4851" i="2"/>
  <c r="I4851" i="2"/>
  <c r="A4851" i="2"/>
  <c r="K4850" i="2"/>
  <c r="J4850" i="2"/>
  <c r="I4850" i="2"/>
  <c r="A4850" i="2"/>
  <c r="K4849" i="2"/>
  <c r="J4849" i="2"/>
  <c r="I4849" i="2"/>
  <c r="A4849" i="2"/>
  <c r="K4848" i="2"/>
  <c r="J4848" i="2"/>
  <c r="I4848" i="2"/>
  <c r="A4848" i="2"/>
  <c r="K4847" i="2"/>
  <c r="J4847" i="2"/>
  <c r="I4847" i="2"/>
  <c r="A4847" i="2"/>
  <c r="K4846" i="2"/>
  <c r="J4846" i="2"/>
  <c r="I4846" i="2"/>
  <c r="A4846" i="2"/>
  <c r="K4845" i="2"/>
  <c r="J4845" i="2"/>
  <c r="I4845" i="2"/>
  <c r="A4845" i="2"/>
  <c r="K4844" i="2"/>
  <c r="J4844" i="2"/>
  <c r="I4844" i="2"/>
  <c r="A4844" i="2"/>
  <c r="K4843" i="2"/>
  <c r="J4843" i="2"/>
  <c r="I4843" i="2"/>
  <c r="A4843" i="2"/>
  <c r="K4842" i="2"/>
  <c r="J4842" i="2"/>
  <c r="I4842" i="2"/>
  <c r="A4842" i="2"/>
  <c r="K4841" i="2"/>
  <c r="J4841" i="2"/>
  <c r="I4841" i="2"/>
  <c r="A4841" i="2"/>
  <c r="K4840" i="2"/>
  <c r="J4840" i="2"/>
  <c r="I4840" i="2"/>
  <c r="A4840" i="2"/>
  <c r="K4839" i="2"/>
  <c r="J4839" i="2"/>
  <c r="I4839" i="2"/>
  <c r="A4839" i="2"/>
  <c r="K4838" i="2"/>
  <c r="J4838" i="2"/>
  <c r="I4838" i="2"/>
  <c r="A4838" i="2"/>
  <c r="K4837" i="2"/>
  <c r="J4837" i="2"/>
  <c r="I4837" i="2"/>
  <c r="A4837" i="2"/>
  <c r="K4836" i="2"/>
  <c r="J4836" i="2"/>
  <c r="I4836" i="2"/>
  <c r="A4836" i="2"/>
  <c r="K4835" i="2"/>
  <c r="J4835" i="2"/>
  <c r="I4835" i="2"/>
  <c r="A4835" i="2"/>
  <c r="K4834" i="2"/>
  <c r="J4834" i="2"/>
  <c r="I4834" i="2"/>
  <c r="A4834" i="2"/>
  <c r="K4833" i="2"/>
  <c r="J4833" i="2"/>
  <c r="I4833" i="2"/>
  <c r="A4833" i="2"/>
  <c r="K4832" i="2"/>
  <c r="J4832" i="2"/>
  <c r="I4832" i="2"/>
  <c r="A4832" i="2"/>
  <c r="K4831" i="2"/>
  <c r="J4831" i="2"/>
  <c r="I4831" i="2"/>
  <c r="A4831" i="2"/>
  <c r="K4830" i="2"/>
  <c r="J4830" i="2"/>
  <c r="I4830" i="2"/>
  <c r="A4830" i="2"/>
  <c r="K4829" i="2"/>
  <c r="J4829" i="2"/>
  <c r="I4829" i="2"/>
  <c r="A4829" i="2"/>
  <c r="K4828" i="2"/>
  <c r="J4828" i="2"/>
  <c r="I4828" i="2"/>
  <c r="A4828" i="2"/>
  <c r="K4827" i="2"/>
  <c r="J4827" i="2"/>
  <c r="I4827" i="2"/>
  <c r="A4827" i="2"/>
  <c r="K4826" i="2"/>
  <c r="J4826" i="2"/>
  <c r="I4826" i="2"/>
  <c r="A4826" i="2"/>
  <c r="K4825" i="2"/>
  <c r="J4825" i="2"/>
  <c r="I4825" i="2"/>
  <c r="A4825" i="2"/>
  <c r="K4824" i="2"/>
  <c r="J4824" i="2"/>
  <c r="I4824" i="2"/>
  <c r="A4824" i="2"/>
  <c r="K4823" i="2"/>
  <c r="J4823" i="2"/>
  <c r="I4823" i="2"/>
  <c r="A4823" i="2"/>
  <c r="K4822" i="2"/>
  <c r="J4822" i="2"/>
  <c r="I4822" i="2"/>
  <c r="A4822" i="2"/>
  <c r="K4821" i="2"/>
  <c r="J4821" i="2"/>
  <c r="I4821" i="2"/>
  <c r="A4821" i="2"/>
  <c r="K4820" i="2"/>
  <c r="J4820" i="2"/>
  <c r="I4820" i="2"/>
  <c r="A4820" i="2"/>
  <c r="K4819" i="2"/>
  <c r="J4819" i="2"/>
  <c r="I4819" i="2"/>
  <c r="A4819" i="2"/>
  <c r="K4818" i="2"/>
  <c r="J4818" i="2"/>
  <c r="I4818" i="2"/>
  <c r="A4818" i="2"/>
  <c r="K4817" i="2"/>
  <c r="J4817" i="2"/>
  <c r="I4817" i="2"/>
  <c r="A4817" i="2"/>
  <c r="K4816" i="2"/>
  <c r="J4816" i="2"/>
  <c r="I4816" i="2"/>
  <c r="A4816" i="2"/>
  <c r="K4815" i="2"/>
  <c r="J4815" i="2"/>
  <c r="I4815" i="2"/>
  <c r="A4815" i="2"/>
  <c r="K4814" i="2"/>
  <c r="J4814" i="2"/>
  <c r="I4814" i="2"/>
  <c r="A4814" i="2"/>
  <c r="K4813" i="2"/>
  <c r="J4813" i="2"/>
  <c r="I4813" i="2"/>
  <c r="A4813" i="2"/>
  <c r="K4812" i="2"/>
  <c r="J4812" i="2"/>
  <c r="I4812" i="2"/>
  <c r="A4812" i="2"/>
  <c r="K4811" i="2"/>
  <c r="J4811" i="2"/>
  <c r="I4811" i="2"/>
  <c r="A4811" i="2"/>
  <c r="K4810" i="2"/>
  <c r="J4810" i="2"/>
  <c r="I4810" i="2"/>
  <c r="A4810" i="2"/>
  <c r="K4809" i="2"/>
  <c r="J4809" i="2"/>
  <c r="I4809" i="2"/>
  <c r="A4809" i="2"/>
  <c r="K4808" i="2"/>
  <c r="J4808" i="2"/>
  <c r="I4808" i="2"/>
  <c r="A4808" i="2"/>
  <c r="K4807" i="2"/>
  <c r="J4807" i="2"/>
  <c r="I4807" i="2"/>
  <c r="A4807" i="2"/>
  <c r="K4806" i="2"/>
  <c r="J4806" i="2"/>
  <c r="I4806" i="2"/>
  <c r="A4806" i="2"/>
  <c r="K4805" i="2"/>
  <c r="J4805" i="2"/>
  <c r="I4805" i="2"/>
  <c r="A4805" i="2"/>
  <c r="K4804" i="2"/>
  <c r="J4804" i="2"/>
  <c r="I4804" i="2"/>
  <c r="A4804" i="2"/>
  <c r="K4803" i="2"/>
  <c r="J4803" i="2"/>
  <c r="I4803" i="2"/>
  <c r="A4803" i="2"/>
  <c r="K4802" i="2"/>
  <c r="J4802" i="2"/>
  <c r="I4802" i="2"/>
  <c r="A4802" i="2"/>
  <c r="K4801" i="2"/>
  <c r="J4801" i="2"/>
  <c r="I4801" i="2"/>
  <c r="A4801" i="2"/>
  <c r="K4800" i="2"/>
  <c r="J4800" i="2"/>
  <c r="I4800" i="2"/>
  <c r="A4800" i="2"/>
  <c r="K4799" i="2"/>
  <c r="J4799" i="2"/>
  <c r="I4799" i="2"/>
  <c r="A4799" i="2"/>
  <c r="K4798" i="2"/>
  <c r="J4798" i="2"/>
  <c r="I4798" i="2"/>
  <c r="A4798" i="2"/>
  <c r="K4797" i="2"/>
  <c r="J4797" i="2"/>
  <c r="I4797" i="2"/>
  <c r="A4797" i="2"/>
  <c r="K4796" i="2"/>
  <c r="J4796" i="2"/>
  <c r="I4796" i="2"/>
  <c r="A4796" i="2"/>
  <c r="K4795" i="2"/>
  <c r="J4795" i="2"/>
  <c r="I4795" i="2"/>
  <c r="A4795" i="2"/>
  <c r="K4794" i="2"/>
  <c r="J4794" i="2"/>
  <c r="I4794" i="2"/>
  <c r="A4794" i="2"/>
  <c r="K4793" i="2"/>
  <c r="J4793" i="2"/>
  <c r="I4793" i="2"/>
  <c r="A4793" i="2"/>
  <c r="K4792" i="2"/>
  <c r="J4792" i="2"/>
  <c r="I4792" i="2"/>
  <c r="A4792" i="2"/>
  <c r="K4791" i="2"/>
  <c r="J4791" i="2"/>
  <c r="I4791" i="2"/>
  <c r="A4791" i="2"/>
  <c r="K4790" i="2"/>
  <c r="J4790" i="2"/>
  <c r="I4790" i="2"/>
  <c r="A4790" i="2"/>
  <c r="K4789" i="2"/>
  <c r="J4789" i="2"/>
  <c r="I4789" i="2"/>
  <c r="A4789" i="2"/>
  <c r="K4788" i="2"/>
  <c r="J4788" i="2"/>
  <c r="I4788" i="2"/>
  <c r="A4788" i="2"/>
  <c r="K4787" i="2"/>
  <c r="J4787" i="2"/>
  <c r="I4787" i="2"/>
  <c r="A4787" i="2"/>
  <c r="K4786" i="2"/>
  <c r="J4786" i="2"/>
  <c r="I4786" i="2"/>
  <c r="A4786" i="2"/>
  <c r="K4785" i="2"/>
  <c r="J4785" i="2"/>
  <c r="I4785" i="2"/>
  <c r="A4785" i="2"/>
  <c r="K4784" i="2"/>
  <c r="J4784" i="2"/>
  <c r="I4784" i="2"/>
  <c r="A4784" i="2"/>
  <c r="K4783" i="2"/>
  <c r="J4783" i="2"/>
  <c r="I4783" i="2"/>
  <c r="A4783" i="2"/>
  <c r="K4782" i="2"/>
  <c r="J4782" i="2"/>
  <c r="I4782" i="2"/>
  <c r="A4782" i="2"/>
  <c r="K4781" i="2"/>
  <c r="J4781" i="2"/>
  <c r="I4781" i="2"/>
  <c r="A4781" i="2"/>
  <c r="K4780" i="2"/>
  <c r="J4780" i="2"/>
  <c r="I4780" i="2"/>
  <c r="A4780" i="2"/>
  <c r="K4779" i="2"/>
  <c r="J4779" i="2"/>
  <c r="I4779" i="2"/>
  <c r="A4779" i="2"/>
  <c r="K4778" i="2"/>
  <c r="J4778" i="2"/>
  <c r="I4778" i="2"/>
  <c r="A4778" i="2"/>
  <c r="K4777" i="2"/>
  <c r="J4777" i="2"/>
  <c r="I4777" i="2"/>
  <c r="A4777" i="2"/>
  <c r="K4776" i="2"/>
  <c r="J4776" i="2"/>
  <c r="I4776" i="2"/>
  <c r="A4776" i="2"/>
  <c r="K4775" i="2"/>
  <c r="J4775" i="2"/>
  <c r="I4775" i="2"/>
  <c r="A4775" i="2"/>
  <c r="K4774" i="2"/>
  <c r="J4774" i="2"/>
  <c r="I4774" i="2"/>
  <c r="A4774" i="2"/>
  <c r="K4773" i="2"/>
  <c r="J4773" i="2"/>
  <c r="I4773" i="2"/>
  <c r="A4773" i="2"/>
  <c r="K4772" i="2"/>
  <c r="J4772" i="2"/>
  <c r="I4772" i="2"/>
  <c r="A4772" i="2"/>
  <c r="K4771" i="2"/>
  <c r="J4771" i="2"/>
  <c r="I4771" i="2"/>
  <c r="A4771" i="2"/>
  <c r="K4770" i="2"/>
  <c r="J4770" i="2"/>
  <c r="I4770" i="2"/>
  <c r="A4770" i="2"/>
  <c r="K4769" i="2"/>
  <c r="J4769" i="2"/>
  <c r="I4769" i="2"/>
  <c r="A4769" i="2"/>
  <c r="K4768" i="2"/>
  <c r="J4768" i="2"/>
  <c r="I4768" i="2"/>
  <c r="A4768" i="2"/>
  <c r="K4767" i="2"/>
  <c r="J4767" i="2"/>
  <c r="I4767" i="2"/>
  <c r="A4767" i="2"/>
  <c r="K4766" i="2"/>
  <c r="J4766" i="2"/>
  <c r="I4766" i="2"/>
  <c r="A4766" i="2"/>
  <c r="K4765" i="2"/>
  <c r="J4765" i="2"/>
  <c r="I4765" i="2"/>
  <c r="A4765" i="2"/>
  <c r="K4764" i="2"/>
  <c r="J4764" i="2"/>
  <c r="I4764" i="2"/>
  <c r="A4764" i="2"/>
  <c r="K4763" i="2"/>
  <c r="J4763" i="2"/>
  <c r="I4763" i="2"/>
  <c r="A4763" i="2"/>
  <c r="K4762" i="2"/>
  <c r="J4762" i="2"/>
  <c r="I4762" i="2"/>
  <c r="A4762" i="2"/>
  <c r="K4761" i="2"/>
  <c r="J4761" i="2"/>
  <c r="I4761" i="2"/>
  <c r="A4761" i="2"/>
  <c r="K4760" i="2"/>
  <c r="J4760" i="2"/>
  <c r="I4760" i="2"/>
  <c r="A4760" i="2"/>
  <c r="K4759" i="2"/>
  <c r="J4759" i="2"/>
  <c r="I4759" i="2"/>
  <c r="A4759" i="2"/>
  <c r="K4758" i="2"/>
  <c r="J4758" i="2"/>
  <c r="I4758" i="2"/>
  <c r="A4758" i="2"/>
  <c r="K4757" i="2"/>
  <c r="J4757" i="2"/>
  <c r="I4757" i="2"/>
  <c r="A4757" i="2"/>
  <c r="K4756" i="2"/>
  <c r="J4756" i="2"/>
  <c r="I4756" i="2"/>
  <c r="A4756" i="2"/>
  <c r="K4755" i="2"/>
  <c r="J4755" i="2"/>
  <c r="I4755" i="2"/>
  <c r="A4755" i="2"/>
  <c r="K4754" i="2"/>
  <c r="J4754" i="2"/>
  <c r="I4754" i="2"/>
  <c r="A4754" i="2"/>
  <c r="K4753" i="2"/>
  <c r="J4753" i="2"/>
  <c r="I4753" i="2"/>
  <c r="A4753" i="2"/>
  <c r="K4752" i="2"/>
  <c r="J4752" i="2"/>
  <c r="I4752" i="2"/>
  <c r="A4752" i="2"/>
  <c r="K4751" i="2"/>
  <c r="J4751" i="2"/>
  <c r="I4751" i="2"/>
  <c r="A4751" i="2"/>
  <c r="K4750" i="2"/>
  <c r="J4750" i="2"/>
  <c r="I4750" i="2"/>
  <c r="A4750" i="2"/>
  <c r="K4749" i="2"/>
  <c r="J4749" i="2"/>
  <c r="I4749" i="2"/>
  <c r="A4749" i="2"/>
  <c r="K4748" i="2"/>
  <c r="J4748" i="2"/>
  <c r="I4748" i="2"/>
  <c r="A4748" i="2"/>
  <c r="K4747" i="2"/>
  <c r="J4747" i="2"/>
  <c r="I4747" i="2"/>
  <c r="A4747" i="2"/>
  <c r="K4746" i="2"/>
  <c r="J4746" i="2"/>
  <c r="I4746" i="2"/>
  <c r="A4746" i="2"/>
  <c r="K4745" i="2"/>
  <c r="J4745" i="2"/>
  <c r="I4745" i="2"/>
  <c r="A4745" i="2"/>
  <c r="K4744" i="2"/>
  <c r="J4744" i="2"/>
  <c r="I4744" i="2"/>
  <c r="A4744" i="2"/>
  <c r="K4743" i="2"/>
  <c r="J4743" i="2"/>
  <c r="I4743" i="2"/>
  <c r="A4743" i="2"/>
  <c r="K4742" i="2"/>
  <c r="J4742" i="2"/>
  <c r="I4742" i="2"/>
  <c r="A4742" i="2"/>
  <c r="K4741" i="2"/>
  <c r="J4741" i="2"/>
  <c r="I4741" i="2"/>
  <c r="A4741" i="2"/>
  <c r="K4740" i="2"/>
  <c r="J4740" i="2"/>
  <c r="I4740" i="2"/>
  <c r="A4740" i="2"/>
  <c r="K4739" i="2"/>
  <c r="J4739" i="2"/>
  <c r="I4739" i="2"/>
  <c r="A4739" i="2"/>
  <c r="K4738" i="2"/>
  <c r="J4738" i="2"/>
  <c r="I4738" i="2"/>
  <c r="A4738" i="2"/>
  <c r="K4737" i="2"/>
  <c r="J4737" i="2"/>
  <c r="I4737" i="2"/>
  <c r="A4737" i="2"/>
  <c r="K4736" i="2"/>
  <c r="J4736" i="2"/>
  <c r="I4736" i="2"/>
  <c r="A4736" i="2"/>
  <c r="K4735" i="2"/>
  <c r="J4735" i="2"/>
  <c r="I4735" i="2"/>
  <c r="A4735" i="2"/>
  <c r="K4734" i="2"/>
  <c r="J4734" i="2"/>
  <c r="I4734" i="2"/>
  <c r="A4734" i="2"/>
  <c r="K4733" i="2"/>
  <c r="J4733" i="2"/>
  <c r="I4733" i="2"/>
  <c r="A4733" i="2"/>
  <c r="K4732" i="2"/>
  <c r="J4732" i="2"/>
  <c r="I4732" i="2"/>
  <c r="A4732" i="2"/>
  <c r="K4731" i="2"/>
  <c r="J4731" i="2"/>
  <c r="I4731" i="2"/>
  <c r="A4731" i="2"/>
  <c r="K4730" i="2"/>
  <c r="J4730" i="2"/>
  <c r="I4730" i="2"/>
  <c r="A4730" i="2"/>
  <c r="K4729" i="2"/>
  <c r="J4729" i="2"/>
  <c r="I4729" i="2"/>
  <c r="A4729" i="2"/>
  <c r="K4728" i="2"/>
  <c r="J4728" i="2"/>
  <c r="I4728" i="2"/>
  <c r="A4728" i="2"/>
  <c r="K4727" i="2"/>
  <c r="J4727" i="2"/>
  <c r="I4727" i="2"/>
  <c r="A4727" i="2"/>
  <c r="K4726" i="2"/>
  <c r="J4726" i="2"/>
  <c r="I4726" i="2"/>
  <c r="A4726" i="2"/>
  <c r="K4725" i="2"/>
  <c r="J4725" i="2"/>
  <c r="I4725" i="2"/>
  <c r="A4725" i="2"/>
  <c r="K4724" i="2"/>
  <c r="J4724" i="2"/>
  <c r="I4724" i="2"/>
  <c r="A4724" i="2"/>
  <c r="K4723" i="2"/>
  <c r="J4723" i="2"/>
  <c r="I4723" i="2"/>
  <c r="A4723" i="2"/>
  <c r="K4722" i="2"/>
  <c r="J4722" i="2"/>
  <c r="I4722" i="2"/>
  <c r="A4722" i="2"/>
  <c r="K4721" i="2"/>
  <c r="J4721" i="2"/>
  <c r="I4721" i="2"/>
  <c r="A4721" i="2"/>
  <c r="K4720" i="2"/>
  <c r="J4720" i="2"/>
  <c r="I4720" i="2"/>
  <c r="A4720" i="2"/>
  <c r="K4719" i="2"/>
  <c r="J4719" i="2"/>
  <c r="I4719" i="2"/>
  <c r="A4719" i="2"/>
  <c r="K4718" i="2"/>
  <c r="J4718" i="2"/>
  <c r="I4718" i="2"/>
  <c r="A4718" i="2"/>
  <c r="K4717" i="2"/>
  <c r="J4717" i="2"/>
  <c r="I4717" i="2"/>
  <c r="A4717" i="2"/>
  <c r="K4716" i="2"/>
  <c r="J4716" i="2"/>
  <c r="I4716" i="2"/>
  <c r="A4716" i="2"/>
  <c r="K4715" i="2"/>
  <c r="J4715" i="2"/>
  <c r="I4715" i="2"/>
  <c r="A4715" i="2"/>
  <c r="K4714" i="2"/>
  <c r="J4714" i="2"/>
  <c r="I4714" i="2"/>
  <c r="A4714" i="2"/>
  <c r="K4713" i="2"/>
  <c r="J4713" i="2"/>
  <c r="I4713" i="2"/>
  <c r="A4713" i="2"/>
  <c r="K4712" i="2"/>
  <c r="J4712" i="2"/>
  <c r="I4712" i="2"/>
  <c r="A4712" i="2"/>
  <c r="K4711" i="2"/>
  <c r="J4711" i="2"/>
  <c r="I4711" i="2"/>
  <c r="A4711" i="2"/>
  <c r="K4710" i="2"/>
  <c r="J4710" i="2"/>
  <c r="I4710" i="2"/>
  <c r="A4710" i="2"/>
  <c r="K4709" i="2"/>
  <c r="J4709" i="2"/>
  <c r="I4709" i="2"/>
  <c r="A4709" i="2"/>
  <c r="K4708" i="2"/>
  <c r="J4708" i="2"/>
  <c r="I4708" i="2"/>
  <c r="A4708" i="2"/>
  <c r="K4707" i="2"/>
  <c r="J4707" i="2"/>
  <c r="I4707" i="2"/>
  <c r="A4707" i="2"/>
  <c r="K4706" i="2"/>
  <c r="J4706" i="2"/>
  <c r="I4706" i="2"/>
  <c r="A4706" i="2"/>
  <c r="K4705" i="2"/>
  <c r="J4705" i="2"/>
  <c r="I4705" i="2"/>
  <c r="A4705" i="2"/>
  <c r="K4704" i="2"/>
  <c r="J4704" i="2"/>
  <c r="I4704" i="2"/>
  <c r="A4704" i="2"/>
  <c r="K4703" i="2"/>
  <c r="J4703" i="2"/>
  <c r="I4703" i="2"/>
  <c r="A4703" i="2"/>
  <c r="K4702" i="2"/>
  <c r="J4702" i="2"/>
  <c r="I4702" i="2"/>
  <c r="A4702" i="2"/>
  <c r="K4701" i="2"/>
  <c r="J4701" i="2"/>
  <c r="I4701" i="2"/>
  <c r="A4701" i="2"/>
  <c r="K4700" i="2"/>
  <c r="J4700" i="2"/>
  <c r="I4700" i="2"/>
  <c r="A4700" i="2"/>
  <c r="K4699" i="2"/>
  <c r="J4699" i="2"/>
  <c r="I4699" i="2"/>
  <c r="A4699" i="2"/>
  <c r="K4698" i="2"/>
  <c r="J4698" i="2"/>
  <c r="I4698" i="2"/>
  <c r="A4698" i="2"/>
  <c r="K4697" i="2"/>
  <c r="J4697" i="2"/>
  <c r="I4697" i="2"/>
  <c r="A4697" i="2"/>
  <c r="K4696" i="2"/>
  <c r="J4696" i="2"/>
  <c r="I4696" i="2"/>
  <c r="A4696" i="2"/>
  <c r="K4695" i="2"/>
  <c r="J4695" i="2"/>
  <c r="I4695" i="2"/>
  <c r="A4695" i="2"/>
  <c r="K4694" i="2"/>
  <c r="J4694" i="2"/>
  <c r="I4694" i="2"/>
  <c r="A4694" i="2"/>
  <c r="K4693" i="2"/>
  <c r="J4693" i="2"/>
  <c r="I4693" i="2"/>
  <c r="A4693" i="2"/>
  <c r="K4692" i="2"/>
  <c r="J4692" i="2"/>
  <c r="I4692" i="2"/>
  <c r="A4692" i="2"/>
  <c r="K4691" i="2"/>
  <c r="J4691" i="2"/>
  <c r="I4691" i="2"/>
  <c r="A4691" i="2"/>
  <c r="K4690" i="2"/>
  <c r="J4690" i="2"/>
  <c r="I4690" i="2"/>
  <c r="A4690" i="2"/>
  <c r="K4689" i="2"/>
  <c r="J4689" i="2"/>
  <c r="I4689" i="2"/>
  <c r="A4689" i="2"/>
  <c r="K4688" i="2"/>
  <c r="J4688" i="2"/>
  <c r="I4688" i="2"/>
  <c r="A4688" i="2"/>
  <c r="K4687" i="2"/>
  <c r="J4687" i="2"/>
  <c r="I4687" i="2"/>
  <c r="A4687" i="2"/>
  <c r="K4686" i="2"/>
  <c r="J4686" i="2"/>
  <c r="I4686" i="2"/>
  <c r="A4686" i="2"/>
  <c r="K4685" i="2"/>
  <c r="J4685" i="2"/>
  <c r="I4685" i="2"/>
  <c r="A4685" i="2"/>
  <c r="K4684" i="2"/>
  <c r="J4684" i="2"/>
  <c r="I4684" i="2"/>
  <c r="A4684" i="2"/>
  <c r="K4683" i="2"/>
  <c r="J4683" i="2"/>
  <c r="I4683" i="2"/>
  <c r="A4683" i="2"/>
  <c r="K4682" i="2"/>
  <c r="J4682" i="2"/>
  <c r="I4682" i="2"/>
  <c r="A4682" i="2"/>
  <c r="K4681" i="2"/>
  <c r="J4681" i="2"/>
  <c r="I4681" i="2"/>
  <c r="A4681" i="2"/>
  <c r="K4680" i="2"/>
  <c r="J4680" i="2"/>
  <c r="I4680" i="2"/>
  <c r="A4680" i="2"/>
  <c r="K4679" i="2"/>
  <c r="J4679" i="2"/>
  <c r="I4679" i="2"/>
  <c r="A4679" i="2"/>
  <c r="K4678" i="2"/>
  <c r="J4678" i="2"/>
  <c r="I4678" i="2"/>
  <c r="A4678" i="2"/>
  <c r="K4677" i="2"/>
  <c r="J4677" i="2"/>
  <c r="I4677" i="2"/>
  <c r="A4677" i="2"/>
  <c r="K4676" i="2"/>
  <c r="J4676" i="2"/>
  <c r="I4676" i="2"/>
  <c r="A4676" i="2"/>
  <c r="K4675" i="2"/>
  <c r="J4675" i="2"/>
  <c r="I4675" i="2"/>
  <c r="A4675" i="2"/>
  <c r="K4674" i="2"/>
  <c r="J4674" i="2"/>
  <c r="I4674" i="2"/>
  <c r="A4674" i="2"/>
  <c r="K4673" i="2"/>
  <c r="J4673" i="2"/>
  <c r="I4673" i="2"/>
  <c r="A4673" i="2"/>
  <c r="K4672" i="2"/>
  <c r="J4672" i="2"/>
  <c r="I4672" i="2"/>
  <c r="A4672" i="2"/>
  <c r="K4671" i="2"/>
  <c r="J4671" i="2"/>
  <c r="I4671" i="2"/>
  <c r="A4671" i="2"/>
  <c r="K4670" i="2"/>
  <c r="J4670" i="2"/>
  <c r="I4670" i="2"/>
  <c r="A4670" i="2"/>
  <c r="K4669" i="2"/>
  <c r="J4669" i="2"/>
  <c r="I4669" i="2"/>
  <c r="A4669" i="2"/>
  <c r="K4668" i="2"/>
  <c r="J4668" i="2"/>
  <c r="I4668" i="2"/>
  <c r="A4668" i="2"/>
  <c r="K4667" i="2"/>
  <c r="J4667" i="2"/>
  <c r="I4667" i="2"/>
  <c r="A4667" i="2"/>
  <c r="K4666" i="2"/>
  <c r="J4666" i="2"/>
  <c r="I4666" i="2"/>
  <c r="A4666" i="2"/>
  <c r="K4665" i="2"/>
  <c r="J4665" i="2"/>
  <c r="I4665" i="2"/>
  <c r="A4665" i="2"/>
  <c r="K4664" i="2"/>
  <c r="J4664" i="2"/>
  <c r="I4664" i="2"/>
  <c r="A4664" i="2"/>
  <c r="K4663" i="2"/>
  <c r="J4663" i="2"/>
  <c r="I4663" i="2"/>
  <c r="A4663" i="2"/>
  <c r="K4662" i="2"/>
  <c r="J4662" i="2"/>
  <c r="I4662" i="2"/>
  <c r="A4662" i="2"/>
  <c r="K4661" i="2"/>
  <c r="J4661" i="2"/>
  <c r="I4661" i="2"/>
  <c r="A4661" i="2"/>
  <c r="K4660" i="2"/>
  <c r="J4660" i="2"/>
  <c r="I4660" i="2"/>
  <c r="A4660" i="2"/>
  <c r="K4659" i="2"/>
  <c r="J4659" i="2"/>
  <c r="I4659" i="2"/>
  <c r="A4659" i="2"/>
  <c r="K4658" i="2"/>
  <c r="J4658" i="2"/>
  <c r="I4658" i="2"/>
  <c r="A4658" i="2"/>
  <c r="K4657" i="2"/>
  <c r="J4657" i="2"/>
  <c r="I4657" i="2"/>
  <c r="A4657" i="2"/>
  <c r="K4656" i="2"/>
  <c r="J4656" i="2"/>
  <c r="I4656" i="2"/>
  <c r="A4656" i="2"/>
  <c r="K4655" i="2"/>
  <c r="J4655" i="2"/>
  <c r="I4655" i="2"/>
  <c r="A4655" i="2"/>
  <c r="K4654" i="2"/>
  <c r="J4654" i="2"/>
  <c r="I4654" i="2"/>
  <c r="A4654" i="2"/>
  <c r="K4653" i="2"/>
  <c r="J4653" i="2"/>
  <c r="I4653" i="2"/>
  <c r="A4653" i="2"/>
  <c r="K4652" i="2"/>
  <c r="J4652" i="2"/>
  <c r="I4652" i="2"/>
  <c r="A4652" i="2"/>
  <c r="K4651" i="2"/>
  <c r="J4651" i="2"/>
  <c r="I4651" i="2"/>
  <c r="A4651" i="2"/>
  <c r="K4650" i="2"/>
  <c r="J4650" i="2"/>
  <c r="I4650" i="2"/>
  <c r="A4650" i="2"/>
  <c r="K4649" i="2"/>
  <c r="J4649" i="2"/>
  <c r="I4649" i="2"/>
  <c r="A4649" i="2"/>
  <c r="K4648" i="2"/>
  <c r="J4648" i="2"/>
  <c r="I4648" i="2"/>
  <c r="A4648" i="2"/>
  <c r="K4647" i="2"/>
  <c r="J4647" i="2"/>
  <c r="I4647" i="2"/>
  <c r="A4647" i="2"/>
  <c r="K4646" i="2"/>
  <c r="J4646" i="2"/>
  <c r="I4646" i="2"/>
  <c r="A4646" i="2"/>
  <c r="K4645" i="2"/>
  <c r="J4645" i="2"/>
  <c r="I4645" i="2"/>
  <c r="A4645" i="2"/>
  <c r="K4644" i="2"/>
  <c r="J4644" i="2"/>
  <c r="I4644" i="2"/>
  <c r="A4644" i="2"/>
  <c r="K4643" i="2"/>
  <c r="J4643" i="2"/>
  <c r="I4643" i="2"/>
  <c r="A4643" i="2"/>
  <c r="K4642" i="2"/>
  <c r="J4642" i="2"/>
  <c r="I4642" i="2"/>
  <c r="A4642" i="2"/>
  <c r="K4641" i="2"/>
  <c r="J4641" i="2"/>
  <c r="I4641" i="2"/>
  <c r="A4641" i="2"/>
  <c r="K4640" i="2"/>
  <c r="J4640" i="2"/>
  <c r="I4640" i="2"/>
  <c r="A4640" i="2"/>
  <c r="K4639" i="2"/>
  <c r="J4639" i="2"/>
  <c r="I4639" i="2"/>
  <c r="A4639" i="2"/>
  <c r="K4638" i="2"/>
  <c r="J4638" i="2"/>
  <c r="I4638" i="2"/>
  <c r="A4638" i="2"/>
  <c r="K4637" i="2"/>
  <c r="J4637" i="2"/>
  <c r="I4637" i="2"/>
  <c r="A4637" i="2"/>
  <c r="K4636" i="2"/>
  <c r="J4636" i="2"/>
  <c r="I4636" i="2"/>
  <c r="A4636" i="2"/>
  <c r="K4635" i="2"/>
  <c r="J4635" i="2"/>
  <c r="I4635" i="2"/>
  <c r="A4635" i="2"/>
  <c r="K4634" i="2"/>
  <c r="J4634" i="2"/>
  <c r="I4634" i="2"/>
  <c r="A4634" i="2"/>
  <c r="K4633" i="2"/>
  <c r="J4633" i="2"/>
  <c r="I4633" i="2"/>
  <c r="A4633" i="2"/>
  <c r="K4632" i="2"/>
  <c r="J4632" i="2"/>
  <c r="I4632" i="2"/>
  <c r="A4632" i="2"/>
  <c r="K4631" i="2"/>
  <c r="J4631" i="2"/>
  <c r="I4631" i="2"/>
  <c r="A4631" i="2"/>
  <c r="K4630" i="2"/>
  <c r="J4630" i="2"/>
  <c r="I4630" i="2"/>
  <c r="A4630" i="2"/>
  <c r="K4629" i="2"/>
  <c r="J4629" i="2"/>
  <c r="I4629" i="2"/>
  <c r="A4629" i="2"/>
  <c r="K4628" i="2"/>
  <c r="J4628" i="2"/>
  <c r="I4628" i="2"/>
  <c r="A4628" i="2"/>
  <c r="K4627" i="2"/>
  <c r="J4627" i="2"/>
  <c r="I4627" i="2"/>
  <c r="A4627" i="2"/>
  <c r="K4626" i="2"/>
  <c r="J4626" i="2"/>
  <c r="I4626" i="2"/>
  <c r="A4626" i="2"/>
  <c r="K4625" i="2"/>
  <c r="J4625" i="2"/>
  <c r="I4625" i="2"/>
  <c r="A4625" i="2"/>
  <c r="K4624" i="2"/>
  <c r="J4624" i="2"/>
  <c r="I4624" i="2"/>
  <c r="A4624" i="2"/>
  <c r="K4623" i="2"/>
  <c r="J4623" i="2"/>
  <c r="I4623" i="2"/>
  <c r="A4623" i="2"/>
  <c r="K4622" i="2"/>
  <c r="J4622" i="2"/>
  <c r="I4622" i="2"/>
  <c r="A4622" i="2"/>
  <c r="K4621" i="2"/>
  <c r="J4621" i="2"/>
  <c r="I4621" i="2"/>
  <c r="A4621" i="2"/>
  <c r="K4620" i="2"/>
  <c r="J4620" i="2"/>
  <c r="I4620" i="2"/>
  <c r="A4620" i="2"/>
  <c r="K4619" i="2"/>
  <c r="J4619" i="2"/>
  <c r="I4619" i="2"/>
  <c r="A4619" i="2"/>
  <c r="K4618" i="2"/>
  <c r="J4618" i="2"/>
  <c r="I4618" i="2"/>
  <c r="A4618" i="2"/>
  <c r="K4617" i="2"/>
  <c r="J4617" i="2"/>
  <c r="I4617" i="2"/>
  <c r="A4617" i="2"/>
  <c r="K4616" i="2"/>
  <c r="J4616" i="2"/>
  <c r="I4616" i="2"/>
  <c r="A4616" i="2"/>
  <c r="K4615" i="2"/>
  <c r="J4615" i="2"/>
  <c r="I4615" i="2"/>
  <c r="A4615" i="2"/>
  <c r="K4614" i="2"/>
  <c r="J4614" i="2"/>
  <c r="I4614" i="2"/>
  <c r="A4614" i="2"/>
  <c r="K4613" i="2"/>
  <c r="J4613" i="2"/>
  <c r="I4613" i="2"/>
  <c r="A4613" i="2"/>
  <c r="K4612" i="2"/>
  <c r="J4612" i="2"/>
  <c r="I4612" i="2"/>
  <c r="A4612" i="2"/>
  <c r="K4611" i="2"/>
  <c r="J4611" i="2"/>
  <c r="I4611" i="2"/>
  <c r="A4611" i="2"/>
  <c r="K4610" i="2"/>
  <c r="J4610" i="2"/>
  <c r="I4610" i="2"/>
  <c r="A4610" i="2"/>
  <c r="K4609" i="2"/>
  <c r="J4609" i="2"/>
  <c r="I4609" i="2"/>
  <c r="A4609" i="2"/>
  <c r="K4608" i="2"/>
  <c r="J4608" i="2"/>
  <c r="I4608" i="2"/>
  <c r="A4608" i="2"/>
  <c r="K4607" i="2"/>
  <c r="J4607" i="2"/>
  <c r="I4607" i="2"/>
  <c r="A4607" i="2"/>
  <c r="K4606" i="2"/>
  <c r="J4606" i="2"/>
  <c r="I4606" i="2"/>
  <c r="A4606" i="2"/>
  <c r="K4605" i="2"/>
  <c r="J4605" i="2"/>
  <c r="I4605" i="2"/>
  <c r="A4605" i="2"/>
  <c r="K4604" i="2"/>
  <c r="J4604" i="2"/>
  <c r="I4604" i="2"/>
  <c r="A4604" i="2"/>
  <c r="K4603" i="2"/>
  <c r="J4603" i="2"/>
  <c r="I4603" i="2"/>
  <c r="A4603" i="2"/>
  <c r="K4602" i="2"/>
  <c r="J4602" i="2"/>
  <c r="I4602" i="2"/>
  <c r="A4602" i="2"/>
  <c r="K4601" i="2"/>
  <c r="J4601" i="2"/>
  <c r="I4601" i="2"/>
  <c r="A4601" i="2"/>
  <c r="K4600" i="2"/>
  <c r="J4600" i="2"/>
  <c r="I4600" i="2"/>
  <c r="A4600" i="2"/>
  <c r="K4599" i="2"/>
  <c r="J4599" i="2"/>
  <c r="I4599" i="2"/>
  <c r="A4599" i="2"/>
  <c r="K4598" i="2"/>
  <c r="J4598" i="2"/>
  <c r="I4598" i="2"/>
  <c r="A4598" i="2"/>
  <c r="K4597" i="2"/>
  <c r="J4597" i="2"/>
  <c r="I4597" i="2"/>
  <c r="A4597" i="2"/>
  <c r="K4596" i="2"/>
  <c r="J4596" i="2"/>
  <c r="I4596" i="2"/>
  <c r="A4596" i="2"/>
  <c r="K4595" i="2"/>
  <c r="J4595" i="2"/>
  <c r="I4595" i="2"/>
  <c r="A4595" i="2"/>
  <c r="K4594" i="2"/>
  <c r="J4594" i="2"/>
  <c r="I4594" i="2"/>
  <c r="A4594" i="2"/>
  <c r="K4593" i="2"/>
  <c r="J4593" i="2"/>
  <c r="I4593" i="2"/>
  <c r="A4593" i="2"/>
  <c r="K4592" i="2"/>
  <c r="J4592" i="2"/>
  <c r="I4592" i="2"/>
  <c r="A4592" i="2"/>
  <c r="K4591" i="2"/>
  <c r="J4591" i="2"/>
  <c r="I4591" i="2"/>
  <c r="A4591" i="2"/>
  <c r="K4590" i="2"/>
  <c r="J4590" i="2"/>
  <c r="I4590" i="2"/>
  <c r="A4590" i="2"/>
  <c r="K4589" i="2"/>
  <c r="J4589" i="2"/>
  <c r="I4589" i="2"/>
  <c r="A4589" i="2"/>
  <c r="K4588" i="2"/>
  <c r="J4588" i="2"/>
  <c r="I4588" i="2"/>
  <c r="A4588" i="2"/>
  <c r="K4587" i="2"/>
  <c r="J4587" i="2"/>
  <c r="I4587" i="2"/>
  <c r="A4587" i="2"/>
  <c r="K4586" i="2"/>
  <c r="J4586" i="2"/>
  <c r="I4586" i="2"/>
  <c r="A4586" i="2"/>
  <c r="K4585" i="2"/>
  <c r="J4585" i="2"/>
  <c r="I4585" i="2"/>
  <c r="A4585" i="2"/>
  <c r="K4584" i="2"/>
  <c r="J4584" i="2"/>
  <c r="I4584" i="2"/>
  <c r="A4584" i="2"/>
  <c r="K4583" i="2"/>
  <c r="J4583" i="2"/>
  <c r="I4583" i="2"/>
  <c r="A4583" i="2"/>
  <c r="K4582" i="2"/>
  <c r="J4582" i="2"/>
  <c r="I4582" i="2"/>
  <c r="A4582" i="2"/>
  <c r="K4581" i="2"/>
  <c r="J4581" i="2"/>
  <c r="I4581" i="2"/>
  <c r="A4581" i="2"/>
  <c r="K4580" i="2"/>
  <c r="J4580" i="2"/>
  <c r="I4580" i="2"/>
  <c r="A4580" i="2"/>
  <c r="K4579" i="2"/>
  <c r="J4579" i="2"/>
  <c r="I4579" i="2"/>
  <c r="A4579" i="2"/>
  <c r="K4578" i="2"/>
  <c r="J4578" i="2"/>
  <c r="I4578" i="2"/>
  <c r="A4578" i="2"/>
  <c r="K4577" i="2"/>
  <c r="J4577" i="2"/>
  <c r="I4577" i="2"/>
  <c r="A4577" i="2"/>
  <c r="K4576" i="2"/>
  <c r="J4576" i="2"/>
  <c r="I4576" i="2"/>
  <c r="A4576" i="2"/>
  <c r="K4575" i="2"/>
  <c r="J4575" i="2"/>
  <c r="I4575" i="2"/>
  <c r="A4575" i="2"/>
  <c r="K4574" i="2"/>
  <c r="J4574" i="2"/>
  <c r="I4574" i="2"/>
  <c r="A4574" i="2"/>
  <c r="K4573" i="2"/>
  <c r="J4573" i="2"/>
  <c r="I4573" i="2"/>
  <c r="A4573" i="2"/>
  <c r="K4572" i="2"/>
  <c r="J4572" i="2"/>
  <c r="I4572" i="2"/>
  <c r="A4572" i="2"/>
  <c r="K4571" i="2"/>
  <c r="J4571" i="2"/>
  <c r="I4571" i="2"/>
  <c r="A4571" i="2"/>
  <c r="K4570" i="2"/>
  <c r="J4570" i="2"/>
  <c r="I4570" i="2"/>
  <c r="A4570" i="2"/>
  <c r="K4569" i="2"/>
  <c r="J4569" i="2"/>
  <c r="I4569" i="2"/>
  <c r="A4569" i="2"/>
  <c r="K4568" i="2"/>
  <c r="J4568" i="2"/>
  <c r="I4568" i="2"/>
  <c r="A4568" i="2"/>
  <c r="K4567" i="2"/>
  <c r="J4567" i="2"/>
  <c r="I4567" i="2"/>
  <c r="A4567" i="2"/>
  <c r="K4566" i="2"/>
  <c r="J4566" i="2"/>
  <c r="I4566" i="2"/>
  <c r="A4566" i="2"/>
  <c r="K4565" i="2"/>
  <c r="J4565" i="2"/>
  <c r="I4565" i="2"/>
  <c r="A4565" i="2"/>
  <c r="K4564" i="2"/>
  <c r="J4564" i="2"/>
  <c r="I4564" i="2"/>
  <c r="A4564" i="2"/>
  <c r="K4563" i="2"/>
  <c r="J4563" i="2"/>
  <c r="I4563" i="2"/>
  <c r="A4563" i="2"/>
  <c r="K4562" i="2"/>
  <c r="J4562" i="2"/>
  <c r="I4562" i="2"/>
  <c r="A4562" i="2"/>
  <c r="K4561" i="2"/>
  <c r="J4561" i="2"/>
  <c r="I4561" i="2"/>
  <c r="A4561" i="2"/>
  <c r="K4560" i="2"/>
  <c r="J4560" i="2"/>
  <c r="I4560" i="2"/>
  <c r="A4560" i="2"/>
  <c r="K4559" i="2"/>
  <c r="J4559" i="2"/>
  <c r="I4559" i="2"/>
  <c r="A4559" i="2"/>
  <c r="K4558" i="2"/>
  <c r="J4558" i="2"/>
  <c r="I4558" i="2"/>
  <c r="A4558" i="2"/>
  <c r="K4557" i="2"/>
  <c r="J4557" i="2"/>
  <c r="I4557" i="2"/>
  <c r="A4557" i="2"/>
  <c r="K4556" i="2"/>
  <c r="J4556" i="2"/>
  <c r="I4556" i="2"/>
  <c r="A4556" i="2"/>
  <c r="K4555" i="2"/>
  <c r="J4555" i="2"/>
  <c r="I4555" i="2"/>
  <c r="A4555" i="2"/>
  <c r="K4554" i="2"/>
  <c r="J4554" i="2"/>
  <c r="I4554" i="2"/>
  <c r="A4554" i="2"/>
  <c r="K4553" i="2"/>
  <c r="J4553" i="2"/>
  <c r="I4553" i="2"/>
  <c r="A4553" i="2"/>
  <c r="K4552" i="2"/>
  <c r="J4552" i="2"/>
  <c r="I4552" i="2"/>
  <c r="A4552" i="2"/>
  <c r="K4551" i="2"/>
  <c r="J4551" i="2"/>
  <c r="I4551" i="2"/>
  <c r="A4551" i="2"/>
  <c r="K4550" i="2"/>
  <c r="J4550" i="2"/>
  <c r="I4550" i="2"/>
  <c r="A4550" i="2"/>
  <c r="K4549" i="2"/>
  <c r="J4549" i="2"/>
  <c r="I4549" i="2"/>
  <c r="A4549" i="2"/>
  <c r="K4548" i="2"/>
  <c r="J4548" i="2"/>
  <c r="I4548" i="2"/>
  <c r="A4548" i="2"/>
  <c r="K4547" i="2"/>
  <c r="J4547" i="2"/>
  <c r="I4547" i="2"/>
  <c r="A4547" i="2"/>
  <c r="K4546" i="2"/>
  <c r="J4546" i="2"/>
  <c r="I4546" i="2"/>
  <c r="A4546" i="2"/>
  <c r="K4545" i="2"/>
  <c r="J4545" i="2"/>
  <c r="I4545" i="2"/>
  <c r="A4545" i="2"/>
  <c r="K4544" i="2"/>
  <c r="J4544" i="2"/>
  <c r="I4544" i="2"/>
  <c r="A4544" i="2"/>
  <c r="K4543" i="2"/>
  <c r="J4543" i="2"/>
  <c r="I4543" i="2"/>
  <c r="A4543" i="2"/>
  <c r="K4542" i="2"/>
  <c r="J4542" i="2"/>
  <c r="I4542" i="2"/>
  <c r="A4542" i="2"/>
  <c r="K4541" i="2"/>
  <c r="J4541" i="2"/>
  <c r="I4541" i="2"/>
  <c r="A4541" i="2"/>
  <c r="K4540" i="2"/>
  <c r="J4540" i="2"/>
  <c r="I4540" i="2"/>
  <c r="A4540" i="2"/>
  <c r="K4539" i="2"/>
  <c r="J4539" i="2"/>
  <c r="I4539" i="2"/>
  <c r="A4539" i="2"/>
  <c r="K4538" i="2"/>
  <c r="J4538" i="2"/>
  <c r="I4538" i="2"/>
  <c r="A4538" i="2"/>
  <c r="K4537" i="2"/>
  <c r="J4537" i="2"/>
  <c r="I4537" i="2"/>
  <c r="A4537" i="2"/>
  <c r="K4536" i="2"/>
  <c r="J4536" i="2"/>
  <c r="I4536" i="2"/>
  <c r="A4536" i="2"/>
  <c r="K4535" i="2"/>
  <c r="J4535" i="2"/>
  <c r="I4535" i="2"/>
  <c r="A4535" i="2"/>
  <c r="K4534" i="2"/>
  <c r="J4534" i="2"/>
  <c r="I4534" i="2"/>
  <c r="A4534" i="2"/>
  <c r="K4533" i="2"/>
  <c r="J4533" i="2"/>
  <c r="I4533" i="2"/>
  <c r="A4533" i="2"/>
  <c r="K4532" i="2"/>
  <c r="J4532" i="2"/>
  <c r="I4532" i="2"/>
  <c r="A4532" i="2"/>
  <c r="K4531" i="2"/>
  <c r="J4531" i="2"/>
  <c r="I4531" i="2"/>
  <c r="A4531" i="2"/>
  <c r="K4530" i="2"/>
  <c r="J4530" i="2"/>
  <c r="I4530" i="2"/>
  <c r="A4530" i="2"/>
  <c r="K4529" i="2"/>
  <c r="J4529" i="2"/>
  <c r="I4529" i="2"/>
  <c r="A4529" i="2"/>
  <c r="K4528" i="2"/>
  <c r="J4528" i="2"/>
  <c r="I4528" i="2"/>
  <c r="A4528" i="2"/>
  <c r="K4527" i="2"/>
  <c r="J4527" i="2"/>
  <c r="I4527" i="2"/>
  <c r="A4527" i="2"/>
  <c r="K4526" i="2"/>
  <c r="J4526" i="2"/>
  <c r="I4526" i="2"/>
  <c r="A4526" i="2"/>
  <c r="K4525" i="2"/>
  <c r="J4525" i="2"/>
  <c r="I4525" i="2"/>
  <c r="A4525" i="2"/>
  <c r="K4524" i="2"/>
  <c r="J4524" i="2"/>
  <c r="I4524" i="2"/>
  <c r="A4524" i="2"/>
  <c r="K4523" i="2"/>
  <c r="J4523" i="2"/>
  <c r="I4523" i="2"/>
  <c r="A4523" i="2"/>
  <c r="K4522" i="2"/>
  <c r="J4522" i="2"/>
  <c r="I4522" i="2"/>
  <c r="A4522" i="2"/>
  <c r="K4521" i="2"/>
  <c r="J4521" i="2"/>
  <c r="I4521" i="2"/>
  <c r="A4521" i="2"/>
  <c r="K4520" i="2"/>
  <c r="J4520" i="2"/>
  <c r="I4520" i="2"/>
  <c r="A4520" i="2"/>
  <c r="K4519" i="2"/>
  <c r="J4519" i="2"/>
  <c r="I4519" i="2"/>
  <c r="A4519" i="2"/>
  <c r="K4518" i="2"/>
  <c r="J4518" i="2"/>
  <c r="I4518" i="2"/>
  <c r="A4518" i="2"/>
  <c r="K4517" i="2"/>
  <c r="J4517" i="2"/>
  <c r="I4517" i="2"/>
  <c r="A4517" i="2"/>
  <c r="K4516" i="2"/>
  <c r="J4516" i="2"/>
  <c r="I4516" i="2"/>
  <c r="A4516" i="2"/>
  <c r="K4515" i="2"/>
  <c r="J4515" i="2"/>
  <c r="I4515" i="2"/>
  <c r="A4515" i="2"/>
  <c r="K4514" i="2"/>
  <c r="J4514" i="2"/>
  <c r="I4514" i="2"/>
  <c r="A4514" i="2"/>
  <c r="K4513" i="2"/>
  <c r="J4513" i="2"/>
  <c r="I4513" i="2"/>
  <c r="A4513" i="2"/>
  <c r="K4512" i="2"/>
  <c r="J4512" i="2"/>
  <c r="I4512" i="2"/>
  <c r="A4512" i="2"/>
  <c r="K4511" i="2"/>
  <c r="J4511" i="2"/>
  <c r="I4511" i="2"/>
  <c r="A4511" i="2"/>
  <c r="K4510" i="2"/>
  <c r="J4510" i="2"/>
  <c r="I4510" i="2"/>
  <c r="A4510" i="2"/>
  <c r="K4509" i="2"/>
  <c r="J4509" i="2"/>
  <c r="I4509" i="2"/>
  <c r="A4509" i="2"/>
  <c r="K4508" i="2"/>
  <c r="J4508" i="2"/>
  <c r="I4508" i="2"/>
  <c r="A4508" i="2"/>
  <c r="K4507" i="2"/>
  <c r="J4507" i="2"/>
  <c r="I4507" i="2"/>
  <c r="A4507" i="2"/>
  <c r="K4506" i="2"/>
  <c r="J4506" i="2"/>
  <c r="I4506" i="2"/>
  <c r="A4506" i="2"/>
  <c r="K4505" i="2"/>
  <c r="J4505" i="2"/>
  <c r="I4505" i="2"/>
  <c r="A4505" i="2"/>
  <c r="K4504" i="2"/>
  <c r="J4504" i="2"/>
  <c r="I4504" i="2"/>
  <c r="A4504" i="2"/>
  <c r="K4503" i="2"/>
  <c r="J4503" i="2"/>
  <c r="I4503" i="2"/>
  <c r="A4503" i="2"/>
  <c r="K4502" i="2"/>
  <c r="J4502" i="2"/>
  <c r="I4502" i="2"/>
  <c r="A4502" i="2"/>
  <c r="K4501" i="2"/>
  <c r="J4501" i="2"/>
  <c r="I4501" i="2"/>
  <c r="A4501" i="2"/>
  <c r="K4500" i="2"/>
  <c r="J4500" i="2"/>
  <c r="I4500" i="2"/>
  <c r="A4500" i="2"/>
  <c r="K4499" i="2"/>
  <c r="J4499" i="2"/>
  <c r="I4499" i="2"/>
  <c r="A4499" i="2"/>
  <c r="K4498" i="2"/>
  <c r="J4498" i="2"/>
  <c r="I4498" i="2"/>
  <c r="A4498" i="2"/>
  <c r="K4497" i="2"/>
  <c r="J4497" i="2"/>
  <c r="I4497" i="2"/>
  <c r="A4497" i="2"/>
  <c r="K4496" i="2"/>
  <c r="J4496" i="2"/>
  <c r="I4496" i="2"/>
  <c r="A4496" i="2"/>
  <c r="K4495" i="2"/>
  <c r="J4495" i="2"/>
  <c r="I4495" i="2"/>
  <c r="A4495" i="2"/>
  <c r="K4494" i="2"/>
  <c r="J4494" i="2"/>
  <c r="I4494" i="2"/>
  <c r="A4494" i="2"/>
  <c r="K4493" i="2"/>
  <c r="J4493" i="2"/>
  <c r="I4493" i="2"/>
  <c r="A4493" i="2"/>
  <c r="K4492" i="2"/>
  <c r="J4492" i="2"/>
  <c r="I4492" i="2"/>
  <c r="A4492" i="2"/>
  <c r="K4491" i="2"/>
  <c r="J4491" i="2"/>
  <c r="I4491" i="2"/>
  <c r="A4491" i="2"/>
  <c r="K4490" i="2"/>
  <c r="J4490" i="2"/>
  <c r="I4490" i="2"/>
  <c r="A4490" i="2"/>
  <c r="K4489" i="2"/>
  <c r="J4489" i="2"/>
  <c r="I4489" i="2"/>
  <c r="A4489" i="2"/>
  <c r="K4488" i="2"/>
  <c r="J4488" i="2"/>
  <c r="I4488" i="2"/>
  <c r="A4488" i="2"/>
  <c r="K4487" i="2"/>
  <c r="J4487" i="2"/>
  <c r="I4487" i="2"/>
  <c r="A4487" i="2"/>
  <c r="K4486" i="2"/>
  <c r="J4486" i="2"/>
  <c r="I4486" i="2"/>
  <c r="A4486" i="2"/>
  <c r="K4485" i="2"/>
  <c r="J4485" i="2"/>
  <c r="I4485" i="2"/>
  <c r="A4485" i="2"/>
  <c r="K4484" i="2"/>
  <c r="J4484" i="2"/>
  <c r="I4484" i="2"/>
  <c r="A4484" i="2"/>
  <c r="K4483" i="2"/>
  <c r="J4483" i="2"/>
  <c r="I4483" i="2"/>
  <c r="A4483" i="2"/>
  <c r="K4482" i="2"/>
  <c r="J4482" i="2"/>
  <c r="I4482" i="2"/>
  <c r="A4482" i="2"/>
  <c r="K4481" i="2"/>
  <c r="J4481" i="2"/>
  <c r="I4481" i="2"/>
  <c r="A4481" i="2"/>
  <c r="K4480" i="2"/>
  <c r="J4480" i="2"/>
  <c r="I4480" i="2"/>
  <c r="A4480" i="2"/>
  <c r="K4479" i="2"/>
  <c r="J4479" i="2"/>
  <c r="I4479" i="2"/>
  <c r="A4479" i="2"/>
  <c r="K4478" i="2"/>
  <c r="J4478" i="2"/>
  <c r="I4478" i="2"/>
  <c r="A4478" i="2"/>
  <c r="K4477" i="2"/>
  <c r="J4477" i="2"/>
  <c r="I4477" i="2"/>
  <c r="A4477" i="2"/>
  <c r="K4476" i="2"/>
  <c r="J4476" i="2"/>
  <c r="I4476" i="2"/>
  <c r="A4476" i="2"/>
  <c r="K4475" i="2"/>
  <c r="J4475" i="2"/>
  <c r="I4475" i="2"/>
  <c r="A4475" i="2"/>
  <c r="K4474" i="2"/>
  <c r="J4474" i="2"/>
  <c r="I4474" i="2"/>
  <c r="A4474" i="2"/>
  <c r="K4473" i="2"/>
  <c r="J4473" i="2"/>
  <c r="I4473" i="2"/>
  <c r="A4473" i="2"/>
  <c r="K4472" i="2"/>
  <c r="J4472" i="2"/>
  <c r="I4472" i="2"/>
  <c r="A4472" i="2"/>
  <c r="K4471" i="2"/>
  <c r="J4471" i="2"/>
  <c r="I4471" i="2"/>
  <c r="A4471" i="2"/>
  <c r="K4470" i="2"/>
  <c r="J4470" i="2"/>
  <c r="I4470" i="2"/>
  <c r="A4470" i="2"/>
  <c r="K4469" i="2"/>
  <c r="J4469" i="2"/>
  <c r="I4469" i="2"/>
  <c r="A4469" i="2"/>
  <c r="K4468" i="2"/>
  <c r="J4468" i="2"/>
  <c r="I4468" i="2"/>
  <c r="A4468" i="2"/>
  <c r="K4467" i="2"/>
  <c r="J4467" i="2"/>
  <c r="I4467" i="2"/>
  <c r="A4467" i="2"/>
  <c r="K4466" i="2"/>
  <c r="J4466" i="2"/>
  <c r="I4466" i="2"/>
  <c r="A4466" i="2"/>
  <c r="K4465" i="2"/>
  <c r="J4465" i="2"/>
  <c r="I4465" i="2"/>
  <c r="A4465" i="2"/>
  <c r="K4464" i="2"/>
  <c r="J4464" i="2"/>
  <c r="I4464" i="2"/>
  <c r="A4464" i="2"/>
  <c r="K4463" i="2"/>
  <c r="J4463" i="2"/>
  <c r="I4463" i="2"/>
  <c r="A4463" i="2"/>
  <c r="K4462" i="2"/>
  <c r="J4462" i="2"/>
  <c r="I4462" i="2"/>
  <c r="A4462" i="2"/>
  <c r="K4461" i="2"/>
  <c r="J4461" i="2"/>
  <c r="I4461" i="2"/>
  <c r="A4461" i="2"/>
  <c r="K4460" i="2"/>
  <c r="J4460" i="2"/>
  <c r="I4460" i="2"/>
  <c r="A4460" i="2"/>
  <c r="K4459" i="2"/>
  <c r="J4459" i="2"/>
  <c r="I4459" i="2"/>
  <c r="A4459" i="2"/>
  <c r="K4458" i="2"/>
  <c r="J4458" i="2"/>
  <c r="I4458" i="2"/>
  <c r="A4458" i="2"/>
  <c r="K4457" i="2"/>
  <c r="J4457" i="2"/>
  <c r="I4457" i="2"/>
  <c r="A4457" i="2"/>
  <c r="K4456" i="2"/>
  <c r="J4456" i="2"/>
  <c r="I4456" i="2"/>
  <c r="A4456" i="2"/>
  <c r="K4455" i="2"/>
  <c r="J4455" i="2"/>
  <c r="I4455" i="2"/>
  <c r="A4455" i="2"/>
  <c r="K4454" i="2"/>
  <c r="J4454" i="2"/>
  <c r="I4454" i="2"/>
  <c r="A4454" i="2"/>
  <c r="K4453" i="2"/>
  <c r="J4453" i="2"/>
  <c r="I4453" i="2"/>
  <c r="A4453" i="2"/>
  <c r="K4452" i="2"/>
  <c r="J4452" i="2"/>
  <c r="I4452" i="2"/>
  <c r="A4452" i="2"/>
  <c r="K4451" i="2"/>
  <c r="J4451" i="2"/>
  <c r="I4451" i="2"/>
  <c r="A4451" i="2"/>
  <c r="K4450" i="2"/>
  <c r="J4450" i="2"/>
  <c r="I4450" i="2"/>
  <c r="A4450" i="2"/>
  <c r="K4449" i="2"/>
  <c r="J4449" i="2"/>
  <c r="I4449" i="2"/>
  <c r="A4449" i="2"/>
  <c r="K4448" i="2"/>
  <c r="J4448" i="2"/>
  <c r="I4448" i="2"/>
  <c r="A4448" i="2"/>
  <c r="K4447" i="2"/>
  <c r="J4447" i="2"/>
  <c r="I4447" i="2"/>
  <c r="A4447" i="2"/>
  <c r="K4446" i="2"/>
  <c r="J4446" i="2"/>
  <c r="I4446" i="2"/>
  <c r="A4446" i="2"/>
  <c r="K4445" i="2"/>
  <c r="J4445" i="2"/>
  <c r="I4445" i="2"/>
  <c r="A4445" i="2"/>
  <c r="K4444" i="2"/>
  <c r="J4444" i="2"/>
  <c r="I4444" i="2"/>
  <c r="A4444" i="2"/>
  <c r="K4443" i="2"/>
  <c r="J4443" i="2"/>
  <c r="I4443" i="2"/>
  <c r="A4443" i="2"/>
  <c r="K4442" i="2"/>
  <c r="J4442" i="2"/>
  <c r="I4442" i="2"/>
  <c r="A4442" i="2"/>
  <c r="K4441" i="2"/>
  <c r="J4441" i="2"/>
  <c r="I4441" i="2"/>
  <c r="A4441" i="2"/>
  <c r="K4440" i="2"/>
  <c r="J4440" i="2"/>
  <c r="I4440" i="2"/>
  <c r="A4440" i="2"/>
  <c r="K4439" i="2"/>
  <c r="J4439" i="2"/>
  <c r="I4439" i="2"/>
  <c r="A4439" i="2"/>
  <c r="K4438" i="2"/>
  <c r="J4438" i="2"/>
  <c r="I4438" i="2"/>
  <c r="A4438" i="2"/>
  <c r="K4437" i="2"/>
  <c r="J4437" i="2"/>
  <c r="I4437" i="2"/>
  <c r="A4437" i="2"/>
  <c r="K4436" i="2"/>
  <c r="J4436" i="2"/>
  <c r="I4436" i="2"/>
  <c r="A4436" i="2"/>
  <c r="K4435" i="2"/>
  <c r="J4435" i="2"/>
  <c r="I4435" i="2"/>
  <c r="A4435" i="2"/>
  <c r="K4434" i="2"/>
  <c r="J4434" i="2"/>
  <c r="I4434" i="2"/>
  <c r="A4434" i="2"/>
  <c r="K4433" i="2"/>
  <c r="J4433" i="2"/>
  <c r="I4433" i="2"/>
  <c r="A4433" i="2"/>
  <c r="K4432" i="2"/>
  <c r="J4432" i="2"/>
  <c r="I4432" i="2"/>
  <c r="A4432" i="2"/>
  <c r="K4431" i="2"/>
  <c r="J4431" i="2"/>
  <c r="I4431" i="2"/>
  <c r="A4431" i="2"/>
  <c r="K4430" i="2"/>
  <c r="J4430" i="2"/>
  <c r="I4430" i="2"/>
  <c r="A4430" i="2"/>
  <c r="K4429" i="2"/>
  <c r="J4429" i="2"/>
  <c r="I4429" i="2"/>
  <c r="A4429" i="2"/>
  <c r="K4428" i="2"/>
  <c r="J4428" i="2"/>
  <c r="I4428" i="2"/>
  <c r="A4428" i="2"/>
  <c r="K4427" i="2"/>
  <c r="J4427" i="2"/>
  <c r="I4427" i="2"/>
  <c r="A4427" i="2"/>
  <c r="K4426" i="2"/>
  <c r="J4426" i="2"/>
  <c r="I4426" i="2"/>
  <c r="A4426" i="2"/>
  <c r="K4425" i="2"/>
  <c r="J4425" i="2"/>
  <c r="I4425" i="2"/>
  <c r="A4425" i="2"/>
  <c r="K4424" i="2"/>
  <c r="J4424" i="2"/>
  <c r="I4424" i="2"/>
  <c r="A4424" i="2"/>
  <c r="K4423" i="2"/>
  <c r="J4423" i="2"/>
  <c r="I4423" i="2"/>
  <c r="A4423" i="2"/>
  <c r="K4422" i="2"/>
  <c r="J4422" i="2"/>
  <c r="I4422" i="2"/>
  <c r="A4422" i="2"/>
  <c r="K4421" i="2"/>
  <c r="J4421" i="2"/>
  <c r="I4421" i="2"/>
  <c r="A4421" i="2"/>
  <c r="K4420" i="2"/>
  <c r="J4420" i="2"/>
  <c r="I4420" i="2"/>
  <c r="A4420" i="2"/>
  <c r="K4419" i="2"/>
  <c r="J4419" i="2"/>
  <c r="I4419" i="2"/>
  <c r="A4419" i="2"/>
  <c r="K4418" i="2"/>
  <c r="J4418" i="2"/>
  <c r="I4418" i="2"/>
  <c r="A4418" i="2"/>
  <c r="K4417" i="2"/>
  <c r="J4417" i="2"/>
  <c r="I4417" i="2"/>
  <c r="A4417" i="2"/>
  <c r="K4416" i="2"/>
  <c r="J4416" i="2"/>
  <c r="I4416" i="2"/>
  <c r="A4416" i="2"/>
  <c r="K4415" i="2"/>
  <c r="J4415" i="2"/>
  <c r="I4415" i="2"/>
  <c r="A4415" i="2"/>
  <c r="K4414" i="2"/>
  <c r="J4414" i="2"/>
  <c r="I4414" i="2"/>
  <c r="A4414" i="2"/>
  <c r="K4413" i="2"/>
  <c r="J4413" i="2"/>
  <c r="I4413" i="2"/>
  <c r="A4413" i="2"/>
  <c r="K4412" i="2"/>
  <c r="J4412" i="2"/>
  <c r="I4412" i="2"/>
  <c r="A4412" i="2"/>
  <c r="K4411" i="2"/>
  <c r="J4411" i="2"/>
  <c r="I4411" i="2"/>
  <c r="A4411" i="2"/>
  <c r="K4410" i="2"/>
  <c r="J4410" i="2"/>
  <c r="I4410" i="2"/>
  <c r="A4410" i="2"/>
  <c r="K4409" i="2"/>
  <c r="J4409" i="2"/>
  <c r="I4409" i="2"/>
  <c r="A4409" i="2"/>
  <c r="K4408" i="2"/>
  <c r="J4408" i="2"/>
  <c r="I4408" i="2"/>
  <c r="A4408" i="2"/>
  <c r="K4407" i="2"/>
  <c r="J4407" i="2"/>
  <c r="I4407" i="2"/>
  <c r="A4407" i="2"/>
  <c r="K4406" i="2"/>
  <c r="J4406" i="2"/>
  <c r="I4406" i="2"/>
  <c r="A4406" i="2"/>
  <c r="K4405" i="2"/>
  <c r="J4405" i="2"/>
  <c r="I4405" i="2"/>
  <c r="A4405" i="2"/>
  <c r="K4404" i="2"/>
  <c r="J4404" i="2"/>
  <c r="I4404" i="2"/>
  <c r="A4404" i="2"/>
  <c r="K4403" i="2"/>
  <c r="J4403" i="2"/>
  <c r="I4403" i="2"/>
  <c r="A4403" i="2"/>
  <c r="K4402" i="2"/>
  <c r="J4402" i="2"/>
  <c r="I4402" i="2"/>
  <c r="A4402" i="2"/>
  <c r="K4401" i="2"/>
  <c r="J4401" i="2"/>
  <c r="I4401" i="2"/>
  <c r="A4401" i="2"/>
  <c r="K4400" i="2"/>
  <c r="J4400" i="2"/>
  <c r="I4400" i="2"/>
  <c r="A4400" i="2"/>
  <c r="K4399" i="2"/>
  <c r="J4399" i="2"/>
  <c r="I4399" i="2"/>
  <c r="A4399" i="2"/>
  <c r="K4398" i="2"/>
  <c r="J4398" i="2"/>
  <c r="I4398" i="2"/>
  <c r="A4398" i="2"/>
  <c r="K4397" i="2"/>
  <c r="J4397" i="2"/>
  <c r="I4397" i="2"/>
  <c r="A4397" i="2"/>
  <c r="K4396" i="2"/>
  <c r="J4396" i="2"/>
  <c r="I4396" i="2"/>
  <c r="A4396" i="2"/>
  <c r="K4395" i="2"/>
  <c r="J4395" i="2"/>
  <c r="I4395" i="2"/>
  <c r="A4395" i="2"/>
  <c r="K4394" i="2"/>
  <c r="J4394" i="2"/>
  <c r="I4394" i="2"/>
  <c r="A4394" i="2"/>
  <c r="K4393" i="2"/>
  <c r="J4393" i="2"/>
  <c r="I4393" i="2"/>
  <c r="A4393" i="2"/>
  <c r="K4392" i="2"/>
  <c r="J4392" i="2"/>
  <c r="I4392" i="2"/>
  <c r="A4392" i="2"/>
  <c r="K4391" i="2"/>
  <c r="J4391" i="2"/>
  <c r="I4391" i="2"/>
  <c r="A4391" i="2"/>
  <c r="K4390" i="2"/>
  <c r="J4390" i="2"/>
  <c r="I4390" i="2"/>
  <c r="A4390" i="2"/>
  <c r="K4389" i="2"/>
  <c r="J4389" i="2"/>
  <c r="I4389" i="2"/>
  <c r="A4389" i="2"/>
  <c r="K4388" i="2"/>
  <c r="J4388" i="2"/>
  <c r="I4388" i="2"/>
  <c r="A4388" i="2"/>
  <c r="K4387" i="2"/>
  <c r="J4387" i="2"/>
  <c r="I4387" i="2"/>
  <c r="A4387" i="2"/>
  <c r="K4386" i="2"/>
  <c r="J4386" i="2"/>
  <c r="I4386" i="2"/>
  <c r="A4386" i="2"/>
  <c r="K4385" i="2"/>
  <c r="J4385" i="2"/>
  <c r="I4385" i="2"/>
  <c r="A4385" i="2"/>
  <c r="K4384" i="2"/>
  <c r="J4384" i="2"/>
  <c r="I4384" i="2"/>
  <c r="A4384" i="2"/>
  <c r="K4383" i="2"/>
  <c r="J4383" i="2"/>
  <c r="I4383" i="2"/>
  <c r="A4383" i="2"/>
  <c r="K4382" i="2"/>
  <c r="J4382" i="2"/>
  <c r="I4382" i="2"/>
  <c r="A4382" i="2"/>
  <c r="K4381" i="2"/>
  <c r="J4381" i="2"/>
  <c r="I4381" i="2"/>
  <c r="A4381" i="2"/>
  <c r="K4380" i="2"/>
  <c r="J4380" i="2"/>
  <c r="I4380" i="2"/>
  <c r="A4380" i="2"/>
  <c r="K4379" i="2"/>
  <c r="J4379" i="2"/>
  <c r="I4379" i="2"/>
  <c r="A4379" i="2"/>
  <c r="K4378" i="2"/>
  <c r="J4378" i="2"/>
  <c r="I4378" i="2"/>
  <c r="A4378" i="2"/>
  <c r="K4377" i="2"/>
  <c r="J4377" i="2"/>
  <c r="I4377" i="2"/>
  <c r="A4377" i="2"/>
  <c r="K4376" i="2"/>
  <c r="J4376" i="2"/>
  <c r="I4376" i="2"/>
  <c r="A4376" i="2"/>
  <c r="K4375" i="2"/>
  <c r="J4375" i="2"/>
  <c r="I4375" i="2"/>
  <c r="A4375" i="2"/>
  <c r="K4374" i="2"/>
  <c r="J4374" i="2"/>
  <c r="I4374" i="2"/>
  <c r="A4374" i="2"/>
  <c r="K4373" i="2"/>
  <c r="J4373" i="2"/>
  <c r="I4373" i="2"/>
  <c r="A4373" i="2"/>
  <c r="K4372" i="2"/>
  <c r="J4372" i="2"/>
  <c r="I4372" i="2"/>
  <c r="A4372" i="2"/>
  <c r="K4371" i="2"/>
  <c r="J4371" i="2"/>
  <c r="I4371" i="2"/>
  <c r="A4371" i="2"/>
  <c r="K4370" i="2"/>
  <c r="J4370" i="2"/>
  <c r="I4370" i="2"/>
  <c r="A4370" i="2"/>
  <c r="K4369" i="2"/>
  <c r="J4369" i="2"/>
  <c r="I4369" i="2"/>
  <c r="A4369" i="2"/>
  <c r="K4368" i="2"/>
  <c r="J4368" i="2"/>
  <c r="I4368" i="2"/>
  <c r="A4368" i="2"/>
  <c r="K4367" i="2"/>
  <c r="J4367" i="2"/>
  <c r="I4367" i="2"/>
  <c r="A4367" i="2"/>
  <c r="K4366" i="2"/>
  <c r="J4366" i="2"/>
  <c r="I4366" i="2"/>
  <c r="A4366" i="2"/>
  <c r="K4365" i="2"/>
  <c r="J4365" i="2"/>
  <c r="I4365" i="2"/>
  <c r="A4365" i="2"/>
  <c r="K4364" i="2"/>
  <c r="J4364" i="2"/>
  <c r="I4364" i="2"/>
  <c r="A4364" i="2"/>
  <c r="K4363" i="2"/>
  <c r="J4363" i="2"/>
  <c r="I4363" i="2"/>
  <c r="A4363" i="2"/>
  <c r="K4362" i="2"/>
  <c r="J4362" i="2"/>
  <c r="I4362" i="2"/>
  <c r="A4362" i="2"/>
  <c r="K4361" i="2"/>
  <c r="J4361" i="2"/>
  <c r="I4361" i="2"/>
  <c r="A4361" i="2"/>
  <c r="K4360" i="2"/>
  <c r="J4360" i="2"/>
  <c r="I4360" i="2"/>
  <c r="A4360" i="2"/>
  <c r="K4359" i="2"/>
  <c r="J4359" i="2"/>
  <c r="I4359" i="2"/>
  <c r="A4359" i="2"/>
  <c r="K4358" i="2"/>
  <c r="J4358" i="2"/>
  <c r="I4358" i="2"/>
  <c r="A4358" i="2"/>
  <c r="K4357" i="2"/>
  <c r="J4357" i="2"/>
  <c r="I4357" i="2"/>
  <c r="A4357" i="2"/>
  <c r="K4356" i="2"/>
  <c r="J4356" i="2"/>
  <c r="I4356" i="2"/>
  <c r="A4356" i="2"/>
  <c r="K4355" i="2"/>
  <c r="J4355" i="2"/>
  <c r="I4355" i="2"/>
  <c r="A4355" i="2"/>
  <c r="K4354" i="2"/>
  <c r="J4354" i="2"/>
  <c r="I4354" i="2"/>
  <c r="A4354" i="2"/>
  <c r="K4353" i="2"/>
  <c r="J4353" i="2"/>
  <c r="I4353" i="2"/>
  <c r="A4353" i="2"/>
  <c r="K4352" i="2"/>
  <c r="J4352" i="2"/>
  <c r="I4352" i="2"/>
  <c r="A4352" i="2"/>
  <c r="K4351" i="2"/>
  <c r="J4351" i="2"/>
  <c r="I4351" i="2"/>
  <c r="A4351" i="2"/>
  <c r="K4350" i="2"/>
  <c r="J4350" i="2"/>
  <c r="I4350" i="2"/>
  <c r="A4350" i="2"/>
  <c r="K4349" i="2"/>
  <c r="J4349" i="2"/>
  <c r="I4349" i="2"/>
  <c r="A4349" i="2"/>
  <c r="K4348" i="2"/>
  <c r="J4348" i="2"/>
  <c r="I4348" i="2"/>
  <c r="A4348" i="2"/>
  <c r="K4347" i="2"/>
  <c r="J4347" i="2"/>
  <c r="I4347" i="2"/>
  <c r="A4347" i="2"/>
  <c r="K4346" i="2"/>
  <c r="J4346" i="2"/>
  <c r="I4346" i="2"/>
  <c r="A4346" i="2"/>
  <c r="K4345" i="2"/>
  <c r="J4345" i="2"/>
  <c r="I4345" i="2"/>
  <c r="A4345" i="2"/>
  <c r="K4344" i="2"/>
  <c r="J4344" i="2"/>
  <c r="I4344" i="2"/>
  <c r="A4344" i="2"/>
  <c r="K4343" i="2"/>
  <c r="J4343" i="2"/>
  <c r="I4343" i="2"/>
  <c r="A4343" i="2"/>
  <c r="K4342" i="2"/>
  <c r="J4342" i="2"/>
  <c r="I4342" i="2"/>
  <c r="A4342" i="2"/>
  <c r="K4341" i="2"/>
  <c r="J4341" i="2"/>
  <c r="I4341" i="2"/>
  <c r="A4341" i="2"/>
  <c r="K4340" i="2"/>
  <c r="J4340" i="2"/>
  <c r="I4340" i="2"/>
  <c r="A4340" i="2"/>
  <c r="K4339" i="2"/>
  <c r="J4339" i="2"/>
  <c r="I4339" i="2"/>
  <c r="A4339" i="2"/>
  <c r="K4338" i="2"/>
  <c r="J4338" i="2"/>
  <c r="I4338" i="2"/>
  <c r="A4338" i="2"/>
  <c r="K4337" i="2"/>
  <c r="J4337" i="2"/>
  <c r="I4337" i="2"/>
  <c r="A4337" i="2"/>
  <c r="K4336" i="2"/>
  <c r="J4336" i="2"/>
  <c r="I4336" i="2"/>
  <c r="A4336" i="2"/>
  <c r="K4335" i="2"/>
  <c r="J4335" i="2"/>
  <c r="I4335" i="2"/>
  <c r="A4335" i="2"/>
  <c r="K4334" i="2"/>
  <c r="J4334" i="2"/>
  <c r="I4334" i="2"/>
  <c r="A4334" i="2"/>
  <c r="K4333" i="2"/>
  <c r="J4333" i="2"/>
  <c r="I4333" i="2"/>
  <c r="A4333" i="2"/>
  <c r="K4332" i="2"/>
  <c r="J4332" i="2"/>
  <c r="I4332" i="2"/>
  <c r="A4332" i="2"/>
  <c r="K4331" i="2"/>
  <c r="J4331" i="2"/>
  <c r="I4331" i="2"/>
  <c r="A4331" i="2"/>
  <c r="K4330" i="2"/>
  <c r="J4330" i="2"/>
  <c r="I4330" i="2"/>
  <c r="A4330" i="2"/>
  <c r="K4329" i="2"/>
  <c r="J4329" i="2"/>
  <c r="I4329" i="2"/>
  <c r="A4329" i="2"/>
  <c r="K4328" i="2"/>
  <c r="J4328" i="2"/>
  <c r="I4328" i="2"/>
  <c r="A4328" i="2"/>
  <c r="K4327" i="2"/>
  <c r="J4327" i="2"/>
  <c r="I4327" i="2"/>
  <c r="A4327" i="2"/>
  <c r="K4326" i="2"/>
  <c r="J4326" i="2"/>
  <c r="I4326" i="2"/>
  <c r="A4326" i="2"/>
  <c r="K4325" i="2"/>
  <c r="J4325" i="2"/>
  <c r="I4325" i="2"/>
  <c r="A4325" i="2"/>
  <c r="K4324" i="2"/>
  <c r="J4324" i="2"/>
  <c r="I4324" i="2"/>
  <c r="A4324" i="2"/>
  <c r="K4323" i="2"/>
  <c r="J4323" i="2"/>
  <c r="I4323" i="2"/>
  <c r="A4323" i="2"/>
  <c r="K4322" i="2"/>
  <c r="J4322" i="2"/>
  <c r="I4322" i="2"/>
  <c r="A4322" i="2"/>
  <c r="K4321" i="2"/>
  <c r="J4321" i="2"/>
  <c r="I4321" i="2"/>
  <c r="A4321" i="2"/>
  <c r="K4320" i="2"/>
  <c r="J4320" i="2"/>
  <c r="I4320" i="2"/>
  <c r="A4320" i="2"/>
  <c r="K4319" i="2"/>
  <c r="J4319" i="2"/>
  <c r="I4319" i="2"/>
  <c r="A4319" i="2"/>
  <c r="K4318" i="2"/>
  <c r="J4318" i="2"/>
  <c r="I4318" i="2"/>
  <c r="A4318" i="2"/>
  <c r="K4317" i="2"/>
  <c r="J4317" i="2"/>
  <c r="I4317" i="2"/>
  <c r="A4317" i="2"/>
  <c r="K4316" i="2"/>
  <c r="J4316" i="2"/>
  <c r="I4316" i="2"/>
  <c r="A4316" i="2"/>
  <c r="K4315" i="2"/>
  <c r="J4315" i="2"/>
  <c r="I4315" i="2"/>
  <c r="A4315" i="2"/>
  <c r="K4314" i="2"/>
  <c r="J4314" i="2"/>
  <c r="I4314" i="2"/>
  <c r="A4314" i="2"/>
  <c r="K4313" i="2"/>
  <c r="J4313" i="2"/>
  <c r="I4313" i="2"/>
  <c r="A4313" i="2"/>
  <c r="K4312" i="2"/>
  <c r="J4312" i="2"/>
  <c r="I4312" i="2"/>
  <c r="A4312" i="2"/>
  <c r="K4311" i="2"/>
  <c r="J4311" i="2"/>
  <c r="I4311" i="2"/>
  <c r="A4311" i="2"/>
  <c r="K4310" i="2"/>
  <c r="J4310" i="2"/>
  <c r="I4310" i="2"/>
  <c r="A4310" i="2"/>
  <c r="K4309" i="2"/>
  <c r="J4309" i="2"/>
  <c r="I4309" i="2"/>
  <c r="A4309" i="2"/>
  <c r="K4308" i="2"/>
  <c r="J4308" i="2"/>
  <c r="I4308" i="2"/>
  <c r="A4308" i="2"/>
  <c r="K4307" i="2"/>
  <c r="J4307" i="2"/>
  <c r="I4307" i="2"/>
  <c r="A4307" i="2"/>
  <c r="K4306" i="2"/>
  <c r="J4306" i="2"/>
  <c r="I4306" i="2"/>
  <c r="A4306" i="2"/>
  <c r="K4305" i="2"/>
  <c r="J4305" i="2"/>
  <c r="I4305" i="2"/>
  <c r="A4305" i="2"/>
  <c r="K4304" i="2"/>
  <c r="J4304" i="2"/>
  <c r="I4304" i="2"/>
  <c r="A4304" i="2"/>
  <c r="K4303" i="2"/>
  <c r="J4303" i="2"/>
  <c r="I4303" i="2"/>
  <c r="A4303" i="2"/>
  <c r="K4302" i="2"/>
  <c r="J4302" i="2"/>
  <c r="I4302" i="2"/>
  <c r="A4302" i="2"/>
  <c r="K4301" i="2"/>
  <c r="J4301" i="2"/>
  <c r="I4301" i="2"/>
  <c r="A4301" i="2"/>
  <c r="K4300" i="2"/>
  <c r="J4300" i="2"/>
  <c r="I4300" i="2"/>
  <c r="A4300" i="2"/>
  <c r="K4299" i="2"/>
  <c r="J4299" i="2"/>
  <c r="I4299" i="2"/>
  <c r="A4299" i="2"/>
  <c r="K4298" i="2"/>
  <c r="J4298" i="2"/>
  <c r="I4298" i="2"/>
  <c r="A4298" i="2"/>
  <c r="K4297" i="2"/>
  <c r="J4297" i="2"/>
  <c r="I4297" i="2"/>
  <c r="A4297" i="2"/>
  <c r="K4296" i="2"/>
  <c r="J4296" i="2"/>
  <c r="I4296" i="2"/>
  <c r="A4296" i="2"/>
  <c r="K4295" i="2"/>
  <c r="J4295" i="2"/>
  <c r="I4295" i="2"/>
  <c r="A4295" i="2"/>
  <c r="K4294" i="2"/>
  <c r="J4294" i="2"/>
  <c r="I4294" i="2"/>
  <c r="A4294" i="2"/>
  <c r="K4293" i="2"/>
  <c r="J4293" i="2"/>
  <c r="I4293" i="2"/>
  <c r="A4293" i="2"/>
  <c r="K4292" i="2"/>
  <c r="J4292" i="2"/>
  <c r="I4292" i="2"/>
  <c r="A4292" i="2"/>
  <c r="K4291" i="2"/>
  <c r="J4291" i="2"/>
  <c r="I4291" i="2"/>
  <c r="A4291" i="2"/>
  <c r="K4290" i="2"/>
  <c r="J4290" i="2"/>
  <c r="I4290" i="2"/>
  <c r="A4290" i="2"/>
  <c r="K4289" i="2"/>
  <c r="J4289" i="2"/>
  <c r="I4289" i="2"/>
  <c r="A4289" i="2"/>
  <c r="K4288" i="2"/>
  <c r="J4288" i="2"/>
  <c r="I4288" i="2"/>
  <c r="A4288" i="2"/>
  <c r="K4287" i="2"/>
  <c r="J4287" i="2"/>
  <c r="I4287" i="2"/>
  <c r="A4287" i="2"/>
  <c r="K4286" i="2"/>
  <c r="J4286" i="2"/>
  <c r="I4286" i="2"/>
  <c r="A4286" i="2"/>
  <c r="K4285" i="2"/>
  <c r="J4285" i="2"/>
  <c r="I4285" i="2"/>
  <c r="A4285" i="2"/>
  <c r="K4284" i="2"/>
  <c r="J4284" i="2"/>
  <c r="I4284" i="2"/>
  <c r="A4284" i="2"/>
  <c r="K4283" i="2"/>
  <c r="J4283" i="2"/>
  <c r="I4283" i="2"/>
  <c r="A4283" i="2"/>
  <c r="K4282" i="2"/>
  <c r="J4282" i="2"/>
  <c r="I4282" i="2"/>
  <c r="A4282" i="2"/>
  <c r="K4281" i="2"/>
  <c r="J4281" i="2"/>
  <c r="I4281" i="2"/>
  <c r="A4281" i="2"/>
  <c r="K4280" i="2"/>
  <c r="J4280" i="2"/>
  <c r="I4280" i="2"/>
  <c r="A4280" i="2"/>
  <c r="K4279" i="2"/>
  <c r="J4279" i="2"/>
  <c r="I4279" i="2"/>
  <c r="A4279" i="2"/>
  <c r="K4278" i="2"/>
  <c r="J4278" i="2"/>
  <c r="I4278" i="2"/>
  <c r="A4278" i="2"/>
  <c r="K4277" i="2"/>
  <c r="J4277" i="2"/>
  <c r="I4277" i="2"/>
  <c r="A4277" i="2"/>
  <c r="K4276" i="2"/>
  <c r="J4276" i="2"/>
  <c r="I4276" i="2"/>
  <c r="A4276" i="2"/>
  <c r="K4275" i="2"/>
  <c r="J4275" i="2"/>
  <c r="I4275" i="2"/>
  <c r="A4275" i="2"/>
  <c r="K4274" i="2"/>
  <c r="J4274" i="2"/>
  <c r="I4274" i="2"/>
  <c r="A4274" i="2"/>
  <c r="K4273" i="2"/>
  <c r="J4273" i="2"/>
  <c r="I4273" i="2"/>
  <c r="A4273" i="2"/>
  <c r="K4272" i="2"/>
  <c r="J4272" i="2"/>
  <c r="I4272" i="2"/>
  <c r="A4272" i="2"/>
  <c r="K4271" i="2"/>
  <c r="J4271" i="2"/>
  <c r="I4271" i="2"/>
  <c r="A4271" i="2"/>
  <c r="K4270" i="2"/>
  <c r="J4270" i="2"/>
  <c r="I4270" i="2"/>
  <c r="A4270" i="2"/>
  <c r="K4269" i="2"/>
  <c r="J4269" i="2"/>
  <c r="I4269" i="2"/>
  <c r="A4269" i="2"/>
  <c r="K4268" i="2"/>
  <c r="J4268" i="2"/>
  <c r="I4268" i="2"/>
  <c r="A4268" i="2"/>
  <c r="K4267" i="2"/>
  <c r="J4267" i="2"/>
  <c r="I4267" i="2"/>
  <c r="A4267" i="2"/>
  <c r="K4266" i="2"/>
  <c r="J4266" i="2"/>
  <c r="I4266" i="2"/>
  <c r="A4266" i="2"/>
  <c r="K4265" i="2"/>
  <c r="J4265" i="2"/>
  <c r="I4265" i="2"/>
  <c r="A4265" i="2"/>
  <c r="K4264" i="2"/>
  <c r="J4264" i="2"/>
  <c r="I4264" i="2"/>
  <c r="A4264" i="2"/>
  <c r="K4263" i="2"/>
  <c r="J4263" i="2"/>
  <c r="I4263" i="2"/>
  <c r="A4263" i="2"/>
  <c r="K4262" i="2"/>
  <c r="J4262" i="2"/>
  <c r="I4262" i="2"/>
  <c r="A4262" i="2"/>
  <c r="K4261" i="2"/>
  <c r="J4261" i="2"/>
  <c r="I4261" i="2"/>
  <c r="A4261" i="2"/>
  <c r="K4260" i="2"/>
  <c r="J4260" i="2"/>
  <c r="I4260" i="2"/>
  <c r="A4260" i="2"/>
  <c r="K4259" i="2"/>
  <c r="J4259" i="2"/>
  <c r="I4259" i="2"/>
  <c r="A4259" i="2"/>
  <c r="K4258" i="2"/>
  <c r="J4258" i="2"/>
  <c r="I4258" i="2"/>
  <c r="A4258" i="2"/>
  <c r="K4257" i="2"/>
  <c r="J4257" i="2"/>
  <c r="I4257" i="2"/>
  <c r="A4257" i="2"/>
  <c r="K4256" i="2"/>
  <c r="J4256" i="2"/>
  <c r="I4256" i="2"/>
  <c r="A4256" i="2"/>
  <c r="K4255" i="2"/>
  <c r="J4255" i="2"/>
  <c r="I4255" i="2"/>
  <c r="A4255" i="2"/>
  <c r="K4254" i="2"/>
  <c r="J4254" i="2"/>
  <c r="I4254" i="2"/>
  <c r="A4254" i="2"/>
  <c r="K4253" i="2"/>
  <c r="J4253" i="2"/>
  <c r="I4253" i="2"/>
  <c r="A4253" i="2"/>
  <c r="K4252" i="2"/>
  <c r="J4252" i="2"/>
  <c r="I4252" i="2"/>
  <c r="A4252" i="2"/>
  <c r="K4251" i="2"/>
  <c r="J4251" i="2"/>
  <c r="I4251" i="2"/>
  <c r="A4251" i="2"/>
  <c r="K4250" i="2"/>
  <c r="J4250" i="2"/>
  <c r="I4250" i="2"/>
  <c r="A4250" i="2"/>
  <c r="K4249" i="2"/>
  <c r="J4249" i="2"/>
  <c r="I4249" i="2"/>
  <c r="A4249" i="2"/>
  <c r="K4248" i="2"/>
  <c r="J4248" i="2"/>
  <c r="I4248" i="2"/>
  <c r="A4248" i="2"/>
  <c r="K4247" i="2"/>
  <c r="J4247" i="2"/>
  <c r="I4247" i="2"/>
  <c r="A4247" i="2"/>
  <c r="K4246" i="2"/>
  <c r="J4246" i="2"/>
  <c r="I4246" i="2"/>
  <c r="A4246" i="2"/>
  <c r="K4245" i="2"/>
  <c r="J4245" i="2"/>
  <c r="I4245" i="2"/>
  <c r="A4245" i="2"/>
  <c r="K4244" i="2"/>
  <c r="J4244" i="2"/>
  <c r="I4244" i="2"/>
  <c r="A4244" i="2"/>
  <c r="K4243" i="2"/>
  <c r="J4243" i="2"/>
  <c r="I4243" i="2"/>
  <c r="A4243" i="2"/>
  <c r="K4242" i="2"/>
  <c r="J4242" i="2"/>
  <c r="I4242" i="2"/>
  <c r="A4242" i="2"/>
  <c r="K4241" i="2"/>
  <c r="J4241" i="2"/>
  <c r="I4241" i="2"/>
  <c r="A4241" i="2"/>
  <c r="K4240" i="2"/>
  <c r="J4240" i="2"/>
  <c r="I4240" i="2"/>
  <c r="A4240" i="2"/>
  <c r="K4239" i="2"/>
  <c r="J4239" i="2"/>
  <c r="I4239" i="2"/>
  <c r="A4239" i="2"/>
  <c r="K4238" i="2"/>
  <c r="J4238" i="2"/>
  <c r="I4238" i="2"/>
  <c r="A4238" i="2"/>
  <c r="K4237" i="2"/>
  <c r="J4237" i="2"/>
  <c r="I4237" i="2"/>
  <c r="A4237" i="2"/>
  <c r="K4236" i="2"/>
  <c r="J4236" i="2"/>
  <c r="I4236" i="2"/>
  <c r="A4236" i="2"/>
  <c r="K4235" i="2"/>
  <c r="J4235" i="2"/>
  <c r="I4235" i="2"/>
  <c r="A4235" i="2"/>
  <c r="K4234" i="2"/>
  <c r="J4234" i="2"/>
  <c r="I4234" i="2"/>
  <c r="A4234" i="2"/>
  <c r="K4233" i="2"/>
  <c r="J4233" i="2"/>
  <c r="I4233" i="2"/>
  <c r="A4233" i="2"/>
  <c r="K4232" i="2"/>
  <c r="J4232" i="2"/>
  <c r="I4232" i="2"/>
  <c r="A4232" i="2"/>
  <c r="K4231" i="2"/>
  <c r="J4231" i="2"/>
  <c r="I4231" i="2"/>
  <c r="A4231" i="2"/>
  <c r="K4230" i="2"/>
  <c r="J4230" i="2"/>
  <c r="I4230" i="2"/>
  <c r="A4230" i="2"/>
  <c r="K4229" i="2"/>
  <c r="J4229" i="2"/>
  <c r="I4229" i="2"/>
  <c r="A4229" i="2"/>
  <c r="K4228" i="2"/>
  <c r="J4228" i="2"/>
  <c r="I4228" i="2"/>
  <c r="A4228" i="2"/>
  <c r="K4227" i="2"/>
  <c r="J4227" i="2"/>
  <c r="I4227" i="2"/>
  <c r="A4227" i="2"/>
  <c r="K4226" i="2"/>
  <c r="J4226" i="2"/>
  <c r="I4226" i="2"/>
  <c r="A4226" i="2"/>
  <c r="K4225" i="2"/>
  <c r="J4225" i="2"/>
  <c r="I4225" i="2"/>
  <c r="A4225" i="2"/>
  <c r="K4224" i="2"/>
  <c r="J4224" i="2"/>
  <c r="I4224" i="2"/>
  <c r="A4224" i="2"/>
  <c r="K4223" i="2"/>
  <c r="J4223" i="2"/>
  <c r="I4223" i="2"/>
  <c r="A4223" i="2"/>
  <c r="K4222" i="2"/>
  <c r="J4222" i="2"/>
  <c r="I4222" i="2"/>
  <c r="A4222" i="2"/>
  <c r="K4221" i="2"/>
  <c r="J4221" i="2"/>
  <c r="I4221" i="2"/>
  <c r="A4221" i="2"/>
  <c r="K4220" i="2"/>
  <c r="J4220" i="2"/>
  <c r="I4220" i="2"/>
  <c r="A4220" i="2"/>
  <c r="K4219" i="2"/>
  <c r="J4219" i="2"/>
  <c r="I4219" i="2"/>
  <c r="A4219" i="2"/>
  <c r="K4218" i="2"/>
  <c r="J4218" i="2"/>
  <c r="I4218" i="2"/>
  <c r="A4218" i="2"/>
  <c r="K4217" i="2"/>
  <c r="J4217" i="2"/>
  <c r="I4217" i="2"/>
  <c r="A4217" i="2"/>
  <c r="K4216" i="2"/>
  <c r="J4216" i="2"/>
  <c r="I4216" i="2"/>
  <c r="A4216" i="2"/>
  <c r="K4215" i="2"/>
  <c r="J4215" i="2"/>
  <c r="I4215" i="2"/>
  <c r="A4215" i="2"/>
  <c r="K4214" i="2"/>
  <c r="J4214" i="2"/>
  <c r="I4214" i="2"/>
  <c r="A4214" i="2"/>
  <c r="K4213" i="2"/>
  <c r="J4213" i="2"/>
  <c r="I4213" i="2"/>
  <c r="A4213" i="2"/>
  <c r="K4212" i="2"/>
  <c r="J4212" i="2"/>
  <c r="I4212" i="2"/>
  <c r="A4212" i="2"/>
  <c r="K4211" i="2"/>
  <c r="J4211" i="2"/>
  <c r="I4211" i="2"/>
  <c r="A4211" i="2"/>
  <c r="K4210" i="2"/>
  <c r="J4210" i="2"/>
  <c r="I4210" i="2"/>
  <c r="A4210" i="2"/>
  <c r="K4209" i="2"/>
  <c r="J4209" i="2"/>
  <c r="I4209" i="2"/>
  <c r="A4209" i="2"/>
  <c r="K4208" i="2"/>
  <c r="J4208" i="2"/>
  <c r="I4208" i="2"/>
  <c r="A4208" i="2"/>
  <c r="K4207" i="2"/>
  <c r="J4207" i="2"/>
  <c r="I4207" i="2"/>
  <c r="A4207" i="2"/>
  <c r="K4206" i="2"/>
  <c r="J4206" i="2"/>
  <c r="I4206" i="2"/>
  <c r="A4206" i="2"/>
  <c r="K4205" i="2"/>
  <c r="J4205" i="2"/>
  <c r="I4205" i="2"/>
  <c r="A4205" i="2"/>
  <c r="K4204" i="2"/>
  <c r="J4204" i="2"/>
  <c r="I4204" i="2"/>
  <c r="A4204" i="2"/>
  <c r="K4203" i="2"/>
  <c r="J4203" i="2"/>
  <c r="I4203" i="2"/>
  <c r="A4203" i="2"/>
  <c r="K4202" i="2"/>
  <c r="J4202" i="2"/>
  <c r="I4202" i="2"/>
  <c r="A4202" i="2"/>
  <c r="K4201" i="2"/>
  <c r="J4201" i="2"/>
  <c r="I4201" i="2"/>
  <c r="A4201" i="2"/>
  <c r="K4200" i="2"/>
  <c r="J4200" i="2"/>
  <c r="I4200" i="2"/>
  <c r="A4200" i="2"/>
  <c r="K4199" i="2"/>
  <c r="J4199" i="2"/>
  <c r="I4199" i="2"/>
  <c r="A4199" i="2"/>
  <c r="K4198" i="2"/>
  <c r="J4198" i="2"/>
  <c r="I4198" i="2"/>
  <c r="A4198" i="2"/>
  <c r="K4197" i="2"/>
  <c r="J4197" i="2"/>
  <c r="I4197" i="2"/>
  <c r="A4197" i="2"/>
  <c r="K4196" i="2"/>
  <c r="J4196" i="2"/>
  <c r="I4196" i="2"/>
  <c r="A4196" i="2"/>
  <c r="K4195" i="2"/>
  <c r="J4195" i="2"/>
  <c r="I4195" i="2"/>
  <c r="A4195" i="2"/>
  <c r="K4194" i="2"/>
  <c r="J4194" i="2"/>
  <c r="I4194" i="2"/>
  <c r="A4194" i="2"/>
  <c r="K4193" i="2"/>
  <c r="J4193" i="2"/>
  <c r="I4193" i="2"/>
  <c r="A4193" i="2"/>
  <c r="K4192" i="2"/>
  <c r="J4192" i="2"/>
  <c r="I4192" i="2"/>
  <c r="A4192" i="2"/>
  <c r="K4191" i="2"/>
  <c r="J4191" i="2"/>
  <c r="I4191" i="2"/>
  <c r="A4191" i="2"/>
  <c r="K4190" i="2"/>
  <c r="J4190" i="2"/>
  <c r="I4190" i="2"/>
  <c r="A4190" i="2"/>
  <c r="K4189" i="2"/>
  <c r="J4189" i="2"/>
  <c r="I4189" i="2"/>
  <c r="A4189" i="2"/>
  <c r="K4188" i="2"/>
  <c r="J4188" i="2"/>
  <c r="I4188" i="2"/>
  <c r="A4188" i="2"/>
  <c r="K4187" i="2"/>
  <c r="J4187" i="2"/>
  <c r="I4187" i="2"/>
  <c r="A4187" i="2"/>
  <c r="K4186" i="2"/>
  <c r="J4186" i="2"/>
  <c r="I4186" i="2"/>
  <c r="A4186" i="2"/>
  <c r="K4185" i="2"/>
  <c r="J4185" i="2"/>
  <c r="I4185" i="2"/>
  <c r="A4185" i="2"/>
  <c r="K4184" i="2"/>
  <c r="J4184" i="2"/>
  <c r="I4184" i="2"/>
  <c r="A4184" i="2"/>
  <c r="K4183" i="2"/>
  <c r="J4183" i="2"/>
  <c r="I4183" i="2"/>
  <c r="A4183" i="2"/>
  <c r="K4182" i="2"/>
  <c r="J4182" i="2"/>
  <c r="I4182" i="2"/>
  <c r="A4182" i="2"/>
  <c r="K4181" i="2"/>
  <c r="J4181" i="2"/>
  <c r="I4181" i="2"/>
  <c r="A4181" i="2"/>
  <c r="K4180" i="2"/>
  <c r="J4180" i="2"/>
  <c r="I4180" i="2"/>
  <c r="A4180" i="2"/>
  <c r="K4179" i="2"/>
  <c r="J4179" i="2"/>
  <c r="I4179" i="2"/>
  <c r="A4179" i="2"/>
  <c r="K4178" i="2"/>
  <c r="J4178" i="2"/>
  <c r="I4178" i="2"/>
  <c r="A4178" i="2"/>
  <c r="K4177" i="2"/>
  <c r="J4177" i="2"/>
  <c r="I4177" i="2"/>
  <c r="A4177" i="2"/>
  <c r="K4176" i="2"/>
  <c r="J4176" i="2"/>
  <c r="I4176" i="2"/>
  <c r="A4176" i="2"/>
  <c r="K4175" i="2"/>
  <c r="J4175" i="2"/>
  <c r="I4175" i="2"/>
  <c r="A4175" i="2"/>
  <c r="K4174" i="2"/>
  <c r="J4174" i="2"/>
  <c r="I4174" i="2"/>
  <c r="A4174" i="2"/>
  <c r="K4173" i="2"/>
  <c r="J4173" i="2"/>
  <c r="I4173" i="2"/>
  <c r="A4173" i="2"/>
  <c r="K4172" i="2"/>
  <c r="J4172" i="2"/>
  <c r="I4172" i="2"/>
  <c r="A4172" i="2"/>
  <c r="K4171" i="2"/>
  <c r="J4171" i="2"/>
  <c r="I4171" i="2"/>
  <c r="A4171" i="2"/>
  <c r="K4170" i="2"/>
  <c r="J4170" i="2"/>
  <c r="I4170" i="2"/>
  <c r="A4170" i="2"/>
  <c r="K4169" i="2"/>
  <c r="J4169" i="2"/>
  <c r="I4169" i="2"/>
  <c r="A4169" i="2"/>
  <c r="K4168" i="2"/>
  <c r="J4168" i="2"/>
  <c r="I4168" i="2"/>
  <c r="A4168" i="2"/>
  <c r="K4167" i="2"/>
  <c r="J4167" i="2"/>
  <c r="I4167" i="2"/>
  <c r="A4167" i="2"/>
  <c r="K4166" i="2"/>
  <c r="J4166" i="2"/>
  <c r="I4166" i="2"/>
  <c r="A4166" i="2"/>
  <c r="K4165" i="2"/>
  <c r="J4165" i="2"/>
  <c r="I4165" i="2"/>
  <c r="A4165" i="2"/>
  <c r="K4164" i="2"/>
  <c r="J4164" i="2"/>
  <c r="I4164" i="2"/>
  <c r="A4164" i="2"/>
  <c r="K4163" i="2"/>
  <c r="J4163" i="2"/>
  <c r="I4163" i="2"/>
  <c r="A4163" i="2"/>
  <c r="K4162" i="2"/>
  <c r="J4162" i="2"/>
  <c r="I4162" i="2"/>
  <c r="A4162" i="2"/>
  <c r="K4161" i="2"/>
  <c r="J4161" i="2"/>
  <c r="I4161" i="2"/>
  <c r="A4161" i="2"/>
  <c r="K4160" i="2"/>
  <c r="J4160" i="2"/>
  <c r="I4160" i="2"/>
  <c r="A4160" i="2"/>
  <c r="K4159" i="2"/>
  <c r="J4159" i="2"/>
  <c r="I4159" i="2"/>
  <c r="A4159" i="2"/>
  <c r="K4158" i="2"/>
  <c r="J4158" i="2"/>
  <c r="I4158" i="2"/>
  <c r="A4158" i="2"/>
  <c r="K4157" i="2"/>
  <c r="J4157" i="2"/>
  <c r="I4157" i="2"/>
  <c r="A4157" i="2"/>
  <c r="K4156" i="2"/>
  <c r="J4156" i="2"/>
  <c r="I4156" i="2"/>
  <c r="A4156" i="2"/>
  <c r="K4155" i="2"/>
  <c r="J4155" i="2"/>
  <c r="I4155" i="2"/>
  <c r="A4155" i="2"/>
  <c r="K4154" i="2"/>
  <c r="J4154" i="2"/>
  <c r="I4154" i="2"/>
  <c r="A4154" i="2"/>
  <c r="K4153" i="2"/>
  <c r="J4153" i="2"/>
  <c r="I4153" i="2"/>
  <c r="A4153" i="2"/>
  <c r="K4152" i="2"/>
  <c r="J4152" i="2"/>
  <c r="I4152" i="2"/>
  <c r="A4152" i="2"/>
  <c r="K4151" i="2"/>
  <c r="J4151" i="2"/>
  <c r="I4151" i="2"/>
  <c r="A4151" i="2"/>
  <c r="K4150" i="2"/>
  <c r="J4150" i="2"/>
  <c r="I4150" i="2"/>
  <c r="A4150" i="2"/>
  <c r="K4149" i="2"/>
  <c r="J4149" i="2"/>
  <c r="I4149" i="2"/>
  <c r="A4149" i="2"/>
  <c r="K4148" i="2"/>
  <c r="J4148" i="2"/>
  <c r="I4148" i="2"/>
  <c r="A4148" i="2"/>
  <c r="K4147" i="2"/>
  <c r="J4147" i="2"/>
  <c r="I4147" i="2"/>
  <c r="A4147" i="2"/>
  <c r="K4146" i="2"/>
  <c r="J4146" i="2"/>
  <c r="I4146" i="2"/>
  <c r="A4146" i="2"/>
  <c r="K4145" i="2"/>
  <c r="J4145" i="2"/>
  <c r="I4145" i="2"/>
  <c r="A4145" i="2"/>
  <c r="K4144" i="2"/>
  <c r="J4144" i="2"/>
  <c r="I4144" i="2"/>
  <c r="A4144" i="2"/>
  <c r="K4143" i="2"/>
  <c r="J4143" i="2"/>
  <c r="I4143" i="2"/>
  <c r="A4143" i="2"/>
  <c r="K4142" i="2"/>
  <c r="J4142" i="2"/>
  <c r="I4142" i="2"/>
  <c r="A4142" i="2"/>
  <c r="K4141" i="2"/>
  <c r="J4141" i="2"/>
  <c r="I4141" i="2"/>
  <c r="A4141" i="2"/>
  <c r="K4140" i="2"/>
  <c r="J4140" i="2"/>
  <c r="I4140" i="2"/>
  <c r="A4140" i="2"/>
  <c r="K4139" i="2"/>
  <c r="J4139" i="2"/>
  <c r="I4139" i="2"/>
  <c r="A4139" i="2"/>
  <c r="K4138" i="2"/>
  <c r="J4138" i="2"/>
  <c r="I4138" i="2"/>
  <c r="A4138" i="2"/>
  <c r="K4137" i="2"/>
  <c r="J4137" i="2"/>
  <c r="I4137" i="2"/>
  <c r="A4137" i="2"/>
  <c r="K4136" i="2"/>
  <c r="J4136" i="2"/>
  <c r="I4136" i="2"/>
  <c r="A4136" i="2"/>
  <c r="K4135" i="2"/>
  <c r="J4135" i="2"/>
  <c r="I4135" i="2"/>
  <c r="A4135" i="2"/>
  <c r="K4134" i="2"/>
  <c r="J4134" i="2"/>
  <c r="I4134" i="2"/>
  <c r="A4134" i="2"/>
  <c r="K4133" i="2"/>
  <c r="J4133" i="2"/>
  <c r="I4133" i="2"/>
  <c r="A4133" i="2"/>
  <c r="K4132" i="2"/>
  <c r="J4132" i="2"/>
  <c r="I4132" i="2"/>
  <c r="A4132" i="2"/>
  <c r="K4131" i="2"/>
  <c r="J4131" i="2"/>
  <c r="I4131" i="2"/>
  <c r="A4131" i="2"/>
  <c r="K4130" i="2"/>
  <c r="J4130" i="2"/>
  <c r="I4130" i="2"/>
  <c r="A4130" i="2"/>
  <c r="K4129" i="2"/>
  <c r="J4129" i="2"/>
  <c r="I4129" i="2"/>
  <c r="A4129" i="2"/>
  <c r="K4128" i="2"/>
  <c r="J4128" i="2"/>
  <c r="I4128" i="2"/>
  <c r="A4128" i="2"/>
  <c r="K4127" i="2"/>
  <c r="J4127" i="2"/>
  <c r="I4127" i="2"/>
  <c r="A4127" i="2"/>
  <c r="K4126" i="2"/>
  <c r="J4126" i="2"/>
  <c r="I4126" i="2"/>
  <c r="A4126" i="2"/>
  <c r="K4125" i="2"/>
  <c r="J4125" i="2"/>
  <c r="I4125" i="2"/>
  <c r="A4125" i="2"/>
  <c r="K4124" i="2"/>
  <c r="J4124" i="2"/>
  <c r="I4124" i="2"/>
  <c r="A4124" i="2"/>
  <c r="K4123" i="2"/>
  <c r="J4123" i="2"/>
  <c r="I4123" i="2"/>
  <c r="A4123" i="2"/>
  <c r="K4122" i="2"/>
  <c r="J4122" i="2"/>
  <c r="I4122" i="2"/>
  <c r="A4122" i="2"/>
  <c r="K4121" i="2"/>
  <c r="J4121" i="2"/>
  <c r="I4121" i="2"/>
  <c r="A4121" i="2"/>
  <c r="K4120" i="2"/>
  <c r="J4120" i="2"/>
  <c r="I4120" i="2"/>
  <c r="A4120" i="2"/>
  <c r="K4119" i="2"/>
  <c r="J4119" i="2"/>
  <c r="I4119" i="2"/>
  <c r="A4119" i="2"/>
  <c r="K4118" i="2"/>
  <c r="J4118" i="2"/>
  <c r="I4118" i="2"/>
  <c r="A4118" i="2"/>
  <c r="K4117" i="2"/>
  <c r="J4117" i="2"/>
  <c r="I4117" i="2"/>
  <c r="A4117" i="2"/>
  <c r="K4116" i="2"/>
  <c r="J4116" i="2"/>
  <c r="I4116" i="2"/>
  <c r="A4116" i="2"/>
  <c r="K4115" i="2"/>
  <c r="J4115" i="2"/>
  <c r="I4115" i="2"/>
  <c r="A4115" i="2"/>
  <c r="K4114" i="2"/>
  <c r="J4114" i="2"/>
  <c r="I4114" i="2"/>
  <c r="A4114" i="2"/>
  <c r="K4113" i="2"/>
  <c r="J4113" i="2"/>
  <c r="I4113" i="2"/>
  <c r="A4113" i="2"/>
  <c r="K4112" i="2"/>
  <c r="J4112" i="2"/>
  <c r="I4112" i="2"/>
  <c r="A4112" i="2"/>
  <c r="K4111" i="2"/>
  <c r="J4111" i="2"/>
  <c r="I4111" i="2"/>
  <c r="A4111" i="2"/>
  <c r="K4110" i="2"/>
  <c r="J4110" i="2"/>
  <c r="I4110" i="2"/>
  <c r="A4110" i="2"/>
  <c r="K4109" i="2"/>
  <c r="J4109" i="2"/>
  <c r="I4109" i="2"/>
  <c r="A4109" i="2"/>
  <c r="K4108" i="2"/>
  <c r="J4108" i="2"/>
  <c r="I4108" i="2"/>
  <c r="A4108" i="2"/>
  <c r="K4107" i="2"/>
  <c r="J4107" i="2"/>
  <c r="I4107" i="2"/>
  <c r="A4107" i="2"/>
  <c r="K4106" i="2"/>
  <c r="J4106" i="2"/>
  <c r="I4106" i="2"/>
  <c r="A4106" i="2"/>
  <c r="K4105" i="2"/>
  <c r="J4105" i="2"/>
  <c r="I4105" i="2"/>
  <c r="A4105" i="2"/>
  <c r="K4104" i="2"/>
  <c r="J4104" i="2"/>
  <c r="I4104" i="2"/>
  <c r="A4104" i="2"/>
  <c r="K4103" i="2"/>
  <c r="J4103" i="2"/>
  <c r="I4103" i="2"/>
  <c r="A4103" i="2"/>
  <c r="K4102" i="2"/>
  <c r="J4102" i="2"/>
  <c r="I4102" i="2"/>
  <c r="A4102" i="2"/>
  <c r="K4101" i="2"/>
  <c r="J4101" i="2"/>
  <c r="I4101" i="2"/>
  <c r="A4101" i="2"/>
  <c r="K4100" i="2"/>
  <c r="J4100" i="2"/>
  <c r="I4100" i="2"/>
  <c r="A4100" i="2"/>
  <c r="K4099" i="2"/>
  <c r="J4099" i="2"/>
  <c r="I4099" i="2"/>
  <c r="A4099" i="2"/>
  <c r="K4098" i="2"/>
  <c r="J4098" i="2"/>
  <c r="I4098" i="2"/>
  <c r="A4098" i="2"/>
  <c r="K4097" i="2"/>
  <c r="J4097" i="2"/>
  <c r="I4097" i="2"/>
  <c r="A4097" i="2"/>
  <c r="K4096" i="2"/>
  <c r="J4096" i="2"/>
  <c r="I4096" i="2"/>
  <c r="A4096" i="2"/>
  <c r="K4095" i="2"/>
  <c r="J4095" i="2"/>
  <c r="I4095" i="2"/>
  <c r="A4095" i="2"/>
  <c r="K4094" i="2"/>
  <c r="J4094" i="2"/>
  <c r="I4094" i="2"/>
  <c r="A4094" i="2"/>
  <c r="K4093" i="2"/>
  <c r="J4093" i="2"/>
  <c r="I4093" i="2"/>
  <c r="A4093" i="2"/>
  <c r="K4092" i="2"/>
  <c r="J4092" i="2"/>
  <c r="I4092" i="2"/>
  <c r="A4092" i="2"/>
  <c r="K4091" i="2"/>
  <c r="J4091" i="2"/>
  <c r="I4091" i="2"/>
  <c r="A4091" i="2"/>
  <c r="K4090" i="2"/>
  <c r="J4090" i="2"/>
  <c r="I4090" i="2"/>
  <c r="A4090" i="2"/>
  <c r="K4089" i="2"/>
  <c r="J4089" i="2"/>
  <c r="I4089" i="2"/>
  <c r="A4089" i="2"/>
  <c r="K4088" i="2"/>
  <c r="J4088" i="2"/>
  <c r="I4088" i="2"/>
  <c r="A4088" i="2"/>
  <c r="K4087" i="2"/>
  <c r="J4087" i="2"/>
  <c r="I4087" i="2"/>
  <c r="A4087" i="2"/>
  <c r="K4086" i="2"/>
  <c r="J4086" i="2"/>
  <c r="I4086" i="2"/>
  <c r="A4086" i="2"/>
  <c r="K4085" i="2"/>
  <c r="J4085" i="2"/>
  <c r="I4085" i="2"/>
  <c r="A4085" i="2"/>
  <c r="K4084" i="2"/>
  <c r="J4084" i="2"/>
  <c r="I4084" i="2"/>
  <c r="A4084" i="2"/>
  <c r="K4083" i="2"/>
  <c r="J4083" i="2"/>
  <c r="I4083" i="2"/>
  <c r="A4083" i="2"/>
  <c r="K4082" i="2"/>
  <c r="J4082" i="2"/>
  <c r="I4082" i="2"/>
  <c r="A4082" i="2"/>
  <c r="K4081" i="2"/>
  <c r="J4081" i="2"/>
  <c r="I4081" i="2"/>
  <c r="A4081" i="2"/>
  <c r="K4080" i="2"/>
  <c r="J4080" i="2"/>
  <c r="I4080" i="2"/>
  <c r="A4080" i="2"/>
  <c r="K4079" i="2"/>
  <c r="J4079" i="2"/>
  <c r="I4079" i="2"/>
  <c r="A4079" i="2"/>
  <c r="K4078" i="2"/>
  <c r="J4078" i="2"/>
  <c r="I4078" i="2"/>
  <c r="A4078" i="2"/>
  <c r="K4077" i="2"/>
  <c r="J4077" i="2"/>
  <c r="I4077" i="2"/>
  <c r="A4077" i="2"/>
  <c r="K4076" i="2"/>
  <c r="J4076" i="2"/>
  <c r="I4076" i="2"/>
  <c r="A4076" i="2"/>
  <c r="K4075" i="2"/>
  <c r="J4075" i="2"/>
  <c r="I4075" i="2"/>
  <c r="A4075" i="2"/>
  <c r="K4074" i="2"/>
  <c r="J4074" i="2"/>
  <c r="I4074" i="2"/>
  <c r="A4074" i="2"/>
  <c r="K4073" i="2"/>
  <c r="J4073" i="2"/>
  <c r="I4073" i="2"/>
  <c r="A4073" i="2"/>
  <c r="K4072" i="2"/>
  <c r="J4072" i="2"/>
  <c r="I4072" i="2"/>
  <c r="A4072" i="2"/>
  <c r="K4071" i="2"/>
  <c r="J4071" i="2"/>
  <c r="I4071" i="2"/>
  <c r="A4071" i="2"/>
  <c r="K4070" i="2"/>
  <c r="J4070" i="2"/>
  <c r="I4070" i="2"/>
  <c r="A4070" i="2"/>
  <c r="K4069" i="2"/>
  <c r="J4069" i="2"/>
  <c r="I4069" i="2"/>
  <c r="A4069" i="2"/>
  <c r="K4068" i="2"/>
  <c r="J4068" i="2"/>
  <c r="I4068" i="2"/>
  <c r="A4068" i="2"/>
  <c r="K4067" i="2"/>
  <c r="J4067" i="2"/>
  <c r="I4067" i="2"/>
  <c r="A4067" i="2"/>
  <c r="K4066" i="2"/>
  <c r="J4066" i="2"/>
  <c r="I4066" i="2"/>
  <c r="A4066" i="2"/>
  <c r="K4065" i="2"/>
  <c r="J4065" i="2"/>
  <c r="I4065" i="2"/>
  <c r="A4065" i="2"/>
  <c r="K4064" i="2"/>
  <c r="J4064" i="2"/>
  <c r="I4064" i="2"/>
  <c r="A4064" i="2"/>
  <c r="K4063" i="2"/>
  <c r="J4063" i="2"/>
  <c r="I4063" i="2"/>
  <c r="A4063" i="2"/>
  <c r="K4062" i="2"/>
  <c r="J4062" i="2"/>
  <c r="I4062" i="2"/>
  <c r="A4062" i="2"/>
  <c r="K4061" i="2"/>
  <c r="J4061" i="2"/>
  <c r="I4061" i="2"/>
  <c r="A4061" i="2"/>
  <c r="K4060" i="2"/>
  <c r="J4060" i="2"/>
  <c r="I4060" i="2"/>
  <c r="A4060" i="2"/>
  <c r="K4059" i="2"/>
  <c r="J4059" i="2"/>
  <c r="I4059" i="2"/>
  <c r="A4059" i="2"/>
  <c r="K4058" i="2"/>
  <c r="J4058" i="2"/>
  <c r="I4058" i="2"/>
  <c r="A4058" i="2"/>
  <c r="K4057" i="2"/>
  <c r="J4057" i="2"/>
  <c r="I4057" i="2"/>
  <c r="A4057" i="2"/>
  <c r="K4056" i="2"/>
  <c r="J4056" i="2"/>
  <c r="I4056" i="2"/>
  <c r="A4056" i="2"/>
  <c r="K4055" i="2"/>
  <c r="J4055" i="2"/>
  <c r="I4055" i="2"/>
  <c r="A4055" i="2"/>
  <c r="K4054" i="2"/>
  <c r="J4054" i="2"/>
  <c r="I4054" i="2"/>
  <c r="A4054" i="2"/>
  <c r="K4053" i="2"/>
  <c r="J4053" i="2"/>
  <c r="I4053" i="2"/>
  <c r="A4053" i="2"/>
  <c r="K4052" i="2"/>
  <c r="J4052" i="2"/>
  <c r="I4052" i="2"/>
  <c r="A4052" i="2"/>
  <c r="K4051" i="2"/>
  <c r="J4051" i="2"/>
  <c r="I4051" i="2"/>
  <c r="A4051" i="2"/>
  <c r="K4050" i="2"/>
  <c r="J4050" i="2"/>
  <c r="I4050" i="2"/>
  <c r="A4050" i="2"/>
  <c r="K4049" i="2"/>
  <c r="J4049" i="2"/>
  <c r="I4049" i="2"/>
  <c r="A4049" i="2"/>
  <c r="K4048" i="2"/>
  <c r="J4048" i="2"/>
  <c r="I4048" i="2"/>
  <c r="A4048" i="2"/>
  <c r="K4047" i="2"/>
  <c r="J4047" i="2"/>
  <c r="I4047" i="2"/>
  <c r="A4047" i="2"/>
  <c r="K4046" i="2"/>
  <c r="J4046" i="2"/>
  <c r="I4046" i="2"/>
  <c r="A4046" i="2"/>
  <c r="K4045" i="2"/>
  <c r="J4045" i="2"/>
  <c r="I4045" i="2"/>
  <c r="A4045" i="2"/>
  <c r="K4044" i="2"/>
  <c r="J4044" i="2"/>
  <c r="I4044" i="2"/>
  <c r="A4044" i="2"/>
  <c r="K4043" i="2"/>
  <c r="J4043" i="2"/>
  <c r="I4043" i="2"/>
  <c r="A4043" i="2"/>
  <c r="K4042" i="2"/>
  <c r="J4042" i="2"/>
  <c r="I4042" i="2"/>
  <c r="A4042" i="2"/>
  <c r="K4041" i="2"/>
  <c r="J4041" i="2"/>
  <c r="I4041" i="2"/>
  <c r="A4041" i="2"/>
  <c r="K4040" i="2"/>
  <c r="J4040" i="2"/>
  <c r="I4040" i="2"/>
  <c r="A4040" i="2"/>
  <c r="K4039" i="2"/>
  <c r="J4039" i="2"/>
  <c r="I4039" i="2"/>
  <c r="A4039" i="2"/>
  <c r="K4038" i="2"/>
  <c r="J4038" i="2"/>
  <c r="I4038" i="2"/>
  <c r="A4038" i="2"/>
  <c r="K4037" i="2"/>
  <c r="J4037" i="2"/>
  <c r="I4037" i="2"/>
  <c r="A4037" i="2"/>
  <c r="K4036" i="2"/>
  <c r="J4036" i="2"/>
  <c r="I4036" i="2"/>
  <c r="A4036" i="2"/>
  <c r="K4035" i="2"/>
  <c r="J4035" i="2"/>
  <c r="I4035" i="2"/>
  <c r="A4035" i="2"/>
  <c r="K4034" i="2"/>
  <c r="J4034" i="2"/>
  <c r="I4034" i="2"/>
  <c r="A4034" i="2"/>
  <c r="K4033" i="2"/>
  <c r="J4033" i="2"/>
  <c r="I4033" i="2"/>
  <c r="A4033" i="2"/>
  <c r="K4032" i="2"/>
  <c r="J4032" i="2"/>
  <c r="I4032" i="2"/>
  <c r="A4032" i="2"/>
  <c r="K4031" i="2"/>
  <c r="J4031" i="2"/>
  <c r="I4031" i="2"/>
  <c r="A4031" i="2"/>
  <c r="K4030" i="2"/>
  <c r="J4030" i="2"/>
  <c r="I4030" i="2"/>
  <c r="A4030" i="2"/>
  <c r="K4029" i="2"/>
  <c r="J4029" i="2"/>
  <c r="I4029" i="2"/>
  <c r="A4029" i="2"/>
  <c r="K4028" i="2"/>
  <c r="J4028" i="2"/>
  <c r="I4028" i="2"/>
  <c r="A4028" i="2"/>
  <c r="K4027" i="2"/>
  <c r="J4027" i="2"/>
  <c r="I4027" i="2"/>
  <c r="A4027" i="2"/>
  <c r="K4026" i="2"/>
  <c r="J4026" i="2"/>
  <c r="I4026" i="2"/>
  <c r="A4026" i="2"/>
  <c r="K4025" i="2"/>
  <c r="J4025" i="2"/>
  <c r="I4025" i="2"/>
  <c r="A4025" i="2"/>
  <c r="K4024" i="2"/>
  <c r="J4024" i="2"/>
  <c r="I4024" i="2"/>
  <c r="A4024" i="2"/>
  <c r="K4023" i="2"/>
  <c r="J4023" i="2"/>
  <c r="I4023" i="2"/>
  <c r="A4023" i="2"/>
  <c r="K4022" i="2"/>
  <c r="J4022" i="2"/>
  <c r="I4022" i="2"/>
  <c r="A4022" i="2"/>
  <c r="K4021" i="2"/>
  <c r="J4021" i="2"/>
  <c r="I4021" i="2"/>
  <c r="A4021" i="2"/>
  <c r="K4020" i="2"/>
  <c r="J4020" i="2"/>
  <c r="I4020" i="2"/>
  <c r="A4020" i="2"/>
  <c r="K4019" i="2"/>
  <c r="J4019" i="2"/>
  <c r="I4019" i="2"/>
  <c r="A4019" i="2"/>
  <c r="K4018" i="2"/>
  <c r="J4018" i="2"/>
  <c r="I4018" i="2"/>
  <c r="A4018" i="2"/>
  <c r="K4017" i="2"/>
  <c r="J4017" i="2"/>
  <c r="I4017" i="2"/>
  <c r="A4017" i="2"/>
  <c r="K4016" i="2"/>
  <c r="J4016" i="2"/>
  <c r="I4016" i="2"/>
  <c r="A4016" i="2"/>
  <c r="K4015" i="2"/>
  <c r="J4015" i="2"/>
  <c r="I4015" i="2"/>
  <c r="A4015" i="2"/>
  <c r="K4014" i="2"/>
  <c r="J4014" i="2"/>
  <c r="I4014" i="2"/>
  <c r="A4014" i="2"/>
  <c r="K4013" i="2"/>
  <c r="J4013" i="2"/>
  <c r="I4013" i="2"/>
  <c r="A4013" i="2"/>
  <c r="K4012" i="2"/>
  <c r="J4012" i="2"/>
  <c r="I4012" i="2"/>
  <c r="A4012" i="2"/>
  <c r="K4011" i="2"/>
  <c r="J4011" i="2"/>
  <c r="I4011" i="2"/>
  <c r="A4011" i="2"/>
  <c r="K4010" i="2"/>
  <c r="J4010" i="2"/>
  <c r="I4010" i="2"/>
  <c r="A4010" i="2"/>
  <c r="K4009" i="2"/>
  <c r="J4009" i="2"/>
  <c r="I4009" i="2"/>
  <c r="A4009" i="2"/>
  <c r="K4008" i="2"/>
  <c r="J4008" i="2"/>
  <c r="I4008" i="2"/>
  <c r="A4008" i="2"/>
  <c r="K4007" i="2"/>
  <c r="J4007" i="2"/>
  <c r="I4007" i="2"/>
  <c r="A4007" i="2"/>
  <c r="K4006" i="2"/>
  <c r="J4006" i="2"/>
  <c r="I4006" i="2"/>
  <c r="A4006" i="2"/>
  <c r="K4005" i="2"/>
  <c r="J4005" i="2"/>
  <c r="I4005" i="2"/>
  <c r="A4005" i="2"/>
  <c r="K4004" i="2"/>
  <c r="J4004" i="2"/>
  <c r="I4004" i="2"/>
  <c r="A4004" i="2"/>
  <c r="K4003" i="2"/>
  <c r="J4003" i="2"/>
  <c r="I4003" i="2"/>
  <c r="A4003" i="2"/>
  <c r="K4002" i="2"/>
  <c r="J4002" i="2"/>
  <c r="I4002" i="2"/>
  <c r="A4002" i="2"/>
  <c r="K4001" i="2"/>
  <c r="J4001" i="2"/>
  <c r="I4001" i="2"/>
  <c r="A4001" i="2"/>
  <c r="K4000" i="2"/>
  <c r="J4000" i="2"/>
  <c r="I4000" i="2"/>
  <c r="A4000" i="2"/>
  <c r="K3999" i="2"/>
  <c r="J3999" i="2"/>
  <c r="I3999" i="2"/>
  <c r="A3999" i="2"/>
  <c r="K3998" i="2"/>
  <c r="J3998" i="2"/>
  <c r="I3998" i="2"/>
  <c r="A3998" i="2"/>
  <c r="K3997" i="2"/>
  <c r="J3997" i="2"/>
  <c r="I3997" i="2"/>
  <c r="A3997" i="2"/>
  <c r="K3996" i="2"/>
  <c r="J3996" i="2"/>
  <c r="I3996" i="2"/>
  <c r="A3996" i="2"/>
  <c r="K3995" i="2"/>
  <c r="J3995" i="2"/>
  <c r="I3995" i="2"/>
  <c r="A3995" i="2"/>
  <c r="K3994" i="2"/>
  <c r="J3994" i="2"/>
  <c r="I3994" i="2"/>
  <c r="A3994" i="2"/>
  <c r="K3993" i="2"/>
  <c r="J3993" i="2"/>
  <c r="I3993" i="2"/>
  <c r="A3993" i="2"/>
  <c r="K3992" i="2"/>
  <c r="J3992" i="2"/>
  <c r="I3992" i="2"/>
  <c r="A3992" i="2"/>
  <c r="K3991" i="2"/>
  <c r="J3991" i="2"/>
  <c r="I3991" i="2"/>
  <c r="A3991" i="2"/>
  <c r="K3990" i="2"/>
  <c r="J3990" i="2"/>
  <c r="I3990" i="2"/>
  <c r="A3990" i="2"/>
  <c r="K3989" i="2"/>
  <c r="J3989" i="2"/>
  <c r="I3989" i="2"/>
  <c r="A3989" i="2"/>
  <c r="K3988" i="2"/>
  <c r="J3988" i="2"/>
  <c r="I3988" i="2"/>
  <c r="A3988" i="2"/>
  <c r="K3987" i="2"/>
  <c r="J3987" i="2"/>
  <c r="I3987" i="2"/>
  <c r="A3987" i="2"/>
  <c r="K3986" i="2"/>
  <c r="J3986" i="2"/>
  <c r="I3986" i="2"/>
  <c r="A3986" i="2"/>
  <c r="K3985" i="2"/>
  <c r="J3985" i="2"/>
  <c r="I3985" i="2"/>
  <c r="A3985" i="2"/>
  <c r="K3984" i="2"/>
  <c r="J3984" i="2"/>
  <c r="I3984" i="2"/>
  <c r="A3984" i="2"/>
  <c r="K3983" i="2"/>
  <c r="J3983" i="2"/>
  <c r="I3983" i="2"/>
  <c r="A3983" i="2"/>
  <c r="K3982" i="2"/>
  <c r="J3982" i="2"/>
  <c r="I3982" i="2"/>
  <c r="A3982" i="2"/>
  <c r="K3981" i="2"/>
  <c r="J3981" i="2"/>
  <c r="I3981" i="2"/>
  <c r="A3981" i="2"/>
  <c r="K3980" i="2"/>
  <c r="J3980" i="2"/>
  <c r="I3980" i="2"/>
  <c r="A3980" i="2"/>
  <c r="K3979" i="2"/>
  <c r="J3979" i="2"/>
  <c r="I3979" i="2"/>
  <c r="A3979" i="2"/>
  <c r="K3978" i="2"/>
  <c r="J3978" i="2"/>
  <c r="I3978" i="2"/>
  <c r="A3978" i="2"/>
  <c r="K3977" i="2"/>
  <c r="J3977" i="2"/>
  <c r="I3977" i="2"/>
  <c r="A3977" i="2"/>
  <c r="K3976" i="2"/>
  <c r="J3976" i="2"/>
  <c r="I3976" i="2"/>
  <c r="A3976" i="2"/>
  <c r="K3975" i="2"/>
  <c r="J3975" i="2"/>
  <c r="I3975" i="2"/>
  <c r="A3975" i="2"/>
  <c r="K3974" i="2"/>
  <c r="J3974" i="2"/>
  <c r="I3974" i="2"/>
  <c r="A3974" i="2"/>
  <c r="K3973" i="2"/>
  <c r="J3973" i="2"/>
  <c r="I3973" i="2"/>
  <c r="A3973" i="2"/>
  <c r="K3972" i="2"/>
  <c r="J3972" i="2"/>
  <c r="I3972" i="2"/>
  <c r="A3972" i="2"/>
  <c r="K3971" i="2"/>
  <c r="J3971" i="2"/>
  <c r="I3971" i="2"/>
  <c r="A3971" i="2"/>
  <c r="K3970" i="2"/>
  <c r="J3970" i="2"/>
  <c r="I3970" i="2"/>
  <c r="A3970" i="2"/>
  <c r="K3969" i="2"/>
  <c r="J3969" i="2"/>
  <c r="I3969" i="2"/>
  <c r="A3969" i="2"/>
  <c r="K3968" i="2"/>
  <c r="J3968" i="2"/>
  <c r="I3968" i="2"/>
  <c r="A3968" i="2"/>
  <c r="K3967" i="2"/>
  <c r="J3967" i="2"/>
  <c r="I3967" i="2"/>
  <c r="A3967" i="2"/>
  <c r="K3966" i="2"/>
  <c r="J3966" i="2"/>
  <c r="I3966" i="2"/>
  <c r="A3966" i="2"/>
  <c r="K3965" i="2"/>
  <c r="J3965" i="2"/>
  <c r="I3965" i="2"/>
  <c r="A3965" i="2"/>
  <c r="K3964" i="2"/>
  <c r="J3964" i="2"/>
  <c r="I3964" i="2"/>
  <c r="A3964" i="2"/>
  <c r="K3963" i="2"/>
  <c r="J3963" i="2"/>
  <c r="I3963" i="2"/>
  <c r="A3963" i="2"/>
  <c r="K3962" i="2"/>
  <c r="J3962" i="2"/>
  <c r="I3962" i="2"/>
  <c r="A3962" i="2"/>
  <c r="K3961" i="2"/>
  <c r="J3961" i="2"/>
  <c r="I3961" i="2"/>
  <c r="A3961" i="2"/>
  <c r="K3960" i="2"/>
  <c r="J3960" i="2"/>
  <c r="I3960" i="2"/>
  <c r="A3960" i="2"/>
  <c r="K3959" i="2"/>
  <c r="J3959" i="2"/>
  <c r="I3959" i="2"/>
  <c r="A3959" i="2"/>
  <c r="K3958" i="2"/>
  <c r="J3958" i="2"/>
  <c r="I3958" i="2"/>
  <c r="A3958" i="2"/>
  <c r="K3957" i="2"/>
  <c r="J3957" i="2"/>
  <c r="I3957" i="2"/>
  <c r="A3957" i="2"/>
  <c r="K3956" i="2"/>
  <c r="J3956" i="2"/>
  <c r="I3956" i="2"/>
  <c r="A3956" i="2"/>
  <c r="K3955" i="2"/>
  <c r="J3955" i="2"/>
  <c r="I3955" i="2"/>
  <c r="A3955" i="2"/>
  <c r="K3954" i="2"/>
  <c r="J3954" i="2"/>
  <c r="I3954" i="2"/>
  <c r="A3954" i="2"/>
  <c r="K3953" i="2"/>
  <c r="J3953" i="2"/>
  <c r="I3953" i="2"/>
  <c r="A3953" i="2"/>
  <c r="K3952" i="2"/>
  <c r="J3952" i="2"/>
  <c r="I3952" i="2"/>
  <c r="A3952" i="2"/>
  <c r="K3951" i="2"/>
  <c r="J3951" i="2"/>
  <c r="I3951" i="2"/>
  <c r="A3951" i="2"/>
  <c r="K3950" i="2"/>
  <c r="J3950" i="2"/>
  <c r="I3950" i="2"/>
  <c r="A3950" i="2"/>
  <c r="K3949" i="2"/>
  <c r="J3949" i="2"/>
  <c r="I3949" i="2"/>
  <c r="A3949" i="2"/>
  <c r="K3948" i="2"/>
  <c r="J3948" i="2"/>
  <c r="I3948" i="2"/>
  <c r="A3948" i="2"/>
  <c r="K3947" i="2"/>
  <c r="J3947" i="2"/>
  <c r="I3947" i="2"/>
  <c r="A3947" i="2"/>
  <c r="K3946" i="2"/>
  <c r="J3946" i="2"/>
  <c r="I3946" i="2"/>
  <c r="A3946" i="2"/>
  <c r="K3945" i="2"/>
  <c r="J3945" i="2"/>
  <c r="I3945" i="2"/>
  <c r="A3945" i="2"/>
  <c r="K3944" i="2"/>
  <c r="J3944" i="2"/>
  <c r="I3944" i="2"/>
  <c r="A3944" i="2"/>
  <c r="K3943" i="2"/>
  <c r="J3943" i="2"/>
  <c r="I3943" i="2"/>
  <c r="A3943" i="2"/>
  <c r="K3942" i="2"/>
  <c r="J3942" i="2"/>
  <c r="I3942" i="2"/>
  <c r="A3942" i="2"/>
  <c r="K3941" i="2"/>
  <c r="J3941" i="2"/>
  <c r="I3941" i="2"/>
  <c r="A3941" i="2"/>
  <c r="K3940" i="2"/>
  <c r="J3940" i="2"/>
  <c r="I3940" i="2"/>
  <c r="A3940" i="2"/>
  <c r="K3939" i="2"/>
  <c r="J3939" i="2"/>
  <c r="I3939" i="2"/>
  <c r="A3939" i="2"/>
  <c r="K3938" i="2"/>
  <c r="J3938" i="2"/>
  <c r="I3938" i="2"/>
  <c r="A3938" i="2"/>
  <c r="K3937" i="2"/>
  <c r="J3937" i="2"/>
  <c r="I3937" i="2"/>
  <c r="A3937" i="2"/>
  <c r="K3936" i="2"/>
  <c r="J3936" i="2"/>
  <c r="I3936" i="2"/>
  <c r="A3936" i="2"/>
  <c r="K3935" i="2"/>
  <c r="J3935" i="2"/>
  <c r="I3935" i="2"/>
  <c r="A3935" i="2"/>
  <c r="K3934" i="2"/>
  <c r="J3934" i="2"/>
  <c r="I3934" i="2"/>
  <c r="A3934" i="2"/>
  <c r="K3933" i="2"/>
  <c r="J3933" i="2"/>
  <c r="I3933" i="2"/>
  <c r="A3933" i="2"/>
  <c r="K3932" i="2"/>
  <c r="J3932" i="2"/>
  <c r="I3932" i="2"/>
  <c r="A3932" i="2"/>
  <c r="K3931" i="2"/>
  <c r="J3931" i="2"/>
  <c r="I3931" i="2"/>
  <c r="A3931" i="2"/>
  <c r="K3930" i="2"/>
  <c r="J3930" i="2"/>
  <c r="I3930" i="2"/>
  <c r="A3930" i="2"/>
  <c r="K3929" i="2"/>
  <c r="J3929" i="2"/>
  <c r="I3929" i="2"/>
  <c r="A3929" i="2"/>
  <c r="K3928" i="2"/>
  <c r="J3928" i="2"/>
  <c r="I3928" i="2"/>
  <c r="A3928" i="2"/>
  <c r="K3927" i="2"/>
  <c r="J3927" i="2"/>
  <c r="I3927" i="2"/>
  <c r="A3927" i="2"/>
  <c r="K3926" i="2"/>
  <c r="J3926" i="2"/>
  <c r="I3926" i="2"/>
  <c r="A3926" i="2"/>
  <c r="K3925" i="2"/>
  <c r="J3925" i="2"/>
  <c r="I3925" i="2"/>
  <c r="A3925" i="2"/>
  <c r="K3924" i="2"/>
  <c r="J3924" i="2"/>
  <c r="I3924" i="2"/>
  <c r="A3924" i="2"/>
  <c r="K3923" i="2"/>
  <c r="J3923" i="2"/>
  <c r="I3923" i="2"/>
  <c r="A3923" i="2"/>
  <c r="K3922" i="2"/>
  <c r="J3922" i="2"/>
  <c r="I3922" i="2"/>
  <c r="A3922" i="2"/>
  <c r="K3921" i="2"/>
  <c r="J3921" i="2"/>
  <c r="I3921" i="2"/>
  <c r="A3921" i="2"/>
  <c r="K3920" i="2"/>
  <c r="J3920" i="2"/>
  <c r="I3920" i="2"/>
  <c r="A3920" i="2"/>
  <c r="K3919" i="2"/>
  <c r="J3919" i="2"/>
  <c r="I3919" i="2"/>
  <c r="A3919" i="2"/>
  <c r="K3918" i="2"/>
  <c r="J3918" i="2"/>
  <c r="I3918" i="2"/>
  <c r="A3918" i="2"/>
  <c r="K3917" i="2"/>
  <c r="J3917" i="2"/>
  <c r="I3917" i="2"/>
  <c r="A3917" i="2"/>
  <c r="K3916" i="2"/>
  <c r="J3916" i="2"/>
  <c r="I3916" i="2"/>
  <c r="A3916" i="2"/>
  <c r="K3915" i="2"/>
  <c r="J3915" i="2"/>
  <c r="I3915" i="2"/>
  <c r="A3915" i="2"/>
  <c r="K3914" i="2"/>
  <c r="J3914" i="2"/>
  <c r="I3914" i="2"/>
  <c r="A3914" i="2"/>
  <c r="K3913" i="2"/>
  <c r="J3913" i="2"/>
  <c r="I3913" i="2"/>
  <c r="A3913" i="2"/>
  <c r="K3912" i="2"/>
  <c r="J3912" i="2"/>
  <c r="I3912" i="2"/>
  <c r="A3912" i="2"/>
  <c r="K3911" i="2"/>
  <c r="J3911" i="2"/>
  <c r="I3911" i="2"/>
  <c r="A3911" i="2"/>
  <c r="K3910" i="2"/>
  <c r="J3910" i="2"/>
  <c r="I3910" i="2"/>
  <c r="A3910" i="2"/>
  <c r="K3909" i="2"/>
  <c r="J3909" i="2"/>
  <c r="I3909" i="2"/>
  <c r="A3909" i="2"/>
  <c r="K3908" i="2"/>
  <c r="J3908" i="2"/>
  <c r="I3908" i="2"/>
  <c r="A3908" i="2"/>
  <c r="K3907" i="2"/>
  <c r="J3907" i="2"/>
  <c r="I3907" i="2"/>
  <c r="A3907" i="2"/>
  <c r="K3906" i="2"/>
  <c r="J3906" i="2"/>
  <c r="I3906" i="2"/>
  <c r="A3906" i="2"/>
  <c r="K3905" i="2"/>
  <c r="J3905" i="2"/>
  <c r="I3905" i="2"/>
  <c r="A3905" i="2"/>
  <c r="K3904" i="2"/>
  <c r="J3904" i="2"/>
  <c r="I3904" i="2"/>
  <c r="A3904" i="2"/>
  <c r="K3903" i="2"/>
  <c r="J3903" i="2"/>
  <c r="I3903" i="2"/>
  <c r="A3903" i="2"/>
  <c r="K3902" i="2"/>
  <c r="J3902" i="2"/>
  <c r="I3902" i="2"/>
  <c r="A3902" i="2"/>
  <c r="K3901" i="2"/>
  <c r="J3901" i="2"/>
  <c r="I3901" i="2"/>
  <c r="A3901" i="2"/>
  <c r="K3900" i="2"/>
  <c r="J3900" i="2"/>
  <c r="I3900" i="2"/>
  <c r="A3900" i="2"/>
  <c r="K3899" i="2"/>
  <c r="J3899" i="2"/>
  <c r="I3899" i="2"/>
  <c r="A3899" i="2"/>
  <c r="K3898" i="2"/>
  <c r="J3898" i="2"/>
  <c r="I3898" i="2"/>
  <c r="A3898" i="2"/>
  <c r="K3897" i="2"/>
  <c r="J3897" i="2"/>
  <c r="I3897" i="2"/>
  <c r="A3897" i="2"/>
  <c r="K3896" i="2"/>
  <c r="J3896" i="2"/>
  <c r="I3896" i="2"/>
  <c r="A3896" i="2"/>
  <c r="K3895" i="2"/>
  <c r="J3895" i="2"/>
  <c r="I3895" i="2"/>
  <c r="A3895" i="2"/>
  <c r="K3894" i="2"/>
  <c r="J3894" i="2"/>
  <c r="I3894" i="2"/>
  <c r="A3894" i="2"/>
  <c r="K3893" i="2"/>
  <c r="J3893" i="2"/>
  <c r="I3893" i="2"/>
  <c r="A3893" i="2"/>
  <c r="K3892" i="2"/>
  <c r="J3892" i="2"/>
  <c r="I3892" i="2"/>
  <c r="A3892" i="2"/>
  <c r="K3891" i="2"/>
  <c r="J3891" i="2"/>
  <c r="I3891" i="2"/>
  <c r="A3891" i="2"/>
  <c r="K3890" i="2"/>
  <c r="J3890" i="2"/>
  <c r="I3890" i="2"/>
  <c r="A3890" i="2"/>
  <c r="K3889" i="2"/>
  <c r="J3889" i="2"/>
  <c r="I3889" i="2"/>
  <c r="A3889" i="2"/>
  <c r="K3888" i="2"/>
  <c r="J3888" i="2"/>
  <c r="I3888" i="2"/>
  <c r="A3888" i="2"/>
  <c r="K3887" i="2"/>
  <c r="J3887" i="2"/>
  <c r="I3887" i="2"/>
  <c r="A3887" i="2"/>
  <c r="K3886" i="2"/>
  <c r="J3886" i="2"/>
  <c r="I3886" i="2"/>
  <c r="A3886" i="2"/>
  <c r="K3885" i="2"/>
  <c r="J3885" i="2"/>
  <c r="I3885" i="2"/>
  <c r="A3885" i="2"/>
  <c r="K3884" i="2"/>
  <c r="J3884" i="2"/>
  <c r="I3884" i="2"/>
  <c r="A3884" i="2"/>
  <c r="K3883" i="2"/>
  <c r="J3883" i="2"/>
  <c r="I3883" i="2"/>
  <c r="A3883" i="2"/>
  <c r="K3882" i="2"/>
  <c r="J3882" i="2"/>
  <c r="I3882" i="2"/>
  <c r="A3882" i="2"/>
  <c r="K3881" i="2"/>
  <c r="J3881" i="2"/>
  <c r="I3881" i="2"/>
  <c r="A3881" i="2"/>
  <c r="K3880" i="2"/>
  <c r="J3880" i="2"/>
  <c r="I3880" i="2"/>
  <c r="A3880" i="2"/>
  <c r="K3879" i="2"/>
  <c r="J3879" i="2"/>
  <c r="I3879" i="2"/>
  <c r="A3879" i="2"/>
  <c r="K3878" i="2"/>
  <c r="J3878" i="2"/>
  <c r="I3878" i="2"/>
  <c r="A3878" i="2"/>
  <c r="K3877" i="2"/>
  <c r="J3877" i="2"/>
  <c r="I3877" i="2"/>
  <c r="A3877" i="2"/>
  <c r="K3876" i="2"/>
  <c r="J3876" i="2"/>
  <c r="I3876" i="2"/>
  <c r="A3876" i="2"/>
  <c r="K3875" i="2"/>
  <c r="J3875" i="2"/>
  <c r="I3875" i="2"/>
  <c r="A3875" i="2"/>
  <c r="K3874" i="2"/>
  <c r="J3874" i="2"/>
  <c r="I3874" i="2"/>
  <c r="A3874" i="2"/>
  <c r="K3873" i="2"/>
  <c r="J3873" i="2"/>
  <c r="I3873" i="2"/>
  <c r="A3873" i="2"/>
  <c r="K3872" i="2"/>
  <c r="J3872" i="2"/>
  <c r="I3872" i="2"/>
  <c r="A3872" i="2"/>
  <c r="K3871" i="2"/>
  <c r="J3871" i="2"/>
  <c r="I3871" i="2"/>
  <c r="A3871" i="2"/>
  <c r="K3870" i="2"/>
  <c r="J3870" i="2"/>
  <c r="I3870" i="2"/>
  <c r="A3870" i="2"/>
  <c r="K3869" i="2"/>
  <c r="J3869" i="2"/>
  <c r="I3869" i="2"/>
  <c r="A3869" i="2"/>
  <c r="K3868" i="2"/>
  <c r="J3868" i="2"/>
  <c r="I3868" i="2"/>
  <c r="A3868" i="2"/>
  <c r="K3867" i="2"/>
  <c r="J3867" i="2"/>
  <c r="I3867" i="2"/>
  <c r="A3867" i="2"/>
  <c r="K3866" i="2"/>
  <c r="J3866" i="2"/>
  <c r="I3866" i="2"/>
  <c r="A3866" i="2"/>
  <c r="K3865" i="2"/>
  <c r="J3865" i="2"/>
  <c r="I3865" i="2"/>
  <c r="A3865" i="2"/>
  <c r="K3864" i="2"/>
  <c r="J3864" i="2"/>
  <c r="I3864" i="2"/>
  <c r="A3864" i="2"/>
  <c r="K3863" i="2"/>
  <c r="J3863" i="2"/>
  <c r="I3863" i="2"/>
  <c r="A3863" i="2"/>
  <c r="K3862" i="2"/>
  <c r="J3862" i="2"/>
  <c r="I3862" i="2"/>
  <c r="A3862" i="2"/>
  <c r="K3861" i="2"/>
  <c r="J3861" i="2"/>
  <c r="I3861" i="2"/>
  <c r="A3861" i="2"/>
  <c r="K3860" i="2"/>
  <c r="J3860" i="2"/>
  <c r="I3860" i="2"/>
  <c r="A3860" i="2"/>
  <c r="K3859" i="2"/>
  <c r="J3859" i="2"/>
  <c r="I3859" i="2"/>
  <c r="A3859" i="2"/>
  <c r="K3858" i="2"/>
  <c r="J3858" i="2"/>
  <c r="I3858" i="2"/>
  <c r="A3858" i="2"/>
  <c r="K3857" i="2"/>
  <c r="J3857" i="2"/>
  <c r="I3857" i="2"/>
  <c r="A3857" i="2"/>
  <c r="K3856" i="2"/>
  <c r="J3856" i="2"/>
  <c r="I3856" i="2"/>
  <c r="A3856" i="2"/>
  <c r="K3855" i="2"/>
  <c r="J3855" i="2"/>
  <c r="I3855" i="2"/>
  <c r="A3855" i="2"/>
  <c r="K3854" i="2"/>
  <c r="J3854" i="2"/>
  <c r="I3854" i="2"/>
  <c r="A3854" i="2"/>
  <c r="K3853" i="2"/>
  <c r="J3853" i="2"/>
  <c r="I3853" i="2"/>
  <c r="A3853" i="2"/>
  <c r="K3852" i="2"/>
  <c r="J3852" i="2"/>
  <c r="I3852" i="2"/>
  <c r="A3852" i="2"/>
  <c r="K3851" i="2"/>
  <c r="J3851" i="2"/>
  <c r="I3851" i="2"/>
  <c r="A3851" i="2"/>
  <c r="K3850" i="2"/>
  <c r="J3850" i="2"/>
  <c r="I3850" i="2"/>
  <c r="A3850" i="2"/>
  <c r="K3849" i="2"/>
  <c r="J3849" i="2"/>
  <c r="I3849" i="2"/>
  <c r="A3849" i="2"/>
  <c r="K3848" i="2"/>
  <c r="J3848" i="2"/>
  <c r="I3848" i="2"/>
  <c r="A3848" i="2"/>
  <c r="K3847" i="2"/>
  <c r="J3847" i="2"/>
  <c r="I3847" i="2"/>
  <c r="A3847" i="2"/>
  <c r="K3846" i="2"/>
  <c r="J3846" i="2"/>
  <c r="I3846" i="2"/>
  <c r="A3846" i="2"/>
  <c r="K3845" i="2"/>
  <c r="J3845" i="2"/>
  <c r="I3845" i="2"/>
  <c r="A3845" i="2"/>
  <c r="K3844" i="2"/>
  <c r="J3844" i="2"/>
  <c r="I3844" i="2"/>
  <c r="A3844" i="2"/>
  <c r="K3843" i="2"/>
  <c r="J3843" i="2"/>
  <c r="I3843" i="2"/>
  <c r="A3843" i="2"/>
  <c r="K3842" i="2"/>
  <c r="J3842" i="2"/>
  <c r="I3842" i="2"/>
  <c r="A3842" i="2"/>
  <c r="K3841" i="2"/>
  <c r="J3841" i="2"/>
  <c r="I3841" i="2"/>
  <c r="A3841" i="2"/>
  <c r="K3840" i="2"/>
  <c r="J3840" i="2"/>
  <c r="I3840" i="2"/>
  <c r="A3840" i="2"/>
  <c r="K3839" i="2"/>
  <c r="J3839" i="2"/>
  <c r="I3839" i="2"/>
  <c r="A3839" i="2"/>
  <c r="K3838" i="2"/>
  <c r="J3838" i="2"/>
  <c r="I3838" i="2"/>
  <c r="A3838" i="2"/>
  <c r="K3837" i="2"/>
  <c r="J3837" i="2"/>
  <c r="I3837" i="2"/>
  <c r="A3837" i="2"/>
  <c r="K3836" i="2"/>
  <c r="J3836" i="2"/>
  <c r="I3836" i="2"/>
  <c r="A3836" i="2"/>
  <c r="K3835" i="2"/>
  <c r="J3835" i="2"/>
  <c r="I3835" i="2"/>
  <c r="A3835" i="2"/>
  <c r="K3834" i="2"/>
  <c r="J3834" i="2"/>
  <c r="I3834" i="2"/>
  <c r="A3834" i="2"/>
  <c r="K3833" i="2"/>
  <c r="J3833" i="2"/>
  <c r="I3833" i="2"/>
  <c r="A3833" i="2"/>
  <c r="K3832" i="2"/>
  <c r="J3832" i="2"/>
  <c r="I3832" i="2"/>
  <c r="A3832" i="2"/>
  <c r="K3831" i="2"/>
  <c r="J3831" i="2"/>
  <c r="I3831" i="2"/>
  <c r="A3831" i="2"/>
  <c r="K3830" i="2"/>
  <c r="J3830" i="2"/>
  <c r="I3830" i="2"/>
  <c r="A3830" i="2"/>
  <c r="K3829" i="2"/>
  <c r="J3829" i="2"/>
  <c r="I3829" i="2"/>
  <c r="A3829" i="2"/>
  <c r="K3828" i="2"/>
  <c r="J3828" i="2"/>
  <c r="I3828" i="2"/>
  <c r="A3828" i="2"/>
  <c r="K3827" i="2"/>
  <c r="J3827" i="2"/>
  <c r="I3827" i="2"/>
  <c r="A3827" i="2"/>
  <c r="K3826" i="2"/>
  <c r="J3826" i="2"/>
  <c r="I3826" i="2"/>
  <c r="A3826" i="2"/>
  <c r="K3825" i="2"/>
  <c r="J3825" i="2"/>
  <c r="I3825" i="2"/>
  <c r="A3825" i="2"/>
  <c r="K3824" i="2"/>
  <c r="J3824" i="2"/>
  <c r="I3824" i="2"/>
  <c r="A3824" i="2"/>
  <c r="K3823" i="2"/>
  <c r="J3823" i="2"/>
  <c r="I3823" i="2"/>
  <c r="A3823" i="2"/>
  <c r="K3822" i="2"/>
  <c r="J3822" i="2"/>
  <c r="I3822" i="2"/>
  <c r="A3822" i="2"/>
  <c r="K3821" i="2"/>
  <c r="J3821" i="2"/>
  <c r="I3821" i="2"/>
  <c r="A3821" i="2"/>
  <c r="K3820" i="2"/>
  <c r="J3820" i="2"/>
  <c r="I3820" i="2"/>
  <c r="A3820" i="2"/>
  <c r="K3819" i="2"/>
  <c r="J3819" i="2"/>
  <c r="I3819" i="2"/>
  <c r="A3819" i="2"/>
  <c r="K3818" i="2"/>
  <c r="J3818" i="2"/>
  <c r="I3818" i="2"/>
  <c r="A3818" i="2"/>
  <c r="K3817" i="2"/>
  <c r="J3817" i="2"/>
  <c r="I3817" i="2"/>
  <c r="A3817" i="2"/>
  <c r="K3816" i="2"/>
  <c r="J3816" i="2"/>
  <c r="I3816" i="2"/>
  <c r="A3816" i="2"/>
  <c r="K3815" i="2"/>
  <c r="J3815" i="2"/>
  <c r="I3815" i="2"/>
  <c r="A3815" i="2"/>
  <c r="K3814" i="2"/>
  <c r="J3814" i="2"/>
  <c r="I3814" i="2"/>
  <c r="A3814" i="2"/>
  <c r="K3813" i="2"/>
  <c r="J3813" i="2"/>
  <c r="I3813" i="2"/>
  <c r="A3813" i="2"/>
  <c r="K3812" i="2"/>
  <c r="J3812" i="2"/>
  <c r="I3812" i="2"/>
  <c r="A3812" i="2"/>
  <c r="K3811" i="2"/>
  <c r="J3811" i="2"/>
  <c r="I3811" i="2"/>
  <c r="A3811" i="2"/>
  <c r="K3810" i="2"/>
  <c r="J3810" i="2"/>
  <c r="I3810" i="2"/>
  <c r="A3810" i="2"/>
  <c r="K3809" i="2"/>
  <c r="J3809" i="2"/>
  <c r="I3809" i="2"/>
  <c r="A3809" i="2"/>
  <c r="K3808" i="2"/>
  <c r="J3808" i="2"/>
  <c r="I3808" i="2"/>
  <c r="A3808" i="2"/>
  <c r="K3807" i="2"/>
  <c r="J3807" i="2"/>
  <c r="I3807" i="2"/>
  <c r="A3807" i="2"/>
  <c r="K3806" i="2"/>
  <c r="J3806" i="2"/>
  <c r="I3806" i="2"/>
  <c r="A3806" i="2"/>
  <c r="K3805" i="2"/>
  <c r="J3805" i="2"/>
  <c r="I3805" i="2"/>
  <c r="A3805" i="2"/>
  <c r="K3804" i="2"/>
  <c r="J3804" i="2"/>
  <c r="I3804" i="2"/>
  <c r="A3804" i="2"/>
  <c r="K3803" i="2"/>
  <c r="J3803" i="2"/>
  <c r="I3803" i="2"/>
  <c r="A3803" i="2"/>
  <c r="K3802" i="2"/>
  <c r="J3802" i="2"/>
  <c r="I3802" i="2"/>
  <c r="A3802" i="2"/>
  <c r="K3801" i="2"/>
  <c r="J3801" i="2"/>
  <c r="I3801" i="2"/>
  <c r="A3801" i="2"/>
  <c r="K3800" i="2"/>
  <c r="J3800" i="2"/>
  <c r="I3800" i="2"/>
  <c r="A3800" i="2"/>
  <c r="K3799" i="2"/>
  <c r="J3799" i="2"/>
  <c r="I3799" i="2"/>
  <c r="A3799" i="2"/>
  <c r="K3798" i="2"/>
  <c r="J3798" i="2"/>
  <c r="I3798" i="2"/>
  <c r="A3798" i="2"/>
  <c r="K3797" i="2"/>
  <c r="J3797" i="2"/>
  <c r="I3797" i="2"/>
  <c r="A3797" i="2"/>
  <c r="K3796" i="2"/>
  <c r="J3796" i="2"/>
  <c r="I3796" i="2"/>
  <c r="A3796" i="2"/>
  <c r="K3795" i="2"/>
  <c r="J3795" i="2"/>
  <c r="I3795" i="2"/>
  <c r="A3795" i="2"/>
  <c r="K3794" i="2"/>
  <c r="J3794" i="2"/>
  <c r="I3794" i="2"/>
  <c r="A3794" i="2"/>
  <c r="K3793" i="2"/>
  <c r="J3793" i="2"/>
  <c r="I3793" i="2"/>
  <c r="A3793" i="2"/>
  <c r="K3792" i="2"/>
  <c r="J3792" i="2"/>
  <c r="I3792" i="2"/>
  <c r="A3792" i="2"/>
  <c r="K3791" i="2"/>
  <c r="J3791" i="2"/>
  <c r="I3791" i="2"/>
  <c r="A3791" i="2"/>
  <c r="K3790" i="2"/>
  <c r="J3790" i="2"/>
  <c r="I3790" i="2"/>
  <c r="A3790" i="2"/>
  <c r="K3789" i="2"/>
  <c r="J3789" i="2"/>
  <c r="I3789" i="2"/>
  <c r="A3789" i="2"/>
  <c r="K3788" i="2"/>
  <c r="J3788" i="2"/>
  <c r="I3788" i="2"/>
  <c r="A3788" i="2"/>
  <c r="K3787" i="2"/>
  <c r="J3787" i="2"/>
  <c r="I3787" i="2"/>
  <c r="A3787" i="2"/>
  <c r="K3786" i="2"/>
  <c r="J3786" i="2"/>
  <c r="I3786" i="2"/>
  <c r="A3786" i="2"/>
  <c r="K3785" i="2"/>
  <c r="J3785" i="2"/>
  <c r="I3785" i="2"/>
  <c r="A3785" i="2"/>
  <c r="K3784" i="2"/>
  <c r="J3784" i="2"/>
  <c r="I3784" i="2"/>
  <c r="A3784" i="2"/>
  <c r="K3783" i="2"/>
  <c r="J3783" i="2"/>
  <c r="I3783" i="2"/>
  <c r="A3783" i="2"/>
  <c r="K3782" i="2"/>
  <c r="J3782" i="2"/>
  <c r="I3782" i="2"/>
  <c r="A3782" i="2"/>
  <c r="K3781" i="2"/>
  <c r="J3781" i="2"/>
  <c r="I3781" i="2"/>
  <c r="A3781" i="2"/>
  <c r="K3780" i="2"/>
  <c r="J3780" i="2"/>
  <c r="I3780" i="2"/>
  <c r="A3780" i="2"/>
  <c r="K3779" i="2"/>
  <c r="J3779" i="2"/>
  <c r="I3779" i="2"/>
  <c r="A3779" i="2"/>
  <c r="K3778" i="2"/>
  <c r="J3778" i="2"/>
  <c r="I3778" i="2"/>
  <c r="A3778" i="2"/>
  <c r="K3777" i="2"/>
  <c r="J3777" i="2"/>
  <c r="I3777" i="2"/>
  <c r="A3777" i="2"/>
  <c r="K3776" i="2"/>
  <c r="J3776" i="2"/>
  <c r="I3776" i="2"/>
  <c r="A3776" i="2"/>
  <c r="K3775" i="2"/>
  <c r="J3775" i="2"/>
  <c r="I3775" i="2"/>
  <c r="A3775" i="2"/>
  <c r="K3774" i="2"/>
  <c r="J3774" i="2"/>
  <c r="I3774" i="2"/>
  <c r="A3774" i="2"/>
  <c r="K3773" i="2"/>
  <c r="J3773" i="2"/>
  <c r="I3773" i="2"/>
  <c r="A3773" i="2"/>
  <c r="K3772" i="2"/>
  <c r="J3772" i="2"/>
  <c r="I3772" i="2"/>
  <c r="A3772" i="2"/>
  <c r="K3771" i="2"/>
  <c r="J3771" i="2"/>
  <c r="I3771" i="2"/>
  <c r="A3771" i="2"/>
  <c r="K3770" i="2"/>
  <c r="J3770" i="2"/>
  <c r="I3770" i="2"/>
  <c r="A3770" i="2"/>
  <c r="K3769" i="2"/>
  <c r="J3769" i="2"/>
  <c r="I3769" i="2"/>
  <c r="A3769" i="2"/>
  <c r="K3768" i="2"/>
  <c r="J3768" i="2"/>
  <c r="I3768" i="2"/>
  <c r="A3768" i="2"/>
  <c r="K3767" i="2"/>
  <c r="J3767" i="2"/>
  <c r="I3767" i="2"/>
  <c r="A3767" i="2"/>
  <c r="K3766" i="2"/>
  <c r="J3766" i="2"/>
  <c r="I3766" i="2"/>
  <c r="A3766" i="2"/>
  <c r="K3765" i="2"/>
  <c r="J3765" i="2"/>
  <c r="I3765" i="2"/>
  <c r="A3765" i="2"/>
  <c r="K3764" i="2"/>
  <c r="J3764" i="2"/>
  <c r="I3764" i="2"/>
  <c r="A3764" i="2"/>
  <c r="K3763" i="2"/>
  <c r="J3763" i="2"/>
  <c r="I3763" i="2"/>
  <c r="A3763" i="2"/>
  <c r="K3762" i="2"/>
  <c r="J3762" i="2"/>
  <c r="I3762" i="2"/>
  <c r="A3762" i="2"/>
  <c r="K3761" i="2"/>
  <c r="J3761" i="2"/>
  <c r="I3761" i="2"/>
  <c r="A3761" i="2"/>
  <c r="K3760" i="2"/>
  <c r="J3760" i="2"/>
  <c r="I3760" i="2"/>
  <c r="A3760" i="2"/>
  <c r="K3759" i="2"/>
  <c r="J3759" i="2"/>
  <c r="I3759" i="2"/>
  <c r="A3759" i="2"/>
  <c r="K3758" i="2"/>
  <c r="J3758" i="2"/>
  <c r="I3758" i="2"/>
  <c r="A3758" i="2"/>
  <c r="K3757" i="2"/>
  <c r="J3757" i="2"/>
  <c r="I3757" i="2"/>
  <c r="A3757" i="2"/>
  <c r="K3756" i="2"/>
  <c r="J3756" i="2"/>
  <c r="I3756" i="2"/>
  <c r="A3756" i="2"/>
  <c r="K3755" i="2"/>
  <c r="J3755" i="2"/>
  <c r="I3755" i="2"/>
  <c r="A3755" i="2"/>
  <c r="K3754" i="2"/>
  <c r="J3754" i="2"/>
  <c r="I3754" i="2"/>
  <c r="A3754" i="2"/>
  <c r="K3753" i="2"/>
  <c r="J3753" i="2"/>
  <c r="I3753" i="2"/>
  <c r="A3753" i="2"/>
  <c r="K3752" i="2"/>
  <c r="J3752" i="2"/>
  <c r="I3752" i="2"/>
  <c r="A3752" i="2"/>
  <c r="K3751" i="2"/>
  <c r="J3751" i="2"/>
  <c r="I3751" i="2"/>
  <c r="A3751" i="2"/>
  <c r="K3750" i="2"/>
  <c r="J3750" i="2"/>
  <c r="I3750" i="2"/>
  <c r="A3750" i="2"/>
  <c r="K3749" i="2"/>
  <c r="J3749" i="2"/>
  <c r="I3749" i="2"/>
  <c r="A3749" i="2"/>
  <c r="K3748" i="2"/>
  <c r="J3748" i="2"/>
  <c r="I3748" i="2"/>
  <c r="A3748" i="2"/>
  <c r="K3747" i="2"/>
  <c r="J3747" i="2"/>
  <c r="I3747" i="2"/>
  <c r="A3747" i="2"/>
  <c r="K3746" i="2"/>
  <c r="J3746" i="2"/>
  <c r="I3746" i="2"/>
  <c r="A3746" i="2"/>
  <c r="K3745" i="2"/>
  <c r="J3745" i="2"/>
  <c r="I3745" i="2"/>
  <c r="A3745" i="2"/>
  <c r="K3744" i="2"/>
  <c r="J3744" i="2"/>
  <c r="I3744" i="2"/>
  <c r="A3744" i="2"/>
  <c r="K3743" i="2"/>
  <c r="J3743" i="2"/>
  <c r="I3743" i="2"/>
  <c r="A3743" i="2"/>
  <c r="K3742" i="2"/>
  <c r="J3742" i="2"/>
  <c r="I3742" i="2"/>
  <c r="A3742" i="2"/>
  <c r="K3741" i="2"/>
  <c r="J3741" i="2"/>
  <c r="I3741" i="2"/>
  <c r="A3741" i="2"/>
  <c r="K3740" i="2"/>
  <c r="J3740" i="2"/>
  <c r="I3740" i="2"/>
  <c r="A3740" i="2"/>
  <c r="K3739" i="2"/>
  <c r="J3739" i="2"/>
  <c r="I3739" i="2"/>
  <c r="A3739" i="2"/>
  <c r="K3738" i="2"/>
  <c r="J3738" i="2"/>
  <c r="I3738" i="2"/>
  <c r="A3738" i="2"/>
  <c r="K3737" i="2"/>
  <c r="J3737" i="2"/>
  <c r="I3737" i="2"/>
  <c r="A3737" i="2"/>
  <c r="K3736" i="2"/>
  <c r="J3736" i="2"/>
  <c r="I3736" i="2"/>
  <c r="A3736" i="2"/>
  <c r="K3735" i="2"/>
  <c r="J3735" i="2"/>
  <c r="I3735" i="2"/>
  <c r="A3735" i="2"/>
  <c r="K3734" i="2"/>
  <c r="J3734" i="2"/>
  <c r="I3734" i="2"/>
  <c r="A3734" i="2"/>
  <c r="K3733" i="2"/>
  <c r="J3733" i="2"/>
  <c r="I3733" i="2"/>
  <c r="A3733" i="2"/>
  <c r="K3732" i="2"/>
  <c r="J3732" i="2"/>
  <c r="I3732" i="2"/>
  <c r="A3732" i="2"/>
  <c r="K3731" i="2"/>
  <c r="J3731" i="2"/>
  <c r="I3731" i="2"/>
  <c r="A3731" i="2"/>
  <c r="K3730" i="2"/>
  <c r="J3730" i="2"/>
  <c r="I3730" i="2"/>
  <c r="A3730" i="2"/>
  <c r="K3729" i="2"/>
  <c r="J3729" i="2"/>
  <c r="I3729" i="2"/>
  <c r="A3729" i="2"/>
  <c r="K3728" i="2"/>
  <c r="J3728" i="2"/>
  <c r="I3728" i="2"/>
  <c r="A3728" i="2"/>
  <c r="K3727" i="2"/>
  <c r="J3727" i="2"/>
  <c r="I3727" i="2"/>
  <c r="A3727" i="2"/>
  <c r="K3726" i="2"/>
  <c r="J3726" i="2"/>
  <c r="I3726" i="2"/>
  <c r="A3726" i="2"/>
  <c r="K3725" i="2"/>
  <c r="J3725" i="2"/>
  <c r="I3725" i="2"/>
  <c r="A3725" i="2"/>
  <c r="K3724" i="2"/>
  <c r="J3724" i="2"/>
  <c r="I3724" i="2"/>
  <c r="A3724" i="2"/>
  <c r="K3723" i="2"/>
  <c r="J3723" i="2"/>
  <c r="I3723" i="2"/>
  <c r="A3723" i="2"/>
  <c r="K3722" i="2"/>
  <c r="J3722" i="2"/>
  <c r="I3722" i="2"/>
  <c r="A3722" i="2"/>
  <c r="K3721" i="2"/>
  <c r="J3721" i="2"/>
  <c r="I3721" i="2"/>
  <c r="A3721" i="2"/>
  <c r="K3720" i="2"/>
  <c r="J3720" i="2"/>
  <c r="I3720" i="2"/>
  <c r="A3720" i="2"/>
  <c r="K3719" i="2"/>
  <c r="J3719" i="2"/>
  <c r="I3719" i="2"/>
  <c r="A3719" i="2"/>
  <c r="K3718" i="2"/>
  <c r="J3718" i="2"/>
  <c r="I3718" i="2"/>
  <c r="A3718" i="2"/>
  <c r="K3717" i="2"/>
  <c r="J3717" i="2"/>
  <c r="I3717" i="2"/>
  <c r="A3717" i="2"/>
  <c r="K3716" i="2"/>
  <c r="J3716" i="2"/>
  <c r="I3716" i="2"/>
  <c r="A3716" i="2"/>
  <c r="K3715" i="2"/>
  <c r="J3715" i="2"/>
  <c r="I3715" i="2"/>
  <c r="A3715" i="2"/>
  <c r="K3714" i="2"/>
  <c r="J3714" i="2"/>
  <c r="I3714" i="2"/>
  <c r="A3714" i="2"/>
  <c r="K3713" i="2"/>
  <c r="J3713" i="2"/>
  <c r="I3713" i="2"/>
  <c r="A3713" i="2"/>
  <c r="K3712" i="2"/>
  <c r="J3712" i="2"/>
  <c r="I3712" i="2"/>
  <c r="A3712" i="2"/>
  <c r="K3711" i="2"/>
  <c r="J3711" i="2"/>
  <c r="I3711" i="2"/>
  <c r="A3711" i="2"/>
  <c r="K3710" i="2"/>
  <c r="J3710" i="2"/>
  <c r="I3710" i="2"/>
  <c r="A3710" i="2"/>
  <c r="K3709" i="2"/>
  <c r="J3709" i="2"/>
  <c r="I3709" i="2"/>
  <c r="A3709" i="2"/>
  <c r="K3708" i="2"/>
  <c r="J3708" i="2"/>
  <c r="I3708" i="2"/>
  <c r="A3708" i="2"/>
  <c r="K3707" i="2"/>
  <c r="J3707" i="2"/>
  <c r="I3707" i="2"/>
  <c r="A3707" i="2"/>
  <c r="K3706" i="2"/>
  <c r="J3706" i="2"/>
  <c r="I3706" i="2"/>
  <c r="A3706" i="2"/>
  <c r="K3705" i="2"/>
  <c r="J3705" i="2"/>
  <c r="I3705" i="2"/>
  <c r="A3705" i="2"/>
  <c r="K3704" i="2"/>
  <c r="J3704" i="2"/>
  <c r="I3704" i="2"/>
  <c r="A3704" i="2"/>
  <c r="K3703" i="2"/>
  <c r="J3703" i="2"/>
  <c r="I3703" i="2"/>
  <c r="A3703" i="2"/>
  <c r="K3702" i="2"/>
  <c r="J3702" i="2"/>
  <c r="I3702" i="2"/>
  <c r="A3702" i="2"/>
  <c r="K3701" i="2"/>
  <c r="J3701" i="2"/>
  <c r="I3701" i="2"/>
  <c r="A3701" i="2"/>
  <c r="K3700" i="2"/>
  <c r="J3700" i="2"/>
  <c r="I3700" i="2"/>
  <c r="A3700" i="2"/>
  <c r="K3699" i="2"/>
  <c r="J3699" i="2"/>
  <c r="I3699" i="2"/>
  <c r="A3699" i="2"/>
  <c r="K3698" i="2"/>
  <c r="J3698" i="2"/>
  <c r="I3698" i="2"/>
  <c r="A3698" i="2"/>
  <c r="K3697" i="2"/>
  <c r="J3697" i="2"/>
  <c r="I3697" i="2"/>
  <c r="A3697" i="2"/>
  <c r="K3696" i="2"/>
  <c r="J3696" i="2"/>
  <c r="I3696" i="2"/>
  <c r="A3696" i="2"/>
  <c r="K3695" i="2"/>
  <c r="J3695" i="2"/>
  <c r="I3695" i="2"/>
  <c r="A3695" i="2"/>
  <c r="K3694" i="2"/>
  <c r="J3694" i="2"/>
  <c r="I3694" i="2"/>
  <c r="A3694" i="2"/>
  <c r="K3693" i="2"/>
  <c r="J3693" i="2"/>
  <c r="I3693" i="2"/>
  <c r="A3693" i="2"/>
  <c r="K3692" i="2"/>
  <c r="J3692" i="2"/>
  <c r="I3692" i="2"/>
  <c r="A3692" i="2"/>
  <c r="K3691" i="2"/>
  <c r="J3691" i="2"/>
  <c r="I3691" i="2"/>
  <c r="A3691" i="2"/>
  <c r="K3690" i="2"/>
  <c r="J3690" i="2"/>
  <c r="I3690" i="2"/>
  <c r="A3690" i="2"/>
  <c r="K3689" i="2"/>
  <c r="J3689" i="2"/>
  <c r="I3689" i="2"/>
  <c r="A3689" i="2"/>
  <c r="K3688" i="2"/>
  <c r="J3688" i="2"/>
  <c r="I3688" i="2"/>
  <c r="A3688" i="2"/>
  <c r="K3687" i="2"/>
  <c r="J3687" i="2"/>
  <c r="I3687" i="2"/>
  <c r="A3687" i="2"/>
  <c r="K3686" i="2"/>
  <c r="J3686" i="2"/>
  <c r="I3686" i="2"/>
  <c r="A3686" i="2"/>
  <c r="K3685" i="2"/>
  <c r="J3685" i="2"/>
  <c r="I3685" i="2"/>
  <c r="A3685" i="2"/>
  <c r="K3684" i="2"/>
  <c r="J3684" i="2"/>
  <c r="I3684" i="2"/>
  <c r="A3684" i="2"/>
  <c r="K3683" i="2"/>
  <c r="J3683" i="2"/>
  <c r="I3683" i="2"/>
  <c r="A3683" i="2"/>
  <c r="K3682" i="2"/>
  <c r="J3682" i="2"/>
  <c r="I3682" i="2"/>
  <c r="A3682" i="2"/>
  <c r="K3681" i="2"/>
  <c r="J3681" i="2"/>
  <c r="I3681" i="2"/>
  <c r="A3681" i="2"/>
  <c r="K3680" i="2"/>
  <c r="J3680" i="2"/>
  <c r="I3680" i="2"/>
  <c r="A3680" i="2"/>
  <c r="K3679" i="2"/>
  <c r="J3679" i="2"/>
  <c r="I3679" i="2"/>
  <c r="A3679" i="2"/>
  <c r="K3678" i="2"/>
  <c r="J3678" i="2"/>
  <c r="I3678" i="2"/>
  <c r="A3678" i="2"/>
  <c r="K3677" i="2"/>
  <c r="J3677" i="2"/>
  <c r="I3677" i="2"/>
  <c r="A3677" i="2"/>
  <c r="K3676" i="2"/>
  <c r="J3676" i="2"/>
  <c r="I3676" i="2"/>
  <c r="A3676" i="2"/>
  <c r="K3675" i="2"/>
  <c r="J3675" i="2"/>
  <c r="I3675" i="2"/>
  <c r="A3675" i="2"/>
  <c r="K3674" i="2"/>
  <c r="J3674" i="2"/>
  <c r="I3674" i="2"/>
  <c r="A3674" i="2"/>
  <c r="K3673" i="2"/>
  <c r="J3673" i="2"/>
  <c r="I3673" i="2"/>
  <c r="A3673" i="2"/>
  <c r="K3672" i="2"/>
  <c r="J3672" i="2"/>
  <c r="I3672" i="2"/>
  <c r="A3672" i="2"/>
  <c r="K3671" i="2"/>
  <c r="J3671" i="2"/>
  <c r="I3671" i="2"/>
  <c r="A3671" i="2"/>
  <c r="K3670" i="2"/>
  <c r="J3670" i="2"/>
  <c r="I3670" i="2"/>
  <c r="A3670" i="2"/>
  <c r="K3669" i="2"/>
  <c r="J3669" i="2"/>
  <c r="I3669" i="2"/>
  <c r="A3669" i="2"/>
  <c r="K3668" i="2"/>
  <c r="J3668" i="2"/>
  <c r="I3668" i="2"/>
  <c r="A3668" i="2"/>
  <c r="K3667" i="2"/>
  <c r="J3667" i="2"/>
  <c r="I3667" i="2"/>
  <c r="A3667" i="2"/>
  <c r="K3666" i="2"/>
  <c r="J3666" i="2"/>
  <c r="I3666" i="2"/>
  <c r="A3666" i="2"/>
  <c r="K3665" i="2"/>
  <c r="J3665" i="2"/>
  <c r="I3665" i="2"/>
  <c r="A3665" i="2"/>
  <c r="K3664" i="2"/>
  <c r="J3664" i="2"/>
  <c r="I3664" i="2"/>
  <c r="A3664" i="2"/>
  <c r="K3663" i="2"/>
  <c r="J3663" i="2"/>
  <c r="I3663" i="2"/>
  <c r="A3663" i="2"/>
  <c r="K3662" i="2"/>
  <c r="J3662" i="2"/>
  <c r="I3662" i="2"/>
  <c r="A3662" i="2"/>
  <c r="K3661" i="2"/>
  <c r="J3661" i="2"/>
  <c r="I3661" i="2"/>
  <c r="A3661" i="2"/>
  <c r="K3660" i="2"/>
  <c r="J3660" i="2"/>
  <c r="I3660" i="2"/>
  <c r="A3660" i="2"/>
  <c r="K3659" i="2"/>
  <c r="J3659" i="2"/>
  <c r="I3659" i="2"/>
  <c r="A3659" i="2"/>
  <c r="K3658" i="2"/>
  <c r="J3658" i="2"/>
  <c r="I3658" i="2"/>
  <c r="A3658" i="2"/>
  <c r="K3657" i="2"/>
  <c r="J3657" i="2"/>
  <c r="I3657" i="2"/>
  <c r="A3657" i="2"/>
  <c r="K3656" i="2"/>
  <c r="J3656" i="2"/>
  <c r="I3656" i="2"/>
  <c r="A3656" i="2"/>
  <c r="K3655" i="2"/>
  <c r="J3655" i="2"/>
  <c r="I3655" i="2"/>
  <c r="A3655" i="2"/>
  <c r="K3654" i="2"/>
  <c r="J3654" i="2"/>
  <c r="I3654" i="2"/>
  <c r="A3654" i="2"/>
  <c r="K3653" i="2"/>
  <c r="J3653" i="2"/>
  <c r="I3653" i="2"/>
  <c r="A3653" i="2"/>
  <c r="K3652" i="2"/>
  <c r="J3652" i="2"/>
  <c r="I3652" i="2"/>
  <c r="A3652" i="2"/>
  <c r="K3651" i="2"/>
  <c r="J3651" i="2"/>
  <c r="I3651" i="2"/>
  <c r="A3651" i="2"/>
  <c r="K3650" i="2"/>
  <c r="J3650" i="2"/>
  <c r="I3650" i="2"/>
  <c r="A3650" i="2"/>
  <c r="K3649" i="2"/>
  <c r="J3649" i="2"/>
  <c r="I3649" i="2"/>
  <c r="A3649" i="2"/>
  <c r="K3648" i="2"/>
  <c r="J3648" i="2"/>
  <c r="I3648" i="2"/>
  <c r="A3648" i="2"/>
  <c r="K3647" i="2"/>
  <c r="J3647" i="2"/>
  <c r="I3647" i="2"/>
  <c r="A3647" i="2"/>
  <c r="K3646" i="2"/>
  <c r="J3646" i="2"/>
  <c r="I3646" i="2"/>
  <c r="A3646" i="2"/>
  <c r="K3645" i="2"/>
  <c r="J3645" i="2"/>
  <c r="I3645" i="2"/>
  <c r="A3645" i="2"/>
  <c r="K3644" i="2"/>
  <c r="J3644" i="2"/>
  <c r="I3644" i="2"/>
  <c r="A3644" i="2"/>
  <c r="K3643" i="2"/>
  <c r="J3643" i="2"/>
  <c r="I3643" i="2"/>
  <c r="A3643" i="2"/>
  <c r="K3642" i="2"/>
  <c r="J3642" i="2"/>
  <c r="I3642" i="2"/>
  <c r="A3642" i="2"/>
  <c r="K3641" i="2"/>
  <c r="J3641" i="2"/>
  <c r="I3641" i="2"/>
  <c r="A3641" i="2"/>
  <c r="K3640" i="2"/>
  <c r="J3640" i="2"/>
  <c r="I3640" i="2"/>
  <c r="A3640" i="2"/>
  <c r="K3639" i="2"/>
  <c r="J3639" i="2"/>
  <c r="I3639" i="2"/>
  <c r="A3639" i="2"/>
  <c r="K3638" i="2"/>
  <c r="J3638" i="2"/>
  <c r="I3638" i="2"/>
  <c r="A3638" i="2"/>
  <c r="K3637" i="2"/>
  <c r="J3637" i="2"/>
  <c r="I3637" i="2"/>
  <c r="A3637" i="2"/>
  <c r="K3636" i="2"/>
  <c r="J3636" i="2"/>
  <c r="I3636" i="2"/>
  <c r="A3636" i="2"/>
  <c r="K3635" i="2"/>
  <c r="J3635" i="2"/>
  <c r="I3635" i="2"/>
  <c r="A3635" i="2"/>
  <c r="K3634" i="2"/>
  <c r="J3634" i="2"/>
  <c r="I3634" i="2"/>
  <c r="A3634" i="2"/>
  <c r="K3633" i="2"/>
  <c r="J3633" i="2"/>
  <c r="I3633" i="2"/>
  <c r="A3633" i="2"/>
  <c r="K3632" i="2"/>
  <c r="J3632" i="2"/>
  <c r="I3632" i="2"/>
  <c r="A3632" i="2"/>
  <c r="K3631" i="2"/>
  <c r="J3631" i="2"/>
  <c r="I3631" i="2"/>
  <c r="A3631" i="2"/>
  <c r="K3630" i="2"/>
  <c r="J3630" i="2"/>
  <c r="I3630" i="2"/>
  <c r="A3630" i="2"/>
  <c r="K3629" i="2"/>
  <c r="J3629" i="2"/>
  <c r="I3629" i="2"/>
  <c r="A3629" i="2"/>
  <c r="K3628" i="2"/>
  <c r="J3628" i="2"/>
  <c r="I3628" i="2"/>
  <c r="A3628" i="2"/>
  <c r="K3627" i="2"/>
  <c r="J3627" i="2"/>
  <c r="I3627" i="2"/>
  <c r="A3627" i="2"/>
  <c r="K3626" i="2"/>
  <c r="J3626" i="2"/>
  <c r="I3626" i="2"/>
  <c r="A3626" i="2"/>
  <c r="K3625" i="2"/>
  <c r="J3625" i="2"/>
  <c r="I3625" i="2"/>
  <c r="A3625" i="2"/>
  <c r="K3624" i="2"/>
  <c r="J3624" i="2"/>
  <c r="I3624" i="2"/>
  <c r="A3624" i="2"/>
  <c r="K3623" i="2"/>
  <c r="J3623" i="2"/>
  <c r="I3623" i="2"/>
  <c r="A3623" i="2"/>
  <c r="K3622" i="2"/>
  <c r="J3622" i="2"/>
  <c r="I3622" i="2"/>
  <c r="A3622" i="2"/>
  <c r="K3621" i="2"/>
  <c r="J3621" i="2"/>
  <c r="I3621" i="2"/>
  <c r="A3621" i="2"/>
  <c r="K3620" i="2"/>
  <c r="J3620" i="2"/>
  <c r="I3620" i="2"/>
  <c r="A3620" i="2"/>
  <c r="K3619" i="2"/>
  <c r="J3619" i="2"/>
  <c r="I3619" i="2"/>
  <c r="A3619" i="2"/>
  <c r="K3618" i="2"/>
  <c r="J3618" i="2"/>
  <c r="I3618" i="2"/>
  <c r="A3618" i="2"/>
  <c r="K3617" i="2"/>
  <c r="J3617" i="2"/>
  <c r="I3617" i="2"/>
  <c r="A3617" i="2"/>
  <c r="K3616" i="2"/>
  <c r="J3616" i="2"/>
  <c r="I3616" i="2"/>
  <c r="A3616" i="2"/>
  <c r="K3615" i="2"/>
  <c r="J3615" i="2"/>
  <c r="I3615" i="2"/>
  <c r="A3615" i="2"/>
  <c r="K3614" i="2"/>
  <c r="J3614" i="2"/>
  <c r="I3614" i="2"/>
  <c r="A3614" i="2"/>
  <c r="K3613" i="2"/>
  <c r="J3613" i="2"/>
  <c r="I3613" i="2"/>
  <c r="A3613" i="2"/>
  <c r="K3612" i="2"/>
  <c r="J3612" i="2"/>
  <c r="I3612" i="2"/>
  <c r="A3612" i="2"/>
  <c r="K3611" i="2"/>
  <c r="J3611" i="2"/>
  <c r="I3611" i="2"/>
  <c r="A3611" i="2"/>
  <c r="K3610" i="2"/>
  <c r="J3610" i="2"/>
  <c r="I3610" i="2"/>
  <c r="A3610" i="2"/>
  <c r="K3609" i="2"/>
  <c r="J3609" i="2"/>
  <c r="I3609" i="2"/>
  <c r="A3609" i="2"/>
  <c r="K3608" i="2"/>
  <c r="J3608" i="2"/>
  <c r="I3608" i="2"/>
  <c r="A3608" i="2"/>
  <c r="K3607" i="2"/>
  <c r="J3607" i="2"/>
  <c r="I3607" i="2"/>
  <c r="A3607" i="2"/>
  <c r="K3606" i="2"/>
  <c r="J3606" i="2"/>
  <c r="I3606" i="2"/>
  <c r="A3606" i="2"/>
  <c r="K3605" i="2"/>
  <c r="J3605" i="2"/>
  <c r="I3605" i="2"/>
  <c r="A3605" i="2"/>
  <c r="K3604" i="2"/>
  <c r="J3604" i="2"/>
  <c r="I3604" i="2"/>
  <c r="A3604" i="2"/>
  <c r="K3603" i="2"/>
  <c r="J3603" i="2"/>
  <c r="I3603" i="2"/>
  <c r="A3603" i="2"/>
  <c r="K3602" i="2"/>
  <c r="J3602" i="2"/>
  <c r="I3602" i="2"/>
  <c r="A3602" i="2"/>
  <c r="K3601" i="2"/>
  <c r="J3601" i="2"/>
  <c r="I3601" i="2"/>
  <c r="A3601" i="2"/>
  <c r="K3600" i="2"/>
  <c r="J3600" i="2"/>
  <c r="I3600" i="2"/>
  <c r="A3600" i="2"/>
  <c r="K3599" i="2"/>
  <c r="J3599" i="2"/>
  <c r="I3599" i="2"/>
  <c r="A3599" i="2"/>
  <c r="K3598" i="2"/>
  <c r="J3598" i="2"/>
  <c r="I3598" i="2"/>
  <c r="A3598" i="2"/>
  <c r="K3597" i="2"/>
  <c r="J3597" i="2"/>
  <c r="I3597" i="2"/>
  <c r="A3597" i="2"/>
  <c r="K3596" i="2"/>
  <c r="J3596" i="2"/>
  <c r="I3596" i="2"/>
  <c r="A3596" i="2"/>
  <c r="K3595" i="2"/>
  <c r="J3595" i="2"/>
  <c r="I3595" i="2"/>
  <c r="A3595" i="2"/>
  <c r="K3594" i="2"/>
  <c r="J3594" i="2"/>
  <c r="I3594" i="2"/>
  <c r="A3594" i="2"/>
  <c r="K3593" i="2"/>
  <c r="J3593" i="2"/>
  <c r="I3593" i="2"/>
  <c r="A3593" i="2"/>
  <c r="K3592" i="2"/>
  <c r="J3592" i="2"/>
  <c r="I3592" i="2"/>
  <c r="A3592" i="2"/>
  <c r="K3591" i="2"/>
  <c r="J3591" i="2"/>
  <c r="I3591" i="2"/>
  <c r="A3591" i="2"/>
  <c r="K3590" i="2"/>
  <c r="J3590" i="2"/>
  <c r="I3590" i="2"/>
  <c r="A3590" i="2"/>
  <c r="K3589" i="2"/>
  <c r="J3589" i="2"/>
  <c r="I3589" i="2"/>
  <c r="A3589" i="2"/>
  <c r="K3588" i="2"/>
  <c r="J3588" i="2"/>
  <c r="I3588" i="2"/>
  <c r="A3588" i="2"/>
  <c r="K3587" i="2"/>
  <c r="J3587" i="2"/>
  <c r="I3587" i="2"/>
  <c r="A3587" i="2"/>
  <c r="K3586" i="2"/>
  <c r="J3586" i="2"/>
  <c r="I3586" i="2"/>
  <c r="A3586" i="2"/>
  <c r="K3585" i="2"/>
  <c r="J3585" i="2"/>
  <c r="I3585" i="2"/>
  <c r="A3585" i="2"/>
  <c r="K3584" i="2"/>
  <c r="J3584" i="2"/>
  <c r="I3584" i="2"/>
  <c r="A3584" i="2"/>
  <c r="K3583" i="2"/>
  <c r="J3583" i="2"/>
  <c r="I3583" i="2"/>
  <c r="A3583" i="2"/>
  <c r="K3582" i="2"/>
  <c r="J3582" i="2"/>
  <c r="I3582" i="2"/>
  <c r="A3582" i="2"/>
  <c r="K3581" i="2"/>
  <c r="J3581" i="2"/>
  <c r="I3581" i="2"/>
  <c r="A3581" i="2"/>
  <c r="K3580" i="2"/>
  <c r="J3580" i="2"/>
  <c r="I3580" i="2"/>
  <c r="A3580" i="2"/>
  <c r="K3579" i="2"/>
  <c r="J3579" i="2"/>
  <c r="I3579" i="2"/>
  <c r="A3579" i="2"/>
  <c r="K3578" i="2"/>
  <c r="J3578" i="2"/>
  <c r="I3578" i="2"/>
  <c r="A3578" i="2"/>
  <c r="K3577" i="2"/>
  <c r="J3577" i="2"/>
  <c r="I3577" i="2"/>
  <c r="A3577" i="2"/>
  <c r="K3576" i="2"/>
  <c r="J3576" i="2"/>
  <c r="I3576" i="2"/>
  <c r="A3576" i="2"/>
  <c r="K3575" i="2"/>
  <c r="J3575" i="2"/>
  <c r="I3575" i="2"/>
  <c r="A3575" i="2"/>
  <c r="K3574" i="2"/>
  <c r="J3574" i="2"/>
  <c r="I3574" i="2"/>
  <c r="A3574" i="2"/>
  <c r="K3573" i="2"/>
  <c r="J3573" i="2"/>
  <c r="I3573" i="2"/>
  <c r="A3573" i="2"/>
  <c r="K3572" i="2"/>
  <c r="J3572" i="2"/>
  <c r="I3572" i="2"/>
  <c r="A3572" i="2"/>
  <c r="K3571" i="2"/>
  <c r="J3571" i="2"/>
  <c r="I3571" i="2"/>
  <c r="A3571" i="2"/>
  <c r="K3570" i="2"/>
  <c r="J3570" i="2"/>
  <c r="I3570" i="2"/>
  <c r="A3570" i="2"/>
  <c r="K3569" i="2"/>
  <c r="J3569" i="2"/>
  <c r="I3569" i="2"/>
  <c r="A3569" i="2"/>
  <c r="K3568" i="2"/>
  <c r="J3568" i="2"/>
  <c r="I3568" i="2"/>
  <c r="A3568" i="2"/>
  <c r="K3567" i="2"/>
  <c r="J3567" i="2"/>
  <c r="I3567" i="2"/>
  <c r="A3567" i="2"/>
  <c r="K3566" i="2"/>
  <c r="J3566" i="2"/>
  <c r="I3566" i="2"/>
  <c r="A3566" i="2"/>
  <c r="K3565" i="2"/>
  <c r="J3565" i="2"/>
  <c r="I3565" i="2"/>
  <c r="A3565" i="2"/>
  <c r="K3564" i="2"/>
  <c r="J3564" i="2"/>
  <c r="I3564" i="2"/>
  <c r="A3564" i="2"/>
  <c r="K3563" i="2"/>
  <c r="J3563" i="2"/>
  <c r="I3563" i="2"/>
  <c r="A3563" i="2"/>
  <c r="K3562" i="2"/>
  <c r="J3562" i="2"/>
  <c r="I3562" i="2"/>
  <c r="A3562" i="2"/>
  <c r="K3561" i="2"/>
  <c r="J3561" i="2"/>
  <c r="I3561" i="2"/>
  <c r="A3561" i="2"/>
  <c r="K3560" i="2"/>
  <c r="J3560" i="2"/>
  <c r="I3560" i="2"/>
  <c r="A3560" i="2"/>
  <c r="K3559" i="2"/>
  <c r="J3559" i="2"/>
  <c r="I3559" i="2"/>
  <c r="A3559" i="2"/>
  <c r="K3558" i="2"/>
  <c r="J3558" i="2"/>
  <c r="I3558" i="2"/>
  <c r="A3558" i="2"/>
  <c r="K3557" i="2"/>
  <c r="J3557" i="2"/>
  <c r="I3557" i="2"/>
  <c r="A3557" i="2"/>
  <c r="K3556" i="2"/>
  <c r="J3556" i="2"/>
  <c r="I3556" i="2"/>
  <c r="A3556" i="2"/>
  <c r="K3555" i="2"/>
  <c r="J3555" i="2"/>
  <c r="I3555" i="2"/>
  <c r="A3555" i="2"/>
  <c r="K3554" i="2"/>
  <c r="J3554" i="2"/>
  <c r="I3554" i="2"/>
  <c r="A3554" i="2"/>
  <c r="K3553" i="2"/>
  <c r="J3553" i="2"/>
  <c r="I3553" i="2"/>
  <c r="A3553" i="2"/>
  <c r="K3552" i="2"/>
  <c r="J3552" i="2"/>
  <c r="I3552" i="2"/>
  <c r="A3552" i="2"/>
  <c r="K3551" i="2"/>
  <c r="J3551" i="2"/>
  <c r="I3551" i="2"/>
  <c r="A3551" i="2"/>
  <c r="K3550" i="2"/>
  <c r="J3550" i="2"/>
  <c r="I3550" i="2"/>
  <c r="A3550" i="2"/>
  <c r="K3549" i="2"/>
  <c r="J3549" i="2"/>
  <c r="I3549" i="2"/>
  <c r="A3549" i="2"/>
  <c r="K3548" i="2"/>
  <c r="J3548" i="2"/>
  <c r="I3548" i="2"/>
  <c r="A3548" i="2"/>
  <c r="K3547" i="2"/>
  <c r="J3547" i="2"/>
  <c r="I3547" i="2"/>
  <c r="A3547" i="2"/>
  <c r="K3546" i="2"/>
  <c r="J3546" i="2"/>
  <c r="I3546" i="2"/>
  <c r="A3546" i="2"/>
  <c r="K3545" i="2"/>
  <c r="J3545" i="2"/>
  <c r="I3545" i="2"/>
  <c r="A3545" i="2"/>
  <c r="K3544" i="2"/>
  <c r="J3544" i="2"/>
  <c r="I3544" i="2"/>
  <c r="A3544" i="2"/>
  <c r="K3543" i="2"/>
  <c r="J3543" i="2"/>
  <c r="I3543" i="2"/>
  <c r="A3543" i="2"/>
  <c r="K3542" i="2"/>
  <c r="J3542" i="2"/>
  <c r="I3542" i="2"/>
  <c r="A3542" i="2"/>
  <c r="K3541" i="2"/>
  <c r="J3541" i="2"/>
  <c r="I3541" i="2"/>
  <c r="A3541" i="2"/>
  <c r="K3540" i="2"/>
  <c r="J3540" i="2"/>
  <c r="I3540" i="2"/>
  <c r="A3540" i="2"/>
  <c r="K3539" i="2"/>
  <c r="J3539" i="2"/>
  <c r="I3539" i="2"/>
  <c r="A3539" i="2"/>
  <c r="K3538" i="2"/>
  <c r="J3538" i="2"/>
  <c r="I3538" i="2"/>
  <c r="A3538" i="2"/>
  <c r="K3537" i="2"/>
  <c r="J3537" i="2"/>
  <c r="I3537" i="2"/>
  <c r="A3537" i="2"/>
  <c r="K3536" i="2"/>
  <c r="J3536" i="2"/>
  <c r="I3536" i="2"/>
  <c r="A3536" i="2"/>
  <c r="K3535" i="2"/>
  <c r="J3535" i="2"/>
  <c r="I3535" i="2"/>
  <c r="A3535" i="2"/>
  <c r="K3534" i="2"/>
  <c r="J3534" i="2"/>
  <c r="I3534" i="2"/>
  <c r="A3534" i="2"/>
  <c r="K3533" i="2"/>
  <c r="J3533" i="2"/>
  <c r="I3533" i="2"/>
  <c r="A3533" i="2"/>
  <c r="K3532" i="2"/>
  <c r="J3532" i="2"/>
  <c r="I3532" i="2"/>
  <c r="A3532" i="2"/>
  <c r="K3531" i="2"/>
  <c r="J3531" i="2"/>
  <c r="I3531" i="2"/>
  <c r="A3531" i="2"/>
  <c r="K3530" i="2"/>
  <c r="J3530" i="2"/>
  <c r="I3530" i="2"/>
  <c r="A3530" i="2"/>
  <c r="K3529" i="2"/>
  <c r="J3529" i="2"/>
  <c r="I3529" i="2"/>
  <c r="A3529" i="2"/>
  <c r="K3528" i="2"/>
  <c r="J3528" i="2"/>
  <c r="I3528" i="2"/>
  <c r="A3528" i="2"/>
  <c r="K3527" i="2"/>
  <c r="J3527" i="2"/>
  <c r="I3527" i="2"/>
  <c r="A3527" i="2"/>
  <c r="K3526" i="2"/>
  <c r="J3526" i="2"/>
  <c r="I3526" i="2"/>
  <c r="A3526" i="2"/>
  <c r="K3525" i="2"/>
  <c r="J3525" i="2"/>
  <c r="I3525" i="2"/>
  <c r="A3525" i="2"/>
  <c r="K3524" i="2"/>
  <c r="J3524" i="2"/>
  <c r="I3524" i="2"/>
  <c r="A3524" i="2"/>
  <c r="K3523" i="2"/>
  <c r="J3523" i="2"/>
  <c r="I3523" i="2"/>
  <c r="A3523" i="2"/>
  <c r="K3522" i="2"/>
  <c r="J3522" i="2"/>
  <c r="I3522" i="2"/>
  <c r="A3522" i="2"/>
  <c r="K3521" i="2"/>
  <c r="J3521" i="2"/>
  <c r="I3521" i="2"/>
  <c r="A3521" i="2"/>
  <c r="K3520" i="2"/>
  <c r="J3520" i="2"/>
  <c r="I3520" i="2"/>
  <c r="A3520" i="2"/>
  <c r="K3519" i="2"/>
  <c r="J3519" i="2"/>
  <c r="I3519" i="2"/>
  <c r="A3519" i="2"/>
  <c r="K3518" i="2"/>
  <c r="J3518" i="2"/>
  <c r="I3518" i="2"/>
  <c r="A3518" i="2"/>
  <c r="K3517" i="2"/>
  <c r="J3517" i="2"/>
  <c r="I3517" i="2"/>
  <c r="A3517" i="2"/>
  <c r="K3516" i="2"/>
  <c r="J3516" i="2"/>
  <c r="I3516" i="2"/>
  <c r="A3516" i="2"/>
  <c r="K3515" i="2"/>
  <c r="J3515" i="2"/>
  <c r="I3515" i="2"/>
  <c r="A3515" i="2"/>
  <c r="K3514" i="2"/>
  <c r="J3514" i="2"/>
  <c r="I3514" i="2"/>
  <c r="A3514" i="2"/>
  <c r="K3513" i="2"/>
  <c r="J3513" i="2"/>
  <c r="I3513" i="2"/>
  <c r="A3513" i="2"/>
  <c r="K3512" i="2"/>
  <c r="J3512" i="2"/>
  <c r="I3512" i="2"/>
  <c r="A3512" i="2"/>
  <c r="K3511" i="2"/>
  <c r="J3511" i="2"/>
  <c r="I3511" i="2"/>
  <c r="A3511" i="2"/>
  <c r="K3510" i="2"/>
  <c r="J3510" i="2"/>
  <c r="I3510" i="2"/>
  <c r="A3510" i="2"/>
  <c r="K3509" i="2"/>
  <c r="J3509" i="2"/>
  <c r="I3509" i="2"/>
  <c r="A3509" i="2"/>
  <c r="K3508" i="2"/>
  <c r="J3508" i="2"/>
  <c r="I3508" i="2"/>
  <c r="A3508" i="2"/>
  <c r="K3507" i="2"/>
  <c r="J3507" i="2"/>
  <c r="I3507" i="2"/>
  <c r="A3507" i="2"/>
  <c r="K3506" i="2"/>
  <c r="J3506" i="2"/>
  <c r="I3506" i="2"/>
  <c r="A3506" i="2"/>
  <c r="K3505" i="2"/>
  <c r="J3505" i="2"/>
  <c r="I3505" i="2"/>
  <c r="A3505" i="2"/>
  <c r="K3504" i="2"/>
  <c r="J3504" i="2"/>
  <c r="I3504" i="2"/>
  <c r="A3504" i="2"/>
  <c r="K3503" i="2"/>
  <c r="J3503" i="2"/>
  <c r="I3503" i="2"/>
  <c r="A3503" i="2"/>
  <c r="K3502" i="2"/>
  <c r="J3502" i="2"/>
  <c r="I3502" i="2"/>
  <c r="A3502" i="2"/>
  <c r="K3501" i="2"/>
  <c r="J3501" i="2"/>
  <c r="I3501" i="2"/>
  <c r="A3501" i="2"/>
  <c r="K3500" i="2"/>
  <c r="J3500" i="2"/>
  <c r="I3500" i="2"/>
  <c r="A3500" i="2"/>
  <c r="K3499" i="2"/>
  <c r="J3499" i="2"/>
  <c r="I3499" i="2"/>
  <c r="A3499" i="2"/>
  <c r="K3498" i="2"/>
  <c r="J3498" i="2"/>
  <c r="I3498" i="2"/>
  <c r="A3498" i="2"/>
  <c r="K3497" i="2"/>
  <c r="J3497" i="2"/>
  <c r="I3497" i="2"/>
  <c r="A3497" i="2"/>
  <c r="K3496" i="2"/>
  <c r="J3496" i="2"/>
  <c r="I3496" i="2"/>
  <c r="A3496" i="2"/>
  <c r="K3495" i="2"/>
  <c r="J3495" i="2"/>
  <c r="I3495" i="2"/>
  <c r="A3495" i="2"/>
  <c r="K3494" i="2"/>
  <c r="J3494" i="2"/>
  <c r="I3494" i="2"/>
  <c r="A3494" i="2"/>
  <c r="K3493" i="2"/>
  <c r="J3493" i="2"/>
  <c r="I3493" i="2"/>
  <c r="A3493" i="2"/>
  <c r="K3492" i="2"/>
  <c r="J3492" i="2"/>
  <c r="I3492" i="2"/>
  <c r="A3492" i="2"/>
  <c r="K3491" i="2"/>
  <c r="J3491" i="2"/>
  <c r="I3491" i="2"/>
  <c r="A3491" i="2"/>
  <c r="K3490" i="2"/>
  <c r="J3490" i="2"/>
  <c r="I3490" i="2"/>
  <c r="A3490" i="2"/>
  <c r="K3489" i="2"/>
  <c r="J3489" i="2"/>
  <c r="I3489" i="2"/>
  <c r="A3489" i="2"/>
  <c r="K3488" i="2"/>
  <c r="J3488" i="2"/>
  <c r="I3488" i="2"/>
  <c r="A3488" i="2"/>
  <c r="K3487" i="2"/>
  <c r="J3487" i="2"/>
  <c r="I3487" i="2"/>
  <c r="A3487" i="2"/>
  <c r="K3486" i="2"/>
  <c r="J3486" i="2"/>
  <c r="I3486" i="2"/>
  <c r="A3486" i="2"/>
  <c r="K3485" i="2"/>
  <c r="J3485" i="2"/>
  <c r="I3485" i="2"/>
  <c r="A3485" i="2"/>
  <c r="K3484" i="2"/>
  <c r="J3484" i="2"/>
  <c r="I3484" i="2"/>
  <c r="A3484" i="2"/>
  <c r="K3483" i="2"/>
  <c r="J3483" i="2"/>
  <c r="I3483" i="2"/>
  <c r="A3483" i="2"/>
  <c r="K3482" i="2"/>
  <c r="J3482" i="2"/>
  <c r="I3482" i="2"/>
  <c r="A3482" i="2"/>
  <c r="K3481" i="2"/>
  <c r="J3481" i="2"/>
  <c r="I3481" i="2"/>
  <c r="A3481" i="2"/>
  <c r="K3480" i="2"/>
  <c r="J3480" i="2"/>
  <c r="I3480" i="2"/>
  <c r="A3480" i="2"/>
  <c r="K3479" i="2"/>
  <c r="J3479" i="2"/>
  <c r="I3479" i="2"/>
  <c r="A3479" i="2"/>
  <c r="K3478" i="2"/>
  <c r="J3478" i="2"/>
  <c r="I3478" i="2"/>
  <c r="A3478" i="2"/>
  <c r="K3477" i="2"/>
  <c r="J3477" i="2"/>
  <c r="I3477" i="2"/>
  <c r="A3477" i="2"/>
  <c r="K3476" i="2"/>
  <c r="J3476" i="2"/>
  <c r="I3476" i="2"/>
  <c r="A3476" i="2"/>
  <c r="K3475" i="2"/>
  <c r="J3475" i="2"/>
  <c r="I3475" i="2"/>
  <c r="A3475" i="2"/>
  <c r="K3474" i="2"/>
  <c r="J3474" i="2"/>
  <c r="I3474" i="2"/>
  <c r="A3474" i="2"/>
  <c r="K3473" i="2"/>
  <c r="J3473" i="2"/>
  <c r="I3473" i="2"/>
  <c r="A3473" i="2"/>
  <c r="K3472" i="2"/>
  <c r="J3472" i="2"/>
  <c r="I3472" i="2"/>
  <c r="A3472" i="2"/>
  <c r="K3471" i="2"/>
  <c r="J3471" i="2"/>
  <c r="I3471" i="2"/>
  <c r="A3471" i="2"/>
  <c r="K3470" i="2"/>
  <c r="J3470" i="2"/>
  <c r="I3470" i="2"/>
  <c r="A3470" i="2"/>
  <c r="K3469" i="2"/>
  <c r="J3469" i="2"/>
  <c r="I3469" i="2"/>
  <c r="A3469" i="2"/>
  <c r="K3468" i="2"/>
  <c r="J3468" i="2"/>
  <c r="I3468" i="2"/>
  <c r="A3468" i="2"/>
  <c r="K3467" i="2"/>
  <c r="J3467" i="2"/>
  <c r="I3467" i="2"/>
  <c r="A3467" i="2"/>
  <c r="K3466" i="2"/>
  <c r="J3466" i="2"/>
  <c r="I3466" i="2"/>
  <c r="A3466" i="2"/>
  <c r="K3465" i="2"/>
  <c r="J3465" i="2"/>
  <c r="I3465" i="2"/>
  <c r="A3465" i="2"/>
  <c r="K3464" i="2"/>
  <c r="J3464" i="2"/>
  <c r="I3464" i="2"/>
  <c r="A3464" i="2"/>
  <c r="K3463" i="2"/>
  <c r="J3463" i="2"/>
  <c r="I3463" i="2"/>
  <c r="A3463" i="2"/>
  <c r="K3462" i="2"/>
  <c r="J3462" i="2"/>
  <c r="I3462" i="2"/>
  <c r="A3462" i="2"/>
  <c r="K3461" i="2"/>
  <c r="J3461" i="2"/>
  <c r="I3461" i="2"/>
  <c r="A3461" i="2"/>
  <c r="K3460" i="2"/>
  <c r="J3460" i="2"/>
  <c r="I3460" i="2"/>
  <c r="A3460" i="2"/>
  <c r="K3459" i="2"/>
  <c r="J3459" i="2"/>
  <c r="I3459" i="2"/>
  <c r="A3459" i="2"/>
  <c r="K3458" i="2"/>
  <c r="J3458" i="2"/>
  <c r="I3458" i="2"/>
  <c r="A3458" i="2"/>
  <c r="K3457" i="2"/>
  <c r="J3457" i="2"/>
  <c r="I3457" i="2"/>
  <c r="A3457" i="2"/>
  <c r="K3456" i="2"/>
  <c r="J3456" i="2"/>
  <c r="I3456" i="2"/>
  <c r="A3456" i="2"/>
  <c r="K3455" i="2"/>
  <c r="J3455" i="2"/>
  <c r="I3455" i="2"/>
  <c r="A3455" i="2"/>
  <c r="K3454" i="2"/>
  <c r="J3454" i="2"/>
  <c r="I3454" i="2"/>
  <c r="A3454" i="2"/>
  <c r="K3453" i="2"/>
  <c r="J3453" i="2"/>
  <c r="I3453" i="2"/>
  <c r="A3453" i="2"/>
  <c r="K3452" i="2"/>
  <c r="J3452" i="2"/>
  <c r="I3452" i="2"/>
  <c r="A3452" i="2"/>
  <c r="K3451" i="2"/>
  <c r="J3451" i="2"/>
  <c r="I3451" i="2"/>
  <c r="A3451" i="2"/>
  <c r="K3450" i="2"/>
  <c r="J3450" i="2"/>
  <c r="I3450" i="2"/>
  <c r="A3450" i="2"/>
  <c r="K3449" i="2"/>
  <c r="J3449" i="2"/>
  <c r="I3449" i="2"/>
  <c r="A3449" i="2"/>
  <c r="K3448" i="2"/>
  <c r="J3448" i="2"/>
  <c r="I3448" i="2"/>
  <c r="A3448" i="2"/>
  <c r="K3447" i="2"/>
  <c r="J3447" i="2"/>
  <c r="I3447" i="2"/>
  <c r="A3447" i="2"/>
  <c r="K3446" i="2"/>
  <c r="J3446" i="2"/>
  <c r="I3446" i="2"/>
  <c r="A3446" i="2"/>
  <c r="K3445" i="2"/>
  <c r="J3445" i="2"/>
  <c r="I3445" i="2"/>
  <c r="A3445" i="2"/>
  <c r="K3444" i="2"/>
  <c r="J3444" i="2"/>
  <c r="I3444" i="2"/>
  <c r="A3444" i="2"/>
  <c r="K3443" i="2"/>
  <c r="J3443" i="2"/>
  <c r="I3443" i="2"/>
  <c r="A3443" i="2"/>
  <c r="K3442" i="2"/>
  <c r="J3442" i="2"/>
  <c r="I3442" i="2"/>
  <c r="A3442" i="2"/>
  <c r="K3441" i="2"/>
  <c r="J3441" i="2"/>
  <c r="I3441" i="2"/>
  <c r="A3441" i="2"/>
  <c r="K3440" i="2"/>
  <c r="J3440" i="2"/>
  <c r="I3440" i="2"/>
  <c r="A3440" i="2"/>
  <c r="K3439" i="2"/>
  <c r="J3439" i="2"/>
  <c r="I3439" i="2"/>
  <c r="A3439" i="2"/>
  <c r="K3438" i="2"/>
  <c r="J3438" i="2"/>
  <c r="I3438" i="2"/>
  <c r="A3438" i="2"/>
  <c r="K3437" i="2"/>
  <c r="J3437" i="2"/>
  <c r="I3437" i="2"/>
  <c r="A3437" i="2"/>
  <c r="K3436" i="2"/>
  <c r="J3436" i="2"/>
  <c r="I3436" i="2"/>
  <c r="A3436" i="2"/>
  <c r="K3435" i="2"/>
  <c r="J3435" i="2"/>
  <c r="I3435" i="2"/>
  <c r="A3435" i="2"/>
  <c r="K3434" i="2"/>
  <c r="J3434" i="2"/>
  <c r="I3434" i="2"/>
  <c r="A3434" i="2"/>
  <c r="K3433" i="2"/>
  <c r="J3433" i="2"/>
  <c r="I3433" i="2"/>
  <c r="A3433" i="2"/>
  <c r="K3432" i="2"/>
  <c r="J3432" i="2"/>
  <c r="I3432" i="2"/>
  <c r="A3432" i="2"/>
  <c r="K3431" i="2"/>
  <c r="J3431" i="2"/>
  <c r="I3431" i="2"/>
  <c r="A3431" i="2"/>
  <c r="K3430" i="2"/>
  <c r="J3430" i="2"/>
  <c r="I3430" i="2"/>
  <c r="A3430" i="2"/>
  <c r="K3429" i="2"/>
  <c r="J3429" i="2"/>
  <c r="I3429" i="2"/>
  <c r="A3429" i="2"/>
  <c r="K3428" i="2"/>
  <c r="J3428" i="2"/>
  <c r="I3428" i="2"/>
  <c r="A3428" i="2"/>
  <c r="K3427" i="2"/>
  <c r="J3427" i="2"/>
  <c r="I3427" i="2"/>
  <c r="A3427" i="2"/>
  <c r="K3426" i="2"/>
  <c r="J3426" i="2"/>
  <c r="I3426" i="2"/>
  <c r="A3426" i="2"/>
  <c r="K3425" i="2"/>
  <c r="J3425" i="2"/>
  <c r="I3425" i="2"/>
  <c r="A3425" i="2"/>
  <c r="K3424" i="2"/>
  <c r="J3424" i="2"/>
  <c r="I3424" i="2"/>
  <c r="A3424" i="2"/>
  <c r="K3423" i="2"/>
  <c r="J3423" i="2"/>
  <c r="I3423" i="2"/>
  <c r="A3423" i="2"/>
  <c r="K3422" i="2"/>
  <c r="J3422" i="2"/>
  <c r="I3422" i="2"/>
  <c r="A3422" i="2"/>
  <c r="K3421" i="2"/>
  <c r="J3421" i="2"/>
  <c r="I3421" i="2"/>
  <c r="A3421" i="2"/>
  <c r="K3420" i="2"/>
  <c r="J3420" i="2"/>
  <c r="I3420" i="2"/>
  <c r="A3420" i="2"/>
  <c r="K3419" i="2"/>
  <c r="J3419" i="2"/>
  <c r="I3419" i="2"/>
  <c r="A3419" i="2"/>
  <c r="K3418" i="2"/>
  <c r="J3418" i="2"/>
  <c r="I3418" i="2"/>
  <c r="A3418" i="2"/>
  <c r="K3417" i="2"/>
  <c r="J3417" i="2"/>
  <c r="I3417" i="2"/>
  <c r="A3417" i="2"/>
  <c r="K3416" i="2"/>
  <c r="J3416" i="2"/>
  <c r="I3416" i="2"/>
  <c r="A3416" i="2"/>
  <c r="K3415" i="2"/>
  <c r="J3415" i="2"/>
  <c r="I3415" i="2"/>
  <c r="A3415" i="2"/>
  <c r="K3414" i="2"/>
  <c r="J3414" i="2"/>
  <c r="I3414" i="2"/>
  <c r="A3414" i="2"/>
  <c r="K3413" i="2"/>
  <c r="J3413" i="2"/>
  <c r="I3413" i="2"/>
  <c r="A3413" i="2"/>
  <c r="K3412" i="2"/>
  <c r="J3412" i="2"/>
  <c r="I3412" i="2"/>
  <c r="A3412" i="2"/>
  <c r="K3411" i="2"/>
  <c r="J3411" i="2"/>
  <c r="I3411" i="2"/>
  <c r="A3411" i="2"/>
  <c r="K3410" i="2"/>
  <c r="J3410" i="2"/>
  <c r="I3410" i="2"/>
  <c r="A3410" i="2"/>
  <c r="K3409" i="2"/>
  <c r="J3409" i="2"/>
  <c r="I3409" i="2"/>
  <c r="A3409" i="2"/>
  <c r="K3408" i="2"/>
  <c r="J3408" i="2"/>
  <c r="I3408" i="2"/>
  <c r="A3408" i="2"/>
  <c r="K3407" i="2"/>
  <c r="J3407" i="2"/>
  <c r="I3407" i="2"/>
  <c r="A3407" i="2"/>
  <c r="K3406" i="2"/>
  <c r="J3406" i="2"/>
  <c r="I3406" i="2"/>
  <c r="A3406" i="2"/>
  <c r="K3405" i="2"/>
  <c r="J3405" i="2"/>
  <c r="I3405" i="2"/>
  <c r="A3405" i="2"/>
  <c r="K3404" i="2"/>
  <c r="J3404" i="2"/>
  <c r="I3404" i="2"/>
  <c r="A3404" i="2"/>
  <c r="K3403" i="2"/>
  <c r="J3403" i="2"/>
  <c r="I3403" i="2"/>
  <c r="A3403" i="2"/>
  <c r="K3402" i="2"/>
  <c r="J3402" i="2"/>
  <c r="I3402" i="2"/>
  <c r="A3402" i="2"/>
  <c r="K3401" i="2"/>
  <c r="J3401" i="2"/>
  <c r="I3401" i="2"/>
  <c r="A3401" i="2"/>
  <c r="K3400" i="2"/>
  <c r="J3400" i="2"/>
  <c r="I3400" i="2"/>
  <c r="A3400" i="2"/>
  <c r="K3399" i="2"/>
  <c r="J3399" i="2"/>
  <c r="I3399" i="2"/>
  <c r="A3399" i="2"/>
  <c r="K3398" i="2"/>
  <c r="J3398" i="2"/>
  <c r="I3398" i="2"/>
  <c r="A3398" i="2"/>
  <c r="K3397" i="2"/>
  <c r="J3397" i="2"/>
  <c r="I3397" i="2"/>
  <c r="A3397" i="2"/>
  <c r="K3396" i="2"/>
  <c r="J3396" i="2"/>
  <c r="I3396" i="2"/>
  <c r="A3396" i="2"/>
  <c r="K3395" i="2"/>
  <c r="J3395" i="2"/>
  <c r="I3395" i="2"/>
  <c r="A3395" i="2"/>
  <c r="K3394" i="2"/>
  <c r="J3394" i="2"/>
  <c r="I3394" i="2"/>
  <c r="A3394" i="2"/>
  <c r="K3393" i="2"/>
  <c r="J3393" i="2"/>
  <c r="I3393" i="2"/>
  <c r="A3393" i="2"/>
  <c r="K3392" i="2"/>
  <c r="J3392" i="2"/>
  <c r="I3392" i="2"/>
  <c r="A3392" i="2"/>
  <c r="K3391" i="2"/>
  <c r="J3391" i="2"/>
  <c r="I3391" i="2"/>
  <c r="A3391" i="2"/>
  <c r="K3390" i="2"/>
  <c r="J3390" i="2"/>
  <c r="I3390" i="2"/>
  <c r="A3390" i="2"/>
  <c r="K3389" i="2"/>
  <c r="J3389" i="2"/>
  <c r="I3389" i="2"/>
  <c r="A3389" i="2"/>
  <c r="K3388" i="2"/>
  <c r="J3388" i="2"/>
  <c r="I3388" i="2"/>
  <c r="A3388" i="2"/>
  <c r="K3387" i="2"/>
  <c r="J3387" i="2"/>
  <c r="I3387" i="2"/>
  <c r="A3387" i="2"/>
  <c r="K3386" i="2"/>
  <c r="J3386" i="2"/>
  <c r="I3386" i="2"/>
  <c r="A3386" i="2"/>
  <c r="K3385" i="2"/>
  <c r="J3385" i="2"/>
  <c r="I3385" i="2"/>
  <c r="A3385" i="2"/>
  <c r="K3384" i="2"/>
  <c r="J3384" i="2"/>
  <c r="I3384" i="2"/>
  <c r="A3384" i="2"/>
  <c r="K3383" i="2"/>
  <c r="J3383" i="2"/>
  <c r="I3383" i="2"/>
  <c r="A3383" i="2"/>
  <c r="K3382" i="2"/>
  <c r="J3382" i="2"/>
  <c r="I3382" i="2"/>
  <c r="A3382" i="2"/>
  <c r="K3381" i="2"/>
  <c r="J3381" i="2"/>
  <c r="I3381" i="2"/>
  <c r="A3381" i="2"/>
  <c r="K3380" i="2"/>
  <c r="J3380" i="2"/>
  <c r="I3380" i="2"/>
  <c r="A3380" i="2"/>
  <c r="K3379" i="2"/>
  <c r="J3379" i="2"/>
  <c r="I3379" i="2"/>
  <c r="A3379" i="2"/>
  <c r="K3378" i="2"/>
  <c r="J3378" i="2"/>
  <c r="I3378" i="2"/>
  <c r="A3378" i="2"/>
  <c r="K3377" i="2"/>
  <c r="J3377" i="2"/>
  <c r="I3377" i="2"/>
  <c r="A3377" i="2"/>
  <c r="K3376" i="2"/>
  <c r="J3376" i="2"/>
  <c r="I3376" i="2"/>
  <c r="A3376" i="2"/>
  <c r="K3375" i="2"/>
  <c r="J3375" i="2"/>
  <c r="I3375" i="2"/>
  <c r="A3375" i="2"/>
  <c r="K3374" i="2"/>
  <c r="J3374" i="2"/>
  <c r="I3374" i="2"/>
  <c r="A3374" i="2"/>
  <c r="K3373" i="2"/>
  <c r="J3373" i="2"/>
  <c r="I3373" i="2"/>
  <c r="A3373" i="2"/>
  <c r="K3372" i="2"/>
  <c r="J3372" i="2"/>
  <c r="I3372" i="2"/>
  <c r="A3372" i="2"/>
  <c r="K3371" i="2"/>
  <c r="J3371" i="2"/>
  <c r="I3371" i="2"/>
  <c r="A3371" i="2"/>
  <c r="K3370" i="2"/>
  <c r="J3370" i="2"/>
  <c r="I3370" i="2"/>
  <c r="A3370" i="2"/>
  <c r="K3369" i="2"/>
  <c r="J3369" i="2"/>
  <c r="I3369" i="2"/>
  <c r="A3369" i="2"/>
  <c r="K3368" i="2"/>
  <c r="J3368" i="2"/>
  <c r="I3368" i="2"/>
  <c r="A3368" i="2"/>
  <c r="K3367" i="2"/>
  <c r="J3367" i="2"/>
  <c r="I3367" i="2"/>
  <c r="A3367" i="2"/>
  <c r="K3366" i="2"/>
  <c r="J3366" i="2"/>
  <c r="I3366" i="2"/>
  <c r="A3366" i="2"/>
  <c r="K3365" i="2"/>
  <c r="J3365" i="2"/>
  <c r="I3365" i="2"/>
  <c r="A3365" i="2"/>
  <c r="K3364" i="2"/>
  <c r="J3364" i="2"/>
  <c r="I3364" i="2"/>
  <c r="A3364" i="2"/>
  <c r="K3363" i="2"/>
  <c r="J3363" i="2"/>
  <c r="I3363" i="2"/>
  <c r="A3363" i="2"/>
  <c r="K3362" i="2"/>
  <c r="J3362" i="2"/>
  <c r="I3362" i="2"/>
  <c r="A3362" i="2"/>
  <c r="K3361" i="2"/>
  <c r="J3361" i="2"/>
  <c r="I3361" i="2"/>
  <c r="A3361" i="2"/>
  <c r="K3360" i="2"/>
  <c r="J3360" i="2"/>
  <c r="I3360" i="2"/>
  <c r="A3360" i="2"/>
  <c r="K3359" i="2"/>
  <c r="J3359" i="2"/>
  <c r="I3359" i="2"/>
  <c r="A3359" i="2"/>
  <c r="K3358" i="2"/>
  <c r="J3358" i="2"/>
  <c r="I3358" i="2"/>
  <c r="A3358" i="2"/>
  <c r="K3357" i="2"/>
  <c r="J3357" i="2"/>
  <c r="I3357" i="2"/>
  <c r="A3357" i="2"/>
  <c r="K3356" i="2"/>
  <c r="J3356" i="2"/>
  <c r="I3356" i="2"/>
  <c r="A3356" i="2"/>
  <c r="K3355" i="2"/>
  <c r="J3355" i="2"/>
  <c r="I3355" i="2"/>
  <c r="A3355" i="2"/>
  <c r="K3354" i="2"/>
  <c r="J3354" i="2"/>
  <c r="I3354" i="2"/>
  <c r="A3354" i="2"/>
  <c r="K3353" i="2"/>
  <c r="J3353" i="2"/>
  <c r="I3353" i="2"/>
  <c r="A3353" i="2"/>
  <c r="K3352" i="2"/>
  <c r="J3352" i="2"/>
  <c r="I3352" i="2"/>
  <c r="A3352" i="2"/>
  <c r="K3351" i="2"/>
  <c r="J3351" i="2"/>
  <c r="I3351" i="2"/>
  <c r="A3351" i="2"/>
  <c r="K3350" i="2"/>
  <c r="J3350" i="2"/>
  <c r="I3350" i="2"/>
  <c r="A3350" i="2"/>
  <c r="K3349" i="2"/>
  <c r="J3349" i="2"/>
  <c r="I3349" i="2"/>
  <c r="A3349" i="2"/>
  <c r="K3348" i="2"/>
  <c r="J3348" i="2"/>
  <c r="I3348" i="2"/>
  <c r="A3348" i="2"/>
  <c r="K3347" i="2"/>
  <c r="J3347" i="2"/>
  <c r="I3347" i="2"/>
  <c r="A3347" i="2"/>
  <c r="K3346" i="2"/>
  <c r="J3346" i="2"/>
  <c r="I3346" i="2"/>
  <c r="A3346" i="2"/>
  <c r="K3345" i="2"/>
  <c r="J3345" i="2"/>
  <c r="I3345" i="2"/>
  <c r="A3345" i="2"/>
  <c r="K3344" i="2"/>
  <c r="J3344" i="2"/>
  <c r="I3344" i="2"/>
  <c r="A3344" i="2"/>
  <c r="K3343" i="2"/>
  <c r="J3343" i="2"/>
  <c r="I3343" i="2"/>
  <c r="A3343" i="2"/>
  <c r="K3342" i="2"/>
  <c r="J3342" i="2"/>
  <c r="I3342" i="2"/>
  <c r="A3342" i="2"/>
  <c r="K3341" i="2"/>
  <c r="J3341" i="2"/>
  <c r="I3341" i="2"/>
  <c r="A3341" i="2"/>
  <c r="K3340" i="2"/>
  <c r="J3340" i="2"/>
  <c r="I3340" i="2"/>
  <c r="A3340" i="2"/>
  <c r="K3339" i="2"/>
  <c r="J3339" i="2"/>
  <c r="I3339" i="2"/>
  <c r="A3339" i="2"/>
  <c r="K3338" i="2"/>
  <c r="J3338" i="2"/>
  <c r="I3338" i="2"/>
  <c r="A3338" i="2"/>
  <c r="K3337" i="2"/>
  <c r="J3337" i="2"/>
  <c r="I3337" i="2"/>
  <c r="A3337" i="2"/>
  <c r="K3336" i="2"/>
  <c r="J3336" i="2"/>
  <c r="I3336" i="2"/>
  <c r="A3336" i="2"/>
  <c r="K3335" i="2"/>
  <c r="J3335" i="2"/>
  <c r="I3335" i="2"/>
  <c r="A3335" i="2"/>
  <c r="K3334" i="2"/>
  <c r="J3334" i="2"/>
  <c r="I3334" i="2"/>
  <c r="A3334" i="2"/>
  <c r="K3333" i="2"/>
  <c r="J3333" i="2"/>
  <c r="I3333" i="2"/>
  <c r="A3333" i="2"/>
  <c r="K3332" i="2"/>
  <c r="J3332" i="2"/>
  <c r="I3332" i="2"/>
  <c r="A3332" i="2"/>
  <c r="K3331" i="2"/>
  <c r="J3331" i="2"/>
  <c r="I3331" i="2"/>
  <c r="A3331" i="2"/>
  <c r="K3330" i="2"/>
  <c r="J3330" i="2"/>
  <c r="I3330" i="2"/>
  <c r="A3330" i="2"/>
  <c r="K3329" i="2"/>
  <c r="J3329" i="2"/>
  <c r="I3329" i="2"/>
  <c r="A3329" i="2"/>
  <c r="K3328" i="2"/>
  <c r="J3328" i="2"/>
  <c r="I3328" i="2"/>
  <c r="A3328" i="2"/>
  <c r="K3327" i="2"/>
  <c r="J3327" i="2"/>
  <c r="I3327" i="2"/>
  <c r="A3327" i="2"/>
  <c r="K3326" i="2"/>
  <c r="J3326" i="2"/>
  <c r="I3326" i="2"/>
  <c r="A3326" i="2"/>
  <c r="K3325" i="2"/>
  <c r="J3325" i="2"/>
  <c r="I3325" i="2"/>
  <c r="A3325" i="2"/>
  <c r="K3324" i="2"/>
  <c r="J3324" i="2"/>
  <c r="I3324" i="2"/>
  <c r="A3324" i="2"/>
  <c r="K3323" i="2"/>
  <c r="J3323" i="2"/>
  <c r="I3323" i="2"/>
  <c r="A3323" i="2"/>
  <c r="K3322" i="2"/>
  <c r="J3322" i="2"/>
  <c r="I3322" i="2"/>
  <c r="A3322" i="2"/>
  <c r="K3321" i="2"/>
  <c r="J3321" i="2"/>
  <c r="I3321" i="2"/>
  <c r="A3321" i="2"/>
  <c r="K3320" i="2"/>
  <c r="J3320" i="2"/>
  <c r="I3320" i="2"/>
  <c r="A3320" i="2"/>
  <c r="K3319" i="2"/>
  <c r="J3319" i="2"/>
  <c r="I3319" i="2"/>
  <c r="A3319" i="2"/>
  <c r="K3318" i="2"/>
  <c r="J3318" i="2"/>
  <c r="I3318" i="2"/>
  <c r="A3318" i="2"/>
  <c r="K3317" i="2"/>
  <c r="J3317" i="2"/>
  <c r="I3317" i="2"/>
  <c r="A3317" i="2"/>
  <c r="K3316" i="2"/>
  <c r="J3316" i="2"/>
  <c r="I3316" i="2"/>
  <c r="A3316" i="2"/>
  <c r="K3315" i="2"/>
  <c r="J3315" i="2"/>
  <c r="I3315" i="2"/>
  <c r="A3315" i="2"/>
  <c r="K3314" i="2"/>
  <c r="J3314" i="2"/>
  <c r="I3314" i="2"/>
  <c r="A3314" i="2"/>
  <c r="K3313" i="2"/>
  <c r="J3313" i="2"/>
  <c r="I3313" i="2"/>
  <c r="A3313" i="2"/>
  <c r="K3312" i="2"/>
  <c r="J3312" i="2"/>
  <c r="I3312" i="2"/>
  <c r="A3312" i="2"/>
  <c r="K3311" i="2"/>
  <c r="J3311" i="2"/>
  <c r="I3311" i="2"/>
  <c r="A3311" i="2"/>
  <c r="K3310" i="2"/>
  <c r="J3310" i="2"/>
  <c r="I3310" i="2"/>
  <c r="A3310" i="2"/>
  <c r="K3309" i="2"/>
  <c r="J3309" i="2"/>
  <c r="I3309" i="2"/>
  <c r="A3309" i="2"/>
  <c r="K3308" i="2"/>
  <c r="J3308" i="2"/>
  <c r="I3308" i="2"/>
  <c r="A3308" i="2"/>
  <c r="K3307" i="2"/>
  <c r="J3307" i="2"/>
  <c r="I3307" i="2"/>
  <c r="A3307" i="2"/>
  <c r="K3306" i="2"/>
  <c r="J3306" i="2"/>
  <c r="I3306" i="2"/>
  <c r="A3306" i="2"/>
  <c r="K3305" i="2"/>
  <c r="J3305" i="2"/>
  <c r="I3305" i="2"/>
  <c r="A3305" i="2"/>
  <c r="K3304" i="2"/>
  <c r="J3304" i="2"/>
  <c r="I3304" i="2"/>
  <c r="A3304" i="2"/>
  <c r="K3303" i="2"/>
  <c r="J3303" i="2"/>
  <c r="I3303" i="2"/>
  <c r="A3303" i="2"/>
  <c r="K3302" i="2"/>
  <c r="J3302" i="2"/>
  <c r="I3302" i="2"/>
  <c r="A3302" i="2"/>
  <c r="K3301" i="2"/>
  <c r="J3301" i="2"/>
  <c r="I3301" i="2"/>
  <c r="A3301" i="2"/>
  <c r="K3300" i="2"/>
  <c r="J3300" i="2"/>
  <c r="I3300" i="2"/>
  <c r="A3300" i="2"/>
  <c r="K3299" i="2"/>
  <c r="J3299" i="2"/>
  <c r="I3299" i="2"/>
  <c r="A3299" i="2"/>
  <c r="K3298" i="2"/>
  <c r="J3298" i="2"/>
  <c r="I3298" i="2"/>
  <c r="A3298" i="2"/>
  <c r="K3297" i="2"/>
  <c r="J3297" i="2"/>
  <c r="I3297" i="2"/>
  <c r="A3297" i="2"/>
  <c r="K3296" i="2"/>
  <c r="J3296" i="2"/>
  <c r="I3296" i="2"/>
  <c r="A3296" i="2"/>
  <c r="K3295" i="2"/>
  <c r="J3295" i="2"/>
  <c r="I3295" i="2"/>
  <c r="A3295" i="2"/>
  <c r="K3294" i="2"/>
  <c r="J3294" i="2"/>
  <c r="I3294" i="2"/>
  <c r="A3294" i="2"/>
  <c r="K3293" i="2"/>
  <c r="J3293" i="2"/>
  <c r="I3293" i="2"/>
  <c r="A3293" i="2"/>
  <c r="K3292" i="2"/>
  <c r="J3292" i="2"/>
  <c r="I3292" i="2"/>
  <c r="A3292" i="2"/>
  <c r="K3291" i="2"/>
  <c r="J3291" i="2"/>
  <c r="I3291" i="2"/>
  <c r="A3291" i="2"/>
  <c r="K3290" i="2"/>
  <c r="J3290" i="2"/>
  <c r="I3290" i="2"/>
  <c r="A3290" i="2"/>
  <c r="K3289" i="2"/>
  <c r="J3289" i="2"/>
  <c r="I3289" i="2"/>
  <c r="A3289" i="2"/>
  <c r="K3288" i="2"/>
  <c r="J3288" i="2"/>
  <c r="I3288" i="2"/>
  <c r="A3288" i="2"/>
  <c r="K3287" i="2"/>
  <c r="J3287" i="2"/>
  <c r="I3287" i="2"/>
  <c r="A3287" i="2"/>
  <c r="K3286" i="2"/>
  <c r="J3286" i="2"/>
  <c r="I3286" i="2"/>
  <c r="A3286" i="2"/>
  <c r="K3285" i="2"/>
  <c r="J3285" i="2"/>
  <c r="I3285" i="2"/>
  <c r="A3285" i="2"/>
  <c r="K3284" i="2"/>
  <c r="J3284" i="2"/>
  <c r="I3284" i="2"/>
  <c r="A3284" i="2"/>
  <c r="K3283" i="2"/>
  <c r="J3283" i="2"/>
  <c r="I3283" i="2"/>
  <c r="A3283" i="2"/>
  <c r="K3282" i="2"/>
  <c r="J3282" i="2"/>
  <c r="I3282" i="2"/>
  <c r="A3282" i="2"/>
  <c r="K3281" i="2"/>
  <c r="J3281" i="2"/>
  <c r="I3281" i="2"/>
  <c r="A3281" i="2"/>
  <c r="K3280" i="2"/>
  <c r="J3280" i="2"/>
  <c r="I3280" i="2"/>
  <c r="A3280" i="2"/>
  <c r="K3279" i="2"/>
  <c r="J3279" i="2"/>
  <c r="I3279" i="2"/>
  <c r="A3279" i="2"/>
  <c r="K3278" i="2"/>
  <c r="J3278" i="2"/>
  <c r="I3278" i="2"/>
  <c r="A3278" i="2"/>
  <c r="K3277" i="2"/>
  <c r="J3277" i="2"/>
  <c r="I3277" i="2"/>
  <c r="A3277" i="2"/>
  <c r="K3276" i="2"/>
  <c r="J3276" i="2"/>
  <c r="I3276" i="2"/>
  <c r="A3276" i="2"/>
  <c r="K3275" i="2"/>
  <c r="J3275" i="2"/>
  <c r="I3275" i="2"/>
  <c r="A3275" i="2"/>
  <c r="K3274" i="2"/>
  <c r="J3274" i="2"/>
  <c r="I3274" i="2"/>
  <c r="A3274" i="2"/>
  <c r="K3273" i="2"/>
  <c r="J3273" i="2"/>
  <c r="I3273" i="2"/>
  <c r="A3273" i="2"/>
  <c r="K3272" i="2"/>
  <c r="J3272" i="2"/>
  <c r="I3272" i="2"/>
  <c r="A3272" i="2"/>
  <c r="K3271" i="2"/>
  <c r="J3271" i="2"/>
  <c r="I3271" i="2"/>
  <c r="A3271" i="2"/>
  <c r="K3270" i="2"/>
  <c r="J3270" i="2"/>
  <c r="I3270" i="2"/>
  <c r="A3270" i="2"/>
  <c r="K3269" i="2"/>
  <c r="J3269" i="2"/>
  <c r="I3269" i="2"/>
  <c r="A3269" i="2"/>
  <c r="K3268" i="2"/>
  <c r="J3268" i="2"/>
  <c r="I3268" i="2"/>
  <c r="A3268" i="2"/>
  <c r="K3267" i="2"/>
  <c r="J3267" i="2"/>
  <c r="I3267" i="2"/>
  <c r="A3267" i="2"/>
  <c r="K3266" i="2"/>
  <c r="J3266" i="2"/>
  <c r="I3266" i="2"/>
  <c r="A3266" i="2"/>
  <c r="K3265" i="2"/>
  <c r="J3265" i="2"/>
  <c r="I3265" i="2"/>
  <c r="A3265" i="2"/>
  <c r="K3264" i="2"/>
  <c r="J3264" i="2"/>
  <c r="I3264" i="2"/>
  <c r="A3264" i="2"/>
  <c r="K3263" i="2"/>
  <c r="J3263" i="2"/>
  <c r="I3263" i="2"/>
  <c r="A3263" i="2"/>
  <c r="K3262" i="2"/>
  <c r="J3262" i="2"/>
  <c r="I3262" i="2"/>
  <c r="A3262" i="2"/>
  <c r="K3261" i="2"/>
  <c r="J3261" i="2"/>
  <c r="I3261" i="2"/>
  <c r="A3261" i="2"/>
  <c r="K3260" i="2"/>
  <c r="J3260" i="2"/>
  <c r="I3260" i="2"/>
  <c r="A3260" i="2"/>
  <c r="K3259" i="2"/>
  <c r="J3259" i="2"/>
  <c r="I3259" i="2"/>
  <c r="A3259" i="2"/>
  <c r="K3258" i="2"/>
  <c r="J3258" i="2"/>
  <c r="I3258" i="2"/>
  <c r="A3258" i="2"/>
  <c r="K3257" i="2"/>
  <c r="J3257" i="2"/>
  <c r="I3257" i="2"/>
  <c r="A3257" i="2"/>
  <c r="K3256" i="2"/>
  <c r="J3256" i="2"/>
  <c r="I3256" i="2"/>
  <c r="A3256" i="2"/>
  <c r="K3255" i="2"/>
  <c r="J3255" i="2"/>
  <c r="I3255" i="2"/>
  <c r="A3255" i="2"/>
  <c r="K3254" i="2"/>
  <c r="J3254" i="2"/>
  <c r="I3254" i="2"/>
  <c r="A3254" i="2"/>
  <c r="K3253" i="2"/>
  <c r="J3253" i="2"/>
  <c r="I3253" i="2"/>
  <c r="A3253" i="2"/>
  <c r="K3252" i="2"/>
  <c r="J3252" i="2"/>
  <c r="I3252" i="2"/>
  <c r="A3252" i="2"/>
  <c r="K3251" i="2"/>
  <c r="J3251" i="2"/>
  <c r="I3251" i="2"/>
  <c r="A3251" i="2"/>
  <c r="K3250" i="2"/>
  <c r="J3250" i="2"/>
  <c r="I3250" i="2"/>
  <c r="A3250" i="2"/>
  <c r="K3249" i="2"/>
  <c r="J3249" i="2"/>
  <c r="I3249" i="2"/>
  <c r="A3249" i="2"/>
  <c r="K3248" i="2"/>
  <c r="J3248" i="2"/>
  <c r="I3248" i="2"/>
  <c r="A3248" i="2"/>
  <c r="K3247" i="2"/>
  <c r="J3247" i="2"/>
  <c r="I3247" i="2"/>
  <c r="A3247" i="2"/>
  <c r="K3246" i="2"/>
  <c r="J3246" i="2"/>
  <c r="I3246" i="2"/>
  <c r="A3246" i="2"/>
  <c r="K3245" i="2"/>
  <c r="J3245" i="2"/>
  <c r="I3245" i="2"/>
  <c r="A3245" i="2"/>
  <c r="K3244" i="2"/>
  <c r="J3244" i="2"/>
  <c r="I3244" i="2"/>
  <c r="A3244" i="2"/>
  <c r="K3243" i="2"/>
  <c r="J3243" i="2"/>
  <c r="I3243" i="2"/>
  <c r="A3243" i="2"/>
  <c r="K3242" i="2"/>
  <c r="J3242" i="2"/>
  <c r="I3242" i="2"/>
  <c r="A3242" i="2"/>
  <c r="K3241" i="2"/>
  <c r="J3241" i="2"/>
  <c r="I3241" i="2"/>
  <c r="A3241" i="2"/>
  <c r="K3240" i="2"/>
  <c r="J3240" i="2"/>
  <c r="I3240" i="2"/>
  <c r="A3240" i="2"/>
  <c r="K3239" i="2"/>
  <c r="J3239" i="2"/>
  <c r="I3239" i="2"/>
  <c r="A3239" i="2"/>
  <c r="K3238" i="2"/>
  <c r="J3238" i="2"/>
  <c r="I3238" i="2"/>
  <c r="A3238" i="2"/>
  <c r="K3237" i="2"/>
  <c r="J3237" i="2"/>
  <c r="I3237" i="2"/>
  <c r="A3237" i="2"/>
  <c r="K3236" i="2"/>
  <c r="J3236" i="2"/>
  <c r="I3236" i="2"/>
  <c r="A3236" i="2"/>
  <c r="K3235" i="2"/>
  <c r="J3235" i="2"/>
  <c r="I3235" i="2"/>
  <c r="A3235" i="2"/>
  <c r="K3234" i="2"/>
  <c r="J3234" i="2"/>
  <c r="I3234" i="2"/>
  <c r="A3234" i="2"/>
  <c r="K3233" i="2"/>
  <c r="J3233" i="2"/>
  <c r="I3233" i="2"/>
  <c r="A3233" i="2"/>
  <c r="K3232" i="2"/>
  <c r="J3232" i="2"/>
  <c r="I3232" i="2"/>
  <c r="A3232" i="2"/>
  <c r="K3231" i="2"/>
  <c r="J3231" i="2"/>
  <c r="I3231" i="2"/>
  <c r="A3231" i="2"/>
  <c r="K3230" i="2"/>
  <c r="J3230" i="2"/>
  <c r="I3230" i="2"/>
  <c r="A3230" i="2"/>
  <c r="K3229" i="2"/>
  <c r="J3229" i="2"/>
  <c r="I3229" i="2"/>
  <c r="A3229" i="2"/>
  <c r="K3228" i="2"/>
  <c r="J3228" i="2"/>
  <c r="I3228" i="2"/>
  <c r="A3228" i="2"/>
  <c r="K3227" i="2"/>
  <c r="J3227" i="2"/>
  <c r="I3227" i="2"/>
  <c r="A3227" i="2"/>
  <c r="K3226" i="2"/>
  <c r="J3226" i="2"/>
  <c r="I3226" i="2"/>
  <c r="A3226" i="2"/>
  <c r="K3225" i="2"/>
  <c r="J3225" i="2"/>
  <c r="I3225" i="2"/>
  <c r="A3225" i="2"/>
  <c r="K3224" i="2"/>
  <c r="J3224" i="2"/>
  <c r="I3224" i="2"/>
  <c r="A3224" i="2"/>
  <c r="K3223" i="2"/>
  <c r="J3223" i="2"/>
  <c r="I3223" i="2"/>
  <c r="A3223" i="2"/>
  <c r="K3222" i="2"/>
  <c r="J3222" i="2"/>
  <c r="I3222" i="2"/>
  <c r="A3222" i="2"/>
  <c r="K3221" i="2"/>
  <c r="J3221" i="2"/>
  <c r="I3221" i="2"/>
  <c r="A3221" i="2"/>
  <c r="K3220" i="2"/>
  <c r="J3220" i="2"/>
  <c r="I3220" i="2"/>
  <c r="A3220" i="2"/>
  <c r="K3219" i="2"/>
  <c r="J3219" i="2"/>
  <c r="I3219" i="2"/>
  <c r="A3219" i="2"/>
  <c r="K3218" i="2"/>
  <c r="J3218" i="2"/>
  <c r="I3218" i="2"/>
  <c r="A3218" i="2"/>
  <c r="K3217" i="2"/>
  <c r="J3217" i="2"/>
  <c r="I3217" i="2"/>
  <c r="A3217" i="2"/>
  <c r="K3216" i="2"/>
  <c r="J3216" i="2"/>
  <c r="I3216" i="2"/>
  <c r="A3216" i="2"/>
  <c r="K3215" i="2"/>
  <c r="J3215" i="2"/>
  <c r="I3215" i="2"/>
  <c r="A3215" i="2"/>
  <c r="K3214" i="2"/>
  <c r="J3214" i="2"/>
  <c r="I3214" i="2"/>
  <c r="A3214" i="2"/>
  <c r="K3213" i="2"/>
  <c r="J3213" i="2"/>
  <c r="I3213" i="2"/>
  <c r="A3213" i="2"/>
  <c r="K3212" i="2"/>
  <c r="J3212" i="2"/>
  <c r="I3212" i="2"/>
  <c r="A3212" i="2"/>
  <c r="K3211" i="2"/>
  <c r="J3211" i="2"/>
  <c r="I3211" i="2"/>
  <c r="A3211" i="2"/>
  <c r="K3210" i="2"/>
  <c r="J3210" i="2"/>
  <c r="I3210" i="2"/>
  <c r="A3210" i="2"/>
  <c r="K3209" i="2"/>
  <c r="J3209" i="2"/>
  <c r="I3209" i="2"/>
  <c r="A3209" i="2"/>
  <c r="K3208" i="2"/>
  <c r="J3208" i="2"/>
  <c r="I3208" i="2"/>
  <c r="A3208" i="2"/>
  <c r="K3207" i="2"/>
  <c r="J3207" i="2"/>
  <c r="I3207" i="2"/>
  <c r="A3207" i="2"/>
  <c r="K3206" i="2"/>
  <c r="J3206" i="2"/>
  <c r="I3206" i="2"/>
  <c r="A3206" i="2"/>
  <c r="K3205" i="2"/>
  <c r="J3205" i="2"/>
  <c r="I3205" i="2"/>
  <c r="A3205" i="2"/>
  <c r="K3204" i="2"/>
  <c r="J3204" i="2"/>
  <c r="I3204" i="2"/>
  <c r="A3204" i="2"/>
  <c r="K3203" i="2"/>
  <c r="J3203" i="2"/>
  <c r="I3203" i="2"/>
  <c r="A3203" i="2"/>
  <c r="K3202" i="2"/>
  <c r="J3202" i="2"/>
  <c r="I3202" i="2"/>
  <c r="A3202" i="2"/>
  <c r="K3201" i="2"/>
  <c r="J3201" i="2"/>
  <c r="I3201" i="2"/>
  <c r="A3201" i="2"/>
  <c r="K3200" i="2"/>
  <c r="J3200" i="2"/>
  <c r="I3200" i="2"/>
  <c r="A3200" i="2"/>
  <c r="K3199" i="2"/>
  <c r="J3199" i="2"/>
  <c r="I3199" i="2"/>
  <c r="A3199" i="2"/>
  <c r="K3198" i="2"/>
  <c r="J3198" i="2"/>
  <c r="I3198" i="2"/>
  <c r="A3198" i="2"/>
  <c r="K3197" i="2"/>
  <c r="J3197" i="2"/>
  <c r="I3197" i="2"/>
  <c r="A3197" i="2"/>
  <c r="K3196" i="2"/>
  <c r="J3196" i="2"/>
  <c r="I3196" i="2"/>
  <c r="A3196" i="2"/>
  <c r="K3195" i="2"/>
  <c r="J3195" i="2"/>
  <c r="I3195" i="2"/>
  <c r="A3195" i="2"/>
  <c r="K3194" i="2"/>
  <c r="J3194" i="2"/>
  <c r="I3194" i="2"/>
  <c r="A3194" i="2"/>
  <c r="K3193" i="2"/>
  <c r="J3193" i="2"/>
  <c r="I3193" i="2"/>
  <c r="A3193" i="2"/>
  <c r="K3192" i="2"/>
  <c r="J3192" i="2"/>
  <c r="I3192" i="2"/>
  <c r="A3192" i="2"/>
  <c r="K3191" i="2"/>
  <c r="J3191" i="2"/>
  <c r="I3191" i="2"/>
  <c r="A3191" i="2"/>
  <c r="K3190" i="2"/>
  <c r="J3190" i="2"/>
  <c r="I3190" i="2"/>
  <c r="A3190" i="2"/>
  <c r="K3189" i="2"/>
  <c r="J3189" i="2"/>
  <c r="I3189" i="2"/>
  <c r="A3189" i="2"/>
  <c r="K3188" i="2"/>
  <c r="J3188" i="2"/>
  <c r="I3188" i="2"/>
  <c r="A3188" i="2"/>
  <c r="K3187" i="2"/>
  <c r="J3187" i="2"/>
  <c r="I3187" i="2"/>
  <c r="A3187" i="2"/>
  <c r="K3186" i="2"/>
  <c r="J3186" i="2"/>
  <c r="I3186" i="2"/>
  <c r="A3186" i="2"/>
  <c r="K3185" i="2"/>
  <c r="J3185" i="2"/>
  <c r="I3185" i="2"/>
  <c r="A3185" i="2"/>
  <c r="K3184" i="2"/>
  <c r="J3184" i="2"/>
  <c r="I3184" i="2"/>
  <c r="A3184" i="2"/>
  <c r="K3183" i="2"/>
  <c r="J3183" i="2"/>
  <c r="I3183" i="2"/>
  <c r="A3183" i="2"/>
  <c r="K3182" i="2"/>
  <c r="J3182" i="2"/>
  <c r="I3182" i="2"/>
  <c r="A3182" i="2"/>
  <c r="K3181" i="2"/>
  <c r="J3181" i="2"/>
  <c r="I3181" i="2"/>
  <c r="A3181" i="2"/>
  <c r="K3180" i="2"/>
  <c r="J3180" i="2"/>
  <c r="I3180" i="2"/>
  <c r="A3180" i="2"/>
  <c r="K3179" i="2"/>
  <c r="J3179" i="2"/>
  <c r="I3179" i="2"/>
  <c r="A3179" i="2"/>
  <c r="K3178" i="2"/>
  <c r="J3178" i="2"/>
  <c r="I3178" i="2"/>
  <c r="A3178" i="2"/>
  <c r="K3177" i="2"/>
  <c r="J3177" i="2"/>
  <c r="I3177" i="2"/>
  <c r="A3177" i="2"/>
  <c r="K3176" i="2"/>
  <c r="J3176" i="2"/>
  <c r="I3176" i="2"/>
  <c r="A3176" i="2"/>
  <c r="K3175" i="2"/>
  <c r="J3175" i="2"/>
  <c r="I3175" i="2"/>
  <c r="A3175" i="2"/>
  <c r="K3174" i="2"/>
  <c r="J3174" i="2"/>
  <c r="I3174" i="2"/>
  <c r="A3174" i="2"/>
  <c r="K3173" i="2"/>
  <c r="J3173" i="2"/>
  <c r="I3173" i="2"/>
  <c r="A3173" i="2"/>
  <c r="K3172" i="2"/>
  <c r="J3172" i="2"/>
  <c r="I3172" i="2"/>
  <c r="A3172" i="2"/>
  <c r="K3171" i="2"/>
  <c r="J3171" i="2"/>
  <c r="I3171" i="2"/>
  <c r="A3171" i="2"/>
  <c r="K3170" i="2"/>
  <c r="J3170" i="2"/>
  <c r="I3170" i="2"/>
  <c r="A3170" i="2"/>
  <c r="K3169" i="2"/>
  <c r="J3169" i="2"/>
  <c r="I3169" i="2"/>
  <c r="A3169" i="2"/>
  <c r="K3168" i="2"/>
  <c r="J3168" i="2"/>
  <c r="I3168" i="2"/>
  <c r="A3168" i="2"/>
  <c r="K3167" i="2"/>
  <c r="J3167" i="2"/>
  <c r="I3167" i="2"/>
  <c r="A3167" i="2"/>
  <c r="K3166" i="2"/>
  <c r="J3166" i="2"/>
  <c r="I3166" i="2"/>
  <c r="A3166" i="2"/>
  <c r="K3165" i="2"/>
  <c r="J3165" i="2"/>
  <c r="I3165" i="2"/>
  <c r="A3165" i="2"/>
  <c r="K3164" i="2"/>
  <c r="J3164" i="2"/>
  <c r="I3164" i="2"/>
  <c r="A3164" i="2"/>
  <c r="K3163" i="2"/>
  <c r="J3163" i="2"/>
  <c r="I3163" i="2"/>
  <c r="A3163" i="2"/>
  <c r="K3162" i="2"/>
  <c r="J3162" i="2"/>
  <c r="I3162" i="2"/>
  <c r="A3162" i="2"/>
  <c r="K3161" i="2"/>
  <c r="J3161" i="2"/>
  <c r="I3161" i="2"/>
  <c r="A3161" i="2"/>
  <c r="K3160" i="2"/>
  <c r="J3160" i="2"/>
  <c r="I3160" i="2"/>
  <c r="A3160" i="2"/>
  <c r="K3159" i="2"/>
  <c r="J3159" i="2"/>
  <c r="I3159" i="2"/>
  <c r="A3159" i="2"/>
  <c r="K3158" i="2"/>
  <c r="J3158" i="2"/>
  <c r="I3158" i="2"/>
  <c r="A3158" i="2"/>
  <c r="K3157" i="2"/>
  <c r="J3157" i="2"/>
  <c r="I3157" i="2"/>
  <c r="A3157" i="2"/>
  <c r="K3156" i="2"/>
  <c r="J3156" i="2"/>
  <c r="I3156" i="2"/>
  <c r="A3156" i="2"/>
  <c r="K3155" i="2"/>
  <c r="J3155" i="2"/>
  <c r="I3155" i="2"/>
  <c r="A3155" i="2"/>
  <c r="K3154" i="2"/>
  <c r="J3154" i="2"/>
  <c r="I3154" i="2"/>
  <c r="A3154" i="2"/>
  <c r="K3153" i="2"/>
  <c r="J3153" i="2"/>
  <c r="I3153" i="2"/>
  <c r="A3153" i="2"/>
  <c r="K3152" i="2"/>
  <c r="J3152" i="2"/>
  <c r="I3152" i="2"/>
  <c r="A3152" i="2"/>
  <c r="K3151" i="2"/>
  <c r="J3151" i="2"/>
  <c r="I3151" i="2"/>
  <c r="A3151" i="2"/>
  <c r="K3150" i="2"/>
  <c r="J3150" i="2"/>
  <c r="I3150" i="2"/>
  <c r="A3150" i="2"/>
  <c r="K3149" i="2"/>
  <c r="J3149" i="2"/>
  <c r="I3149" i="2"/>
  <c r="A3149" i="2"/>
  <c r="K3148" i="2"/>
  <c r="J3148" i="2"/>
  <c r="I3148" i="2"/>
  <c r="A3148" i="2"/>
  <c r="K3147" i="2"/>
  <c r="J3147" i="2"/>
  <c r="I3147" i="2"/>
  <c r="A3147" i="2"/>
  <c r="K3146" i="2"/>
  <c r="J3146" i="2"/>
  <c r="I3146" i="2"/>
  <c r="A3146" i="2"/>
  <c r="K3145" i="2"/>
  <c r="J3145" i="2"/>
  <c r="I3145" i="2"/>
  <c r="A3145" i="2"/>
  <c r="K3144" i="2"/>
  <c r="J3144" i="2"/>
  <c r="I3144" i="2"/>
  <c r="A3144" i="2"/>
  <c r="K3143" i="2"/>
  <c r="J3143" i="2"/>
  <c r="I3143" i="2"/>
  <c r="A3143" i="2"/>
  <c r="K3142" i="2"/>
  <c r="J3142" i="2"/>
  <c r="I3142" i="2"/>
  <c r="A3142" i="2"/>
  <c r="K3141" i="2"/>
  <c r="J3141" i="2"/>
  <c r="I3141" i="2"/>
  <c r="A3141" i="2"/>
  <c r="K3140" i="2"/>
  <c r="J3140" i="2"/>
  <c r="I3140" i="2"/>
  <c r="A3140" i="2"/>
  <c r="K3139" i="2"/>
  <c r="J3139" i="2"/>
  <c r="I3139" i="2"/>
  <c r="A3139" i="2"/>
  <c r="K3138" i="2"/>
  <c r="J3138" i="2"/>
  <c r="I3138" i="2"/>
  <c r="A3138" i="2"/>
  <c r="K3137" i="2"/>
  <c r="J3137" i="2"/>
  <c r="I3137" i="2"/>
  <c r="A3137" i="2"/>
  <c r="K3136" i="2"/>
  <c r="J3136" i="2"/>
  <c r="I3136" i="2"/>
  <c r="A3136" i="2"/>
  <c r="K3135" i="2"/>
  <c r="J3135" i="2"/>
  <c r="I3135" i="2"/>
  <c r="A3135" i="2"/>
  <c r="K3134" i="2"/>
  <c r="J3134" i="2"/>
  <c r="I3134" i="2"/>
  <c r="A3134" i="2"/>
  <c r="K3133" i="2"/>
  <c r="J3133" i="2"/>
  <c r="I3133" i="2"/>
  <c r="A3133" i="2"/>
  <c r="K3132" i="2"/>
  <c r="J3132" i="2"/>
  <c r="I3132" i="2"/>
  <c r="A3132" i="2"/>
  <c r="K3131" i="2"/>
  <c r="J3131" i="2"/>
  <c r="I3131" i="2"/>
  <c r="A3131" i="2"/>
  <c r="K3130" i="2"/>
  <c r="J3130" i="2"/>
  <c r="I3130" i="2"/>
  <c r="A3130" i="2"/>
  <c r="K3129" i="2"/>
  <c r="J3129" i="2"/>
  <c r="I3129" i="2"/>
  <c r="A3129" i="2"/>
  <c r="K3128" i="2"/>
  <c r="J3128" i="2"/>
  <c r="I3128" i="2"/>
  <c r="A3128" i="2"/>
  <c r="K3127" i="2"/>
  <c r="J3127" i="2"/>
  <c r="I3127" i="2"/>
  <c r="A3127" i="2"/>
  <c r="K3126" i="2"/>
  <c r="J3126" i="2"/>
  <c r="I3126" i="2"/>
  <c r="A3126" i="2"/>
  <c r="K3125" i="2"/>
  <c r="J3125" i="2"/>
  <c r="I3125" i="2"/>
  <c r="A3125" i="2"/>
  <c r="K3124" i="2"/>
  <c r="J3124" i="2"/>
  <c r="I3124" i="2"/>
  <c r="A3124" i="2"/>
  <c r="K3123" i="2"/>
  <c r="J3123" i="2"/>
  <c r="I3123" i="2"/>
  <c r="A3123" i="2"/>
  <c r="K3122" i="2"/>
  <c r="J3122" i="2"/>
  <c r="I3122" i="2"/>
  <c r="A3122" i="2"/>
  <c r="K3121" i="2"/>
  <c r="J3121" i="2"/>
  <c r="I3121" i="2"/>
  <c r="A3121" i="2"/>
  <c r="K3120" i="2"/>
  <c r="J3120" i="2"/>
  <c r="I3120" i="2"/>
  <c r="A3120" i="2"/>
  <c r="K3119" i="2"/>
  <c r="J3119" i="2"/>
  <c r="I3119" i="2"/>
  <c r="A3119" i="2"/>
  <c r="K3118" i="2"/>
  <c r="J3118" i="2"/>
  <c r="I3118" i="2"/>
  <c r="A3118" i="2"/>
  <c r="K3117" i="2"/>
  <c r="J3117" i="2"/>
  <c r="I3117" i="2"/>
  <c r="A3117" i="2"/>
  <c r="K3116" i="2"/>
  <c r="J3116" i="2"/>
  <c r="I3116" i="2"/>
  <c r="A3116" i="2"/>
  <c r="K3115" i="2"/>
  <c r="J3115" i="2"/>
  <c r="I3115" i="2"/>
  <c r="A3115" i="2"/>
  <c r="K3114" i="2"/>
  <c r="J3114" i="2"/>
  <c r="I3114" i="2"/>
  <c r="A3114" i="2"/>
  <c r="K3113" i="2"/>
  <c r="J3113" i="2"/>
  <c r="I3113" i="2"/>
  <c r="A3113" i="2"/>
  <c r="K3112" i="2"/>
  <c r="J3112" i="2"/>
  <c r="I3112" i="2"/>
  <c r="A3112" i="2"/>
  <c r="K3111" i="2"/>
  <c r="J3111" i="2"/>
  <c r="I3111" i="2"/>
  <c r="A3111" i="2"/>
  <c r="K3110" i="2"/>
  <c r="J3110" i="2"/>
  <c r="I3110" i="2"/>
  <c r="A3110" i="2"/>
  <c r="K3109" i="2"/>
  <c r="J3109" i="2"/>
  <c r="I3109" i="2"/>
  <c r="A3109" i="2"/>
  <c r="K3108" i="2"/>
  <c r="J3108" i="2"/>
  <c r="I3108" i="2"/>
  <c r="A3108" i="2"/>
  <c r="K3107" i="2"/>
  <c r="J3107" i="2"/>
  <c r="I3107" i="2"/>
  <c r="A3107" i="2"/>
  <c r="K3106" i="2"/>
  <c r="J3106" i="2"/>
  <c r="I3106" i="2"/>
  <c r="A3106" i="2"/>
  <c r="K3105" i="2"/>
  <c r="J3105" i="2"/>
  <c r="I3105" i="2"/>
  <c r="A3105" i="2"/>
  <c r="K3104" i="2"/>
  <c r="J3104" i="2"/>
  <c r="I3104" i="2"/>
  <c r="A3104" i="2"/>
  <c r="K3103" i="2"/>
  <c r="J3103" i="2"/>
  <c r="I3103" i="2"/>
  <c r="A3103" i="2"/>
  <c r="K3102" i="2"/>
  <c r="J3102" i="2"/>
  <c r="I3102" i="2"/>
  <c r="A3102" i="2"/>
  <c r="K3101" i="2"/>
  <c r="J3101" i="2"/>
  <c r="I3101" i="2"/>
  <c r="A3101" i="2"/>
  <c r="K3100" i="2"/>
  <c r="J3100" i="2"/>
  <c r="I3100" i="2"/>
  <c r="A3100" i="2"/>
  <c r="K3099" i="2"/>
  <c r="J3099" i="2"/>
  <c r="I3099" i="2"/>
  <c r="A3099" i="2"/>
  <c r="K3098" i="2"/>
  <c r="J3098" i="2"/>
  <c r="I3098" i="2"/>
  <c r="A3098" i="2"/>
  <c r="K3097" i="2"/>
  <c r="J3097" i="2"/>
  <c r="I3097" i="2"/>
  <c r="A3097" i="2"/>
  <c r="K3096" i="2"/>
  <c r="J3096" i="2"/>
  <c r="I3096" i="2"/>
  <c r="A3096" i="2"/>
  <c r="K3095" i="2"/>
  <c r="J3095" i="2"/>
  <c r="I3095" i="2"/>
  <c r="A3095" i="2"/>
  <c r="K3094" i="2"/>
  <c r="J3094" i="2"/>
  <c r="I3094" i="2"/>
  <c r="A3094" i="2"/>
  <c r="K3093" i="2"/>
  <c r="J3093" i="2"/>
  <c r="I3093" i="2"/>
  <c r="A3093" i="2"/>
  <c r="K3092" i="2"/>
  <c r="J3092" i="2"/>
  <c r="I3092" i="2"/>
  <c r="A3092" i="2"/>
  <c r="K3091" i="2"/>
  <c r="J3091" i="2"/>
  <c r="I3091" i="2"/>
  <c r="A3091" i="2"/>
  <c r="K3090" i="2"/>
  <c r="J3090" i="2"/>
  <c r="I3090" i="2"/>
  <c r="A3090" i="2"/>
  <c r="K3089" i="2"/>
  <c r="J3089" i="2"/>
  <c r="I3089" i="2"/>
  <c r="A3089" i="2"/>
  <c r="K3088" i="2"/>
  <c r="J3088" i="2"/>
  <c r="I3088" i="2"/>
  <c r="A3088" i="2"/>
  <c r="K3087" i="2"/>
  <c r="J3087" i="2"/>
  <c r="I3087" i="2"/>
  <c r="A3087" i="2"/>
  <c r="K3086" i="2"/>
  <c r="J3086" i="2"/>
  <c r="I3086" i="2"/>
  <c r="A3086" i="2"/>
  <c r="K3085" i="2"/>
  <c r="J3085" i="2"/>
  <c r="I3085" i="2"/>
  <c r="A3085" i="2"/>
  <c r="K3084" i="2"/>
  <c r="J3084" i="2"/>
  <c r="I3084" i="2"/>
  <c r="A3084" i="2"/>
  <c r="K3083" i="2"/>
  <c r="J3083" i="2"/>
  <c r="I3083" i="2"/>
  <c r="A3083" i="2"/>
  <c r="K3082" i="2"/>
  <c r="J3082" i="2"/>
  <c r="I3082" i="2"/>
  <c r="A3082" i="2"/>
  <c r="K3081" i="2"/>
  <c r="J3081" i="2"/>
  <c r="I3081" i="2"/>
  <c r="A3081" i="2"/>
  <c r="K3080" i="2"/>
  <c r="J3080" i="2"/>
  <c r="I3080" i="2"/>
  <c r="A3080" i="2"/>
  <c r="K3079" i="2"/>
  <c r="J3079" i="2"/>
  <c r="I3079" i="2"/>
  <c r="A3079" i="2"/>
  <c r="K3078" i="2"/>
  <c r="J3078" i="2"/>
  <c r="I3078" i="2"/>
  <c r="A3078" i="2"/>
  <c r="K3077" i="2"/>
  <c r="J3077" i="2"/>
  <c r="I3077" i="2"/>
  <c r="A3077" i="2"/>
  <c r="K3076" i="2"/>
  <c r="J3076" i="2"/>
  <c r="I3076" i="2"/>
  <c r="A3076" i="2"/>
  <c r="K3075" i="2"/>
  <c r="J3075" i="2"/>
  <c r="I3075" i="2"/>
  <c r="A3075" i="2"/>
  <c r="K3074" i="2"/>
  <c r="J3074" i="2"/>
  <c r="I3074" i="2"/>
  <c r="A3074" i="2"/>
  <c r="K3073" i="2"/>
  <c r="J3073" i="2"/>
  <c r="I3073" i="2"/>
  <c r="A3073" i="2"/>
  <c r="K3072" i="2"/>
  <c r="J3072" i="2"/>
  <c r="I3072" i="2"/>
  <c r="A3072" i="2"/>
  <c r="K3071" i="2"/>
  <c r="J3071" i="2"/>
  <c r="I3071" i="2"/>
  <c r="A3071" i="2"/>
  <c r="K3070" i="2"/>
  <c r="J3070" i="2"/>
  <c r="I3070" i="2"/>
  <c r="A3070" i="2"/>
  <c r="K3069" i="2"/>
  <c r="J3069" i="2"/>
  <c r="I3069" i="2"/>
  <c r="A3069" i="2"/>
  <c r="K3068" i="2"/>
  <c r="J3068" i="2"/>
  <c r="I3068" i="2"/>
  <c r="A3068" i="2"/>
  <c r="K3067" i="2"/>
  <c r="J3067" i="2"/>
  <c r="I3067" i="2"/>
  <c r="A3067" i="2"/>
  <c r="K3066" i="2"/>
  <c r="J3066" i="2"/>
  <c r="I3066" i="2"/>
  <c r="A3066" i="2"/>
  <c r="K3065" i="2"/>
  <c r="J3065" i="2"/>
  <c r="I3065" i="2"/>
  <c r="A3065" i="2"/>
  <c r="K3064" i="2"/>
  <c r="J3064" i="2"/>
  <c r="I3064" i="2"/>
  <c r="A3064" i="2"/>
  <c r="K3063" i="2"/>
  <c r="J3063" i="2"/>
  <c r="I3063" i="2"/>
  <c r="A3063" i="2"/>
  <c r="K3062" i="2"/>
  <c r="J3062" i="2"/>
  <c r="I3062" i="2"/>
  <c r="A3062" i="2"/>
  <c r="K3061" i="2"/>
  <c r="J3061" i="2"/>
  <c r="I3061" i="2"/>
  <c r="A3061" i="2"/>
  <c r="K3060" i="2"/>
  <c r="J3060" i="2"/>
  <c r="I3060" i="2"/>
  <c r="A3060" i="2"/>
  <c r="K3059" i="2"/>
  <c r="J3059" i="2"/>
  <c r="I3059" i="2"/>
  <c r="A3059" i="2"/>
  <c r="K3058" i="2"/>
  <c r="J3058" i="2"/>
  <c r="I3058" i="2"/>
  <c r="A3058" i="2"/>
  <c r="K3057" i="2"/>
  <c r="J3057" i="2"/>
  <c r="I3057" i="2"/>
  <c r="A3057" i="2"/>
  <c r="K3056" i="2"/>
  <c r="J3056" i="2"/>
  <c r="I3056" i="2"/>
  <c r="A3056" i="2"/>
  <c r="K3055" i="2"/>
  <c r="J3055" i="2"/>
  <c r="I3055" i="2"/>
  <c r="A3055" i="2"/>
  <c r="K3054" i="2"/>
  <c r="J3054" i="2"/>
  <c r="I3054" i="2"/>
  <c r="A3054" i="2"/>
  <c r="K3053" i="2"/>
  <c r="J3053" i="2"/>
  <c r="I3053" i="2"/>
  <c r="A3053" i="2"/>
  <c r="K3052" i="2"/>
  <c r="J3052" i="2"/>
  <c r="I3052" i="2"/>
  <c r="A3052" i="2"/>
  <c r="K3051" i="2"/>
  <c r="J3051" i="2"/>
  <c r="I3051" i="2"/>
  <c r="A3051" i="2"/>
  <c r="K3050" i="2"/>
  <c r="J3050" i="2"/>
  <c r="I3050" i="2"/>
  <c r="A3050" i="2"/>
  <c r="K3049" i="2"/>
  <c r="J3049" i="2"/>
  <c r="I3049" i="2"/>
  <c r="A3049" i="2"/>
  <c r="K3048" i="2"/>
  <c r="J3048" i="2"/>
  <c r="I3048" i="2"/>
  <c r="A3048" i="2"/>
  <c r="K3047" i="2"/>
  <c r="J3047" i="2"/>
  <c r="I3047" i="2"/>
  <c r="A3047" i="2"/>
  <c r="K3046" i="2"/>
  <c r="J3046" i="2"/>
  <c r="I3046" i="2"/>
  <c r="A3046" i="2"/>
  <c r="K3045" i="2"/>
  <c r="J3045" i="2"/>
  <c r="I3045" i="2"/>
  <c r="A3045" i="2"/>
  <c r="K3044" i="2"/>
  <c r="J3044" i="2"/>
  <c r="I3044" i="2"/>
  <c r="A3044" i="2"/>
  <c r="K3043" i="2"/>
  <c r="J3043" i="2"/>
  <c r="I3043" i="2"/>
  <c r="A3043" i="2"/>
  <c r="K3042" i="2"/>
  <c r="J3042" i="2"/>
  <c r="I3042" i="2"/>
  <c r="A3042" i="2"/>
  <c r="K3041" i="2"/>
  <c r="J3041" i="2"/>
  <c r="I3041" i="2"/>
  <c r="A3041" i="2"/>
  <c r="K3040" i="2"/>
  <c r="J3040" i="2"/>
  <c r="I3040" i="2"/>
  <c r="A3040" i="2"/>
  <c r="K3039" i="2"/>
  <c r="J3039" i="2"/>
  <c r="I3039" i="2"/>
  <c r="A3039" i="2"/>
  <c r="K3038" i="2"/>
  <c r="J3038" i="2"/>
  <c r="I3038" i="2"/>
  <c r="A3038" i="2"/>
  <c r="K3037" i="2"/>
  <c r="J3037" i="2"/>
  <c r="I3037" i="2"/>
  <c r="A3037" i="2"/>
  <c r="K3036" i="2"/>
  <c r="J3036" i="2"/>
  <c r="I3036" i="2"/>
  <c r="A3036" i="2"/>
  <c r="K3035" i="2"/>
  <c r="J3035" i="2"/>
  <c r="I3035" i="2"/>
  <c r="A3035" i="2"/>
  <c r="K3034" i="2"/>
  <c r="J3034" i="2"/>
  <c r="I3034" i="2"/>
  <c r="A3034" i="2"/>
  <c r="K3033" i="2"/>
  <c r="J3033" i="2"/>
  <c r="I3033" i="2"/>
  <c r="A3033" i="2"/>
  <c r="K3032" i="2"/>
  <c r="J3032" i="2"/>
  <c r="I3032" i="2"/>
  <c r="A3032" i="2"/>
  <c r="K3031" i="2"/>
  <c r="J3031" i="2"/>
  <c r="I3031" i="2"/>
  <c r="A3031" i="2"/>
  <c r="K3030" i="2"/>
  <c r="J3030" i="2"/>
  <c r="I3030" i="2"/>
  <c r="A3030" i="2"/>
  <c r="K3029" i="2"/>
  <c r="J3029" i="2"/>
  <c r="I3029" i="2"/>
  <c r="A3029" i="2"/>
  <c r="K3028" i="2"/>
  <c r="J3028" i="2"/>
  <c r="I3028" i="2"/>
  <c r="A3028" i="2"/>
  <c r="K3027" i="2"/>
  <c r="J3027" i="2"/>
  <c r="I3027" i="2"/>
  <c r="A3027" i="2"/>
  <c r="K3026" i="2"/>
  <c r="J3026" i="2"/>
  <c r="I3026" i="2"/>
  <c r="A3026" i="2"/>
  <c r="K3025" i="2"/>
  <c r="J3025" i="2"/>
  <c r="I3025" i="2"/>
  <c r="A3025" i="2"/>
  <c r="K3024" i="2"/>
  <c r="J3024" i="2"/>
  <c r="I3024" i="2"/>
  <c r="A3024" i="2"/>
  <c r="K3023" i="2"/>
  <c r="J3023" i="2"/>
  <c r="I3023" i="2"/>
  <c r="A3023" i="2"/>
  <c r="K3022" i="2"/>
  <c r="J3022" i="2"/>
  <c r="I3022" i="2"/>
  <c r="A3022" i="2"/>
  <c r="K3021" i="2"/>
  <c r="J3021" i="2"/>
  <c r="I3021" i="2"/>
  <c r="A3021" i="2"/>
  <c r="K3020" i="2"/>
  <c r="J3020" i="2"/>
  <c r="I3020" i="2"/>
  <c r="A3020" i="2"/>
  <c r="K3019" i="2"/>
  <c r="J3019" i="2"/>
  <c r="I3019" i="2"/>
  <c r="A3019" i="2"/>
  <c r="K3018" i="2"/>
  <c r="J3018" i="2"/>
  <c r="I3018" i="2"/>
  <c r="A3018" i="2"/>
  <c r="K3017" i="2"/>
  <c r="J3017" i="2"/>
  <c r="I3017" i="2"/>
  <c r="A3017" i="2"/>
  <c r="K3016" i="2"/>
  <c r="J3016" i="2"/>
  <c r="I3016" i="2"/>
  <c r="A3016" i="2"/>
  <c r="K3015" i="2"/>
  <c r="J3015" i="2"/>
  <c r="I3015" i="2"/>
  <c r="A3015" i="2"/>
  <c r="K3014" i="2"/>
  <c r="J3014" i="2"/>
  <c r="I3014" i="2"/>
  <c r="A3014" i="2"/>
  <c r="K3013" i="2"/>
  <c r="J3013" i="2"/>
  <c r="I3013" i="2"/>
  <c r="A3013" i="2"/>
  <c r="K3012" i="2"/>
  <c r="J3012" i="2"/>
  <c r="I3012" i="2"/>
  <c r="A3012" i="2"/>
  <c r="K3011" i="2"/>
  <c r="J3011" i="2"/>
  <c r="I3011" i="2"/>
  <c r="A3011" i="2"/>
  <c r="K3010" i="2"/>
  <c r="J3010" i="2"/>
  <c r="I3010" i="2"/>
  <c r="A3010" i="2"/>
  <c r="K3009" i="2"/>
  <c r="J3009" i="2"/>
  <c r="I3009" i="2"/>
  <c r="A3009" i="2"/>
  <c r="K3008" i="2"/>
  <c r="J3008" i="2"/>
  <c r="I3008" i="2"/>
  <c r="A3008" i="2"/>
  <c r="K3007" i="2"/>
  <c r="J3007" i="2"/>
  <c r="I3007" i="2"/>
  <c r="A3007" i="2"/>
  <c r="K3006" i="2"/>
  <c r="J3006" i="2"/>
  <c r="I3006" i="2"/>
  <c r="A3006" i="2"/>
  <c r="K3005" i="2"/>
  <c r="J3005" i="2"/>
  <c r="I3005" i="2"/>
  <c r="A3005" i="2"/>
  <c r="K3004" i="2"/>
  <c r="J3004" i="2"/>
  <c r="I3004" i="2"/>
  <c r="A3004" i="2"/>
  <c r="K3003" i="2"/>
  <c r="J3003" i="2"/>
  <c r="I3003" i="2"/>
  <c r="A3003" i="2"/>
  <c r="K3002" i="2"/>
  <c r="J3002" i="2"/>
  <c r="I3002" i="2"/>
  <c r="A3002" i="2"/>
  <c r="K3001" i="2"/>
  <c r="J3001" i="2"/>
  <c r="I3001" i="2"/>
  <c r="A3001" i="2"/>
  <c r="K3000" i="2"/>
  <c r="J3000" i="2"/>
  <c r="I3000" i="2"/>
  <c r="A3000" i="2"/>
  <c r="K2999" i="2"/>
  <c r="J2999" i="2"/>
  <c r="I2999" i="2"/>
  <c r="A2999" i="2"/>
  <c r="K2998" i="2"/>
  <c r="J2998" i="2"/>
  <c r="I2998" i="2"/>
  <c r="A2998" i="2"/>
  <c r="K2997" i="2"/>
  <c r="J2997" i="2"/>
  <c r="I2997" i="2"/>
  <c r="A2997" i="2"/>
  <c r="K2996" i="2"/>
  <c r="J2996" i="2"/>
  <c r="I2996" i="2"/>
  <c r="A2996" i="2"/>
  <c r="K2995" i="2"/>
  <c r="J2995" i="2"/>
  <c r="I2995" i="2"/>
  <c r="A2995" i="2"/>
  <c r="K2994" i="2"/>
  <c r="J2994" i="2"/>
  <c r="I2994" i="2"/>
  <c r="A2994" i="2"/>
  <c r="K2993" i="2"/>
  <c r="J2993" i="2"/>
  <c r="I2993" i="2"/>
  <c r="A2993" i="2"/>
  <c r="K2992" i="2"/>
  <c r="J2992" i="2"/>
  <c r="I2992" i="2"/>
  <c r="A2992" i="2"/>
  <c r="K2991" i="2"/>
  <c r="J2991" i="2"/>
  <c r="I2991" i="2"/>
  <c r="A2991" i="2"/>
  <c r="K2990" i="2"/>
  <c r="J2990" i="2"/>
  <c r="I2990" i="2"/>
  <c r="A2990" i="2"/>
  <c r="K2989" i="2"/>
  <c r="J2989" i="2"/>
  <c r="I2989" i="2"/>
  <c r="A2989" i="2"/>
  <c r="K2988" i="2"/>
  <c r="J2988" i="2"/>
  <c r="I2988" i="2"/>
  <c r="A2988" i="2"/>
  <c r="K2987" i="2"/>
  <c r="J2987" i="2"/>
  <c r="I2987" i="2"/>
  <c r="A2987" i="2"/>
  <c r="K2986" i="2"/>
  <c r="J2986" i="2"/>
  <c r="I2986" i="2"/>
  <c r="A2986" i="2"/>
  <c r="K2985" i="2"/>
  <c r="J2985" i="2"/>
  <c r="I2985" i="2"/>
  <c r="A2985" i="2"/>
  <c r="K2984" i="2"/>
  <c r="J2984" i="2"/>
  <c r="I2984" i="2"/>
  <c r="A2984" i="2"/>
  <c r="K2983" i="2"/>
  <c r="J2983" i="2"/>
  <c r="I2983" i="2"/>
  <c r="A2983" i="2"/>
  <c r="K2982" i="2"/>
  <c r="J2982" i="2"/>
  <c r="I2982" i="2"/>
  <c r="A2982" i="2"/>
  <c r="K2981" i="2"/>
  <c r="J2981" i="2"/>
  <c r="I2981" i="2"/>
  <c r="A2981" i="2"/>
  <c r="K2980" i="2"/>
  <c r="J2980" i="2"/>
  <c r="I2980" i="2"/>
  <c r="A2980" i="2"/>
  <c r="K2979" i="2"/>
  <c r="J2979" i="2"/>
  <c r="I2979" i="2"/>
  <c r="A2979" i="2"/>
  <c r="K2978" i="2"/>
  <c r="J2978" i="2"/>
  <c r="I2978" i="2"/>
  <c r="A2978" i="2"/>
  <c r="K2977" i="2"/>
  <c r="J2977" i="2"/>
  <c r="I2977" i="2"/>
  <c r="A2977" i="2"/>
  <c r="K2976" i="2"/>
  <c r="J2976" i="2"/>
  <c r="I2976" i="2"/>
  <c r="A2976" i="2"/>
  <c r="K2975" i="2"/>
  <c r="J2975" i="2"/>
  <c r="I2975" i="2"/>
  <c r="A2975" i="2"/>
  <c r="K2974" i="2"/>
  <c r="J2974" i="2"/>
  <c r="I2974" i="2"/>
  <c r="A2974" i="2"/>
  <c r="K2973" i="2"/>
  <c r="J2973" i="2"/>
  <c r="I2973" i="2"/>
  <c r="A2973" i="2"/>
  <c r="K2972" i="2"/>
  <c r="J2972" i="2"/>
  <c r="I2972" i="2"/>
  <c r="A2972" i="2"/>
  <c r="K2971" i="2"/>
  <c r="J2971" i="2"/>
  <c r="I2971" i="2"/>
  <c r="A2971" i="2"/>
  <c r="K2970" i="2"/>
  <c r="J2970" i="2"/>
  <c r="I2970" i="2"/>
  <c r="A2970" i="2"/>
  <c r="K2969" i="2"/>
  <c r="J2969" i="2"/>
  <c r="I2969" i="2"/>
  <c r="A2969" i="2"/>
  <c r="K2968" i="2"/>
  <c r="J2968" i="2"/>
  <c r="I2968" i="2"/>
  <c r="A2968" i="2"/>
  <c r="K2967" i="2"/>
  <c r="J2967" i="2"/>
  <c r="I2967" i="2"/>
  <c r="A2967" i="2"/>
  <c r="K2966" i="2"/>
  <c r="J2966" i="2"/>
  <c r="I2966" i="2"/>
  <c r="A2966" i="2"/>
  <c r="K2965" i="2"/>
  <c r="J2965" i="2"/>
  <c r="I2965" i="2"/>
  <c r="A2965" i="2"/>
  <c r="K2964" i="2"/>
  <c r="J2964" i="2"/>
  <c r="I2964" i="2"/>
  <c r="A2964" i="2"/>
  <c r="K2963" i="2"/>
  <c r="J2963" i="2"/>
  <c r="I2963" i="2"/>
  <c r="A2963" i="2"/>
  <c r="K2962" i="2"/>
  <c r="J2962" i="2"/>
  <c r="I2962" i="2"/>
  <c r="A2962" i="2"/>
  <c r="K2961" i="2"/>
  <c r="J2961" i="2"/>
  <c r="I2961" i="2"/>
  <c r="A2961" i="2"/>
  <c r="K2960" i="2"/>
  <c r="J2960" i="2"/>
  <c r="I2960" i="2"/>
  <c r="A2960" i="2"/>
  <c r="K2959" i="2"/>
  <c r="J2959" i="2"/>
  <c r="I2959" i="2"/>
  <c r="A2959" i="2"/>
  <c r="K2958" i="2"/>
  <c r="J2958" i="2"/>
  <c r="I2958" i="2"/>
  <c r="A2958" i="2"/>
  <c r="K2957" i="2"/>
  <c r="J2957" i="2"/>
  <c r="I2957" i="2"/>
  <c r="A2957" i="2"/>
  <c r="K2956" i="2"/>
  <c r="J2956" i="2"/>
  <c r="I2956" i="2"/>
  <c r="A2956" i="2"/>
  <c r="K2955" i="2"/>
  <c r="J2955" i="2"/>
  <c r="I2955" i="2"/>
  <c r="A2955" i="2"/>
  <c r="K2954" i="2"/>
  <c r="J2954" i="2"/>
  <c r="I2954" i="2"/>
  <c r="A2954" i="2"/>
  <c r="K2953" i="2"/>
  <c r="J2953" i="2"/>
  <c r="I2953" i="2"/>
  <c r="A2953" i="2"/>
  <c r="K2952" i="2"/>
  <c r="J2952" i="2"/>
  <c r="I2952" i="2"/>
  <c r="A2952" i="2"/>
  <c r="K2951" i="2"/>
  <c r="J2951" i="2"/>
  <c r="I2951" i="2"/>
  <c r="A2951" i="2"/>
  <c r="K2950" i="2"/>
  <c r="J2950" i="2"/>
  <c r="I2950" i="2"/>
  <c r="A2950" i="2"/>
  <c r="K2949" i="2"/>
  <c r="J2949" i="2"/>
  <c r="I2949" i="2"/>
  <c r="A2949" i="2"/>
  <c r="K2948" i="2"/>
  <c r="J2948" i="2"/>
  <c r="I2948" i="2"/>
  <c r="A2948" i="2"/>
  <c r="K2947" i="2"/>
  <c r="J2947" i="2"/>
  <c r="I2947" i="2"/>
  <c r="A2947" i="2"/>
  <c r="K2946" i="2"/>
  <c r="J2946" i="2"/>
  <c r="I2946" i="2"/>
  <c r="A2946" i="2"/>
  <c r="K2945" i="2"/>
  <c r="J2945" i="2"/>
  <c r="I2945" i="2"/>
  <c r="A2945" i="2"/>
  <c r="K2944" i="2"/>
  <c r="J2944" i="2"/>
  <c r="I2944" i="2"/>
  <c r="A2944" i="2"/>
  <c r="K2943" i="2"/>
  <c r="J2943" i="2"/>
  <c r="I2943" i="2"/>
  <c r="A2943" i="2"/>
  <c r="K2942" i="2"/>
  <c r="J2942" i="2"/>
  <c r="I2942" i="2"/>
  <c r="A2942" i="2"/>
  <c r="K2941" i="2"/>
  <c r="J2941" i="2"/>
  <c r="I2941" i="2"/>
  <c r="A2941" i="2"/>
  <c r="K2940" i="2"/>
  <c r="J2940" i="2"/>
  <c r="I2940" i="2"/>
  <c r="A2940" i="2"/>
  <c r="K2939" i="2"/>
  <c r="J2939" i="2"/>
  <c r="I2939" i="2"/>
  <c r="A2939" i="2"/>
  <c r="K2938" i="2"/>
  <c r="J2938" i="2"/>
  <c r="I2938" i="2"/>
  <c r="A2938" i="2"/>
  <c r="K2937" i="2"/>
  <c r="J2937" i="2"/>
  <c r="I2937" i="2"/>
  <c r="A2937" i="2"/>
  <c r="K2936" i="2"/>
  <c r="J2936" i="2"/>
  <c r="I2936" i="2"/>
  <c r="A2936" i="2"/>
  <c r="K2935" i="2"/>
  <c r="J2935" i="2"/>
  <c r="I2935" i="2"/>
  <c r="A2935" i="2"/>
  <c r="K2934" i="2"/>
  <c r="J2934" i="2"/>
  <c r="I2934" i="2"/>
  <c r="A2934" i="2"/>
  <c r="K2933" i="2"/>
  <c r="J2933" i="2"/>
  <c r="I2933" i="2"/>
  <c r="A2933" i="2"/>
  <c r="K2932" i="2"/>
  <c r="J2932" i="2"/>
  <c r="I2932" i="2"/>
  <c r="A2932" i="2"/>
  <c r="K2931" i="2"/>
  <c r="J2931" i="2"/>
  <c r="I2931" i="2"/>
  <c r="A2931" i="2"/>
  <c r="K2930" i="2"/>
  <c r="J2930" i="2"/>
  <c r="I2930" i="2"/>
  <c r="A2930" i="2"/>
  <c r="K2929" i="2"/>
  <c r="J2929" i="2"/>
  <c r="I2929" i="2"/>
  <c r="A2929" i="2"/>
  <c r="K2928" i="2"/>
  <c r="J2928" i="2"/>
  <c r="I2928" i="2"/>
  <c r="A2928" i="2"/>
  <c r="K2927" i="2"/>
  <c r="J2927" i="2"/>
  <c r="I2927" i="2"/>
  <c r="A2927" i="2"/>
  <c r="K2926" i="2"/>
  <c r="J2926" i="2"/>
  <c r="I2926" i="2"/>
  <c r="A2926" i="2"/>
  <c r="K2925" i="2"/>
  <c r="J2925" i="2"/>
  <c r="I2925" i="2"/>
  <c r="A2925" i="2"/>
  <c r="K2924" i="2"/>
  <c r="J2924" i="2"/>
  <c r="I2924" i="2"/>
  <c r="A2924" i="2"/>
  <c r="K2923" i="2"/>
  <c r="J2923" i="2"/>
  <c r="I2923" i="2"/>
  <c r="A2923" i="2"/>
  <c r="K2922" i="2"/>
  <c r="J2922" i="2"/>
  <c r="I2922" i="2"/>
  <c r="A2922" i="2"/>
  <c r="K2921" i="2"/>
  <c r="J2921" i="2"/>
  <c r="I2921" i="2"/>
  <c r="A2921" i="2"/>
  <c r="K2920" i="2"/>
  <c r="J2920" i="2"/>
  <c r="I2920" i="2"/>
  <c r="A2920" i="2"/>
  <c r="K2919" i="2"/>
  <c r="J2919" i="2"/>
  <c r="I2919" i="2"/>
  <c r="A2919" i="2"/>
  <c r="K2918" i="2"/>
  <c r="J2918" i="2"/>
  <c r="I2918" i="2"/>
  <c r="A2918" i="2"/>
  <c r="K2917" i="2"/>
  <c r="J2917" i="2"/>
  <c r="I2917" i="2"/>
  <c r="A2917" i="2"/>
  <c r="K2916" i="2"/>
  <c r="J2916" i="2"/>
  <c r="I2916" i="2"/>
  <c r="A2916" i="2"/>
  <c r="K2915" i="2"/>
  <c r="J2915" i="2"/>
  <c r="I2915" i="2"/>
  <c r="A2915" i="2"/>
  <c r="K2914" i="2"/>
  <c r="J2914" i="2"/>
  <c r="I2914" i="2"/>
  <c r="A2914" i="2"/>
  <c r="K2913" i="2"/>
  <c r="J2913" i="2"/>
  <c r="I2913" i="2"/>
  <c r="A2913" i="2"/>
  <c r="K2912" i="2"/>
  <c r="J2912" i="2"/>
  <c r="I2912" i="2"/>
  <c r="A2912" i="2"/>
  <c r="K2911" i="2"/>
  <c r="J2911" i="2"/>
  <c r="I2911" i="2"/>
  <c r="A2911" i="2"/>
  <c r="K2910" i="2"/>
  <c r="J2910" i="2"/>
  <c r="I2910" i="2"/>
  <c r="A2910" i="2"/>
  <c r="K2909" i="2"/>
  <c r="J2909" i="2"/>
  <c r="I2909" i="2"/>
  <c r="A2909" i="2"/>
  <c r="K2908" i="2"/>
  <c r="J2908" i="2"/>
  <c r="I2908" i="2"/>
  <c r="A2908" i="2"/>
  <c r="K2907" i="2"/>
  <c r="J2907" i="2"/>
  <c r="I2907" i="2"/>
  <c r="A2907" i="2"/>
  <c r="K2906" i="2"/>
  <c r="J2906" i="2"/>
  <c r="I2906" i="2"/>
  <c r="A2906" i="2"/>
  <c r="K2905" i="2"/>
  <c r="J2905" i="2"/>
  <c r="I2905" i="2"/>
  <c r="A2905" i="2"/>
  <c r="K2904" i="2"/>
  <c r="J2904" i="2"/>
  <c r="I2904" i="2"/>
  <c r="A2904" i="2"/>
  <c r="K2903" i="2"/>
  <c r="J2903" i="2"/>
  <c r="I2903" i="2"/>
  <c r="A2903" i="2"/>
  <c r="K2902" i="2"/>
  <c r="J2902" i="2"/>
  <c r="I2902" i="2"/>
  <c r="A2902" i="2"/>
  <c r="K2901" i="2"/>
  <c r="J2901" i="2"/>
  <c r="I2901" i="2"/>
  <c r="A2901" i="2"/>
  <c r="K2900" i="2"/>
  <c r="J2900" i="2"/>
  <c r="I2900" i="2"/>
  <c r="A2900" i="2"/>
  <c r="K2899" i="2"/>
  <c r="J2899" i="2"/>
  <c r="I2899" i="2"/>
  <c r="A2899" i="2"/>
  <c r="K2898" i="2"/>
  <c r="J2898" i="2"/>
  <c r="I2898" i="2"/>
  <c r="A2898" i="2"/>
  <c r="K2897" i="2"/>
  <c r="J2897" i="2"/>
  <c r="I2897" i="2"/>
  <c r="A2897" i="2"/>
  <c r="K2896" i="2"/>
  <c r="J2896" i="2"/>
  <c r="I2896" i="2"/>
  <c r="A2896" i="2"/>
  <c r="K2895" i="2"/>
  <c r="J2895" i="2"/>
  <c r="I2895" i="2"/>
  <c r="A2895" i="2"/>
  <c r="K2894" i="2"/>
  <c r="J2894" i="2"/>
  <c r="I2894" i="2"/>
  <c r="A2894" i="2"/>
  <c r="K2893" i="2"/>
  <c r="J2893" i="2"/>
  <c r="I2893" i="2"/>
  <c r="A2893" i="2"/>
  <c r="K2892" i="2"/>
  <c r="J2892" i="2"/>
  <c r="I2892" i="2"/>
  <c r="A2892" i="2"/>
  <c r="K2891" i="2"/>
  <c r="J2891" i="2"/>
  <c r="I2891" i="2"/>
  <c r="A2891" i="2"/>
  <c r="K2890" i="2"/>
  <c r="J2890" i="2"/>
  <c r="I2890" i="2"/>
  <c r="A2890" i="2"/>
  <c r="K2889" i="2"/>
  <c r="J2889" i="2"/>
  <c r="I2889" i="2"/>
  <c r="A2889" i="2"/>
  <c r="K2888" i="2"/>
  <c r="J2888" i="2"/>
  <c r="I2888" i="2"/>
  <c r="A2888" i="2"/>
  <c r="K2887" i="2"/>
  <c r="J2887" i="2"/>
  <c r="I2887" i="2"/>
  <c r="A2887" i="2"/>
  <c r="K2886" i="2"/>
  <c r="J2886" i="2"/>
  <c r="I2886" i="2"/>
  <c r="A2886" i="2"/>
  <c r="K2885" i="2"/>
  <c r="J2885" i="2"/>
  <c r="I2885" i="2"/>
  <c r="A2885" i="2"/>
  <c r="K2884" i="2"/>
  <c r="J2884" i="2"/>
  <c r="I2884" i="2"/>
  <c r="A2884" i="2"/>
  <c r="K2883" i="2"/>
  <c r="J2883" i="2"/>
  <c r="I2883" i="2"/>
  <c r="A2883" i="2"/>
  <c r="K2882" i="2"/>
  <c r="J2882" i="2"/>
  <c r="I2882" i="2"/>
  <c r="A2882" i="2"/>
  <c r="K2881" i="2"/>
  <c r="J2881" i="2"/>
  <c r="I2881" i="2"/>
  <c r="A2881" i="2"/>
  <c r="K2880" i="2"/>
  <c r="J2880" i="2"/>
  <c r="I2880" i="2"/>
  <c r="A2880" i="2"/>
  <c r="K2879" i="2"/>
  <c r="J2879" i="2"/>
  <c r="I2879" i="2"/>
  <c r="A2879" i="2"/>
  <c r="K2878" i="2"/>
  <c r="J2878" i="2"/>
  <c r="I2878" i="2"/>
  <c r="A2878" i="2"/>
  <c r="K2877" i="2"/>
  <c r="J2877" i="2"/>
  <c r="I2877" i="2"/>
  <c r="A2877" i="2"/>
  <c r="K2876" i="2"/>
  <c r="J2876" i="2"/>
  <c r="I2876" i="2"/>
  <c r="A2876" i="2"/>
  <c r="K2875" i="2"/>
  <c r="J2875" i="2"/>
  <c r="I2875" i="2"/>
  <c r="A2875" i="2"/>
  <c r="K2874" i="2"/>
  <c r="J2874" i="2"/>
  <c r="I2874" i="2"/>
  <c r="A2874" i="2"/>
  <c r="K2873" i="2"/>
  <c r="J2873" i="2"/>
  <c r="I2873" i="2"/>
  <c r="A2873" i="2"/>
  <c r="K2872" i="2"/>
  <c r="J2872" i="2"/>
  <c r="I2872" i="2"/>
  <c r="A2872" i="2"/>
  <c r="K2871" i="2"/>
  <c r="J2871" i="2"/>
  <c r="I2871" i="2"/>
  <c r="A2871" i="2"/>
  <c r="K2870" i="2"/>
  <c r="J2870" i="2"/>
  <c r="I2870" i="2"/>
  <c r="A2870" i="2"/>
  <c r="K2869" i="2"/>
  <c r="J2869" i="2"/>
  <c r="I2869" i="2"/>
  <c r="A2869" i="2"/>
  <c r="K2868" i="2"/>
  <c r="J2868" i="2"/>
  <c r="I2868" i="2"/>
  <c r="A2868" i="2"/>
  <c r="K2867" i="2"/>
  <c r="J2867" i="2"/>
  <c r="I2867" i="2"/>
  <c r="A2867" i="2"/>
  <c r="K2866" i="2"/>
  <c r="J2866" i="2"/>
  <c r="I2866" i="2"/>
  <c r="A2866" i="2"/>
  <c r="K2865" i="2"/>
  <c r="J2865" i="2"/>
  <c r="I2865" i="2"/>
  <c r="A2865" i="2"/>
  <c r="K2864" i="2"/>
  <c r="J2864" i="2"/>
  <c r="I2864" i="2"/>
  <c r="A2864" i="2"/>
  <c r="K2863" i="2"/>
  <c r="J2863" i="2"/>
  <c r="I2863" i="2"/>
  <c r="A2863" i="2"/>
  <c r="K2862" i="2"/>
  <c r="J2862" i="2"/>
  <c r="I2862" i="2"/>
  <c r="A2862" i="2"/>
  <c r="K2861" i="2"/>
  <c r="J2861" i="2"/>
  <c r="I2861" i="2"/>
  <c r="A2861" i="2"/>
  <c r="K2860" i="2"/>
  <c r="J2860" i="2"/>
  <c r="I2860" i="2"/>
  <c r="A2860" i="2"/>
  <c r="K2859" i="2"/>
  <c r="J2859" i="2"/>
  <c r="I2859" i="2"/>
  <c r="A2859" i="2"/>
  <c r="K2858" i="2"/>
  <c r="J2858" i="2"/>
  <c r="I2858" i="2"/>
  <c r="A2858" i="2"/>
  <c r="K2857" i="2"/>
  <c r="J2857" i="2"/>
  <c r="I2857" i="2"/>
  <c r="A2857" i="2"/>
  <c r="K2856" i="2"/>
  <c r="J2856" i="2"/>
  <c r="I2856" i="2"/>
  <c r="A2856" i="2"/>
  <c r="K2855" i="2"/>
  <c r="J2855" i="2"/>
  <c r="I2855" i="2"/>
  <c r="A2855" i="2"/>
  <c r="K2854" i="2"/>
  <c r="J2854" i="2"/>
  <c r="I2854" i="2"/>
  <c r="A2854" i="2"/>
  <c r="K2853" i="2"/>
  <c r="J2853" i="2"/>
  <c r="I2853" i="2"/>
  <c r="A2853" i="2"/>
  <c r="K2852" i="2"/>
  <c r="J2852" i="2"/>
  <c r="I2852" i="2"/>
  <c r="A2852" i="2"/>
  <c r="K2851" i="2"/>
  <c r="J2851" i="2"/>
  <c r="I2851" i="2"/>
  <c r="A2851" i="2"/>
  <c r="K2850" i="2"/>
  <c r="J2850" i="2"/>
  <c r="I2850" i="2"/>
  <c r="A2850" i="2"/>
  <c r="K2849" i="2"/>
  <c r="J2849" i="2"/>
  <c r="I2849" i="2"/>
  <c r="A2849" i="2"/>
  <c r="K2848" i="2"/>
  <c r="J2848" i="2"/>
  <c r="I2848" i="2"/>
  <c r="A2848" i="2"/>
  <c r="K2847" i="2"/>
  <c r="J2847" i="2"/>
  <c r="I2847" i="2"/>
  <c r="A2847" i="2"/>
  <c r="K2846" i="2"/>
  <c r="J2846" i="2"/>
  <c r="I2846" i="2"/>
  <c r="A2846" i="2"/>
  <c r="K2845" i="2"/>
  <c r="J2845" i="2"/>
  <c r="I2845" i="2"/>
  <c r="A2845" i="2"/>
  <c r="K2844" i="2"/>
  <c r="J2844" i="2"/>
  <c r="I2844" i="2"/>
  <c r="A2844" i="2"/>
  <c r="K2843" i="2"/>
  <c r="J2843" i="2"/>
  <c r="I2843" i="2"/>
  <c r="A2843" i="2"/>
  <c r="K2842" i="2"/>
  <c r="J2842" i="2"/>
  <c r="I2842" i="2"/>
  <c r="A2842" i="2"/>
  <c r="K2841" i="2"/>
  <c r="J2841" i="2"/>
  <c r="I2841" i="2"/>
  <c r="A2841" i="2"/>
  <c r="K2840" i="2"/>
  <c r="J2840" i="2"/>
  <c r="I2840" i="2"/>
  <c r="A2840" i="2"/>
  <c r="K2839" i="2"/>
  <c r="J2839" i="2"/>
  <c r="I2839" i="2"/>
  <c r="A2839" i="2"/>
  <c r="K2838" i="2"/>
  <c r="J2838" i="2"/>
  <c r="I2838" i="2"/>
  <c r="A2838" i="2"/>
  <c r="K2837" i="2"/>
  <c r="J2837" i="2"/>
  <c r="I2837" i="2"/>
  <c r="A2837" i="2"/>
  <c r="K2836" i="2"/>
  <c r="J2836" i="2"/>
  <c r="I2836" i="2"/>
  <c r="A2836" i="2"/>
  <c r="K2835" i="2"/>
  <c r="J2835" i="2"/>
  <c r="I2835" i="2"/>
  <c r="A2835" i="2"/>
  <c r="K2834" i="2"/>
  <c r="J2834" i="2"/>
  <c r="I2834" i="2"/>
  <c r="A2834" i="2"/>
  <c r="K2833" i="2"/>
  <c r="J2833" i="2"/>
  <c r="I2833" i="2"/>
  <c r="A2833" i="2"/>
  <c r="K2832" i="2"/>
  <c r="J2832" i="2"/>
  <c r="I2832" i="2"/>
  <c r="A2832" i="2"/>
  <c r="K2831" i="2"/>
  <c r="J2831" i="2"/>
  <c r="I2831" i="2"/>
  <c r="A2831" i="2"/>
  <c r="K2830" i="2"/>
  <c r="J2830" i="2"/>
  <c r="I2830" i="2"/>
  <c r="A2830" i="2"/>
  <c r="K2829" i="2"/>
  <c r="J2829" i="2"/>
  <c r="I2829" i="2"/>
  <c r="A2829" i="2"/>
  <c r="K2828" i="2"/>
  <c r="J2828" i="2"/>
  <c r="I2828" i="2"/>
  <c r="A2828" i="2"/>
  <c r="K2827" i="2"/>
  <c r="J2827" i="2"/>
  <c r="I2827" i="2"/>
  <c r="A2827" i="2"/>
  <c r="K2826" i="2"/>
  <c r="J2826" i="2"/>
  <c r="I2826" i="2"/>
  <c r="A2826" i="2"/>
  <c r="K2825" i="2"/>
  <c r="J2825" i="2"/>
  <c r="I2825" i="2"/>
  <c r="A2825" i="2"/>
  <c r="K2824" i="2"/>
  <c r="J2824" i="2"/>
  <c r="I2824" i="2"/>
  <c r="A2824" i="2"/>
  <c r="K2823" i="2"/>
  <c r="J2823" i="2"/>
  <c r="I2823" i="2"/>
  <c r="A2823" i="2"/>
  <c r="K2822" i="2"/>
  <c r="J2822" i="2"/>
  <c r="I2822" i="2"/>
  <c r="A2822" i="2"/>
  <c r="K2821" i="2"/>
  <c r="J2821" i="2"/>
  <c r="I2821" i="2"/>
  <c r="A2821" i="2"/>
  <c r="K2820" i="2"/>
  <c r="J2820" i="2"/>
  <c r="I2820" i="2"/>
  <c r="A2820" i="2"/>
  <c r="K2819" i="2"/>
  <c r="J2819" i="2"/>
  <c r="I2819" i="2"/>
  <c r="A2819" i="2"/>
  <c r="K2818" i="2"/>
  <c r="J2818" i="2"/>
  <c r="I2818" i="2"/>
  <c r="A2818" i="2"/>
  <c r="K2817" i="2"/>
  <c r="J2817" i="2"/>
  <c r="I2817" i="2"/>
  <c r="A2817" i="2"/>
  <c r="K2816" i="2"/>
  <c r="J2816" i="2"/>
  <c r="I2816" i="2"/>
  <c r="A2816" i="2"/>
  <c r="K2815" i="2"/>
  <c r="J2815" i="2"/>
  <c r="I2815" i="2"/>
  <c r="A2815" i="2"/>
  <c r="K2814" i="2"/>
  <c r="J2814" i="2"/>
  <c r="I2814" i="2"/>
  <c r="A2814" i="2"/>
  <c r="K2813" i="2"/>
  <c r="J2813" i="2"/>
  <c r="I2813" i="2"/>
  <c r="A2813" i="2"/>
  <c r="K2812" i="2"/>
  <c r="J2812" i="2"/>
  <c r="I2812" i="2"/>
  <c r="A2812" i="2"/>
  <c r="K2811" i="2"/>
  <c r="J2811" i="2"/>
  <c r="I2811" i="2"/>
  <c r="A2811" i="2"/>
  <c r="K2810" i="2"/>
  <c r="J2810" i="2"/>
  <c r="I2810" i="2"/>
  <c r="A2810" i="2"/>
  <c r="K2809" i="2"/>
  <c r="J2809" i="2"/>
  <c r="I2809" i="2"/>
  <c r="A2809" i="2"/>
  <c r="K2808" i="2"/>
  <c r="J2808" i="2"/>
  <c r="I2808" i="2"/>
  <c r="A2808" i="2"/>
  <c r="K2807" i="2"/>
  <c r="J2807" i="2"/>
  <c r="I2807" i="2"/>
  <c r="A2807" i="2"/>
  <c r="K2806" i="2"/>
  <c r="J2806" i="2"/>
  <c r="I2806" i="2"/>
  <c r="A2806" i="2"/>
  <c r="K2805" i="2"/>
  <c r="J2805" i="2"/>
  <c r="I2805" i="2"/>
  <c r="A2805" i="2"/>
  <c r="K2804" i="2"/>
  <c r="J2804" i="2"/>
  <c r="I2804" i="2"/>
  <c r="A2804" i="2"/>
  <c r="K2803" i="2"/>
  <c r="J2803" i="2"/>
  <c r="I2803" i="2"/>
  <c r="A2803" i="2"/>
  <c r="K2802" i="2"/>
  <c r="J2802" i="2"/>
  <c r="I2802" i="2"/>
  <c r="A2802" i="2"/>
  <c r="K2801" i="2"/>
  <c r="J2801" i="2"/>
  <c r="I2801" i="2"/>
  <c r="A2801" i="2"/>
  <c r="K2800" i="2"/>
  <c r="J2800" i="2"/>
  <c r="I2800" i="2"/>
  <c r="A2800" i="2"/>
  <c r="K2799" i="2"/>
  <c r="J2799" i="2"/>
  <c r="I2799" i="2"/>
  <c r="A2799" i="2"/>
  <c r="K2798" i="2"/>
  <c r="J2798" i="2"/>
  <c r="I2798" i="2"/>
  <c r="A2798" i="2"/>
  <c r="K2797" i="2"/>
  <c r="J2797" i="2"/>
  <c r="I2797" i="2"/>
  <c r="A2797" i="2"/>
  <c r="K2796" i="2"/>
  <c r="J2796" i="2"/>
  <c r="I2796" i="2"/>
  <c r="A2796" i="2"/>
  <c r="K2795" i="2"/>
  <c r="J2795" i="2"/>
  <c r="I2795" i="2"/>
  <c r="A2795" i="2"/>
  <c r="K2794" i="2"/>
  <c r="J2794" i="2"/>
  <c r="I2794" i="2"/>
  <c r="A2794" i="2"/>
  <c r="K2793" i="2"/>
  <c r="J2793" i="2"/>
  <c r="I2793" i="2"/>
  <c r="A2793" i="2"/>
  <c r="K2792" i="2"/>
  <c r="J2792" i="2"/>
  <c r="I2792" i="2"/>
  <c r="A2792" i="2"/>
  <c r="K2791" i="2"/>
  <c r="J2791" i="2"/>
  <c r="I2791" i="2"/>
  <c r="A2791" i="2"/>
  <c r="K2790" i="2"/>
  <c r="J2790" i="2"/>
  <c r="I2790" i="2"/>
  <c r="A2790" i="2"/>
  <c r="K2789" i="2"/>
  <c r="J2789" i="2"/>
  <c r="I2789" i="2"/>
  <c r="A2789" i="2"/>
  <c r="K2788" i="2"/>
  <c r="J2788" i="2"/>
  <c r="I2788" i="2"/>
  <c r="A2788" i="2"/>
  <c r="K2787" i="2"/>
  <c r="J2787" i="2"/>
  <c r="I2787" i="2"/>
  <c r="A2787" i="2"/>
  <c r="K2786" i="2"/>
  <c r="J2786" i="2"/>
  <c r="I2786" i="2"/>
  <c r="A2786" i="2"/>
  <c r="K2785" i="2"/>
  <c r="J2785" i="2"/>
  <c r="I2785" i="2"/>
  <c r="A2785" i="2"/>
  <c r="K2784" i="2"/>
  <c r="J2784" i="2"/>
  <c r="I2784" i="2"/>
  <c r="A2784" i="2"/>
  <c r="K2783" i="2"/>
  <c r="J2783" i="2"/>
  <c r="I2783" i="2"/>
  <c r="A2783" i="2"/>
  <c r="K2782" i="2"/>
  <c r="J2782" i="2"/>
  <c r="I2782" i="2"/>
  <c r="A2782" i="2"/>
  <c r="K2781" i="2"/>
  <c r="J2781" i="2"/>
  <c r="I2781" i="2"/>
  <c r="A2781" i="2"/>
  <c r="K2780" i="2"/>
  <c r="J2780" i="2"/>
  <c r="I2780" i="2"/>
  <c r="A2780" i="2"/>
  <c r="K2779" i="2"/>
  <c r="J2779" i="2"/>
  <c r="I2779" i="2"/>
  <c r="A2779" i="2"/>
  <c r="K2778" i="2"/>
  <c r="J2778" i="2"/>
  <c r="I2778" i="2"/>
  <c r="A2778" i="2"/>
  <c r="K2777" i="2"/>
  <c r="J2777" i="2"/>
  <c r="I2777" i="2"/>
  <c r="A2777" i="2"/>
  <c r="K2776" i="2"/>
  <c r="J2776" i="2"/>
  <c r="I2776" i="2"/>
  <c r="A2776" i="2"/>
  <c r="K2775" i="2"/>
  <c r="J2775" i="2"/>
  <c r="I2775" i="2"/>
  <c r="A2775" i="2"/>
  <c r="K2774" i="2"/>
  <c r="J2774" i="2"/>
  <c r="I2774" i="2"/>
  <c r="A2774" i="2"/>
  <c r="K2773" i="2"/>
  <c r="J2773" i="2"/>
  <c r="I2773" i="2"/>
  <c r="A2773" i="2"/>
  <c r="K2772" i="2"/>
  <c r="J2772" i="2"/>
  <c r="I2772" i="2"/>
  <c r="A2772" i="2"/>
  <c r="K2771" i="2"/>
  <c r="J2771" i="2"/>
  <c r="I2771" i="2"/>
  <c r="A2771" i="2"/>
  <c r="K2770" i="2"/>
  <c r="J2770" i="2"/>
  <c r="I2770" i="2"/>
  <c r="A2770" i="2"/>
  <c r="K2769" i="2"/>
  <c r="J2769" i="2"/>
  <c r="I2769" i="2"/>
  <c r="A2769" i="2"/>
  <c r="K2768" i="2"/>
  <c r="J2768" i="2"/>
  <c r="I2768" i="2"/>
  <c r="A2768" i="2"/>
  <c r="K2767" i="2"/>
  <c r="J2767" i="2"/>
  <c r="I2767" i="2"/>
  <c r="A2767" i="2"/>
  <c r="K2766" i="2"/>
  <c r="J2766" i="2"/>
  <c r="I2766" i="2"/>
  <c r="A2766" i="2"/>
  <c r="K2765" i="2"/>
  <c r="J2765" i="2"/>
  <c r="I2765" i="2"/>
  <c r="A2765" i="2"/>
  <c r="K2764" i="2"/>
  <c r="J2764" i="2"/>
  <c r="I2764" i="2"/>
  <c r="A2764" i="2"/>
  <c r="K2763" i="2"/>
  <c r="J2763" i="2"/>
  <c r="I2763" i="2"/>
  <c r="A2763" i="2"/>
  <c r="K2762" i="2"/>
  <c r="J2762" i="2"/>
  <c r="I2762" i="2"/>
  <c r="A2762" i="2"/>
  <c r="K2761" i="2"/>
  <c r="J2761" i="2"/>
  <c r="I2761" i="2"/>
  <c r="A2761" i="2"/>
  <c r="K2760" i="2"/>
  <c r="J2760" i="2"/>
  <c r="I2760" i="2"/>
  <c r="A2760" i="2"/>
  <c r="K2759" i="2"/>
  <c r="J2759" i="2"/>
  <c r="I2759" i="2"/>
  <c r="A2759" i="2"/>
  <c r="K2758" i="2"/>
  <c r="J2758" i="2"/>
  <c r="I2758" i="2"/>
  <c r="A2758" i="2"/>
  <c r="K2757" i="2"/>
  <c r="J2757" i="2"/>
  <c r="I2757" i="2"/>
  <c r="A2757" i="2"/>
  <c r="K2756" i="2"/>
  <c r="J2756" i="2"/>
  <c r="I2756" i="2"/>
  <c r="A2756" i="2"/>
  <c r="K2755" i="2"/>
  <c r="J2755" i="2"/>
  <c r="I2755" i="2"/>
  <c r="A2755" i="2"/>
  <c r="K2754" i="2"/>
  <c r="J2754" i="2"/>
  <c r="I2754" i="2"/>
  <c r="A2754" i="2"/>
  <c r="K2753" i="2"/>
  <c r="J2753" i="2"/>
  <c r="I2753" i="2"/>
  <c r="A2753" i="2"/>
  <c r="K2752" i="2"/>
  <c r="J2752" i="2"/>
  <c r="I2752" i="2"/>
  <c r="A2752" i="2"/>
  <c r="K2751" i="2"/>
  <c r="J2751" i="2"/>
  <c r="I2751" i="2"/>
  <c r="A2751" i="2"/>
  <c r="K2750" i="2"/>
  <c r="J2750" i="2"/>
  <c r="I2750" i="2"/>
  <c r="A2750" i="2"/>
  <c r="K2749" i="2"/>
  <c r="J2749" i="2"/>
  <c r="I2749" i="2"/>
  <c r="A2749" i="2"/>
  <c r="K2748" i="2"/>
  <c r="J2748" i="2"/>
  <c r="I2748" i="2"/>
  <c r="A2748" i="2"/>
  <c r="K2747" i="2"/>
  <c r="J2747" i="2"/>
  <c r="I2747" i="2"/>
  <c r="A2747" i="2"/>
  <c r="K2746" i="2"/>
  <c r="J2746" i="2"/>
  <c r="I2746" i="2"/>
  <c r="A2746" i="2"/>
  <c r="K2745" i="2"/>
  <c r="J2745" i="2"/>
  <c r="I2745" i="2"/>
  <c r="A2745" i="2"/>
  <c r="K2744" i="2"/>
  <c r="J2744" i="2"/>
  <c r="I2744" i="2"/>
  <c r="A2744" i="2"/>
  <c r="K2743" i="2"/>
  <c r="J2743" i="2"/>
  <c r="I2743" i="2"/>
  <c r="A2743" i="2"/>
  <c r="K2742" i="2"/>
  <c r="J2742" i="2"/>
  <c r="I2742" i="2"/>
  <c r="A2742" i="2"/>
  <c r="K2741" i="2"/>
  <c r="J2741" i="2"/>
  <c r="I2741" i="2"/>
  <c r="A2741" i="2"/>
  <c r="K2740" i="2"/>
  <c r="J2740" i="2"/>
  <c r="I2740" i="2"/>
  <c r="A2740" i="2"/>
  <c r="K2739" i="2"/>
  <c r="J2739" i="2"/>
  <c r="I2739" i="2"/>
  <c r="A2739" i="2"/>
  <c r="K2738" i="2"/>
  <c r="J2738" i="2"/>
  <c r="I2738" i="2"/>
  <c r="A2738" i="2"/>
  <c r="K2737" i="2"/>
  <c r="J2737" i="2"/>
  <c r="I2737" i="2"/>
  <c r="A2737" i="2"/>
  <c r="K2736" i="2"/>
  <c r="J2736" i="2"/>
  <c r="I2736" i="2"/>
  <c r="A2736" i="2"/>
  <c r="K2735" i="2"/>
  <c r="J2735" i="2"/>
  <c r="I2735" i="2"/>
  <c r="A2735" i="2"/>
  <c r="K2734" i="2"/>
  <c r="J2734" i="2"/>
  <c r="I2734" i="2"/>
  <c r="A2734" i="2"/>
  <c r="K2733" i="2"/>
  <c r="J2733" i="2"/>
  <c r="I2733" i="2"/>
  <c r="A2733" i="2"/>
  <c r="K2732" i="2"/>
  <c r="J2732" i="2"/>
  <c r="I2732" i="2"/>
  <c r="A2732" i="2"/>
  <c r="K2731" i="2"/>
  <c r="J2731" i="2"/>
  <c r="I2731" i="2"/>
  <c r="A2731" i="2"/>
  <c r="K2730" i="2"/>
  <c r="J2730" i="2"/>
  <c r="I2730" i="2"/>
  <c r="A2730" i="2"/>
  <c r="K2729" i="2"/>
  <c r="J2729" i="2"/>
  <c r="I2729" i="2"/>
  <c r="A2729" i="2"/>
  <c r="K2728" i="2"/>
  <c r="J2728" i="2"/>
  <c r="I2728" i="2"/>
  <c r="A2728" i="2"/>
  <c r="K2727" i="2"/>
  <c r="J2727" i="2"/>
  <c r="I2727" i="2"/>
  <c r="A2727" i="2"/>
  <c r="K2726" i="2"/>
  <c r="J2726" i="2"/>
  <c r="I2726" i="2"/>
  <c r="A2726" i="2"/>
  <c r="K2725" i="2"/>
  <c r="J2725" i="2"/>
  <c r="I2725" i="2"/>
  <c r="A2725" i="2"/>
  <c r="K2724" i="2"/>
  <c r="J2724" i="2"/>
  <c r="I2724" i="2"/>
  <c r="A2724" i="2"/>
  <c r="K2723" i="2"/>
  <c r="J2723" i="2"/>
  <c r="I2723" i="2"/>
  <c r="A2723" i="2"/>
  <c r="K2722" i="2"/>
  <c r="J2722" i="2"/>
  <c r="I2722" i="2"/>
  <c r="A2722" i="2"/>
  <c r="K2721" i="2"/>
  <c r="J2721" i="2"/>
  <c r="I2721" i="2"/>
  <c r="A2721" i="2"/>
  <c r="K2720" i="2"/>
  <c r="J2720" i="2"/>
  <c r="I2720" i="2"/>
  <c r="A2720" i="2"/>
  <c r="K2719" i="2"/>
  <c r="J2719" i="2"/>
  <c r="I2719" i="2"/>
  <c r="A2719" i="2"/>
  <c r="K2718" i="2"/>
  <c r="J2718" i="2"/>
  <c r="I2718" i="2"/>
  <c r="A2718" i="2"/>
  <c r="K2717" i="2"/>
  <c r="J2717" i="2"/>
  <c r="I2717" i="2"/>
  <c r="A2717" i="2"/>
  <c r="K2716" i="2"/>
  <c r="J2716" i="2"/>
  <c r="I2716" i="2"/>
  <c r="A2716" i="2"/>
  <c r="K2715" i="2"/>
  <c r="J2715" i="2"/>
  <c r="I2715" i="2"/>
  <c r="A2715" i="2"/>
  <c r="K2714" i="2"/>
  <c r="J2714" i="2"/>
  <c r="I2714" i="2"/>
  <c r="A2714" i="2"/>
  <c r="K2713" i="2"/>
  <c r="J2713" i="2"/>
  <c r="I2713" i="2"/>
  <c r="A2713" i="2"/>
  <c r="K2712" i="2"/>
  <c r="J2712" i="2"/>
  <c r="I2712" i="2"/>
  <c r="A2712" i="2"/>
  <c r="K2711" i="2"/>
  <c r="J2711" i="2"/>
  <c r="I2711" i="2"/>
  <c r="A2711" i="2"/>
  <c r="K2710" i="2"/>
  <c r="J2710" i="2"/>
  <c r="I2710" i="2"/>
  <c r="A2710" i="2"/>
  <c r="K2709" i="2"/>
  <c r="J2709" i="2"/>
  <c r="I2709" i="2"/>
  <c r="A2709" i="2"/>
  <c r="K2708" i="2"/>
  <c r="J2708" i="2"/>
  <c r="I2708" i="2"/>
  <c r="A2708" i="2"/>
  <c r="K2707" i="2"/>
  <c r="J2707" i="2"/>
  <c r="I2707" i="2"/>
  <c r="A2707" i="2"/>
  <c r="K2706" i="2"/>
  <c r="J2706" i="2"/>
  <c r="I2706" i="2"/>
  <c r="A2706" i="2"/>
  <c r="K2705" i="2"/>
  <c r="J2705" i="2"/>
  <c r="I2705" i="2"/>
  <c r="A2705" i="2"/>
  <c r="K2704" i="2"/>
  <c r="J2704" i="2"/>
  <c r="I2704" i="2"/>
  <c r="A2704" i="2"/>
  <c r="K2703" i="2"/>
  <c r="J2703" i="2"/>
  <c r="I2703" i="2"/>
  <c r="A2703" i="2"/>
  <c r="K2702" i="2"/>
  <c r="J2702" i="2"/>
  <c r="I2702" i="2"/>
  <c r="A2702" i="2"/>
  <c r="K2701" i="2"/>
  <c r="J2701" i="2"/>
  <c r="I2701" i="2"/>
  <c r="A2701" i="2"/>
  <c r="K2700" i="2"/>
  <c r="J2700" i="2"/>
  <c r="I2700" i="2"/>
  <c r="A2700" i="2"/>
  <c r="K2699" i="2"/>
  <c r="J2699" i="2"/>
  <c r="I2699" i="2"/>
  <c r="A2699" i="2"/>
  <c r="K2698" i="2"/>
  <c r="J2698" i="2"/>
  <c r="I2698" i="2"/>
  <c r="A2698" i="2"/>
  <c r="K2697" i="2"/>
  <c r="J2697" i="2"/>
  <c r="I2697" i="2"/>
  <c r="A2697" i="2"/>
  <c r="K2696" i="2"/>
  <c r="J2696" i="2"/>
  <c r="I2696" i="2"/>
  <c r="A2696" i="2"/>
  <c r="K2695" i="2"/>
  <c r="J2695" i="2"/>
  <c r="I2695" i="2"/>
  <c r="A2695" i="2"/>
  <c r="K2694" i="2"/>
  <c r="J2694" i="2"/>
  <c r="I2694" i="2"/>
  <c r="A2694" i="2"/>
  <c r="K2693" i="2"/>
  <c r="J2693" i="2"/>
  <c r="I2693" i="2"/>
  <c r="A2693" i="2"/>
  <c r="K2692" i="2"/>
  <c r="J2692" i="2"/>
  <c r="I2692" i="2"/>
  <c r="A2692" i="2"/>
  <c r="K2691" i="2"/>
  <c r="J2691" i="2"/>
  <c r="I2691" i="2"/>
  <c r="A2691" i="2"/>
  <c r="K2690" i="2"/>
  <c r="J2690" i="2"/>
  <c r="I2690" i="2"/>
  <c r="A2690" i="2"/>
  <c r="K2689" i="2"/>
  <c r="J2689" i="2"/>
  <c r="I2689" i="2"/>
  <c r="A2689" i="2"/>
  <c r="K2688" i="2"/>
  <c r="J2688" i="2"/>
  <c r="I2688" i="2"/>
  <c r="A2688" i="2"/>
  <c r="K2687" i="2"/>
  <c r="J2687" i="2"/>
  <c r="I2687" i="2"/>
  <c r="A2687" i="2"/>
  <c r="K2686" i="2"/>
  <c r="J2686" i="2"/>
  <c r="I2686" i="2"/>
  <c r="A2686" i="2"/>
  <c r="K2685" i="2"/>
  <c r="J2685" i="2"/>
  <c r="I2685" i="2"/>
  <c r="A2685" i="2"/>
  <c r="K2684" i="2"/>
  <c r="J2684" i="2"/>
  <c r="I2684" i="2"/>
  <c r="A2684" i="2"/>
  <c r="K2683" i="2"/>
  <c r="J2683" i="2"/>
  <c r="I2683" i="2"/>
  <c r="A2683" i="2"/>
  <c r="K2682" i="2"/>
  <c r="J2682" i="2"/>
  <c r="I2682" i="2"/>
  <c r="A2682" i="2"/>
  <c r="K2681" i="2"/>
  <c r="J2681" i="2"/>
  <c r="I2681" i="2"/>
  <c r="A2681" i="2"/>
  <c r="K2680" i="2"/>
  <c r="J2680" i="2"/>
  <c r="I2680" i="2"/>
  <c r="A2680" i="2"/>
  <c r="K2679" i="2"/>
  <c r="J2679" i="2"/>
  <c r="I2679" i="2"/>
  <c r="A2679" i="2"/>
  <c r="K2678" i="2"/>
  <c r="J2678" i="2"/>
  <c r="I2678" i="2"/>
  <c r="A2678" i="2"/>
  <c r="K2677" i="2"/>
  <c r="J2677" i="2"/>
  <c r="I2677" i="2"/>
  <c r="A2677" i="2"/>
  <c r="K2676" i="2"/>
  <c r="J2676" i="2"/>
  <c r="I2676" i="2"/>
  <c r="A2676" i="2"/>
  <c r="K2675" i="2"/>
  <c r="J2675" i="2"/>
  <c r="I2675" i="2"/>
  <c r="A2675" i="2"/>
  <c r="K2674" i="2"/>
  <c r="J2674" i="2"/>
  <c r="I2674" i="2"/>
  <c r="A2674" i="2"/>
  <c r="K2673" i="2"/>
  <c r="J2673" i="2"/>
  <c r="I2673" i="2"/>
  <c r="A2673" i="2"/>
  <c r="K2672" i="2"/>
  <c r="J2672" i="2"/>
  <c r="I2672" i="2"/>
  <c r="A2672" i="2"/>
  <c r="K2671" i="2"/>
  <c r="J2671" i="2"/>
  <c r="I2671" i="2"/>
  <c r="A2671" i="2"/>
  <c r="K2670" i="2"/>
  <c r="J2670" i="2"/>
  <c r="I2670" i="2"/>
  <c r="A2670" i="2"/>
  <c r="K2669" i="2"/>
  <c r="J2669" i="2"/>
  <c r="I2669" i="2"/>
  <c r="A2669" i="2"/>
  <c r="K2668" i="2"/>
  <c r="J2668" i="2"/>
  <c r="I2668" i="2"/>
  <c r="A2668" i="2"/>
  <c r="K2667" i="2"/>
  <c r="J2667" i="2"/>
  <c r="I2667" i="2"/>
  <c r="A2667" i="2"/>
  <c r="K2666" i="2"/>
  <c r="J2666" i="2"/>
  <c r="I2666" i="2"/>
  <c r="A2666" i="2"/>
  <c r="K2665" i="2"/>
  <c r="J2665" i="2"/>
  <c r="I2665" i="2"/>
  <c r="A2665" i="2"/>
  <c r="K2664" i="2"/>
  <c r="J2664" i="2"/>
  <c r="I2664" i="2"/>
  <c r="A2664" i="2"/>
  <c r="K2663" i="2"/>
  <c r="J2663" i="2"/>
  <c r="I2663" i="2"/>
  <c r="A2663" i="2"/>
  <c r="K2662" i="2"/>
  <c r="J2662" i="2"/>
  <c r="I2662" i="2"/>
  <c r="A2662" i="2"/>
  <c r="K2661" i="2"/>
  <c r="J2661" i="2"/>
  <c r="I2661" i="2"/>
  <c r="A2661" i="2"/>
  <c r="K2660" i="2"/>
  <c r="J2660" i="2"/>
  <c r="I2660" i="2"/>
  <c r="A2660" i="2"/>
  <c r="K2659" i="2"/>
  <c r="J2659" i="2"/>
  <c r="I2659" i="2"/>
  <c r="A2659" i="2"/>
  <c r="K2658" i="2"/>
  <c r="J2658" i="2"/>
  <c r="I2658" i="2"/>
  <c r="A2658" i="2"/>
  <c r="K2657" i="2"/>
  <c r="J2657" i="2"/>
  <c r="I2657" i="2"/>
  <c r="A2657" i="2"/>
  <c r="K2656" i="2"/>
  <c r="J2656" i="2"/>
  <c r="I2656" i="2"/>
  <c r="A2656" i="2"/>
  <c r="K2655" i="2"/>
  <c r="J2655" i="2"/>
  <c r="I2655" i="2"/>
  <c r="A2655" i="2"/>
  <c r="K2654" i="2"/>
  <c r="J2654" i="2"/>
  <c r="I2654" i="2"/>
  <c r="A2654" i="2"/>
  <c r="K2653" i="2"/>
  <c r="J2653" i="2"/>
  <c r="I2653" i="2"/>
  <c r="A2653" i="2"/>
  <c r="K2652" i="2"/>
  <c r="J2652" i="2"/>
  <c r="I2652" i="2"/>
  <c r="A2652" i="2"/>
  <c r="K2651" i="2"/>
  <c r="J2651" i="2"/>
  <c r="I2651" i="2"/>
  <c r="A2651" i="2"/>
  <c r="K2650" i="2"/>
  <c r="J2650" i="2"/>
  <c r="I2650" i="2"/>
  <c r="A2650" i="2"/>
  <c r="K2649" i="2"/>
  <c r="J2649" i="2"/>
  <c r="I2649" i="2"/>
  <c r="A2649" i="2"/>
  <c r="K2648" i="2"/>
  <c r="J2648" i="2"/>
  <c r="I2648" i="2"/>
  <c r="A2648" i="2"/>
  <c r="K2647" i="2"/>
  <c r="J2647" i="2"/>
  <c r="I2647" i="2"/>
  <c r="A2647" i="2"/>
  <c r="K2646" i="2"/>
  <c r="J2646" i="2"/>
  <c r="I2646" i="2"/>
  <c r="A2646" i="2"/>
  <c r="K2645" i="2"/>
  <c r="J2645" i="2"/>
  <c r="I2645" i="2"/>
  <c r="A2645" i="2"/>
  <c r="K2644" i="2"/>
  <c r="J2644" i="2"/>
  <c r="I2644" i="2"/>
  <c r="A2644" i="2"/>
  <c r="K2643" i="2"/>
  <c r="J2643" i="2"/>
  <c r="I2643" i="2"/>
  <c r="A2643" i="2"/>
  <c r="K2642" i="2"/>
  <c r="J2642" i="2"/>
  <c r="I2642" i="2"/>
  <c r="A2642" i="2"/>
  <c r="K2641" i="2"/>
  <c r="J2641" i="2"/>
  <c r="I2641" i="2"/>
  <c r="A2641" i="2"/>
  <c r="K2640" i="2"/>
  <c r="J2640" i="2"/>
  <c r="I2640" i="2"/>
  <c r="A2640" i="2"/>
  <c r="K2639" i="2"/>
  <c r="J2639" i="2"/>
  <c r="I2639" i="2"/>
  <c r="A2639" i="2"/>
  <c r="K2638" i="2"/>
  <c r="J2638" i="2"/>
  <c r="I2638" i="2"/>
  <c r="A2638" i="2"/>
  <c r="K2637" i="2"/>
  <c r="J2637" i="2"/>
  <c r="I2637" i="2"/>
  <c r="A2637" i="2"/>
  <c r="K2636" i="2"/>
  <c r="J2636" i="2"/>
  <c r="I2636" i="2"/>
  <c r="A2636" i="2"/>
  <c r="K2635" i="2"/>
  <c r="J2635" i="2"/>
  <c r="I2635" i="2"/>
  <c r="A2635" i="2"/>
  <c r="K2634" i="2"/>
  <c r="J2634" i="2"/>
  <c r="I2634" i="2"/>
  <c r="A2634" i="2"/>
  <c r="K2633" i="2"/>
  <c r="J2633" i="2"/>
  <c r="I2633" i="2"/>
  <c r="A2633" i="2"/>
  <c r="K2632" i="2"/>
  <c r="J2632" i="2"/>
  <c r="I2632" i="2"/>
  <c r="A2632" i="2"/>
  <c r="K2631" i="2"/>
  <c r="J2631" i="2"/>
  <c r="I2631" i="2"/>
  <c r="A2631" i="2"/>
  <c r="K2630" i="2"/>
  <c r="J2630" i="2"/>
  <c r="I2630" i="2"/>
  <c r="A2630" i="2"/>
  <c r="K2629" i="2"/>
  <c r="J2629" i="2"/>
  <c r="I2629" i="2"/>
  <c r="A2629" i="2"/>
  <c r="K2628" i="2"/>
  <c r="J2628" i="2"/>
  <c r="I2628" i="2"/>
  <c r="A2628" i="2"/>
  <c r="K2627" i="2"/>
  <c r="J2627" i="2"/>
  <c r="I2627" i="2"/>
  <c r="A2627" i="2"/>
  <c r="K2626" i="2"/>
  <c r="J2626" i="2"/>
  <c r="I2626" i="2"/>
  <c r="A2626" i="2"/>
  <c r="K2625" i="2"/>
  <c r="J2625" i="2"/>
  <c r="I2625" i="2"/>
  <c r="A2625" i="2"/>
  <c r="K2624" i="2"/>
  <c r="J2624" i="2"/>
  <c r="I2624" i="2"/>
  <c r="A2624" i="2"/>
  <c r="K2623" i="2"/>
  <c r="J2623" i="2"/>
  <c r="I2623" i="2"/>
  <c r="A2623" i="2"/>
  <c r="K2622" i="2"/>
  <c r="J2622" i="2"/>
  <c r="I2622" i="2"/>
  <c r="A2622" i="2"/>
  <c r="K2621" i="2"/>
  <c r="J2621" i="2"/>
  <c r="I2621" i="2"/>
  <c r="A2621" i="2"/>
  <c r="K2620" i="2"/>
  <c r="J2620" i="2"/>
  <c r="I2620" i="2"/>
  <c r="A2620" i="2"/>
  <c r="K2619" i="2"/>
  <c r="J2619" i="2"/>
  <c r="I2619" i="2"/>
  <c r="A2619" i="2"/>
  <c r="K2618" i="2"/>
  <c r="J2618" i="2"/>
  <c r="I2618" i="2"/>
  <c r="A2618" i="2"/>
  <c r="K2617" i="2"/>
  <c r="J2617" i="2"/>
  <c r="I2617" i="2"/>
  <c r="A2617" i="2"/>
  <c r="K2616" i="2"/>
  <c r="J2616" i="2"/>
  <c r="I2616" i="2"/>
  <c r="A2616" i="2"/>
  <c r="K2615" i="2"/>
  <c r="J2615" i="2"/>
  <c r="I2615" i="2"/>
  <c r="A2615" i="2"/>
  <c r="K2614" i="2"/>
  <c r="J2614" i="2"/>
  <c r="I2614" i="2"/>
  <c r="A2614" i="2"/>
  <c r="K2613" i="2"/>
  <c r="J2613" i="2"/>
  <c r="I2613" i="2"/>
  <c r="A2613" i="2"/>
  <c r="K2612" i="2"/>
  <c r="J2612" i="2"/>
  <c r="I2612" i="2"/>
  <c r="A2612" i="2"/>
  <c r="K2611" i="2"/>
  <c r="J2611" i="2"/>
  <c r="I2611" i="2"/>
  <c r="A2611" i="2"/>
  <c r="K2610" i="2"/>
  <c r="J2610" i="2"/>
  <c r="I2610" i="2"/>
  <c r="A2610" i="2"/>
  <c r="K2609" i="2"/>
  <c r="J2609" i="2"/>
  <c r="I2609" i="2"/>
  <c r="A2609" i="2"/>
  <c r="K2608" i="2"/>
  <c r="J2608" i="2"/>
  <c r="I2608" i="2"/>
  <c r="A2608" i="2"/>
  <c r="K2607" i="2"/>
  <c r="J2607" i="2"/>
  <c r="I2607" i="2"/>
  <c r="A2607" i="2"/>
  <c r="K2606" i="2"/>
  <c r="J2606" i="2"/>
  <c r="I2606" i="2"/>
  <c r="A2606" i="2"/>
  <c r="K2605" i="2"/>
  <c r="J2605" i="2"/>
  <c r="I2605" i="2"/>
  <c r="A2605" i="2"/>
  <c r="K2604" i="2"/>
  <c r="J2604" i="2"/>
  <c r="I2604" i="2"/>
  <c r="A2604" i="2"/>
  <c r="K2603" i="2"/>
  <c r="J2603" i="2"/>
  <c r="I2603" i="2"/>
  <c r="A2603" i="2"/>
  <c r="K2602" i="2"/>
  <c r="J2602" i="2"/>
  <c r="I2602" i="2"/>
  <c r="A2602" i="2"/>
  <c r="K2601" i="2"/>
  <c r="J2601" i="2"/>
  <c r="I2601" i="2"/>
  <c r="A2601" i="2"/>
  <c r="K2600" i="2"/>
  <c r="J2600" i="2"/>
  <c r="I2600" i="2"/>
  <c r="A2600" i="2"/>
  <c r="K2599" i="2"/>
  <c r="J2599" i="2"/>
  <c r="I2599" i="2"/>
  <c r="A2599" i="2"/>
  <c r="K2598" i="2"/>
  <c r="J2598" i="2"/>
  <c r="I2598" i="2"/>
  <c r="A2598" i="2"/>
  <c r="K2597" i="2"/>
  <c r="J2597" i="2"/>
  <c r="I2597" i="2"/>
  <c r="A2597" i="2"/>
  <c r="K2596" i="2"/>
  <c r="J2596" i="2"/>
  <c r="I2596" i="2"/>
  <c r="A2596" i="2"/>
  <c r="K2595" i="2"/>
  <c r="J2595" i="2"/>
  <c r="I2595" i="2"/>
  <c r="A2595" i="2"/>
  <c r="K2594" i="2"/>
  <c r="J2594" i="2"/>
  <c r="I2594" i="2"/>
  <c r="A2594" i="2"/>
  <c r="K2593" i="2"/>
  <c r="J2593" i="2"/>
  <c r="I2593" i="2"/>
  <c r="A2593" i="2"/>
  <c r="K2592" i="2"/>
  <c r="J2592" i="2"/>
  <c r="I2592" i="2"/>
  <c r="A2592" i="2"/>
  <c r="K2591" i="2"/>
  <c r="J2591" i="2"/>
  <c r="I2591" i="2"/>
  <c r="A2591" i="2"/>
  <c r="K2590" i="2"/>
  <c r="J2590" i="2"/>
  <c r="I2590" i="2"/>
  <c r="A2590" i="2"/>
  <c r="K2589" i="2"/>
  <c r="J2589" i="2"/>
  <c r="I2589" i="2"/>
  <c r="A2589" i="2"/>
  <c r="K2588" i="2"/>
  <c r="J2588" i="2"/>
  <c r="I2588" i="2"/>
  <c r="A2588" i="2"/>
  <c r="K2587" i="2"/>
  <c r="J2587" i="2"/>
  <c r="I2587" i="2"/>
  <c r="A2587" i="2"/>
  <c r="K2586" i="2"/>
  <c r="J2586" i="2"/>
  <c r="I2586" i="2"/>
  <c r="A2586" i="2"/>
  <c r="K2585" i="2"/>
  <c r="J2585" i="2"/>
  <c r="I2585" i="2"/>
  <c r="A2585" i="2"/>
  <c r="K2584" i="2"/>
  <c r="J2584" i="2"/>
  <c r="I2584" i="2"/>
  <c r="A2584" i="2"/>
  <c r="K2583" i="2"/>
  <c r="J2583" i="2"/>
  <c r="I2583" i="2"/>
  <c r="A2583" i="2"/>
  <c r="K2582" i="2"/>
  <c r="J2582" i="2"/>
  <c r="I2582" i="2"/>
  <c r="A2582" i="2"/>
  <c r="K2581" i="2"/>
  <c r="J2581" i="2"/>
  <c r="I2581" i="2"/>
  <c r="A2581" i="2"/>
  <c r="K2580" i="2"/>
  <c r="J2580" i="2"/>
  <c r="I2580" i="2"/>
  <c r="A2580" i="2"/>
  <c r="K2579" i="2"/>
  <c r="J2579" i="2"/>
  <c r="I2579" i="2"/>
  <c r="A2579" i="2"/>
  <c r="K2578" i="2"/>
  <c r="J2578" i="2"/>
  <c r="I2578" i="2"/>
  <c r="A2578" i="2"/>
  <c r="K2577" i="2"/>
  <c r="J2577" i="2"/>
  <c r="I2577" i="2"/>
  <c r="A2577" i="2"/>
  <c r="K2576" i="2"/>
  <c r="J2576" i="2"/>
  <c r="I2576" i="2"/>
  <c r="A2576" i="2"/>
  <c r="K2575" i="2"/>
  <c r="J2575" i="2"/>
  <c r="I2575" i="2"/>
  <c r="A2575" i="2"/>
  <c r="K2574" i="2"/>
  <c r="J2574" i="2"/>
  <c r="I2574" i="2"/>
  <c r="A2574" i="2"/>
  <c r="K2573" i="2"/>
  <c r="J2573" i="2"/>
  <c r="I2573" i="2"/>
  <c r="A2573" i="2"/>
  <c r="K2572" i="2"/>
  <c r="J2572" i="2"/>
  <c r="I2572" i="2"/>
  <c r="A2572" i="2"/>
  <c r="K2571" i="2"/>
  <c r="J2571" i="2"/>
  <c r="I2571" i="2"/>
  <c r="A2571" i="2"/>
  <c r="K2570" i="2"/>
  <c r="J2570" i="2"/>
  <c r="I2570" i="2"/>
  <c r="A2570" i="2"/>
  <c r="K2569" i="2"/>
  <c r="J2569" i="2"/>
  <c r="I2569" i="2"/>
  <c r="A2569" i="2"/>
  <c r="K2568" i="2"/>
  <c r="J2568" i="2"/>
  <c r="I2568" i="2"/>
  <c r="A2568" i="2"/>
  <c r="K2567" i="2"/>
  <c r="J2567" i="2"/>
  <c r="I2567" i="2"/>
  <c r="A2567" i="2"/>
  <c r="K2566" i="2"/>
  <c r="J2566" i="2"/>
  <c r="I2566" i="2"/>
  <c r="A2566" i="2"/>
  <c r="K2565" i="2"/>
  <c r="J2565" i="2"/>
  <c r="I2565" i="2"/>
  <c r="A2565" i="2"/>
  <c r="K2564" i="2"/>
  <c r="J2564" i="2"/>
  <c r="I2564" i="2"/>
  <c r="A2564" i="2"/>
  <c r="K2563" i="2"/>
  <c r="J2563" i="2"/>
  <c r="I2563" i="2"/>
  <c r="A2563" i="2"/>
  <c r="K2562" i="2"/>
  <c r="J2562" i="2"/>
  <c r="I2562" i="2"/>
  <c r="A2562" i="2"/>
  <c r="K2561" i="2"/>
  <c r="J2561" i="2"/>
  <c r="I2561" i="2"/>
  <c r="A2561" i="2"/>
  <c r="K2560" i="2"/>
  <c r="J2560" i="2"/>
  <c r="I2560" i="2"/>
  <c r="A2560" i="2"/>
  <c r="K2559" i="2"/>
  <c r="J2559" i="2"/>
  <c r="I2559" i="2"/>
  <c r="A2559" i="2"/>
  <c r="K2558" i="2"/>
  <c r="J2558" i="2"/>
  <c r="I2558" i="2"/>
  <c r="A2558" i="2"/>
  <c r="K2557" i="2"/>
  <c r="J2557" i="2"/>
  <c r="I2557" i="2"/>
  <c r="A2557" i="2"/>
  <c r="K2556" i="2"/>
  <c r="J2556" i="2"/>
  <c r="I2556" i="2"/>
  <c r="A2556" i="2"/>
  <c r="K2555" i="2"/>
  <c r="J2555" i="2"/>
  <c r="I2555" i="2"/>
  <c r="A2555" i="2"/>
  <c r="K2554" i="2"/>
  <c r="J2554" i="2"/>
  <c r="I2554" i="2"/>
  <c r="A2554" i="2"/>
  <c r="K2553" i="2"/>
  <c r="J2553" i="2"/>
  <c r="I2553" i="2"/>
  <c r="A2553" i="2"/>
  <c r="K2552" i="2"/>
  <c r="J2552" i="2"/>
  <c r="I2552" i="2"/>
  <c r="A2552" i="2"/>
  <c r="K2551" i="2"/>
  <c r="J2551" i="2"/>
  <c r="I2551" i="2"/>
  <c r="A2551" i="2"/>
  <c r="K2550" i="2"/>
  <c r="J2550" i="2"/>
  <c r="I2550" i="2"/>
  <c r="A2550" i="2"/>
  <c r="K2549" i="2"/>
  <c r="J2549" i="2"/>
  <c r="I2549" i="2"/>
  <c r="A2549" i="2"/>
  <c r="K2548" i="2"/>
  <c r="J2548" i="2"/>
  <c r="I2548" i="2"/>
  <c r="A2548" i="2"/>
  <c r="K2547" i="2"/>
  <c r="J2547" i="2"/>
  <c r="I2547" i="2"/>
  <c r="A2547" i="2"/>
  <c r="K2546" i="2"/>
  <c r="J2546" i="2"/>
  <c r="I2546" i="2"/>
  <c r="A2546" i="2"/>
  <c r="K2545" i="2"/>
  <c r="J2545" i="2"/>
  <c r="I2545" i="2"/>
  <c r="A2545" i="2"/>
  <c r="K2544" i="2"/>
  <c r="J2544" i="2"/>
  <c r="I2544" i="2"/>
  <c r="A2544" i="2"/>
  <c r="K2543" i="2"/>
  <c r="J2543" i="2"/>
  <c r="I2543" i="2"/>
  <c r="A2543" i="2"/>
  <c r="K2542" i="2"/>
  <c r="J2542" i="2"/>
  <c r="I2542" i="2"/>
  <c r="A2542" i="2"/>
  <c r="K2541" i="2"/>
  <c r="J2541" i="2"/>
  <c r="I2541" i="2"/>
  <c r="A2541" i="2"/>
  <c r="K2540" i="2"/>
  <c r="J2540" i="2"/>
  <c r="I2540" i="2"/>
  <c r="A2540" i="2"/>
  <c r="K2539" i="2"/>
  <c r="J2539" i="2"/>
  <c r="I2539" i="2"/>
  <c r="A2539" i="2"/>
  <c r="K2538" i="2"/>
  <c r="J2538" i="2"/>
  <c r="I2538" i="2"/>
  <c r="A2538" i="2"/>
  <c r="K2537" i="2"/>
  <c r="J2537" i="2"/>
  <c r="I2537" i="2"/>
  <c r="A2537" i="2"/>
  <c r="K2536" i="2"/>
  <c r="J2536" i="2"/>
  <c r="I2536" i="2"/>
  <c r="A2536" i="2"/>
  <c r="K2535" i="2"/>
  <c r="J2535" i="2"/>
  <c r="I2535" i="2"/>
  <c r="A2535" i="2"/>
  <c r="K2534" i="2"/>
  <c r="J2534" i="2"/>
  <c r="I2534" i="2"/>
  <c r="A2534" i="2"/>
  <c r="K2533" i="2"/>
  <c r="J2533" i="2"/>
  <c r="I2533" i="2"/>
  <c r="A2533" i="2"/>
  <c r="K2532" i="2"/>
  <c r="J2532" i="2"/>
  <c r="I2532" i="2"/>
  <c r="A2532" i="2"/>
  <c r="K2531" i="2"/>
  <c r="J2531" i="2"/>
  <c r="I2531" i="2"/>
  <c r="A2531" i="2"/>
  <c r="K2530" i="2"/>
  <c r="J2530" i="2"/>
  <c r="I2530" i="2"/>
  <c r="A2530" i="2"/>
  <c r="K2529" i="2"/>
  <c r="J2529" i="2"/>
  <c r="I2529" i="2"/>
  <c r="A2529" i="2"/>
  <c r="K2528" i="2"/>
  <c r="J2528" i="2"/>
  <c r="I2528" i="2"/>
  <c r="A2528" i="2"/>
  <c r="K2527" i="2"/>
  <c r="J2527" i="2"/>
  <c r="I2527" i="2"/>
  <c r="A2527" i="2"/>
  <c r="K2526" i="2"/>
  <c r="J2526" i="2"/>
  <c r="I2526" i="2"/>
  <c r="A2526" i="2"/>
  <c r="K2525" i="2"/>
  <c r="J2525" i="2"/>
  <c r="I2525" i="2"/>
  <c r="A2525" i="2"/>
  <c r="K2524" i="2"/>
  <c r="J2524" i="2"/>
  <c r="I2524" i="2"/>
  <c r="A2524" i="2"/>
  <c r="K2523" i="2"/>
  <c r="J2523" i="2"/>
  <c r="I2523" i="2"/>
  <c r="A2523" i="2"/>
  <c r="K2522" i="2"/>
  <c r="J2522" i="2"/>
  <c r="I2522" i="2"/>
  <c r="A2522" i="2"/>
  <c r="K2521" i="2"/>
  <c r="J2521" i="2"/>
  <c r="I2521" i="2"/>
  <c r="A2521" i="2"/>
  <c r="K2520" i="2"/>
  <c r="J2520" i="2"/>
  <c r="I2520" i="2"/>
  <c r="A2520" i="2"/>
  <c r="K2519" i="2"/>
  <c r="J2519" i="2"/>
  <c r="I2519" i="2"/>
  <c r="A2519" i="2"/>
  <c r="K2518" i="2"/>
  <c r="J2518" i="2"/>
  <c r="I2518" i="2"/>
  <c r="A2518" i="2"/>
  <c r="K2517" i="2"/>
  <c r="J2517" i="2"/>
  <c r="I2517" i="2"/>
  <c r="A2517" i="2"/>
  <c r="K2516" i="2"/>
  <c r="J2516" i="2"/>
  <c r="I2516" i="2"/>
  <c r="A2516" i="2"/>
  <c r="K2515" i="2"/>
  <c r="J2515" i="2"/>
  <c r="I2515" i="2"/>
  <c r="A2515" i="2"/>
  <c r="K2514" i="2"/>
  <c r="J2514" i="2"/>
  <c r="I2514" i="2"/>
  <c r="A2514" i="2"/>
  <c r="K2513" i="2"/>
  <c r="J2513" i="2"/>
  <c r="I2513" i="2"/>
  <c r="A2513" i="2"/>
  <c r="K2512" i="2"/>
  <c r="J2512" i="2"/>
  <c r="I2512" i="2"/>
  <c r="A2512" i="2"/>
  <c r="K2511" i="2"/>
  <c r="J2511" i="2"/>
  <c r="I2511" i="2"/>
  <c r="A2511" i="2"/>
  <c r="K2510" i="2"/>
  <c r="J2510" i="2"/>
  <c r="I2510" i="2"/>
  <c r="A2510" i="2"/>
  <c r="K2509" i="2"/>
  <c r="J2509" i="2"/>
  <c r="I2509" i="2"/>
  <c r="A2509" i="2"/>
  <c r="K2508" i="2"/>
  <c r="J2508" i="2"/>
  <c r="I2508" i="2"/>
  <c r="A2508" i="2"/>
  <c r="K2507" i="2"/>
  <c r="J2507" i="2"/>
  <c r="I2507" i="2"/>
  <c r="A2507" i="2"/>
  <c r="K2506" i="2"/>
  <c r="J2506" i="2"/>
  <c r="I2506" i="2"/>
  <c r="A2506" i="2"/>
  <c r="K2505" i="2"/>
  <c r="J2505" i="2"/>
  <c r="I2505" i="2"/>
  <c r="A2505" i="2"/>
  <c r="K2504" i="2"/>
  <c r="J2504" i="2"/>
  <c r="I2504" i="2"/>
  <c r="A2504" i="2"/>
  <c r="K2503" i="2"/>
  <c r="J2503" i="2"/>
  <c r="I2503" i="2"/>
  <c r="A2503" i="2"/>
  <c r="K2502" i="2"/>
  <c r="J2502" i="2"/>
  <c r="I2502" i="2"/>
  <c r="A2502" i="2"/>
  <c r="K2501" i="2"/>
  <c r="J2501" i="2"/>
  <c r="I2501" i="2"/>
  <c r="A2501" i="2"/>
  <c r="K2500" i="2"/>
  <c r="J2500" i="2"/>
  <c r="I2500" i="2"/>
  <c r="A2500" i="2"/>
  <c r="K2499" i="2"/>
  <c r="J2499" i="2"/>
  <c r="I2499" i="2"/>
  <c r="A2499" i="2"/>
  <c r="K2498" i="2"/>
  <c r="J2498" i="2"/>
  <c r="I2498" i="2"/>
  <c r="A2498" i="2"/>
  <c r="K2497" i="2"/>
  <c r="J2497" i="2"/>
  <c r="I2497" i="2"/>
  <c r="A2497" i="2"/>
  <c r="K2496" i="2"/>
  <c r="J2496" i="2"/>
  <c r="I2496" i="2"/>
  <c r="A2496" i="2"/>
  <c r="K2495" i="2"/>
  <c r="J2495" i="2"/>
  <c r="I2495" i="2"/>
  <c r="A2495" i="2"/>
  <c r="K2494" i="2"/>
  <c r="J2494" i="2"/>
  <c r="I2494" i="2"/>
  <c r="A2494" i="2"/>
  <c r="K2493" i="2"/>
  <c r="J2493" i="2"/>
  <c r="I2493" i="2"/>
  <c r="A2493" i="2"/>
  <c r="K2492" i="2"/>
  <c r="J2492" i="2"/>
  <c r="I2492" i="2"/>
  <c r="A2492" i="2"/>
  <c r="K2491" i="2"/>
  <c r="J2491" i="2"/>
  <c r="I2491" i="2"/>
  <c r="A2491" i="2"/>
  <c r="K2490" i="2"/>
  <c r="J2490" i="2"/>
  <c r="I2490" i="2"/>
  <c r="A2490" i="2"/>
  <c r="K2489" i="2"/>
  <c r="J2489" i="2"/>
  <c r="I2489" i="2"/>
  <c r="A2489" i="2"/>
  <c r="K2488" i="2"/>
  <c r="J2488" i="2"/>
  <c r="I2488" i="2"/>
  <c r="A2488" i="2"/>
  <c r="K2487" i="2"/>
  <c r="J2487" i="2"/>
  <c r="I2487" i="2"/>
  <c r="A2487" i="2"/>
  <c r="K2486" i="2"/>
  <c r="J2486" i="2"/>
  <c r="I2486" i="2"/>
  <c r="A2486" i="2"/>
  <c r="K2485" i="2"/>
  <c r="J2485" i="2"/>
  <c r="I2485" i="2"/>
  <c r="A2485" i="2"/>
  <c r="K2484" i="2"/>
  <c r="J2484" i="2"/>
  <c r="I2484" i="2"/>
  <c r="A2484" i="2"/>
  <c r="K2483" i="2"/>
  <c r="J2483" i="2"/>
  <c r="I2483" i="2"/>
  <c r="A2483" i="2"/>
  <c r="K2482" i="2"/>
  <c r="J2482" i="2"/>
  <c r="I2482" i="2"/>
  <c r="A2482" i="2"/>
  <c r="K2481" i="2"/>
  <c r="J2481" i="2"/>
  <c r="I2481" i="2"/>
  <c r="A2481" i="2"/>
  <c r="K2480" i="2"/>
  <c r="J2480" i="2"/>
  <c r="I2480" i="2"/>
  <c r="A2480" i="2"/>
  <c r="K2479" i="2"/>
  <c r="J2479" i="2"/>
  <c r="I2479" i="2"/>
  <c r="A2479" i="2"/>
  <c r="K2478" i="2"/>
  <c r="J2478" i="2"/>
  <c r="I2478" i="2"/>
  <c r="A2478" i="2"/>
  <c r="K2477" i="2"/>
  <c r="J2477" i="2"/>
  <c r="I2477" i="2"/>
  <c r="A2477" i="2"/>
  <c r="K2476" i="2"/>
  <c r="J2476" i="2"/>
  <c r="I2476" i="2"/>
  <c r="A2476" i="2"/>
  <c r="K2475" i="2"/>
  <c r="J2475" i="2"/>
  <c r="I2475" i="2"/>
  <c r="A2475" i="2"/>
  <c r="K2474" i="2"/>
  <c r="J2474" i="2"/>
  <c r="I2474" i="2"/>
  <c r="A2474" i="2"/>
  <c r="K2473" i="2"/>
  <c r="J2473" i="2"/>
  <c r="I2473" i="2"/>
  <c r="A2473" i="2"/>
  <c r="K2472" i="2"/>
  <c r="J2472" i="2"/>
  <c r="I2472" i="2"/>
  <c r="A2472" i="2"/>
  <c r="K2471" i="2"/>
  <c r="J2471" i="2"/>
  <c r="I2471" i="2"/>
  <c r="A2471" i="2"/>
  <c r="K2470" i="2"/>
  <c r="J2470" i="2"/>
  <c r="I2470" i="2"/>
  <c r="A2470" i="2"/>
  <c r="K2469" i="2"/>
  <c r="J2469" i="2"/>
  <c r="I2469" i="2"/>
  <c r="A2469" i="2"/>
  <c r="K2468" i="2"/>
  <c r="J2468" i="2"/>
  <c r="I2468" i="2"/>
  <c r="A2468" i="2"/>
  <c r="K2467" i="2"/>
  <c r="J2467" i="2"/>
  <c r="I2467" i="2"/>
  <c r="A2467" i="2"/>
  <c r="K2466" i="2"/>
  <c r="J2466" i="2"/>
  <c r="I2466" i="2"/>
  <c r="A2466" i="2"/>
  <c r="K2465" i="2"/>
  <c r="J2465" i="2"/>
  <c r="I2465" i="2"/>
  <c r="A2465" i="2"/>
  <c r="K2464" i="2"/>
  <c r="J2464" i="2"/>
  <c r="I2464" i="2"/>
  <c r="A2464" i="2"/>
  <c r="K2463" i="2"/>
  <c r="J2463" i="2"/>
  <c r="I2463" i="2"/>
  <c r="A2463" i="2"/>
  <c r="K2462" i="2"/>
  <c r="J2462" i="2"/>
  <c r="I2462" i="2"/>
  <c r="A2462" i="2"/>
  <c r="K2461" i="2"/>
  <c r="J2461" i="2"/>
  <c r="I2461" i="2"/>
  <c r="A2461" i="2"/>
  <c r="K2460" i="2"/>
  <c r="J2460" i="2"/>
  <c r="I2460" i="2"/>
  <c r="A2460" i="2"/>
  <c r="K2459" i="2"/>
  <c r="J2459" i="2"/>
  <c r="I2459" i="2"/>
  <c r="A2459" i="2"/>
  <c r="K2458" i="2"/>
  <c r="J2458" i="2"/>
  <c r="I2458" i="2"/>
  <c r="A2458" i="2"/>
  <c r="K2457" i="2"/>
  <c r="J2457" i="2"/>
  <c r="I2457" i="2"/>
  <c r="A2457" i="2"/>
  <c r="K2456" i="2"/>
  <c r="J2456" i="2"/>
  <c r="I2456" i="2"/>
  <c r="A2456" i="2"/>
  <c r="K2455" i="2"/>
  <c r="J2455" i="2"/>
  <c r="I2455" i="2"/>
  <c r="A2455" i="2"/>
  <c r="K2454" i="2"/>
  <c r="J2454" i="2"/>
  <c r="I2454" i="2"/>
  <c r="A2454" i="2"/>
  <c r="K2453" i="2"/>
  <c r="J2453" i="2"/>
  <c r="I2453" i="2"/>
  <c r="A2453" i="2"/>
  <c r="K2452" i="2"/>
  <c r="J2452" i="2"/>
  <c r="I2452" i="2"/>
  <c r="A2452" i="2"/>
  <c r="K2451" i="2"/>
  <c r="J2451" i="2"/>
  <c r="I2451" i="2"/>
  <c r="A2451" i="2"/>
  <c r="K2450" i="2"/>
  <c r="J2450" i="2"/>
  <c r="I2450" i="2"/>
  <c r="A2450" i="2"/>
  <c r="K2449" i="2"/>
  <c r="J2449" i="2"/>
  <c r="I2449" i="2"/>
  <c r="A2449" i="2"/>
  <c r="K2448" i="2"/>
  <c r="J2448" i="2"/>
  <c r="I2448" i="2"/>
  <c r="A2448" i="2"/>
  <c r="K2447" i="2"/>
  <c r="J2447" i="2"/>
  <c r="I2447" i="2"/>
  <c r="A2447" i="2"/>
  <c r="K2446" i="2"/>
  <c r="J2446" i="2"/>
  <c r="I2446" i="2"/>
  <c r="A2446" i="2"/>
  <c r="K2445" i="2"/>
  <c r="J2445" i="2"/>
  <c r="I2445" i="2"/>
  <c r="A2445" i="2"/>
  <c r="K2444" i="2"/>
  <c r="J2444" i="2"/>
  <c r="I2444" i="2"/>
  <c r="A2444" i="2"/>
  <c r="K2443" i="2"/>
  <c r="J2443" i="2"/>
  <c r="I2443" i="2"/>
  <c r="A2443" i="2"/>
  <c r="K2442" i="2"/>
  <c r="J2442" i="2"/>
  <c r="I2442" i="2"/>
  <c r="A2442" i="2"/>
  <c r="K2441" i="2"/>
  <c r="J2441" i="2"/>
  <c r="I2441" i="2"/>
  <c r="A2441" i="2"/>
  <c r="K2440" i="2"/>
  <c r="J2440" i="2"/>
  <c r="I2440" i="2"/>
  <c r="A2440" i="2"/>
  <c r="K2439" i="2"/>
  <c r="J2439" i="2"/>
  <c r="I2439" i="2"/>
  <c r="A2439" i="2"/>
  <c r="K2438" i="2"/>
  <c r="J2438" i="2"/>
  <c r="I2438" i="2"/>
  <c r="A2438" i="2"/>
  <c r="K2437" i="2"/>
  <c r="J2437" i="2"/>
  <c r="I2437" i="2"/>
  <c r="A2437" i="2"/>
  <c r="K2436" i="2"/>
  <c r="J2436" i="2"/>
  <c r="I2436" i="2"/>
  <c r="A2436" i="2"/>
  <c r="K2435" i="2"/>
  <c r="J2435" i="2"/>
  <c r="I2435" i="2"/>
  <c r="A2435" i="2"/>
  <c r="K2434" i="2"/>
  <c r="J2434" i="2"/>
  <c r="I2434" i="2"/>
  <c r="A2434" i="2"/>
  <c r="K2433" i="2"/>
  <c r="J2433" i="2"/>
  <c r="I2433" i="2"/>
  <c r="A2433" i="2"/>
  <c r="K2432" i="2"/>
  <c r="J2432" i="2"/>
  <c r="I2432" i="2"/>
  <c r="A2432" i="2"/>
  <c r="K2431" i="2"/>
  <c r="J2431" i="2"/>
  <c r="I2431" i="2"/>
  <c r="A2431" i="2"/>
  <c r="K2430" i="2"/>
  <c r="J2430" i="2"/>
  <c r="I2430" i="2"/>
  <c r="A2430" i="2"/>
  <c r="K2429" i="2"/>
  <c r="J2429" i="2"/>
  <c r="I2429" i="2"/>
  <c r="A2429" i="2"/>
  <c r="K2428" i="2"/>
  <c r="J2428" i="2"/>
  <c r="I2428" i="2"/>
  <c r="A2428" i="2"/>
  <c r="K2427" i="2"/>
  <c r="J2427" i="2"/>
  <c r="I2427" i="2"/>
  <c r="A2427" i="2"/>
  <c r="K2426" i="2"/>
  <c r="J2426" i="2"/>
  <c r="I2426" i="2"/>
  <c r="A2426" i="2"/>
  <c r="K2425" i="2"/>
  <c r="J2425" i="2"/>
  <c r="I2425" i="2"/>
  <c r="A2425" i="2"/>
  <c r="K2424" i="2"/>
  <c r="J2424" i="2"/>
  <c r="I2424" i="2"/>
  <c r="A2424" i="2"/>
  <c r="K2423" i="2"/>
  <c r="J2423" i="2"/>
  <c r="I2423" i="2"/>
  <c r="A2423" i="2"/>
  <c r="K2422" i="2"/>
  <c r="J2422" i="2"/>
  <c r="I2422" i="2"/>
  <c r="A2422" i="2"/>
  <c r="K2421" i="2"/>
  <c r="J2421" i="2"/>
  <c r="I2421" i="2"/>
  <c r="A2421" i="2"/>
  <c r="K2420" i="2"/>
  <c r="J2420" i="2"/>
  <c r="I2420" i="2"/>
  <c r="A2420" i="2"/>
  <c r="K2419" i="2"/>
  <c r="J2419" i="2"/>
  <c r="I2419" i="2"/>
  <c r="A2419" i="2"/>
  <c r="K2418" i="2"/>
  <c r="J2418" i="2"/>
  <c r="I2418" i="2"/>
  <c r="A2418" i="2"/>
  <c r="K2417" i="2"/>
  <c r="J2417" i="2"/>
  <c r="I2417" i="2"/>
  <c r="A2417" i="2"/>
  <c r="K2416" i="2"/>
  <c r="J2416" i="2"/>
  <c r="I2416" i="2"/>
  <c r="A2416" i="2"/>
  <c r="K2415" i="2"/>
  <c r="J2415" i="2"/>
  <c r="I2415" i="2"/>
  <c r="A2415" i="2"/>
  <c r="K2414" i="2"/>
  <c r="J2414" i="2"/>
  <c r="I2414" i="2"/>
  <c r="A2414" i="2"/>
  <c r="K2413" i="2"/>
  <c r="J2413" i="2"/>
  <c r="I2413" i="2"/>
  <c r="A2413" i="2"/>
  <c r="K2412" i="2"/>
  <c r="J2412" i="2"/>
  <c r="I2412" i="2"/>
  <c r="A2412" i="2"/>
  <c r="K2411" i="2"/>
  <c r="J2411" i="2"/>
  <c r="I2411" i="2"/>
  <c r="A2411" i="2"/>
  <c r="K2410" i="2"/>
  <c r="J2410" i="2"/>
  <c r="I2410" i="2"/>
  <c r="A2410" i="2"/>
  <c r="K2409" i="2"/>
  <c r="J2409" i="2"/>
  <c r="I2409" i="2"/>
  <c r="A2409" i="2"/>
  <c r="K2408" i="2"/>
  <c r="J2408" i="2"/>
  <c r="I2408" i="2"/>
  <c r="A2408" i="2"/>
  <c r="K2407" i="2"/>
  <c r="J2407" i="2"/>
  <c r="I2407" i="2"/>
  <c r="A2407" i="2"/>
  <c r="K2406" i="2"/>
  <c r="J2406" i="2"/>
  <c r="I2406" i="2"/>
  <c r="A2406" i="2"/>
  <c r="K2405" i="2"/>
  <c r="J2405" i="2"/>
  <c r="I2405" i="2"/>
  <c r="A2405" i="2"/>
  <c r="K2404" i="2"/>
  <c r="J2404" i="2"/>
  <c r="I2404" i="2"/>
  <c r="A2404" i="2"/>
  <c r="K2403" i="2"/>
  <c r="J2403" i="2"/>
  <c r="I2403" i="2"/>
  <c r="A2403" i="2"/>
  <c r="K2402" i="2"/>
  <c r="J2402" i="2"/>
  <c r="I2402" i="2"/>
  <c r="A2402" i="2"/>
  <c r="K2401" i="2"/>
  <c r="J2401" i="2"/>
  <c r="I2401" i="2"/>
  <c r="A2401" i="2"/>
  <c r="K2400" i="2"/>
  <c r="J2400" i="2"/>
  <c r="I2400" i="2"/>
  <c r="A2400" i="2"/>
  <c r="K2399" i="2"/>
  <c r="J2399" i="2"/>
  <c r="I2399" i="2"/>
  <c r="A2399" i="2"/>
  <c r="K2398" i="2"/>
  <c r="J2398" i="2"/>
  <c r="I2398" i="2"/>
  <c r="A2398" i="2"/>
  <c r="K2397" i="2"/>
  <c r="J2397" i="2"/>
  <c r="I2397" i="2"/>
  <c r="A2397" i="2"/>
  <c r="K2396" i="2"/>
  <c r="J2396" i="2"/>
  <c r="I2396" i="2"/>
  <c r="A2396" i="2"/>
  <c r="K2395" i="2"/>
  <c r="J2395" i="2"/>
  <c r="I2395" i="2"/>
  <c r="A2395" i="2"/>
  <c r="K2394" i="2"/>
  <c r="J2394" i="2"/>
  <c r="I2394" i="2"/>
  <c r="A2394" i="2"/>
  <c r="K2393" i="2"/>
  <c r="J2393" i="2"/>
  <c r="I2393" i="2"/>
  <c r="A2393" i="2"/>
  <c r="K2392" i="2"/>
  <c r="J2392" i="2"/>
  <c r="I2392" i="2"/>
  <c r="A2392" i="2"/>
  <c r="K2391" i="2"/>
  <c r="J2391" i="2"/>
  <c r="I2391" i="2"/>
  <c r="A2391" i="2"/>
  <c r="K2390" i="2"/>
  <c r="J2390" i="2"/>
  <c r="I2390" i="2"/>
  <c r="A2390" i="2"/>
  <c r="K2389" i="2"/>
  <c r="J2389" i="2"/>
  <c r="I2389" i="2"/>
  <c r="A2389" i="2"/>
  <c r="K2388" i="2"/>
  <c r="J2388" i="2"/>
  <c r="I2388" i="2"/>
  <c r="A2388" i="2"/>
  <c r="K2387" i="2"/>
  <c r="J2387" i="2"/>
  <c r="I2387" i="2"/>
  <c r="A2387" i="2"/>
  <c r="K2386" i="2"/>
  <c r="J2386" i="2"/>
  <c r="I2386" i="2"/>
  <c r="A2386" i="2"/>
  <c r="K2385" i="2"/>
  <c r="J2385" i="2"/>
  <c r="I2385" i="2"/>
  <c r="A2385" i="2"/>
  <c r="K2384" i="2"/>
  <c r="J2384" i="2"/>
  <c r="I2384" i="2"/>
  <c r="A2384" i="2"/>
  <c r="K2383" i="2"/>
  <c r="J2383" i="2"/>
  <c r="I2383" i="2"/>
  <c r="A2383" i="2"/>
  <c r="K2382" i="2"/>
  <c r="J2382" i="2"/>
  <c r="I2382" i="2"/>
  <c r="A2382" i="2"/>
  <c r="K2381" i="2"/>
  <c r="J2381" i="2"/>
  <c r="I2381" i="2"/>
  <c r="A2381" i="2"/>
  <c r="K2380" i="2"/>
  <c r="J2380" i="2"/>
  <c r="I2380" i="2"/>
  <c r="A2380" i="2"/>
  <c r="K2379" i="2"/>
  <c r="J2379" i="2"/>
  <c r="I2379" i="2"/>
  <c r="A2379" i="2"/>
  <c r="K2378" i="2"/>
  <c r="J2378" i="2"/>
  <c r="I2378" i="2"/>
  <c r="A2378" i="2"/>
  <c r="K2377" i="2"/>
  <c r="J2377" i="2"/>
  <c r="I2377" i="2"/>
  <c r="A2377" i="2"/>
  <c r="K2376" i="2"/>
  <c r="J2376" i="2"/>
  <c r="I2376" i="2"/>
  <c r="A2376" i="2"/>
  <c r="K2375" i="2"/>
  <c r="J2375" i="2"/>
  <c r="I2375" i="2"/>
  <c r="A2375" i="2"/>
  <c r="K2374" i="2"/>
  <c r="J2374" i="2"/>
  <c r="I2374" i="2"/>
  <c r="A2374" i="2"/>
  <c r="K2373" i="2"/>
  <c r="J2373" i="2"/>
  <c r="I2373" i="2"/>
  <c r="A2373" i="2"/>
  <c r="K2372" i="2"/>
  <c r="J2372" i="2"/>
  <c r="I2372" i="2"/>
  <c r="A2372" i="2"/>
  <c r="K2371" i="2"/>
  <c r="J2371" i="2"/>
  <c r="I2371" i="2"/>
  <c r="A2371" i="2"/>
  <c r="K2370" i="2"/>
  <c r="J2370" i="2"/>
  <c r="I2370" i="2"/>
  <c r="A2370" i="2"/>
  <c r="K2369" i="2"/>
  <c r="J2369" i="2"/>
  <c r="I2369" i="2"/>
  <c r="A2369" i="2"/>
  <c r="K2368" i="2"/>
  <c r="J2368" i="2"/>
  <c r="I2368" i="2"/>
  <c r="A2368" i="2"/>
  <c r="K2367" i="2"/>
  <c r="J2367" i="2"/>
  <c r="I2367" i="2"/>
  <c r="A2367" i="2"/>
  <c r="K2366" i="2"/>
  <c r="J2366" i="2"/>
  <c r="I2366" i="2"/>
  <c r="A2366" i="2"/>
  <c r="K2365" i="2"/>
  <c r="J2365" i="2"/>
  <c r="I2365" i="2"/>
  <c r="A2365" i="2"/>
  <c r="K2364" i="2"/>
  <c r="J2364" i="2"/>
  <c r="I2364" i="2"/>
  <c r="A2364" i="2"/>
  <c r="K2363" i="2"/>
  <c r="J2363" i="2"/>
  <c r="I2363" i="2"/>
  <c r="A2363" i="2"/>
  <c r="K2362" i="2"/>
  <c r="J2362" i="2"/>
  <c r="I2362" i="2"/>
  <c r="A2362" i="2"/>
  <c r="K2361" i="2"/>
  <c r="J2361" i="2"/>
  <c r="I2361" i="2"/>
  <c r="A2361" i="2"/>
  <c r="K2360" i="2"/>
  <c r="J2360" i="2"/>
  <c r="I2360" i="2"/>
  <c r="A2360" i="2"/>
  <c r="K2359" i="2"/>
  <c r="J2359" i="2"/>
  <c r="I2359" i="2"/>
  <c r="A2359" i="2"/>
  <c r="K2358" i="2"/>
  <c r="J2358" i="2"/>
  <c r="I2358" i="2"/>
  <c r="A2358" i="2"/>
  <c r="K2357" i="2"/>
  <c r="J2357" i="2"/>
  <c r="I2357" i="2"/>
  <c r="A2357" i="2"/>
  <c r="K2356" i="2"/>
  <c r="J2356" i="2"/>
  <c r="I2356" i="2"/>
  <c r="A2356" i="2"/>
  <c r="K2355" i="2"/>
  <c r="J2355" i="2"/>
  <c r="I2355" i="2"/>
  <c r="A2355" i="2"/>
  <c r="K2354" i="2"/>
  <c r="J2354" i="2"/>
  <c r="I2354" i="2"/>
  <c r="A2354" i="2"/>
  <c r="K2353" i="2"/>
  <c r="J2353" i="2"/>
  <c r="I2353" i="2"/>
  <c r="A2353" i="2"/>
  <c r="K2352" i="2"/>
  <c r="J2352" i="2"/>
  <c r="I2352" i="2"/>
  <c r="A2352" i="2"/>
  <c r="K2351" i="2"/>
  <c r="J2351" i="2"/>
  <c r="I2351" i="2"/>
  <c r="A2351" i="2"/>
  <c r="K2350" i="2"/>
  <c r="J2350" i="2"/>
  <c r="I2350" i="2"/>
  <c r="A2350" i="2"/>
  <c r="K2349" i="2"/>
  <c r="J2349" i="2"/>
  <c r="I2349" i="2"/>
  <c r="A2349" i="2"/>
  <c r="K2348" i="2"/>
  <c r="J2348" i="2"/>
  <c r="I2348" i="2"/>
  <c r="A2348" i="2"/>
  <c r="K2347" i="2"/>
  <c r="J2347" i="2"/>
  <c r="I2347" i="2"/>
  <c r="A2347" i="2"/>
  <c r="K2346" i="2"/>
  <c r="J2346" i="2"/>
  <c r="I2346" i="2"/>
  <c r="A2346" i="2"/>
  <c r="K2345" i="2"/>
  <c r="J2345" i="2"/>
  <c r="I2345" i="2"/>
  <c r="A2345" i="2"/>
  <c r="K2344" i="2"/>
  <c r="J2344" i="2"/>
  <c r="I2344" i="2"/>
  <c r="A2344" i="2"/>
  <c r="K2343" i="2"/>
  <c r="J2343" i="2"/>
  <c r="I2343" i="2"/>
  <c r="A2343" i="2"/>
  <c r="K2342" i="2"/>
  <c r="J2342" i="2"/>
  <c r="I2342" i="2"/>
  <c r="A2342" i="2"/>
  <c r="K2341" i="2"/>
  <c r="J2341" i="2"/>
  <c r="I2341" i="2"/>
  <c r="A2341" i="2"/>
  <c r="K2340" i="2"/>
  <c r="J2340" i="2"/>
  <c r="I2340" i="2"/>
  <c r="A2340" i="2"/>
  <c r="K2339" i="2"/>
  <c r="J2339" i="2"/>
  <c r="I2339" i="2"/>
  <c r="A2339" i="2"/>
  <c r="K2338" i="2"/>
  <c r="J2338" i="2"/>
  <c r="I2338" i="2"/>
  <c r="A2338" i="2"/>
  <c r="K2337" i="2"/>
  <c r="J2337" i="2"/>
  <c r="I2337" i="2"/>
  <c r="A2337" i="2"/>
  <c r="K2336" i="2"/>
  <c r="J2336" i="2"/>
  <c r="I2336" i="2"/>
  <c r="A2336" i="2"/>
  <c r="K2335" i="2"/>
  <c r="J2335" i="2"/>
  <c r="I2335" i="2"/>
  <c r="A2335" i="2"/>
  <c r="K2334" i="2"/>
  <c r="J2334" i="2"/>
  <c r="I2334" i="2"/>
  <c r="A2334" i="2"/>
  <c r="K2333" i="2"/>
  <c r="J2333" i="2"/>
  <c r="I2333" i="2"/>
  <c r="A2333" i="2"/>
  <c r="K2332" i="2"/>
  <c r="J2332" i="2"/>
  <c r="I2332" i="2"/>
  <c r="A2332" i="2"/>
  <c r="K2331" i="2"/>
  <c r="J2331" i="2"/>
  <c r="I2331" i="2"/>
  <c r="A2331" i="2"/>
  <c r="K2330" i="2"/>
  <c r="J2330" i="2"/>
  <c r="I2330" i="2"/>
  <c r="A2330" i="2"/>
  <c r="K2329" i="2"/>
  <c r="J2329" i="2"/>
  <c r="I2329" i="2"/>
  <c r="A2329" i="2"/>
  <c r="K2328" i="2"/>
  <c r="J2328" i="2"/>
  <c r="I2328" i="2"/>
  <c r="A2328" i="2"/>
  <c r="K2327" i="2"/>
  <c r="J2327" i="2"/>
  <c r="I2327" i="2"/>
  <c r="A2327" i="2"/>
  <c r="K2326" i="2"/>
  <c r="J2326" i="2"/>
  <c r="I2326" i="2"/>
  <c r="A2326" i="2"/>
  <c r="K2325" i="2"/>
  <c r="J2325" i="2"/>
  <c r="I2325" i="2"/>
  <c r="A2325" i="2"/>
  <c r="K2324" i="2"/>
  <c r="J2324" i="2"/>
  <c r="I2324" i="2"/>
  <c r="A2324" i="2"/>
  <c r="K2323" i="2"/>
  <c r="J2323" i="2"/>
  <c r="I2323" i="2"/>
  <c r="A2323" i="2"/>
  <c r="K2322" i="2"/>
  <c r="J2322" i="2"/>
  <c r="I2322" i="2"/>
  <c r="A2322" i="2"/>
  <c r="K2321" i="2"/>
  <c r="J2321" i="2"/>
  <c r="I2321" i="2"/>
  <c r="A2321" i="2"/>
  <c r="K2320" i="2"/>
  <c r="J2320" i="2"/>
  <c r="I2320" i="2"/>
  <c r="A2320" i="2"/>
  <c r="K2319" i="2"/>
  <c r="J2319" i="2"/>
  <c r="I2319" i="2"/>
  <c r="A2319" i="2"/>
  <c r="K2318" i="2"/>
  <c r="J2318" i="2"/>
  <c r="I2318" i="2"/>
  <c r="A2318" i="2"/>
  <c r="K2317" i="2"/>
  <c r="J2317" i="2"/>
  <c r="I2317" i="2"/>
  <c r="A2317" i="2"/>
  <c r="K2316" i="2"/>
  <c r="J2316" i="2"/>
  <c r="I2316" i="2"/>
  <c r="A2316" i="2"/>
  <c r="K2315" i="2"/>
  <c r="J2315" i="2"/>
  <c r="I2315" i="2"/>
  <c r="A2315" i="2"/>
  <c r="K2314" i="2"/>
  <c r="J2314" i="2"/>
  <c r="I2314" i="2"/>
  <c r="A2314" i="2"/>
  <c r="K2313" i="2"/>
  <c r="J2313" i="2"/>
  <c r="I2313" i="2"/>
  <c r="A2313" i="2"/>
  <c r="K2312" i="2"/>
  <c r="J2312" i="2"/>
  <c r="I2312" i="2"/>
  <c r="A2312" i="2"/>
  <c r="K2311" i="2"/>
  <c r="J2311" i="2"/>
  <c r="I2311" i="2"/>
  <c r="A2311" i="2"/>
  <c r="K2310" i="2"/>
  <c r="J2310" i="2"/>
  <c r="I2310" i="2"/>
  <c r="A2310" i="2"/>
  <c r="K2309" i="2"/>
  <c r="J2309" i="2"/>
  <c r="I2309" i="2"/>
  <c r="A2309" i="2"/>
  <c r="K2308" i="2"/>
  <c r="J2308" i="2"/>
  <c r="I2308" i="2"/>
  <c r="A2308" i="2"/>
  <c r="K2307" i="2"/>
  <c r="J2307" i="2"/>
  <c r="I2307" i="2"/>
  <c r="A2307" i="2"/>
  <c r="K2306" i="2"/>
  <c r="J2306" i="2"/>
  <c r="I2306" i="2"/>
  <c r="A2306" i="2"/>
  <c r="K2305" i="2"/>
  <c r="J2305" i="2"/>
  <c r="I2305" i="2"/>
  <c r="A2305" i="2"/>
  <c r="K2304" i="2"/>
  <c r="J2304" i="2"/>
  <c r="I2304" i="2"/>
  <c r="A2304" i="2"/>
  <c r="K2303" i="2"/>
  <c r="J2303" i="2"/>
  <c r="I2303" i="2"/>
  <c r="A2303" i="2"/>
  <c r="K2302" i="2"/>
  <c r="J2302" i="2"/>
  <c r="I2302" i="2"/>
  <c r="A2302" i="2"/>
  <c r="K2301" i="2"/>
  <c r="J2301" i="2"/>
  <c r="I2301" i="2"/>
  <c r="A2301" i="2"/>
  <c r="K2300" i="2"/>
  <c r="J2300" i="2"/>
  <c r="I2300" i="2"/>
  <c r="A2300" i="2"/>
  <c r="K2299" i="2"/>
  <c r="J2299" i="2"/>
  <c r="I2299" i="2"/>
  <c r="A2299" i="2"/>
  <c r="K2298" i="2"/>
  <c r="J2298" i="2"/>
  <c r="I2298" i="2"/>
  <c r="A2298" i="2"/>
  <c r="K2297" i="2"/>
  <c r="J2297" i="2"/>
  <c r="I2297" i="2"/>
  <c r="A2297" i="2"/>
  <c r="K2296" i="2"/>
  <c r="J2296" i="2"/>
  <c r="I2296" i="2"/>
  <c r="A2296" i="2"/>
  <c r="K2295" i="2"/>
  <c r="J2295" i="2"/>
  <c r="I2295" i="2"/>
  <c r="A2295" i="2"/>
  <c r="K2294" i="2"/>
  <c r="J2294" i="2"/>
  <c r="I2294" i="2"/>
  <c r="A2294" i="2"/>
  <c r="K2293" i="2"/>
  <c r="J2293" i="2"/>
  <c r="I2293" i="2"/>
  <c r="A2293" i="2"/>
  <c r="K2292" i="2"/>
  <c r="J2292" i="2"/>
  <c r="I2292" i="2"/>
  <c r="A2292" i="2"/>
  <c r="K2291" i="2"/>
  <c r="J2291" i="2"/>
  <c r="I2291" i="2"/>
  <c r="A2291" i="2"/>
  <c r="K2290" i="2"/>
  <c r="J2290" i="2"/>
  <c r="I2290" i="2"/>
  <c r="A2290" i="2"/>
  <c r="K2289" i="2"/>
  <c r="J2289" i="2"/>
  <c r="I2289" i="2"/>
  <c r="A2289" i="2"/>
  <c r="K2288" i="2"/>
  <c r="J2288" i="2"/>
  <c r="I2288" i="2"/>
  <c r="A2288" i="2"/>
  <c r="K2287" i="2"/>
  <c r="J2287" i="2"/>
  <c r="I2287" i="2"/>
  <c r="A2287" i="2"/>
  <c r="K2286" i="2"/>
  <c r="J2286" i="2"/>
  <c r="I2286" i="2"/>
  <c r="A2286" i="2"/>
  <c r="K2285" i="2"/>
  <c r="J2285" i="2"/>
  <c r="I2285" i="2"/>
  <c r="A2285" i="2"/>
  <c r="K2284" i="2"/>
  <c r="J2284" i="2"/>
  <c r="I2284" i="2"/>
  <c r="A2284" i="2"/>
  <c r="K2283" i="2"/>
  <c r="J2283" i="2"/>
  <c r="I2283" i="2"/>
  <c r="A2283" i="2"/>
  <c r="K2282" i="2"/>
  <c r="J2282" i="2"/>
  <c r="I2282" i="2"/>
  <c r="A2282" i="2"/>
  <c r="K2281" i="2"/>
  <c r="J2281" i="2"/>
  <c r="I2281" i="2"/>
  <c r="A2281" i="2"/>
  <c r="K2280" i="2"/>
  <c r="J2280" i="2"/>
  <c r="I2280" i="2"/>
  <c r="A2280" i="2"/>
  <c r="K2279" i="2"/>
  <c r="J2279" i="2"/>
  <c r="I2279" i="2"/>
  <c r="A2279" i="2"/>
  <c r="K2278" i="2"/>
  <c r="J2278" i="2"/>
  <c r="I2278" i="2"/>
  <c r="A2278" i="2"/>
  <c r="K2277" i="2"/>
  <c r="J2277" i="2"/>
  <c r="I2277" i="2"/>
  <c r="A2277" i="2"/>
  <c r="K2276" i="2"/>
  <c r="J2276" i="2"/>
  <c r="I2276" i="2"/>
  <c r="A2276" i="2"/>
  <c r="K2275" i="2"/>
  <c r="J2275" i="2"/>
  <c r="I2275" i="2"/>
  <c r="A2275" i="2"/>
  <c r="K2274" i="2"/>
  <c r="J2274" i="2"/>
  <c r="I2274" i="2"/>
  <c r="A2274" i="2"/>
  <c r="K2273" i="2"/>
  <c r="J2273" i="2"/>
  <c r="I2273" i="2"/>
  <c r="A2273" i="2"/>
  <c r="K2272" i="2"/>
  <c r="J2272" i="2"/>
  <c r="I2272" i="2"/>
  <c r="A2272" i="2"/>
  <c r="K2271" i="2"/>
  <c r="J2271" i="2"/>
  <c r="I2271" i="2"/>
  <c r="A2271" i="2"/>
  <c r="K2270" i="2"/>
  <c r="J2270" i="2"/>
  <c r="I2270" i="2"/>
  <c r="A2270" i="2"/>
  <c r="K2269" i="2"/>
  <c r="J2269" i="2"/>
  <c r="I2269" i="2"/>
  <c r="A2269" i="2"/>
  <c r="K2268" i="2"/>
  <c r="J2268" i="2"/>
  <c r="I2268" i="2"/>
  <c r="A2268" i="2"/>
  <c r="K2267" i="2"/>
  <c r="J2267" i="2"/>
  <c r="I2267" i="2"/>
  <c r="A2267" i="2"/>
  <c r="K2266" i="2"/>
  <c r="J2266" i="2"/>
  <c r="I2266" i="2"/>
  <c r="A2266" i="2"/>
  <c r="K2265" i="2"/>
  <c r="J2265" i="2"/>
  <c r="I2265" i="2"/>
  <c r="A2265" i="2"/>
  <c r="K2264" i="2"/>
  <c r="J2264" i="2"/>
  <c r="I2264" i="2"/>
  <c r="A2264" i="2"/>
  <c r="K2263" i="2"/>
  <c r="J2263" i="2"/>
  <c r="I2263" i="2"/>
  <c r="A2263" i="2"/>
  <c r="K2262" i="2"/>
  <c r="J2262" i="2"/>
  <c r="I2262" i="2"/>
  <c r="A2262" i="2"/>
  <c r="K2261" i="2"/>
  <c r="J2261" i="2"/>
  <c r="I2261" i="2"/>
  <c r="A2261" i="2"/>
  <c r="K2260" i="2"/>
  <c r="J2260" i="2"/>
  <c r="I2260" i="2"/>
  <c r="A2260" i="2"/>
  <c r="K2259" i="2"/>
  <c r="J2259" i="2"/>
  <c r="I2259" i="2"/>
  <c r="A2259" i="2"/>
  <c r="K2258" i="2"/>
  <c r="J2258" i="2"/>
  <c r="I2258" i="2"/>
  <c r="A2258" i="2"/>
  <c r="K2257" i="2"/>
  <c r="J2257" i="2"/>
  <c r="I2257" i="2"/>
  <c r="A2257" i="2"/>
  <c r="K2256" i="2"/>
  <c r="J2256" i="2"/>
  <c r="I2256" i="2"/>
  <c r="A2256" i="2"/>
  <c r="K2255" i="2"/>
  <c r="J2255" i="2"/>
  <c r="I2255" i="2"/>
  <c r="A2255" i="2"/>
  <c r="K2254" i="2"/>
  <c r="J2254" i="2"/>
  <c r="I2254" i="2"/>
  <c r="A2254" i="2"/>
  <c r="K2253" i="2"/>
  <c r="J2253" i="2"/>
  <c r="I2253" i="2"/>
  <c r="A2253" i="2"/>
  <c r="K2252" i="2"/>
  <c r="J2252" i="2"/>
  <c r="I2252" i="2"/>
  <c r="A2252" i="2"/>
  <c r="K2251" i="2"/>
  <c r="J2251" i="2"/>
  <c r="I2251" i="2"/>
  <c r="A2251" i="2"/>
  <c r="K2250" i="2"/>
  <c r="J2250" i="2"/>
  <c r="I2250" i="2"/>
  <c r="A2250" i="2"/>
  <c r="K2249" i="2"/>
  <c r="J2249" i="2"/>
  <c r="I2249" i="2"/>
  <c r="A2249" i="2"/>
  <c r="K2248" i="2"/>
  <c r="J2248" i="2"/>
  <c r="I2248" i="2"/>
  <c r="A2248" i="2"/>
  <c r="K2247" i="2"/>
  <c r="J2247" i="2"/>
  <c r="I2247" i="2"/>
  <c r="A2247" i="2"/>
  <c r="K2246" i="2"/>
  <c r="J2246" i="2"/>
  <c r="I2246" i="2"/>
  <c r="A2246" i="2"/>
  <c r="K2245" i="2"/>
  <c r="J2245" i="2"/>
  <c r="I2245" i="2"/>
  <c r="A2245" i="2"/>
  <c r="K2244" i="2"/>
  <c r="J2244" i="2"/>
  <c r="I2244" i="2"/>
  <c r="A2244" i="2"/>
  <c r="K2243" i="2"/>
  <c r="J2243" i="2"/>
  <c r="I2243" i="2"/>
  <c r="A2243" i="2"/>
  <c r="K2242" i="2"/>
  <c r="J2242" i="2"/>
  <c r="I2242" i="2"/>
  <c r="A2242" i="2"/>
  <c r="K2241" i="2"/>
  <c r="J2241" i="2"/>
  <c r="I2241" i="2"/>
  <c r="A2241" i="2"/>
  <c r="K2240" i="2"/>
  <c r="J2240" i="2"/>
  <c r="I2240" i="2"/>
  <c r="A2240" i="2"/>
  <c r="K2239" i="2"/>
  <c r="J2239" i="2"/>
  <c r="I2239" i="2"/>
  <c r="A2239" i="2"/>
  <c r="K2238" i="2"/>
  <c r="J2238" i="2"/>
  <c r="I2238" i="2"/>
  <c r="A2238" i="2"/>
  <c r="K2237" i="2"/>
  <c r="J2237" i="2"/>
  <c r="I2237" i="2"/>
  <c r="A2237" i="2"/>
  <c r="K2236" i="2"/>
  <c r="J2236" i="2"/>
  <c r="I2236" i="2"/>
  <c r="A2236" i="2"/>
  <c r="K2235" i="2"/>
  <c r="J2235" i="2"/>
  <c r="I2235" i="2"/>
  <c r="A2235" i="2"/>
  <c r="K2234" i="2"/>
  <c r="J2234" i="2"/>
  <c r="I2234" i="2"/>
  <c r="A2234" i="2"/>
  <c r="K2233" i="2"/>
  <c r="J2233" i="2"/>
  <c r="I2233" i="2"/>
  <c r="A2233" i="2"/>
  <c r="K2232" i="2"/>
  <c r="J2232" i="2"/>
  <c r="I2232" i="2"/>
  <c r="A2232" i="2"/>
  <c r="K2231" i="2"/>
  <c r="J2231" i="2"/>
  <c r="I2231" i="2"/>
  <c r="A2231" i="2"/>
  <c r="K2230" i="2"/>
  <c r="J2230" i="2"/>
  <c r="I2230" i="2"/>
  <c r="A2230" i="2"/>
  <c r="K2229" i="2"/>
  <c r="J2229" i="2"/>
  <c r="I2229" i="2"/>
  <c r="A2229" i="2"/>
  <c r="K2228" i="2"/>
  <c r="J2228" i="2"/>
  <c r="I2228" i="2"/>
  <c r="A2228" i="2"/>
  <c r="K2227" i="2"/>
  <c r="J2227" i="2"/>
  <c r="I2227" i="2"/>
  <c r="A2227" i="2"/>
  <c r="K2226" i="2"/>
  <c r="J2226" i="2"/>
  <c r="I2226" i="2"/>
  <c r="A2226" i="2"/>
  <c r="K2225" i="2"/>
  <c r="J2225" i="2"/>
  <c r="I2225" i="2"/>
  <c r="A2225" i="2"/>
  <c r="K2224" i="2"/>
  <c r="J2224" i="2"/>
  <c r="I2224" i="2"/>
  <c r="A2224" i="2"/>
  <c r="K2223" i="2"/>
  <c r="J2223" i="2"/>
  <c r="I2223" i="2"/>
  <c r="A2223" i="2"/>
  <c r="K2222" i="2"/>
  <c r="J2222" i="2"/>
  <c r="I2222" i="2"/>
  <c r="A2222" i="2"/>
  <c r="K2221" i="2"/>
  <c r="J2221" i="2"/>
  <c r="I2221" i="2"/>
  <c r="A2221" i="2"/>
  <c r="K2220" i="2"/>
  <c r="J2220" i="2"/>
  <c r="I2220" i="2"/>
  <c r="A2220" i="2"/>
  <c r="K2219" i="2"/>
  <c r="J2219" i="2"/>
  <c r="I2219" i="2"/>
  <c r="A2219" i="2"/>
  <c r="K2218" i="2"/>
  <c r="J2218" i="2"/>
  <c r="I2218" i="2"/>
  <c r="A2218" i="2"/>
  <c r="K2217" i="2"/>
  <c r="J2217" i="2"/>
  <c r="I2217" i="2"/>
  <c r="A2217" i="2"/>
  <c r="K2216" i="2"/>
  <c r="J2216" i="2"/>
  <c r="I2216" i="2"/>
  <c r="A2216" i="2"/>
  <c r="K2215" i="2"/>
  <c r="J2215" i="2"/>
  <c r="I2215" i="2"/>
  <c r="A2215" i="2"/>
  <c r="K2214" i="2"/>
  <c r="J2214" i="2"/>
  <c r="I2214" i="2"/>
  <c r="A2214" i="2"/>
  <c r="K2213" i="2"/>
  <c r="J2213" i="2"/>
  <c r="I2213" i="2"/>
  <c r="A2213" i="2"/>
  <c r="K2212" i="2"/>
  <c r="J2212" i="2"/>
  <c r="I2212" i="2"/>
  <c r="A2212" i="2"/>
  <c r="K2211" i="2"/>
  <c r="J2211" i="2"/>
  <c r="I2211" i="2"/>
  <c r="A2211" i="2"/>
  <c r="K2210" i="2"/>
  <c r="J2210" i="2"/>
  <c r="I2210" i="2"/>
  <c r="A2210" i="2"/>
  <c r="K2209" i="2"/>
  <c r="J2209" i="2"/>
  <c r="I2209" i="2"/>
  <c r="A2209" i="2"/>
  <c r="K2208" i="2"/>
  <c r="J2208" i="2"/>
  <c r="I2208" i="2"/>
  <c r="A2208" i="2"/>
  <c r="K2207" i="2"/>
  <c r="J2207" i="2"/>
  <c r="I2207" i="2"/>
  <c r="A2207" i="2"/>
  <c r="K2206" i="2"/>
  <c r="J2206" i="2"/>
  <c r="I2206" i="2"/>
  <c r="A2206" i="2"/>
  <c r="K2205" i="2"/>
  <c r="J2205" i="2"/>
  <c r="I2205" i="2"/>
  <c r="A2205" i="2"/>
  <c r="K2204" i="2"/>
  <c r="J2204" i="2"/>
  <c r="I2204" i="2"/>
  <c r="A2204" i="2"/>
  <c r="K2203" i="2"/>
  <c r="J2203" i="2"/>
  <c r="I2203" i="2"/>
  <c r="A2203" i="2"/>
  <c r="K2202" i="2"/>
  <c r="J2202" i="2"/>
  <c r="I2202" i="2"/>
  <c r="A2202" i="2"/>
  <c r="K2201" i="2"/>
  <c r="J2201" i="2"/>
  <c r="I2201" i="2"/>
  <c r="A2201" i="2"/>
  <c r="K2200" i="2"/>
  <c r="J2200" i="2"/>
  <c r="I2200" i="2"/>
  <c r="A2200" i="2"/>
  <c r="K2199" i="2"/>
  <c r="J2199" i="2"/>
  <c r="I2199" i="2"/>
  <c r="A2199" i="2"/>
  <c r="K2198" i="2"/>
  <c r="J2198" i="2"/>
  <c r="I2198" i="2"/>
  <c r="A2198" i="2"/>
  <c r="K2197" i="2"/>
  <c r="J2197" i="2"/>
  <c r="I2197" i="2"/>
  <c r="A2197" i="2"/>
  <c r="K2196" i="2"/>
  <c r="J2196" i="2"/>
  <c r="I2196" i="2"/>
  <c r="A2196" i="2"/>
  <c r="K2195" i="2"/>
  <c r="J2195" i="2"/>
  <c r="I2195" i="2"/>
  <c r="A2195" i="2"/>
  <c r="K2194" i="2"/>
  <c r="J2194" i="2"/>
  <c r="I2194" i="2"/>
  <c r="A2194" i="2"/>
  <c r="K2193" i="2"/>
  <c r="J2193" i="2"/>
  <c r="I2193" i="2"/>
  <c r="A2193" i="2"/>
  <c r="K2192" i="2"/>
  <c r="J2192" i="2"/>
  <c r="I2192" i="2"/>
  <c r="A2192" i="2"/>
  <c r="K2191" i="2"/>
  <c r="J2191" i="2"/>
  <c r="I2191" i="2"/>
  <c r="A2191" i="2"/>
  <c r="K2190" i="2"/>
  <c r="J2190" i="2"/>
  <c r="I2190" i="2"/>
  <c r="A2190" i="2"/>
  <c r="K2189" i="2"/>
  <c r="J2189" i="2"/>
  <c r="I2189" i="2"/>
  <c r="A2189" i="2"/>
  <c r="K2188" i="2"/>
  <c r="J2188" i="2"/>
  <c r="I2188" i="2"/>
  <c r="A2188" i="2"/>
  <c r="K2187" i="2"/>
  <c r="J2187" i="2"/>
  <c r="I2187" i="2"/>
  <c r="A2187" i="2"/>
  <c r="K2186" i="2"/>
  <c r="J2186" i="2"/>
  <c r="I2186" i="2"/>
  <c r="A2186" i="2"/>
  <c r="K2185" i="2"/>
  <c r="J2185" i="2"/>
  <c r="I2185" i="2"/>
  <c r="A2185" i="2"/>
  <c r="K2184" i="2"/>
  <c r="J2184" i="2"/>
  <c r="I2184" i="2"/>
  <c r="A2184" i="2"/>
  <c r="K2183" i="2"/>
  <c r="J2183" i="2"/>
  <c r="I2183" i="2"/>
  <c r="A2183" i="2"/>
  <c r="K2182" i="2"/>
  <c r="J2182" i="2"/>
  <c r="I2182" i="2"/>
  <c r="A2182" i="2"/>
  <c r="K2181" i="2"/>
  <c r="J2181" i="2"/>
  <c r="I2181" i="2"/>
  <c r="A2181" i="2"/>
  <c r="K2180" i="2"/>
  <c r="J2180" i="2"/>
  <c r="I2180" i="2"/>
  <c r="A2180" i="2"/>
  <c r="K2179" i="2"/>
  <c r="J2179" i="2"/>
  <c r="I2179" i="2"/>
  <c r="A2179" i="2"/>
  <c r="K2178" i="2"/>
  <c r="J2178" i="2"/>
  <c r="I2178" i="2"/>
  <c r="A2178" i="2"/>
  <c r="K2177" i="2"/>
  <c r="J2177" i="2"/>
  <c r="I2177" i="2"/>
  <c r="A2177" i="2"/>
  <c r="K2176" i="2"/>
  <c r="J2176" i="2"/>
  <c r="I2176" i="2"/>
  <c r="A2176" i="2"/>
  <c r="K2175" i="2"/>
  <c r="J2175" i="2"/>
  <c r="I2175" i="2"/>
  <c r="A2175" i="2"/>
  <c r="K2174" i="2"/>
  <c r="J2174" i="2"/>
  <c r="I2174" i="2"/>
  <c r="A2174" i="2"/>
  <c r="K2173" i="2"/>
  <c r="J2173" i="2"/>
  <c r="I2173" i="2"/>
  <c r="A2173" i="2"/>
  <c r="K2172" i="2"/>
  <c r="J2172" i="2"/>
  <c r="I2172" i="2"/>
  <c r="A2172" i="2"/>
  <c r="K2171" i="2"/>
  <c r="J2171" i="2"/>
  <c r="I2171" i="2"/>
  <c r="A2171" i="2"/>
  <c r="K2170" i="2"/>
  <c r="J2170" i="2"/>
  <c r="I2170" i="2"/>
  <c r="A2170" i="2"/>
  <c r="K2169" i="2"/>
  <c r="J2169" i="2"/>
  <c r="I2169" i="2"/>
  <c r="A2169" i="2"/>
  <c r="K2168" i="2"/>
  <c r="J2168" i="2"/>
  <c r="I2168" i="2"/>
  <c r="A2168" i="2"/>
  <c r="K2167" i="2"/>
  <c r="J2167" i="2"/>
  <c r="I2167" i="2"/>
  <c r="A2167" i="2"/>
  <c r="K2166" i="2"/>
  <c r="J2166" i="2"/>
  <c r="I2166" i="2"/>
  <c r="A2166" i="2"/>
  <c r="K2165" i="2"/>
  <c r="J2165" i="2"/>
  <c r="I2165" i="2"/>
  <c r="A2165" i="2"/>
  <c r="K2164" i="2"/>
  <c r="J2164" i="2"/>
  <c r="I2164" i="2"/>
  <c r="A2164" i="2"/>
  <c r="K2163" i="2"/>
  <c r="J2163" i="2"/>
  <c r="I2163" i="2"/>
  <c r="A2163" i="2"/>
  <c r="K2162" i="2"/>
  <c r="J2162" i="2"/>
  <c r="I2162" i="2"/>
  <c r="A2162" i="2"/>
  <c r="K2161" i="2"/>
  <c r="J2161" i="2"/>
  <c r="I2161" i="2"/>
  <c r="A2161" i="2"/>
  <c r="K2160" i="2"/>
  <c r="J2160" i="2"/>
  <c r="I2160" i="2"/>
  <c r="A2160" i="2"/>
  <c r="K2159" i="2"/>
  <c r="J2159" i="2"/>
  <c r="I2159" i="2"/>
  <c r="A2159" i="2"/>
  <c r="K2158" i="2"/>
  <c r="J2158" i="2"/>
  <c r="I2158" i="2"/>
  <c r="A2158" i="2"/>
  <c r="K2157" i="2"/>
  <c r="J2157" i="2"/>
  <c r="I2157" i="2"/>
  <c r="A2157" i="2"/>
  <c r="K2156" i="2"/>
  <c r="J2156" i="2"/>
  <c r="I2156" i="2"/>
  <c r="A2156" i="2"/>
  <c r="K2155" i="2"/>
  <c r="J2155" i="2"/>
  <c r="I2155" i="2"/>
  <c r="A2155" i="2"/>
  <c r="K2154" i="2"/>
  <c r="J2154" i="2"/>
  <c r="I2154" i="2"/>
  <c r="A2154" i="2"/>
  <c r="K2153" i="2"/>
  <c r="J2153" i="2"/>
  <c r="I2153" i="2"/>
  <c r="A2153" i="2"/>
  <c r="K2152" i="2"/>
  <c r="J2152" i="2"/>
  <c r="I2152" i="2"/>
  <c r="A2152" i="2"/>
  <c r="K2151" i="2"/>
  <c r="J2151" i="2"/>
  <c r="I2151" i="2"/>
  <c r="A2151" i="2"/>
  <c r="K2150" i="2"/>
  <c r="J2150" i="2"/>
  <c r="I2150" i="2"/>
  <c r="A2150" i="2"/>
  <c r="K2149" i="2"/>
  <c r="J2149" i="2"/>
  <c r="I2149" i="2"/>
  <c r="A2149" i="2"/>
  <c r="K2148" i="2"/>
  <c r="J2148" i="2"/>
  <c r="I2148" i="2"/>
  <c r="A2148" i="2"/>
  <c r="K2147" i="2"/>
  <c r="J2147" i="2"/>
  <c r="I2147" i="2"/>
  <c r="A2147" i="2"/>
  <c r="K2146" i="2"/>
  <c r="J2146" i="2"/>
  <c r="I2146" i="2"/>
  <c r="A2146" i="2"/>
  <c r="K2145" i="2"/>
  <c r="J2145" i="2"/>
  <c r="I2145" i="2"/>
  <c r="A2145" i="2"/>
  <c r="K2144" i="2"/>
  <c r="J2144" i="2"/>
  <c r="I2144" i="2"/>
  <c r="A2144" i="2"/>
  <c r="K2143" i="2"/>
  <c r="J2143" i="2"/>
  <c r="I2143" i="2"/>
  <c r="A2143" i="2"/>
  <c r="K2142" i="2"/>
  <c r="J2142" i="2"/>
  <c r="I2142" i="2"/>
  <c r="A2142" i="2"/>
  <c r="K2141" i="2"/>
  <c r="J2141" i="2"/>
  <c r="I2141" i="2"/>
  <c r="A2141" i="2"/>
  <c r="K2140" i="2"/>
  <c r="J2140" i="2"/>
  <c r="I2140" i="2"/>
  <c r="A2140" i="2"/>
  <c r="K2139" i="2"/>
  <c r="J2139" i="2"/>
  <c r="I2139" i="2"/>
  <c r="A2139" i="2"/>
  <c r="K2138" i="2"/>
  <c r="J2138" i="2"/>
  <c r="I2138" i="2"/>
  <c r="A2138" i="2"/>
  <c r="K2137" i="2"/>
  <c r="J2137" i="2"/>
  <c r="I2137" i="2"/>
  <c r="A2137" i="2"/>
  <c r="K2136" i="2"/>
  <c r="J2136" i="2"/>
  <c r="I2136" i="2"/>
  <c r="A2136" i="2"/>
  <c r="K2135" i="2"/>
  <c r="J2135" i="2"/>
  <c r="I2135" i="2"/>
  <c r="A2135" i="2"/>
  <c r="K2134" i="2"/>
  <c r="J2134" i="2"/>
  <c r="I2134" i="2"/>
  <c r="A2134" i="2"/>
  <c r="K2133" i="2"/>
  <c r="J2133" i="2"/>
  <c r="I2133" i="2"/>
  <c r="A2133" i="2"/>
  <c r="K2132" i="2"/>
  <c r="J2132" i="2"/>
  <c r="I2132" i="2"/>
  <c r="A2132" i="2"/>
  <c r="K2131" i="2"/>
  <c r="J2131" i="2"/>
  <c r="I2131" i="2"/>
  <c r="A2131" i="2"/>
  <c r="K2130" i="2"/>
  <c r="J2130" i="2"/>
  <c r="I2130" i="2"/>
  <c r="A2130" i="2"/>
  <c r="K2129" i="2"/>
  <c r="J2129" i="2"/>
  <c r="I2129" i="2"/>
  <c r="A2129" i="2"/>
  <c r="K2128" i="2"/>
  <c r="J2128" i="2"/>
  <c r="I2128" i="2"/>
  <c r="A2128" i="2"/>
  <c r="K2127" i="2"/>
  <c r="J2127" i="2"/>
  <c r="I2127" i="2"/>
  <c r="A2127" i="2"/>
  <c r="K2126" i="2"/>
  <c r="J2126" i="2"/>
  <c r="I2126" i="2"/>
  <c r="A2126" i="2"/>
  <c r="K2125" i="2"/>
  <c r="J2125" i="2"/>
  <c r="I2125" i="2"/>
  <c r="A2125" i="2"/>
  <c r="K2124" i="2"/>
  <c r="J2124" i="2"/>
  <c r="I2124" i="2"/>
  <c r="A2124" i="2"/>
  <c r="K2123" i="2"/>
  <c r="J2123" i="2"/>
  <c r="I2123" i="2"/>
  <c r="A2123" i="2"/>
  <c r="K2122" i="2"/>
  <c r="J2122" i="2"/>
  <c r="I2122" i="2"/>
  <c r="A2122" i="2"/>
  <c r="K2121" i="2"/>
  <c r="J2121" i="2"/>
  <c r="I2121" i="2"/>
  <c r="A2121" i="2"/>
  <c r="K2120" i="2"/>
  <c r="J2120" i="2"/>
  <c r="I2120" i="2"/>
  <c r="A2120" i="2"/>
  <c r="K2119" i="2"/>
  <c r="J2119" i="2"/>
  <c r="I2119" i="2"/>
  <c r="A2119" i="2"/>
  <c r="K2118" i="2"/>
  <c r="J2118" i="2"/>
  <c r="I2118" i="2"/>
  <c r="A2118" i="2"/>
  <c r="K2117" i="2"/>
  <c r="J2117" i="2"/>
  <c r="I2117" i="2"/>
  <c r="A2117" i="2"/>
  <c r="K2116" i="2"/>
  <c r="J2116" i="2"/>
  <c r="I2116" i="2"/>
  <c r="A2116" i="2"/>
  <c r="K2115" i="2"/>
  <c r="J2115" i="2"/>
  <c r="I2115" i="2"/>
  <c r="A2115" i="2"/>
  <c r="K2114" i="2"/>
  <c r="J2114" i="2"/>
  <c r="I2114" i="2"/>
  <c r="A2114" i="2"/>
  <c r="K2113" i="2"/>
  <c r="J2113" i="2"/>
  <c r="I2113" i="2"/>
  <c r="A2113" i="2"/>
  <c r="K2112" i="2"/>
  <c r="J2112" i="2"/>
  <c r="I2112" i="2"/>
  <c r="A2112" i="2"/>
  <c r="K2111" i="2"/>
  <c r="J2111" i="2"/>
  <c r="I2111" i="2"/>
  <c r="A2111" i="2"/>
  <c r="K2110" i="2"/>
  <c r="J2110" i="2"/>
  <c r="I2110" i="2"/>
  <c r="A2110" i="2"/>
  <c r="K2109" i="2"/>
  <c r="J2109" i="2"/>
  <c r="I2109" i="2"/>
  <c r="A2109" i="2"/>
  <c r="K2108" i="2"/>
  <c r="J2108" i="2"/>
  <c r="I2108" i="2"/>
  <c r="A2108" i="2"/>
  <c r="K2107" i="2"/>
  <c r="J2107" i="2"/>
  <c r="I2107" i="2"/>
  <c r="A2107" i="2"/>
  <c r="K2106" i="2"/>
  <c r="J2106" i="2"/>
  <c r="I2106" i="2"/>
  <c r="A2106" i="2"/>
  <c r="K2105" i="2"/>
  <c r="J2105" i="2"/>
  <c r="I2105" i="2"/>
  <c r="A2105" i="2"/>
  <c r="K2104" i="2"/>
  <c r="J2104" i="2"/>
  <c r="I2104" i="2"/>
  <c r="A2104" i="2"/>
  <c r="K2103" i="2"/>
  <c r="J2103" i="2"/>
  <c r="I2103" i="2"/>
  <c r="A2103" i="2"/>
  <c r="K2102" i="2"/>
  <c r="J2102" i="2"/>
  <c r="I2102" i="2"/>
  <c r="A2102" i="2"/>
  <c r="K2101" i="2"/>
  <c r="J2101" i="2"/>
  <c r="I2101" i="2"/>
  <c r="A2101" i="2"/>
  <c r="K2100" i="2"/>
  <c r="J2100" i="2"/>
  <c r="I2100" i="2"/>
  <c r="A2100" i="2"/>
  <c r="K2099" i="2"/>
  <c r="J2099" i="2"/>
  <c r="I2099" i="2"/>
  <c r="A2099" i="2"/>
  <c r="K2098" i="2"/>
  <c r="J2098" i="2"/>
  <c r="I2098" i="2"/>
  <c r="A2098" i="2"/>
  <c r="K2097" i="2"/>
  <c r="J2097" i="2"/>
  <c r="I2097" i="2"/>
  <c r="A2097" i="2"/>
  <c r="K2096" i="2"/>
  <c r="J2096" i="2"/>
  <c r="I2096" i="2"/>
  <c r="A2096" i="2"/>
  <c r="K2095" i="2"/>
  <c r="J2095" i="2"/>
  <c r="I2095" i="2"/>
  <c r="A2095" i="2"/>
  <c r="K2094" i="2"/>
  <c r="J2094" i="2"/>
  <c r="I2094" i="2"/>
  <c r="A2094" i="2"/>
  <c r="K2093" i="2"/>
  <c r="J2093" i="2"/>
  <c r="I2093" i="2"/>
  <c r="A2093" i="2"/>
  <c r="K2092" i="2"/>
  <c r="J2092" i="2"/>
  <c r="I2092" i="2"/>
  <c r="A2092" i="2"/>
  <c r="K2091" i="2"/>
  <c r="J2091" i="2"/>
  <c r="I2091" i="2"/>
  <c r="A2091" i="2"/>
  <c r="K2090" i="2"/>
  <c r="J2090" i="2"/>
  <c r="I2090" i="2"/>
  <c r="A2090" i="2"/>
  <c r="K2089" i="2"/>
  <c r="J2089" i="2"/>
  <c r="I2089" i="2"/>
  <c r="A2089" i="2"/>
  <c r="K2088" i="2"/>
  <c r="J2088" i="2"/>
  <c r="I2088" i="2"/>
  <c r="A2088" i="2"/>
  <c r="K2087" i="2"/>
  <c r="J2087" i="2"/>
  <c r="I2087" i="2"/>
  <c r="A2087" i="2"/>
  <c r="K2086" i="2"/>
  <c r="J2086" i="2"/>
  <c r="I2086" i="2"/>
  <c r="A2086" i="2"/>
  <c r="K2085" i="2"/>
  <c r="J2085" i="2"/>
  <c r="I2085" i="2"/>
  <c r="A2085" i="2"/>
  <c r="K2084" i="2"/>
  <c r="J2084" i="2"/>
  <c r="I2084" i="2"/>
  <c r="A2084" i="2"/>
  <c r="K2083" i="2"/>
  <c r="J2083" i="2"/>
  <c r="I2083" i="2"/>
  <c r="A2083" i="2"/>
  <c r="K2082" i="2"/>
  <c r="J2082" i="2"/>
  <c r="I2082" i="2"/>
  <c r="A2082" i="2"/>
  <c r="K2081" i="2"/>
  <c r="J2081" i="2"/>
  <c r="I2081" i="2"/>
  <c r="A2081" i="2"/>
  <c r="K2080" i="2"/>
  <c r="J2080" i="2"/>
  <c r="I2080" i="2"/>
  <c r="A2080" i="2"/>
  <c r="K2079" i="2"/>
  <c r="J2079" i="2"/>
  <c r="I2079" i="2"/>
  <c r="A2079" i="2"/>
  <c r="K2078" i="2"/>
  <c r="J2078" i="2"/>
  <c r="I2078" i="2"/>
  <c r="A2078" i="2"/>
  <c r="K2077" i="2"/>
  <c r="J2077" i="2"/>
  <c r="I2077" i="2"/>
  <c r="A2077" i="2"/>
  <c r="K2076" i="2"/>
  <c r="J2076" i="2"/>
  <c r="I2076" i="2"/>
  <c r="A2076" i="2"/>
  <c r="K2075" i="2"/>
  <c r="J2075" i="2"/>
  <c r="I2075" i="2"/>
  <c r="A2075" i="2"/>
  <c r="K2074" i="2"/>
  <c r="J2074" i="2"/>
  <c r="I2074" i="2"/>
  <c r="A2074" i="2"/>
  <c r="K2073" i="2"/>
  <c r="J2073" i="2"/>
  <c r="I2073" i="2"/>
  <c r="A2073" i="2"/>
  <c r="K2072" i="2"/>
  <c r="J2072" i="2"/>
  <c r="I2072" i="2"/>
  <c r="A2072" i="2"/>
  <c r="K2071" i="2"/>
  <c r="J2071" i="2"/>
  <c r="I2071" i="2"/>
  <c r="A2071" i="2"/>
  <c r="K2070" i="2"/>
  <c r="J2070" i="2"/>
  <c r="I2070" i="2"/>
  <c r="A2070" i="2"/>
  <c r="K2069" i="2"/>
  <c r="J2069" i="2"/>
  <c r="I2069" i="2"/>
  <c r="A2069" i="2"/>
  <c r="K2068" i="2"/>
  <c r="J2068" i="2"/>
  <c r="I2068" i="2"/>
  <c r="A2068" i="2"/>
  <c r="K2067" i="2"/>
  <c r="J2067" i="2"/>
  <c r="I2067" i="2"/>
  <c r="A2067" i="2"/>
  <c r="K2066" i="2"/>
  <c r="J2066" i="2"/>
  <c r="I2066" i="2"/>
  <c r="A2066" i="2"/>
  <c r="K2065" i="2"/>
  <c r="J2065" i="2"/>
  <c r="I2065" i="2"/>
  <c r="A2065" i="2"/>
  <c r="K2064" i="2"/>
  <c r="J2064" i="2"/>
  <c r="I2064" i="2"/>
  <c r="A2064" i="2"/>
  <c r="K2063" i="2"/>
  <c r="J2063" i="2"/>
  <c r="I2063" i="2"/>
  <c r="A2063" i="2"/>
  <c r="K2062" i="2"/>
  <c r="J2062" i="2"/>
  <c r="I2062" i="2"/>
  <c r="A2062" i="2"/>
  <c r="K2061" i="2"/>
  <c r="J2061" i="2"/>
  <c r="I2061" i="2"/>
  <c r="A2061" i="2"/>
  <c r="K2060" i="2"/>
  <c r="J2060" i="2"/>
  <c r="I2060" i="2"/>
  <c r="A2060" i="2"/>
  <c r="K2059" i="2"/>
  <c r="J2059" i="2"/>
  <c r="I2059" i="2"/>
  <c r="A2059" i="2"/>
  <c r="K2058" i="2"/>
  <c r="J2058" i="2"/>
  <c r="I2058" i="2"/>
  <c r="A2058" i="2"/>
  <c r="K2057" i="2"/>
  <c r="J2057" i="2"/>
  <c r="I2057" i="2"/>
  <c r="A2057" i="2"/>
  <c r="K2056" i="2"/>
  <c r="J2056" i="2"/>
  <c r="I2056" i="2"/>
  <c r="A2056" i="2"/>
  <c r="K2055" i="2"/>
  <c r="J2055" i="2"/>
  <c r="I2055" i="2"/>
  <c r="A2055" i="2"/>
  <c r="K2054" i="2"/>
  <c r="J2054" i="2"/>
  <c r="I2054" i="2"/>
  <c r="A2054" i="2"/>
  <c r="K2053" i="2"/>
  <c r="J2053" i="2"/>
  <c r="I2053" i="2"/>
  <c r="A2053" i="2"/>
  <c r="K2052" i="2"/>
  <c r="J2052" i="2"/>
  <c r="I2052" i="2"/>
  <c r="A2052" i="2"/>
  <c r="K2051" i="2"/>
  <c r="J2051" i="2"/>
  <c r="I2051" i="2"/>
  <c r="A2051" i="2"/>
  <c r="K2050" i="2"/>
  <c r="J2050" i="2"/>
  <c r="I2050" i="2"/>
  <c r="A2050" i="2"/>
  <c r="K2049" i="2"/>
  <c r="J2049" i="2"/>
  <c r="I2049" i="2"/>
  <c r="A2049" i="2"/>
  <c r="K2048" i="2"/>
  <c r="J2048" i="2"/>
  <c r="I2048" i="2"/>
  <c r="A2048" i="2"/>
  <c r="K2047" i="2"/>
  <c r="J2047" i="2"/>
  <c r="I2047" i="2"/>
  <c r="A2047" i="2"/>
  <c r="K2046" i="2"/>
  <c r="J2046" i="2"/>
  <c r="I2046" i="2"/>
  <c r="A2046" i="2"/>
  <c r="K2045" i="2"/>
  <c r="J2045" i="2"/>
  <c r="I2045" i="2"/>
  <c r="A2045" i="2"/>
  <c r="K2044" i="2"/>
  <c r="J2044" i="2"/>
  <c r="I2044" i="2"/>
  <c r="A2044" i="2"/>
  <c r="K2043" i="2"/>
  <c r="J2043" i="2"/>
  <c r="I2043" i="2"/>
  <c r="A2043" i="2"/>
  <c r="K2042" i="2"/>
  <c r="J2042" i="2"/>
  <c r="I2042" i="2"/>
  <c r="A2042" i="2"/>
  <c r="K2041" i="2"/>
  <c r="J2041" i="2"/>
  <c r="I2041" i="2"/>
  <c r="A2041" i="2"/>
  <c r="K2040" i="2"/>
  <c r="J2040" i="2"/>
  <c r="I2040" i="2"/>
  <c r="A2040" i="2"/>
  <c r="K2039" i="2"/>
  <c r="J2039" i="2"/>
  <c r="I2039" i="2"/>
  <c r="A2039" i="2"/>
  <c r="K2038" i="2"/>
  <c r="J2038" i="2"/>
  <c r="I2038" i="2"/>
  <c r="A2038" i="2"/>
  <c r="K2037" i="2"/>
  <c r="J2037" i="2"/>
  <c r="I2037" i="2"/>
  <c r="A2037" i="2"/>
  <c r="K2036" i="2"/>
  <c r="J2036" i="2"/>
  <c r="I2036" i="2"/>
  <c r="A2036" i="2"/>
  <c r="K2035" i="2"/>
  <c r="J2035" i="2"/>
  <c r="I2035" i="2"/>
  <c r="A2035" i="2"/>
  <c r="K2034" i="2"/>
  <c r="J2034" i="2"/>
  <c r="I2034" i="2"/>
  <c r="A2034" i="2"/>
  <c r="K2033" i="2"/>
  <c r="J2033" i="2"/>
  <c r="I2033" i="2"/>
  <c r="A2033" i="2"/>
  <c r="K2032" i="2"/>
  <c r="J2032" i="2"/>
  <c r="I2032" i="2"/>
  <c r="A2032" i="2"/>
  <c r="K2031" i="2"/>
  <c r="J2031" i="2"/>
  <c r="I2031" i="2"/>
  <c r="A2031" i="2"/>
  <c r="K2030" i="2"/>
  <c r="J2030" i="2"/>
  <c r="I2030" i="2"/>
  <c r="A2030" i="2"/>
  <c r="K2029" i="2"/>
  <c r="J2029" i="2"/>
  <c r="I2029" i="2"/>
  <c r="A2029" i="2"/>
  <c r="K2028" i="2"/>
  <c r="J2028" i="2"/>
  <c r="I2028" i="2"/>
  <c r="A2028" i="2"/>
  <c r="K2027" i="2"/>
  <c r="J2027" i="2"/>
  <c r="I2027" i="2"/>
  <c r="A2027" i="2"/>
  <c r="K2026" i="2"/>
  <c r="J2026" i="2"/>
  <c r="I2026" i="2"/>
  <c r="A2026" i="2"/>
  <c r="K2025" i="2"/>
  <c r="J2025" i="2"/>
  <c r="I2025" i="2"/>
  <c r="A2025" i="2"/>
  <c r="K2024" i="2"/>
  <c r="J2024" i="2"/>
  <c r="I2024" i="2"/>
  <c r="A2024" i="2"/>
  <c r="K2023" i="2"/>
  <c r="J2023" i="2"/>
  <c r="I2023" i="2"/>
  <c r="A2023" i="2"/>
  <c r="K2022" i="2"/>
  <c r="J2022" i="2"/>
  <c r="I2022" i="2"/>
  <c r="A2022" i="2"/>
  <c r="K2021" i="2"/>
  <c r="J2021" i="2"/>
  <c r="I2021" i="2"/>
  <c r="A2021" i="2"/>
  <c r="K2020" i="2"/>
  <c r="J2020" i="2"/>
  <c r="I2020" i="2"/>
  <c r="A2020" i="2"/>
  <c r="K2019" i="2"/>
  <c r="J2019" i="2"/>
  <c r="I2019" i="2"/>
  <c r="A2019" i="2"/>
  <c r="K2018" i="2"/>
  <c r="J2018" i="2"/>
  <c r="I2018" i="2"/>
  <c r="A2018" i="2"/>
  <c r="K2017" i="2"/>
  <c r="J2017" i="2"/>
  <c r="I2017" i="2"/>
  <c r="A2017" i="2"/>
  <c r="K2016" i="2"/>
  <c r="J2016" i="2"/>
  <c r="I2016" i="2"/>
  <c r="A2016" i="2"/>
  <c r="K2015" i="2"/>
  <c r="J2015" i="2"/>
  <c r="I2015" i="2"/>
  <c r="A2015" i="2"/>
  <c r="K2014" i="2"/>
  <c r="J2014" i="2"/>
  <c r="I2014" i="2"/>
  <c r="A2014" i="2"/>
  <c r="K2013" i="2"/>
  <c r="J2013" i="2"/>
  <c r="I2013" i="2"/>
  <c r="A2013" i="2"/>
  <c r="K2012" i="2"/>
  <c r="J2012" i="2"/>
  <c r="I2012" i="2"/>
  <c r="A2012" i="2"/>
  <c r="K2011" i="2"/>
  <c r="J2011" i="2"/>
  <c r="I2011" i="2"/>
  <c r="A2011" i="2"/>
  <c r="K2010" i="2"/>
  <c r="J2010" i="2"/>
  <c r="I2010" i="2"/>
  <c r="A2010" i="2"/>
  <c r="K2009" i="2"/>
  <c r="J2009" i="2"/>
  <c r="I2009" i="2"/>
  <c r="A2009" i="2"/>
  <c r="K2008" i="2"/>
  <c r="J2008" i="2"/>
  <c r="I2008" i="2"/>
  <c r="A2008" i="2"/>
  <c r="K2007" i="2"/>
  <c r="J2007" i="2"/>
  <c r="I2007" i="2"/>
  <c r="A2007" i="2"/>
  <c r="K2006" i="2"/>
  <c r="J2006" i="2"/>
  <c r="I2006" i="2"/>
  <c r="A2006" i="2"/>
  <c r="K2005" i="2"/>
  <c r="J2005" i="2"/>
  <c r="I2005" i="2"/>
  <c r="A2005" i="2"/>
  <c r="K2004" i="2"/>
  <c r="J2004" i="2"/>
  <c r="I2004" i="2"/>
  <c r="A2004" i="2"/>
  <c r="K2003" i="2"/>
  <c r="J2003" i="2"/>
  <c r="I2003" i="2"/>
  <c r="A2003" i="2"/>
  <c r="K2002" i="2"/>
  <c r="J2002" i="2"/>
  <c r="I2002" i="2"/>
  <c r="A2002" i="2"/>
  <c r="K2001" i="2"/>
  <c r="J2001" i="2"/>
  <c r="I2001" i="2"/>
  <c r="A2001" i="2"/>
  <c r="K2000" i="2"/>
  <c r="J2000" i="2"/>
  <c r="I2000" i="2"/>
  <c r="A2000" i="2"/>
  <c r="K1999" i="2"/>
  <c r="J1999" i="2"/>
  <c r="I1999" i="2"/>
  <c r="A1999" i="2"/>
  <c r="K1998" i="2"/>
  <c r="J1998" i="2"/>
  <c r="I1998" i="2"/>
  <c r="A1998" i="2"/>
  <c r="K1997" i="2"/>
  <c r="J1997" i="2"/>
  <c r="I1997" i="2"/>
  <c r="A1997" i="2"/>
  <c r="K1996" i="2"/>
  <c r="J1996" i="2"/>
  <c r="I1996" i="2"/>
  <c r="A1996" i="2"/>
  <c r="K1995" i="2"/>
  <c r="J1995" i="2"/>
  <c r="I1995" i="2"/>
  <c r="A1995" i="2"/>
  <c r="K1994" i="2"/>
  <c r="J1994" i="2"/>
  <c r="I1994" i="2"/>
  <c r="A1994" i="2"/>
  <c r="K1993" i="2"/>
  <c r="J1993" i="2"/>
  <c r="I1993" i="2"/>
  <c r="A1993" i="2"/>
  <c r="K1992" i="2"/>
  <c r="J1992" i="2"/>
  <c r="I1992" i="2"/>
  <c r="A1992" i="2"/>
  <c r="K1991" i="2"/>
  <c r="J1991" i="2"/>
  <c r="I1991" i="2"/>
  <c r="A1991" i="2"/>
  <c r="K1990" i="2"/>
  <c r="J1990" i="2"/>
  <c r="I1990" i="2"/>
  <c r="A1990" i="2"/>
  <c r="K1989" i="2"/>
  <c r="J1989" i="2"/>
  <c r="I1989" i="2"/>
  <c r="A1989" i="2"/>
  <c r="K1988" i="2"/>
  <c r="J1988" i="2"/>
  <c r="I1988" i="2"/>
  <c r="A1988" i="2"/>
  <c r="K1987" i="2"/>
  <c r="J1987" i="2"/>
  <c r="I1987" i="2"/>
  <c r="A1987" i="2"/>
  <c r="K1986" i="2"/>
  <c r="J1986" i="2"/>
  <c r="I1986" i="2"/>
  <c r="A1986" i="2"/>
  <c r="K1985" i="2"/>
  <c r="J1985" i="2"/>
  <c r="I1985" i="2"/>
  <c r="A1985" i="2"/>
  <c r="K1984" i="2"/>
  <c r="J1984" i="2"/>
  <c r="I1984" i="2"/>
  <c r="A1984" i="2"/>
  <c r="K1983" i="2"/>
  <c r="J1983" i="2"/>
  <c r="I1983" i="2"/>
  <c r="A1983" i="2"/>
  <c r="K1982" i="2"/>
  <c r="J1982" i="2"/>
  <c r="I1982" i="2"/>
  <c r="A1982" i="2"/>
  <c r="K1981" i="2"/>
  <c r="J1981" i="2"/>
  <c r="I1981" i="2"/>
  <c r="A1981" i="2"/>
  <c r="K1980" i="2"/>
  <c r="J1980" i="2"/>
  <c r="I1980" i="2"/>
  <c r="A1980" i="2"/>
  <c r="K1979" i="2"/>
  <c r="J1979" i="2"/>
  <c r="I1979" i="2"/>
  <c r="A1979" i="2"/>
  <c r="K1978" i="2"/>
  <c r="J1978" i="2"/>
  <c r="I1978" i="2"/>
  <c r="A1978" i="2"/>
  <c r="K1977" i="2"/>
  <c r="J1977" i="2"/>
  <c r="I1977" i="2"/>
  <c r="A1977" i="2"/>
  <c r="K1976" i="2"/>
  <c r="J1976" i="2"/>
  <c r="I1976" i="2"/>
  <c r="A1976" i="2"/>
  <c r="K1975" i="2"/>
  <c r="J1975" i="2"/>
  <c r="I1975" i="2"/>
  <c r="A1975" i="2"/>
  <c r="K1974" i="2"/>
  <c r="J1974" i="2"/>
  <c r="I1974" i="2"/>
  <c r="A1974" i="2"/>
  <c r="K1973" i="2"/>
  <c r="J1973" i="2"/>
  <c r="I1973" i="2"/>
  <c r="A1973" i="2"/>
  <c r="K1972" i="2"/>
  <c r="J1972" i="2"/>
  <c r="I1972" i="2"/>
  <c r="A1972" i="2"/>
  <c r="K1971" i="2"/>
  <c r="J1971" i="2"/>
  <c r="I1971" i="2"/>
  <c r="A1971" i="2"/>
  <c r="K1970" i="2"/>
  <c r="J1970" i="2"/>
  <c r="I1970" i="2"/>
  <c r="A1970" i="2"/>
  <c r="K1969" i="2"/>
  <c r="J1969" i="2"/>
  <c r="I1969" i="2"/>
  <c r="A1969" i="2"/>
  <c r="K1968" i="2"/>
  <c r="J1968" i="2"/>
  <c r="I1968" i="2"/>
  <c r="A1968" i="2"/>
  <c r="K1967" i="2"/>
  <c r="J1967" i="2"/>
  <c r="I1967" i="2"/>
  <c r="A1967" i="2"/>
  <c r="K1966" i="2"/>
  <c r="J1966" i="2"/>
  <c r="I1966" i="2"/>
  <c r="A1966" i="2"/>
  <c r="K1965" i="2"/>
  <c r="J1965" i="2"/>
  <c r="I1965" i="2"/>
  <c r="A1965" i="2"/>
  <c r="K1964" i="2"/>
  <c r="J1964" i="2"/>
  <c r="I1964" i="2"/>
  <c r="A1964" i="2"/>
  <c r="K1963" i="2"/>
  <c r="J1963" i="2"/>
  <c r="I1963" i="2"/>
  <c r="A1963" i="2"/>
  <c r="K1962" i="2"/>
  <c r="J1962" i="2"/>
  <c r="I1962" i="2"/>
  <c r="A1962" i="2"/>
  <c r="K1961" i="2"/>
  <c r="J1961" i="2"/>
  <c r="I1961" i="2"/>
  <c r="A1961" i="2"/>
  <c r="K1960" i="2"/>
  <c r="J1960" i="2"/>
  <c r="I1960" i="2"/>
  <c r="A1960" i="2"/>
  <c r="K1959" i="2"/>
  <c r="J1959" i="2"/>
  <c r="I1959" i="2"/>
  <c r="A1959" i="2"/>
  <c r="K1958" i="2"/>
  <c r="J1958" i="2"/>
  <c r="I1958" i="2"/>
  <c r="A1958" i="2"/>
  <c r="K1957" i="2"/>
  <c r="J1957" i="2"/>
  <c r="I1957" i="2"/>
  <c r="A1957" i="2"/>
  <c r="K1956" i="2"/>
  <c r="J1956" i="2"/>
  <c r="I1956" i="2"/>
  <c r="A1956" i="2"/>
  <c r="K1955" i="2"/>
  <c r="J1955" i="2"/>
  <c r="I1955" i="2"/>
  <c r="A1955" i="2"/>
  <c r="K1954" i="2"/>
  <c r="J1954" i="2"/>
  <c r="I1954" i="2"/>
  <c r="A1954" i="2"/>
  <c r="K1953" i="2"/>
  <c r="J1953" i="2"/>
  <c r="I1953" i="2"/>
  <c r="A1953" i="2"/>
  <c r="K1952" i="2"/>
  <c r="J1952" i="2"/>
  <c r="I1952" i="2"/>
  <c r="A1952" i="2"/>
  <c r="K1951" i="2"/>
  <c r="J1951" i="2"/>
  <c r="I1951" i="2"/>
  <c r="A1951" i="2"/>
  <c r="K1950" i="2"/>
  <c r="J1950" i="2"/>
  <c r="I1950" i="2"/>
  <c r="A1950" i="2"/>
  <c r="K1949" i="2"/>
  <c r="J1949" i="2"/>
  <c r="I1949" i="2"/>
  <c r="A1949" i="2"/>
  <c r="K1948" i="2"/>
  <c r="J1948" i="2"/>
  <c r="I1948" i="2"/>
  <c r="A1948" i="2"/>
  <c r="K1947" i="2"/>
  <c r="J1947" i="2"/>
  <c r="I1947" i="2"/>
  <c r="A1947" i="2"/>
  <c r="K1946" i="2"/>
  <c r="J1946" i="2"/>
  <c r="I1946" i="2"/>
  <c r="A1946" i="2"/>
  <c r="K1945" i="2"/>
  <c r="J1945" i="2"/>
  <c r="I1945" i="2"/>
  <c r="A1945" i="2"/>
  <c r="K1944" i="2"/>
  <c r="J1944" i="2"/>
  <c r="I1944" i="2"/>
  <c r="A1944" i="2"/>
  <c r="K1943" i="2"/>
  <c r="J1943" i="2"/>
  <c r="I1943" i="2"/>
  <c r="A1943" i="2"/>
  <c r="K1942" i="2"/>
  <c r="J1942" i="2"/>
  <c r="I1942" i="2"/>
  <c r="A1942" i="2"/>
  <c r="K1941" i="2"/>
  <c r="J1941" i="2"/>
  <c r="I1941" i="2"/>
  <c r="A1941" i="2"/>
  <c r="K1940" i="2"/>
  <c r="J1940" i="2"/>
  <c r="I1940" i="2"/>
  <c r="A1940" i="2"/>
  <c r="K1939" i="2"/>
  <c r="J1939" i="2"/>
  <c r="I1939" i="2"/>
  <c r="A1939" i="2"/>
  <c r="K1938" i="2"/>
  <c r="J1938" i="2"/>
  <c r="I1938" i="2"/>
  <c r="A1938" i="2"/>
  <c r="K1937" i="2"/>
  <c r="J1937" i="2"/>
  <c r="I1937" i="2"/>
  <c r="A1937" i="2"/>
  <c r="K1936" i="2"/>
  <c r="J1936" i="2"/>
  <c r="I1936" i="2"/>
  <c r="A1936" i="2"/>
  <c r="K1935" i="2"/>
  <c r="J1935" i="2"/>
  <c r="I1935" i="2"/>
  <c r="A1935" i="2"/>
  <c r="K1934" i="2"/>
  <c r="J1934" i="2"/>
  <c r="I1934" i="2"/>
  <c r="A1934" i="2"/>
  <c r="K1933" i="2"/>
  <c r="J1933" i="2"/>
  <c r="I1933" i="2"/>
  <c r="A1933" i="2"/>
  <c r="K1932" i="2"/>
  <c r="J1932" i="2"/>
  <c r="I1932" i="2"/>
  <c r="A1932" i="2"/>
  <c r="K1931" i="2"/>
  <c r="J1931" i="2"/>
  <c r="I1931" i="2"/>
  <c r="A1931" i="2"/>
  <c r="K1930" i="2"/>
  <c r="J1930" i="2"/>
  <c r="I1930" i="2"/>
  <c r="A1930" i="2"/>
  <c r="K1929" i="2"/>
  <c r="J1929" i="2"/>
  <c r="I1929" i="2"/>
  <c r="A1929" i="2"/>
  <c r="K1928" i="2"/>
  <c r="J1928" i="2"/>
  <c r="I1928" i="2"/>
  <c r="A1928" i="2"/>
  <c r="K1927" i="2"/>
  <c r="J1927" i="2"/>
  <c r="I1927" i="2"/>
  <c r="A1927" i="2"/>
  <c r="K1926" i="2"/>
  <c r="J1926" i="2"/>
  <c r="I1926" i="2"/>
  <c r="A1926" i="2"/>
  <c r="K1925" i="2"/>
  <c r="J1925" i="2"/>
  <c r="I1925" i="2"/>
  <c r="A1925" i="2"/>
  <c r="K1924" i="2"/>
  <c r="J1924" i="2"/>
  <c r="I1924" i="2"/>
  <c r="A1924" i="2"/>
  <c r="K1923" i="2"/>
  <c r="J1923" i="2"/>
  <c r="I1923" i="2"/>
  <c r="A1923" i="2"/>
  <c r="K1922" i="2"/>
  <c r="J1922" i="2"/>
  <c r="I1922" i="2"/>
  <c r="A1922" i="2"/>
  <c r="K1921" i="2"/>
  <c r="J1921" i="2"/>
  <c r="I1921" i="2"/>
  <c r="A1921" i="2"/>
  <c r="K1920" i="2"/>
  <c r="J1920" i="2"/>
  <c r="I1920" i="2"/>
  <c r="A1920" i="2"/>
  <c r="K1919" i="2"/>
  <c r="J1919" i="2"/>
  <c r="I1919" i="2"/>
  <c r="A1919" i="2"/>
  <c r="K1918" i="2"/>
  <c r="J1918" i="2"/>
  <c r="I1918" i="2"/>
  <c r="A1918" i="2"/>
  <c r="K1917" i="2"/>
  <c r="J1917" i="2"/>
  <c r="I1917" i="2"/>
  <c r="A1917" i="2"/>
  <c r="K1916" i="2"/>
  <c r="J1916" i="2"/>
  <c r="I1916" i="2"/>
  <c r="A1916" i="2"/>
  <c r="K1915" i="2"/>
  <c r="J1915" i="2"/>
  <c r="I1915" i="2"/>
  <c r="A1915" i="2"/>
  <c r="K1914" i="2"/>
  <c r="J1914" i="2"/>
  <c r="I1914" i="2"/>
  <c r="A1914" i="2"/>
  <c r="K1913" i="2"/>
  <c r="J1913" i="2"/>
  <c r="I1913" i="2"/>
  <c r="A1913" i="2"/>
  <c r="K1912" i="2"/>
  <c r="J1912" i="2"/>
  <c r="I1912" i="2"/>
  <c r="A1912" i="2"/>
  <c r="K1911" i="2"/>
  <c r="J1911" i="2"/>
  <c r="I1911" i="2"/>
  <c r="A1911" i="2"/>
  <c r="K1910" i="2"/>
  <c r="J1910" i="2"/>
  <c r="I1910" i="2"/>
  <c r="A1910" i="2"/>
  <c r="K1909" i="2"/>
  <c r="J1909" i="2"/>
  <c r="I1909" i="2"/>
  <c r="A1909" i="2"/>
  <c r="K1908" i="2"/>
  <c r="J1908" i="2"/>
  <c r="I1908" i="2"/>
  <c r="A1908" i="2"/>
  <c r="K1907" i="2"/>
  <c r="J1907" i="2"/>
  <c r="I1907" i="2"/>
  <c r="A1907" i="2"/>
  <c r="K1906" i="2"/>
  <c r="J1906" i="2"/>
  <c r="I1906" i="2"/>
  <c r="A1906" i="2"/>
  <c r="K1905" i="2"/>
  <c r="J1905" i="2"/>
  <c r="I1905" i="2"/>
  <c r="A1905" i="2"/>
  <c r="K1904" i="2"/>
  <c r="J1904" i="2"/>
  <c r="I1904" i="2"/>
  <c r="A1904" i="2"/>
  <c r="K1903" i="2"/>
  <c r="J1903" i="2"/>
  <c r="I1903" i="2"/>
  <c r="A1903" i="2"/>
  <c r="K1902" i="2"/>
  <c r="J1902" i="2"/>
  <c r="I1902" i="2"/>
  <c r="A1902" i="2"/>
  <c r="K1901" i="2"/>
  <c r="J1901" i="2"/>
  <c r="I1901" i="2"/>
  <c r="A1901" i="2"/>
  <c r="K1900" i="2"/>
  <c r="J1900" i="2"/>
  <c r="I1900" i="2"/>
  <c r="A1900" i="2"/>
  <c r="K1899" i="2"/>
  <c r="J1899" i="2"/>
  <c r="I1899" i="2"/>
  <c r="A1899" i="2"/>
  <c r="K1898" i="2"/>
  <c r="J1898" i="2"/>
  <c r="I1898" i="2"/>
  <c r="A1898" i="2"/>
  <c r="K1897" i="2"/>
  <c r="J1897" i="2"/>
  <c r="I1897" i="2"/>
  <c r="A1897" i="2"/>
  <c r="K1896" i="2"/>
  <c r="J1896" i="2"/>
  <c r="I1896" i="2"/>
  <c r="A1896" i="2"/>
  <c r="K1895" i="2"/>
  <c r="J1895" i="2"/>
  <c r="I1895" i="2"/>
  <c r="A1895" i="2"/>
  <c r="K1894" i="2"/>
  <c r="J1894" i="2"/>
  <c r="I1894" i="2"/>
  <c r="A1894" i="2"/>
  <c r="K1893" i="2"/>
  <c r="J1893" i="2"/>
  <c r="I1893" i="2"/>
  <c r="A1893" i="2"/>
  <c r="K1892" i="2"/>
  <c r="J1892" i="2"/>
  <c r="I1892" i="2"/>
  <c r="A1892" i="2"/>
  <c r="K1891" i="2"/>
  <c r="J1891" i="2"/>
  <c r="I1891" i="2"/>
  <c r="A1891" i="2"/>
  <c r="K1890" i="2"/>
  <c r="J1890" i="2"/>
  <c r="I1890" i="2"/>
  <c r="A1890" i="2"/>
  <c r="K1889" i="2"/>
  <c r="J1889" i="2"/>
  <c r="I1889" i="2"/>
  <c r="A1889" i="2"/>
  <c r="K1888" i="2"/>
  <c r="J1888" i="2"/>
  <c r="I1888" i="2"/>
  <c r="A1888" i="2"/>
  <c r="K1887" i="2"/>
  <c r="J1887" i="2"/>
  <c r="I1887" i="2"/>
  <c r="A1887" i="2"/>
  <c r="K1886" i="2"/>
  <c r="J1886" i="2"/>
  <c r="I1886" i="2"/>
  <c r="A1886" i="2"/>
  <c r="K1885" i="2"/>
  <c r="J1885" i="2"/>
  <c r="I1885" i="2"/>
  <c r="A1885" i="2"/>
  <c r="K1884" i="2"/>
  <c r="J1884" i="2"/>
  <c r="I1884" i="2"/>
  <c r="A1884" i="2"/>
  <c r="K1883" i="2"/>
  <c r="J1883" i="2"/>
  <c r="I1883" i="2"/>
  <c r="A1883" i="2"/>
  <c r="K1882" i="2"/>
  <c r="J1882" i="2"/>
  <c r="I1882" i="2"/>
  <c r="A1882" i="2"/>
  <c r="K1881" i="2"/>
  <c r="J1881" i="2"/>
  <c r="I1881" i="2"/>
  <c r="A1881" i="2"/>
  <c r="K1880" i="2"/>
  <c r="J1880" i="2"/>
  <c r="I1880" i="2"/>
  <c r="A1880" i="2"/>
  <c r="K1879" i="2"/>
  <c r="J1879" i="2"/>
  <c r="I1879" i="2"/>
  <c r="A1879" i="2"/>
  <c r="K1878" i="2"/>
  <c r="J1878" i="2"/>
  <c r="I1878" i="2"/>
  <c r="A1878" i="2"/>
  <c r="K1877" i="2"/>
  <c r="J1877" i="2"/>
  <c r="I1877" i="2"/>
  <c r="A1877" i="2"/>
  <c r="K1876" i="2"/>
  <c r="J1876" i="2"/>
  <c r="I1876" i="2"/>
  <c r="A1876" i="2"/>
  <c r="K1875" i="2"/>
  <c r="J1875" i="2"/>
  <c r="I1875" i="2"/>
  <c r="A1875" i="2"/>
  <c r="K1874" i="2"/>
  <c r="J1874" i="2"/>
  <c r="I1874" i="2"/>
  <c r="A1874" i="2"/>
  <c r="K1873" i="2"/>
  <c r="J1873" i="2"/>
  <c r="I1873" i="2"/>
  <c r="A1873" i="2"/>
  <c r="K1872" i="2"/>
  <c r="J1872" i="2"/>
  <c r="I1872" i="2"/>
  <c r="A1872" i="2"/>
  <c r="K1871" i="2"/>
  <c r="J1871" i="2"/>
  <c r="I1871" i="2"/>
  <c r="A1871" i="2"/>
  <c r="K1870" i="2"/>
  <c r="J1870" i="2"/>
  <c r="I1870" i="2"/>
  <c r="A1870" i="2"/>
  <c r="K1869" i="2"/>
  <c r="J1869" i="2"/>
  <c r="I1869" i="2"/>
  <c r="A1869" i="2"/>
  <c r="K1868" i="2"/>
  <c r="J1868" i="2"/>
  <c r="I1868" i="2"/>
  <c r="A1868" i="2"/>
  <c r="K1867" i="2"/>
  <c r="J1867" i="2"/>
  <c r="I1867" i="2"/>
  <c r="A1867" i="2"/>
  <c r="K1866" i="2"/>
  <c r="J1866" i="2"/>
  <c r="I1866" i="2"/>
  <c r="A1866" i="2"/>
  <c r="K1865" i="2"/>
  <c r="J1865" i="2"/>
  <c r="I1865" i="2"/>
  <c r="A1865" i="2"/>
  <c r="K1864" i="2"/>
  <c r="J1864" i="2"/>
  <c r="I1864" i="2"/>
  <c r="A1864" i="2"/>
  <c r="K1863" i="2"/>
  <c r="J1863" i="2"/>
  <c r="I1863" i="2"/>
  <c r="A1863" i="2"/>
  <c r="K1862" i="2"/>
  <c r="J1862" i="2"/>
  <c r="I1862" i="2"/>
  <c r="A1862" i="2"/>
  <c r="K1861" i="2"/>
  <c r="J1861" i="2"/>
  <c r="I1861" i="2"/>
  <c r="A1861" i="2"/>
  <c r="K1860" i="2"/>
  <c r="J1860" i="2"/>
  <c r="I1860" i="2"/>
  <c r="A1860" i="2"/>
  <c r="K1859" i="2"/>
  <c r="J1859" i="2"/>
  <c r="I1859" i="2"/>
  <c r="A1859" i="2"/>
  <c r="K1858" i="2"/>
  <c r="J1858" i="2"/>
  <c r="I1858" i="2"/>
  <c r="A1858" i="2"/>
  <c r="K1857" i="2"/>
  <c r="J1857" i="2"/>
  <c r="I1857" i="2"/>
  <c r="A1857" i="2"/>
  <c r="K1856" i="2"/>
  <c r="J1856" i="2"/>
  <c r="I1856" i="2"/>
  <c r="A1856" i="2"/>
  <c r="K1855" i="2"/>
  <c r="J1855" i="2"/>
  <c r="I1855" i="2"/>
  <c r="A1855" i="2"/>
  <c r="K1854" i="2"/>
  <c r="J1854" i="2"/>
  <c r="I1854" i="2"/>
  <c r="A1854" i="2"/>
  <c r="K1853" i="2"/>
  <c r="J1853" i="2"/>
  <c r="I1853" i="2"/>
  <c r="A1853" i="2"/>
  <c r="K1852" i="2"/>
  <c r="J1852" i="2"/>
  <c r="I1852" i="2"/>
  <c r="A1852" i="2"/>
  <c r="K1851" i="2"/>
  <c r="J1851" i="2"/>
  <c r="I1851" i="2"/>
  <c r="A1851" i="2"/>
  <c r="K1850" i="2"/>
  <c r="J1850" i="2"/>
  <c r="I1850" i="2"/>
  <c r="A1850" i="2"/>
  <c r="K1849" i="2"/>
  <c r="J1849" i="2"/>
  <c r="I1849" i="2"/>
  <c r="A1849" i="2"/>
  <c r="K1848" i="2"/>
  <c r="J1848" i="2"/>
  <c r="I1848" i="2"/>
  <c r="A1848" i="2"/>
  <c r="K1847" i="2"/>
  <c r="J1847" i="2"/>
  <c r="I1847" i="2"/>
  <c r="A1847" i="2"/>
  <c r="K1846" i="2"/>
  <c r="J1846" i="2"/>
  <c r="I1846" i="2"/>
  <c r="A1846" i="2"/>
  <c r="K1845" i="2"/>
  <c r="J1845" i="2"/>
  <c r="I1845" i="2"/>
  <c r="A1845" i="2"/>
  <c r="K1844" i="2"/>
  <c r="J1844" i="2"/>
  <c r="I1844" i="2"/>
  <c r="A1844" i="2"/>
  <c r="K1843" i="2"/>
  <c r="J1843" i="2"/>
  <c r="I1843" i="2"/>
  <c r="A1843" i="2"/>
  <c r="K1842" i="2"/>
  <c r="J1842" i="2"/>
  <c r="I1842" i="2"/>
  <c r="A1842" i="2"/>
  <c r="K1841" i="2"/>
  <c r="J1841" i="2"/>
  <c r="I1841" i="2"/>
  <c r="A1841" i="2"/>
  <c r="K1840" i="2"/>
  <c r="J1840" i="2"/>
  <c r="I1840" i="2"/>
  <c r="A1840" i="2"/>
  <c r="K1839" i="2"/>
  <c r="J1839" i="2"/>
  <c r="I1839" i="2"/>
  <c r="A1839" i="2"/>
  <c r="K1838" i="2"/>
  <c r="J1838" i="2"/>
  <c r="I1838" i="2"/>
  <c r="A1838" i="2"/>
  <c r="K1837" i="2"/>
  <c r="J1837" i="2"/>
  <c r="I1837" i="2"/>
  <c r="A1837" i="2"/>
  <c r="K1836" i="2"/>
  <c r="J1836" i="2"/>
  <c r="I1836" i="2"/>
  <c r="A1836" i="2"/>
  <c r="K1835" i="2"/>
  <c r="J1835" i="2"/>
  <c r="I1835" i="2"/>
  <c r="A1835" i="2"/>
  <c r="K1834" i="2"/>
  <c r="J1834" i="2"/>
  <c r="I1834" i="2"/>
  <c r="A1834" i="2"/>
  <c r="K1833" i="2"/>
  <c r="J1833" i="2"/>
  <c r="I1833" i="2"/>
  <c r="A1833" i="2"/>
  <c r="K1832" i="2"/>
  <c r="J1832" i="2"/>
  <c r="I1832" i="2"/>
  <c r="A1832" i="2"/>
  <c r="K1831" i="2"/>
  <c r="J1831" i="2"/>
  <c r="I1831" i="2"/>
  <c r="A1831" i="2"/>
  <c r="K1830" i="2"/>
  <c r="J1830" i="2"/>
  <c r="I1830" i="2"/>
  <c r="A1830" i="2"/>
  <c r="K1829" i="2"/>
  <c r="J1829" i="2"/>
  <c r="I1829" i="2"/>
  <c r="A1829" i="2"/>
  <c r="K1828" i="2"/>
  <c r="J1828" i="2"/>
  <c r="I1828" i="2"/>
  <c r="A1828" i="2"/>
  <c r="K1827" i="2"/>
  <c r="J1827" i="2"/>
  <c r="I1827" i="2"/>
  <c r="A1827" i="2"/>
  <c r="K1826" i="2"/>
  <c r="J1826" i="2"/>
  <c r="I1826" i="2"/>
  <c r="A1826" i="2"/>
  <c r="K1825" i="2"/>
  <c r="J1825" i="2"/>
  <c r="I1825" i="2"/>
  <c r="A1825" i="2"/>
  <c r="K1824" i="2"/>
  <c r="J1824" i="2"/>
  <c r="I1824" i="2"/>
  <c r="A1824" i="2"/>
  <c r="K1823" i="2"/>
  <c r="J1823" i="2"/>
  <c r="I1823" i="2"/>
  <c r="A1823" i="2"/>
  <c r="K1822" i="2"/>
  <c r="J1822" i="2"/>
  <c r="I1822" i="2"/>
  <c r="A1822" i="2"/>
  <c r="K1821" i="2"/>
  <c r="J1821" i="2"/>
  <c r="I1821" i="2"/>
  <c r="A1821" i="2"/>
  <c r="K1820" i="2"/>
  <c r="J1820" i="2"/>
  <c r="I1820" i="2"/>
  <c r="A1820" i="2"/>
  <c r="K1819" i="2"/>
  <c r="J1819" i="2"/>
  <c r="I1819" i="2"/>
  <c r="A1819" i="2"/>
  <c r="K1818" i="2"/>
  <c r="J1818" i="2"/>
  <c r="I1818" i="2"/>
  <c r="A1818" i="2"/>
  <c r="K1817" i="2"/>
  <c r="J1817" i="2"/>
  <c r="I1817" i="2"/>
  <c r="A1817" i="2"/>
  <c r="K1816" i="2"/>
  <c r="J1816" i="2"/>
  <c r="I1816" i="2"/>
  <c r="A1816" i="2"/>
  <c r="K1815" i="2"/>
  <c r="J1815" i="2"/>
  <c r="I1815" i="2"/>
  <c r="A1815" i="2"/>
  <c r="K1814" i="2"/>
  <c r="J1814" i="2"/>
  <c r="I1814" i="2"/>
  <c r="A1814" i="2"/>
  <c r="K1813" i="2"/>
  <c r="J1813" i="2"/>
  <c r="I1813" i="2"/>
  <c r="A1813" i="2"/>
  <c r="K1812" i="2"/>
  <c r="J1812" i="2"/>
  <c r="I1812" i="2"/>
  <c r="A1812" i="2"/>
  <c r="K1811" i="2"/>
  <c r="J1811" i="2"/>
  <c r="I1811" i="2"/>
  <c r="A1811" i="2"/>
  <c r="K1810" i="2"/>
  <c r="J1810" i="2"/>
  <c r="I1810" i="2"/>
  <c r="A1810" i="2"/>
  <c r="K1809" i="2"/>
  <c r="J1809" i="2"/>
  <c r="I1809" i="2"/>
  <c r="A1809" i="2"/>
  <c r="K1808" i="2"/>
  <c r="J1808" i="2"/>
  <c r="I1808" i="2"/>
  <c r="A1808" i="2"/>
  <c r="K1807" i="2"/>
  <c r="J1807" i="2"/>
  <c r="I1807" i="2"/>
  <c r="A1807" i="2"/>
  <c r="K1806" i="2"/>
  <c r="J1806" i="2"/>
  <c r="I1806" i="2"/>
  <c r="A1806" i="2"/>
  <c r="K1805" i="2"/>
  <c r="J1805" i="2"/>
  <c r="I1805" i="2"/>
  <c r="A1805" i="2"/>
  <c r="K1804" i="2"/>
  <c r="J1804" i="2"/>
  <c r="I1804" i="2"/>
  <c r="A1804" i="2"/>
  <c r="K1803" i="2"/>
  <c r="J1803" i="2"/>
  <c r="I1803" i="2"/>
  <c r="A1803" i="2"/>
  <c r="K1802" i="2"/>
  <c r="J1802" i="2"/>
  <c r="I1802" i="2"/>
  <c r="A1802" i="2"/>
  <c r="K1801" i="2"/>
  <c r="J1801" i="2"/>
  <c r="I1801" i="2"/>
  <c r="A1801" i="2"/>
  <c r="K1800" i="2"/>
  <c r="J1800" i="2"/>
  <c r="I1800" i="2"/>
  <c r="A1800" i="2"/>
  <c r="K1799" i="2"/>
  <c r="J1799" i="2"/>
  <c r="I1799" i="2"/>
  <c r="A1799" i="2"/>
  <c r="K1798" i="2"/>
  <c r="J1798" i="2"/>
  <c r="I1798" i="2"/>
  <c r="A1798" i="2"/>
  <c r="K1797" i="2"/>
  <c r="J1797" i="2"/>
  <c r="I1797" i="2"/>
  <c r="A1797" i="2"/>
  <c r="K1796" i="2"/>
  <c r="J1796" i="2"/>
  <c r="I1796" i="2"/>
  <c r="A1796" i="2"/>
  <c r="K1795" i="2"/>
  <c r="J1795" i="2"/>
  <c r="I1795" i="2"/>
  <c r="A1795" i="2"/>
  <c r="K1794" i="2"/>
  <c r="J1794" i="2"/>
  <c r="I1794" i="2"/>
  <c r="A1794" i="2"/>
  <c r="K1793" i="2"/>
  <c r="J1793" i="2"/>
  <c r="I1793" i="2"/>
  <c r="A1793" i="2"/>
  <c r="K1792" i="2"/>
  <c r="J1792" i="2"/>
  <c r="I1792" i="2"/>
  <c r="A1792" i="2"/>
  <c r="K1791" i="2"/>
  <c r="J1791" i="2"/>
  <c r="I1791" i="2"/>
  <c r="A1791" i="2"/>
  <c r="K1790" i="2"/>
  <c r="J1790" i="2"/>
  <c r="I1790" i="2"/>
  <c r="A1790" i="2"/>
  <c r="K1789" i="2"/>
  <c r="J1789" i="2"/>
  <c r="I1789" i="2"/>
  <c r="A1789" i="2"/>
  <c r="K1788" i="2"/>
  <c r="J1788" i="2"/>
  <c r="I1788" i="2"/>
  <c r="A1788" i="2"/>
  <c r="K1787" i="2"/>
  <c r="J1787" i="2"/>
  <c r="I1787" i="2"/>
  <c r="A1787" i="2"/>
  <c r="K1786" i="2"/>
  <c r="J1786" i="2"/>
  <c r="I1786" i="2"/>
  <c r="A1786" i="2"/>
  <c r="K1785" i="2"/>
  <c r="J1785" i="2"/>
  <c r="I1785" i="2"/>
  <c r="A1785" i="2"/>
  <c r="K1784" i="2"/>
  <c r="J1784" i="2"/>
  <c r="I1784" i="2"/>
  <c r="A1784" i="2"/>
  <c r="K1783" i="2"/>
  <c r="J1783" i="2"/>
  <c r="I1783" i="2"/>
  <c r="A1783" i="2"/>
  <c r="K1782" i="2"/>
  <c r="J1782" i="2"/>
  <c r="I1782" i="2"/>
  <c r="A1782" i="2"/>
  <c r="K1781" i="2"/>
  <c r="J1781" i="2"/>
  <c r="I1781" i="2"/>
  <c r="A1781" i="2"/>
  <c r="K1780" i="2"/>
  <c r="J1780" i="2"/>
  <c r="I1780" i="2"/>
  <c r="A1780" i="2"/>
  <c r="K1779" i="2"/>
  <c r="J1779" i="2"/>
  <c r="I1779" i="2"/>
  <c r="A1779" i="2"/>
  <c r="K1778" i="2"/>
  <c r="J1778" i="2"/>
  <c r="I1778" i="2"/>
  <c r="A1778" i="2"/>
  <c r="K1777" i="2"/>
  <c r="J1777" i="2"/>
  <c r="I1777" i="2"/>
  <c r="A1777" i="2"/>
  <c r="K1776" i="2"/>
  <c r="J1776" i="2"/>
  <c r="I1776" i="2"/>
  <c r="A1776" i="2"/>
  <c r="K1775" i="2"/>
  <c r="J1775" i="2"/>
  <c r="I1775" i="2"/>
  <c r="A1775" i="2"/>
  <c r="K1774" i="2"/>
  <c r="J1774" i="2"/>
  <c r="I1774" i="2"/>
  <c r="A1774" i="2"/>
  <c r="K1773" i="2"/>
  <c r="J1773" i="2"/>
  <c r="I1773" i="2"/>
  <c r="A1773" i="2"/>
  <c r="K1772" i="2"/>
  <c r="J1772" i="2"/>
  <c r="I1772" i="2"/>
  <c r="A1772" i="2"/>
  <c r="K1771" i="2"/>
  <c r="J1771" i="2"/>
  <c r="I1771" i="2"/>
  <c r="A1771" i="2"/>
  <c r="K1770" i="2"/>
  <c r="J1770" i="2"/>
  <c r="I1770" i="2"/>
  <c r="A1770" i="2"/>
  <c r="K1769" i="2"/>
  <c r="J1769" i="2"/>
  <c r="I1769" i="2"/>
  <c r="A1769" i="2"/>
  <c r="K1768" i="2"/>
  <c r="J1768" i="2"/>
  <c r="I1768" i="2"/>
  <c r="A1768" i="2"/>
  <c r="K1767" i="2"/>
  <c r="J1767" i="2"/>
  <c r="I1767" i="2"/>
  <c r="A1767" i="2"/>
  <c r="K1766" i="2"/>
  <c r="J1766" i="2"/>
  <c r="I1766" i="2"/>
  <c r="A1766" i="2"/>
  <c r="K1765" i="2"/>
  <c r="J1765" i="2"/>
  <c r="I1765" i="2"/>
  <c r="A1765" i="2"/>
  <c r="K1764" i="2"/>
  <c r="J1764" i="2"/>
  <c r="I1764" i="2"/>
  <c r="A1764" i="2"/>
  <c r="K1763" i="2"/>
  <c r="J1763" i="2"/>
  <c r="I1763" i="2"/>
  <c r="A1763" i="2"/>
  <c r="K1762" i="2"/>
  <c r="J1762" i="2"/>
  <c r="I1762" i="2"/>
  <c r="A1762" i="2"/>
  <c r="K1761" i="2"/>
  <c r="J1761" i="2"/>
  <c r="I1761" i="2"/>
  <c r="A1761" i="2"/>
  <c r="K1760" i="2"/>
  <c r="J1760" i="2"/>
  <c r="I1760" i="2"/>
  <c r="A1760" i="2"/>
  <c r="K1759" i="2"/>
  <c r="J1759" i="2"/>
  <c r="I1759" i="2"/>
  <c r="A1759" i="2"/>
  <c r="K1758" i="2"/>
  <c r="J1758" i="2"/>
  <c r="I1758" i="2"/>
  <c r="A1758" i="2"/>
  <c r="K1757" i="2"/>
  <c r="J1757" i="2"/>
  <c r="I1757" i="2"/>
  <c r="A1757" i="2"/>
  <c r="K1756" i="2"/>
  <c r="J1756" i="2"/>
  <c r="I1756" i="2"/>
  <c r="A1756" i="2"/>
  <c r="K1755" i="2"/>
  <c r="J1755" i="2"/>
  <c r="I1755" i="2"/>
  <c r="A1755" i="2"/>
  <c r="K1754" i="2"/>
  <c r="J1754" i="2"/>
  <c r="I1754" i="2"/>
  <c r="A1754" i="2"/>
  <c r="K1753" i="2"/>
  <c r="J1753" i="2"/>
  <c r="I1753" i="2"/>
  <c r="A1753" i="2"/>
  <c r="K1752" i="2"/>
  <c r="J1752" i="2"/>
  <c r="I1752" i="2"/>
  <c r="A1752" i="2"/>
  <c r="K1751" i="2"/>
  <c r="J1751" i="2"/>
  <c r="I1751" i="2"/>
  <c r="A1751" i="2"/>
  <c r="K1750" i="2"/>
  <c r="J1750" i="2"/>
  <c r="I1750" i="2"/>
  <c r="A1750" i="2"/>
  <c r="K1749" i="2"/>
  <c r="J1749" i="2"/>
  <c r="I1749" i="2"/>
  <c r="A1749" i="2"/>
  <c r="K1748" i="2"/>
  <c r="J1748" i="2"/>
  <c r="I1748" i="2"/>
  <c r="A1748" i="2"/>
  <c r="K1747" i="2"/>
  <c r="J1747" i="2"/>
  <c r="I1747" i="2"/>
  <c r="A1747" i="2"/>
  <c r="K1746" i="2"/>
  <c r="J1746" i="2"/>
  <c r="I1746" i="2"/>
  <c r="A1746" i="2"/>
  <c r="K1745" i="2"/>
  <c r="J1745" i="2"/>
  <c r="I1745" i="2"/>
  <c r="A1745" i="2"/>
  <c r="K1744" i="2"/>
  <c r="J1744" i="2"/>
  <c r="I1744" i="2"/>
  <c r="A1744" i="2"/>
  <c r="K1743" i="2"/>
  <c r="J1743" i="2"/>
  <c r="I1743" i="2"/>
  <c r="A1743" i="2"/>
  <c r="K1742" i="2"/>
  <c r="J1742" i="2"/>
  <c r="I1742" i="2"/>
  <c r="A1742" i="2"/>
  <c r="K1741" i="2"/>
  <c r="J1741" i="2"/>
  <c r="I1741" i="2"/>
  <c r="A1741" i="2"/>
  <c r="K1740" i="2"/>
  <c r="J1740" i="2"/>
  <c r="I1740" i="2"/>
  <c r="A1740" i="2"/>
  <c r="K1739" i="2"/>
  <c r="J1739" i="2"/>
  <c r="I1739" i="2"/>
  <c r="A1739" i="2"/>
  <c r="K1738" i="2"/>
  <c r="J1738" i="2"/>
  <c r="I1738" i="2"/>
  <c r="A1738" i="2"/>
  <c r="K1737" i="2"/>
  <c r="J1737" i="2"/>
  <c r="I1737" i="2"/>
  <c r="A1737" i="2"/>
  <c r="K1736" i="2"/>
  <c r="J1736" i="2"/>
  <c r="I1736" i="2"/>
  <c r="A1736" i="2"/>
  <c r="K1735" i="2"/>
  <c r="J1735" i="2"/>
  <c r="I1735" i="2"/>
  <c r="A1735" i="2"/>
  <c r="K1734" i="2"/>
  <c r="J1734" i="2"/>
  <c r="I1734" i="2"/>
  <c r="A1734" i="2"/>
  <c r="K1733" i="2"/>
  <c r="J1733" i="2"/>
  <c r="I1733" i="2"/>
  <c r="A1733" i="2"/>
  <c r="K1732" i="2"/>
  <c r="J1732" i="2"/>
  <c r="I1732" i="2"/>
  <c r="A1732" i="2"/>
  <c r="K1731" i="2"/>
  <c r="J1731" i="2"/>
  <c r="I1731" i="2"/>
  <c r="A1731" i="2"/>
  <c r="K1730" i="2"/>
  <c r="J1730" i="2"/>
  <c r="I1730" i="2"/>
  <c r="A1730" i="2"/>
  <c r="K1729" i="2"/>
  <c r="J1729" i="2"/>
  <c r="I1729" i="2"/>
  <c r="A1729" i="2"/>
  <c r="K1728" i="2"/>
  <c r="J1728" i="2"/>
  <c r="I1728" i="2"/>
  <c r="A1728" i="2"/>
  <c r="K1727" i="2"/>
  <c r="J1727" i="2"/>
  <c r="I1727" i="2"/>
  <c r="A1727" i="2"/>
  <c r="K1726" i="2"/>
  <c r="J1726" i="2"/>
  <c r="I1726" i="2"/>
  <c r="A1726" i="2"/>
  <c r="K1725" i="2"/>
  <c r="J1725" i="2"/>
  <c r="I1725" i="2"/>
  <c r="A1725" i="2"/>
  <c r="K1724" i="2"/>
  <c r="J1724" i="2"/>
  <c r="I1724" i="2"/>
  <c r="A1724" i="2"/>
  <c r="K1723" i="2"/>
  <c r="J1723" i="2"/>
  <c r="I1723" i="2"/>
  <c r="A1723" i="2"/>
  <c r="K1722" i="2"/>
  <c r="J1722" i="2"/>
  <c r="I1722" i="2"/>
  <c r="A1722" i="2"/>
  <c r="K1721" i="2"/>
  <c r="J1721" i="2"/>
  <c r="I1721" i="2"/>
  <c r="A1721" i="2"/>
  <c r="K1720" i="2"/>
  <c r="J1720" i="2"/>
  <c r="I1720" i="2"/>
  <c r="A1720" i="2"/>
  <c r="K1719" i="2"/>
  <c r="J1719" i="2"/>
  <c r="I1719" i="2"/>
  <c r="A1719" i="2"/>
  <c r="K1718" i="2"/>
  <c r="J1718" i="2"/>
  <c r="I1718" i="2"/>
  <c r="A1718" i="2"/>
  <c r="K1717" i="2"/>
  <c r="J1717" i="2"/>
  <c r="I1717" i="2"/>
  <c r="A1717" i="2"/>
  <c r="K1716" i="2"/>
  <c r="J1716" i="2"/>
  <c r="I1716" i="2"/>
  <c r="A1716" i="2"/>
  <c r="K1715" i="2"/>
  <c r="J1715" i="2"/>
  <c r="I1715" i="2"/>
  <c r="A1715" i="2"/>
  <c r="K1714" i="2"/>
  <c r="J1714" i="2"/>
  <c r="I1714" i="2"/>
  <c r="A1714" i="2"/>
  <c r="K1713" i="2"/>
  <c r="J1713" i="2"/>
  <c r="I1713" i="2"/>
  <c r="A1713" i="2"/>
  <c r="K1712" i="2"/>
  <c r="J1712" i="2"/>
  <c r="I1712" i="2"/>
  <c r="A1712" i="2"/>
  <c r="K1711" i="2"/>
  <c r="J1711" i="2"/>
  <c r="I1711" i="2"/>
  <c r="A1711" i="2"/>
  <c r="K1710" i="2"/>
  <c r="J1710" i="2"/>
  <c r="I1710" i="2"/>
  <c r="A1710" i="2"/>
  <c r="K1709" i="2"/>
  <c r="J1709" i="2"/>
  <c r="I1709" i="2"/>
  <c r="A1709" i="2"/>
  <c r="K1708" i="2"/>
  <c r="J1708" i="2"/>
  <c r="I1708" i="2"/>
  <c r="A1708" i="2"/>
  <c r="K1707" i="2"/>
  <c r="J1707" i="2"/>
  <c r="I1707" i="2"/>
  <c r="A1707" i="2"/>
  <c r="K1706" i="2"/>
  <c r="J1706" i="2"/>
  <c r="I1706" i="2"/>
  <c r="A1706" i="2"/>
  <c r="K1705" i="2"/>
  <c r="J1705" i="2"/>
  <c r="I1705" i="2"/>
  <c r="A1705" i="2"/>
  <c r="K1704" i="2"/>
  <c r="J1704" i="2"/>
  <c r="I1704" i="2"/>
  <c r="A1704" i="2"/>
  <c r="K1703" i="2"/>
  <c r="J1703" i="2"/>
  <c r="I1703" i="2"/>
  <c r="A1703" i="2"/>
  <c r="K1702" i="2"/>
  <c r="J1702" i="2"/>
  <c r="I1702" i="2"/>
  <c r="A1702" i="2"/>
  <c r="K1701" i="2"/>
  <c r="J1701" i="2"/>
  <c r="I1701" i="2"/>
  <c r="A1701" i="2"/>
  <c r="K1700" i="2"/>
  <c r="J1700" i="2"/>
  <c r="I1700" i="2"/>
  <c r="A1700" i="2"/>
  <c r="K1699" i="2"/>
  <c r="J1699" i="2"/>
  <c r="I1699" i="2"/>
  <c r="A1699" i="2"/>
  <c r="K1698" i="2"/>
  <c r="J1698" i="2"/>
  <c r="I1698" i="2"/>
  <c r="A1698" i="2"/>
  <c r="K1697" i="2"/>
  <c r="J1697" i="2"/>
  <c r="I1697" i="2"/>
  <c r="A1697" i="2"/>
  <c r="K1696" i="2"/>
  <c r="J1696" i="2"/>
  <c r="I1696" i="2"/>
  <c r="A1696" i="2"/>
  <c r="K1695" i="2"/>
  <c r="J1695" i="2"/>
  <c r="I1695" i="2"/>
  <c r="A1695" i="2"/>
  <c r="K1694" i="2"/>
  <c r="J1694" i="2"/>
  <c r="I1694" i="2"/>
  <c r="A1694" i="2"/>
  <c r="K1693" i="2"/>
  <c r="J1693" i="2"/>
  <c r="I1693" i="2"/>
  <c r="A1693" i="2"/>
  <c r="K1692" i="2"/>
  <c r="J1692" i="2"/>
  <c r="I1692" i="2"/>
  <c r="A1692" i="2"/>
  <c r="K1691" i="2"/>
  <c r="J1691" i="2"/>
  <c r="I1691" i="2"/>
  <c r="A1691" i="2"/>
  <c r="K1690" i="2"/>
  <c r="J1690" i="2"/>
  <c r="I1690" i="2"/>
  <c r="A1690" i="2"/>
  <c r="K1689" i="2"/>
  <c r="J1689" i="2"/>
  <c r="I1689" i="2"/>
  <c r="A1689" i="2"/>
  <c r="K1688" i="2"/>
  <c r="J1688" i="2"/>
  <c r="I1688" i="2"/>
  <c r="A1688" i="2"/>
  <c r="K1687" i="2"/>
  <c r="J1687" i="2"/>
  <c r="I1687" i="2"/>
  <c r="A1687" i="2"/>
  <c r="K1686" i="2"/>
  <c r="J1686" i="2"/>
  <c r="I1686" i="2"/>
  <c r="A1686" i="2"/>
  <c r="K1685" i="2"/>
  <c r="J1685" i="2"/>
  <c r="I1685" i="2"/>
  <c r="A1685" i="2"/>
  <c r="K1684" i="2"/>
  <c r="J1684" i="2"/>
  <c r="I1684" i="2"/>
  <c r="A1684" i="2"/>
  <c r="K1683" i="2"/>
  <c r="J1683" i="2"/>
  <c r="I1683" i="2"/>
  <c r="A1683" i="2"/>
  <c r="K1682" i="2"/>
  <c r="J1682" i="2"/>
  <c r="I1682" i="2"/>
  <c r="A1682" i="2"/>
  <c r="K1681" i="2"/>
  <c r="J1681" i="2"/>
  <c r="I1681" i="2"/>
  <c r="A1681" i="2"/>
  <c r="K1680" i="2"/>
  <c r="J1680" i="2"/>
  <c r="I1680" i="2"/>
  <c r="A1680" i="2"/>
  <c r="K1679" i="2"/>
  <c r="J1679" i="2"/>
  <c r="I1679" i="2"/>
  <c r="A1679" i="2"/>
  <c r="K1678" i="2"/>
  <c r="J1678" i="2"/>
  <c r="I1678" i="2"/>
  <c r="A1678" i="2"/>
  <c r="K1677" i="2"/>
  <c r="J1677" i="2"/>
  <c r="I1677" i="2"/>
  <c r="A1677" i="2"/>
  <c r="K1676" i="2"/>
  <c r="J1676" i="2"/>
  <c r="I1676" i="2"/>
  <c r="A1676" i="2"/>
  <c r="K1675" i="2"/>
  <c r="J1675" i="2"/>
  <c r="I1675" i="2"/>
  <c r="A1675" i="2"/>
  <c r="K1674" i="2"/>
  <c r="J1674" i="2"/>
  <c r="I1674" i="2"/>
  <c r="A1674" i="2"/>
  <c r="K1673" i="2"/>
  <c r="J1673" i="2"/>
  <c r="I1673" i="2"/>
  <c r="A1673" i="2"/>
  <c r="K1672" i="2"/>
  <c r="J1672" i="2"/>
  <c r="I1672" i="2"/>
  <c r="A1672" i="2"/>
  <c r="K1671" i="2"/>
  <c r="J1671" i="2"/>
  <c r="I1671" i="2"/>
  <c r="A1671" i="2"/>
  <c r="K1670" i="2"/>
  <c r="J1670" i="2"/>
  <c r="I1670" i="2"/>
  <c r="A1670" i="2"/>
  <c r="K1669" i="2"/>
  <c r="J1669" i="2"/>
  <c r="I1669" i="2"/>
  <c r="A1669" i="2"/>
  <c r="K1668" i="2"/>
  <c r="J1668" i="2"/>
  <c r="I1668" i="2"/>
  <c r="A1668" i="2"/>
  <c r="K1667" i="2"/>
  <c r="J1667" i="2"/>
  <c r="I1667" i="2"/>
  <c r="A1667" i="2"/>
  <c r="K1666" i="2"/>
  <c r="J1666" i="2"/>
  <c r="I1666" i="2"/>
  <c r="A1666" i="2"/>
  <c r="K1665" i="2"/>
  <c r="J1665" i="2"/>
  <c r="I1665" i="2"/>
  <c r="A1665" i="2"/>
  <c r="K1664" i="2"/>
  <c r="J1664" i="2"/>
  <c r="I1664" i="2"/>
  <c r="A1664" i="2"/>
  <c r="K1663" i="2"/>
  <c r="J1663" i="2"/>
  <c r="I1663" i="2"/>
  <c r="A1663" i="2"/>
  <c r="K1662" i="2"/>
  <c r="J1662" i="2"/>
  <c r="I1662" i="2"/>
  <c r="A1662" i="2"/>
  <c r="K1661" i="2"/>
  <c r="J1661" i="2"/>
  <c r="I1661" i="2"/>
  <c r="A1661" i="2"/>
  <c r="K1660" i="2"/>
  <c r="J1660" i="2"/>
  <c r="I1660" i="2"/>
  <c r="A1660" i="2"/>
  <c r="K1659" i="2"/>
  <c r="J1659" i="2"/>
  <c r="I1659" i="2"/>
  <c r="A1659" i="2"/>
  <c r="K1658" i="2"/>
  <c r="J1658" i="2"/>
  <c r="I1658" i="2"/>
  <c r="A1658" i="2"/>
  <c r="K1657" i="2"/>
  <c r="J1657" i="2"/>
  <c r="I1657" i="2"/>
  <c r="A1657" i="2"/>
  <c r="K1656" i="2"/>
  <c r="J1656" i="2"/>
  <c r="I1656" i="2"/>
  <c r="A1656" i="2"/>
  <c r="K1655" i="2"/>
  <c r="J1655" i="2"/>
  <c r="I1655" i="2"/>
  <c r="A1655" i="2"/>
  <c r="K1654" i="2"/>
  <c r="J1654" i="2"/>
  <c r="I1654" i="2"/>
  <c r="A1654" i="2"/>
  <c r="K1653" i="2"/>
  <c r="J1653" i="2"/>
  <c r="I1653" i="2"/>
  <c r="A1653" i="2"/>
  <c r="K1652" i="2"/>
  <c r="J1652" i="2"/>
  <c r="I1652" i="2"/>
  <c r="A1652" i="2"/>
  <c r="K1651" i="2"/>
  <c r="J1651" i="2"/>
  <c r="I1651" i="2"/>
  <c r="A1651" i="2"/>
  <c r="K1650" i="2"/>
  <c r="J1650" i="2"/>
  <c r="I1650" i="2"/>
  <c r="A1650" i="2"/>
  <c r="K1649" i="2"/>
  <c r="J1649" i="2"/>
  <c r="I1649" i="2"/>
  <c r="A1649" i="2"/>
  <c r="K1648" i="2"/>
  <c r="J1648" i="2"/>
  <c r="I1648" i="2"/>
  <c r="A1648" i="2"/>
  <c r="K1647" i="2"/>
  <c r="J1647" i="2"/>
  <c r="I1647" i="2"/>
  <c r="A1647" i="2"/>
  <c r="K1646" i="2"/>
  <c r="J1646" i="2"/>
  <c r="I1646" i="2"/>
  <c r="A1646" i="2"/>
  <c r="K1645" i="2"/>
  <c r="J1645" i="2"/>
  <c r="I1645" i="2"/>
  <c r="A1645" i="2"/>
  <c r="K1644" i="2"/>
  <c r="J1644" i="2"/>
  <c r="I1644" i="2"/>
  <c r="A1644" i="2"/>
  <c r="K1643" i="2"/>
  <c r="J1643" i="2"/>
  <c r="I1643" i="2"/>
  <c r="A1643" i="2"/>
  <c r="K1642" i="2"/>
  <c r="J1642" i="2"/>
  <c r="I1642" i="2"/>
  <c r="A1642" i="2"/>
  <c r="K1641" i="2"/>
  <c r="J1641" i="2"/>
  <c r="I1641" i="2"/>
  <c r="A1641" i="2"/>
  <c r="K1640" i="2"/>
  <c r="J1640" i="2"/>
  <c r="I1640" i="2"/>
  <c r="A1640" i="2"/>
  <c r="K1639" i="2"/>
  <c r="J1639" i="2"/>
  <c r="I1639" i="2"/>
  <c r="A1639" i="2"/>
  <c r="K1638" i="2"/>
  <c r="J1638" i="2"/>
  <c r="I1638" i="2"/>
  <c r="A1638" i="2"/>
  <c r="K1637" i="2"/>
  <c r="J1637" i="2"/>
  <c r="I1637" i="2"/>
  <c r="A1637" i="2"/>
  <c r="K1636" i="2"/>
  <c r="J1636" i="2"/>
  <c r="I1636" i="2"/>
  <c r="A1636" i="2"/>
  <c r="K1635" i="2"/>
  <c r="J1635" i="2"/>
  <c r="I1635" i="2"/>
  <c r="A1635" i="2"/>
  <c r="K1634" i="2"/>
  <c r="J1634" i="2"/>
  <c r="I1634" i="2"/>
  <c r="A1634" i="2"/>
  <c r="K1633" i="2"/>
  <c r="J1633" i="2"/>
  <c r="I1633" i="2"/>
  <c r="A1633" i="2"/>
  <c r="K1632" i="2"/>
  <c r="J1632" i="2"/>
  <c r="I1632" i="2"/>
  <c r="A1632" i="2"/>
  <c r="K1631" i="2"/>
  <c r="J1631" i="2"/>
  <c r="I1631" i="2"/>
  <c r="A1631" i="2"/>
  <c r="K1630" i="2"/>
  <c r="J1630" i="2"/>
  <c r="I1630" i="2"/>
  <c r="A1630" i="2"/>
  <c r="K1629" i="2"/>
  <c r="J1629" i="2"/>
  <c r="I1629" i="2"/>
  <c r="A1629" i="2"/>
  <c r="K1628" i="2"/>
  <c r="J1628" i="2"/>
  <c r="I1628" i="2"/>
  <c r="A1628" i="2"/>
  <c r="K1627" i="2"/>
  <c r="J1627" i="2"/>
  <c r="I1627" i="2"/>
  <c r="A1627" i="2"/>
  <c r="K1626" i="2"/>
  <c r="J1626" i="2"/>
  <c r="I1626" i="2"/>
  <c r="A1626" i="2"/>
  <c r="K1625" i="2"/>
  <c r="J1625" i="2"/>
  <c r="I1625" i="2"/>
  <c r="A1625" i="2"/>
  <c r="K1624" i="2"/>
  <c r="J1624" i="2"/>
  <c r="I1624" i="2"/>
  <c r="A1624" i="2"/>
  <c r="K1623" i="2"/>
  <c r="J1623" i="2"/>
  <c r="I1623" i="2"/>
  <c r="A1623" i="2"/>
  <c r="K1622" i="2"/>
  <c r="J1622" i="2"/>
  <c r="I1622" i="2"/>
  <c r="A1622" i="2"/>
  <c r="K1621" i="2"/>
  <c r="J1621" i="2"/>
  <c r="I1621" i="2"/>
  <c r="A1621" i="2"/>
  <c r="K1620" i="2"/>
  <c r="J1620" i="2"/>
  <c r="I1620" i="2"/>
  <c r="A1620" i="2"/>
  <c r="K1619" i="2"/>
  <c r="J1619" i="2"/>
  <c r="I1619" i="2"/>
  <c r="A1619" i="2"/>
  <c r="K1618" i="2"/>
  <c r="J1618" i="2"/>
  <c r="I1618" i="2"/>
  <c r="A1618" i="2"/>
  <c r="K1617" i="2"/>
  <c r="J1617" i="2"/>
  <c r="I1617" i="2"/>
  <c r="A1617" i="2"/>
  <c r="K1616" i="2"/>
  <c r="J1616" i="2"/>
  <c r="I1616" i="2"/>
  <c r="A1616" i="2"/>
  <c r="K1615" i="2"/>
  <c r="J1615" i="2"/>
  <c r="I1615" i="2"/>
  <c r="A1615" i="2"/>
  <c r="K1614" i="2"/>
  <c r="J1614" i="2"/>
  <c r="I1614" i="2"/>
  <c r="A1614" i="2"/>
  <c r="K1613" i="2"/>
  <c r="J1613" i="2"/>
  <c r="I1613" i="2"/>
  <c r="A1613" i="2"/>
  <c r="K1612" i="2"/>
  <c r="J1612" i="2"/>
  <c r="I1612" i="2"/>
  <c r="A1612" i="2"/>
  <c r="K1611" i="2"/>
  <c r="J1611" i="2"/>
  <c r="I1611" i="2"/>
  <c r="A1611" i="2"/>
  <c r="K1610" i="2"/>
  <c r="J1610" i="2"/>
  <c r="I1610" i="2"/>
  <c r="A1610" i="2"/>
  <c r="K1609" i="2"/>
  <c r="J1609" i="2"/>
  <c r="I1609" i="2"/>
  <c r="A1609" i="2"/>
  <c r="K1608" i="2"/>
  <c r="J1608" i="2"/>
  <c r="I1608" i="2"/>
  <c r="A1608" i="2"/>
  <c r="K1607" i="2"/>
  <c r="J1607" i="2"/>
  <c r="I1607" i="2"/>
  <c r="A1607" i="2"/>
  <c r="K1606" i="2"/>
  <c r="J1606" i="2"/>
  <c r="I1606" i="2"/>
  <c r="A1606" i="2"/>
  <c r="K1605" i="2"/>
  <c r="J1605" i="2"/>
  <c r="I1605" i="2"/>
  <c r="A1605" i="2"/>
  <c r="K1604" i="2"/>
  <c r="J1604" i="2"/>
  <c r="I1604" i="2"/>
  <c r="A1604" i="2"/>
  <c r="K1603" i="2"/>
  <c r="J1603" i="2"/>
  <c r="I1603" i="2"/>
  <c r="A1603" i="2"/>
  <c r="K1602" i="2"/>
  <c r="J1602" i="2"/>
  <c r="I1602" i="2"/>
  <c r="A1602" i="2"/>
  <c r="K1601" i="2"/>
  <c r="J1601" i="2"/>
  <c r="I1601" i="2"/>
  <c r="A1601" i="2"/>
  <c r="K1600" i="2"/>
  <c r="J1600" i="2"/>
  <c r="I1600" i="2"/>
  <c r="A1600" i="2"/>
  <c r="K1599" i="2"/>
  <c r="J1599" i="2"/>
  <c r="I1599" i="2"/>
  <c r="A1599" i="2"/>
  <c r="K1598" i="2"/>
  <c r="J1598" i="2"/>
  <c r="I1598" i="2"/>
  <c r="A1598" i="2"/>
  <c r="K1597" i="2"/>
  <c r="J1597" i="2"/>
  <c r="I1597" i="2"/>
  <c r="A1597" i="2"/>
  <c r="K1596" i="2"/>
  <c r="J1596" i="2"/>
  <c r="I1596" i="2"/>
  <c r="A1596" i="2"/>
  <c r="K1595" i="2"/>
  <c r="J1595" i="2"/>
  <c r="I1595" i="2"/>
  <c r="A1595" i="2"/>
  <c r="K1594" i="2"/>
  <c r="J1594" i="2"/>
  <c r="I1594" i="2"/>
  <c r="A1594" i="2"/>
  <c r="K1593" i="2"/>
  <c r="J1593" i="2"/>
  <c r="I1593" i="2"/>
  <c r="A1593" i="2"/>
  <c r="K1592" i="2"/>
  <c r="J1592" i="2"/>
  <c r="I1592" i="2"/>
  <c r="A1592" i="2"/>
  <c r="K1591" i="2"/>
  <c r="J1591" i="2"/>
  <c r="I1591" i="2"/>
  <c r="A1591" i="2"/>
  <c r="K1590" i="2"/>
  <c r="J1590" i="2"/>
  <c r="I1590" i="2"/>
  <c r="A1590" i="2"/>
  <c r="K1589" i="2"/>
  <c r="J1589" i="2"/>
  <c r="I1589" i="2"/>
  <c r="A1589" i="2"/>
  <c r="K1588" i="2"/>
  <c r="J1588" i="2"/>
  <c r="I1588" i="2"/>
  <c r="A1588" i="2"/>
  <c r="K1587" i="2"/>
  <c r="J1587" i="2"/>
  <c r="I1587" i="2"/>
  <c r="A1587" i="2"/>
  <c r="K1586" i="2"/>
  <c r="J1586" i="2"/>
  <c r="I1586" i="2"/>
  <c r="A1586" i="2"/>
  <c r="K1585" i="2"/>
  <c r="J1585" i="2"/>
  <c r="I1585" i="2"/>
  <c r="A1585" i="2"/>
  <c r="K1584" i="2"/>
  <c r="J1584" i="2"/>
  <c r="I1584" i="2"/>
  <c r="A1584" i="2"/>
  <c r="K1583" i="2"/>
  <c r="J1583" i="2"/>
  <c r="I1583" i="2"/>
  <c r="A1583" i="2"/>
  <c r="K1582" i="2"/>
  <c r="J1582" i="2"/>
  <c r="I1582" i="2"/>
  <c r="A1582" i="2"/>
  <c r="K1581" i="2"/>
  <c r="J1581" i="2"/>
  <c r="I1581" i="2"/>
  <c r="A1581" i="2"/>
  <c r="K1580" i="2"/>
  <c r="J1580" i="2"/>
  <c r="I1580" i="2"/>
  <c r="A1580" i="2"/>
  <c r="K1579" i="2"/>
  <c r="J1579" i="2"/>
  <c r="I1579" i="2"/>
  <c r="A1579" i="2"/>
  <c r="K1578" i="2"/>
  <c r="J1578" i="2"/>
  <c r="I1578" i="2"/>
  <c r="A1578" i="2"/>
  <c r="K1577" i="2"/>
  <c r="J1577" i="2"/>
  <c r="I1577" i="2"/>
  <c r="A1577" i="2"/>
  <c r="K1576" i="2"/>
  <c r="J1576" i="2"/>
  <c r="I1576" i="2"/>
  <c r="A1576" i="2"/>
  <c r="K1575" i="2"/>
  <c r="J1575" i="2"/>
  <c r="I1575" i="2"/>
  <c r="A1575" i="2"/>
  <c r="K1574" i="2"/>
  <c r="J1574" i="2"/>
  <c r="I1574" i="2"/>
  <c r="A1574" i="2"/>
  <c r="K1573" i="2"/>
  <c r="J1573" i="2"/>
  <c r="I1573" i="2"/>
  <c r="A1573" i="2"/>
  <c r="K1572" i="2"/>
  <c r="J1572" i="2"/>
  <c r="I1572" i="2"/>
  <c r="A1572" i="2"/>
  <c r="K1571" i="2"/>
  <c r="J1571" i="2"/>
  <c r="I1571" i="2"/>
  <c r="A1571" i="2"/>
  <c r="K1570" i="2"/>
  <c r="J1570" i="2"/>
  <c r="I1570" i="2"/>
  <c r="A1570" i="2"/>
  <c r="K1569" i="2"/>
  <c r="J1569" i="2"/>
  <c r="I1569" i="2"/>
  <c r="A1569" i="2"/>
  <c r="K1568" i="2"/>
  <c r="J1568" i="2"/>
  <c r="I1568" i="2"/>
  <c r="A1568" i="2"/>
  <c r="K1567" i="2"/>
  <c r="J1567" i="2"/>
  <c r="I1567" i="2"/>
  <c r="A1567" i="2"/>
  <c r="K1566" i="2"/>
  <c r="J1566" i="2"/>
  <c r="I1566" i="2"/>
  <c r="A1566" i="2"/>
  <c r="K1565" i="2"/>
  <c r="J1565" i="2"/>
  <c r="I1565" i="2"/>
  <c r="A1565" i="2"/>
  <c r="K1564" i="2"/>
  <c r="J1564" i="2"/>
  <c r="I1564" i="2"/>
  <c r="A1564" i="2"/>
  <c r="K1563" i="2"/>
  <c r="J1563" i="2"/>
  <c r="I1563" i="2"/>
  <c r="A1563" i="2"/>
  <c r="K1562" i="2"/>
  <c r="J1562" i="2"/>
  <c r="I1562" i="2"/>
  <c r="A1562" i="2"/>
  <c r="K1561" i="2"/>
  <c r="J1561" i="2"/>
  <c r="I1561" i="2"/>
  <c r="A1561" i="2"/>
  <c r="K1560" i="2"/>
  <c r="J1560" i="2"/>
  <c r="I1560" i="2"/>
  <c r="A1560" i="2"/>
  <c r="K1559" i="2"/>
  <c r="J1559" i="2"/>
  <c r="I1559" i="2"/>
  <c r="A1559" i="2"/>
  <c r="K1558" i="2"/>
  <c r="J1558" i="2"/>
  <c r="I1558" i="2"/>
  <c r="A1558" i="2"/>
  <c r="K1557" i="2"/>
  <c r="J1557" i="2"/>
  <c r="I1557" i="2"/>
  <c r="A1557" i="2"/>
  <c r="K1556" i="2"/>
  <c r="J1556" i="2"/>
  <c r="I1556" i="2"/>
  <c r="A1556" i="2"/>
  <c r="K1555" i="2"/>
  <c r="J1555" i="2"/>
  <c r="I1555" i="2"/>
  <c r="A1555" i="2"/>
  <c r="K1554" i="2"/>
  <c r="J1554" i="2"/>
  <c r="I1554" i="2"/>
  <c r="A1554" i="2"/>
  <c r="K1553" i="2"/>
  <c r="J1553" i="2"/>
  <c r="I1553" i="2"/>
  <c r="A1553" i="2"/>
  <c r="K1552" i="2"/>
  <c r="J1552" i="2"/>
  <c r="I1552" i="2"/>
  <c r="A1552" i="2"/>
  <c r="K1551" i="2"/>
  <c r="J1551" i="2"/>
  <c r="I1551" i="2"/>
  <c r="A1551" i="2"/>
  <c r="K1550" i="2"/>
  <c r="J1550" i="2"/>
  <c r="I1550" i="2"/>
  <c r="A1550" i="2"/>
  <c r="K1549" i="2"/>
  <c r="J1549" i="2"/>
  <c r="I1549" i="2"/>
  <c r="A1549" i="2"/>
  <c r="K1548" i="2"/>
  <c r="J1548" i="2"/>
  <c r="I1548" i="2"/>
  <c r="A1548" i="2"/>
  <c r="K1547" i="2"/>
  <c r="J1547" i="2"/>
  <c r="I1547" i="2"/>
  <c r="A1547" i="2"/>
  <c r="K1546" i="2"/>
  <c r="J1546" i="2"/>
  <c r="I1546" i="2"/>
  <c r="A1546" i="2"/>
  <c r="K1545" i="2"/>
  <c r="J1545" i="2"/>
  <c r="I1545" i="2"/>
  <c r="A1545" i="2"/>
  <c r="K1544" i="2"/>
  <c r="J1544" i="2"/>
  <c r="I1544" i="2"/>
  <c r="A1544" i="2"/>
  <c r="K1543" i="2"/>
  <c r="J1543" i="2"/>
  <c r="I1543" i="2"/>
  <c r="A1543" i="2"/>
  <c r="K1542" i="2"/>
  <c r="J1542" i="2"/>
  <c r="I1542" i="2"/>
  <c r="A1542" i="2"/>
  <c r="K1541" i="2"/>
  <c r="J1541" i="2"/>
  <c r="I1541" i="2"/>
  <c r="A1541" i="2"/>
  <c r="K1540" i="2"/>
  <c r="J1540" i="2"/>
  <c r="I1540" i="2"/>
  <c r="A1540" i="2"/>
  <c r="K1539" i="2"/>
  <c r="J1539" i="2"/>
  <c r="I1539" i="2"/>
  <c r="A1539" i="2"/>
  <c r="K1538" i="2"/>
  <c r="J1538" i="2"/>
  <c r="I1538" i="2"/>
  <c r="A1538" i="2"/>
  <c r="K1537" i="2"/>
  <c r="J1537" i="2"/>
  <c r="I1537" i="2"/>
  <c r="A1537" i="2"/>
  <c r="K1536" i="2"/>
  <c r="J1536" i="2"/>
  <c r="I1536" i="2"/>
  <c r="A1536" i="2"/>
  <c r="K1535" i="2"/>
  <c r="J1535" i="2"/>
  <c r="I1535" i="2"/>
  <c r="A1535" i="2"/>
  <c r="K1534" i="2"/>
  <c r="J1534" i="2"/>
  <c r="I1534" i="2"/>
  <c r="A1534" i="2"/>
  <c r="K1533" i="2"/>
  <c r="J1533" i="2"/>
  <c r="I1533" i="2"/>
  <c r="A1533" i="2"/>
  <c r="K1532" i="2"/>
  <c r="J1532" i="2"/>
  <c r="I1532" i="2"/>
  <c r="A1532" i="2"/>
  <c r="K1531" i="2"/>
  <c r="J1531" i="2"/>
  <c r="I1531" i="2"/>
  <c r="A1531" i="2"/>
  <c r="K1530" i="2"/>
  <c r="J1530" i="2"/>
  <c r="I1530" i="2"/>
  <c r="A1530" i="2"/>
  <c r="K1529" i="2"/>
  <c r="J1529" i="2"/>
  <c r="I1529" i="2"/>
  <c r="A1529" i="2"/>
  <c r="K1528" i="2"/>
  <c r="J1528" i="2"/>
  <c r="I1528" i="2"/>
  <c r="A1528" i="2"/>
  <c r="K1527" i="2"/>
  <c r="J1527" i="2"/>
  <c r="I1527" i="2"/>
  <c r="A1527" i="2"/>
  <c r="K1526" i="2"/>
  <c r="J1526" i="2"/>
  <c r="I1526" i="2"/>
  <c r="A1526" i="2"/>
  <c r="K1525" i="2"/>
  <c r="J1525" i="2"/>
  <c r="I1525" i="2"/>
  <c r="A1525" i="2"/>
  <c r="K1524" i="2"/>
  <c r="J1524" i="2"/>
  <c r="I1524" i="2"/>
  <c r="A1524" i="2"/>
  <c r="K1523" i="2"/>
  <c r="J1523" i="2"/>
  <c r="I1523" i="2"/>
  <c r="A1523" i="2"/>
  <c r="K1522" i="2"/>
  <c r="J1522" i="2"/>
  <c r="I1522" i="2"/>
  <c r="A1522" i="2"/>
  <c r="K1521" i="2"/>
  <c r="J1521" i="2"/>
  <c r="I1521" i="2"/>
  <c r="A1521" i="2"/>
  <c r="K1520" i="2"/>
  <c r="J1520" i="2"/>
  <c r="I1520" i="2"/>
  <c r="A1520" i="2"/>
  <c r="K1519" i="2"/>
  <c r="J1519" i="2"/>
  <c r="I1519" i="2"/>
  <c r="A1519" i="2"/>
  <c r="K1518" i="2"/>
  <c r="J1518" i="2"/>
  <c r="I1518" i="2"/>
  <c r="A1518" i="2"/>
  <c r="K1517" i="2"/>
  <c r="J1517" i="2"/>
  <c r="I1517" i="2"/>
  <c r="A1517" i="2"/>
  <c r="K1516" i="2"/>
  <c r="J1516" i="2"/>
  <c r="I1516" i="2"/>
  <c r="A1516" i="2"/>
  <c r="K1515" i="2"/>
  <c r="J1515" i="2"/>
  <c r="I1515" i="2"/>
  <c r="A1515" i="2"/>
  <c r="K1514" i="2"/>
  <c r="J1514" i="2"/>
  <c r="I1514" i="2"/>
  <c r="A1514" i="2"/>
  <c r="K1513" i="2"/>
  <c r="J1513" i="2"/>
  <c r="I1513" i="2"/>
  <c r="A1513" i="2"/>
  <c r="K1512" i="2"/>
  <c r="J1512" i="2"/>
  <c r="I1512" i="2"/>
  <c r="A1512" i="2"/>
  <c r="K1511" i="2"/>
  <c r="J1511" i="2"/>
  <c r="I1511" i="2"/>
  <c r="A1511" i="2"/>
  <c r="K1510" i="2"/>
  <c r="J1510" i="2"/>
  <c r="I1510" i="2"/>
  <c r="A1510" i="2"/>
  <c r="K1509" i="2"/>
  <c r="J1509" i="2"/>
  <c r="I1509" i="2"/>
  <c r="A1509" i="2"/>
  <c r="K1508" i="2"/>
  <c r="J1508" i="2"/>
  <c r="I1508" i="2"/>
  <c r="A1508" i="2"/>
  <c r="K1507" i="2"/>
  <c r="J1507" i="2"/>
  <c r="I1507" i="2"/>
  <c r="A1507" i="2"/>
  <c r="K1506" i="2"/>
  <c r="J1506" i="2"/>
  <c r="I1506" i="2"/>
  <c r="A1506" i="2"/>
  <c r="K1505" i="2"/>
  <c r="J1505" i="2"/>
  <c r="I1505" i="2"/>
  <c r="A1505" i="2"/>
  <c r="K1504" i="2"/>
  <c r="J1504" i="2"/>
  <c r="I1504" i="2"/>
  <c r="A1504" i="2"/>
  <c r="K1503" i="2"/>
  <c r="J1503" i="2"/>
  <c r="I1503" i="2"/>
  <c r="A1503" i="2"/>
  <c r="K1502" i="2"/>
  <c r="J1502" i="2"/>
  <c r="I1502" i="2"/>
  <c r="A1502" i="2"/>
  <c r="K1501" i="2"/>
  <c r="J1501" i="2"/>
  <c r="I1501" i="2"/>
  <c r="A1501" i="2"/>
  <c r="K1500" i="2"/>
  <c r="J1500" i="2"/>
  <c r="I1500" i="2"/>
  <c r="A1500" i="2"/>
  <c r="K1499" i="2"/>
  <c r="J1499" i="2"/>
  <c r="I1499" i="2"/>
  <c r="A1499" i="2"/>
  <c r="K1498" i="2"/>
  <c r="J1498" i="2"/>
  <c r="I1498" i="2"/>
  <c r="A1498" i="2"/>
  <c r="K1497" i="2"/>
  <c r="J1497" i="2"/>
  <c r="I1497" i="2"/>
  <c r="A1497" i="2"/>
  <c r="K1496" i="2"/>
  <c r="J1496" i="2"/>
  <c r="I1496" i="2"/>
  <c r="A1496" i="2"/>
  <c r="K1495" i="2"/>
  <c r="J1495" i="2"/>
  <c r="I1495" i="2"/>
  <c r="A1495" i="2"/>
  <c r="K1494" i="2"/>
  <c r="J1494" i="2"/>
  <c r="I1494" i="2"/>
  <c r="A1494" i="2"/>
  <c r="K1493" i="2"/>
  <c r="J1493" i="2"/>
  <c r="I1493" i="2"/>
  <c r="A1493" i="2"/>
  <c r="K1492" i="2"/>
  <c r="J1492" i="2"/>
  <c r="I1492" i="2"/>
  <c r="A1492" i="2"/>
  <c r="K1491" i="2"/>
  <c r="J1491" i="2"/>
  <c r="I1491" i="2"/>
  <c r="A1491" i="2"/>
  <c r="K1490" i="2"/>
  <c r="J1490" i="2"/>
  <c r="I1490" i="2"/>
  <c r="A1490" i="2"/>
  <c r="K1489" i="2"/>
  <c r="J1489" i="2"/>
  <c r="I1489" i="2"/>
  <c r="A1489" i="2"/>
  <c r="K1488" i="2"/>
  <c r="J1488" i="2"/>
  <c r="I1488" i="2"/>
  <c r="A1488" i="2"/>
  <c r="K1487" i="2"/>
  <c r="J1487" i="2"/>
  <c r="I1487" i="2"/>
  <c r="A1487" i="2"/>
  <c r="K1486" i="2"/>
  <c r="J1486" i="2"/>
  <c r="I1486" i="2"/>
  <c r="A1486" i="2"/>
  <c r="K1485" i="2"/>
  <c r="J1485" i="2"/>
  <c r="I1485" i="2"/>
  <c r="A1485" i="2"/>
  <c r="K1484" i="2"/>
  <c r="J1484" i="2"/>
  <c r="I1484" i="2"/>
  <c r="A1484" i="2"/>
  <c r="K1483" i="2"/>
  <c r="J1483" i="2"/>
  <c r="I1483" i="2"/>
  <c r="A1483" i="2"/>
  <c r="K1482" i="2"/>
  <c r="J1482" i="2"/>
  <c r="I1482" i="2"/>
  <c r="A1482" i="2"/>
  <c r="K1481" i="2"/>
  <c r="J1481" i="2"/>
  <c r="I1481" i="2"/>
  <c r="A1481" i="2"/>
  <c r="K1480" i="2"/>
  <c r="J1480" i="2"/>
  <c r="I1480" i="2"/>
  <c r="A1480" i="2"/>
  <c r="K1479" i="2"/>
  <c r="J1479" i="2"/>
  <c r="I1479" i="2"/>
  <c r="A1479" i="2"/>
  <c r="K1478" i="2"/>
  <c r="J1478" i="2"/>
  <c r="I1478" i="2"/>
  <c r="A1478" i="2"/>
  <c r="K1477" i="2"/>
  <c r="J1477" i="2"/>
  <c r="I1477" i="2"/>
  <c r="A1477" i="2"/>
  <c r="K1476" i="2"/>
  <c r="J1476" i="2"/>
  <c r="I1476" i="2"/>
  <c r="A1476" i="2"/>
  <c r="K1475" i="2"/>
  <c r="J1475" i="2"/>
  <c r="I1475" i="2"/>
  <c r="A1475" i="2"/>
  <c r="K1474" i="2"/>
  <c r="J1474" i="2"/>
  <c r="I1474" i="2"/>
  <c r="A1474" i="2"/>
  <c r="K1473" i="2"/>
  <c r="J1473" i="2"/>
  <c r="I1473" i="2"/>
  <c r="A1473" i="2"/>
  <c r="K1472" i="2"/>
  <c r="J1472" i="2"/>
  <c r="I1472" i="2"/>
  <c r="A1472" i="2"/>
  <c r="K1471" i="2"/>
  <c r="J1471" i="2"/>
  <c r="I1471" i="2"/>
  <c r="A1471" i="2"/>
  <c r="K1470" i="2"/>
  <c r="J1470" i="2"/>
  <c r="I1470" i="2"/>
  <c r="A1470" i="2"/>
  <c r="K1469" i="2"/>
  <c r="J1469" i="2"/>
  <c r="I1469" i="2"/>
  <c r="A1469" i="2"/>
  <c r="K1468" i="2"/>
  <c r="J1468" i="2"/>
  <c r="I1468" i="2"/>
  <c r="A1468" i="2"/>
  <c r="K1467" i="2"/>
  <c r="J1467" i="2"/>
  <c r="I1467" i="2"/>
  <c r="A1467" i="2"/>
  <c r="K1466" i="2"/>
  <c r="J1466" i="2"/>
  <c r="I1466" i="2"/>
  <c r="A1466" i="2"/>
  <c r="K1465" i="2"/>
  <c r="J1465" i="2"/>
  <c r="I1465" i="2"/>
  <c r="A1465" i="2"/>
  <c r="K1464" i="2"/>
  <c r="J1464" i="2"/>
  <c r="I1464" i="2"/>
  <c r="A1464" i="2"/>
  <c r="K1463" i="2"/>
  <c r="J1463" i="2"/>
  <c r="I1463" i="2"/>
  <c r="A1463" i="2"/>
  <c r="K1462" i="2"/>
  <c r="J1462" i="2"/>
  <c r="I1462" i="2"/>
  <c r="A1462" i="2"/>
  <c r="K1461" i="2"/>
  <c r="J1461" i="2"/>
  <c r="I1461" i="2"/>
  <c r="A1461" i="2"/>
  <c r="K1460" i="2"/>
  <c r="J1460" i="2"/>
  <c r="I1460" i="2"/>
  <c r="A1460" i="2"/>
  <c r="K1459" i="2"/>
  <c r="J1459" i="2"/>
  <c r="I1459" i="2"/>
  <c r="A1459" i="2"/>
  <c r="K1458" i="2"/>
  <c r="J1458" i="2"/>
  <c r="I1458" i="2"/>
  <c r="A1458" i="2"/>
  <c r="K1457" i="2"/>
  <c r="J1457" i="2"/>
  <c r="I1457" i="2"/>
  <c r="A1457" i="2"/>
  <c r="K1456" i="2"/>
  <c r="J1456" i="2"/>
  <c r="I1456" i="2"/>
  <c r="A1456" i="2"/>
  <c r="K1455" i="2"/>
  <c r="J1455" i="2"/>
  <c r="I1455" i="2"/>
  <c r="A1455" i="2"/>
  <c r="K1454" i="2"/>
  <c r="J1454" i="2"/>
  <c r="I1454" i="2"/>
  <c r="A1454" i="2"/>
  <c r="K1453" i="2"/>
  <c r="J1453" i="2"/>
  <c r="I1453" i="2"/>
  <c r="A1453" i="2"/>
  <c r="K1452" i="2"/>
  <c r="J1452" i="2"/>
  <c r="I1452" i="2"/>
  <c r="A1452" i="2"/>
  <c r="K1451" i="2"/>
  <c r="J1451" i="2"/>
  <c r="I1451" i="2"/>
  <c r="A1451" i="2"/>
  <c r="K1450" i="2"/>
  <c r="J1450" i="2"/>
  <c r="I1450" i="2"/>
  <c r="A1450" i="2"/>
  <c r="K1449" i="2"/>
  <c r="J1449" i="2"/>
  <c r="I1449" i="2"/>
  <c r="A1449" i="2"/>
  <c r="K1448" i="2"/>
  <c r="J1448" i="2"/>
  <c r="I1448" i="2"/>
  <c r="A1448" i="2"/>
  <c r="K1447" i="2"/>
  <c r="J1447" i="2"/>
  <c r="I1447" i="2"/>
  <c r="A1447" i="2"/>
  <c r="K1446" i="2"/>
  <c r="J1446" i="2"/>
  <c r="I1446" i="2"/>
  <c r="A1446" i="2"/>
  <c r="K1445" i="2"/>
  <c r="J1445" i="2"/>
  <c r="I1445" i="2"/>
  <c r="A1445" i="2"/>
  <c r="K1444" i="2"/>
  <c r="J1444" i="2"/>
  <c r="I1444" i="2"/>
  <c r="A1444" i="2"/>
  <c r="K1443" i="2"/>
  <c r="J1443" i="2"/>
  <c r="I1443" i="2"/>
  <c r="A1443" i="2"/>
  <c r="K1442" i="2"/>
  <c r="J1442" i="2"/>
  <c r="I1442" i="2"/>
  <c r="A1442" i="2"/>
  <c r="K1441" i="2"/>
  <c r="J1441" i="2"/>
  <c r="I1441" i="2"/>
  <c r="A1441" i="2"/>
  <c r="K1440" i="2"/>
  <c r="J1440" i="2"/>
  <c r="I1440" i="2"/>
  <c r="A1440" i="2"/>
  <c r="K1439" i="2"/>
  <c r="J1439" i="2"/>
  <c r="I1439" i="2"/>
  <c r="A1439" i="2"/>
  <c r="K1438" i="2"/>
  <c r="J1438" i="2"/>
  <c r="I1438" i="2"/>
  <c r="A1438" i="2"/>
  <c r="K1437" i="2"/>
  <c r="J1437" i="2"/>
  <c r="I1437" i="2"/>
  <c r="A1437" i="2"/>
  <c r="K1436" i="2"/>
  <c r="J1436" i="2"/>
  <c r="I1436" i="2"/>
  <c r="A1436" i="2"/>
  <c r="K1435" i="2"/>
  <c r="J1435" i="2"/>
  <c r="I1435" i="2"/>
  <c r="A1435" i="2"/>
  <c r="K1434" i="2"/>
  <c r="J1434" i="2"/>
  <c r="I1434" i="2"/>
  <c r="A1434" i="2"/>
  <c r="K1433" i="2"/>
  <c r="J1433" i="2"/>
  <c r="I1433" i="2"/>
  <c r="A1433" i="2"/>
  <c r="K1432" i="2"/>
  <c r="J1432" i="2"/>
  <c r="I1432" i="2"/>
  <c r="A1432" i="2"/>
  <c r="K1431" i="2"/>
  <c r="J1431" i="2"/>
  <c r="I1431" i="2"/>
  <c r="A1431" i="2"/>
  <c r="K1430" i="2"/>
  <c r="J1430" i="2"/>
  <c r="I1430" i="2"/>
  <c r="A1430" i="2"/>
  <c r="K1429" i="2"/>
  <c r="J1429" i="2"/>
  <c r="I1429" i="2"/>
  <c r="A1429" i="2"/>
  <c r="K1428" i="2"/>
  <c r="J1428" i="2"/>
  <c r="I1428" i="2"/>
  <c r="A1428" i="2"/>
  <c r="K1427" i="2"/>
  <c r="J1427" i="2"/>
  <c r="I1427" i="2"/>
  <c r="A1427" i="2"/>
  <c r="K1426" i="2"/>
  <c r="J1426" i="2"/>
  <c r="I1426" i="2"/>
  <c r="A1426" i="2"/>
  <c r="K1425" i="2"/>
  <c r="J1425" i="2"/>
  <c r="I1425" i="2"/>
  <c r="A1425" i="2"/>
  <c r="K1424" i="2"/>
  <c r="J1424" i="2"/>
  <c r="I1424" i="2"/>
  <c r="A1424" i="2"/>
  <c r="K1423" i="2"/>
  <c r="J1423" i="2"/>
  <c r="I1423" i="2"/>
  <c r="A1423" i="2"/>
  <c r="K1422" i="2"/>
  <c r="J1422" i="2"/>
  <c r="I1422" i="2"/>
  <c r="A1422" i="2"/>
  <c r="K1421" i="2"/>
  <c r="J1421" i="2"/>
  <c r="I1421" i="2"/>
  <c r="A1421" i="2"/>
  <c r="K1420" i="2"/>
  <c r="J1420" i="2"/>
  <c r="I1420" i="2"/>
  <c r="A1420" i="2"/>
  <c r="K1419" i="2"/>
  <c r="J1419" i="2"/>
  <c r="I1419" i="2"/>
  <c r="A1419" i="2"/>
  <c r="K1418" i="2"/>
  <c r="J1418" i="2"/>
  <c r="I1418" i="2"/>
  <c r="A1418" i="2"/>
  <c r="K1417" i="2"/>
  <c r="J1417" i="2"/>
  <c r="I1417" i="2"/>
  <c r="A1417" i="2"/>
  <c r="K1416" i="2"/>
  <c r="J1416" i="2"/>
  <c r="I1416" i="2"/>
  <c r="A1416" i="2"/>
  <c r="K1415" i="2"/>
  <c r="J1415" i="2"/>
  <c r="I1415" i="2"/>
  <c r="A1415" i="2"/>
  <c r="K1414" i="2"/>
  <c r="J1414" i="2"/>
  <c r="I1414" i="2"/>
  <c r="A1414" i="2"/>
  <c r="K1413" i="2"/>
  <c r="J1413" i="2"/>
  <c r="I1413" i="2"/>
  <c r="A1413" i="2"/>
  <c r="K1412" i="2"/>
  <c r="J1412" i="2"/>
  <c r="I1412" i="2"/>
  <c r="A1412" i="2"/>
  <c r="K1411" i="2"/>
  <c r="J1411" i="2"/>
  <c r="I1411" i="2"/>
  <c r="A1411" i="2"/>
  <c r="K1410" i="2"/>
  <c r="J1410" i="2"/>
  <c r="I1410" i="2"/>
  <c r="A1410" i="2"/>
  <c r="K1409" i="2"/>
  <c r="J1409" i="2"/>
  <c r="I1409" i="2"/>
  <c r="A1409" i="2"/>
  <c r="K1408" i="2"/>
  <c r="J1408" i="2"/>
  <c r="I1408" i="2"/>
  <c r="A1408" i="2"/>
  <c r="K1407" i="2"/>
  <c r="J1407" i="2"/>
  <c r="I1407" i="2"/>
  <c r="A1407" i="2"/>
  <c r="K1406" i="2"/>
  <c r="J1406" i="2"/>
  <c r="I1406" i="2"/>
  <c r="A1406" i="2"/>
  <c r="K1405" i="2"/>
  <c r="J1405" i="2"/>
  <c r="I1405" i="2"/>
  <c r="A1405" i="2"/>
  <c r="K1404" i="2"/>
  <c r="J1404" i="2"/>
  <c r="I1404" i="2"/>
  <c r="A1404" i="2"/>
  <c r="K1403" i="2"/>
  <c r="J1403" i="2"/>
  <c r="I1403" i="2"/>
  <c r="A1403" i="2"/>
  <c r="K1402" i="2"/>
  <c r="J1402" i="2"/>
  <c r="I1402" i="2"/>
  <c r="A1402" i="2"/>
  <c r="K1401" i="2"/>
  <c r="J1401" i="2"/>
  <c r="I1401" i="2"/>
  <c r="A1401" i="2"/>
  <c r="K1400" i="2"/>
  <c r="J1400" i="2"/>
  <c r="I1400" i="2"/>
  <c r="A1400" i="2"/>
  <c r="K1399" i="2"/>
  <c r="J1399" i="2"/>
  <c r="I1399" i="2"/>
  <c r="A1399" i="2"/>
  <c r="K1398" i="2"/>
  <c r="J1398" i="2"/>
  <c r="I1398" i="2"/>
  <c r="A1398" i="2"/>
  <c r="K1397" i="2"/>
  <c r="J1397" i="2"/>
  <c r="I1397" i="2"/>
  <c r="A1397" i="2"/>
  <c r="K1396" i="2"/>
  <c r="J1396" i="2"/>
  <c r="I1396" i="2"/>
  <c r="A1396" i="2"/>
  <c r="K1395" i="2"/>
  <c r="J1395" i="2"/>
  <c r="I1395" i="2"/>
  <c r="A1395" i="2"/>
  <c r="K1394" i="2"/>
  <c r="J1394" i="2"/>
  <c r="I1394" i="2"/>
  <c r="A1394" i="2"/>
  <c r="K1393" i="2"/>
  <c r="J1393" i="2"/>
  <c r="I1393" i="2"/>
  <c r="A1393" i="2"/>
  <c r="K1392" i="2"/>
  <c r="J1392" i="2"/>
  <c r="I1392" i="2"/>
  <c r="A1392" i="2"/>
  <c r="K1391" i="2"/>
  <c r="J1391" i="2"/>
  <c r="I1391" i="2"/>
  <c r="A1391" i="2"/>
  <c r="K1390" i="2"/>
  <c r="J1390" i="2"/>
  <c r="I1390" i="2"/>
  <c r="A1390" i="2"/>
  <c r="K1389" i="2"/>
  <c r="J1389" i="2"/>
  <c r="I1389" i="2"/>
  <c r="A1389" i="2"/>
  <c r="K1388" i="2"/>
  <c r="J1388" i="2"/>
  <c r="I1388" i="2"/>
  <c r="A1388" i="2"/>
  <c r="K1387" i="2"/>
  <c r="J1387" i="2"/>
  <c r="I1387" i="2"/>
  <c r="A1387" i="2"/>
  <c r="K1386" i="2"/>
  <c r="J1386" i="2"/>
  <c r="I1386" i="2"/>
  <c r="A1386" i="2"/>
  <c r="K1385" i="2"/>
  <c r="J1385" i="2"/>
  <c r="I1385" i="2"/>
  <c r="A1385" i="2"/>
  <c r="K1384" i="2"/>
  <c r="J1384" i="2"/>
  <c r="I1384" i="2"/>
  <c r="A1384" i="2"/>
  <c r="K1383" i="2"/>
  <c r="J1383" i="2"/>
  <c r="I1383" i="2"/>
  <c r="A1383" i="2"/>
  <c r="K1382" i="2"/>
  <c r="J1382" i="2"/>
  <c r="I1382" i="2"/>
  <c r="A1382" i="2"/>
  <c r="K1381" i="2"/>
  <c r="J1381" i="2"/>
  <c r="I1381" i="2"/>
  <c r="A1381" i="2"/>
  <c r="K1380" i="2"/>
  <c r="J1380" i="2"/>
  <c r="I1380" i="2"/>
  <c r="A1380" i="2"/>
  <c r="K1379" i="2"/>
  <c r="J1379" i="2"/>
  <c r="I1379" i="2"/>
  <c r="A1379" i="2"/>
  <c r="K1378" i="2"/>
  <c r="J1378" i="2"/>
  <c r="I1378" i="2"/>
  <c r="A1378" i="2"/>
  <c r="K1377" i="2"/>
  <c r="J1377" i="2"/>
  <c r="I1377" i="2"/>
  <c r="A1377" i="2"/>
  <c r="K1376" i="2"/>
  <c r="J1376" i="2"/>
  <c r="I1376" i="2"/>
  <c r="A1376" i="2"/>
  <c r="K1375" i="2"/>
  <c r="J1375" i="2"/>
  <c r="I1375" i="2"/>
  <c r="A1375" i="2"/>
  <c r="K1374" i="2"/>
  <c r="J1374" i="2"/>
  <c r="I1374" i="2"/>
  <c r="A1374" i="2"/>
  <c r="K1373" i="2"/>
  <c r="J1373" i="2"/>
  <c r="I1373" i="2"/>
  <c r="A1373" i="2"/>
  <c r="K1372" i="2"/>
  <c r="J1372" i="2"/>
  <c r="I1372" i="2"/>
  <c r="A1372" i="2"/>
  <c r="K1371" i="2"/>
  <c r="J1371" i="2"/>
  <c r="I1371" i="2"/>
  <c r="A1371" i="2"/>
  <c r="K1370" i="2"/>
  <c r="J1370" i="2"/>
  <c r="I1370" i="2"/>
  <c r="A1370" i="2"/>
  <c r="K1369" i="2"/>
  <c r="J1369" i="2"/>
  <c r="I1369" i="2"/>
  <c r="A1369" i="2"/>
  <c r="K1368" i="2"/>
  <c r="J1368" i="2"/>
  <c r="I1368" i="2"/>
  <c r="A1368" i="2"/>
  <c r="K1367" i="2"/>
  <c r="J1367" i="2"/>
  <c r="I1367" i="2"/>
  <c r="A1367" i="2"/>
  <c r="K1366" i="2"/>
  <c r="J1366" i="2"/>
  <c r="I1366" i="2"/>
  <c r="A1366" i="2"/>
  <c r="K1365" i="2"/>
  <c r="J1365" i="2"/>
  <c r="I1365" i="2"/>
  <c r="A1365" i="2"/>
  <c r="K1364" i="2"/>
  <c r="J1364" i="2"/>
  <c r="I1364" i="2"/>
  <c r="A1364" i="2"/>
  <c r="K1363" i="2"/>
  <c r="J1363" i="2"/>
  <c r="I1363" i="2"/>
  <c r="A1363" i="2"/>
  <c r="K1362" i="2"/>
  <c r="J1362" i="2"/>
  <c r="I1362" i="2"/>
  <c r="A1362" i="2"/>
  <c r="K1361" i="2"/>
  <c r="J1361" i="2"/>
  <c r="I1361" i="2"/>
  <c r="A1361" i="2"/>
  <c r="K1360" i="2"/>
  <c r="J1360" i="2"/>
  <c r="I1360" i="2"/>
  <c r="A1360" i="2"/>
  <c r="K1359" i="2"/>
  <c r="J1359" i="2"/>
  <c r="I1359" i="2"/>
  <c r="A1359" i="2"/>
  <c r="K1358" i="2"/>
  <c r="J1358" i="2"/>
  <c r="I1358" i="2"/>
  <c r="A1358" i="2"/>
  <c r="K1357" i="2"/>
  <c r="J1357" i="2"/>
  <c r="I1357" i="2"/>
  <c r="A1357" i="2"/>
  <c r="K1356" i="2"/>
  <c r="J1356" i="2"/>
  <c r="I1356" i="2"/>
  <c r="A1356" i="2"/>
  <c r="K1355" i="2"/>
  <c r="J1355" i="2"/>
  <c r="I1355" i="2"/>
  <c r="A1355" i="2"/>
  <c r="K1354" i="2"/>
  <c r="J1354" i="2"/>
  <c r="I1354" i="2"/>
  <c r="A1354" i="2"/>
  <c r="K1353" i="2"/>
  <c r="J1353" i="2"/>
  <c r="I1353" i="2"/>
  <c r="A1353" i="2"/>
  <c r="K1352" i="2"/>
  <c r="J1352" i="2"/>
  <c r="I1352" i="2"/>
  <c r="A1352" i="2"/>
  <c r="K1351" i="2"/>
  <c r="J1351" i="2"/>
  <c r="I1351" i="2"/>
  <c r="A1351" i="2"/>
  <c r="K1350" i="2"/>
  <c r="J1350" i="2"/>
  <c r="I1350" i="2"/>
  <c r="A1350" i="2"/>
  <c r="K1349" i="2"/>
  <c r="J1349" i="2"/>
  <c r="I1349" i="2"/>
  <c r="A1349" i="2"/>
  <c r="K1348" i="2"/>
  <c r="J1348" i="2"/>
  <c r="I1348" i="2"/>
  <c r="A1348" i="2"/>
  <c r="K1347" i="2"/>
  <c r="J1347" i="2"/>
  <c r="I1347" i="2"/>
  <c r="A1347" i="2"/>
  <c r="K1346" i="2"/>
  <c r="J1346" i="2"/>
  <c r="I1346" i="2"/>
  <c r="A1346" i="2"/>
  <c r="K1345" i="2"/>
  <c r="J1345" i="2"/>
  <c r="I1345" i="2"/>
  <c r="A1345" i="2"/>
  <c r="K1344" i="2"/>
  <c r="J1344" i="2"/>
  <c r="I1344" i="2"/>
  <c r="A1344" i="2"/>
  <c r="K1343" i="2"/>
  <c r="J1343" i="2"/>
  <c r="I1343" i="2"/>
  <c r="A1343" i="2"/>
  <c r="K1342" i="2"/>
  <c r="J1342" i="2"/>
  <c r="I1342" i="2"/>
  <c r="A1342" i="2"/>
  <c r="K1341" i="2"/>
  <c r="J1341" i="2"/>
  <c r="I1341" i="2"/>
  <c r="A1341" i="2"/>
  <c r="K1340" i="2"/>
  <c r="J1340" i="2"/>
  <c r="I1340" i="2"/>
  <c r="A1340" i="2"/>
  <c r="K1339" i="2"/>
  <c r="J1339" i="2"/>
  <c r="I1339" i="2"/>
  <c r="A1339" i="2"/>
  <c r="K1338" i="2"/>
  <c r="J1338" i="2"/>
  <c r="I1338" i="2"/>
  <c r="A1338" i="2"/>
  <c r="K1337" i="2"/>
  <c r="J1337" i="2"/>
  <c r="I1337" i="2"/>
  <c r="A1337" i="2"/>
  <c r="K1336" i="2"/>
  <c r="J1336" i="2"/>
  <c r="I1336" i="2"/>
  <c r="A1336" i="2"/>
  <c r="K1335" i="2"/>
  <c r="J1335" i="2"/>
  <c r="I1335" i="2"/>
  <c r="A1335" i="2"/>
  <c r="K1334" i="2"/>
  <c r="J1334" i="2"/>
  <c r="I1334" i="2"/>
  <c r="A1334" i="2"/>
  <c r="K1333" i="2"/>
  <c r="J1333" i="2"/>
  <c r="I1333" i="2"/>
  <c r="A1333" i="2"/>
  <c r="K1332" i="2"/>
  <c r="J1332" i="2"/>
  <c r="I1332" i="2"/>
  <c r="A1332" i="2"/>
  <c r="K1331" i="2"/>
  <c r="J1331" i="2"/>
  <c r="I1331" i="2"/>
  <c r="A1331" i="2"/>
  <c r="K1330" i="2"/>
  <c r="J1330" i="2"/>
  <c r="I1330" i="2"/>
  <c r="A1330" i="2"/>
  <c r="K1329" i="2"/>
  <c r="J1329" i="2"/>
  <c r="I1329" i="2"/>
  <c r="A1329" i="2"/>
  <c r="K1328" i="2"/>
  <c r="J1328" i="2"/>
  <c r="I1328" i="2"/>
  <c r="A1328" i="2"/>
  <c r="K1327" i="2"/>
  <c r="J1327" i="2"/>
  <c r="I1327" i="2"/>
  <c r="A1327" i="2"/>
  <c r="K1326" i="2"/>
  <c r="J1326" i="2"/>
  <c r="I1326" i="2"/>
  <c r="A1326" i="2"/>
  <c r="K1325" i="2"/>
  <c r="J1325" i="2"/>
  <c r="I1325" i="2"/>
  <c r="A1325" i="2"/>
  <c r="K1324" i="2"/>
  <c r="J1324" i="2"/>
  <c r="I1324" i="2"/>
  <c r="A1324" i="2"/>
  <c r="K1323" i="2"/>
  <c r="J1323" i="2"/>
  <c r="I1323" i="2"/>
  <c r="A1323" i="2"/>
  <c r="K1322" i="2"/>
  <c r="J1322" i="2"/>
  <c r="I1322" i="2"/>
  <c r="A1322" i="2"/>
  <c r="K1321" i="2"/>
  <c r="J1321" i="2"/>
  <c r="I1321" i="2"/>
  <c r="A1321" i="2"/>
  <c r="K1320" i="2"/>
  <c r="J1320" i="2"/>
  <c r="I1320" i="2"/>
  <c r="A1320" i="2"/>
  <c r="K1319" i="2"/>
  <c r="J1319" i="2"/>
  <c r="I1319" i="2"/>
  <c r="A1319" i="2"/>
  <c r="K1318" i="2"/>
  <c r="J1318" i="2"/>
  <c r="I1318" i="2"/>
  <c r="A1318" i="2"/>
  <c r="K1317" i="2"/>
  <c r="J1317" i="2"/>
  <c r="I1317" i="2"/>
  <c r="A1317" i="2"/>
  <c r="K1316" i="2"/>
  <c r="J1316" i="2"/>
  <c r="I1316" i="2"/>
  <c r="A1316" i="2"/>
  <c r="K1315" i="2"/>
  <c r="J1315" i="2"/>
  <c r="I1315" i="2"/>
  <c r="A1315" i="2"/>
  <c r="K1314" i="2"/>
  <c r="J1314" i="2"/>
  <c r="I1314" i="2"/>
  <c r="A1314" i="2"/>
  <c r="K1313" i="2"/>
  <c r="J1313" i="2"/>
  <c r="I1313" i="2"/>
  <c r="A1313" i="2"/>
  <c r="K1312" i="2"/>
  <c r="J1312" i="2"/>
  <c r="I1312" i="2"/>
  <c r="A1312" i="2"/>
  <c r="K1311" i="2"/>
  <c r="J1311" i="2"/>
  <c r="I1311" i="2"/>
  <c r="A1311" i="2"/>
  <c r="K1310" i="2"/>
  <c r="J1310" i="2"/>
  <c r="I1310" i="2"/>
  <c r="A1310" i="2"/>
  <c r="K1309" i="2"/>
  <c r="J1309" i="2"/>
  <c r="I1309" i="2"/>
  <c r="A1309" i="2"/>
  <c r="K1308" i="2"/>
  <c r="J1308" i="2"/>
  <c r="I1308" i="2"/>
  <c r="A1308" i="2"/>
  <c r="K1307" i="2"/>
  <c r="J1307" i="2"/>
  <c r="I1307" i="2"/>
  <c r="A1307" i="2"/>
  <c r="K1306" i="2"/>
  <c r="J1306" i="2"/>
  <c r="I1306" i="2"/>
  <c r="A1306" i="2"/>
  <c r="K1305" i="2"/>
  <c r="J1305" i="2"/>
  <c r="I1305" i="2"/>
  <c r="A1305" i="2"/>
  <c r="K1304" i="2"/>
  <c r="J1304" i="2"/>
  <c r="I1304" i="2"/>
  <c r="A1304" i="2"/>
  <c r="K1303" i="2"/>
  <c r="J1303" i="2"/>
  <c r="I1303" i="2"/>
  <c r="A1303" i="2"/>
  <c r="K1302" i="2"/>
  <c r="J1302" i="2"/>
  <c r="I1302" i="2"/>
  <c r="A1302" i="2"/>
  <c r="K1301" i="2"/>
  <c r="J1301" i="2"/>
  <c r="I1301" i="2"/>
  <c r="A1301" i="2"/>
  <c r="K1300" i="2"/>
  <c r="J1300" i="2"/>
  <c r="I1300" i="2"/>
  <c r="A1300" i="2"/>
  <c r="K1299" i="2"/>
  <c r="J1299" i="2"/>
  <c r="I1299" i="2"/>
  <c r="A1299" i="2"/>
  <c r="K1298" i="2"/>
  <c r="J1298" i="2"/>
  <c r="I1298" i="2"/>
  <c r="A1298" i="2"/>
  <c r="K1297" i="2"/>
  <c r="J1297" i="2"/>
  <c r="I1297" i="2"/>
  <c r="A1297" i="2"/>
  <c r="K1296" i="2"/>
  <c r="J1296" i="2"/>
  <c r="I1296" i="2"/>
  <c r="A1296" i="2"/>
  <c r="K1295" i="2"/>
  <c r="J1295" i="2"/>
  <c r="I1295" i="2"/>
  <c r="A1295" i="2"/>
  <c r="K1294" i="2"/>
  <c r="J1294" i="2"/>
  <c r="I1294" i="2"/>
  <c r="A1294" i="2"/>
  <c r="K1293" i="2"/>
  <c r="J1293" i="2"/>
  <c r="I1293" i="2"/>
  <c r="A1293" i="2"/>
  <c r="K1292" i="2"/>
  <c r="J1292" i="2"/>
  <c r="I1292" i="2"/>
  <c r="A1292" i="2"/>
  <c r="K1291" i="2"/>
  <c r="J1291" i="2"/>
  <c r="I1291" i="2"/>
  <c r="A1291" i="2"/>
  <c r="K1290" i="2"/>
  <c r="J1290" i="2"/>
  <c r="I1290" i="2"/>
  <c r="A1290" i="2"/>
  <c r="K1289" i="2"/>
  <c r="J1289" i="2"/>
  <c r="I1289" i="2"/>
  <c r="A1289" i="2"/>
  <c r="K1288" i="2"/>
  <c r="J1288" i="2"/>
  <c r="I1288" i="2"/>
  <c r="A1288" i="2"/>
  <c r="K1287" i="2"/>
  <c r="J1287" i="2"/>
  <c r="I1287" i="2"/>
  <c r="A1287" i="2"/>
  <c r="K1286" i="2"/>
  <c r="J1286" i="2"/>
  <c r="I1286" i="2"/>
  <c r="A1286" i="2"/>
  <c r="K1285" i="2"/>
  <c r="J1285" i="2"/>
  <c r="I1285" i="2"/>
  <c r="A1285" i="2"/>
  <c r="K1284" i="2"/>
  <c r="J1284" i="2"/>
  <c r="I1284" i="2"/>
  <c r="A1284" i="2"/>
  <c r="K1283" i="2"/>
  <c r="J1283" i="2"/>
  <c r="I1283" i="2"/>
  <c r="A1283" i="2"/>
  <c r="K1282" i="2"/>
  <c r="J1282" i="2"/>
  <c r="I1282" i="2"/>
  <c r="A1282" i="2"/>
  <c r="K1281" i="2"/>
  <c r="J1281" i="2"/>
  <c r="I1281" i="2"/>
  <c r="A1281" i="2"/>
  <c r="K1280" i="2"/>
  <c r="J1280" i="2"/>
  <c r="I1280" i="2"/>
  <c r="A1280" i="2"/>
  <c r="K1279" i="2"/>
  <c r="J1279" i="2"/>
  <c r="I1279" i="2"/>
  <c r="A1279" i="2"/>
  <c r="K1278" i="2"/>
  <c r="J1278" i="2"/>
  <c r="I1278" i="2"/>
  <c r="A1278" i="2"/>
  <c r="K1277" i="2"/>
  <c r="J1277" i="2"/>
  <c r="I1277" i="2"/>
  <c r="A1277" i="2"/>
  <c r="K1276" i="2"/>
  <c r="J1276" i="2"/>
  <c r="I1276" i="2"/>
  <c r="A1276" i="2"/>
  <c r="K1275" i="2"/>
  <c r="J1275" i="2"/>
  <c r="I1275" i="2"/>
  <c r="A1275" i="2"/>
  <c r="K1274" i="2"/>
  <c r="J1274" i="2"/>
  <c r="I1274" i="2"/>
  <c r="A1274" i="2"/>
  <c r="K1273" i="2"/>
  <c r="J1273" i="2"/>
  <c r="I1273" i="2"/>
  <c r="A1273" i="2"/>
  <c r="K1272" i="2"/>
  <c r="J1272" i="2"/>
  <c r="I1272" i="2"/>
  <c r="A1272" i="2"/>
  <c r="K1271" i="2"/>
  <c r="J1271" i="2"/>
  <c r="I1271" i="2"/>
  <c r="A1271" i="2"/>
  <c r="K1270" i="2"/>
  <c r="J1270" i="2"/>
  <c r="I1270" i="2"/>
  <c r="A1270" i="2"/>
  <c r="K1269" i="2"/>
  <c r="J1269" i="2"/>
  <c r="I1269" i="2"/>
  <c r="A1269" i="2"/>
  <c r="K1268" i="2"/>
  <c r="J1268" i="2"/>
  <c r="I1268" i="2"/>
  <c r="A1268" i="2"/>
  <c r="K1267" i="2"/>
  <c r="J1267" i="2"/>
  <c r="I1267" i="2"/>
  <c r="A1267" i="2"/>
  <c r="K1266" i="2"/>
  <c r="J1266" i="2"/>
  <c r="I1266" i="2"/>
  <c r="A1266" i="2"/>
  <c r="K1265" i="2"/>
  <c r="J1265" i="2"/>
  <c r="I1265" i="2"/>
  <c r="A1265" i="2"/>
  <c r="K1264" i="2"/>
  <c r="J1264" i="2"/>
  <c r="I1264" i="2"/>
  <c r="A1264" i="2"/>
  <c r="K1263" i="2"/>
  <c r="J1263" i="2"/>
  <c r="I1263" i="2"/>
  <c r="A1263" i="2"/>
  <c r="K1262" i="2"/>
  <c r="J1262" i="2"/>
  <c r="I1262" i="2"/>
  <c r="A1262" i="2"/>
  <c r="K1261" i="2"/>
  <c r="J1261" i="2"/>
  <c r="I1261" i="2"/>
  <c r="A1261" i="2"/>
  <c r="K1260" i="2"/>
  <c r="J1260" i="2"/>
  <c r="I1260" i="2"/>
  <c r="A1260" i="2"/>
  <c r="K1259" i="2"/>
  <c r="J1259" i="2"/>
  <c r="I1259" i="2"/>
  <c r="A1259" i="2"/>
  <c r="K1258" i="2"/>
  <c r="J1258" i="2"/>
  <c r="I1258" i="2"/>
  <c r="A1258" i="2"/>
  <c r="K1257" i="2"/>
  <c r="J1257" i="2"/>
  <c r="I1257" i="2"/>
  <c r="A1257" i="2"/>
  <c r="K1256" i="2"/>
  <c r="J1256" i="2"/>
  <c r="I1256" i="2"/>
  <c r="A1256" i="2"/>
  <c r="K1255" i="2"/>
  <c r="J1255" i="2"/>
  <c r="I1255" i="2"/>
  <c r="A1255" i="2"/>
  <c r="K1254" i="2"/>
  <c r="J1254" i="2"/>
  <c r="I1254" i="2"/>
  <c r="A1254" i="2"/>
  <c r="K1253" i="2"/>
  <c r="J1253" i="2"/>
  <c r="I1253" i="2"/>
  <c r="A1253" i="2"/>
  <c r="K1252" i="2"/>
  <c r="J1252" i="2"/>
  <c r="I1252" i="2"/>
  <c r="A1252" i="2"/>
  <c r="K1251" i="2"/>
  <c r="J1251" i="2"/>
  <c r="I1251" i="2"/>
  <c r="A1251" i="2"/>
  <c r="K1250" i="2"/>
  <c r="J1250" i="2"/>
  <c r="I1250" i="2"/>
  <c r="A1250" i="2"/>
  <c r="K1249" i="2"/>
  <c r="J1249" i="2"/>
  <c r="I1249" i="2"/>
  <c r="A1249" i="2"/>
  <c r="K1248" i="2"/>
  <c r="J1248" i="2"/>
  <c r="I1248" i="2"/>
  <c r="A1248" i="2"/>
  <c r="K1247" i="2"/>
  <c r="J1247" i="2"/>
  <c r="I1247" i="2"/>
  <c r="A1247" i="2"/>
  <c r="K1246" i="2"/>
  <c r="J1246" i="2"/>
  <c r="I1246" i="2"/>
  <c r="A1246" i="2"/>
  <c r="K1245" i="2"/>
  <c r="J1245" i="2"/>
  <c r="I1245" i="2"/>
  <c r="A1245" i="2"/>
  <c r="K1244" i="2"/>
  <c r="J1244" i="2"/>
  <c r="I1244" i="2"/>
  <c r="A1244" i="2"/>
  <c r="K1243" i="2"/>
  <c r="J1243" i="2"/>
  <c r="I1243" i="2"/>
  <c r="A1243" i="2"/>
  <c r="K1242" i="2"/>
  <c r="J1242" i="2"/>
  <c r="I1242" i="2"/>
  <c r="A1242" i="2"/>
  <c r="K1241" i="2"/>
  <c r="J1241" i="2"/>
  <c r="I1241" i="2"/>
  <c r="A1241" i="2"/>
  <c r="K1240" i="2"/>
  <c r="J1240" i="2"/>
  <c r="I1240" i="2"/>
  <c r="A1240" i="2"/>
  <c r="K1239" i="2"/>
  <c r="J1239" i="2"/>
  <c r="I1239" i="2"/>
  <c r="A1239" i="2"/>
  <c r="K1238" i="2"/>
  <c r="J1238" i="2"/>
  <c r="I1238" i="2"/>
  <c r="A1238" i="2"/>
  <c r="K1237" i="2"/>
  <c r="J1237" i="2"/>
  <c r="I1237" i="2"/>
  <c r="A1237" i="2"/>
  <c r="K1236" i="2"/>
  <c r="J1236" i="2"/>
  <c r="I1236" i="2"/>
  <c r="A1236" i="2"/>
  <c r="K1235" i="2"/>
  <c r="J1235" i="2"/>
  <c r="I1235" i="2"/>
  <c r="A1235" i="2"/>
  <c r="K1234" i="2"/>
  <c r="J1234" i="2"/>
  <c r="I1234" i="2"/>
  <c r="A1234" i="2"/>
  <c r="K1233" i="2"/>
  <c r="J1233" i="2"/>
  <c r="I1233" i="2"/>
  <c r="A1233" i="2"/>
  <c r="K1232" i="2"/>
  <c r="J1232" i="2"/>
  <c r="I1232" i="2"/>
  <c r="A1232" i="2"/>
  <c r="K1231" i="2"/>
  <c r="J1231" i="2"/>
  <c r="I1231" i="2"/>
  <c r="A1231" i="2"/>
  <c r="K1230" i="2"/>
  <c r="J1230" i="2"/>
  <c r="I1230" i="2"/>
  <c r="A1230" i="2"/>
  <c r="K1229" i="2"/>
  <c r="J1229" i="2"/>
  <c r="I1229" i="2"/>
  <c r="A1229" i="2"/>
  <c r="K1228" i="2"/>
  <c r="J1228" i="2"/>
  <c r="I1228" i="2"/>
  <c r="A1228" i="2"/>
  <c r="K1227" i="2"/>
  <c r="J1227" i="2"/>
  <c r="I1227" i="2"/>
  <c r="A1227" i="2"/>
  <c r="K1226" i="2"/>
  <c r="J1226" i="2"/>
  <c r="I1226" i="2"/>
  <c r="A1226" i="2"/>
  <c r="K1225" i="2"/>
  <c r="J1225" i="2"/>
  <c r="I1225" i="2"/>
  <c r="A1225" i="2"/>
  <c r="K1224" i="2"/>
  <c r="J1224" i="2"/>
  <c r="I1224" i="2"/>
  <c r="A1224" i="2"/>
  <c r="K1223" i="2"/>
  <c r="J1223" i="2"/>
  <c r="I1223" i="2"/>
  <c r="A1223" i="2"/>
  <c r="K1222" i="2"/>
  <c r="J1222" i="2"/>
  <c r="I1222" i="2"/>
  <c r="A1222" i="2"/>
  <c r="K1221" i="2"/>
  <c r="J1221" i="2"/>
  <c r="I1221" i="2"/>
  <c r="A1221" i="2"/>
  <c r="K1220" i="2"/>
  <c r="J1220" i="2"/>
  <c r="I1220" i="2"/>
  <c r="A1220" i="2"/>
  <c r="K1219" i="2"/>
  <c r="J1219" i="2"/>
  <c r="I1219" i="2"/>
  <c r="A1219" i="2"/>
  <c r="K1218" i="2"/>
  <c r="J1218" i="2"/>
  <c r="I1218" i="2"/>
  <c r="A1218" i="2"/>
  <c r="K1217" i="2"/>
  <c r="J1217" i="2"/>
  <c r="I1217" i="2"/>
  <c r="A1217" i="2"/>
  <c r="K1216" i="2"/>
  <c r="J1216" i="2"/>
  <c r="I1216" i="2"/>
  <c r="A1216" i="2"/>
  <c r="K1215" i="2"/>
  <c r="J1215" i="2"/>
  <c r="I1215" i="2"/>
  <c r="A1215" i="2"/>
  <c r="K1214" i="2"/>
  <c r="J1214" i="2"/>
  <c r="I1214" i="2"/>
  <c r="A1214" i="2"/>
  <c r="K1213" i="2"/>
  <c r="J1213" i="2"/>
  <c r="I1213" i="2"/>
  <c r="A1213" i="2"/>
  <c r="K1212" i="2"/>
  <c r="J1212" i="2"/>
  <c r="I1212" i="2"/>
  <c r="A1212" i="2"/>
  <c r="K1211" i="2"/>
  <c r="J1211" i="2"/>
  <c r="I1211" i="2"/>
  <c r="A1211" i="2"/>
  <c r="K1210" i="2"/>
  <c r="J1210" i="2"/>
  <c r="I1210" i="2"/>
  <c r="A1210" i="2"/>
  <c r="K1209" i="2"/>
  <c r="J1209" i="2"/>
  <c r="I1209" i="2"/>
  <c r="A1209" i="2"/>
  <c r="K1208" i="2"/>
  <c r="J1208" i="2"/>
  <c r="I1208" i="2"/>
  <c r="A1208" i="2"/>
  <c r="K1207" i="2"/>
  <c r="J1207" i="2"/>
  <c r="I1207" i="2"/>
  <c r="A1207" i="2"/>
  <c r="K1206" i="2"/>
  <c r="J1206" i="2"/>
  <c r="I1206" i="2"/>
  <c r="A1206" i="2"/>
  <c r="J1205" i="2"/>
  <c r="I1205" i="2"/>
  <c r="K1204" i="2"/>
  <c r="J1204" i="2"/>
  <c r="I1204" i="2"/>
  <c r="A1204" i="2"/>
  <c r="K1203" i="2"/>
  <c r="J1203" i="2"/>
  <c r="I1203" i="2"/>
  <c r="A1203" i="2"/>
  <c r="K1202" i="2"/>
  <c r="J1202" i="2"/>
  <c r="I1202" i="2"/>
  <c r="A1202" i="2"/>
  <c r="K1201" i="2"/>
  <c r="J1201" i="2"/>
  <c r="I1201" i="2"/>
  <c r="A1201" i="2"/>
  <c r="K1200" i="2"/>
  <c r="J1200" i="2"/>
  <c r="I1200" i="2"/>
  <c r="A1200" i="2"/>
  <c r="K1199" i="2"/>
  <c r="J1199" i="2"/>
  <c r="I1199" i="2"/>
  <c r="A1199" i="2"/>
  <c r="K1198" i="2"/>
  <c r="J1198" i="2"/>
  <c r="I1198" i="2"/>
  <c r="A1198" i="2"/>
  <c r="K1197" i="2"/>
  <c r="J1197" i="2"/>
  <c r="I1197" i="2"/>
  <c r="A1197" i="2"/>
  <c r="K1196" i="2"/>
  <c r="J1196" i="2"/>
  <c r="I1196" i="2"/>
  <c r="A1196" i="2"/>
  <c r="K1195" i="2"/>
  <c r="J1195" i="2"/>
  <c r="I1195" i="2"/>
  <c r="A1195" i="2"/>
  <c r="K1194" i="2"/>
  <c r="J1194" i="2"/>
  <c r="I1194" i="2"/>
  <c r="A1194" i="2"/>
  <c r="K1193" i="2"/>
  <c r="J1193" i="2"/>
  <c r="I1193" i="2"/>
  <c r="A1193" i="2"/>
  <c r="K1192" i="2"/>
  <c r="J1192" i="2"/>
  <c r="I1192" i="2"/>
  <c r="A1192" i="2"/>
  <c r="K1191" i="2"/>
  <c r="J1191" i="2"/>
  <c r="I1191" i="2"/>
  <c r="A1191" i="2"/>
  <c r="K1190" i="2"/>
  <c r="J1190" i="2"/>
  <c r="I1190" i="2"/>
  <c r="A1190" i="2"/>
  <c r="K1189" i="2"/>
  <c r="J1189" i="2"/>
  <c r="I1189" i="2"/>
  <c r="A1189" i="2"/>
  <c r="K1188" i="2"/>
  <c r="J1188" i="2"/>
  <c r="I1188" i="2"/>
  <c r="A1188" i="2"/>
  <c r="K1187" i="2"/>
  <c r="J1187" i="2"/>
  <c r="I1187" i="2"/>
  <c r="A1187" i="2"/>
  <c r="K1186" i="2"/>
  <c r="J1186" i="2"/>
  <c r="I1186" i="2"/>
  <c r="A1186" i="2"/>
  <c r="K1185" i="2"/>
  <c r="J1185" i="2"/>
  <c r="I1185" i="2"/>
  <c r="A1185" i="2"/>
  <c r="K1184" i="2"/>
  <c r="J1184" i="2"/>
  <c r="I1184" i="2"/>
  <c r="A1184" i="2"/>
  <c r="K1183" i="2"/>
  <c r="J1183" i="2"/>
  <c r="I1183" i="2"/>
  <c r="A1183" i="2"/>
  <c r="K1182" i="2"/>
  <c r="J1182" i="2"/>
  <c r="I1182" i="2"/>
  <c r="A1182" i="2"/>
  <c r="K1181" i="2"/>
  <c r="J1181" i="2"/>
  <c r="I1181" i="2"/>
  <c r="A1181" i="2"/>
  <c r="K1180" i="2"/>
  <c r="J1180" i="2"/>
  <c r="I1180" i="2"/>
  <c r="A1180" i="2"/>
  <c r="K1179" i="2"/>
  <c r="J1179" i="2"/>
  <c r="I1179" i="2"/>
  <c r="A1179" i="2"/>
  <c r="K1178" i="2"/>
  <c r="J1178" i="2"/>
  <c r="I1178" i="2"/>
  <c r="A1178" i="2"/>
  <c r="K1177" i="2"/>
  <c r="J1177" i="2"/>
  <c r="I1177" i="2"/>
  <c r="A1177" i="2"/>
  <c r="K1176" i="2"/>
  <c r="J1176" i="2"/>
  <c r="I1176" i="2"/>
  <c r="A1176" i="2"/>
  <c r="K1175" i="2"/>
  <c r="J1175" i="2"/>
  <c r="I1175" i="2"/>
  <c r="A1175" i="2"/>
  <c r="K1174" i="2"/>
  <c r="J1174" i="2"/>
  <c r="I1174" i="2"/>
  <c r="A1174" i="2"/>
  <c r="K1173" i="2"/>
  <c r="J1173" i="2"/>
  <c r="I1173" i="2"/>
  <c r="A1173" i="2"/>
  <c r="K1172" i="2"/>
  <c r="J1172" i="2"/>
  <c r="I1172" i="2"/>
  <c r="A1172" i="2"/>
  <c r="K1171" i="2"/>
  <c r="J1171" i="2"/>
  <c r="I1171" i="2"/>
  <c r="A1171" i="2"/>
  <c r="K1170" i="2"/>
  <c r="J1170" i="2"/>
  <c r="I1170" i="2"/>
  <c r="A1170" i="2"/>
  <c r="K1169" i="2"/>
  <c r="J1169" i="2"/>
  <c r="I1169" i="2"/>
  <c r="A1169" i="2"/>
  <c r="K1168" i="2"/>
  <c r="J1168" i="2"/>
  <c r="I1168" i="2"/>
  <c r="A1168" i="2"/>
  <c r="K1167" i="2"/>
  <c r="J1167" i="2"/>
  <c r="I1167" i="2"/>
  <c r="A1167" i="2"/>
  <c r="K1166" i="2"/>
  <c r="J1166" i="2"/>
  <c r="I1166" i="2"/>
  <c r="A1166" i="2"/>
  <c r="K1165" i="2"/>
  <c r="J1165" i="2"/>
  <c r="I1165" i="2"/>
  <c r="A1165" i="2"/>
  <c r="K1164" i="2"/>
  <c r="J1164" i="2"/>
  <c r="I1164" i="2"/>
  <c r="A1164" i="2"/>
  <c r="K1163" i="2"/>
  <c r="J1163" i="2"/>
  <c r="I1163" i="2"/>
  <c r="A1163" i="2"/>
  <c r="K1162" i="2"/>
  <c r="J1162" i="2"/>
  <c r="I1162" i="2"/>
  <c r="A1162" i="2"/>
  <c r="K1161" i="2"/>
  <c r="J1161" i="2"/>
  <c r="I1161" i="2"/>
  <c r="A1161" i="2"/>
  <c r="K1160" i="2"/>
  <c r="J1160" i="2"/>
  <c r="I1160" i="2"/>
  <c r="A1160" i="2"/>
  <c r="K1159" i="2"/>
  <c r="J1159" i="2"/>
  <c r="I1159" i="2"/>
  <c r="A1159" i="2"/>
  <c r="K1158" i="2"/>
  <c r="J1158" i="2"/>
  <c r="I1158" i="2"/>
  <c r="A1158" i="2"/>
  <c r="K1157" i="2"/>
  <c r="J1157" i="2"/>
  <c r="I1157" i="2"/>
  <c r="A1157" i="2"/>
  <c r="K1156" i="2"/>
  <c r="J1156" i="2"/>
  <c r="I1156" i="2"/>
  <c r="A1156" i="2"/>
  <c r="K1155" i="2"/>
  <c r="J1155" i="2"/>
  <c r="I1155" i="2"/>
  <c r="A1155" i="2"/>
  <c r="K1154" i="2"/>
  <c r="J1154" i="2"/>
  <c r="I1154" i="2"/>
  <c r="A1154" i="2"/>
  <c r="K1153" i="2"/>
  <c r="J1153" i="2"/>
  <c r="I1153" i="2"/>
  <c r="A1153" i="2"/>
  <c r="K1152" i="2"/>
  <c r="J1152" i="2"/>
  <c r="I1152" i="2"/>
  <c r="A1152" i="2"/>
  <c r="K1151" i="2"/>
  <c r="J1151" i="2"/>
  <c r="I1151" i="2"/>
  <c r="A1151" i="2"/>
  <c r="K1150" i="2"/>
  <c r="J1150" i="2"/>
  <c r="I1150" i="2"/>
  <c r="A1150" i="2"/>
  <c r="K1149" i="2"/>
  <c r="J1149" i="2"/>
  <c r="I1149" i="2"/>
  <c r="A1149" i="2"/>
  <c r="K1148" i="2"/>
  <c r="J1148" i="2"/>
  <c r="I1148" i="2"/>
  <c r="A1148" i="2"/>
  <c r="K1147" i="2"/>
  <c r="J1147" i="2"/>
  <c r="I1147" i="2"/>
  <c r="A1147" i="2"/>
  <c r="K1146" i="2"/>
  <c r="J1146" i="2"/>
  <c r="I1146" i="2"/>
  <c r="A1146" i="2"/>
  <c r="K1145" i="2"/>
  <c r="J1145" i="2"/>
  <c r="I1145" i="2"/>
  <c r="A1145" i="2"/>
  <c r="K1144" i="2"/>
  <c r="J1144" i="2"/>
  <c r="I1144" i="2"/>
  <c r="A1144" i="2"/>
  <c r="K1143" i="2"/>
  <c r="J1143" i="2"/>
  <c r="I1143" i="2"/>
  <c r="A1143" i="2"/>
  <c r="K1142" i="2"/>
  <c r="J1142" i="2"/>
  <c r="I1142" i="2"/>
  <c r="A1142" i="2"/>
  <c r="K1141" i="2"/>
  <c r="J1141" i="2"/>
  <c r="I1141" i="2"/>
  <c r="A1141" i="2"/>
  <c r="K1140" i="2"/>
  <c r="J1140" i="2"/>
  <c r="I1140" i="2"/>
  <c r="A1140" i="2"/>
  <c r="K1139" i="2"/>
  <c r="J1139" i="2"/>
  <c r="I1139" i="2"/>
  <c r="A1139" i="2"/>
  <c r="K1138" i="2"/>
  <c r="J1138" i="2"/>
  <c r="I1138" i="2"/>
  <c r="A1138" i="2"/>
  <c r="K1137" i="2"/>
  <c r="J1137" i="2"/>
  <c r="I1137" i="2"/>
  <c r="A1137" i="2"/>
  <c r="K1136" i="2"/>
  <c r="J1136" i="2"/>
  <c r="I1136" i="2"/>
  <c r="A1136" i="2"/>
  <c r="K1135" i="2"/>
  <c r="J1135" i="2"/>
  <c r="I1135" i="2"/>
  <c r="A1135" i="2"/>
  <c r="K1134" i="2"/>
  <c r="J1134" i="2"/>
  <c r="I1134" i="2"/>
  <c r="A1134" i="2"/>
  <c r="K1133" i="2"/>
  <c r="J1133" i="2"/>
  <c r="I1133" i="2"/>
  <c r="A1133" i="2"/>
  <c r="K1132" i="2"/>
  <c r="J1132" i="2"/>
  <c r="I1132" i="2"/>
  <c r="A1132" i="2"/>
  <c r="K1131" i="2"/>
  <c r="J1131" i="2"/>
  <c r="I1131" i="2"/>
  <c r="A1131" i="2"/>
  <c r="K1130" i="2"/>
  <c r="J1130" i="2"/>
  <c r="I1130" i="2"/>
  <c r="A1130" i="2"/>
  <c r="K1129" i="2"/>
  <c r="J1129" i="2"/>
  <c r="I1129" i="2"/>
  <c r="A1129" i="2"/>
  <c r="K1128" i="2"/>
  <c r="J1128" i="2"/>
  <c r="I1128" i="2"/>
  <c r="A1128" i="2"/>
  <c r="K1127" i="2"/>
  <c r="J1127" i="2"/>
  <c r="I1127" i="2"/>
  <c r="A1127" i="2"/>
  <c r="K1126" i="2"/>
  <c r="J1126" i="2"/>
  <c r="I1126" i="2"/>
  <c r="A1126" i="2"/>
  <c r="K1125" i="2"/>
  <c r="J1125" i="2"/>
  <c r="I1125" i="2"/>
  <c r="A1125" i="2"/>
  <c r="K1124" i="2"/>
  <c r="J1124" i="2"/>
  <c r="I1124" i="2"/>
  <c r="A1124" i="2"/>
  <c r="K1123" i="2"/>
  <c r="J1123" i="2"/>
  <c r="I1123" i="2"/>
  <c r="A1123" i="2"/>
  <c r="K1122" i="2"/>
  <c r="J1122" i="2"/>
  <c r="I1122" i="2"/>
  <c r="A1122" i="2"/>
  <c r="K1121" i="2"/>
  <c r="J1121" i="2"/>
  <c r="I1121" i="2"/>
  <c r="A1121" i="2"/>
  <c r="K1120" i="2"/>
  <c r="J1120" i="2"/>
  <c r="I1120" i="2"/>
  <c r="A1120" i="2"/>
  <c r="K1119" i="2"/>
  <c r="J1119" i="2"/>
  <c r="I1119" i="2"/>
  <c r="A1119" i="2"/>
  <c r="K1118" i="2"/>
  <c r="J1118" i="2"/>
  <c r="I1118" i="2"/>
  <c r="A1118" i="2"/>
  <c r="K1117" i="2"/>
  <c r="J1117" i="2"/>
  <c r="I1117" i="2"/>
  <c r="A1117" i="2"/>
  <c r="K1116" i="2"/>
  <c r="J1116" i="2"/>
  <c r="I1116" i="2"/>
  <c r="A1116" i="2"/>
  <c r="K1115" i="2"/>
  <c r="J1115" i="2"/>
  <c r="I1115" i="2"/>
  <c r="A1115" i="2"/>
  <c r="K1114" i="2"/>
  <c r="J1114" i="2"/>
  <c r="I1114" i="2"/>
  <c r="A1114" i="2"/>
  <c r="K1113" i="2"/>
  <c r="J1113" i="2"/>
  <c r="I1113" i="2"/>
  <c r="A1113" i="2"/>
  <c r="K1112" i="2"/>
  <c r="J1112" i="2"/>
  <c r="I1112" i="2"/>
  <c r="A1112" i="2"/>
  <c r="K1111" i="2"/>
  <c r="J1111" i="2"/>
  <c r="I1111" i="2"/>
  <c r="A1111" i="2"/>
  <c r="K1110" i="2"/>
  <c r="J1110" i="2"/>
  <c r="I1110" i="2"/>
  <c r="A1110" i="2"/>
  <c r="K1109" i="2"/>
  <c r="J1109" i="2"/>
  <c r="I1109" i="2"/>
  <c r="A1109" i="2"/>
  <c r="K1108" i="2"/>
  <c r="J1108" i="2"/>
  <c r="I1108" i="2"/>
  <c r="A1108" i="2"/>
  <c r="K1107" i="2"/>
  <c r="J1107" i="2"/>
  <c r="I1107" i="2"/>
  <c r="A1107" i="2"/>
  <c r="K1106" i="2"/>
  <c r="J1106" i="2"/>
  <c r="I1106" i="2"/>
  <c r="A1106" i="2"/>
  <c r="K1105" i="2"/>
  <c r="J1105" i="2"/>
  <c r="I1105" i="2"/>
  <c r="A1105" i="2"/>
  <c r="K1104" i="2"/>
  <c r="J1104" i="2"/>
  <c r="I1104" i="2"/>
  <c r="A1104" i="2"/>
  <c r="K1103" i="2"/>
  <c r="J1103" i="2"/>
  <c r="I1103" i="2"/>
  <c r="A1103" i="2"/>
  <c r="K1102" i="2"/>
  <c r="J1102" i="2"/>
  <c r="I1102" i="2"/>
  <c r="A1102" i="2"/>
  <c r="K1101" i="2"/>
  <c r="J1101" i="2"/>
  <c r="I1101" i="2"/>
  <c r="A1101" i="2"/>
  <c r="K1100" i="2"/>
  <c r="J1100" i="2"/>
  <c r="I1100" i="2"/>
  <c r="A1100" i="2"/>
  <c r="K1099" i="2"/>
  <c r="J1099" i="2"/>
  <c r="I1099" i="2"/>
  <c r="A1099" i="2"/>
  <c r="K1098" i="2"/>
  <c r="J1098" i="2"/>
  <c r="I1098" i="2"/>
  <c r="A1098" i="2"/>
  <c r="K1097" i="2"/>
  <c r="J1097" i="2"/>
  <c r="I1097" i="2"/>
  <c r="A1097" i="2"/>
  <c r="K1096" i="2"/>
  <c r="J1096" i="2"/>
  <c r="I1096" i="2"/>
  <c r="A1096" i="2"/>
  <c r="K1095" i="2"/>
  <c r="J1095" i="2"/>
  <c r="I1095" i="2"/>
  <c r="A1095" i="2"/>
  <c r="K1094" i="2"/>
  <c r="J1094" i="2"/>
  <c r="I1094" i="2"/>
  <c r="A1094" i="2"/>
  <c r="K1093" i="2"/>
  <c r="J1093" i="2"/>
  <c r="I1093" i="2"/>
  <c r="A1093" i="2"/>
  <c r="K1092" i="2"/>
  <c r="J1092" i="2"/>
  <c r="I1092" i="2"/>
  <c r="A1092" i="2"/>
  <c r="K1091" i="2"/>
  <c r="J1091" i="2"/>
  <c r="I1091" i="2"/>
  <c r="A1091" i="2"/>
  <c r="K1090" i="2"/>
  <c r="J1090" i="2"/>
  <c r="I1090" i="2"/>
  <c r="A1090" i="2"/>
  <c r="K1089" i="2"/>
  <c r="J1089" i="2"/>
  <c r="I1089" i="2"/>
  <c r="A1089" i="2"/>
  <c r="K1088" i="2"/>
  <c r="J1088" i="2"/>
  <c r="I1088" i="2"/>
  <c r="A1088" i="2"/>
  <c r="K1087" i="2"/>
  <c r="J1087" i="2"/>
  <c r="I1087" i="2"/>
  <c r="A1087" i="2"/>
  <c r="K1086" i="2"/>
  <c r="J1086" i="2"/>
  <c r="I1086" i="2"/>
  <c r="A1086" i="2"/>
  <c r="K1085" i="2"/>
  <c r="J1085" i="2"/>
  <c r="I1085" i="2"/>
  <c r="A1085" i="2"/>
  <c r="K1084" i="2"/>
  <c r="J1084" i="2"/>
  <c r="I1084" i="2"/>
  <c r="A1084" i="2"/>
  <c r="K1083" i="2"/>
  <c r="J1083" i="2"/>
  <c r="I1083" i="2"/>
  <c r="A1083" i="2"/>
  <c r="K1082" i="2"/>
  <c r="J1082" i="2"/>
  <c r="I1082" i="2"/>
  <c r="A1082" i="2"/>
  <c r="K1081" i="2"/>
  <c r="J1081" i="2"/>
  <c r="I1081" i="2"/>
  <c r="A1081" i="2"/>
  <c r="K1080" i="2"/>
  <c r="J1080" i="2"/>
  <c r="I1080" i="2"/>
  <c r="A1080" i="2"/>
  <c r="K1079" i="2"/>
  <c r="J1079" i="2"/>
  <c r="I1079" i="2"/>
  <c r="A1079" i="2"/>
  <c r="K1078" i="2"/>
  <c r="J1078" i="2"/>
  <c r="I1078" i="2"/>
  <c r="A1078" i="2"/>
  <c r="K1077" i="2"/>
  <c r="J1077" i="2"/>
  <c r="I1077" i="2"/>
  <c r="A1077" i="2"/>
  <c r="K1076" i="2"/>
  <c r="J1076" i="2"/>
  <c r="I1076" i="2"/>
  <c r="A1076" i="2"/>
  <c r="K1075" i="2"/>
  <c r="J1075" i="2"/>
  <c r="I1075" i="2"/>
  <c r="A1075" i="2"/>
  <c r="K1074" i="2"/>
  <c r="J1074" i="2"/>
  <c r="I1074" i="2"/>
  <c r="A1074" i="2"/>
  <c r="K1073" i="2"/>
  <c r="J1073" i="2"/>
  <c r="I1073" i="2"/>
  <c r="A1073" i="2"/>
  <c r="K1072" i="2"/>
  <c r="J1072" i="2"/>
  <c r="I1072" i="2"/>
  <c r="A1072" i="2"/>
  <c r="K1071" i="2"/>
  <c r="J1071" i="2"/>
  <c r="I1071" i="2"/>
  <c r="A1071" i="2"/>
  <c r="K1070" i="2"/>
  <c r="J1070" i="2"/>
  <c r="I1070" i="2"/>
  <c r="A1070" i="2"/>
  <c r="K1069" i="2"/>
  <c r="J1069" i="2"/>
  <c r="I1069" i="2"/>
  <c r="A1069" i="2"/>
  <c r="K1068" i="2"/>
  <c r="J1068" i="2"/>
  <c r="I1068" i="2"/>
  <c r="A1068" i="2"/>
  <c r="K1067" i="2"/>
  <c r="J1067" i="2"/>
  <c r="I1067" i="2"/>
  <c r="A1067" i="2"/>
  <c r="K1066" i="2"/>
  <c r="J1066" i="2"/>
  <c r="I1066" i="2"/>
  <c r="A1066" i="2"/>
  <c r="K1065" i="2"/>
  <c r="J1065" i="2"/>
  <c r="I1065" i="2"/>
  <c r="A1065" i="2"/>
  <c r="K1064" i="2"/>
  <c r="J1064" i="2"/>
  <c r="I1064" i="2"/>
  <c r="A1064" i="2"/>
  <c r="K1063" i="2"/>
  <c r="J1063" i="2"/>
  <c r="I1063" i="2"/>
  <c r="A1063" i="2"/>
  <c r="K1062" i="2"/>
  <c r="J1062" i="2"/>
  <c r="I1062" i="2"/>
  <c r="A1062" i="2"/>
  <c r="K1061" i="2"/>
  <c r="J1061" i="2"/>
  <c r="I1061" i="2"/>
  <c r="A1061" i="2"/>
  <c r="K1060" i="2"/>
  <c r="J1060" i="2"/>
  <c r="I1060" i="2"/>
  <c r="A1060" i="2"/>
  <c r="K1059" i="2"/>
  <c r="J1059" i="2"/>
  <c r="I1059" i="2"/>
  <c r="A1059" i="2"/>
  <c r="K1058" i="2"/>
  <c r="J1058" i="2"/>
  <c r="I1058" i="2"/>
  <c r="A1058" i="2"/>
  <c r="K1057" i="2"/>
  <c r="J1057" i="2"/>
  <c r="I1057" i="2"/>
  <c r="A1057" i="2"/>
  <c r="K1056" i="2"/>
  <c r="J1056" i="2"/>
  <c r="I1056" i="2"/>
  <c r="A1056" i="2"/>
  <c r="K1055" i="2"/>
  <c r="J1055" i="2"/>
  <c r="I1055" i="2"/>
  <c r="A1055" i="2"/>
  <c r="K1054" i="2"/>
  <c r="J1054" i="2"/>
  <c r="I1054" i="2"/>
  <c r="A1054" i="2"/>
  <c r="K1053" i="2"/>
  <c r="J1053" i="2"/>
  <c r="I1053" i="2"/>
  <c r="A1053" i="2"/>
  <c r="K1052" i="2"/>
  <c r="J1052" i="2"/>
  <c r="I1052" i="2"/>
  <c r="A1052" i="2"/>
  <c r="K1051" i="2"/>
  <c r="J1051" i="2"/>
  <c r="I1051" i="2"/>
  <c r="A1051" i="2"/>
  <c r="K1050" i="2"/>
  <c r="J1050" i="2"/>
  <c r="I1050" i="2"/>
  <c r="A1050" i="2"/>
  <c r="K1049" i="2"/>
  <c r="J1049" i="2"/>
  <c r="I1049" i="2"/>
  <c r="A1049" i="2"/>
  <c r="K1048" i="2"/>
  <c r="J1048" i="2"/>
  <c r="I1048" i="2"/>
  <c r="A1048" i="2"/>
  <c r="K1047" i="2"/>
  <c r="J1047" i="2"/>
  <c r="I1047" i="2"/>
  <c r="A1047" i="2"/>
  <c r="K1046" i="2"/>
  <c r="J1046" i="2"/>
  <c r="I1046" i="2"/>
  <c r="A1046" i="2"/>
  <c r="K1045" i="2"/>
  <c r="J1045" i="2"/>
  <c r="I1045" i="2"/>
  <c r="A1045" i="2"/>
  <c r="K1044" i="2"/>
  <c r="J1044" i="2"/>
  <c r="I1044" i="2"/>
  <c r="A1044" i="2"/>
  <c r="K1043" i="2"/>
  <c r="J1043" i="2"/>
  <c r="I1043" i="2"/>
  <c r="A1043" i="2"/>
  <c r="K1042" i="2"/>
  <c r="J1042" i="2"/>
  <c r="I1042" i="2"/>
  <c r="A1042" i="2"/>
  <c r="K1041" i="2"/>
  <c r="J1041" i="2"/>
  <c r="I1041" i="2"/>
  <c r="A1041" i="2"/>
  <c r="K1040" i="2"/>
  <c r="J1040" i="2"/>
  <c r="I1040" i="2"/>
  <c r="A1040" i="2"/>
  <c r="K1039" i="2"/>
  <c r="J1039" i="2"/>
  <c r="I1039" i="2"/>
  <c r="A1039" i="2"/>
  <c r="K1038" i="2"/>
  <c r="J1038" i="2"/>
  <c r="I1038" i="2"/>
  <c r="A1038" i="2"/>
  <c r="K1037" i="2"/>
  <c r="J1037" i="2"/>
  <c r="I1037" i="2"/>
  <c r="A1037" i="2"/>
  <c r="K1036" i="2"/>
  <c r="J1036" i="2"/>
  <c r="I1036" i="2"/>
  <c r="A1036" i="2"/>
  <c r="K1035" i="2"/>
  <c r="J1035" i="2"/>
  <c r="I1035" i="2"/>
  <c r="A1035" i="2"/>
  <c r="K1034" i="2"/>
  <c r="J1034" i="2"/>
  <c r="I1034" i="2"/>
  <c r="A1034" i="2"/>
  <c r="K1033" i="2"/>
  <c r="J1033" i="2"/>
  <c r="I1033" i="2"/>
  <c r="A1033" i="2"/>
  <c r="K1032" i="2"/>
  <c r="J1032" i="2"/>
  <c r="I1032" i="2"/>
  <c r="A1032" i="2"/>
  <c r="K1031" i="2"/>
  <c r="J1031" i="2"/>
  <c r="I1031" i="2"/>
  <c r="A1031" i="2"/>
  <c r="K1030" i="2"/>
  <c r="J1030" i="2"/>
  <c r="I1030" i="2"/>
  <c r="A1030" i="2"/>
  <c r="K1029" i="2"/>
  <c r="J1029" i="2"/>
  <c r="I1029" i="2"/>
  <c r="A1029" i="2"/>
  <c r="K1028" i="2"/>
  <c r="J1028" i="2"/>
  <c r="I1028" i="2"/>
  <c r="A1028" i="2"/>
  <c r="K1027" i="2"/>
  <c r="J1027" i="2"/>
  <c r="I1027" i="2"/>
  <c r="A1027" i="2"/>
  <c r="K1026" i="2"/>
  <c r="J1026" i="2"/>
  <c r="I1026" i="2"/>
  <c r="A1026" i="2"/>
  <c r="K1025" i="2"/>
  <c r="J1025" i="2"/>
  <c r="I1025" i="2"/>
  <c r="A1025" i="2"/>
  <c r="K1024" i="2"/>
  <c r="J1024" i="2"/>
  <c r="I1024" i="2"/>
  <c r="A1024" i="2"/>
  <c r="K1023" i="2"/>
  <c r="J1023" i="2"/>
  <c r="I1023" i="2"/>
  <c r="A1023" i="2"/>
  <c r="K1022" i="2"/>
  <c r="J1022" i="2"/>
  <c r="I1022" i="2"/>
  <c r="A1022" i="2"/>
  <c r="K1021" i="2"/>
  <c r="J1021" i="2"/>
  <c r="I1021" i="2"/>
  <c r="A1021" i="2"/>
  <c r="K1020" i="2"/>
  <c r="J1020" i="2"/>
  <c r="I1020" i="2"/>
  <c r="A1020" i="2"/>
  <c r="K1019" i="2"/>
  <c r="J1019" i="2"/>
  <c r="I1019" i="2"/>
  <c r="A1019" i="2"/>
  <c r="K1018" i="2"/>
  <c r="J1018" i="2"/>
  <c r="I1018" i="2"/>
  <c r="A1018" i="2"/>
  <c r="K1017" i="2"/>
  <c r="J1017" i="2"/>
  <c r="I1017" i="2"/>
  <c r="A1017" i="2"/>
  <c r="K1016" i="2"/>
  <c r="J1016" i="2"/>
  <c r="I1016" i="2"/>
  <c r="A1016" i="2"/>
  <c r="K1015" i="2"/>
  <c r="J1015" i="2"/>
  <c r="I1015" i="2"/>
  <c r="A1015" i="2"/>
  <c r="K1014" i="2"/>
  <c r="J1014" i="2"/>
  <c r="I1014" i="2"/>
  <c r="A1014" i="2"/>
  <c r="K1013" i="2"/>
  <c r="J1013" i="2"/>
  <c r="I1013" i="2"/>
  <c r="A1013" i="2"/>
  <c r="K1012" i="2"/>
  <c r="J1012" i="2"/>
  <c r="I1012" i="2"/>
  <c r="A1012" i="2"/>
  <c r="K1011" i="2"/>
  <c r="J1011" i="2"/>
  <c r="I1011" i="2"/>
  <c r="A1011" i="2"/>
  <c r="K1010" i="2"/>
  <c r="J1010" i="2"/>
  <c r="I1010" i="2"/>
  <c r="A1010" i="2"/>
  <c r="K1009" i="2"/>
  <c r="J1009" i="2"/>
  <c r="I1009" i="2"/>
  <c r="A1009" i="2"/>
  <c r="K1008" i="2"/>
  <c r="J1008" i="2"/>
  <c r="I1008" i="2"/>
  <c r="A1008" i="2"/>
  <c r="K1007" i="2"/>
  <c r="J1007" i="2"/>
  <c r="I1007" i="2"/>
  <c r="A1007" i="2"/>
  <c r="K1006" i="2"/>
  <c r="J1006" i="2"/>
  <c r="I1006" i="2"/>
  <c r="A1006" i="2"/>
  <c r="K1005" i="2"/>
  <c r="J1005" i="2"/>
  <c r="I1005" i="2"/>
  <c r="A1005" i="2"/>
  <c r="K1004" i="2"/>
  <c r="J1004" i="2"/>
  <c r="I1004" i="2"/>
  <c r="A1004" i="2"/>
  <c r="K1003" i="2"/>
  <c r="J1003" i="2"/>
  <c r="I1003" i="2"/>
  <c r="A1003" i="2"/>
  <c r="K1002" i="2"/>
  <c r="J1002" i="2"/>
  <c r="I1002" i="2"/>
  <c r="A1002" i="2"/>
  <c r="K1001" i="2"/>
  <c r="J1001" i="2"/>
  <c r="I1001" i="2"/>
  <c r="A1001" i="2"/>
  <c r="K1000" i="2"/>
  <c r="J1000" i="2"/>
  <c r="I1000" i="2"/>
  <c r="A1000" i="2"/>
  <c r="K999" i="2"/>
  <c r="J999" i="2"/>
  <c r="I999" i="2"/>
  <c r="A999" i="2"/>
  <c r="K998" i="2"/>
  <c r="J998" i="2"/>
  <c r="I998" i="2"/>
  <c r="A998" i="2"/>
  <c r="K997" i="2"/>
  <c r="J997" i="2"/>
  <c r="I997" i="2"/>
  <c r="A997" i="2"/>
  <c r="K996" i="2"/>
  <c r="J996" i="2"/>
  <c r="I996" i="2"/>
  <c r="A996" i="2"/>
  <c r="K995" i="2"/>
  <c r="J995" i="2"/>
  <c r="I995" i="2"/>
  <c r="A995" i="2"/>
  <c r="K994" i="2"/>
  <c r="J994" i="2"/>
  <c r="I994" i="2"/>
  <c r="A994" i="2"/>
  <c r="K993" i="2"/>
  <c r="J993" i="2"/>
  <c r="I993" i="2"/>
  <c r="A993" i="2"/>
  <c r="K992" i="2"/>
  <c r="J992" i="2"/>
  <c r="I992" i="2"/>
  <c r="A992" i="2"/>
  <c r="K991" i="2"/>
  <c r="J991" i="2"/>
  <c r="I991" i="2"/>
  <c r="A991" i="2"/>
  <c r="K990" i="2"/>
  <c r="J990" i="2"/>
  <c r="I990" i="2"/>
  <c r="A990" i="2"/>
  <c r="K989" i="2"/>
  <c r="J989" i="2"/>
  <c r="I989" i="2"/>
  <c r="A989" i="2"/>
  <c r="K988" i="2"/>
  <c r="J988" i="2"/>
  <c r="I988" i="2"/>
  <c r="A988" i="2"/>
  <c r="K987" i="2"/>
  <c r="J987" i="2"/>
  <c r="I987" i="2"/>
  <c r="A987" i="2"/>
  <c r="K986" i="2"/>
  <c r="J986" i="2"/>
  <c r="I986" i="2"/>
  <c r="A986" i="2"/>
  <c r="K985" i="2"/>
  <c r="J985" i="2"/>
  <c r="I985" i="2"/>
  <c r="A985" i="2"/>
  <c r="K984" i="2"/>
  <c r="J984" i="2"/>
  <c r="I984" i="2"/>
  <c r="A984" i="2"/>
  <c r="K983" i="2"/>
  <c r="J983" i="2"/>
  <c r="I983" i="2"/>
  <c r="A983" i="2"/>
  <c r="K982" i="2"/>
  <c r="J982" i="2"/>
  <c r="I982" i="2"/>
  <c r="A982" i="2"/>
  <c r="K981" i="2"/>
  <c r="J981" i="2"/>
  <c r="I981" i="2"/>
  <c r="A981" i="2"/>
  <c r="K980" i="2"/>
  <c r="J980" i="2"/>
  <c r="I980" i="2"/>
  <c r="A980" i="2"/>
  <c r="K979" i="2"/>
  <c r="J979" i="2"/>
  <c r="I979" i="2"/>
  <c r="A979" i="2"/>
  <c r="K978" i="2"/>
  <c r="J978" i="2"/>
  <c r="I978" i="2"/>
  <c r="A978" i="2"/>
  <c r="K977" i="2"/>
  <c r="J977" i="2"/>
  <c r="I977" i="2"/>
  <c r="A977" i="2"/>
  <c r="K976" i="2"/>
  <c r="J976" i="2"/>
  <c r="I976" i="2"/>
  <c r="A976" i="2"/>
  <c r="K975" i="2"/>
  <c r="J975" i="2"/>
  <c r="I975" i="2"/>
  <c r="A975" i="2"/>
  <c r="K974" i="2"/>
  <c r="J974" i="2"/>
  <c r="I974" i="2"/>
  <c r="A974" i="2"/>
  <c r="K973" i="2"/>
  <c r="J973" i="2"/>
  <c r="I973" i="2"/>
  <c r="A973" i="2"/>
  <c r="K972" i="2"/>
  <c r="J972" i="2"/>
  <c r="I972" i="2"/>
  <c r="A972" i="2"/>
  <c r="K971" i="2"/>
  <c r="J971" i="2"/>
  <c r="I971" i="2"/>
  <c r="A971" i="2"/>
  <c r="K970" i="2"/>
  <c r="J970" i="2"/>
  <c r="I970" i="2"/>
  <c r="A970" i="2"/>
  <c r="K969" i="2"/>
  <c r="J969" i="2"/>
  <c r="I969" i="2"/>
  <c r="A969" i="2"/>
  <c r="K968" i="2"/>
  <c r="J968" i="2"/>
  <c r="I968" i="2"/>
  <c r="A968" i="2"/>
  <c r="K967" i="2"/>
  <c r="J967" i="2"/>
  <c r="I967" i="2"/>
  <c r="A967" i="2"/>
  <c r="K966" i="2"/>
  <c r="J966" i="2"/>
  <c r="I966" i="2"/>
  <c r="A966" i="2"/>
  <c r="K965" i="2"/>
  <c r="J965" i="2"/>
  <c r="I965" i="2"/>
  <c r="A965" i="2"/>
  <c r="K964" i="2"/>
  <c r="J964" i="2"/>
  <c r="I964" i="2"/>
  <c r="A964" i="2"/>
  <c r="K963" i="2"/>
  <c r="J963" i="2"/>
  <c r="I963" i="2"/>
  <c r="A963" i="2"/>
  <c r="K962" i="2"/>
  <c r="J962" i="2"/>
  <c r="I962" i="2"/>
  <c r="A962" i="2"/>
  <c r="K961" i="2"/>
  <c r="J961" i="2"/>
  <c r="I961" i="2"/>
  <c r="A961" i="2"/>
  <c r="K960" i="2"/>
  <c r="J960" i="2"/>
  <c r="I960" i="2"/>
  <c r="A960" i="2"/>
  <c r="K959" i="2"/>
  <c r="J959" i="2"/>
  <c r="I959" i="2"/>
  <c r="A959" i="2"/>
  <c r="K958" i="2"/>
  <c r="J958" i="2"/>
  <c r="I958" i="2"/>
  <c r="A958" i="2"/>
  <c r="K957" i="2"/>
  <c r="J957" i="2"/>
  <c r="I957" i="2"/>
  <c r="A957" i="2"/>
  <c r="K956" i="2"/>
  <c r="J956" i="2"/>
  <c r="I956" i="2"/>
  <c r="A956" i="2"/>
  <c r="K955" i="2"/>
  <c r="J955" i="2"/>
  <c r="I955" i="2"/>
  <c r="A955" i="2"/>
  <c r="K954" i="2"/>
  <c r="J954" i="2"/>
  <c r="I954" i="2"/>
  <c r="A954" i="2"/>
  <c r="K953" i="2"/>
  <c r="J953" i="2"/>
  <c r="I953" i="2"/>
  <c r="A953" i="2"/>
  <c r="K952" i="2"/>
  <c r="J952" i="2"/>
  <c r="I952" i="2"/>
  <c r="A952" i="2"/>
  <c r="K951" i="2"/>
  <c r="J951" i="2"/>
  <c r="I951" i="2"/>
  <c r="A951" i="2"/>
  <c r="K950" i="2"/>
  <c r="J950" i="2"/>
  <c r="I950" i="2"/>
  <c r="A950" i="2"/>
  <c r="K949" i="2"/>
  <c r="J949" i="2"/>
  <c r="I949" i="2"/>
  <c r="A949" i="2"/>
  <c r="K948" i="2"/>
  <c r="J948" i="2"/>
  <c r="I948" i="2"/>
  <c r="A948" i="2"/>
  <c r="K947" i="2"/>
  <c r="J947" i="2"/>
  <c r="I947" i="2"/>
  <c r="A947" i="2"/>
  <c r="K946" i="2"/>
  <c r="J946" i="2"/>
  <c r="I946" i="2"/>
  <c r="A946" i="2"/>
  <c r="K945" i="2"/>
  <c r="J945" i="2"/>
  <c r="I945" i="2"/>
  <c r="A945" i="2"/>
  <c r="K944" i="2"/>
  <c r="J944" i="2"/>
  <c r="I944" i="2"/>
  <c r="A944" i="2"/>
  <c r="K943" i="2"/>
  <c r="J943" i="2"/>
  <c r="I943" i="2"/>
  <c r="A943" i="2"/>
  <c r="K942" i="2"/>
  <c r="J942" i="2"/>
  <c r="I942" i="2"/>
  <c r="A942" i="2"/>
  <c r="K941" i="2"/>
  <c r="J941" i="2"/>
  <c r="I941" i="2"/>
  <c r="A941" i="2"/>
  <c r="K940" i="2"/>
  <c r="J940" i="2"/>
  <c r="I940" i="2"/>
  <c r="A940" i="2"/>
  <c r="K939" i="2"/>
  <c r="J939" i="2"/>
  <c r="I939" i="2"/>
  <c r="A939" i="2"/>
  <c r="K938" i="2"/>
  <c r="J938" i="2"/>
  <c r="I938" i="2"/>
  <c r="A938" i="2"/>
  <c r="K937" i="2"/>
  <c r="J937" i="2"/>
  <c r="I937" i="2"/>
  <c r="A937" i="2"/>
  <c r="K936" i="2"/>
  <c r="J936" i="2"/>
  <c r="I936" i="2"/>
  <c r="A936" i="2"/>
  <c r="K935" i="2"/>
  <c r="J935" i="2"/>
  <c r="I935" i="2"/>
  <c r="A935" i="2"/>
  <c r="K934" i="2"/>
  <c r="J934" i="2"/>
  <c r="I934" i="2"/>
  <c r="A934" i="2"/>
  <c r="K933" i="2"/>
  <c r="J933" i="2"/>
  <c r="I933" i="2"/>
  <c r="A933" i="2"/>
  <c r="K932" i="2"/>
  <c r="J932" i="2"/>
  <c r="I932" i="2"/>
  <c r="A932" i="2"/>
  <c r="K931" i="2"/>
  <c r="J931" i="2"/>
  <c r="I931" i="2"/>
  <c r="A931" i="2"/>
  <c r="K930" i="2"/>
  <c r="J930" i="2"/>
  <c r="I930" i="2"/>
  <c r="A930" i="2"/>
  <c r="K929" i="2"/>
  <c r="J929" i="2"/>
  <c r="I929" i="2"/>
  <c r="A929" i="2"/>
  <c r="K928" i="2"/>
  <c r="J928" i="2"/>
  <c r="I928" i="2"/>
  <c r="A928" i="2"/>
  <c r="K927" i="2"/>
  <c r="J927" i="2"/>
  <c r="I927" i="2"/>
  <c r="A927" i="2"/>
  <c r="K926" i="2"/>
  <c r="J926" i="2"/>
  <c r="I926" i="2"/>
  <c r="A926" i="2"/>
  <c r="K925" i="2"/>
  <c r="J925" i="2"/>
  <c r="I925" i="2"/>
  <c r="A925" i="2"/>
  <c r="K924" i="2"/>
  <c r="J924" i="2"/>
  <c r="I924" i="2"/>
  <c r="A924" i="2"/>
  <c r="K923" i="2"/>
  <c r="J923" i="2"/>
  <c r="I923" i="2"/>
  <c r="A923" i="2"/>
  <c r="K922" i="2"/>
  <c r="J922" i="2"/>
  <c r="I922" i="2"/>
  <c r="A922" i="2"/>
  <c r="K921" i="2"/>
  <c r="J921" i="2"/>
  <c r="I921" i="2"/>
  <c r="A921" i="2"/>
  <c r="K920" i="2"/>
  <c r="J920" i="2"/>
  <c r="I920" i="2"/>
  <c r="A920" i="2"/>
  <c r="K919" i="2"/>
  <c r="J919" i="2"/>
  <c r="I919" i="2"/>
  <c r="A919" i="2"/>
  <c r="K918" i="2"/>
  <c r="J918" i="2"/>
  <c r="I918" i="2"/>
  <c r="A918" i="2"/>
  <c r="K917" i="2"/>
  <c r="J917" i="2"/>
  <c r="I917" i="2"/>
  <c r="A917" i="2"/>
  <c r="K916" i="2"/>
  <c r="J916" i="2"/>
  <c r="I916" i="2"/>
  <c r="A916" i="2"/>
  <c r="K915" i="2"/>
  <c r="J915" i="2"/>
  <c r="I915" i="2"/>
  <c r="A915" i="2"/>
  <c r="K914" i="2"/>
  <c r="J914" i="2"/>
  <c r="I914" i="2"/>
  <c r="A914" i="2"/>
  <c r="K913" i="2"/>
  <c r="J913" i="2"/>
  <c r="I913" i="2"/>
  <c r="A913" i="2"/>
  <c r="K912" i="2"/>
  <c r="J912" i="2"/>
  <c r="I912" i="2"/>
  <c r="A912" i="2"/>
  <c r="K911" i="2"/>
  <c r="J911" i="2"/>
  <c r="I911" i="2"/>
  <c r="A911" i="2"/>
  <c r="K910" i="2"/>
  <c r="J910" i="2"/>
  <c r="I910" i="2"/>
  <c r="A910" i="2"/>
  <c r="K909" i="2"/>
  <c r="J909" i="2"/>
  <c r="I909" i="2"/>
  <c r="A909" i="2"/>
  <c r="K908" i="2"/>
  <c r="J908" i="2"/>
  <c r="I908" i="2"/>
  <c r="A908" i="2"/>
  <c r="K907" i="2"/>
  <c r="J907" i="2"/>
  <c r="I907" i="2"/>
  <c r="A907" i="2"/>
  <c r="K906" i="2"/>
  <c r="J906" i="2"/>
  <c r="I906" i="2"/>
  <c r="A906" i="2"/>
  <c r="K905" i="2"/>
  <c r="J905" i="2"/>
  <c r="I905" i="2"/>
  <c r="A905" i="2"/>
  <c r="K904" i="2"/>
  <c r="J904" i="2"/>
  <c r="I904" i="2"/>
  <c r="A904" i="2"/>
  <c r="K903" i="2"/>
  <c r="J903" i="2"/>
  <c r="I903" i="2"/>
  <c r="A903" i="2"/>
  <c r="K902" i="2"/>
  <c r="J902" i="2"/>
  <c r="I902" i="2"/>
  <c r="A902" i="2"/>
  <c r="K901" i="2"/>
  <c r="J901" i="2"/>
  <c r="I901" i="2"/>
  <c r="A901" i="2"/>
  <c r="K900" i="2"/>
  <c r="J900" i="2"/>
  <c r="I900" i="2"/>
  <c r="A900" i="2"/>
  <c r="K899" i="2"/>
  <c r="J899" i="2"/>
  <c r="I899" i="2"/>
  <c r="A899" i="2"/>
  <c r="K898" i="2"/>
  <c r="J898" i="2"/>
  <c r="I898" i="2"/>
  <c r="A898" i="2"/>
  <c r="K897" i="2"/>
  <c r="J897" i="2"/>
  <c r="I897" i="2"/>
  <c r="A897" i="2"/>
  <c r="K896" i="2"/>
  <c r="J896" i="2"/>
  <c r="I896" i="2"/>
  <c r="A896" i="2"/>
  <c r="K895" i="2"/>
  <c r="J895" i="2"/>
  <c r="I895" i="2"/>
  <c r="A895" i="2"/>
  <c r="K894" i="2"/>
  <c r="J894" i="2"/>
  <c r="I894" i="2"/>
  <c r="A894" i="2"/>
  <c r="K893" i="2"/>
  <c r="J893" i="2"/>
  <c r="I893" i="2"/>
  <c r="A893" i="2"/>
  <c r="K892" i="2"/>
  <c r="J892" i="2"/>
  <c r="I892" i="2"/>
  <c r="A892" i="2"/>
  <c r="K891" i="2"/>
  <c r="J891" i="2"/>
  <c r="I891" i="2"/>
  <c r="A891" i="2"/>
  <c r="K890" i="2"/>
  <c r="J890" i="2"/>
  <c r="I890" i="2"/>
  <c r="A890" i="2"/>
  <c r="K889" i="2"/>
  <c r="J889" i="2"/>
  <c r="I889" i="2"/>
  <c r="A889" i="2"/>
  <c r="K888" i="2"/>
  <c r="J888" i="2"/>
  <c r="I888" i="2"/>
  <c r="A888" i="2"/>
  <c r="K887" i="2"/>
  <c r="J887" i="2"/>
  <c r="I887" i="2"/>
  <c r="A887" i="2"/>
  <c r="K886" i="2"/>
  <c r="J886" i="2"/>
  <c r="I886" i="2"/>
  <c r="A886" i="2"/>
  <c r="K885" i="2"/>
  <c r="J885" i="2"/>
  <c r="I885" i="2"/>
  <c r="A885" i="2"/>
  <c r="K884" i="2"/>
  <c r="J884" i="2"/>
  <c r="I884" i="2"/>
  <c r="A884" i="2"/>
  <c r="K883" i="2"/>
  <c r="J883" i="2"/>
  <c r="I883" i="2"/>
  <c r="A883" i="2"/>
  <c r="K882" i="2"/>
  <c r="J882" i="2"/>
  <c r="I882" i="2"/>
  <c r="A882" i="2"/>
  <c r="K881" i="2"/>
  <c r="J881" i="2"/>
  <c r="I881" i="2"/>
  <c r="A881" i="2"/>
  <c r="K880" i="2"/>
  <c r="J880" i="2"/>
  <c r="I880" i="2"/>
  <c r="A880" i="2"/>
  <c r="K879" i="2"/>
  <c r="J879" i="2"/>
  <c r="I879" i="2"/>
  <c r="A879" i="2"/>
  <c r="K878" i="2"/>
  <c r="J878" i="2"/>
  <c r="I878" i="2"/>
  <c r="A878" i="2"/>
  <c r="K877" i="2"/>
  <c r="J877" i="2"/>
  <c r="I877" i="2"/>
  <c r="A877" i="2"/>
  <c r="K876" i="2"/>
  <c r="J876" i="2"/>
  <c r="I876" i="2"/>
  <c r="A876" i="2"/>
  <c r="K875" i="2"/>
  <c r="J875" i="2"/>
  <c r="I875" i="2"/>
  <c r="A875" i="2"/>
  <c r="K874" i="2"/>
  <c r="J874" i="2"/>
  <c r="I874" i="2"/>
  <c r="A874" i="2"/>
  <c r="K873" i="2"/>
  <c r="J873" i="2"/>
  <c r="I873" i="2"/>
  <c r="A873" i="2"/>
  <c r="K872" i="2"/>
  <c r="J872" i="2"/>
  <c r="I872" i="2"/>
  <c r="A872" i="2"/>
  <c r="K871" i="2"/>
  <c r="J871" i="2"/>
  <c r="I871" i="2"/>
  <c r="A871" i="2"/>
  <c r="K870" i="2"/>
  <c r="J870" i="2"/>
  <c r="I870" i="2"/>
  <c r="A870" i="2"/>
  <c r="K869" i="2"/>
  <c r="J869" i="2"/>
  <c r="I869" i="2"/>
  <c r="A869" i="2"/>
  <c r="K868" i="2"/>
  <c r="J868" i="2"/>
  <c r="I868" i="2"/>
  <c r="A868" i="2"/>
  <c r="K867" i="2"/>
  <c r="J867" i="2"/>
  <c r="I867" i="2"/>
  <c r="A867" i="2"/>
  <c r="K866" i="2"/>
  <c r="J866" i="2"/>
  <c r="I866" i="2"/>
  <c r="A866" i="2"/>
  <c r="K865" i="2"/>
  <c r="J865" i="2"/>
  <c r="I865" i="2"/>
  <c r="A865" i="2"/>
  <c r="K864" i="2"/>
  <c r="J864" i="2"/>
  <c r="I864" i="2"/>
  <c r="A864" i="2"/>
  <c r="K863" i="2"/>
  <c r="J863" i="2"/>
  <c r="I863" i="2"/>
  <c r="A863" i="2"/>
  <c r="K862" i="2"/>
  <c r="J862" i="2"/>
  <c r="I862" i="2"/>
  <c r="A862" i="2"/>
  <c r="K861" i="2"/>
  <c r="J861" i="2"/>
  <c r="I861" i="2"/>
  <c r="A861" i="2"/>
  <c r="K860" i="2"/>
  <c r="J860" i="2"/>
  <c r="I860" i="2"/>
  <c r="A860" i="2"/>
  <c r="K859" i="2"/>
  <c r="J859" i="2"/>
  <c r="I859" i="2"/>
  <c r="A859" i="2"/>
  <c r="K858" i="2"/>
  <c r="J858" i="2"/>
  <c r="I858" i="2"/>
  <c r="A858" i="2"/>
  <c r="K857" i="2"/>
  <c r="J857" i="2"/>
  <c r="I857" i="2"/>
  <c r="A857" i="2"/>
  <c r="K856" i="2"/>
  <c r="J856" i="2"/>
  <c r="I856" i="2"/>
  <c r="A856" i="2"/>
  <c r="K855" i="2"/>
  <c r="J855" i="2"/>
  <c r="I855" i="2"/>
  <c r="A855" i="2"/>
  <c r="K854" i="2"/>
  <c r="J854" i="2"/>
  <c r="I854" i="2"/>
  <c r="A854" i="2"/>
  <c r="K853" i="2"/>
  <c r="J853" i="2"/>
  <c r="I853" i="2"/>
  <c r="A853" i="2"/>
  <c r="K852" i="2"/>
  <c r="J852" i="2"/>
  <c r="I852" i="2"/>
  <c r="A852" i="2"/>
  <c r="K851" i="2"/>
  <c r="J851" i="2"/>
  <c r="I851" i="2"/>
  <c r="A851" i="2"/>
  <c r="K850" i="2"/>
  <c r="J850" i="2"/>
  <c r="I850" i="2"/>
  <c r="A850" i="2"/>
  <c r="K849" i="2"/>
  <c r="J849" i="2"/>
  <c r="I849" i="2"/>
  <c r="A849" i="2"/>
  <c r="K848" i="2"/>
  <c r="J848" i="2"/>
  <c r="I848" i="2"/>
  <c r="A848" i="2"/>
  <c r="K847" i="2"/>
  <c r="J847" i="2"/>
  <c r="I847" i="2"/>
  <c r="A847" i="2"/>
  <c r="K846" i="2"/>
  <c r="J846" i="2"/>
  <c r="I846" i="2"/>
  <c r="A846" i="2"/>
  <c r="K845" i="2"/>
  <c r="J845" i="2"/>
  <c r="I845" i="2"/>
  <c r="A845" i="2"/>
  <c r="K844" i="2"/>
  <c r="J844" i="2"/>
  <c r="I844" i="2"/>
  <c r="A844" i="2"/>
  <c r="K843" i="2"/>
  <c r="J843" i="2"/>
  <c r="I843" i="2"/>
  <c r="A843" i="2"/>
  <c r="K842" i="2"/>
  <c r="J842" i="2"/>
  <c r="I842" i="2"/>
  <c r="A842" i="2"/>
  <c r="K841" i="2"/>
  <c r="J841" i="2"/>
  <c r="I841" i="2"/>
  <c r="A841" i="2"/>
  <c r="K840" i="2"/>
  <c r="J840" i="2"/>
  <c r="I840" i="2"/>
  <c r="A840" i="2"/>
  <c r="K839" i="2"/>
  <c r="J839" i="2"/>
  <c r="I839" i="2"/>
  <c r="A839" i="2"/>
  <c r="K838" i="2"/>
  <c r="J838" i="2"/>
  <c r="I838" i="2"/>
  <c r="A838" i="2"/>
  <c r="K837" i="2"/>
  <c r="J837" i="2"/>
  <c r="I837" i="2"/>
  <c r="A837" i="2"/>
  <c r="K836" i="2"/>
  <c r="J836" i="2"/>
  <c r="I836" i="2"/>
  <c r="A836" i="2"/>
  <c r="K835" i="2"/>
  <c r="J835" i="2"/>
  <c r="I835" i="2"/>
  <c r="A835" i="2"/>
  <c r="K834" i="2"/>
  <c r="J834" i="2"/>
  <c r="I834" i="2"/>
  <c r="A834" i="2"/>
  <c r="K833" i="2"/>
  <c r="J833" i="2"/>
  <c r="I833" i="2"/>
  <c r="A833" i="2"/>
  <c r="K832" i="2"/>
  <c r="J832" i="2"/>
  <c r="I832" i="2"/>
  <c r="A832" i="2"/>
  <c r="K831" i="2"/>
  <c r="J831" i="2"/>
  <c r="I831" i="2"/>
  <c r="A831" i="2"/>
  <c r="K830" i="2"/>
  <c r="J830" i="2"/>
  <c r="I830" i="2"/>
  <c r="A830" i="2"/>
  <c r="K829" i="2"/>
  <c r="J829" i="2"/>
  <c r="I829" i="2"/>
  <c r="A829" i="2"/>
  <c r="K828" i="2"/>
  <c r="J828" i="2"/>
  <c r="I828" i="2"/>
  <c r="A828" i="2"/>
  <c r="K827" i="2"/>
  <c r="J827" i="2"/>
  <c r="I827" i="2"/>
  <c r="A827" i="2"/>
  <c r="K826" i="2"/>
  <c r="J826" i="2"/>
  <c r="I826" i="2"/>
  <c r="A826" i="2"/>
  <c r="K825" i="2"/>
  <c r="J825" i="2"/>
  <c r="I825" i="2"/>
  <c r="A825" i="2"/>
  <c r="K824" i="2"/>
  <c r="J824" i="2"/>
  <c r="I824" i="2"/>
  <c r="A824" i="2"/>
  <c r="K823" i="2"/>
  <c r="J823" i="2"/>
  <c r="I823" i="2"/>
  <c r="A823" i="2"/>
  <c r="K822" i="2"/>
  <c r="J822" i="2"/>
  <c r="I822" i="2"/>
  <c r="A822" i="2"/>
  <c r="K821" i="2"/>
  <c r="J821" i="2"/>
  <c r="I821" i="2"/>
  <c r="A821" i="2"/>
  <c r="K820" i="2"/>
  <c r="J820" i="2"/>
  <c r="I820" i="2"/>
  <c r="A820" i="2"/>
  <c r="K819" i="2"/>
  <c r="J819" i="2"/>
  <c r="I819" i="2"/>
  <c r="A819" i="2"/>
  <c r="K818" i="2"/>
  <c r="J818" i="2"/>
  <c r="I818" i="2"/>
  <c r="A818" i="2"/>
  <c r="K817" i="2"/>
  <c r="J817" i="2"/>
  <c r="I817" i="2"/>
  <c r="A817" i="2"/>
  <c r="K816" i="2"/>
  <c r="J816" i="2"/>
  <c r="I816" i="2"/>
  <c r="A816" i="2"/>
  <c r="K815" i="2"/>
  <c r="J815" i="2"/>
  <c r="I815" i="2"/>
  <c r="A815" i="2"/>
  <c r="K814" i="2"/>
  <c r="J814" i="2"/>
  <c r="I814" i="2"/>
  <c r="A814" i="2"/>
  <c r="K813" i="2"/>
  <c r="J813" i="2"/>
  <c r="I813" i="2"/>
  <c r="A813" i="2"/>
  <c r="K812" i="2"/>
  <c r="J812" i="2"/>
  <c r="I812" i="2"/>
  <c r="A812" i="2"/>
  <c r="K811" i="2"/>
  <c r="J811" i="2"/>
  <c r="I811" i="2"/>
  <c r="A811" i="2"/>
  <c r="K810" i="2"/>
  <c r="J810" i="2"/>
  <c r="I810" i="2"/>
  <c r="A810" i="2"/>
  <c r="K809" i="2"/>
  <c r="J809" i="2"/>
  <c r="I809" i="2"/>
  <c r="A809" i="2"/>
  <c r="K808" i="2"/>
  <c r="J808" i="2"/>
  <c r="I808" i="2"/>
  <c r="A808" i="2"/>
  <c r="K807" i="2"/>
  <c r="J807" i="2"/>
  <c r="I807" i="2"/>
  <c r="A807" i="2"/>
  <c r="K806" i="2"/>
  <c r="J806" i="2"/>
  <c r="I806" i="2"/>
  <c r="A806" i="2"/>
  <c r="K805" i="2"/>
  <c r="J805" i="2"/>
  <c r="I805" i="2"/>
  <c r="A805" i="2"/>
  <c r="K804" i="2"/>
  <c r="J804" i="2"/>
  <c r="I804" i="2"/>
  <c r="A804" i="2"/>
  <c r="K803" i="2"/>
  <c r="J803" i="2"/>
  <c r="I803" i="2"/>
  <c r="A803" i="2"/>
  <c r="K802" i="2"/>
  <c r="J802" i="2"/>
  <c r="I802" i="2"/>
  <c r="A802" i="2"/>
  <c r="K801" i="2"/>
  <c r="J801" i="2"/>
  <c r="I801" i="2"/>
  <c r="A801" i="2"/>
  <c r="K800" i="2"/>
  <c r="J800" i="2"/>
  <c r="I800" i="2"/>
  <c r="A800" i="2"/>
  <c r="K799" i="2"/>
  <c r="J799" i="2"/>
  <c r="I799" i="2"/>
  <c r="A799" i="2"/>
  <c r="K798" i="2"/>
  <c r="J798" i="2"/>
  <c r="I798" i="2"/>
  <c r="A798" i="2"/>
  <c r="K797" i="2"/>
  <c r="J797" i="2"/>
  <c r="I797" i="2"/>
  <c r="A797" i="2"/>
  <c r="K796" i="2"/>
  <c r="J796" i="2"/>
  <c r="I796" i="2"/>
  <c r="A796" i="2"/>
  <c r="K795" i="2"/>
  <c r="J795" i="2"/>
  <c r="I795" i="2"/>
  <c r="A795" i="2"/>
  <c r="K794" i="2"/>
  <c r="J794" i="2"/>
  <c r="I794" i="2"/>
  <c r="A794" i="2"/>
  <c r="K793" i="2"/>
  <c r="J793" i="2"/>
  <c r="I793" i="2"/>
  <c r="A793" i="2"/>
  <c r="K792" i="2"/>
  <c r="J792" i="2"/>
  <c r="I792" i="2"/>
  <c r="A792" i="2"/>
  <c r="K791" i="2"/>
  <c r="J791" i="2"/>
  <c r="I791" i="2"/>
  <c r="A791" i="2"/>
  <c r="K790" i="2"/>
  <c r="J790" i="2"/>
  <c r="I790" i="2"/>
  <c r="A790" i="2"/>
  <c r="K789" i="2"/>
  <c r="J789" i="2"/>
  <c r="I789" i="2"/>
  <c r="A789" i="2"/>
  <c r="K788" i="2"/>
  <c r="J788" i="2"/>
  <c r="I788" i="2"/>
  <c r="A788" i="2"/>
  <c r="K787" i="2"/>
  <c r="J787" i="2"/>
  <c r="I787" i="2"/>
  <c r="A787" i="2"/>
  <c r="K786" i="2"/>
  <c r="J786" i="2"/>
  <c r="I786" i="2"/>
  <c r="E786" i="2"/>
  <c r="A786" i="2"/>
  <c r="K785" i="2"/>
  <c r="J785" i="2"/>
  <c r="I785" i="2"/>
  <c r="E785" i="2"/>
  <c r="A785" i="2"/>
  <c r="K784" i="2"/>
  <c r="J784" i="2"/>
  <c r="I784" i="2"/>
  <c r="G784" i="2"/>
  <c r="E784" i="2"/>
  <c r="A784" i="2"/>
  <c r="K783" i="2"/>
  <c r="J783" i="2"/>
  <c r="I783" i="2"/>
  <c r="G783" i="2"/>
  <c r="E783" i="2"/>
  <c r="A783" i="2"/>
  <c r="K782" i="2"/>
  <c r="J782" i="2"/>
  <c r="I782" i="2"/>
  <c r="G782" i="2"/>
  <c r="E782" i="2"/>
  <c r="A782" i="2"/>
  <c r="K781" i="2"/>
  <c r="J781" i="2"/>
  <c r="I781" i="2"/>
  <c r="G781" i="2"/>
  <c r="E781" i="2"/>
  <c r="A781" i="2"/>
  <c r="K780" i="2"/>
  <c r="J780" i="2"/>
  <c r="I780" i="2"/>
  <c r="G780" i="2"/>
  <c r="E780" i="2"/>
  <c r="A780" i="2"/>
  <c r="K779" i="2"/>
  <c r="J779" i="2"/>
  <c r="I779" i="2"/>
  <c r="G779" i="2"/>
  <c r="E779" i="2"/>
  <c r="A779" i="2"/>
  <c r="K778" i="2"/>
  <c r="J778" i="2"/>
  <c r="I778" i="2"/>
  <c r="G778" i="2"/>
  <c r="E778" i="2"/>
  <c r="A778" i="2"/>
  <c r="K777" i="2"/>
  <c r="J777" i="2"/>
  <c r="I777" i="2"/>
  <c r="G777" i="2"/>
  <c r="E777" i="2"/>
  <c r="F777" i="2" s="1"/>
  <c r="A777" i="2"/>
  <c r="K776" i="2"/>
  <c r="J776" i="2"/>
  <c r="I776" i="2"/>
  <c r="G776" i="2"/>
  <c r="E776" i="2"/>
  <c r="A776" i="2"/>
  <c r="K775" i="2"/>
  <c r="J775" i="2"/>
  <c r="I775" i="2"/>
  <c r="G775" i="2"/>
  <c r="E775" i="2"/>
  <c r="A775" i="2"/>
  <c r="K774" i="2"/>
  <c r="J774" i="2"/>
  <c r="I774" i="2"/>
  <c r="G774" i="2"/>
  <c r="E774" i="2"/>
  <c r="A774" i="2"/>
  <c r="K773" i="2"/>
  <c r="J773" i="2"/>
  <c r="I773" i="2"/>
  <c r="G773" i="2"/>
  <c r="E773" i="2"/>
  <c r="A773" i="2"/>
  <c r="K772" i="2"/>
  <c r="J772" i="2"/>
  <c r="I772" i="2"/>
  <c r="G772" i="2"/>
  <c r="E772" i="2"/>
  <c r="A772" i="2"/>
  <c r="K771" i="2"/>
  <c r="J771" i="2"/>
  <c r="I771" i="2"/>
  <c r="G771" i="2"/>
  <c r="E771" i="2"/>
  <c r="A771" i="2"/>
  <c r="K770" i="2"/>
  <c r="J770" i="2"/>
  <c r="I770" i="2"/>
  <c r="G770" i="2"/>
  <c r="E770" i="2"/>
  <c r="A770" i="2"/>
  <c r="K769" i="2"/>
  <c r="J769" i="2"/>
  <c r="I769" i="2"/>
  <c r="G769" i="2"/>
  <c r="E769" i="2"/>
  <c r="F769" i="2" s="1"/>
  <c r="A769" i="2"/>
  <c r="K768" i="2"/>
  <c r="J768" i="2"/>
  <c r="I768" i="2"/>
  <c r="G768" i="2"/>
  <c r="E768" i="2"/>
  <c r="A768" i="2"/>
  <c r="K767" i="2"/>
  <c r="J767" i="2"/>
  <c r="I767" i="2"/>
  <c r="G767" i="2"/>
  <c r="E767" i="2"/>
  <c r="A767" i="2"/>
  <c r="K766" i="2"/>
  <c r="J766" i="2"/>
  <c r="I766" i="2"/>
  <c r="G766" i="2"/>
  <c r="E766" i="2"/>
  <c r="A766" i="2"/>
  <c r="K765" i="2"/>
  <c r="J765" i="2"/>
  <c r="I765" i="2"/>
  <c r="G765" i="2"/>
  <c r="E765" i="2"/>
  <c r="A765" i="2"/>
  <c r="K764" i="2"/>
  <c r="J764" i="2"/>
  <c r="I764" i="2"/>
  <c r="G764" i="2"/>
  <c r="E764" i="2"/>
  <c r="A764" i="2"/>
  <c r="K763" i="2"/>
  <c r="J763" i="2"/>
  <c r="I763" i="2"/>
  <c r="G763" i="2"/>
  <c r="E763" i="2"/>
  <c r="A763" i="2"/>
  <c r="K762" i="2"/>
  <c r="J762" i="2"/>
  <c r="I762" i="2"/>
  <c r="G762" i="2"/>
  <c r="E762" i="2"/>
  <c r="A762" i="2"/>
  <c r="K761" i="2"/>
  <c r="J761" i="2"/>
  <c r="I761" i="2"/>
  <c r="G761" i="2"/>
  <c r="E761" i="2"/>
  <c r="A761" i="2"/>
  <c r="K760" i="2"/>
  <c r="J760" i="2"/>
  <c r="I760" i="2"/>
  <c r="G760" i="2"/>
  <c r="E760" i="2"/>
  <c r="A760" i="2"/>
  <c r="K759" i="2"/>
  <c r="J759" i="2"/>
  <c r="I759" i="2"/>
  <c r="G759" i="2"/>
  <c r="E759" i="2"/>
  <c r="A759" i="2"/>
  <c r="K758" i="2"/>
  <c r="J758" i="2"/>
  <c r="I758" i="2"/>
  <c r="G758" i="2"/>
  <c r="E758" i="2"/>
  <c r="A758" i="2"/>
  <c r="K757" i="2"/>
  <c r="J757" i="2"/>
  <c r="I757" i="2"/>
  <c r="G757" i="2"/>
  <c r="E757" i="2"/>
  <c r="A757" i="2"/>
  <c r="K756" i="2"/>
  <c r="J756" i="2"/>
  <c r="I756" i="2"/>
  <c r="G756" i="2"/>
  <c r="E756" i="2"/>
  <c r="A756" i="2"/>
  <c r="K755" i="2"/>
  <c r="J755" i="2"/>
  <c r="I755" i="2"/>
  <c r="G755" i="2"/>
  <c r="E755" i="2"/>
  <c r="A755" i="2"/>
  <c r="K754" i="2"/>
  <c r="J754" i="2"/>
  <c r="I754" i="2"/>
  <c r="G754" i="2"/>
  <c r="E754" i="2"/>
  <c r="A754" i="2"/>
  <c r="K753" i="2"/>
  <c r="J753" i="2"/>
  <c r="I753" i="2"/>
  <c r="G753" i="2"/>
  <c r="E753" i="2"/>
  <c r="A753" i="2"/>
  <c r="K752" i="2"/>
  <c r="J752" i="2"/>
  <c r="I752" i="2"/>
  <c r="G752" i="2"/>
  <c r="E752" i="2"/>
  <c r="A752" i="2"/>
  <c r="K751" i="2"/>
  <c r="J751" i="2"/>
  <c r="I751" i="2"/>
  <c r="G751" i="2"/>
  <c r="E751" i="2"/>
  <c r="A751" i="2"/>
  <c r="K750" i="2"/>
  <c r="J750" i="2"/>
  <c r="I750" i="2"/>
  <c r="G750" i="2"/>
  <c r="E750" i="2"/>
  <c r="A750" i="2"/>
  <c r="K749" i="2"/>
  <c r="J749" i="2"/>
  <c r="I749" i="2"/>
  <c r="G749" i="2"/>
  <c r="E749" i="2"/>
  <c r="A749" i="2"/>
  <c r="K748" i="2"/>
  <c r="J748" i="2"/>
  <c r="I748" i="2"/>
  <c r="G748" i="2"/>
  <c r="E748" i="2"/>
  <c r="A748" i="2"/>
  <c r="K747" i="2"/>
  <c r="J747" i="2"/>
  <c r="I747" i="2"/>
  <c r="G747" i="2"/>
  <c r="E747" i="2"/>
  <c r="A747" i="2"/>
  <c r="K746" i="2"/>
  <c r="J746" i="2"/>
  <c r="I746" i="2"/>
  <c r="G746" i="2"/>
  <c r="E746" i="2"/>
  <c r="A746" i="2"/>
  <c r="K745" i="2"/>
  <c r="J745" i="2"/>
  <c r="I745" i="2"/>
  <c r="G745" i="2"/>
  <c r="E745" i="2"/>
  <c r="A745" i="2"/>
  <c r="K744" i="2"/>
  <c r="J744" i="2"/>
  <c r="I744" i="2"/>
  <c r="G744" i="2"/>
  <c r="E744" i="2"/>
  <c r="A744" i="2"/>
  <c r="K743" i="2"/>
  <c r="J743" i="2"/>
  <c r="I743" i="2"/>
  <c r="G743" i="2"/>
  <c r="E743" i="2"/>
  <c r="A743" i="2"/>
  <c r="K742" i="2"/>
  <c r="J742" i="2"/>
  <c r="I742" i="2"/>
  <c r="G742" i="2"/>
  <c r="E742" i="2"/>
  <c r="A742" i="2"/>
  <c r="K741" i="2"/>
  <c r="J741" i="2"/>
  <c r="I741" i="2"/>
  <c r="G741" i="2"/>
  <c r="E741" i="2"/>
  <c r="A741" i="2"/>
  <c r="K740" i="2"/>
  <c r="J740" i="2"/>
  <c r="I740" i="2"/>
  <c r="G740" i="2"/>
  <c r="E740" i="2"/>
  <c r="A740" i="2"/>
  <c r="K739" i="2"/>
  <c r="J739" i="2"/>
  <c r="I739" i="2"/>
  <c r="G739" i="2"/>
  <c r="E739" i="2"/>
  <c r="A739" i="2"/>
  <c r="K738" i="2"/>
  <c r="J738" i="2"/>
  <c r="I738" i="2"/>
  <c r="G738" i="2"/>
  <c r="E738" i="2"/>
  <c r="A738" i="2"/>
  <c r="K737" i="2"/>
  <c r="J737" i="2"/>
  <c r="I737" i="2"/>
  <c r="G737" i="2"/>
  <c r="E737" i="2"/>
  <c r="A737" i="2"/>
  <c r="K736" i="2"/>
  <c r="J736" i="2"/>
  <c r="I736" i="2"/>
  <c r="G736" i="2"/>
  <c r="E736" i="2"/>
  <c r="A736" i="2"/>
  <c r="K735" i="2"/>
  <c r="J735" i="2"/>
  <c r="I735" i="2"/>
  <c r="G735" i="2"/>
  <c r="E735" i="2"/>
  <c r="A735" i="2"/>
  <c r="K734" i="2"/>
  <c r="J734" i="2"/>
  <c r="I734" i="2"/>
  <c r="G734" i="2"/>
  <c r="E734" i="2"/>
  <c r="A734" i="2"/>
  <c r="K733" i="2"/>
  <c r="J733" i="2"/>
  <c r="I733" i="2"/>
  <c r="G733" i="2"/>
  <c r="E733" i="2"/>
  <c r="A733" i="2"/>
  <c r="K732" i="2"/>
  <c r="J732" i="2"/>
  <c r="I732" i="2"/>
  <c r="G732" i="2"/>
  <c r="E732" i="2"/>
  <c r="A732" i="2"/>
  <c r="K731" i="2"/>
  <c r="J731" i="2"/>
  <c r="I731" i="2"/>
  <c r="G731" i="2"/>
  <c r="E731" i="2"/>
  <c r="A731" i="2"/>
  <c r="K730" i="2"/>
  <c r="J730" i="2"/>
  <c r="I730" i="2"/>
  <c r="G730" i="2"/>
  <c r="E730" i="2"/>
  <c r="A730" i="2"/>
  <c r="K729" i="2"/>
  <c r="J729" i="2"/>
  <c r="I729" i="2"/>
  <c r="G729" i="2"/>
  <c r="E729" i="2"/>
  <c r="A729" i="2"/>
  <c r="K728" i="2"/>
  <c r="J728" i="2"/>
  <c r="I728" i="2"/>
  <c r="G728" i="2"/>
  <c r="E728" i="2"/>
  <c r="A728" i="2"/>
  <c r="K727" i="2"/>
  <c r="J727" i="2"/>
  <c r="I727" i="2"/>
  <c r="G727" i="2"/>
  <c r="E727" i="2"/>
  <c r="A727" i="2"/>
  <c r="K726" i="2"/>
  <c r="J726" i="2"/>
  <c r="I726" i="2"/>
  <c r="G726" i="2"/>
  <c r="E726" i="2"/>
  <c r="A726" i="2"/>
  <c r="K725" i="2"/>
  <c r="J725" i="2"/>
  <c r="I725" i="2"/>
  <c r="G725" i="2"/>
  <c r="E725" i="2"/>
  <c r="A725" i="2"/>
  <c r="K724" i="2"/>
  <c r="J724" i="2"/>
  <c r="I724" i="2"/>
  <c r="G724" i="2"/>
  <c r="E724" i="2"/>
  <c r="A724" i="2"/>
  <c r="K723" i="2"/>
  <c r="J723" i="2"/>
  <c r="I723" i="2"/>
  <c r="G723" i="2"/>
  <c r="E723" i="2"/>
  <c r="A723" i="2"/>
  <c r="K722" i="2"/>
  <c r="J722" i="2"/>
  <c r="I722" i="2"/>
  <c r="G722" i="2"/>
  <c r="E722" i="2"/>
  <c r="F722" i="2" s="1"/>
  <c r="A722" i="2"/>
  <c r="K721" i="2"/>
  <c r="J721" i="2"/>
  <c r="I721" i="2"/>
  <c r="G721" i="2"/>
  <c r="E721" i="2"/>
  <c r="A721" i="2"/>
  <c r="K720" i="2"/>
  <c r="J720" i="2"/>
  <c r="I720" i="2"/>
  <c r="G720" i="2"/>
  <c r="E720" i="2"/>
  <c r="A720" i="2"/>
  <c r="K719" i="2"/>
  <c r="J719" i="2"/>
  <c r="I719" i="2"/>
  <c r="G719" i="2"/>
  <c r="E719" i="2"/>
  <c r="A719" i="2"/>
  <c r="K718" i="2"/>
  <c r="J718" i="2"/>
  <c r="I718" i="2"/>
  <c r="G718" i="2"/>
  <c r="E718" i="2"/>
  <c r="A718" i="2"/>
  <c r="K717" i="2"/>
  <c r="J717" i="2"/>
  <c r="I717" i="2"/>
  <c r="G717" i="2"/>
  <c r="E717" i="2"/>
  <c r="A717" i="2"/>
  <c r="K716" i="2"/>
  <c r="J716" i="2"/>
  <c r="I716" i="2"/>
  <c r="G716" i="2"/>
  <c r="E716" i="2"/>
  <c r="A716" i="2"/>
  <c r="K715" i="2"/>
  <c r="J715" i="2"/>
  <c r="I715" i="2"/>
  <c r="G715" i="2"/>
  <c r="E715" i="2"/>
  <c r="A715" i="2"/>
  <c r="K714" i="2"/>
  <c r="J714" i="2"/>
  <c r="I714" i="2"/>
  <c r="G714" i="2"/>
  <c r="E714" i="2"/>
  <c r="A714" i="2"/>
  <c r="K713" i="2"/>
  <c r="J713" i="2"/>
  <c r="I713" i="2"/>
  <c r="G713" i="2"/>
  <c r="E713" i="2"/>
  <c r="A713" i="2"/>
  <c r="K712" i="2"/>
  <c r="J712" i="2"/>
  <c r="I712" i="2"/>
  <c r="G712" i="2"/>
  <c r="E712" i="2"/>
  <c r="A712" i="2"/>
  <c r="K711" i="2"/>
  <c r="J711" i="2"/>
  <c r="I711" i="2"/>
  <c r="G711" i="2"/>
  <c r="E711" i="2"/>
  <c r="F711" i="2" s="1"/>
  <c r="A711" i="2"/>
  <c r="K710" i="2"/>
  <c r="J710" i="2"/>
  <c r="I710" i="2"/>
  <c r="G710" i="2"/>
  <c r="E710" i="2"/>
  <c r="A710" i="2"/>
  <c r="K709" i="2"/>
  <c r="J709" i="2"/>
  <c r="I709" i="2"/>
  <c r="G709" i="2"/>
  <c r="E709" i="2"/>
  <c r="A709" i="2"/>
  <c r="K708" i="2"/>
  <c r="J708" i="2"/>
  <c r="I708" i="2"/>
  <c r="G708" i="2"/>
  <c r="E708" i="2"/>
  <c r="A708" i="2"/>
  <c r="K707" i="2"/>
  <c r="J707" i="2"/>
  <c r="I707" i="2"/>
  <c r="G707" i="2"/>
  <c r="E707" i="2"/>
  <c r="A707" i="2"/>
  <c r="K706" i="2"/>
  <c r="J706" i="2"/>
  <c r="I706" i="2"/>
  <c r="G706" i="2"/>
  <c r="E706" i="2"/>
  <c r="A706" i="2"/>
  <c r="K705" i="2"/>
  <c r="J705" i="2"/>
  <c r="I705" i="2"/>
  <c r="G705" i="2"/>
  <c r="E705" i="2"/>
  <c r="A705" i="2"/>
  <c r="K704" i="2"/>
  <c r="J704" i="2"/>
  <c r="I704" i="2"/>
  <c r="G704" i="2"/>
  <c r="E704" i="2"/>
  <c r="A704" i="2"/>
  <c r="K703" i="2"/>
  <c r="J703" i="2"/>
  <c r="I703" i="2"/>
  <c r="G703" i="2"/>
  <c r="E703" i="2"/>
  <c r="A703" i="2"/>
  <c r="K702" i="2"/>
  <c r="J702" i="2"/>
  <c r="I702" i="2"/>
  <c r="G702" i="2"/>
  <c r="E702" i="2"/>
  <c r="A702" i="2"/>
  <c r="K701" i="2"/>
  <c r="J701" i="2"/>
  <c r="I701" i="2"/>
  <c r="G701" i="2"/>
  <c r="E701" i="2"/>
  <c r="A701" i="2"/>
  <c r="K700" i="2"/>
  <c r="J700" i="2"/>
  <c r="I700" i="2"/>
  <c r="G700" i="2"/>
  <c r="E700" i="2"/>
  <c r="A700" i="2"/>
  <c r="K699" i="2"/>
  <c r="J699" i="2"/>
  <c r="I699" i="2"/>
  <c r="G699" i="2"/>
  <c r="E699" i="2"/>
  <c r="A699" i="2"/>
  <c r="K698" i="2"/>
  <c r="J698" i="2"/>
  <c r="I698" i="2"/>
  <c r="G698" i="2"/>
  <c r="E698" i="2"/>
  <c r="A698" i="2"/>
  <c r="K697" i="2"/>
  <c r="J697" i="2"/>
  <c r="I697" i="2"/>
  <c r="G697" i="2"/>
  <c r="E697" i="2"/>
  <c r="F697" i="2" s="1"/>
  <c r="A697" i="2"/>
  <c r="K696" i="2"/>
  <c r="J696" i="2"/>
  <c r="I696" i="2"/>
  <c r="G696" i="2"/>
  <c r="E696" i="2"/>
  <c r="A696" i="2"/>
  <c r="K695" i="2"/>
  <c r="J695" i="2"/>
  <c r="I695" i="2"/>
  <c r="G695" i="2"/>
  <c r="E695" i="2"/>
  <c r="A695" i="2"/>
  <c r="K694" i="2"/>
  <c r="J694" i="2"/>
  <c r="I694" i="2"/>
  <c r="G694" i="2"/>
  <c r="E694" i="2"/>
  <c r="A694" i="2"/>
  <c r="K693" i="2"/>
  <c r="J693" i="2"/>
  <c r="I693" i="2"/>
  <c r="G693" i="2"/>
  <c r="E693" i="2"/>
  <c r="A693" i="2"/>
  <c r="K692" i="2"/>
  <c r="J692" i="2"/>
  <c r="I692" i="2"/>
  <c r="G692" i="2"/>
  <c r="E692" i="2"/>
  <c r="A692" i="2"/>
  <c r="K691" i="2"/>
  <c r="J691" i="2"/>
  <c r="I691" i="2"/>
  <c r="G691" i="2"/>
  <c r="E691" i="2"/>
  <c r="A691" i="2"/>
  <c r="K690" i="2"/>
  <c r="J690" i="2"/>
  <c r="I690" i="2"/>
  <c r="G690" i="2"/>
  <c r="E690" i="2"/>
  <c r="A690" i="2"/>
  <c r="K689" i="2"/>
  <c r="J689" i="2"/>
  <c r="I689" i="2"/>
  <c r="G689" i="2"/>
  <c r="E689" i="2"/>
  <c r="A689" i="2"/>
  <c r="K688" i="2"/>
  <c r="J688" i="2"/>
  <c r="I688" i="2"/>
  <c r="G688" i="2"/>
  <c r="E688" i="2"/>
  <c r="A688" i="2"/>
  <c r="K687" i="2"/>
  <c r="J687" i="2"/>
  <c r="I687" i="2"/>
  <c r="G687" i="2"/>
  <c r="E687" i="2"/>
  <c r="A687" i="2"/>
  <c r="K686" i="2"/>
  <c r="J686" i="2"/>
  <c r="I686" i="2"/>
  <c r="G686" i="2"/>
  <c r="E686" i="2"/>
  <c r="A686" i="2"/>
  <c r="K685" i="2"/>
  <c r="J685" i="2"/>
  <c r="I685" i="2"/>
  <c r="G685" i="2"/>
  <c r="E685" i="2"/>
  <c r="A685" i="2"/>
  <c r="K684" i="2"/>
  <c r="J684" i="2"/>
  <c r="I684" i="2"/>
  <c r="G684" i="2"/>
  <c r="E684" i="2"/>
  <c r="A684" i="2"/>
  <c r="K683" i="2"/>
  <c r="J683" i="2"/>
  <c r="I683" i="2"/>
  <c r="G683" i="2"/>
  <c r="E683" i="2"/>
  <c r="A683" i="2"/>
  <c r="K682" i="2"/>
  <c r="J682" i="2"/>
  <c r="I682" i="2"/>
  <c r="G682" i="2"/>
  <c r="E682" i="2"/>
  <c r="A682" i="2"/>
  <c r="K681" i="2"/>
  <c r="J681" i="2"/>
  <c r="I681" i="2"/>
  <c r="G681" i="2"/>
  <c r="E681" i="2"/>
  <c r="A681" i="2"/>
  <c r="K680" i="2"/>
  <c r="J680" i="2"/>
  <c r="I680" i="2"/>
  <c r="G680" i="2"/>
  <c r="E680" i="2"/>
  <c r="A680" i="2"/>
  <c r="K679" i="2"/>
  <c r="J679" i="2"/>
  <c r="I679" i="2"/>
  <c r="G679" i="2"/>
  <c r="E679" i="2"/>
  <c r="A679" i="2"/>
  <c r="K678" i="2"/>
  <c r="J678" i="2"/>
  <c r="I678" i="2"/>
  <c r="G678" i="2"/>
  <c r="E678" i="2"/>
  <c r="F678" i="2" s="1"/>
  <c r="A678" i="2"/>
  <c r="K677" i="2"/>
  <c r="J677" i="2"/>
  <c r="I677" i="2"/>
  <c r="G677" i="2"/>
  <c r="E677" i="2"/>
  <c r="A677" i="2"/>
  <c r="K676" i="2"/>
  <c r="J676" i="2"/>
  <c r="I676" i="2"/>
  <c r="G676" i="2"/>
  <c r="E676" i="2"/>
  <c r="A676" i="2"/>
  <c r="K675" i="2"/>
  <c r="J675" i="2"/>
  <c r="I675" i="2"/>
  <c r="G675" i="2"/>
  <c r="E675" i="2"/>
  <c r="F675" i="2" s="1"/>
  <c r="A675" i="2"/>
  <c r="K674" i="2"/>
  <c r="J674" i="2"/>
  <c r="I674" i="2"/>
  <c r="G674" i="2"/>
  <c r="E674" i="2"/>
  <c r="A674" i="2"/>
  <c r="K673" i="2"/>
  <c r="J673" i="2"/>
  <c r="I673" i="2"/>
  <c r="G673" i="2"/>
  <c r="E673" i="2"/>
  <c r="A673" i="2"/>
  <c r="K672" i="2"/>
  <c r="J672" i="2"/>
  <c r="I672" i="2"/>
  <c r="G672" i="2"/>
  <c r="E672" i="2"/>
  <c r="A672" i="2"/>
  <c r="K671" i="2"/>
  <c r="J671" i="2"/>
  <c r="I671" i="2"/>
  <c r="G671" i="2"/>
  <c r="E671" i="2"/>
  <c r="A671" i="2"/>
  <c r="K670" i="2"/>
  <c r="J670" i="2"/>
  <c r="I670" i="2"/>
  <c r="G670" i="2"/>
  <c r="E670" i="2"/>
  <c r="A670" i="2"/>
  <c r="K669" i="2"/>
  <c r="J669" i="2"/>
  <c r="I669" i="2"/>
  <c r="G669" i="2"/>
  <c r="E669" i="2"/>
  <c r="A669" i="2"/>
  <c r="K668" i="2"/>
  <c r="J668" i="2"/>
  <c r="I668" i="2"/>
  <c r="G668" i="2"/>
  <c r="E668" i="2"/>
  <c r="A668" i="2"/>
  <c r="K667" i="2"/>
  <c r="J667" i="2"/>
  <c r="I667" i="2"/>
  <c r="G667" i="2"/>
  <c r="E667" i="2"/>
  <c r="F667" i="2" s="1"/>
  <c r="A667" i="2"/>
  <c r="K666" i="2"/>
  <c r="J666" i="2"/>
  <c r="I666" i="2"/>
  <c r="G666" i="2"/>
  <c r="E666" i="2"/>
  <c r="A666" i="2"/>
  <c r="K665" i="2"/>
  <c r="J665" i="2"/>
  <c r="I665" i="2"/>
  <c r="G665" i="2"/>
  <c r="E665" i="2"/>
  <c r="F665" i="2" s="1"/>
  <c r="A665" i="2"/>
  <c r="K664" i="2"/>
  <c r="J664" i="2"/>
  <c r="I664" i="2"/>
  <c r="G664" i="2"/>
  <c r="E664" i="2"/>
  <c r="A664" i="2"/>
  <c r="K663" i="2"/>
  <c r="J663" i="2"/>
  <c r="I663" i="2"/>
  <c r="G663" i="2"/>
  <c r="E663" i="2"/>
  <c r="A663" i="2"/>
  <c r="K662" i="2"/>
  <c r="J662" i="2"/>
  <c r="I662" i="2"/>
  <c r="G662" i="2"/>
  <c r="E662" i="2"/>
  <c r="A662" i="2"/>
  <c r="K661" i="2"/>
  <c r="J661" i="2"/>
  <c r="I661" i="2"/>
  <c r="G661" i="2"/>
  <c r="E661" i="2"/>
  <c r="A661" i="2"/>
  <c r="K660" i="2"/>
  <c r="J660" i="2"/>
  <c r="I660" i="2"/>
  <c r="G660" i="2"/>
  <c r="E660" i="2"/>
  <c r="A660" i="2"/>
  <c r="K659" i="2"/>
  <c r="J659" i="2"/>
  <c r="I659" i="2"/>
  <c r="G659" i="2"/>
  <c r="E659" i="2"/>
  <c r="A659" i="2"/>
  <c r="K658" i="2"/>
  <c r="J658" i="2"/>
  <c r="I658" i="2"/>
  <c r="G658" i="2"/>
  <c r="E658" i="2"/>
  <c r="A658" i="2"/>
  <c r="K657" i="2"/>
  <c r="J657" i="2"/>
  <c r="I657" i="2"/>
  <c r="G657" i="2"/>
  <c r="E657" i="2"/>
  <c r="A657" i="2"/>
  <c r="K656" i="2"/>
  <c r="J656" i="2"/>
  <c r="I656" i="2"/>
  <c r="G656" i="2"/>
  <c r="E656" i="2"/>
  <c r="A656" i="2"/>
  <c r="K655" i="2"/>
  <c r="J655" i="2"/>
  <c r="I655" i="2"/>
  <c r="G655" i="2"/>
  <c r="E655" i="2"/>
  <c r="A655" i="2"/>
  <c r="K654" i="2"/>
  <c r="J654" i="2"/>
  <c r="I654" i="2"/>
  <c r="G654" i="2"/>
  <c r="E654" i="2"/>
  <c r="A654" i="2"/>
  <c r="K653" i="2"/>
  <c r="J653" i="2"/>
  <c r="I653" i="2"/>
  <c r="G653" i="2"/>
  <c r="E653" i="2"/>
  <c r="A653" i="2"/>
  <c r="K652" i="2"/>
  <c r="J652" i="2"/>
  <c r="I652" i="2"/>
  <c r="G652" i="2"/>
  <c r="E652" i="2"/>
  <c r="F652" i="2" s="1"/>
  <c r="A652" i="2"/>
  <c r="K651" i="2"/>
  <c r="J651" i="2"/>
  <c r="I651" i="2"/>
  <c r="G651" i="2"/>
  <c r="E651" i="2"/>
  <c r="A651" i="2"/>
  <c r="K650" i="2"/>
  <c r="J650" i="2"/>
  <c r="I650" i="2"/>
  <c r="G650" i="2"/>
  <c r="E650" i="2"/>
  <c r="A650" i="2"/>
  <c r="K649" i="2"/>
  <c r="J649" i="2"/>
  <c r="I649" i="2"/>
  <c r="G649" i="2"/>
  <c r="E649" i="2"/>
  <c r="F649" i="2" s="1"/>
  <c r="A649" i="2"/>
  <c r="K648" i="2"/>
  <c r="J648" i="2"/>
  <c r="I648" i="2"/>
  <c r="G648" i="2"/>
  <c r="E648" i="2"/>
  <c r="A648" i="2"/>
  <c r="K647" i="2"/>
  <c r="J647" i="2"/>
  <c r="I647" i="2"/>
  <c r="G647" i="2"/>
  <c r="E647" i="2"/>
  <c r="A647" i="2"/>
  <c r="K646" i="2"/>
  <c r="J646" i="2"/>
  <c r="I646" i="2"/>
  <c r="G646" i="2"/>
  <c r="E646" i="2"/>
  <c r="F646" i="2" s="1"/>
  <c r="A646" i="2"/>
  <c r="K645" i="2"/>
  <c r="J645" i="2"/>
  <c r="I645" i="2"/>
  <c r="G645" i="2"/>
  <c r="E645" i="2"/>
  <c r="A645" i="2"/>
  <c r="K644" i="2"/>
  <c r="J644" i="2"/>
  <c r="I644" i="2"/>
  <c r="G644" i="2"/>
  <c r="E644" i="2"/>
  <c r="A644" i="2"/>
  <c r="K643" i="2"/>
  <c r="J643" i="2"/>
  <c r="I643" i="2"/>
  <c r="G643" i="2"/>
  <c r="E643" i="2"/>
  <c r="A643" i="2"/>
  <c r="K642" i="2"/>
  <c r="J642" i="2"/>
  <c r="I642" i="2"/>
  <c r="G642" i="2"/>
  <c r="E642" i="2"/>
  <c r="A642" i="2"/>
  <c r="K641" i="2"/>
  <c r="J641" i="2"/>
  <c r="I641" i="2"/>
  <c r="G641" i="2"/>
  <c r="E641" i="2"/>
  <c r="A641" i="2"/>
  <c r="K640" i="2"/>
  <c r="J640" i="2"/>
  <c r="I640" i="2"/>
  <c r="G640" i="2"/>
  <c r="E640" i="2"/>
  <c r="A640" i="2"/>
  <c r="K639" i="2"/>
  <c r="J639" i="2"/>
  <c r="I639" i="2"/>
  <c r="G639" i="2"/>
  <c r="E639" i="2"/>
  <c r="A639" i="2"/>
  <c r="K638" i="2"/>
  <c r="J638" i="2"/>
  <c r="I638" i="2"/>
  <c r="G638" i="2"/>
  <c r="E638" i="2"/>
  <c r="A638" i="2"/>
  <c r="K637" i="2"/>
  <c r="J637" i="2"/>
  <c r="I637" i="2"/>
  <c r="G637" i="2"/>
  <c r="E637" i="2"/>
  <c r="A637" i="2"/>
  <c r="K636" i="2"/>
  <c r="J636" i="2"/>
  <c r="I636" i="2"/>
  <c r="G636" i="2"/>
  <c r="E636" i="2"/>
  <c r="A636" i="2"/>
  <c r="K635" i="2"/>
  <c r="J635" i="2"/>
  <c r="I635" i="2"/>
  <c r="G635" i="2"/>
  <c r="E635" i="2"/>
  <c r="A635" i="2"/>
  <c r="K634" i="2"/>
  <c r="J634" i="2"/>
  <c r="I634" i="2"/>
  <c r="G634" i="2"/>
  <c r="E634" i="2"/>
  <c r="A634" i="2"/>
  <c r="K633" i="2"/>
  <c r="J633" i="2"/>
  <c r="I633" i="2"/>
  <c r="G633" i="2"/>
  <c r="E633" i="2"/>
  <c r="A633" i="2"/>
  <c r="K632" i="2"/>
  <c r="J632" i="2"/>
  <c r="I632" i="2"/>
  <c r="G632" i="2"/>
  <c r="E632" i="2"/>
  <c r="A632" i="2"/>
  <c r="K631" i="2"/>
  <c r="J631" i="2"/>
  <c r="I631" i="2"/>
  <c r="G631" i="2"/>
  <c r="E631" i="2"/>
  <c r="A631" i="2"/>
  <c r="K630" i="2"/>
  <c r="J630" i="2"/>
  <c r="I630" i="2"/>
  <c r="G630" i="2"/>
  <c r="E630" i="2"/>
  <c r="A630" i="2"/>
  <c r="K629" i="2"/>
  <c r="J629" i="2"/>
  <c r="I629" i="2"/>
  <c r="G629" i="2"/>
  <c r="E629" i="2"/>
  <c r="A629" i="2"/>
  <c r="K628" i="2"/>
  <c r="J628" i="2"/>
  <c r="I628" i="2"/>
  <c r="G628" i="2"/>
  <c r="E628" i="2"/>
  <c r="F628" i="2" s="1"/>
  <c r="A628" i="2"/>
  <c r="K627" i="2"/>
  <c r="J627" i="2"/>
  <c r="I627" i="2"/>
  <c r="G627" i="2"/>
  <c r="E627" i="2"/>
  <c r="A627" i="2"/>
  <c r="K626" i="2"/>
  <c r="J626" i="2"/>
  <c r="I626" i="2"/>
  <c r="G626" i="2"/>
  <c r="E626" i="2"/>
  <c r="A626" i="2"/>
  <c r="K625" i="2"/>
  <c r="J625" i="2"/>
  <c r="I625" i="2"/>
  <c r="G625" i="2"/>
  <c r="E625" i="2"/>
  <c r="A625" i="2"/>
  <c r="K624" i="2"/>
  <c r="J624" i="2"/>
  <c r="I624" i="2"/>
  <c r="G624" i="2"/>
  <c r="E624" i="2"/>
  <c r="A624" i="2"/>
  <c r="K623" i="2"/>
  <c r="J623" i="2"/>
  <c r="I623" i="2"/>
  <c r="G623" i="2"/>
  <c r="E623" i="2"/>
  <c r="A623" i="2"/>
  <c r="K622" i="2"/>
  <c r="J622" i="2"/>
  <c r="I622" i="2"/>
  <c r="G622" i="2"/>
  <c r="E622" i="2"/>
  <c r="A622" i="2"/>
  <c r="K621" i="2"/>
  <c r="J621" i="2"/>
  <c r="I621" i="2"/>
  <c r="G621" i="2"/>
  <c r="E621" i="2"/>
  <c r="A621" i="2"/>
  <c r="K620" i="2"/>
  <c r="J620" i="2"/>
  <c r="I620" i="2"/>
  <c r="G620" i="2"/>
  <c r="E620" i="2"/>
  <c r="A620" i="2"/>
  <c r="K619" i="2"/>
  <c r="J619" i="2"/>
  <c r="I619" i="2"/>
  <c r="G619" i="2"/>
  <c r="E619" i="2"/>
  <c r="A619" i="2"/>
  <c r="K618" i="2"/>
  <c r="J618" i="2"/>
  <c r="I618" i="2"/>
  <c r="G618" i="2"/>
  <c r="E618" i="2"/>
  <c r="A618" i="2"/>
  <c r="K617" i="2"/>
  <c r="J617" i="2"/>
  <c r="I617" i="2"/>
  <c r="G617" i="2"/>
  <c r="E617" i="2"/>
  <c r="A617" i="2"/>
  <c r="K616" i="2"/>
  <c r="J616" i="2"/>
  <c r="I616" i="2"/>
  <c r="G616" i="2"/>
  <c r="E616" i="2"/>
  <c r="A616" i="2"/>
  <c r="K615" i="2"/>
  <c r="J615" i="2"/>
  <c r="I615" i="2"/>
  <c r="G615" i="2"/>
  <c r="E615" i="2"/>
  <c r="A615" i="2"/>
  <c r="K614" i="2"/>
  <c r="J614" i="2"/>
  <c r="I614" i="2"/>
  <c r="G614" i="2"/>
  <c r="E614" i="2"/>
  <c r="A614" i="2"/>
  <c r="K613" i="2"/>
  <c r="J613" i="2"/>
  <c r="I613" i="2"/>
  <c r="G613" i="2"/>
  <c r="E613" i="2"/>
  <c r="B613" i="2"/>
  <c r="A613" i="2"/>
  <c r="K612" i="2"/>
  <c r="J612" i="2"/>
  <c r="I612" i="2"/>
  <c r="G612" i="2"/>
  <c r="E612" i="2"/>
  <c r="D612" i="2"/>
  <c r="B612" i="2"/>
  <c r="A612" i="2"/>
  <c r="K611" i="2"/>
  <c r="J611" i="2"/>
  <c r="I611" i="2"/>
  <c r="G611" i="2"/>
  <c r="E611" i="2"/>
  <c r="D611" i="2"/>
  <c r="B611" i="2"/>
  <c r="A611" i="2"/>
  <c r="K610" i="2"/>
  <c r="J610" i="2"/>
  <c r="I610" i="2"/>
  <c r="G610" i="2"/>
  <c r="E610" i="2"/>
  <c r="F610" i="2" s="1"/>
  <c r="D610" i="2"/>
  <c r="B610" i="2"/>
  <c r="A610" i="2"/>
  <c r="K609" i="2"/>
  <c r="J609" i="2"/>
  <c r="I609" i="2"/>
  <c r="G609" i="2"/>
  <c r="E609" i="2"/>
  <c r="D609" i="2"/>
  <c r="B609" i="2"/>
  <c r="A609" i="2"/>
  <c r="K608" i="2"/>
  <c r="J608" i="2"/>
  <c r="I608" i="2"/>
  <c r="G608" i="2"/>
  <c r="E608" i="2"/>
  <c r="D608" i="2"/>
  <c r="B608" i="2"/>
  <c r="A608" i="2"/>
  <c r="K607" i="2"/>
  <c r="J607" i="2"/>
  <c r="I607" i="2"/>
  <c r="G607" i="2"/>
  <c r="E607" i="2"/>
  <c r="D607" i="2"/>
  <c r="B607" i="2"/>
  <c r="A607" i="2"/>
  <c r="K606" i="2"/>
  <c r="J606" i="2"/>
  <c r="I606" i="2"/>
  <c r="G606" i="2"/>
  <c r="E606" i="2"/>
  <c r="D606" i="2"/>
  <c r="B606" i="2"/>
  <c r="A606" i="2"/>
  <c r="K605" i="2"/>
  <c r="J605" i="2"/>
  <c r="I605" i="2"/>
  <c r="G605" i="2"/>
  <c r="E605" i="2"/>
  <c r="D605" i="2"/>
  <c r="B605" i="2"/>
  <c r="A605" i="2"/>
  <c r="K604" i="2"/>
  <c r="J604" i="2"/>
  <c r="I604" i="2"/>
  <c r="G604" i="2"/>
  <c r="E604" i="2"/>
  <c r="D604" i="2"/>
  <c r="B604" i="2"/>
  <c r="A604" i="2"/>
  <c r="K603" i="2"/>
  <c r="J603" i="2"/>
  <c r="I603" i="2"/>
  <c r="G603" i="2"/>
  <c r="E603" i="2"/>
  <c r="F603" i="2" s="1"/>
  <c r="D603" i="2"/>
  <c r="B603" i="2"/>
  <c r="A603" i="2"/>
  <c r="K602" i="2"/>
  <c r="J602" i="2"/>
  <c r="I602" i="2"/>
  <c r="G602" i="2"/>
  <c r="E602" i="2"/>
  <c r="D602" i="2"/>
  <c r="B602" i="2"/>
  <c r="A602" i="2"/>
  <c r="K601" i="2"/>
  <c r="J601" i="2"/>
  <c r="I601" i="2"/>
  <c r="G601" i="2"/>
  <c r="E601" i="2"/>
  <c r="F601" i="2" s="1"/>
  <c r="D601" i="2"/>
  <c r="B601" i="2"/>
  <c r="A601" i="2"/>
  <c r="K600" i="2"/>
  <c r="J600" i="2"/>
  <c r="I600" i="2"/>
  <c r="G600" i="2"/>
  <c r="E600" i="2"/>
  <c r="D600" i="2"/>
  <c r="B600" i="2"/>
  <c r="A600" i="2"/>
  <c r="K599" i="2"/>
  <c r="J599" i="2"/>
  <c r="I599" i="2"/>
  <c r="G599" i="2"/>
  <c r="E599" i="2"/>
  <c r="D599" i="2"/>
  <c r="B599" i="2"/>
  <c r="A599" i="2"/>
  <c r="K598" i="2"/>
  <c r="J598" i="2"/>
  <c r="I598" i="2"/>
  <c r="G598" i="2"/>
  <c r="E598" i="2"/>
  <c r="D598" i="2"/>
  <c r="B598" i="2"/>
  <c r="A598" i="2"/>
  <c r="K597" i="2"/>
  <c r="J597" i="2"/>
  <c r="I597" i="2"/>
  <c r="G597" i="2"/>
  <c r="E597" i="2"/>
  <c r="F597" i="2" s="1"/>
  <c r="D597" i="2"/>
  <c r="B597" i="2"/>
  <c r="A597" i="2"/>
  <c r="K596" i="2"/>
  <c r="J596" i="2"/>
  <c r="I596" i="2"/>
  <c r="G596" i="2"/>
  <c r="E596" i="2"/>
  <c r="D596" i="2"/>
  <c r="B596" i="2"/>
  <c r="A596" i="2"/>
  <c r="K595" i="2"/>
  <c r="J595" i="2"/>
  <c r="I595" i="2"/>
  <c r="G595" i="2"/>
  <c r="E595" i="2"/>
  <c r="D595" i="2"/>
  <c r="B595" i="2"/>
  <c r="A595" i="2"/>
  <c r="K594" i="2"/>
  <c r="J594" i="2"/>
  <c r="I594" i="2"/>
  <c r="G594" i="2"/>
  <c r="E594" i="2"/>
  <c r="D594" i="2"/>
  <c r="B594" i="2"/>
  <c r="A594" i="2"/>
  <c r="K593" i="2"/>
  <c r="J593" i="2"/>
  <c r="I593" i="2"/>
  <c r="G593" i="2"/>
  <c r="E593" i="2"/>
  <c r="D593" i="2"/>
  <c r="B593" i="2"/>
  <c r="A593" i="2"/>
  <c r="K592" i="2"/>
  <c r="J592" i="2"/>
  <c r="I592" i="2"/>
  <c r="G592" i="2"/>
  <c r="E592" i="2"/>
  <c r="D592" i="2"/>
  <c r="B592" i="2"/>
  <c r="A592" i="2"/>
  <c r="K591" i="2"/>
  <c r="J591" i="2"/>
  <c r="I591" i="2"/>
  <c r="G591" i="2"/>
  <c r="E591" i="2"/>
  <c r="D591" i="2"/>
  <c r="B591" i="2"/>
  <c r="A591" i="2"/>
  <c r="K590" i="2"/>
  <c r="J590" i="2"/>
  <c r="I590" i="2"/>
  <c r="G590" i="2"/>
  <c r="E590" i="2"/>
  <c r="D590" i="2"/>
  <c r="B590" i="2"/>
  <c r="A590" i="2"/>
  <c r="K589" i="2"/>
  <c r="J589" i="2"/>
  <c r="I589" i="2"/>
  <c r="G589" i="2"/>
  <c r="E589" i="2"/>
  <c r="D589" i="2"/>
  <c r="B589" i="2"/>
  <c r="A589" i="2"/>
  <c r="K588" i="2"/>
  <c r="J588" i="2"/>
  <c r="I588" i="2"/>
  <c r="G588" i="2"/>
  <c r="E588" i="2"/>
  <c r="D588" i="2"/>
  <c r="B588" i="2"/>
  <c r="A588" i="2"/>
  <c r="K587" i="2"/>
  <c r="J587" i="2"/>
  <c r="I587" i="2"/>
  <c r="G587" i="2"/>
  <c r="E587" i="2"/>
  <c r="D587" i="2"/>
  <c r="B587" i="2"/>
  <c r="A587" i="2"/>
  <c r="K586" i="2"/>
  <c r="J586" i="2"/>
  <c r="I586" i="2"/>
  <c r="G586" i="2"/>
  <c r="E586" i="2"/>
  <c r="F586" i="2" s="1"/>
  <c r="D586" i="2"/>
  <c r="B586" i="2"/>
  <c r="A586" i="2"/>
  <c r="K585" i="2"/>
  <c r="J585" i="2"/>
  <c r="I585" i="2"/>
  <c r="G585" i="2"/>
  <c r="E585" i="2"/>
  <c r="F585" i="2" s="1"/>
  <c r="D585" i="2"/>
  <c r="B585" i="2"/>
  <c r="A585" i="2"/>
  <c r="K584" i="2"/>
  <c r="J584" i="2"/>
  <c r="I584" i="2"/>
  <c r="G584" i="2"/>
  <c r="E584" i="2"/>
  <c r="D584" i="2"/>
  <c r="B584" i="2"/>
  <c r="A584" i="2"/>
  <c r="K583" i="2"/>
  <c r="J583" i="2"/>
  <c r="I583" i="2"/>
  <c r="G583" i="2"/>
  <c r="E583" i="2"/>
  <c r="D583" i="2"/>
  <c r="B583" i="2"/>
  <c r="A583" i="2"/>
  <c r="K582" i="2"/>
  <c r="J582" i="2"/>
  <c r="I582" i="2"/>
  <c r="G582" i="2"/>
  <c r="E582" i="2"/>
  <c r="D582" i="2"/>
  <c r="B582" i="2"/>
  <c r="A582" i="2"/>
  <c r="K581" i="2"/>
  <c r="J581" i="2"/>
  <c r="I581" i="2"/>
  <c r="G581" i="2"/>
  <c r="E581" i="2"/>
  <c r="D581" i="2"/>
  <c r="B581" i="2"/>
  <c r="A581" i="2"/>
  <c r="K580" i="2"/>
  <c r="J580" i="2"/>
  <c r="I580" i="2"/>
  <c r="G580" i="2"/>
  <c r="E580" i="2"/>
  <c r="D580" i="2"/>
  <c r="B580" i="2"/>
  <c r="A580" i="2"/>
  <c r="K579" i="2"/>
  <c r="J579" i="2"/>
  <c r="I579" i="2"/>
  <c r="G579" i="2"/>
  <c r="E579" i="2"/>
  <c r="D579" i="2"/>
  <c r="B579" i="2"/>
  <c r="A579" i="2"/>
  <c r="K578" i="2"/>
  <c r="J578" i="2"/>
  <c r="I578" i="2"/>
  <c r="G578" i="2"/>
  <c r="E578" i="2"/>
  <c r="D578" i="2"/>
  <c r="B578" i="2"/>
  <c r="A578" i="2"/>
  <c r="K577" i="2"/>
  <c r="J577" i="2"/>
  <c r="I577" i="2"/>
  <c r="G577" i="2"/>
  <c r="E577" i="2"/>
  <c r="D577" i="2"/>
  <c r="B577" i="2"/>
  <c r="A577" i="2"/>
  <c r="K576" i="2"/>
  <c r="J576" i="2"/>
  <c r="I576" i="2"/>
  <c r="G576" i="2"/>
  <c r="E576" i="2"/>
  <c r="F576" i="2" s="1"/>
  <c r="D576" i="2"/>
  <c r="B576" i="2"/>
  <c r="A576" i="2"/>
  <c r="K575" i="2"/>
  <c r="J575" i="2"/>
  <c r="I575" i="2"/>
  <c r="G575" i="2"/>
  <c r="E575" i="2"/>
  <c r="D575" i="2"/>
  <c r="B575" i="2"/>
  <c r="A575" i="2"/>
  <c r="K574" i="2"/>
  <c r="J574" i="2"/>
  <c r="I574" i="2"/>
  <c r="G574" i="2"/>
  <c r="E574" i="2"/>
  <c r="D574" i="2"/>
  <c r="B574" i="2"/>
  <c r="A574" i="2"/>
  <c r="K573" i="2"/>
  <c r="J573" i="2"/>
  <c r="I573" i="2"/>
  <c r="G573" i="2"/>
  <c r="E573" i="2"/>
  <c r="D573" i="2"/>
  <c r="B573" i="2"/>
  <c r="A573" i="2"/>
  <c r="K572" i="2"/>
  <c r="J572" i="2"/>
  <c r="I572" i="2"/>
  <c r="G572" i="2"/>
  <c r="E572" i="2"/>
  <c r="D572" i="2"/>
  <c r="B572" i="2"/>
  <c r="C572" i="2" s="1"/>
  <c r="A572" i="2"/>
  <c r="K571" i="2"/>
  <c r="J571" i="2"/>
  <c r="I571" i="2"/>
  <c r="G571" i="2"/>
  <c r="E571" i="2"/>
  <c r="D571" i="2"/>
  <c r="B571" i="2"/>
  <c r="A571" i="2"/>
  <c r="K570" i="2"/>
  <c r="J570" i="2"/>
  <c r="I570" i="2"/>
  <c r="G570" i="2"/>
  <c r="E570" i="2"/>
  <c r="D570" i="2"/>
  <c r="B570" i="2"/>
  <c r="A570" i="2"/>
  <c r="K569" i="2"/>
  <c r="J569" i="2"/>
  <c r="I569" i="2"/>
  <c r="G569" i="2"/>
  <c r="E569" i="2"/>
  <c r="D569" i="2"/>
  <c r="B569" i="2"/>
  <c r="A569" i="2"/>
  <c r="K568" i="2"/>
  <c r="J568" i="2"/>
  <c r="I568" i="2"/>
  <c r="G568" i="2"/>
  <c r="E568" i="2"/>
  <c r="D568" i="2"/>
  <c r="B568" i="2"/>
  <c r="A568" i="2"/>
  <c r="K567" i="2"/>
  <c r="J567" i="2"/>
  <c r="I567" i="2"/>
  <c r="G567" i="2"/>
  <c r="E567" i="2"/>
  <c r="D567" i="2"/>
  <c r="B567" i="2"/>
  <c r="A567" i="2"/>
  <c r="K566" i="2"/>
  <c r="J566" i="2"/>
  <c r="I566" i="2"/>
  <c r="G566" i="2"/>
  <c r="E566" i="2"/>
  <c r="D566" i="2"/>
  <c r="B566" i="2"/>
  <c r="A566" i="2"/>
  <c r="K565" i="2"/>
  <c r="J565" i="2"/>
  <c r="I565" i="2"/>
  <c r="G565" i="2"/>
  <c r="E565" i="2"/>
  <c r="D565" i="2"/>
  <c r="B565" i="2"/>
  <c r="A565" i="2"/>
  <c r="K564" i="2"/>
  <c r="J564" i="2"/>
  <c r="I564" i="2"/>
  <c r="G564" i="2"/>
  <c r="E564" i="2"/>
  <c r="D564" i="2"/>
  <c r="B564" i="2"/>
  <c r="A564" i="2"/>
  <c r="K563" i="2"/>
  <c r="J563" i="2"/>
  <c r="I563" i="2"/>
  <c r="G563" i="2"/>
  <c r="E563" i="2"/>
  <c r="D563" i="2"/>
  <c r="B563" i="2"/>
  <c r="A563" i="2"/>
  <c r="K562" i="2"/>
  <c r="J562" i="2"/>
  <c r="I562" i="2"/>
  <c r="G562" i="2"/>
  <c r="E562" i="2"/>
  <c r="D562" i="2"/>
  <c r="B562" i="2"/>
  <c r="A562" i="2"/>
  <c r="K561" i="2"/>
  <c r="J561" i="2"/>
  <c r="I561" i="2"/>
  <c r="G561" i="2"/>
  <c r="E561" i="2"/>
  <c r="D561" i="2"/>
  <c r="B561" i="2"/>
  <c r="A561" i="2"/>
  <c r="K560" i="2"/>
  <c r="J560" i="2"/>
  <c r="I560" i="2"/>
  <c r="G560" i="2"/>
  <c r="E560" i="2"/>
  <c r="D560" i="2"/>
  <c r="B560" i="2"/>
  <c r="A560" i="2"/>
  <c r="K559" i="2"/>
  <c r="J559" i="2"/>
  <c r="I559" i="2"/>
  <c r="G559" i="2"/>
  <c r="E559" i="2"/>
  <c r="D559" i="2"/>
  <c r="B559" i="2"/>
  <c r="A559" i="2"/>
  <c r="K558" i="2"/>
  <c r="J558" i="2"/>
  <c r="I558" i="2"/>
  <c r="G558" i="2"/>
  <c r="E558" i="2"/>
  <c r="D558" i="2"/>
  <c r="B558" i="2"/>
  <c r="A558" i="2"/>
  <c r="K557" i="2"/>
  <c r="J557" i="2"/>
  <c r="I557" i="2"/>
  <c r="G557" i="2"/>
  <c r="E557" i="2"/>
  <c r="D557" i="2"/>
  <c r="B557" i="2"/>
  <c r="A557" i="2"/>
  <c r="K556" i="2"/>
  <c r="J556" i="2"/>
  <c r="I556" i="2"/>
  <c r="G556" i="2"/>
  <c r="E556" i="2"/>
  <c r="F556" i="2" s="1"/>
  <c r="D556" i="2"/>
  <c r="B556" i="2"/>
  <c r="A556" i="2"/>
  <c r="K555" i="2"/>
  <c r="J555" i="2"/>
  <c r="I555" i="2"/>
  <c r="G555" i="2"/>
  <c r="E555" i="2"/>
  <c r="F555" i="2" s="1"/>
  <c r="D555" i="2"/>
  <c r="B555" i="2"/>
  <c r="A555" i="2"/>
  <c r="K554" i="2"/>
  <c r="J554" i="2"/>
  <c r="I554" i="2"/>
  <c r="G554" i="2"/>
  <c r="E554" i="2"/>
  <c r="D554" i="2"/>
  <c r="B554" i="2"/>
  <c r="A554" i="2"/>
  <c r="K553" i="2"/>
  <c r="J553" i="2"/>
  <c r="I553" i="2"/>
  <c r="G553" i="2"/>
  <c r="E553" i="2"/>
  <c r="D553" i="2"/>
  <c r="B553" i="2"/>
  <c r="A553" i="2"/>
  <c r="K552" i="2"/>
  <c r="J552" i="2"/>
  <c r="I552" i="2"/>
  <c r="G552" i="2"/>
  <c r="E552" i="2"/>
  <c r="D552" i="2"/>
  <c r="B552" i="2"/>
  <c r="A552" i="2"/>
  <c r="K551" i="2"/>
  <c r="J551" i="2"/>
  <c r="I551" i="2"/>
  <c r="G551" i="2"/>
  <c r="E551" i="2"/>
  <c r="D551" i="2"/>
  <c r="B551" i="2"/>
  <c r="A551" i="2"/>
  <c r="K550" i="2"/>
  <c r="J550" i="2"/>
  <c r="I550" i="2"/>
  <c r="G550" i="2"/>
  <c r="E550" i="2"/>
  <c r="D550" i="2"/>
  <c r="B550" i="2"/>
  <c r="A550" i="2"/>
  <c r="K549" i="2"/>
  <c r="J549" i="2"/>
  <c r="I549" i="2"/>
  <c r="G549" i="2"/>
  <c r="E549" i="2"/>
  <c r="D549" i="2"/>
  <c r="B549" i="2"/>
  <c r="A549" i="2"/>
  <c r="K548" i="2"/>
  <c r="J548" i="2"/>
  <c r="I548" i="2"/>
  <c r="G548" i="2"/>
  <c r="E548" i="2"/>
  <c r="D548" i="2"/>
  <c r="B548" i="2"/>
  <c r="A548" i="2"/>
  <c r="K547" i="2"/>
  <c r="J547" i="2"/>
  <c r="I547" i="2"/>
  <c r="G547" i="2"/>
  <c r="E547" i="2"/>
  <c r="D547" i="2"/>
  <c r="B547" i="2"/>
  <c r="A547" i="2"/>
  <c r="K546" i="2"/>
  <c r="J546" i="2"/>
  <c r="I546" i="2"/>
  <c r="G546" i="2"/>
  <c r="E546" i="2"/>
  <c r="D546" i="2"/>
  <c r="B546" i="2"/>
  <c r="A546" i="2"/>
  <c r="K545" i="2"/>
  <c r="J545" i="2"/>
  <c r="I545" i="2"/>
  <c r="G545" i="2"/>
  <c r="E545" i="2"/>
  <c r="D545" i="2"/>
  <c r="B545" i="2"/>
  <c r="A545" i="2"/>
  <c r="K544" i="2"/>
  <c r="J544" i="2"/>
  <c r="I544" i="2"/>
  <c r="G544" i="2"/>
  <c r="E544" i="2"/>
  <c r="D544" i="2"/>
  <c r="B544" i="2"/>
  <c r="A544" i="2"/>
  <c r="K543" i="2"/>
  <c r="J543" i="2"/>
  <c r="I543" i="2"/>
  <c r="G543" i="2"/>
  <c r="E543" i="2"/>
  <c r="D543" i="2"/>
  <c r="B543" i="2"/>
  <c r="A543" i="2"/>
  <c r="K542" i="2"/>
  <c r="J542" i="2"/>
  <c r="I542" i="2"/>
  <c r="G542" i="2"/>
  <c r="E542" i="2"/>
  <c r="D542" i="2"/>
  <c r="B542" i="2"/>
  <c r="A542" i="2"/>
  <c r="K541" i="2"/>
  <c r="J541" i="2"/>
  <c r="I541" i="2"/>
  <c r="G541" i="2"/>
  <c r="E541" i="2"/>
  <c r="D541" i="2"/>
  <c r="B541" i="2"/>
  <c r="A541" i="2"/>
  <c r="K540" i="2"/>
  <c r="J540" i="2"/>
  <c r="I540" i="2"/>
  <c r="G540" i="2"/>
  <c r="E540" i="2"/>
  <c r="D540" i="2"/>
  <c r="B540" i="2"/>
  <c r="A540" i="2"/>
  <c r="K539" i="2"/>
  <c r="J539" i="2"/>
  <c r="I539" i="2"/>
  <c r="G539" i="2"/>
  <c r="E539" i="2"/>
  <c r="F539" i="2" s="1"/>
  <c r="D539" i="2"/>
  <c r="B539" i="2"/>
  <c r="A539" i="2"/>
  <c r="K538" i="2"/>
  <c r="J538" i="2"/>
  <c r="I538" i="2"/>
  <c r="G538" i="2"/>
  <c r="E538" i="2"/>
  <c r="D538" i="2"/>
  <c r="B538" i="2"/>
  <c r="A538" i="2"/>
  <c r="K537" i="2"/>
  <c r="J537" i="2"/>
  <c r="I537" i="2"/>
  <c r="G537" i="2"/>
  <c r="E537" i="2"/>
  <c r="F537" i="2" s="1"/>
  <c r="D537" i="2"/>
  <c r="B537" i="2"/>
  <c r="A537" i="2"/>
  <c r="K536" i="2"/>
  <c r="J536" i="2"/>
  <c r="I536" i="2"/>
  <c r="G536" i="2"/>
  <c r="E536" i="2"/>
  <c r="D536" i="2"/>
  <c r="B536" i="2"/>
  <c r="A536" i="2"/>
  <c r="K535" i="2"/>
  <c r="J535" i="2"/>
  <c r="I535" i="2"/>
  <c r="G535" i="2"/>
  <c r="E535" i="2"/>
  <c r="D535" i="2"/>
  <c r="B535" i="2"/>
  <c r="A535" i="2"/>
  <c r="K534" i="2"/>
  <c r="J534" i="2"/>
  <c r="I534" i="2"/>
  <c r="G534" i="2"/>
  <c r="E534" i="2"/>
  <c r="D534" i="2"/>
  <c r="B534" i="2"/>
  <c r="A534" i="2"/>
  <c r="J533" i="2"/>
  <c r="I533" i="2"/>
  <c r="G533" i="2"/>
  <c r="E533" i="2"/>
  <c r="D533" i="2"/>
  <c r="B533" i="2"/>
  <c r="K532" i="2"/>
  <c r="J532" i="2"/>
  <c r="I532" i="2"/>
  <c r="G532" i="2"/>
  <c r="E532" i="2"/>
  <c r="D532" i="2"/>
  <c r="B532" i="2"/>
  <c r="A532" i="2"/>
  <c r="K531" i="2"/>
  <c r="J531" i="2"/>
  <c r="I531" i="2"/>
  <c r="G531" i="2"/>
  <c r="E531" i="2"/>
  <c r="D531" i="2"/>
  <c r="B531" i="2"/>
  <c r="A531" i="2"/>
  <c r="K530" i="2"/>
  <c r="J530" i="2"/>
  <c r="I530" i="2"/>
  <c r="G530" i="2"/>
  <c r="E530" i="2"/>
  <c r="D530" i="2"/>
  <c r="B530" i="2"/>
  <c r="A530" i="2"/>
  <c r="K529" i="2"/>
  <c r="J529" i="2"/>
  <c r="I529" i="2"/>
  <c r="G529" i="2"/>
  <c r="E529" i="2"/>
  <c r="D529" i="2"/>
  <c r="B529" i="2"/>
  <c r="A529" i="2"/>
  <c r="K528" i="2"/>
  <c r="J528" i="2"/>
  <c r="I528" i="2"/>
  <c r="G528" i="2"/>
  <c r="E528" i="2"/>
  <c r="D528" i="2"/>
  <c r="B528" i="2"/>
  <c r="A528" i="2"/>
  <c r="K527" i="2"/>
  <c r="J527" i="2"/>
  <c r="I527" i="2"/>
  <c r="G527" i="2"/>
  <c r="E527" i="2"/>
  <c r="D527" i="2"/>
  <c r="B527" i="2"/>
  <c r="A527" i="2"/>
  <c r="K526" i="2"/>
  <c r="J526" i="2"/>
  <c r="I526" i="2"/>
  <c r="G526" i="2"/>
  <c r="E526" i="2"/>
  <c r="D526" i="2"/>
  <c r="B526" i="2"/>
  <c r="A526" i="2"/>
  <c r="K525" i="2"/>
  <c r="J525" i="2"/>
  <c r="I525" i="2"/>
  <c r="G525" i="2"/>
  <c r="E525" i="2"/>
  <c r="D525" i="2"/>
  <c r="B525" i="2"/>
  <c r="A525" i="2"/>
  <c r="K524" i="2"/>
  <c r="J524" i="2"/>
  <c r="I524" i="2"/>
  <c r="G524" i="2"/>
  <c r="E524" i="2"/>
  <c r="F524" i="2" s="1"/>
  <c r="D524" i="2"/>
  <c r="B524" i="2"/>
  <c r="A524" i="2"/>
  <c r="K523" i="2"/>
  <c r="J523" i="2"/>
  <c r="I523" i="2"/>
  <c r="G523" i="2"/>
  <c r="E523" i="2"/>
  <c r="D523" i="2"/>
  <c r="B523" i="2"/>
  <c r="C523" i="2" s="1"/>
  <c r="A523" i="2"/>
  <c r="K522" i="2"/>
  <c r="J522" i="2"/>
  <c r="I522" i="2"/>
  <c r="G522" i="2"/>
  <c r="E522" i="2"/>
  <c r="D522" i="2"/>
  <c r="B522" i="2"/>
  <c r="A522" i="2"/>
  <c r="K521" i="2"/>
  <c r="J521" i="2"/>
  <c r="I521" i="2"/>
  <c r="G521" i="2"/>
  <c r="E521" i="2"/>
  <c r="D521" i="2"/>
  <c r="B521" i="2"/>
  <c r="C521" i="2" s="1"/>
  <c r="A521" i="2"/>
  <c r="K520" i="2"/>
  <c r="J520" i="2"/>
  <c r="I520" i="2"/>
  <c r="G520" i="2"/>
  <c r="E520" i="2"/>
  <c r="D520" i="2"/>
  <c r="B520" i="2"/>
  <c r="A520" i="2"/>
  <c r="K519" i="2"/>
  <c r="J519" i="2"/>
  <c r="I519" i="2"/>
  <c r="G519" i="2"/>
  <c r="E519" i="2"/>
  <c r="D519" i="2"/>
  <c r="B519" i="2"/>
  <c r="A519" i="2"/>
  <c r="K518" i="2"/>
  <c r="J518" i="2"/>
  <c r="I518" i="2"/>
  <c r="G518" i="2"/>
  <c r="E518" i="2"/>
  <c r="D518" i="2"/>
  <c r="B518" i="2"/>
  <c r="A518" i="2"/>
  <c r="K517" i="2"/>
  <c r="J517" i="2"/>
  <c r="I517" i="2"/>
  <c r="G517" i="2"/>
  <c r="E517" i="2"/>
  <c r="D517" i="2"/>
  <c r="B517" i="2"/>
  <c r="A517" i="2"/>
  <c r="K516" i="2"/>
  <c r="J516" i="2"/>
  <c r="I516" i="2"/>
  <c r="G516" i="2"/>
  <c r="E516" i="2"/>
  <c r="D516" i="2"/>
  <c r="B516" i="2"/>
  <c r="C516" i="2" s="1"/>
  <c r="A516" i="2"/>
  <c r="K515" i="2"/>
  <c r="J515" i="2"/>
  <c r="I515" i="2"/>
  <c r="G515" i="2"/>
  <c r="E515" i="2"/>
  <c r="D515" i="2"/>
  <c r="B515" i="2"/>
  <c r="C515" i="2" s="1"/>
  <c r="A515" i="2"/>
  <c r="K514" i="2"/>
  <c r="J514" i="2"/>
  <c r="I514" i="2"/>
  <c r="G514" i="2"/>
  <c r="E514" i="2"/>
  <c r="D514" i="2"/>
  <c r="B514" i="2"/>
  <c r="A514" i="2"/>
  <c r="K513" i="2"/>
  <c r="J513" i="2"/>
  <c r="I513" i="2"/>
  <c r="G513" i="2"/>
  <c r="E513" i="2"/>
  <c r="D513" i="2"/>
  <c r="B513" i="2"/>
  <c r="A513" i="2"/>
  <c r="K512" i="2"/>
  <c r="J512" i="2"/>
  <c r="I512" i="2"/>
  <c r="G512" i="2"/>
  <c r="E512" i="2"/>
  <c r="D512" i="2"/>
  <c r="B512" i="2"/>
  <c r="A512" i="2"/>
  <c r="K511" i="2"/>
  <c r="J511" i="2"/>
  <c r="I511" i="2"/>
  <c r="G511" i="2"/>
  <c r="E511" i="2"/>
  <c r="D511" i="2"/>
  <c r="B511" i="2"/>
  <c r="A511" i="2"/>
  <c r="K510" i="2"/>
  <c r="J510" i="2"/>
  <c r="I510" i="2"/>
  <c r="G510" i="2"/>
  <c r="E510" i="2"/>
  <c r="D510" i="2"/>
  <c r="B510" i="2"/>
  <c r="A510" i="2"/>
  <c r="K509" i="2"/>
  <c r="J509" i="2"/>
  <c r="I509" i="2"/>
  <c r="G509" i="2"/>
  <c r="E509" i="2"/>
  <c r="D509" i="2"/>
  <c r="B509" i="2"/>
  <c r="A509" i="2"/>
  <c r="K508" i="2"/>
  <c r="J508" i="2"/>
  <c r="I508" i="2"/>
  <c r="G508" i="2"/>
  <c r="E508" i="2"/>
  <c r="D508" i="2"/>
  <c r="B508" i="2"/>
  <c r="A508" i="2"/>
  <c r="K507" i="2"/>
  <c r="J507" i="2"/>
  <c r="I507" i="2"/>
  <c r="G507" i="2"/>
  <c r="E507" i="2"/>
  <c r="D507" i="2"/>
  <c r="B507" i="2"/>
  <c r="A507" i="2"/>
  <c r="K506" i="2"/>
  <c r="J506" i="2"/>
  <c r="I506" i="2"/>
  <c r="G506" i="2"/>
  <c r="E506" i="2"/>
  <c r="F506" i="2" s="1"/>
  <c r="D506" i="2"/>
  <c r="B506" i="2"/>
  <c r="A506" i="2"/>
  <c r="K505" i="2"/>
  <c r="J505" i="2"/>
  <c r="I505" i="2"/>
  <c r="G505" i="2"/>
  <c r="E505" i="2"/>
  <c r="D505" i="2"/>
  <c r="B505" i="2"/>
  <c r="A505" i="2"/>
  <c r="K504" i="2"/>
  <c r="J504" i="2"/>
  <c r="I504" i="2"/>
  <c r="G504" i="2"/>
  <c r="E504" i="2"/>
  <c r="D504" i="2"/>
  <c r="B504" i="2"/>
  <c r="A504" i="2"/>
  <c r="K503" i="2"/>
  <c r="J503" i="2"/>
  <c r="I503" i="2"/>
  <c r="G503" i="2"/>
  <c r="E503" i="2"/>
  <c r="D503" i="2"/>
  <c r="B503" i="2"/>
  <c r="A503" i="2"/>
  <c r="K502" i="2"/>
  <c r="J502" i="2"/>
  <c r="I502" i="2"/>
  <c r="G502" i="2"/>
  <c r="E502" i="2"/>
  <c r="D502" i="2"/>
  <c r="B502" i="2"/>
  <c r="A502" i="2"/>
  <c r="K501" i="2"/>
  <c r="J501" i="2"/>
  <c r="I501" i="2"/>
  <c r="G501" i="2"/>
  <c r="E501" i="2"/>
  <c r="D501" i="2"/>
  <c r="B501" i="2"/>
  <c r="A501" i="2"/>
  <c r="K500" i="2"/>
  <c r="J500" i="2"/>
  <c r="I500" i="2"/>
  <c r="G500" i="2"/>
  <c r="E500" i="2"/>
  <c r="D500" i="2"/>
  <c r="B500" i="2"/>
  <c r="A500" i="2"/>
  <c r="K499" i="2"/>
  <c r="J499" i="2"/>
  <c r="I499" i="2"/>
  <c r="G499" i="2"/>
  <c r="E499" i="2"/>
  <c r="D499" i="2"/>
  <c r="B499" i="2"/>
  <c r="A499" i="2"/>
  <c r="K498" i="2"/>
  <c r="J498" i="2"/>
  <c r="I498" i="2"/>
  <c r="G498" i="2"/>
  <c r="E498" i="2"/>
  <c r="D498" i="2"/>
  <c r="B498" i="2"/>
  <c r="A498" i="2"/>
  <c r="K497" i="2"/>
  <c r="J497" i="2"/>
  <c r="I497" i="2"/>
  <c r="G497" i="2"/>
  <c r="E497" i="2"/>
  <c r="D497" i="2"/>
  <c r="B497" i="2"/>
  <c r="A497" i="2"/>
  <c r="K496" i="2"/>
  <c r="J496" i="2"/>
  <c r="I496" i="2"/>
  <c r="G496" i="2"/>
  <c r="E496" i="2"/>
  <c r="D496" i="2"/>
  <c r="B496" i="2"/>
  <c r="A496" i="2"/>
  <c r="K495" i="2"/>
  <c r="J495" i="2"/>
  <c r="I495" i="2"/>
  <c r="G495" i="2"/>
  <c r="E495" i="2"/>
  <c r="D495" i="2"/>
  <c r="B495" i="2"/>
  <c r="A495" i="2"/>
  <c r="K494" i="2"/>
  <c r="J494" i="2"/>
  <c r="I494" i="2"/>
  <c r="G494" i="2"/>
  <c r="E494" i="2"/>
  <c r="D494" i="2"/>
  <c r="B494" i="2"/>
  <c r="A494" i="2"/>
  <c r="K493" i="2"/>
  <c r="J493" i="2"/>
  <c r="I493" i="2"/>
  <c r="G493" i="2"/>
  <c r="E493" i="2"/>
  <c r="D493" i="2"/>
  <c r="B493" i="2"/>
  <c r="A493" i="2"/>
  <c r="K492" i="2"/>
  <c r="J492" i="2"/>
  <c r="I492" i="2"/>
  <c r="G492" i="2"/>
  <c r="E492" i="2"/>
  <c r="D492" i="2"/>
  <c r="B492" i="2"/>
  <c r="A492" i="2"/>
  <c r="K491" i="2"/>
  <c r="J491" i="2"/>
  <c r="I491" i="2"/>
  <c r="G491" i="2"/>
  <c r="E491" i="2"/>
  <c r="F491" i="2" s="1"/>
  <c r="D491" i="2"/>
  <c r="B491" i="2"/>
  <c r="A491" i="2"/>
  <c r="K490" i="2"/>
  <c r="J490" i="2"/>
  <c r="I490" i="2"/>
  <c r="G490" i="2"/>
  <c r="E490" i="2"/>
  <c r="D490" i="2"/>
  <c r="B490" i="2"/>
  <c r="A490" i="2"/>
  <c r="K489" i="2"/>
  <c r="J489" i="2"/>
  <c r="I489" i="2"/>
  <c r="G489" i="2"/>
  <c r="E489" i="2"/>
  <c r="D489" i="2"/>
  <c r="B489" i="2"/>
  <c r="A489" i="2"/>
  <c r="K488" i="2"/>
  <c r="J488" i="2"/>
  <c r="I488" i="2"/>
  <c r="G488" i="2"/>
  <c r="E488" i="2"/>
  <c r="F488" i="2" s="1"/>
  <c r="D488" i="2"/>
  <c r="B488" i="2"/>
  <c r="A488" i="2"/>
  <c r="K487" i="2"/>
  <c r="J487" i="2"/>
  <c r="I487" i="2"/>
  <c r="G487" i="2"/>
  <c r="E487" i="2"/>
  <c r="D487" i="2"/>
  <c r="B487" i="2"/>
  <c r="A487" i="2"/>
  <c r="K486" i="2"/>
  <c r="J486" i="2"/>
  <c r="I486" i="2"/>
  <c r="G486" i="2"/>
  <c r="E486" i="2"/>
  <c r="D486" i="2"/>
  <c r="B486" i="2"/>
  <c r="A486" i="2"/>
  <c r="K485" i="2"/>
  <c r="J485" i="2"/>
  <c r="I485" i="2"/>
  <c r="G485" i="2"/>
  <c r="E485" i="2"/>
  <c r="D485" i="2"/>
  <c r="B485" i="2"/>
  <c r="A485" i="2"/>
  <c r="K484" i="2"/>
  <c r="J484" i="2"/>
  <c r="I484" i="2"/>
  <c r="G484" i="2"/>
  <c r="E484" i="2"/>
  <c r="D484" i="2"/>
  <c r="B484" i="2"/>
  <c r="A484" i="2"/>
  <c r="K483" i="2"/>
  <c r="J483" i="2"/>
  <c r="I483" i="2"/>
  <c r="G483" i="2"/>
  <c r="E483" i="2"/>
  <c r="D483" i="2"/>
  <c r="B483" i="2"/>
  <c r="A483" i="2"/>
  <c r="K482" i="2"/>
  <c r="J482" i="2"/>
  <c r="I482" i="2"/>
  <c r="G482" i="2"/>
  <c r="E482" i="2"/>
  <c r="D482" i="2"/>
  <c r="B482" i="2"/>
  <c r="A482" i="2"/>
  <c r="K481" i="2"/>
  <c r="J481" i="2"/>
  <c r="I481" i="2"/>
  <c r="G481" i="2"/>
  <c r="E481" i="2"/>
  <c r="D481" i="2"/>
  <c r="B481" i="2"/>
  <c r="A481" i="2"/>
  <c r="K480" i="2"/>
  <c r="J480" i="2"/>
  <c r="I480" i="2"/>
  <c r="G480" i="2"/>
  <c r="E480" i="2"/>
  <c r="D480" i="2"/>
  <c r="B480" i="2"/>
  <c r="A480" i="2"/>
  <c r="K479" i="2"/>
  <c r="J479" i="2"/>
  <c r="I479" i="2"/>
  <c r="G479" i="2"/>
  <c r="E479" i="2"/>
  <c r="D479" i="2"/>
  <c r="B479" i="2"/>
  <c r="A479" i="2"/>
  <c r="K478" i="2"/>
  <c r="J478" i="2"/>
  <c r="I478" i="2"/>
  <c r="G478" i="2"/>
  <c r="E478" i="2"/>
  <c r="F478" i="2" s="1"/>
  <c r="D478" i="2"/>
  <c r="B478" i="2"/>
  <c r="A478" i="2"/>
  <c r="K477" i="2"/>
  <c r="J477" i="2"/>
  <c r="I477" i="2"/>
  <c r="G477" i="2"/>
  <c r="E477" i="2"/>
  <c r="D477" i="2"/>
  <c r="B477" i="2"/>
  <c r="A477" i="2"/>
  <c r="K476" i="2"/>
  <c r="J476" i="2"/>
  <c r="I476" i="2"/>
  <c r="G476" i="2"/>
  <c r="E476" i="2"/>
  <c r="D476" i="2"/>
  <c r="B476" i="2"/>
  <c r="A476" i="2"/>
  <c r="K475" i="2"/>
  <c r="J475" i="2"/>
  <c r="I475" i="2"/>
  <c r="G475" i="2"/>
  <c r="E475" i="2"/>
  <c r="D475" i="2"/>
  <c r="B475" i="2"/>
  <c r="A475" i="2"/>
  <c r="K474" i="2"/>
  <c r="J474" i="2"/>
  <c r="I474" i="2"/>
  <c r="G474" i="2"/>
  <c r="E474" i="2"/>
  <c r="D474" i="2"/>
  <c r="B474" i="2"/>
  <c r="A474" i="2"/>
  <c r="K473" i="2"/>
  <c r="J473" i="2"/>
  <c r="I473" i="2"/>
  <c r="G473" i="2"/>
  <c r="E473" i="2"/>
  <c r="D473" i="2"/>
  <c r="B473" i="2"/>
  <c r="A473" i="2"/>
  <c r="K472" i="2"/>
  <c r="J472" i="2"/>
  <c r="I472" i="2"/>
  <c r="G472" i="2"/>
  <c r="E472" i="2"/>
  <c r="D472" i="2"/>
  <c r="B472" i="2"/>
  <c r="A472" i="2"/>
  <c r="K471" i="2"/>
  <c r="J471" i="2"/>
  <c r="I471" i="2"/>
  <c r="G471" i="2"/>
  <c r="E471" i="2"/>
  <c r="D471" i="2"/>
  <c r="B471" i="2"/>
  <c r="A471" i="2"/>
  <c r="K470" i="2"/>
  <c r="J470" i="2"/>
  <c r="I470" i="2"/>
  <c r="G470" i="2"/>
  <c r="E470" i="2"/>
  <c r="D470" i="2"/>
  <c r="B470" i="2"/>
  <c r="A470" i="2"/>
  <c r="K469" i="2"/>
  <c r="J469" i="2"/>
  <c r="I469" i="2"/>
  <c r="G469" i="2"/>
  <c r="E469" i="2"/>
  <c r="D469" i="2"/>
  <c r="B469" i="2"/>
  <c r="A469" i="2"/>
  <c r="K468" i="2"/>
  <c r="J468" i="2"/>
  <c r="I468" i="2"/>
  <c r="G468" i="2"/>
  <c r="E468" i="2"/>
  <c r="F468" i="2" s="1"/>
  <c r="D468" i="2"/>
  <c r="B468" i="2"/>
  <c r="A468" i="2"/>
  <c r="K467" i="2"/>
  <c r="J467" i="2"/>
  <c r="I467" i="2"/>
  <c r="G467" i="2"/>
  <c r="E467" i="2"/>
  <c r="D467" i="2"/>
  <c r="B467" i="2"/>
  <c r="A467" i="2"/>
  <c r="K466" i="2"/>
  <c r="J466" i="2"/>
  <c r="I466" i="2"/>
  <c r="G466" i="2"/>
  <c r="E466" i="2"/>
  <c r="D466" i="2"/>
  <c r="B466" i="2"/>
  <c r="A466" i="2"/>
  <c r="K465" i="2"/>
  <c r="J465" i="2"/>
  <c r="I465" i="2"/>
  <c r="G465" i="2"/>
  <c r="E465" i="2"/>
  <c r="D465" i="2"/>
  <c r="B465" i="2"/>
  <c r="A465" i="2"/>
  <c r="K464" i="2"/>
  <c r="J464" i="2"/>
  <c r="I464" i="2"/>
  <c r="G464" i="2"/>
  <c r="E464" i="2"/>
  <c r="F464" i="2" s="1"/>
  <c r="D464" i="2"/>
  <c r="B464" i="2"/>
  <c r="A464" i="2"/>
  <c r="K463" i="2"/>
  <c r="J463" i="2"/>
  <c r="I463" i="2"/>
  <c r="G463" i="2"/>
  <c r="E463" i="2"/>
  <c r="D463" i="2"/>
  <c r="B463" i="2"/>
  <c r="A463" i="2"/>
  <c r="K462" i="2"/>
  <c r="J462" i="2"/>
  <c r="I462" i="2"/>
  <c r="G462" i="2"/>
  <c r="E462" i="2"/>
  <c r="D462" i="2"/>
  <c r="B462" i="2"/>
  <c r="C462" i="2" s="1"/>
  <c r="A462" i="2"/>
  <c r="K461" i="2"/>
  <c r="J461" i="2"/>
  <c r="I461" i="2"/>
  <c r="G461" i="2"/>
  <c r="E461" i="2"/>
  <c r="D461" i="2"/>
  <c r="B461" i="2"/>
  <c r="C461" i="2" s="1"/>
  <c r="A461" i="2"/>
  <c r="K460" i="2"/>
  <c r="J460" i="2"/>
  <c r="I460" i="2"/>
  <c r="G460" i="2"/>
  <c r="E460" i="2"/>
  <c r="D460" i="2"/>
  <c r="B460" i="2"/>
  <c r="A460" i="2"/>
  <c r="K459" i="2"/>
  <c r="J459" i="2"/>
  <c r="I459" i="2"/>
  <c r="G459" i="2"/>
  <c r="E459" i="2"/>
  <c r="D459" i="2"/>
  <c r="B459" i="2"/>
  <c r="A459" i="2"/>
  <c r="K458" i="2"/>
  <c r="J458" i="2"/>
  <c r="I458" i="2"/>
  <c r="G458" i="2"/>
  <c r="E458" i="2"/>
  <c r="D458" i="2"/>
  <c r="B458" i="2"/>
  <c r="A458" i="2"/>
  <c r="K457" i="2"/>
  <c r="J457" i="2"/>
  <c r="I457" i="2"/>
  <c r="G457" i="2"/>
  <c r="E457" i="2"/>
  <c r="D457" i="2"/>
  <c r="B457" i="2"/>
  <c r="A457" i="2"/>
  <c r="K456" i="2"/>
  <c r="J456" i="2"/>
  <c r="I456" i="2"/>
  <c r="G456" i="2"/>
  <c r="E456" i="2"/>
  <c r="F456" i="2" s="1"/>
  <c r="D456" i="2"/>
  <c r="B456" i="2"/>
  <c r="A456" i="2"/>
  <c r="K455" i="2"/>
  <c r="J455" i="2"/>
  <c r="I455" i="2"/>
  <c r="G455" i="2"/>
  <c r="E455" i="2"/>
  <c r="D455" i="2"/>
  <c r="B455" i="2"/>
  <c r="A455" i="2"/>
  <c r="K454" i="2"/>
  <c r="J454" i="2"/>
  <c r="I454" i="2"/>
  <c r="G454" i="2"/>
  <c r="E454" i="2"/>
  <c r="D454" i="2"/>
  <c r="B454" i="2"/>
  <c r="A454" i="2"/>
  <c r="K453" i="2"/>
  <c r="J453" i="2"/>
  <c r="I453" i="2"/>
  <c r="G453" i="2"/>
  <c r="E453" i="2"/>
  <c r="D453" i="2"/>
  <c r="B453" i="2"/>
  <c r="A453" i="2"/>
  <c r="K452" i="2"/>
  <c r="J452" i="2"/>
  <c r="I452" i="2"/>
  <c r="G452" i="2"/>
  <c r="E452" i="2"/>
  <c r="D452" i="2"/>
  <c r="B452" i="2"/>
  <c r="A452" i="2"/>
  <c r="K451" i="2"/>
  <c r="J451" i="2"/>
  <c r="I451" i="2"/>
  <c r="G451" i="2"/>
  <c r="E451" i="2"/>
  <c r="D451" i="2"/>
  <c r="B451" i="2"/>
  <c r="A451" i="2"/>
  <c r="K450" i="2"/>
  <c r="J450" i="2"/>
  <c r="I450" i="2"/>
  <c r="G450" i="2"/>
  <c r="E450" i="2"/>
  <c r="D450" i="2"/>
  <c r="B450" i="2"/>
  <c r="A450" i="2"/>
  <c r="K449" i="2"/>
  <c r="J449" i="2"/>
  <c r="I449" i="2"/>
  <c r="G449" i="2"/>
  <c r="E449" i="2"/>
  <c r="D449" i="2"/>
  <c r="B449" i="2"/>
  <c r="A449" i="2"/>
  <c r="K448" i="2"/>
  <c r="J448" i="2"/>
  <c r="I448" i="2"/>
  <c r="G448" i="2"/>
  <c r="E448" i="2"/>
  <c r="D448" i="2"/>
  <c r="B448" i="2"/>
  <c r="A448" i="2"/>
  <c r="K447" i="2"/>
  <c r="J447" i="2"/>
  <c r="I447" i="2"/>
  <c r="G447" i="2"/>
  <c r="E447" i="2"/>
  <c r="D447" i="2"/>
  <c r="B447" i="2"/>
  <c r="A447" i="2"/>
  <c r="K446" i="2"/>
  <c r="J446" i="2"/>
  <c r="I446" i="2"/>
  <c r="G446" i="2"/>
  <c r="E446" i="2"/>
  <c r="D446" i="2"/>
  <c r="B446" i="2"/>
  <c r="A446" i="2"/>
  <c r="K445" i="2"/>
  <c r="J445" i="2"/>
  <c r="I445" i="2"/>
  <c r="G445" i="2"/>
  <c r="E445" i="2"/>
  <c r="D445" i="2"/>
  <c r="B445" i="2"/>
  <c r="A445" i="2"/>
  <c r="K444" i="2"/>
  <c r="J444" i="2"/>
  <c r="I444" i="2"/>
  <c r="G444" i="2"/>
  <c r="E444" i="2"/>
  <c r="D444" i="2"/>
  <c r="B444" i="2"/>
  <c r="A444" i="2"/>
  <c r="K443" i="2"/>
  <c r="J443" i="2"/>
  <c r="I443" i="2"/>
  <c r="G443" i="2"/>
  <c r="E443" i="2"/>
  <c r="D443" i="2"/>
  <c r="B443" i="2"/>
  <c r="A443" i="2"/>
  <c r="K442" i="2"/>
  <c r="J442" i="2"/>
  <c r="I442" i="2"/>
  <c r="G442" i="2"/>
  <c r="E442" i="2"/>
  <c r="F442" i="2" s="1"/>
  <c r="D442" i="2"/>
  <c r="B442" i="2"/>
  <c r="A442" i="2"/>
  <c r="K441" i="2"/>
  <c r="J441" i="2"/>
  <c r="I441" i="2"/>
  <c r="G441" i="2"/>
  <c r="E441" i="2"/>
  <c r="D441" i="2"/>
  <c r="B441" i="2"/>
  <c r="A441" i="2"/>
  <c r="K440" i="2"/>
  <c r="J440" i="2"/>
  <c r="I440" i="2"/>
  <c r="G440" i="2"/>
  <c r="E440" i="2"/>
  <c r="D440" i="2"/>
  <c r="B440" i="2"/>
  <c r="A440" i="2"/>
  <c r="K439" i="2"/>
  <c r="J439" i="2"/>
  <c r="I439" i="2"/>
  <c r="G439" i="2"/>
  <c r="E439" i="2"/>
  <c r="D439" i="2"/>
  <c r="B439" i="2"/>
  <c r="A439" i="2"/>
  <c r="K438" i="2"/>
  <c r="J438" i="2"/>
  <c r="I438" i="2"/>
  <c r="G438" i="2"/>
  <c r="E438" i="2"/>
  <c r="D438" i="2"/>
  <c r="B438" i="2"/>
  <c r="A438" i="2"/>
  <c r="K437" i="2"/>
  <c r="J437" i="2"/>
  <c r="I437" i="2"/>
  <c r="G437" i="2"/>
  <c r="E437" i="2"/>
  <c r="D437" i="2"/>
  <c r="B437" i="2"/>
  <c r="A437" i="2"/>
  <c r="K436" i="2"/>
  <c r="J436" i="2"/>
  <c r="I436" i="2"/>
  <c r="G436" i="2"/>
  <c r="E436" i="2"/>
  <c r="D436" i="2"/>
  <c r="B436" i="2"/>
  <c r="A436" i="2"/>
  <c r="K435" i="2"/>
  <c r="J435" i="2"/>
  <c r="I435" i="2"/>
  <c r="G435" i="2"/>
  <c r="E435" i="2"/>
  <c r="D435" i="2"/>
  <c r="B435" i="2"/>
  <c r="A435" i="2"/>
  <c r="K434" i="2"/>
  <c r="J434" i="2"/>
  <c r="I434" i="2"/>
  <c r="G434" i="2"/>
  <c r="E434" i="2"/>
  <c r="D434" i="2"/>
  <c r="B434" i="2"/>
  <c r="A434" i="2"/>
  <c r="K433" i="2"/>
  <c r="J433" i="2"/>
  <c r="I433" i="2"/>
  <c r="G433" i="2"/>
  <c r="E433" i="2"/>
  <c r="D433" i="2"/>
  <c r="B433" i="2"/>
  <c r="A433" i="2"/>
  <c r="K432" i="2"/>
  <c r="J432" i="2"/>
  <c r="I432" i="2"/>
  <c r="G432" i="2"/>
  <c r="E432" i="2"/>
  <c r="F432" i="2" s="1"/>
  <c r="D432" i="2"/>
  <c r="B432" i="2"/>
  <c r="A432" i="2"/>
  <c r="K431" i="2"/>
  <c r="J431" i="2"/>
  <c r="I431" i="2"/>
  <c r="G431" i="2"/>
  <c r="E431" i="2"/>
  <c r="D431" i="2"/>
  <c r="B431" i="2"/>
  <c r="A431" i="2"/>
  <c r="K430" i="2"/>
  <c r="J430" i="2"/>
  <c r="I430" i="2"/>
  <c r="G430" i="2"/>
  <c r="E430" i="2"/>
  <c r="D430" i="2"/>
  <c r="B430" i="2"/>
  <c r="C430" i="2" s="1"/>
  <c r="A430" i="2"/>
  <c r="K429" i="2"/>
  <c r="J429" i="2"/>
  <c r="I429" i="2"/>
  <c r="G429" i="2"/>
  <c r="E429" i="2"/>
  <c r="D429" i="2"/>
  <c r="B429" i="2"/>
  <c r="A429" i="2"/>
  <c r="K428" i="2"/>
  <c r="J428" i="2"/>
  <c r="I428" i="2"/>
  <c r="G428" i="2"/>
  <c r="E428" i="2"/>
  <c r="D428" i="2"/>
  <c r="B428" i="2"/>
  <c r="A428" i="2"/>
  <c r="K427" i="2"/>
  <c r="J427" i="2"/>
  <c r="I427" i="2"/>
  <c r="G427" i="2"/>
  <c r="E427" i="2"/>
  <c r="D427" i="2"/>
  <c r="B427" i="2"/>
  <c r="C427" i="2" s="1"/>
  <c r="A427" i="2"/>
  <c r="K426" i="2"/>
  <c r="J426" i="2"/>
  <c r="I426" i="2"/>
  <c r="G426" i="2"/>
  <c r="E426" i="2"/>
  <c r="D426" i="2"/>
  <c r="B426" i="2"/>
  <c r="A426" i="2"/>
  <c r="K425" i="2"/>
  <c r="J425" i="2"/>
  <c r="I425" i="2"/>
  <c r="G425" i="2"/>
  <c r="E425" i="2"/>
  <c r="D425" i="2"/>
  <c r="B425" i="2"/>
  <c r="A425" i="2"/>
  <c r="K424" i="2"/>
  <c r="J424" i="2"/>
  <c r="I424" i="2"/>
  <c r="G424" i="2"/>
  <c r="E424" i="2"/>
  <c r="D424" i="2"/>
  <c r="B424" i="2"/>
  <c r="A424" i="2"/>
  <c r="K423" i="2"/>
  <c r="J423" i="2"/>
  <c r="I423" i="2"/>
  <c r="G423" i="2"/>
  <c r="E423" i="2"/>
  <c r="D423" i="2"/>
  <c r="B423" i="2"/>
  <c r="A423" i="2"/>
  <c r="K422" i="2"/>
  <c r="J422" i="2"/>
  <c r="I422" i="2"/>
  <c r="G422" i="2"/>
  <c r="E422" i="2"/>
  <c r="D422" i="2"/>
  <c r="B422" i="2"/>
  <c r="A422" i="2"/>
  <c r="K421" i="2"/>
  <c r="J421" i="2"/>
  <c r="I421" i="2"/>
  <c r="G421" i="2"/>
  <c r="E421" i="2"/>
  <c r="D421" i="2"/>
  <c r="B421" i="2"/>
  <c r="A421" i="2"/>
  <c r="K420" i="2"/>
  <c r="J420" i="2"/>
  <c r="I420" i="2"/>
  <c r="G420" i="2"/>
  <c r="E420" i="2"/>
  <c r="F420" i="2" s="1"/>
  <c r="D420" i="2"/>
  <c r="B420" i="2"/>
  <c r="A420" i="2"/>
  <c r="K419" i="2"/>
  <c r="J419" i="2"/>
  <c r="I419" i="2"/>
  <c r="G419" i="2"/>
  <c r="E419" i="2"/>
  <c r="D419" i="2"/>
  <c r="B419" i="2"/>
  <c r="A419" i="2"/>
  <c r="K418" i="2"/>
  <c r="J418" i="2"/>
  <c r="I418" i="2"/>
  <c r="G418" i="2"/>
  <c r="E418" i="2"/>
  <c r="D418" i="2"/>
  <c r="B418" i="2"/>
  <c r="C418" i="2" s="1"/>
  <c r="A418" i="2"/>
  <c r="K417" i="2"/>
  <c r="J417" i="2"/>
  <c r="I417" i="2"/>
  <c r="G417" i="2"/>
  <c r="E417" i="2"/>
  <c r="D417" i="2"/>
  <c r="B417" i="2"/>
  <c r="A417" i="2"/>
  <c r="K416" i="2"/>
  <c r="J416" i="2"/>
  <c r="I416" i="2"/>
  <c r="G416" i="2"/>
  <c r="E416" i="2"/>
  <c r="D416" i="2"/>
  <c r="B416" i="2"/>
  <c r="A416" i="2"/>
  <c r="K415" i="2"/>
  <c r="J415" i="2"/>
  <c r="I415" i="2"/>
  <c r="G415" i="2"/>
  <c r="E415" i="2"/>
  <c r="D415" i="2"/>
  <c r="B415" i="2"/>
  <c r="A415" i="2"/>
  <c r="K414" i="2"/>
  <c r="J414" i="2"/>
  <c r="I414" i="2"/>
  <c r="G414" i="2"/>
  <c r="E414" i="2"/>
  <c r="D414" i="2"/>
  <c r="B414" i="2"/>
  <c r="A414" i="2"/>
  <c r="K413" i="2"/>
  <c r="J413" i="2"/>
  <c r="I413" i="2"/>
  <c r="G413" i="2"/>
  <c r="E413" i="2"/>
  <c r="D413" i="2"/>
  <c r="B413" i="2"/>
  <c r="A413" i="2"/>
  <c r="K412" i="2"/>
  <c r="J412" i="2"/>
  <c r="I412" i="2"/>
  <c r="G412" i="2"/>
  <c r="E412" i="2"/>
  <c r="D412" i="2"/>
  <c r="B412" i="2"/>
  <c r="A412" i="2"/>
  <c r="K411" i="2"/>
  <c r="J411" i="2"/>
  <c r="I411" i="2"/>
  <c r="G411" i="2"/>
  <c r="E411" i="2"/>
  <c r="D411" i="2"/>
  <c r="B411" i="2"/>
  <c r="A411" i="2"/>
  <c r="K410" i="2"/>
  <c r="J410" i="2"/>
  <c r="I410" i="2"/>
  <c r="G410" i="2"/>
  <c r="E410" i="2"/>
  <c r="D410" i="2"/>
  <c r="B410" i="2"/>
  <c r="A410" i="2"/>
  <c r="K409" i="2"/>
  <c r="J409" i="2"/>
  <c r="I409" i="2"/>
  <c r="G409" i="2"/>
  <c r="E409" i="2"/>
  <c r="D409" i="2"/>
  <c r="B409" i="2"/>
  <c r="A409" i="2"/>
  <c r="K408" i="2"/>
  <c r="J408" i="2"/>
  <c r="I408" i="2"/>
  <c r="G408" i="2"/>
  <c r="E408" i="2"/>
  <c r="F408" i="2" s="1"/>
  <c r="D408" i="2"/>
  <c r="B408" i="2"/>
  <c r="A408" i="2"/>
  <c r="K407" i="2"/>
  <c r="J407" i="2"/>
  <c r="I407" i="2"/>
  <c r="G407" i="2"/>
  <c r="E407" i="2"/>
  <c r="D407" i="2"/>
  <c r="B407" i="2"/>
  <c r="A407" i="2"/>
  <c r="K406" i="2"/>
  <c r="J406" i="2"/>
  <c r="I406" i="2"/>
  <c r="G406" i="2"/>
  <c r="E406" i="2"/>
  <c r="D406" i="2"/>
  <c r="B406" i="2"/>
  <c r="A406" i="2"/>
  <c r="K405" i="2"/>
  <c r="J405" i="2"/>
  <c r="I405" i="2"/>
  <c r="G405" i="2"/>
  <c r="E405" i="2"/>
  <c r="D405" i="2"/>
  <c r="B405" i="2"/>
  <c r="A405" i="2"/>
  <c r="K404" i="2"/>
  <c r="J404" i="2"/>
  <c r="I404" i="2"/>
  <c r="G404" i="2"/>
  <c r="E404" i="2"/>
  <c r="D404" i="2"/>
  <c r="B404" i="2"/>
  <c r="A404" i="2"/>
  <c r="K403" i="2"/>
  <c r="J403" i="2"/>
  <c r="I403" i="2"/>
  <c r="G403" i="2"/>
  <c r="E403" i="2"/>
  <c r="D403" i="2"/>
  <c r="B403" i="2"/>
  <c r="A403" i="2"/>
  <c r="K402" i="2"/>
  <c r="J402" i="2"/>
  <c r="I402" i="2"/>
  <c r="G402" i="2"/>
  <c r="E402" i="2"/>
  <c r="F402" i="2" s="1"/>
  <c r="D402" i="2"/>
  <c r="B402" i="2"/>
  <c r="A402" i="2"/>
  <c r="K401" i="2"/>
  <c r="J401" i="2"/>
  <c r="I401" i="2"/>
  <c r="G401" i="2"/>
  <c r="E401" i="2"/>
  <c r="D401" i="2"/>
  <c r="B401" i="2"/>
  <c r="A401" i="2"/>
  <c r="K400" i="2"/>
  <c r="J400" i="2"/>
  <c r="I400" i="2"/>
  <c r="G400" i="2"/>
  <c r="E400" i="2"/>
  <c r="D400" i="2"/>
  <c r="B400" i="2"/>
  <c r="A400" i="2"/>
  <c r="K399" i="2"/>
  <c r="J399" i="2"/>
  <c r="I399" i="2"/>
  <c r="G399" i="2"/>
  <c r="E399" i="2"/>
  <c r="D399" i="2"/>
  <c r="B399" i="2"/>
  <c r="A399" i="2"/>
  <c r="K398" i="2"/>
  <c r="J398" i="2"/>
  <c r="I398" i="2"/>
  <c r="G398" i="2"/>
  <c r="E398" i="2"/>
  <c r="D398" i="2"/>
  <c r="B398" i="2"/>
  <c r="A398" i="2"/>
  <c r="K397" i="2"/>
  <c r="J397" i="2"/>
  <c r="I397" i="2"/>
  <c r="G397" i="2"/>
  <c r="E397" i="2"/>
  <c r="D397" i="2"/>
  <c r="B397" i="2"/>
  <c r="A397" i="2"/>
  <c r="K396" i="2"/>
  <c r="J396" i="2"/>
  <c r="I396" i="2"/>
  <c r="G396" i="2"/>
  <c r="E396" i="2"/>
  <c r="F396" i="2" s="1"/>
  <c r="D396" i="2"/>
  <c r="B396" i="2"/>
  <c r="A396" i="2"/>
  <c r="K395" i="2"/>
  <c r="J395" i="2"/>
  <c r="I395" i="2"/>
  <c r="G395" i="2"/>
  <c r="E395" i="2"/>
  <c r="D395" i="2"/>
  <c r="B395" i="2"/>
  <c r="A395" i="2"/>
  <c r="K394" i="2"/>
  <c r="J394" i="2"/>
  <c r="I394" i="2"/>
  <c r="G394" i="2"/>
  <c r="E394" i="2"/>
  <c r="F394" i="2" s="1"/>
  <c r="D394" i="2"/>
  <c r="B394" i="2"/>
  <c r="A394" i="2"/>
  <c r="K393" i="2"/>
  <c r="J393" i="2"/>
  <c r="I393" i="2"/>
  <c r="G393" i="2"/>
  <c r="E393" i="2"/>
  <c r="D393" i="2"/>
  <c r="B393" i="2"/>
  <c r="A393" i="2"/>
  <c r="K392" i="2"/>
  <c r="J392" i="2"/>
  <c r="I392" i="2"/>
  <c r="G392" i="2"/>
  <c r="E392" i="2"/>
  <c r="D392" i="2"/>
  <c r="B392" i="2"/>
  <c r="A392" i="2"/>
  <c r="K391" i="2"/>
  <c r="J391" i="2"/>
  <c r="I391" i="2"/>
  <c r="G391" i="2"/>
  <c r="E391" i="2"/>
  <c r="D391" i="2"/>
  <c r="B391" i="2"/>
  <c r="A391" i="2"/>
  <c r="K390" i="2"/>
  <c r="J390" i="2"/>
  <c r="I390" i="2"/>
  <c r="G390" i="2"/>
  <c r="E390" i="2"/>
  <c r="D390" i="2"/>
  <c r="B390" i="2"/>
  <c r="A390" i="2"/>
  <c r="K389" i="2"/>
  <c r="J389" i="2"/>
  <c r="I389" i="2"/>
  <c r="G389" i="2"/>
  <c r="E389" i="2"/>
  <c r="D389" i="2"/>
  <c r="B389" i="2"/>
  <c r="A389" i="2"/>
  <c r="K388" i="2"/>
  <c r="J388" i="2"/>
  <c r="I388" i="2"/>
  <c r="G388" i="2"/>
  <c r="E388" i="2"/>
  <c r="F388" i="2" s="1"/>
  <c r="D388" i="2"/>
  <c r="B388" i="2"/>
  <c r="A388" i="2"/>
  <c r="K387" i="2"/>
  <c r="J387" i="2"/>
  <c r="I387" i="2"/>
  <c r="G387" i="2"/>
  <c r="E387" i="2"/>
  <c r="D387" i="2"/>
  <c r="B387" i="2"/>
  <c r="A387" i="2"/>
  <c r="K386" i="2"/>
  <c r="J386" i="2"/>
  <c r="I386" i="2"/>
  <c r="G386" i="2"/>
  <c r="E386" i="2"/>
  <c r="D386" i="2"/>
  <c r="B386" i="2"/>
  <c r="A386" i="2"/>
  <c r="K385" i="2"/>
  <c r="J385" i="2"/>
  <c r="I385" i="2"/>
  <c r="G385" i="2"/>
  <c r="E385" i="2"/>
  <c r="F385" i="2" s="1"/>
  <c r="D385" i="2"/>
  <c r="B385" i="2"/>
  <c r="A385" i="2"/>
  <c r="K384" i="2"/>
  <c r="J384" i="2"/>
  <c r="I384" i="2"/>
  <c r="G384" i="2"/>
  <c r="E384" i="2"/>
  <c r="D384" i="2"/>
  <c r="B384" i="2"/>
  <c r="A384" i="2"/>
  <c r="K383" i="2"/>
  <c r="J383" i="2"/>
  <c r="I383" i="2"/>
  <c r="G383" i="2"/>
  <c r="E383" i="2"/>
  <c r="D383" i="2"/>
  <c r="B383" i="2"/>
  <c r="A383" i="2"/>
  <c r="K382" i="2"/>
  <c r="J382" i="2"/>
  <c r="I382" i="2"/>
  <c r="G382" i="2"/>
  <c r="E382" i="2"/>
  <c r="D382" i="2"/>
  <c r="B382" i="2"/>
  <c r="A382" i="2"/>
  <c r="K381" i="2"/>
  <c r="J381" i="2"/>
  <c r="I381" i="2"/>
  <c r="G381" i="2"/>
  <c r="E381" i="2"/>
  <c r="D381" i="2"/>
  <c r="B381" i="2"/>
  <c r="A381" i="2"/>
  <c r="K380" i="2"/>
  <c r="J380" i="2"/>
  <c r="I380" i="2"/>
  <c r="G380" i="2"/>
  <c r="E380" i="2"/>
  <c r="D380" i="2"/>
  <c r="B380" i="2"/>
  <c r="A380" i="2"/>
  <c r="K379" i="2"/>
  <c r="J379" i="2"/>
  <c r="I379" i="2"/>
  <c r="G379" i="2"/>
  <c r="E379" i="2"/>
  <c r="D379" i="2"/>
  <c r="B379" i="2"/>
  <c r="A379" i="2"/>
  <c r="K378" i="2"/>
  <c r="J378" i="2"/>
  <c r="I378" i="2"/>
  <c r="G378" i="2"/>
  <c r="E378" i="2"/>
  <c r="D378" i="2"/>
  <c r="B378" i="2"/>
  <c r="C378" i="2" s="1"/>
  <c r="A378" i="2"/>
  <c r="K377" i="2"/>
  <c r="J377" i="2"/>
  <c r="I377" i="2"/>
  <c r="G377" i="2"/>
  <c r="E377" i="2"/>
  <c r="D377" i="2"/>
  <c r="B377" i="2"/>
  <c r="A377" i="2"/>
  <c r="K376" i="2"/>
  <c r="J376" i="2"/>
  <c r="I376" i="2"/>
  <c r="G376" i="2"/>
  <c r="E376" i="2"/>
  <c r="D376" i="2"/>
  <c r="B376" i="2"/>
  <c r="C376" i="2" s="1"/>
  <c r="A376" i="2"/>
  <c r="K375" i="2"/>
  <c r="J375" i="2"/>
  <c r="I375" i="2"/>
  <c r="G375" i="2"/>
  <c r="E375" i="2"/>
  <c r="B375" i="2"/>
  <c r="A375" i="2"/>
  <c r="K374" i="2"/>
  <c r="J374" i="2"/>
  <c r="I374" i="2"/>
  <c r="G374" i="2"/>
  <c r="E374" i="2"/>
  <c r="D374" i="2"/>
  <c r="B374" i="2"/>
  <c r="A374" i="2"/>
  <c r="K373" i="2"/>
  <c r="J373" i="2"/>
  <c r="I373" i="2"/>
  <c r="G373" i="2"/>
  <c r="E373" i="2"/>
  <c r="D373" i="2"/>
  <c r="B373" i="2"/>
  <c r="A373" i="2"/>
  <c r="K372" i="2"/>
  <c r="J372" i="2"/>
  <c r="I372" i="2"/>
  <c r="G372" i="2"/>
  <c r="E372" i="2"/>
  <c r="D372" i="2"/>
  <c r="B372" i="2"/>
  <c r="A372" i="2"/>
  <c r="K371" i="2"/>
  <c r="J371" i="2"/>
  <c r="I371" i="2"/>
  <c r="G371" i="2"/>
  <c r="E371" i="2"/>
  <c r="D371" i="2"/>
  <c r="B371" i="2"/>
  <c r="A371" i="2"/>
  <c r="K370" i="2"/>
  <c r="J370" i="2"/>
  <c r="I370" i="2"/>
  <c r="G370" i="2"/>
  <c r="E370" i="2"/>
  <c r="D370" i="2"/>
  <c r="B370" i="2"/>
  <c r="A370" i="2"/>
  <c r="K369" i="2"/>
  <c r="J369" i="2"/>
  <c r="I369" i="2"/>
  <c r="G369" i="2"/>
  <c r="E369" i="2"/>
  <c r="F369" i="2" s="1"/>
  <c r="D369" i="2"/>
  <c r="B369" i="2"/>
  <c r="A369" i="2"/>
  <c r="K368" i="2"/>
  <c r="J368" i="2"/>
  <c r="I368" i="2"/>
  <c r="G368" i="2"/>
  <c r="E368" i="2"/>
  <c r="D368" i="2"/>
  <c r="B368" i="2"/>
  <c r="A368" i="2"/>
  <c r="K367" i="2"/>
  <c r="J367" i="2"/>
  <c r="I367" i="2"/>
  <c r="G367" i="2"/>
  <c r="E367" i="2"/>
  <c r="D367" i="2"/>
  <c r="B367" i="2"/>
  <c r="A367" i="2"/>
  <c r="K366" i="2"/>
  <c r="J366" i="2"/>
  <c r="I366" i="2"/>
  <c r="G366" i="2"/>
  <c r="E366" i="2"/>
  <c r="D366" i="2"/>
  <c r="B366" i="2"/>
  <c r="A366" i="2"/>
  <c r="K365" i="2"/>
  <c r="J365" i="2"/>
  <c r="I365" i="2"/>
  <c r="G365" i="2"/>
  <c r="E365" i="2"/>
  <c r="D365" i="2"/>
  <c r="B365" i="2"/>
  <c r="A365" i="2"/>
  <c r="K364" i="2"/>
  <c r="J364" i="2"/>
  <c r="I364" i="2"/>
  <c r="G364" i="2"/>
  <c r="E364" i="2"/>
  <c r="F364" i="2" s="1"/>
  <c r="D364" i="2"/>
  <c r="B364" i="2"/>
  <c r="A364" i="2"/>
  <c r="K363" i="2"/>
  <c r="J363" i="2"/>
  <c r="I363" i="2"/>
  <c r="G363" i="2"/>
  <c r="E363" i="2"/>
  <c r="D363" i="2"/>
  <c r="B363" i="2"/>
  <c r="A363" i="2"/>
  <c r="K362" i="2"/>
  <c r="J362" i="2"/>
  <c r="I362" i="2"/>
  <c r="G362" i="2"/>
  <c r="E362" i="2"/>
  <c r="D362" i="2"/>
  <c r="B362" i="2"/>
  <c r="A362" i="2"/>
  <c r="K361" i="2"/>
  <c r="J361" i="2"/>
  <c r="I361" i="2"/>
  <c r="G361" i="2"/>
  <c r="E361" i="2"/>
  <c r="D361" i="2"/>
  <c r="B361" i="2"/>
  <c r="A361" i="2"/>
  <c r="K360" i="2"/>
  <c r="J360" i="2"/>
  <c r="I360" i="2"/>
  <c r="G360" i="2"/>
  <c r="E360" i="2"/>
  <c r="D360" i="2"/>
  <c r="B360" i="2"/>
  <c r="A360" i="2"/>
  <c r="K359" i="2"/>
  <c r="J359" i="2"/>
  <c r="I359" i="2"/>
  <c r="G359" i="2"/>
  <c r="E359" i="2"/>
  <c r="D359" i="2"/>
  <c r="B359" i="2"/>
  <c r="A359" i="2"/>
  <c r="K358" i="2"/>
  <c r="J358" i="2"/>
  <c r="I358" i="2"/>
  <c r="G358" i="2"/>
  <c r="E358" i="2"/>
  <c r="D358" i="2"/>
  <c r="B358" i="2"/>
  <c r="C358" i="2" s="1"/>
  <c r="A358" i="2"/>
  <c r="K357" i="2"/>
  <c r="J357" i="2"/>
  <c r="I357" i="2"/>
  <c r="G357" i="2"/>
  <c r="E357" i="2"/>
  <c r="F357" i="2" s="1"/>
  <c r="D357" i="2"/>
  <c r="B357" i="2"/>
  <c r="A357" i="2"/>
  <c r="K356" i="2"/>
  <c r="J356" i="2"/>
  <c r="I356" i="2"/>
  <c r="G356" i="2"/>
  <c r="E356" i="2"/>
  <c r="D356" i="2"/>
  <c r="B356" i="2"/>
  <c r="A356" i="2"/>
  <c r="K355" i="2"/>
  <c r="J355" i="2"/>
  <c r="I355" i="2"/>
  <c r="G355" i="2"/>
  <c r="E355" i="2"/>
  <c r="D355" i="2"/>
  <c r="B355" i="2"/>
  <c r="A355" i="2"/>
  <c r="K354" i="2"/>
  <c r="J354" i="2"/>
  <c r="I354" i="2"/>
  <c r="G354" i="2"/>
  <c r="E354" i="2"/>
  <c r="D354" i="2"/>
  <c r="B354" i="2"/>
  <c r="C354" i="2" s="1"/>
  <c r="A354" i="2"/>
  <c r="K353" i="2"/>
  <c r="J353" i="2"/>
  <c r="I353" i="2"/>
  <c r="G353" i="2"/>
  <c r="E353" i="2"/>
  <c r="D353" i="2"/>
  <c r="B353" i="2"/>
  <c r="C353" i="2" s="1"/>
  <c r="A353" i="2"/>
  <c r="K352" i="2"/>
  <c r="J352" i="2"/>
  <c r="I352" i="2"/>
  <c r="G352" i="2"/>
  <c r="E352" i="2"/>
  <c r="D352" i="2"/>
  <c r="B352" i="2"/>
  <c r="A352" i="2"/>
  <c r="K351" i="2"/>
  <c r="J351" i="2"/>
  <c r="I351" i="2"/>
  <c r="G351" i="2"/>
  <c r="E351" i="2"/>
  <c r="D351" i="2"/>
  <c r="B351" i="2"/>
  <c r="A351" i="2"/>
  <c r="K350" i="2"/>
  <c r="J350" i="2"/>
  <c r="I350" i="2"/>
  <c r="G350" i="2"/>
  <c r="E350" i="2"/>
  <c r="D350" i="2"/>
  <c r="B350" i="2"/>
  <c r="A350" i="2"/>
  <c r="K349" i="2"/>
  <c r="J349" i="2"/>
  <c r="I349" i="2"/>
  <c r="G349" i="2"/>
  <c r="E349" i="2"/>
  <c r="D349" i="2"/>
  <c r="B349" i="2"/>
  <c r="A349" i="2"/>
  <c r="K348" i="2"/>
  <c r="J348" i="2"/>
  <c r="I348" i="2"/>
  <c r="G348" i="2"/>
  <c r="E348" i="2"/>
  <c r="D348" i="2"/>
  <c r="B348" i="2"/>
  <c r="A348" i="2"/>
  <c r="K347" i="2"/>
  <c r="J347" i="2"/>
  <c r="I347" i="2"/>
  <c r="G347" i="2"/>
  <c r="E347" i="2"/>
  <c r="D347" i="2"/>
  <c r="B347" i="2"/>
  <c r="A347" i="2"/>
  <c r="K346" i="2"/>
  <c r="J346" i="2"/>
  <c r="I346" i="2"/>
  <c r="G346" i="2"/>
  <c r="E346" i="2"/>
  <c r="D346" i="2"/>
  <c r="B346" i="2"/>
  <c r="A346" i="2"/>
  <c r="K345" i="2"/>
  <c r="J345" i="2"/>
  <c r="I345" i="2"/>
  <c r="G345" i="2"/>
  <c r="E345" i="2"/>
  <c r="F345" i="2" s="1"/>
  <c r="D345" i="2"/>
  <c r="B345" i="2"/>
  <c r="A345" i="2"/>
  <c r="K344" i="2"/>
  <c r="J344" i="2"/>
  <c r="I344" i="2"/>
  <c r="G344" i="2"/>
  <c r="E344" i="2"/>
  <c r="D344" i="2"/>
  <c r="B344" i="2"/>
  <c r="A344" i="2"/>
  <c r="K343" i="2"/>
  <c r="J343" i="2"/>
  <c r="I343" i="2"/>
  <c r="G343" i="2"/>
  <c r="E343" i="2"/>
  <c r="D343" i="2"/>
  <c r="B343" i="2"/>
  <c r="A343" i="2"/>
  <c r="K342" i="2"/>
  <c r="J342" i="2"/>
  <c r="I342" i="2"/>
  <c r="G342" i="2"/>
  <c r="E342" i="2"/>
  <c r="D342" i="2"/>
  <c r="B342" i="2"/>
  <c r="A342" i="2"/>
  <c r="K341" i="2"/>
  <c r="J341" i="2"/>
  <c r="I341" i="2"/>
  <c r="G341" i="2"/>
  <c r="E341" i="2"/>
  <c r="F341" i="2" s="1"/>
  <c r="D341" i="2"/>
  <c r="B341" i="2"/>
  <c r="A341" i="2"/>
  <c r="K340" i="2"/>
  <c r="J340" i="2"/>
  <c r="I340" i="2"/>
  <c r="G340" i="2"/>
  <c r="E340" i="2"/>
  <c r="D340" i="2"/>
  <c r="B340" i="2"/>
  <c r="A340" i="2"/>
  <c r="K339" i="2"/>
  <c r="J339" i="2"/>
  <c r="I339" i="2"/>
  <c r="G339" i="2"/>
  <c r="E339" i="2"/>
  <c r="D339" i="2"/>
  <c r="B339" i="2"/>
  <c r="A339" i="2"/>
  <c r="K338" i="2"/>
  <c r="J338" i="2"/>
  <c r="I338" i="2"/>
  <c r="G338" i="2"/>
  <c r="E338" i="2"/>
  <c r="D338" i="2"/>
  <c r="B338" i="2"/>
  <c r="A338" i="2"/>
  <c r="K337" i="2"/>
  <c r="J337" i="2"/>
  <c r="I337" i="2"/>
  <c r="G337" i="2"/>
  <c r="E337" i="2"/>
  <c r="D337" i="2"/>
  <c r="B337" i="2"/>
  <c r="A337" i="2"/>
  <c r="K336" i="2"/>
  <c r="J336" i="2"/>
  <c r="I336" i="2"/>
  <c r="G336" i="2"/>
  <c r="E336" i="2"/>
  <c r="D336" i="2"/>
  <c r="B336" i="2"/>
  <c r="A336" i="2"/>
  <c r="K335" i="2"/>
  <c r="J335" i="2"/>
  <c r="I335" i="2"/>
  <c r="G335" i="2"/>
  <c r="E335" i="2"/>
  <c r="D335" i="2"/>
  <c r="B335" i="2"/>
  <c r="A335" i="2"/>
  <c r="K334" i="2"/>
  <c r="J334" i="2"/>
  <c r="I334" i="2"/>
  <c r="G334" i="2"/>
  <c r="E334" i="2"/>
  <c r="D334" i="2"/>
  <c r="B334" i="2"/>
  <c r="A334" i="2"/>
  <c r="K333" i="2"/>
  <c r="J333" i="2"/>
  <c r="I333" i="2"/>
  <c r="G333" i="2"/>
  <c r="E333" i="2"/>
  <c r="D333" i="2"/>
  <c r="B333" i="2"/>
  <c r="A333" i="2"/>
  <c r="K332" i="2"/>
  <c r="J332" i="2"/>
  <c r="I332" i="2"/>
  <c r="G332" i="2"/>
  <c r="E332" i="2"/>
  <c r="F332" i="2" s="1"/>
  <c r="D332" i="2"/>
  <c r="B332" i="2"/>
  <c r="A332" i="2"/>
  <c r="K331" i="2"/>
  <c r="J331" i="2"/>
  <c r="I331" i="2"/>
  <c r="G331" i="2"/>
  <c r="E331" i="2"/>
  <c r="F331" i="2" s="1"/>
  <c r="D331" i="2"/>
  <c r="B331" i="2"/>
  <c r="A331" i="2"/>
  <c r="K330" i="2"/>
  <c r="J330" i="2"/>
  <c r="I330" i="2"/>
  <c r="G330" i="2"/>
  <c r="E330" i="2"/>
  <c r="D330" i="2"/>
  <c r="B330" i="2"/>
  <c r="A330" i="2"/>
  <c r="K329" i="2"/>
  <c r="J329" i="2"/>
  <c r="I329" i="2"/>
  <c r="G329" i="2"/>
  <c r="E329" i="2"/>
  <c r="D329" i="2"/>
  <c r="B329" i="2"/>
  <c r="A329" i="2"/>
  <c r="K328" i="2"/>
  <c r="J328" i="2"/>
  <c r="I328" i="2"/>
  <c r="G328" i="2"/>
  <c r="E328" i="2"/>
  <c r="D328" i="2"/>
  <c r="B328" i="2"/>
  <c r="A328" i="2"/>
  <c r="K327" i="2"/>
  <c r="J327" i="2"/>
  <c r="I327" i="2"/>
  <c r="G327" i="2"/>
  <c r="E327" i="2"/>
  <c r="D327" i="2"/>
  <c r="B327" i="2"/>
  <c r="A327" i="2"/>
  <c r="K326" i="2"/>
  <c r="J326" i="2"/>
  <c r="I326" i="2"/>
  <c r="G326" i="2"/>
  <c r="E326" i="2"/>
  <c r="D326" i="2"/>
  <c r="B326" i="2"/>
  <c r="A326" i="2"/>
  <c r="K325" i="2"/>
  <c r="J325" i="2"/>
  <c r="I325" i="2"/>
  <c r="G325" i="2"/>
  <c r="E325" i="2"/>
  <c r="D325" i="2"/>
  <c r="B325" i="2"/>
  <c r="A325" i="2"/>
  <c r="K324" i="2"/>
  <c r="J324" i="2"/>
  <c r="I324" i="2"/>
  <c r="G324" i="2"/>
  <c r="E324" i="2"/>
  <c r="F324" i="2" s="1"/>
  <c r="D324" i="2"/>
  <c r="B324" i="2"/>
  <c r="A324" i="2"/>
  <c r="K323" i="2"/>
  <c r="J323" i="2"/>
  <c r="I323" i="2"/>
  <c r="G323" i="2"/>
  <c r="E323" i="2"/>
  <c r="D323" i="2"/>
  <c r="B323" i="2"/>
  <c r="A323" i="2"/>
  <c r="K322" i="2"/>
  <c r="J322" i="2"/>
  <c r="I322" i="2"/>
  <c r="G322" i="2"/>
  <c r="E322" i="2"/>
  <c r="F322" i="2" s="1"/>
  <c r="D322" i="2"/>
  <c r="B322" i="2"/>
  <c r="A322" i="2"/>
  <c r="K321" i="2"/>
  <c r="J321" i="2"/>
  <c r="I321" i="2"/>
  <c r="G321" i="2"/>
  <c r="E321" i="2"/>
  <c r="F321" i="2" s="1"/>
  <c r="D321" i="2"/>
  <c r="B321" i="2"/>
  <c r="A321" i="2"/>
  <c r="K320" i="2"/>
  <c r="J320" i="2"/>
  <c r="I320" i="2"/>
  <c r="G320" i="2"/>
  <c r="E320" i="2"/>
  <c r="D320" i="2"/>
  <c r="B320" i="2"/>
  <c r="A320" i="2"/>
  <c r="K319" i="2"/>
  <c r="J319" i="2"/>
  <c r="I319" i="2"/>
  <c r="G319" i="2"/>
  <c r="E319" i="2"/>
  <c r="D319" i="2"/>
  <c r="B319" i="2"/>
  <c r="A319" i="2"/>
  <c r="K318" i="2"/>
  <c r="J318" i="2"/>
  <c r="I318" i="2"/>
  <c r="G318" i="2"/>
  <c r="E318" i="2"/>
  <c r="D318" i="2"/>
  <c r="B318" i="2"/>
  <c r="A318" i="2"/>
  <c r="K317" i="2"/>
  <c r="J317" i="2"/>
  <c r="I317" i="2"/>
  <c r="G317" i="2"/>
  <c r="E317" i="2"/>
  <c r="D317" i="2"/>
  <c r="B317" i="2"/>
  <c r="A317" i="2"/>
  <c r="K316" i="2"/>
  <c r="J316" i="2"/>
  <c r="I316" i="2"/>
  <c r="G316" i="2"/>
  <c r="E316" i="2"/>
  <c r="D316" i="2"/>
  <c r="B316" i="2"/>
  <c r="A316" i="2"/>
  <c r="K315" i="2"/>
  <c r="J315" i="2"/>
  <c r="I315" i="2"/>
  <c r="G315" i="2"/>
  <c r="E315" i="2"/>
  <c r="D315" i="2"/>
  <c r="B315" i="2"/>
  <c r="A315" i="2"/>
  <c r="K314" i="2"/>
  <c r="J314" i="2"/>
  <c r="I314" i="2"/>
  <c r="G314" i="2"/>
  <c r="E314" i="2"/>
  <c r="D314" i="2"/>
  <c r="B314" i="2"/>
  <c r="A314" i="2"/>
  <c r="K313" i="2"/>
  <c r="J313" i="2"/>
  <c r="I313" i="2"/>
  <c r="G313" i="2"/>
  <c r="E313" i="2"/>
  <c r="D313" i="2"/>
  <c r="B313" i="2"/>
  <c r="A313" i="2"/>
  <c r="K312" i="2"/>
  <c r="J312" i="2"/>
  <c r="I312" i="2"/>
  <c r="G312" i="2"/>
  <c r="E312" i="2"/>
  <c r="D312" i="2"/>
  <c r="B312" i="2"/>
  <c r="A312" i="2"/>
  <c r="K311" i="2"/>
  <c r="J311" i="2"/>
  <c r="I311" i="2"/>
  <c r="G311" i="2"/>
  <c r="E311" i="2"/>
  <c r="D311" i="2"/>
  <c r="B311" i="2"/>
  <c r="A311" i="2"/>
  <c r="K310" i="2"/>
  <c r="J310" i="2"/>
  <c r="I310" i="2"/>
  <c r="G310" i="2"/>
  <c r="E310" i="2"/>
  <c r="D310" i="2"/>
  <c r="B310" i="2"/>
  <c r="A310" i="2"/>
  <c r="K309" i="2"/>
  <c r="J309" i="2"/>
  <c r="I309" i="2"/>
  <c r="G309" i="2"/>
  <c r="E309" i="2"/>
  <c r="F309" i="2" s="1"/>
  <c r="D309" i="2"/>
  <c r="B309" i="2"/>
  <c r="A309" i="2"/>
  <c r="K308" i="2"/>
  <c r="J308" i="2"/>
  <c r="I308" i="2"/>
  <c r="G308" i="2"/>
  <c r="E308" i="2"/>
  <c r="D308" i="2"/>
  <c r="B308" i="2"/>
  <c r="A308" i="2"/>
  <c r="K307" i="2"/>
  <c r="J307" i="2"/>
  <c r="I307" i="2"/>
  <c r="G307" i="2"/>
  <c r="E307" i="2"/>
  <c r="D307" i="2"/>
  <c r="B307" i="2"/>
  <c r="A307" i="2"/>
  <c r="K306" i="2"/>
  <c r="J306" i="2"/>
  <c r="I306" i="2"/>
  <c r="G306" i="2"/>
  <c r="E306" i="2"/>
  <c r="D306" i="2"/>
  <c r="B306" i="2"/>
  <c r="A306" i="2"/>
  <c r="K305" i="2"/>
  <c r="J305" i="2"/>
  <c r="I305" i="2"/>
  <c r="G305" i="2"/>
  <c r="E305" i="2"/>
  <c r="D305" i="2"/>
  <c r="B305" i="2"/>
  <c r="A305" i="2"/>
  <c r="K304" i="2"/>
  <c r="J304" i="2"/>
  <c r="I304" i="2"/>
  <c r="G304" i="2"/>
  <c r="E304" i="2"/>
  <c r="D304" i="2"/>
  <c r="B304" i="2"/>
  <c r="A304" i="2"/>
  <c r="K303" i="2"/>
  <c r="J303" i="2"/>
  <c r="I303" i="2"/>
  <c r="G303" i="2"/>
  <c r="E303" i="2"/>
  <c r="D303" i="2"/>
  <c r="B303" i="2"/>
  <c r="A303" i="2"/>
  <c r="K302" i="2"/>
  <c r="J302" i="2"/>
  <c r="I302" i="2"/>
  <c r="G302" i="2"/>
  <c r="E302" i="2"/>
  <c r="D302" i="2"/>
  <c r="B302" i="2"/>
  <c r="A302" i="2"/>
  <c r="K301" i="2"/>
  <c r="J301" i="2"/>
  <c r="I301" i="2"/>
  <c r="G301" i="2"/>
  <c r="E301" i="2"/>
  <c r="D301" i="2"/>
  <c r="B301" i="2"/>
  <c r="A301" i="2"/>
  <c r="K300" i="2"/>
  <c r="J300" i="2"/>
  <c r="I300" i="2"/>
  <c r="G300" i="2"/>
  <c r="E300" i="2"/>
  <c r="D300" i="2"/>
  <c r="B300" i="2"/>
  <c r="A300" i="2"/>
  <c r="K299" i="2"/>
  <c r="J299" i="2"/>
  <c r="I299" i="2"/>
  <c r="G299" i="2"/>
  <c r="E299" i="2"/>
  <c r="D299" i="2"/>
  <c r="B299" i="2"/>
  <c r="A299" i="2"/>
  <c r="K298" i="2"/>
  <c r="J298" i="2"/>
  <c r="I298" i="2"/>
  <c r="G298" i="2"/>
  <c r="E298" i="2"/>
  <c r="D298" i="2"/>
  <c r="B298" i="2"/>
  <c r="C298" i="2" s="1"/>
  <c r="A298" i="2"/>
  <c r="K297" i="2"/>
  <c r="J297" i="2"/>
  <c r="I297" i="2"/>
  <c r="G297" i="2"/>
  <c r="E297" i="2"/>
  <c r="D297" i="2"/>
  <c r="B297" i="2"/>
  <c r="A297" i="2"/>
  <c r="K296" i="2"/>
  <c r="J296" i="2"/>
  <c r="I296" i="2"/>
  <c r="G296" i="2"/>
  <c r="E296" i="2"/>
  <c r="F296" i="2" s="1"/>
  <c r="D296" i="2"/>
  <c r="B296" i="2"/>
  <c r="A296" i="2"/>
  <c r="K295" i="2"/>
  <c r="J295" i="2"/>
  <c r="I295" i="2"/>
  <c r="G295" i="2"/>
  <c r="E295" i="2"/>
  <c r="D295" i="2"/>
  <c r="B295" i="2"/>
  <c r="A295" i="2"/>
  <c r="K294" i="2"/>
  <c r="J294" i="2"/>
  <c r="I294" i="2"/>
  <c r="G294" i="2"/>
  <c r="E294" i="2"/>
  <c r="D294" i="2"/>
  <c r="B294" i="2"/>
  <c r="A294" i="2"/>
  <c r="K293" i="2"/>
  <c r="J293" i="2"/>
  <c r="I293" i="2"/>
  <c r="G293" i="2"/>
  <c r="E293" i="2"/>
  <c r="D293" i="2"/>
  <c r="B293" i="2"/>
  <c r="A293" i="2"/>
  <c r="K292" i="2"/>
  <c r="J292" i="2"/>
  <c r="I292" i="2"/>
  <c r="G292" i="2"/>
  <c r="E292" i="2"/>
  <c r="D292" i="2"/>
  <c r="B292" i="2"/>
  <c r="A292" i="2"/>
  <c r="K291" i="2"/>
  <c r="J291" i="2"/>
  <c r="I291" i="2"/>
  <c r="G291" i="2"/>
  <c r="E291" i="2"/>
  <c r="D291" i="2"/>
  <c r="B291" i="2"/>
  <c r="A291" i="2"/>
  <c r="K290" i="2"/>
  <c r="J290" i="2"/>
  <c r="I290" i="2"/>
  <c r="G290" i="2"/>
  <c r="E290" i="2"/>
  <c r="D290" i="2"/>
  <c r="B290" i="2"/>
  <c r="A290" i="2"/>
  <c r="K289" i="2"/>
  <c r="J289" i="2"/>
  <c r="I289" i="2"/>
  <c r="G289" i="2"/>
  <c r="E289" i="2"/>
  <c r="D289" i="2"/>
  <c r="B289" i="2"/>
  <c r="A289" i="2"/>
  <c r="K288" i="2"/>
  <c r="J288" i="2"/>
  <c r="I288" i="2"/>
  <c r="G288" i="2"/>
  <c r="E288" i="2"/>
  <c r="D288" i="2"/>
  <c r="B288" i="2"/>
  <c r="A288" i="2"/>
  <c r="K287" i="2"/>
  <c r="J287" i="2"/>
  <c r="I287" i="2"/>
  <c r="G287" i="2"/>
  <c r="E287" i="2"/>
  <c r="D287" i="2"/>
  <c r="B287" i="2"/>
  <c r="A287" i="2"/>
  <c r="K286" i="2"/>
  <c r="J286" i="2"/>
  <c r="I286" i="2"/>
  <c r="G286" i="2"/>
  <c r="E286" i="2"/>
  <c r="D286" i="2"/>
  <c r="B286" i="2"/>
  <c r="A286" i="2"/>
  <c r="K285" i="2"/>
  <c r="J285" i="2"/>
  <c r="I285" i="2"/>
  <c r="G285" i="2"/>
  <c r="E285" i="2"/>
  <c r="D285" i="2"/>
  <c r="B285" i="2"/>
  <c r="A285" i="2"/>
  <c r="K284" i="2"/>
  <c r="J284" i="2"/>
  <c r="I284" i="2"/>
  <c r="G284" i="2"/>
  <c r="E284" i="2"/>
  <c r="D284" i="2"/>
  <c r="B284" i="2"/>
  <c r="A284" i="2"/>
  <c r="K283" i="2"/>
  <c r="J283" i="2"/>
  <c r="I283" i="2"/>
  <c r="G283" i="2"/>
  <c r="E283" i="2"/>
  <c r="D283" i="2"/>
  <c r="B283" i="2"/>
  <c r="A283" i="2"/>
  <c r="K282" i="2"/>
  <c r="J282" i="2"/>
  <c r="I282" i="2"/>
  <c r="G282" i="2"/>
  <c r="E282" i="2"/>
  <c r="D282" i="2"/>
  <c r="B282" i="2"/>
  <c r="A282" i="2"/>
  <c r="K281" i="2"/>
  <c r="J281" i="2"/>
  <c r="I281" i="2"/>
  <c r="G281" i="2"/>
  <c r="E281" i="2"/>
  <c r="D281" i="2"/>
  <c r="B281" i="2"/>
  <c r="A281" i="2"/>
  <c r="K280" i="2"/>
  <c r="J280" i="2"/>
  <c r="I280" i="2"/>
  <c r="G280" i="2"/>
  <c r="E280" i="2"/>
  <c r="D280" i="2"/>
  <c r="B280" i="2"/>
  <c r="A280" i="2"/>
  <c r="K279" i="2"/>
  <c r="J279" i="2"/>
  <c r="I279" i="2"/>
  <c r="G279" i="2"/>
  <c r="E279" i="2"/>
  <c r="D279" i="2"/>
  <c r="B279" i="2"/>
  <c r="A279" i="2"/>
  <c r="K278" i="2"/>
  <c r="J278" i="2"/>
  <c r="I278" i="2"/>
  <c r="G278" i="2"/>
  <c r="E278" i="2"/>
  <c r="D278" i="2"/>
  <c r="B278" i="2"/>
  <c r="A278" i="2"/>
  <c r="K277" i="2"/>
  <c r="J277" i="2"/>
  <c r="I277" i="2"/>
  <c r="G277" i="2"/>
  <c r="E277" i="2"/>
  <c r="F277" i="2" s="1"/>
  <c r="D277" i="2"/>
  <c r="B277" i="2"/>
  <c r="A277" i="2"/>
  <c r="K276" i="2"/>
  <c r="J276" i="2"/>
  <c r="I276" i="2"/>
  <c r="G276" i="2"/>
  <c r="E276" i="2"/>
  <c r="D276" i="2"/>
  <c r="B276" i="2"/>
  <c r="A276" i="2"/>
  <c r="K275" i="2"/>
  <c r="J275" i="2"/>
  <c r="I275" i="2"/>
  <c r="G275" i="2"/>
  <c r="E275" i="2"/>
  <c r="F275" i="2" s="1"/>
  <c r="D275" i="2"/>
  <c r="B275" i="2"/>
  <c r="A275" i="2"/>
  <c r="K274" i="2"/>
  <c r="J274" i="2"/>
  <c r="I274" i="2"/>
  <c r="G274" i="2"/>
  <c r="E274" i="2"/>
  <c r="D274" i="2"/>
  <c r="B274" i="2"/>
  <c r="A274" i="2"/>
  <c r="K273" i="2"/>
  <c r="J273" i="2"/>
  <c r="I273" i="2"/>
  <c r="G273" i="2"/>
  <c r="E273" i="2"/>
  <c r="D273" i="2"/>
  <c r="B273" i="2"/>
  <c r="A273" i="2"/>
  <c r="K272" i="2"/>
  <c r="J272" i="2"/>
  <c r="I272" i="2"/>
  <c r="G272" i="2"/>
  <c r="E272" i="2"/>
  <c r="D272" i="2"/>
  <c r="B272" i="2"/>
  <c r="A272" i="2"/>
  <c r="K271" i="2"/>
  <c r="J271" i="2"/>
  <c r="I271" i="2"/>
  <c r="G271" i="2"/>
  <c r="E271" i="2"/>
  <c r="D271" i="2"/>
  <c r="B271" i="2"/>
  <c r="A271" i="2"/>
  <c r="K270" i="2"/>
  <c r="J270" i="2"/>
  <c r="I270" i="2"/>
  <c r="G270" i="2"/>
  <c r="E270" i="2"/>
  <c r="D270" i="2"/>
  <c r="B270" i="2"/>
  <c r="A270" i="2"/>
  <c r="K269" i="2"/>
  <c r="J269" i="2"/>
  <c r="I269" i="2"/>
  <c r="G269" i="2"/>
  <c r="E269" i="2"/>
  <c r="D269" i="2"/>
  <c r="B269" i="2"/>
  <c r="A269" i="2"/>
  <c r="K268" i="2"/>
  <c r="J268" i="2"/>
  <c r="I268" i="2"/>
  <c r="G268" i="2"/>
  <c r="E268" i="2"/>
  <c r="D268" i="2"/>
  <c r="B268" i="2"/>
  <c r="C268" i="2" s="1"/>
  <c r="A268" i="2"/>
  <c r="K267" i="2"/>
  <c r="J267" i="2"/>
  <c r="I267" i="2"/>
  <c r="G267" i="2"/>
  <c r="E267" i="2"/>
  <c r="D267" i="2"/>
  <c r="B267" i="2"/>
  <c r="A267" i="2"/>
  <c r="K266" i="2"/>
  <c r="J266" i="2"/>
  <c r="I266" i="2"/>
  <c r="G266" i="2"/>
  <c r="E266" i="2"/>
  <c r="F266" i="2" s="1"/>
  <c r="D266" i="2"/>
  <c r="B266" i="2"/>
  <c r="A266" i="2"/>
  <c r="K265" i="2"/>
  <c r="J265" i="2"/>
  <c r="I265" i="2"/>
  <c r="G265" i="2"/>
  <c r="E265" i="2"/>
  <c r="D265" i="2"/>
  <c r="B265" i="2"/>
  <c r="A265" i="2"/>
  <c r="K264" i="2"/>
  <c r="J264" i="2"/>
  <c r="I264" i="2"/>
  <c r="G264" i="2"/>
  <c r="E264" i="2"/>
  <c r="F264" i="2" s="1"/>
  <c r="D264" i="2"/>
  <c r="B264" i="2"/>
  <c r="A264" i="2"/>
  <c r="K263" i="2"/>
  <c r="J263" i="2"/>
  <c r="I263" i="2"/>
  <c r="G263" i="2"/>
  <c r="E263" i="2"/>
  <c r="F263" i="2" s="1"/>
  <c r="D263" i="2"/>
  <c r="B263" i="2"/>
  <c r="A263" i="2"/>
  <c r="K262" i="2"/>
  <c r="J262" i="2"/>
  <c r="I262" i="2"/>
  <c r="G262" i="2"/>
  <c r="E262" i="2"/>
  <c r="F262" i="2" s="1"/>
  <c r="D262" i="2"/>
  <c r="B262" i="2"/>
  <c r="C262" i="2" s="1"/>
  <c r="A262" i="2"/>
  <c r="K261" i="2"/>
  <c r="J261" i="2"/>
  <c r="I261" i="2"/>
  <c r="G261" i="2"/>
  <c r="E261" i="2"/>
  <c r="D261" i="2"/>
  <c r="B261" i="2"/>
  <c r="A261" i="2"/>
  <c r="K260" i="2"/>
  <c r="J260" i="2"/>
  <c r="I260" i="2"/>
  <c r="G260" i="2"/>
  <c r="E260" i="2"/>
  <c r="D260" i="2"/>
  <c r="B260" i="2"/>
  <c r="A260" i="2"/>
  <c r="K259" i="2"/>
  <c r="J259" i="2"/>
  <c r="I259" i="2"/>
  <c r="G259" i="2"/>
  <c r="E259" i="2"/>
  <c r="D259" i="2"/>
  <c r="B259" i="2"/>
  <c r="A259" i="2"/>
  <c r="K258" i="2"/>
  <c r="J258" i="2"/>
  <c r="I258" i="2"/>
  <c r="G258" i="2"/>
  <c r="E258" i="2"/>
  <c r="D258" i="2"/>
  <c r="B258" i="2"/>
  <c r="A258" i="2"/>
  <c r="K257" i="2"/>
  <c r="J257" i="2"/>
  <c r="I257" i="2"/>
  <c r="G257" i="2"/>
  <c r="E257" i="2"/>
  <c r="F257" i="2" s="1"/>
  <c r="D257" i="2"/>
  <c r="B257" i="2"/>
  <c r="A257" i="2"/>
  <c r="K256" i="2"/>
  <c r="J256" i="2"/>
  <c r="I256" i="2"/>
  <c r="G256" i="2"/>
  <c r="E256" i="2"/>
  <c r="D256" i="2"/>
  <c r="B256" i="2"/>
  <c r="A256" i="2"/>
  <c r="K255" i="2"/>
  <c r="J255" i="2"/>
  <c r="I255" i="2"/>
  <c r="G255" i="2"/>
  <c r="E255" i="2"/>
  <c r="D255" i="2"/>
  <c r="B255" i="2"/>
  <c r="A255" i="2"/>
  <c r="K254" i="2"/>
  <c r="J254" i="2"/>
  <c r="I254" i="2"/>
  <c r="G254" i="2"/>
  <c r="E254" i="2"/>
  <c r="D254" i="2"/>
  <c r="B254" i="2"/>
  <c r="A254" i="2"/>
  <c r="K253" i="2"/>
  <c r="J253" i="2"/>
  <c r="I253" i="2"/>
  <c r="G253" i="2"/>
  <c r="E253" i="2"/>
  <c r="D253" i="2"/>
  <c r="B253" i="2"/>
  <c r="A253" i="2"/>
  <c r="K252" i="2"/>
  <c r="J252" i="2"/>
  <c r="I252" i="2"/>
  <c r="G252" i="2"/>
  <c r="E252" i="2"/>
  <c r="D252" i="2"/>
  <c r="B252" i="2"/>
  <c r="A252" i="2"/>
  <c r="K251" i="2"/>
  <c r="J251" i="2"/>
  <c r="I251" i="2"/>
  <c r="G251" i="2"/>
  <c r="E251" i="2"/>
  <c r="D251" i="2"/>
  <c r="B251" i="2"/>
  <c r="A251" i="2"/>
  <c r="K250" i="2"/>
  <c r="J250" i="2"/>
  <c r="I250" i="2"/>
  <c r="G250" i="2"/>
  <c r="E250" i="2"/>
  <c r="D250" i="2"/>
  <c r="B250" i="2"/>
  <c r="A250" i="2"/>
  <c r="K249" i="2"/>
  <c r="J249" i="2"/>
  <c r="I249" i="2"/>
  <c r="G249" i="2"/>
  <c r="E249" i="2"/>
  <c r="D249" i="2"/>
  <c r="B249" i="2"/>
  <c r="A249" i="2"/>
  <c r="K248" i="2"/>
  <c r="J248" i="2"/>
  <c r="I248" i="2"/>
  <c r="G248" i="2"/>
  <c r="E248" i="2"/>
  <c r="D248" i="2"/>
  <c r="B248" i="2"/>
  <c r="A248" i="2"/>
  <c r="K247" i="2"/>
  <c r="J247" i="2"/>
  <c r="I247" i="2"/>
  <c r="G247" i="2"/>
  <c r="E247" i="2"/>
  <c r="D247" i="2"/>
  <c r="B247" i="2"/>
  <c r="A247" i="2"/>
  <c r="K246" i="2"/>
  <c r="J246" i="2"/>
  <c r="I246" i="2"/>
  <c r="G246" i="2"/>
  <c r="E246" i="2"/>
  <c r="D246" i="2"/>
  <c r="B246" i="2"/>
  <c r="A246" i="2"/>
  <c r="K245" i="2"/>
  <c r="J245" i="2"/>
  <c r="I245" i="2"/>
  <c r="G245" i="2"/>
  <c r="E245" i="2"/>
  <c r="D245" i="2"/>
  <c r="B245" i="2"/>
  <c r="A245" i="2"/>
  <c r="K244" i="2"/>
  <c r="J244" i="2"/>
  <c r="I244" i="2"/>
  <c r="G244" i="2"/>
  <c r="E244" i="2"/>
  <c r="D244" i="2"/>
  <c r="B244" i="2"/>
  <c r="A244" i="2"/>
  <c r="K243" i="2"/>
  <c r="J243" i="2"/>
  <c r="I243" i="2"/>
  <c r="G243" i="2"/>
  <c r="E243" i="2"/>
  <c r="D243" i="2"/>
  <c r="B243" i="2"/>
  <c r="A243" i="2"/>
  <c r="K242" i="2"/>
  <c r="J242" i="2"/>
  <c r="I242" i="2"/>
  <c r="G242" i="2"/>
  <c r="E242" i="2"/>
  <c r="D242" i="2"/>
  <c r="B242" i="2"/>
  <c r="A242" i="2"/>
  <c r="K241" i="2"/>
  <c r="J241" i="2"/>
  <c r="I241" i="2"/>
  <c r="G241" i="2"/>
  <c r="E241" i="2"/>
  <c r="D241" i="2"/>
  <c r="B241" i="2"/>
  <c r="A241" i="2"/>
  <c r="K240" i="2"/>
  <c r="J240" i="2"/>
  <c r="I240" i="2"/>
  <c r="G240" i="2"/>
  <c r="E240" i="2"/>
  <c r="F240" i="2" s="1"/>
  <c r="D240" i="2"/>
  <c r="B240" i="2"/>
  <c r="A240" i="2"/>
  <c r="K239" i="2"/>
  <c r="J239" i="2"/>
  <c r="I239" i="2"/>
  <c r="G239" i="2"/>
  <c r="E239" i="2"/>
  <c r="D239" i="2"/>
  <c r="B239" i="2"/>
  <c r="A239" i="2"/>
  <c r="K238" i="2"/>
  <c r="J238" i="2"/>
  <c r="I238" i="2"/>
  <c r="G238" i="2"/>
  <c r="E238" i="2"/>
  <c r="D238" i="2"/>
  <c r="B238" i="2"/>
  <c r="A238" i="2"/>
  <c r="K237" i="2"/>
  <c r="J237" i="2"/>
  <c r="I237" i="2"/>
  <c r="G237" i="2"/>
  <c r="E237" i="2"/>
  <c r="D237" i="2"/>
  <c r="B237" i="2"/>
  <c r="A237" i="2"/>
  <c r="K236" i="2"/>
  <c r="J236" i="2"/>
  <c r="I236" i="2"/>
  <c r="G236" i="2"/>
  <c r="E236" i="2"/>
  <c r="D236" i="2"/>
  <c r="B236" i="2"/>
  <c r="A236" i="2"/>
  <c r="K235" i="2"/>
  <c r="J235" i="2"/>
  <c r="I235" i="2"/>
  <c r="G235" i="2"/>
  <c r="E235" i="2"/>
  <c r="F235" i="2" s="1"/>
  <c r="D235" i="2"/>
  <c r="B235" i="2"/>
  <c r="A235" i="2"/>
  <c r="K234" i="2"/>
  <c r="J234" i="2"/>
  <c r="I234" i="2"/>
  <c r="G234" i="2"/>
  <c r="E234" i="2"/>
  <c r="D234" i="2"/>
  <c r="B234" i="2"/>
  <c r="A234" i="2"/>
  <c r="K233" i="2"/>
  <c r="J233" i="2"/>
  <c r="I233" i="2"/>
  <c r="G233" i="2"/>
  <c r="E233" i="2"/>
  <c r="D233" i="2"/>
  <c r="B233" i="2"/>
  <c r="A233" i="2"/>
  <c r="K232" i="2"/>
  <c r="J232" i="2"/>
  <c r="I232" i="2"/>
  <c r="G232" i="2"/>
  <c r="E232" i="2"/>
  <c r="D232" i="2"/>
  <c r="B232" i="2"/>
  <c r="A232" i="2"/>
  <c r="K231" i="2"/>
  <c r="J231" i="2"/>
  <c r="I231" i="2"/>
  <c r="G231" i="2"/>
  <c r="E231" i="2"/>
  <c r="F231" i="2" s="1"/>
  <c r="D231" i="2"/>
  <c r="B231" i="2"/>
  <c r="A231" i="2"/>
  <c r="K230" i="2"/>
  <c r="J230" i="2"/>
  <c r="I230" i="2"/>
  <c r="G230" i="2"/>
  <c r="E230" i="2"/>
  <c r="D230" i="2"/>
  <c r="B230" i="2"/>
  <c r="A230" i="2"/>
  <c r="K229" i="2"/>
  <c r="J229" i="2"/>
  <c r="I229" i="2"/>
  <c r="G229" i="2"/>
  <c r="E229" i="2"/>
  <c r="D229" i="2"/>
  <c r="B229" i="2"/>
  <c r="A229" i="2"/>
  <c r="K228" i="2"/>
  <c r="J228" i="2"/>
  <c r="I228" i="2"/>
  <c r="G228" i="2"/>
  <c r="E228" i="2"/>
  <c r="D228" i="2"/>
  <c r="B228" i="2"/>
  <c r="A228" i="2"/>
  <c r="K227" i="2"/>
  <c r="J227" i="2"/>
  <c r="I227" i="2"/>
  <c r="G227" i="2"/>
  <c r="E227" i="2"/>
  <c r="D227" i="2"/>
  <c r="B227" i="2"/>
  <c r="A227" i="2"/>
  <c r="K226" i="2"/>
  <c r="J226" i="2"/>
  <c r="I226" i="2"/>
  <c r="G226" i="2"/>
  <c r="E226" i="2"/>
  <c r="D226" i="2"/>
  <c r="B226" i="2"/>
  <c r="A226" i="2"/>
  <c r="K225" i="2"/>
  <c r="J225" i="2"/>
  <c r="I225" i="2"/>
  <c r="G225" i="2"/>
  <c r="E225" i="2"/>
  <c r="D225" i="2"/>
  <c r="B225" i="2"/>
  <c r="A225" i="2"/>
  <c r="K224" i="2"/>
  <c r="J224" i="2"/>
  <c r="I224" i="2"/>
  <c r="G224" i="2"/>
  <c r="E224" i="2"/>
  <c r="D224" i="2"/>
  <c r="B224" i="2"/>
  <c r="A224" i="2"/>
  <c r="K223" i="2"/>
  <c r="J223" i="2"/>
  <c r="I223" i="2"/>
  <c r="G223" i="2"/>
  <c r="E223" i="2"/>
  <c r="D223" i="2"/>
  <c r="B223" i="2"/>
  <c r="A223" i="2"/>
  <c r="K222" i="2"/>
  <c r="J222" i="2"/>
  <c r="I222" i="2"/>
  <c r="G222" i="2"/>
  <c r="E222" i="2"/>
  <c r="D222" i="2"/>
  <c r="B222" i="2"/>
  <c r="A222" i="2"/>
  <c r="K221" i="2"/>
  <c r="J221" i="2"/>
  <c r="I221" i="2"/>
  <c r="G221" i="2"/>
  <c r="E221" i="2"/>
  <c r="D221" i="2"/>
  <c r="B221" i="2"/>
  <c r="A221" i="2"/>
  <c r="K220" i="2"/>
  <c r="J220" i="2"/>
  <c r="I220" i="2"/>
  <c r="G220" i="2"/>
  <c r="E220" i="2"/>
  <c r="D220" i="2"/>
  <c r="B220" i="2"/>
  <c r="A220" i="2"/>
  <c r="K219" i="2"/>
  <c r="J219" i="2"/>
  <c r="I219" i="2"/>
  <c r="G219" i="2"/>
  <c r="E219" i="2"/>
  <c r="D219" i="2"/>
  <c r="B219" i="2"/>
  <c r="A219" i="2"/>
  <c r="K218" i="2"/>
  <c r="J218" i="2"/>
  <c r="I218" i="2"/>
  <c r="G218" i="2"/>
  <c r="E218" i="2"/>
  <c r="F218" i="2" s="1"/>
  <c r="D218" i="2"/>
  <c r="B218" i="2"/>
  <c r="A218" i="2"/>
  <c r="K217" i="2"/>
  <c r="J217" i="2"/>
  <c r="I217" i="2"/>
  <c r="G217" i="2"/>
  <c r="E217" i="2"/>
  <c r="D217" i="2"/>
  <c r="B217" i="2"/>
  <c r="A217" i="2"/>
  <c r="K216" i="2"/>
  <c r="J216" i="2"/>
  <c r="I216" i="2"/>
  <c r="G216" i="2"/>
  <c r="E216" i="2"/>
  <c r="D216" i="2"/>
  <c r="B216" i="2"/>
  <c r="C216" i="2" s="1"/>
  <c r="A216" i="2"/>
  <c r="K215" i="2"/>
  <c r="J215" i="2"/>
  <c r="I215" i="2"/>
  <c r="G215" i="2"/>
  <c r="E215" i="2"/>
  <c r="D215" i="2"/>
  <c r="B215" i="2"/>
  <c r="A215" i="2"/>
  <c r="K214" i="2"/>
  <c r="J214" i="2"/>
  <c r="I214" i="2"/>
  <c r="G214" i="2"/>
  <c r="E214" i="2"/>
  <c r="D214" i="2"/>
  <c r="B214" i="2"/>
  <c r="A214" i="2"/>
  <c r="K213" i="2"/>
  <c r="J213" i="2"/>
  <c r="I213" i="2"/>
  <c r="G213" i="2"/>
  <c r="E213" i="2"/>
  <c r="D213" i="2"/>
  <c r="B213" i="2"/>
  <c r="A213" i="2"/>
  <c r="K212" i="2"/>
  <c r="J212" i="2"/>
  <c r="I212" i="2"/>
  <c r="G212" i="2"/>
  <c r="E212" i="2"/>
  <c r="D212" i="2"/>
  <c r="B212" i="2"/>
  <c r="C212" i="2" s="1"/>
  <c r="A212" i="2"/>
  <c r="K211" i="2"/>
  <c r="J211" i="2"/>
  <c r="I211" i="2"/>
  <c r="G211" i="2"/>
  <c r="E211" i="2"/>
  <c r="D211" i="2"/>
  <c r="B211" i="2"/>
  <c r="A211" i="2"/>
  <c r="K210" i="2"/>
  <c r="J210" i="2"/>
  <c r="I210" i="2"/>
  <c r="G210" i="2"/>
  <c r="E210" i="2"/>
  <c r="D210" i="2"/>
  <c r="B210" i="2"/>
  <c r="A210" i="2"/>
  <c r="K209" i="2"/>
  <c r="J209" i="2"/>
  <c r="I209" i="2"/>
  <c r="G209" i="2"/>
  <c r="E209" i="2"/>
  <c r="D209" i="2"/>
  <c r="B209" i="2"/>
  <c r="A209" i="2"/>
  <c r="K208" i="2"/>
  <c r="J208" i="2"/>
  <c r="I208" i="2"/>
  <c r="G208" i="2"/>
  <c r="E208" i="2"/>
  <c r="D208" i="2"/>
  <c r="B208" i="2"/>
  <c r="A208" i="2"/>
  <c r="K207" i="2"/>
  <c r="J207" i="2"/>
  <c r="I207" i="2"/>
  <c r="G207" i="2"/>
  <c r="E207" i="2"/>
  <c r="D207" i="2"/>
  <c r="B207" i="2"/>
  <c r="A207" i="2"/>
  <c r="K206" i="2"/>
  <c r="J206" i="2"/>
  <c r="I206" i="2"/>
  <c r="G206" i="2"/>
  <c r="E206" i="2"/>
  <c r="D206" i="2"/>
  <c r="B206" i="2"/>
  <c r="A206" i="2"/>
  <c r="K205" i="2"/>
  <c r="J205" i="2"/>
  <c r="I205" i="2"/>
  <c r="G205" i="2"/>
  <c r="E205" i="2"/>
  <c r="D205" i="2"/>
  <c r="B205" i="2"/>
  <c r="A205" i="2"/>
  <c r="K204" i="2"/>
  <c r="J204" i="2"/>
  <c r="I204" i="2"/>
  <c r="G204" i="2"/>
  <c r="E204" i="2"/>
  <c r="D204" i="2"/>
  <c r="B204" i="2"/>
  <c r="A204" i="2"/>
  <c r="K203" i="2"/>
  <c r="J203" i="2"/>
  <c r="I203" i="2"/>
  <c r="G203" i="2"/>
  <c r="E203" i="2"/>
  <c r="D203" i="2"/>
  <c r="B203" i="2"/>
  <c r="A203" i="2"/>
  <c r="K202" i="2"/>
  <c r="J202" i="2"/>
  <c r="I202" i="2"/>
  <c r="G202" i="2"/>
  <c r="E202" i="2"/>
  <c r="D202" i="2"/>
  <c r="B202" i="2"/>
  <c r="A202" i="2"/>
  <c r="K201" i="2"/>
  <c r="J201" i="2"/>
  <c r="I201" i="2"/>
  <c r="G201" i="2"/>
  <c r="E201" i="2"/>
  <c r="D201" i="2"/>
  <c r="B201" i="2"/>
  <c r="A201" i="2"/>
  <c r="K200" i="2"/>
  <c r="J200" i="2"/>
  <c r="I200" i="2"/>
  <c r="G200" i="2"/>
  <c r="E200" i="2"/>
  <c r="D200" i="2"/>
  <c r="B200" i="2"/>
  <c r="A200" i="2"/>
  <c r="K199" i="2"/>
  <c r="J199" i="2"/>
  <c r="I199" i="2"/>
  <c r="G199" i="2"/>
  <c r="E199" i="2"/>
  <c r="F199" i="2" s="1"/>
  <c r="D199" i="2"/>
  <c r="B199" i="2"/>
  <c r="A199" i="2"/>
  <c r="K198" i="2"/>
  <c r="J198" i="2"/>
  <c r="I198" i="2"/>
  <c r="G198" i="2"/>
  <c r="E198" i="2"/>
  <c r="D198" i="2"/>
  <c r="B198" i="2"/>
  <c r="A198" i="2"/>
  <c r="K197" i="2"/>
  <c r="J197" i="2"/>
  <c r="I197" i="2"/>
  <c r="G197" i="2"/>
  <c r="E197" i="2"/>
  <c r="D197" i="2"/>
  <c r="B197" i="2"/>
  <c r="A197" i="2"/>
  <c r="K196" i="2"/>
  <c r="J196" i="2"/>
  <c r="I196" i="2"/>
  <c r="G196" i="2"/>
  <c r="E196" i="2"/>
  <c r="F196" i="2" s="1"/>
  <c r="D196" i="2"/>
  <c r="B196" i="2"/>
  <c r="A196" i="2"/>
  <c r="K195" i="2"/>
  <c r="J195" i="2"/>
  <c r="I195" i="2"/>
  <c r="G195" i="2"/>
  <c r="E195" i="2"/>
  <c r="D195" i="2"/>
  <c r="B195" i="2"/>
  <c r="A195" i="2"/>
  <c r="K194" i="2"/>
  <c r="J194" i="2"/>
  <c r="I194" i="2"/>
  <c r="G194" i="2"/>
  <c r="E194" i="2"/>
  <c r="F194" i="2" s="1"/>
  <c r="D194" i="2"/>
  <c r="B194" i="2"/>
  <c r="A194" i="2"/>
  <c r="K193" i="2"/>
  <c r="J193" i="2"/>
  <c r="I193" i="2"/>
  <c r="G193" i="2"/>
  <c r="E193" i="2"/>
  <c r="D193" i="2"/>
  <c r="B193" i="2"/>
  <c r="A193" i="2"/>
  <c r="K192" i="2"/>
  <c r="J192" i="2"/>
  <c r="I192" i="2"/>
  <c r="G192" i="2"/>
  <c r="E192" i="2"/>
  <c r="D192" i="2"/>
  <c r="B192" i="2"/>
  <c r="A192" i="2"/>
  <c r="K191" i="2"/>
  <c r="J191" i="2"/>
  <c r="I191" i="2"/>
  <c r="G191" i="2"/>
  <c r="E191" i="2"/>
  <c r="D191" i="2"/>
  <c r="B191" i="2"/>
  <c r="A191" i="2"/>
  <c r="K190" i="2"/>
  <c r="J190" i="2"/>
  <c r="I190" i="2"/>
  <c r="G190" i="2"/>
  <c r="E190" i="2"/>
  <c r="F190" i="2" s="1"/>
  <c r="D190" i="2"/>
  <c r="B190" i="2"/>
  <c r="A190" i="2"/>
  <c r="K189" i="2"/>
  <c r="J189" i="2"/>
  <c r="I189" i="2"/>
  <c r="G189" i="2"/>
  <c r="E189" i="2"/>
  <c r="D189" i="2"/>
  <c r="B189" i="2"/>
  <c r="A189" i="2"/>
  <c r="K188" i="2"/>
  <c r="J188" i="2"/>
  <c r="I188" i="2"/>
  <c r="G188" i="2"/>
  <c r="E188" i="2"/>
  <c r="D188" i="2"/>
  <c r="B188" i="2"/>
  <c r="A188" i="2"/>
  <c r="K187" i="2"/>
  <c r="J187" i="2"/>
  <c r="I187" i="2"/>
  <c r="G187" i="2"/>
  <c r="E187" i="2"/>
  <c r="D187" i="2"/>
  <c r="B187" i="2"/>
  <c r="A187" i="2"/>
  <c r="K186" i="2"/>
  <c r="J186" i="2"/>
  <c r="I186" i="2"/>
  <c r="G186" i="2"/>
  <c r="E186" i="2"/>
  <c r="D186" i="2"/>
  <c r="B186" i="2"/>
  <c r="A186" i="2"/>
  <c r="K185" i="2"/>
  <c r="J185" i="2"/>
  <c r="I185" i="2"/>
  <c r="G185" i="2"/>
  <c r="E185" i="2"/>
  <c r="D185" i="2"/>
  <c r="B185" i="2"/>
  <c r="A185" i="2"/>
  <c r="K184" i="2"/>
  <c r="J184" i="2"/>
  <c r="I184" i="2"/>
  <c r="G184" i="2"/>
  <c r="E184" i="2"/>
  <c r="D184" i="2"/>
  <c r="B184" i="2"/>
  <c r="A184" i="2"/>
  <c r="K183" i="2"/>
  <c r="J183" i="2"/>
  <c r="I183" i="2"/>
  <c r="G183" i="2"/>
  <c r="E183" i="2"/>
  <c r="D183" i="2"/>
  <c r="B183" i="2"/>
  <c r="A183" i="2"/>
  <c r="K182" i="2"/>
  <c r="J182" i="2"/>
  <c r="I182" i="2"/>
  <c r="G182" i="2"/>
  <c r="E182" i="2"/>
  <c r="D182" i="2"/>
  <c r="B182" i="2"/>
  <c r="A182" i="2"/>
  <c r="K181" i="2"/>
  <c r="J181" i="2"/>
  <c r="I181" i="2"/>
  <c r="G181" i="2"/>
  <c r="E181" i="2"/>
  <c r="D181" i="2"/>
  <c r="B181" i="2"/>
  <c r="A181" i="2"/>
  <c r="K180" i="2"/>
  <c r="J180" i="2"/>
  <c r="I180" i="2"/>
  <c r="G180" i="2"/>
  <c r="E180" i="2"/>
  <c r="D180" i="2"/>
  <c r="B180" i="2"/>
  <c r="A180" i="2"/>
  <c r="K179" i="2"/>
  <c r="J179" i="2"/>
  <c r="I179" i="2"/>
  <c r="G179" i="2"/>
  <c r="E179" i="2"/>
  <c r="D179" i="2"/>
  <c r="B179" i="2"/>
  <c r="A179" i="2"/>
  <c r="K178" i="2"/>
  <c r="J178" i="2"/>
  <c r="I178" i="2"/>
  <c r="G178" i="2"/>
  <c r="E178" i="2"/>
  <c r="D178" i="2"/>
  <c r="B178" i="2"/>
  <c r="A178" i="2"/>
  <c r="K177" i="2"/>
  <c r="J177" i="2"/>
  <c r="I177" i="2"/>
  <c r="G177" i="2"/>
  <c r="E177" i="2"/>
  <c r="D177" i="2"/>
  <c r="B177" i="2"/>
  <c r="A177" i="2"/>
  <c r="K176" i="2"/>
  <c r="J176" i="2"/>
  <c r="I176" i="2"/>
  <c r="G176" i="2"/>
  <c r="E176" i="2"/>
  <c r="D176" i="2"/>
  <c r="B176" i="2"/>
  <c r="A176" i="2"/>
  <c r="K175" i="2"/>
  <c r="J175" i="2"/>
  <c r="I175" i="2"/>
  <c r="G175" i="2"/>
  <c r="E175" i="2"/>
  <c r="D175" i="2"/>
  <c r="B175" i="2"/>
  <c r="A175" i="2"/>
  <c r="K174" i="2"/>
  <c r="J174" i="2"/>
  <c r="I174" i="2"/>
  <c r="G174" i="2"/>
  <c r="E174" i="2"/>
  <c r="D174" i="2"/>
  <c r="B174" i="2"/>
  <c r="A174" i="2"/>
  <c r="K173" i="2"/>
  <c r="J173" i="2"/>
  <c r="I173" i="2"/>
  <c r="G173" i="2"/>
  <c r="E173" i="2"/>
  <c r="D173" i="2"/>
  <c r="B173" i="2"/>
  <c r="A173" i="2"/>
  <c r="K172" i="2"/>
  <c r="J172" i="2"/>
  <c r="I172" i="2"/>
  <c r="G172" i="2"/>
  <c r="E172" i="2"/>
  <c r="D172" i="2"/>
  <c r="B172" i="2"/>
  <c r="C172" i="2" s="1"/>
  <c r="A172" i="2"/>
  <c r="K171" i="2"/>
  <c r="J171" i="2"/>
  <c r="I171" i="2"/>
  <c r="G171" i="2"/>
  <c r="E171" i="2"/>
  <c r="D171" i="2"/>
  <c r="B171" i="2"/>
  <c r="A171" i="2"/>
  <c r="K170" i="2"/>
  <c r="J170" i="2"/>
  <c r="I170" i="2"/>
  <c r="G170" i="2"/>
  <c r="E170" i="2"/>
  <c r="F170" i="2" s="1"/>
  <c r="D170" i="2"/>
  <c r="B170" i="2"/>
  <c r="C170" i="2" s="1"/>
  <c r="A170" i="2"/>
  <c r="K169" i="2"/>
  <c r="J169" i="2"/>
  <c r="I169" i="2"/>
  <c r="G169" i="2"/>
  <c r="E169" i="2"/>
  <c r="D169" i="2"/>
  <c r="B169" i="2"/>
  <c r="A169" i="2"/>
  <c r="K168" i="2"/>
  <c r="J168" i="2"/>
  <c r="I168" i="2"/>
  <c r="G168" i="2"/>
  <c r="E168" i="2"/>
  <c r="D168" i="2"/>
  <c r="B168" i="2"/>
  <c r="A168" i="2"/>
  <c r="K167" i="2"/>
  <c r="J167" i="2"/>
  <c r="I167" i="2"/>
  <c r="G167" i="2"/>
  <c r="E167" i="2"/>
  <c r="D167" i="2"/>
  <c r="B167" i="2"/>
  <c r="A167" i="2"/>
  <c r="K166" i="2"/>
  <c r="J166" i="2"/>
  <c r="I166" i="2"/>
  <c r="G166" i="2"/>
  <c r="E166" i="2"/>
  <c r="D166" i="2"/>
  <c r="B166" i="2"/>
  <c r="A166" i="2"/>
  <c r="K165" i="2"/>
  <c r="J165" i="2"/>
  <c r="I165" i="2"/>
  <c r="G165" i="2"/>
  <c r="E165" i="2"/>
  <c r="D165" i="2"/>
  <c r="B165" i="2"/>
  <c r="A165" i="2"/>
  <c r="K164" i="2"/>
  <c r="J164" i="2"/>
  <c r="I164" i="2"/>
  <c r="G164" i="2"/>
  <c r="E164" i="2"/>
  <c r="D164" i="2"/>
  <c r="B164" i="2"/>
  <c r="A164" i="2"/>
  <c r="K163" i="2"/>
  <c r="J163" i="2"/>
  <c r="I163" i="2"/>
  <c r="G163" i="2"/>
  <c r="E163" i="2"/>
  <c r="D163" i="2"/>
  <c r="B163" i="2"/>
  <c r="A163" i="2"/>
  <c r="K162" i="2"/>
  <c r="J162" i="2"/>
  <c r="I162" i="2"/>
  <c r="G162" i="2"/>
  <c r="E162" i="2"/>
  <c r="D162" i="2"/>
  <c r="B162" i="2"/>
  <c r="A162" i="2"/>
  <c r="K161" i="2"/>
  <c r="J161" i="2"/>
  <c r="I161" i="2"/>
  <c r="G161" i="2"/>
  <c r="E161" i="2"/>
  <c r="D161" i="2"/>
  <c r="B161" i="2"/>
  <c r="A161" i="2"/>
  <c r="K160" i="2"/>
  <c r="J160" i="2"/>
  <c r="I160" i="2"/>
  <c r="G160" i="2"/>
  <c r="E160" i="2"/>
  <c r="D160" i="2"/>
  <c r="B160" i="2"/>
  <c r="A160" i="2"/>
  <c r="K159" i="2"/>
  <c r="J159" i="2"/>
  <c r="I159" i="2"/>
  <c r="G159" i="2"/>
  <c r="E159" i="2"/>
  <c r="D159" i="2"/>
  <c r="B159" i="2"/>
  <c r="A159" i="2"/>
  <c r="K158" i="2"/>
  <c r="J158" i="2"/>
  <c r="I158" i="2"/>
  <c r="G158" i="2"/>
  <c r="E158" i="2"/>
  <c r="D158" i="2"/>
  <c r="B158" i="2"/>
  <c r="A158" i="2"/>
  <c r="K157" i="2"/>
  <c r="J157" i="2"/>
  <c r="I157" i="2"/>
  <c r="G157" i="2"/>
  <c r="E157" i="2"/>
  <c r="D157" i="2"/>
  <c r="B157" i="2"/>
  <c r="C157" i="2" s="1"/>
  <c r="A157" i="2"/>
  <c r="K156" i="2"/>
  <c r="J156" i="2"/>
  <c r="I156" i="2"/>
  <c r="G156" i="2"/>
  <c r="E156" i="2"/>
  <c r="D156" i="2"/>
  <c r="B156" i="2"/>
  <c r="A156" i="2"/>
  <c r="K155" i="2"/>
  <c r="J155" i="2"/>
  <c r="I155" i="2"/>
  <c r="G155" i="2"/>
  <c r="E155" i="2"/>
  <c r="D155" i="2"/>
  <c r="B155" i="2"/>
  <c r="A155" i="2"/>
  <c r="K154" i="2"/>
  <c r="J154" i="2"/>
  <c r="I154" i="2"/>
  <c r="G154" i="2"/>
  <c r="E154" i="2"/>
  <c r="D154" i="2"/>
  <c r="B154" i="2"/>
  <c r="A154" i="2"/>
  <c r="K153" i="2"/>
  <c r="J153" i="2"/>
  <c r="I153" i="2"/>
  <c r="G153" i="2"/>
  <c r="E153" i="2"/>
  <c r="D153" i="2"/>
  <c r="B153" i="2"/>
  <c r="A153" i="2"/>
  <c r="K152" i="2"/>
  <c r="J152" i="2"/>
  <c r="I152" i="2"/>
  <c r="G152" i="2"/>
  <c r="E152" i="2"/>
  <c r="D152" i="2"/>
  <c r="B152" i="2"/>
  <c r="A152" i="2"/>
  <c r="K151" i="2"/>
  <c r="J151" i="2"/>
  <c r="I151" i="2"/>
  <c r="G151" i="2"/>
  <c r="E151" i="2"/>
  <c r="D151" i="2"/>
  <c r="B151" i="2"/>
  <c r="A151" i="2"/>
  <c r="K150" i="2"/>
  <c r="J150" i="2"/>
  <c r="I150" i="2"/>
  <c r="G150" i="2"/>
  <c r="E150" i="2"/>
  <c r="D150" i="2"/>
  <c r="B150" i="2"/>
  <c r="A150" i="2"/>
  <c r="K149" i="2"/>
  <c r="J149" i="2"/>
  <c r="I149" i="2"/>
  <c r="G149" i="2"/>
  <c r="E149" i="2"/>
  <c r="D149" i="2"/>
  <c r="B149" i="2"/>
  <c r="A149" i="2"/>
  <c r="K148" i="2"/>
  <c r="J148" i="2"/>
  <c r="I148" i="2"/>
  <c r="G148" i="2"/>
  <c r="E148" i="2"/>
  <c r="F148" i="2" s="1"/>
  <c r="D148" i="2"/>
  <c r="B148" i="2"/>
  <c r="A148" i="2"/>
  <c r="K147" i="2"/>
  <c r="J147" i="2"/>
  <c r="I147" i="2"/>
  <c r="G147" i="2"/>
  <c r="E147" i="2"/>
  <c r="D147" i="2"/>
  <c r="B147" i="2"/>
  <c r="A147" i="2"/>
  <c r="K146" i="2"/>
  <c r="J146" i="2"/>
  <c r="I146" i="2"/>
  <c r="G146" i="2"/>
  <c r="E146" i="2"/>
  <c r="F146" i="2" s="1"/>
  <c r="D146" i="2"/>
  <c r="B146" i="2"/>
  <c r="A146" i="2"/>
  <c r="K145" i="2"/>
  <c r="J145" i="2"/>
  <c r="I145" i="2"/>
  <c r="G145" i="2"/>
  <c r="E145" i="2"/>
  <c r="F145" i="2" s="1"/>
  <c r="D145" i="2"/>
  <c r="B145" i="2"/>
  <c r="A145" i="2"/>
  <c r="K144" i="2"/>
  <c r="J144" i="2"/>
  <c r="I144" i="2"/>
  <c r="G144" i="2"/>
  <c r="E144" i="2"/>
  <c r="D144" i="2"/>
  <c r="B144" i="2"/>
  <c r="A144" i="2"/>
  <c r="K143" i="2"/>
  <c r="J143" i="2"/>
  <c r="I143" i="2"/>
  <c r="G143" i="2"/>
  <c r="E143" i="2"/>
  <c r="D143" i="2"/>
  <c r="B143" i="2"/>
  <c r="A143" i="2"/>
  <c r="K142" i="2"/>
  <c r="J142" i="2"/>
  <c r="I142" i="2"/>
  <c r="G142" i="2"/>
  <c r="E142" i="2"/>
  <c r="D142" i="2"/>
  <c r="B142" i="2"/>
  <c r="A142" i="2"/>
  <c r="K141" i="2"/>
  <c r="J141" i="2"/>
  <c r="I141" i="2"/>
  <c r="G141" i="2"/>
  <c r="E141" i="2"/>
  <c r="D141" i="2"/>
  <c r="B141" i="2"/>
  <c r="A141" i="2"/>
  <c r="K140" i="2"/>
  <c r="J140" i="2"/>
  <c r="I140" i="2"/>
  <c r="G140" i="2"/>
  <c r="E140" i="2"/>
  <c r="D140" i="2"/>
  <c r="B140" i="2"/>
  <c r="A140" i="2"/>
  <c r="K139" i="2"/>
  <c r="J139" i="2"/>
  <c r="I139" i="2"/>
  <c r="G139" i="2"/>
  <c r="E139" i="2"/>
  <c r="D139" i="2"/>
  <c r="B139" i="2"/>
  <c r="A139" i="2"/>
  <c r="K138" i="2"/>
  <c r="J138" i="2"/>
  <c r="I138" i="2"/>
  <c r="G138" i="2"/>
  <c r="E138" i="2"/>
  <c r="D138" i="2"/>
  <c r="B138" i="2"/>
  <c r="A138" i="2"/>
  <c r="K137" i="2"/>
  <c r="J137" i="2"/>
  <c r="I137" i="2"/>
  <c r="G137" i="2"/>
  <c r="E137" i="2"/>
  <c r="D137" i="2"/>
  <c r="B137" i="2"/>
  <c r="A137" i="2"/>
  <c r="K136" i="2"/>
  <c r="J136" i="2"/>
  <c r="I136" i="2"/>
  <c r="G136" i="2"/>
  <c r="E136" i="2"/>
  <c r="D136" i="2"/>
  <c r="B136" i="2"/>
  <c r="A136" i="2"/>
  <c r="K135" i="2"/>
  <c r="J135" i="2"/>
  <c r="I135" i="2"/>
  <c r="G135" i="2"/>
  <c r="E135" i="2"/>
  <c r="D135" i="2"/>
  <c r="B135" i="2"/>
  <c r="A135" i="2"/>
  <c r="K134" i="2"/>
  <c r="J134" i="2"/>
  <c r="I134" i="2"/>
  <c r="G134" i="2"/>
  <c r="E134" i="2"/>
  <c r="F134" i="2" s="1"/>
  <c r="D134" i="2"/>
  <c r="B134" i="2"/>
  <c r="A134" i="2"/>
  <c r="K133" i="2"/>
  <c r="J133" i="2"/>
  <c r="I133" i="2"/>
  <c r="G133" i="2"/>
  <c r="E133" i="2"/>
  <c r="D133" i="2"/>
  <c r="B133" i="2"/>
  <c r="A133" i="2"/>
  <c r="K132" i="2"/>
  <c r="J132" i="2"/>
  <c r="I132" i="2"/>
  <c r="G132" i="2"/>
  <c r="E132" i="2"/>
  <c r="F132" i="2" s="1"/>
  <c r="D132" i="2"/>
  <c r="B132" i="2"/>
  <c r="A132" i="2"/>
  <c r="K131" i="2"/>
  <c r="J131" i="2"/>
  <c r="I131" i="2"/>
  <c r="G131" i="2"/>
  <c r="E131" i="2"/>
  <c r="F131" i="2" s="1"/>
  <c r="D131" i="2"/>
  <c r="B131" i="2"/>
  <c r="A131" i="2"/>
  <c r="K130" i="2"/>
  <c r="J130" i="2"/>
  <c r="I130" i="2"/>
  <c r="G130" i="2"/>
  <c r="E130" i="2"/>
  <c r="F130" i="2" s="1"/>
  <c r="D130" i="2"/>
  <c r="B130" i="2"/>
  <c r="A130" i="2"/>
  <c r="K129" i="2"/>
  <c r="J129" i="2"/>
  <c r="I129" i="2"/>
  <c r="G129" i="2"/>
  <c r="E129" i="2"/>
  <c r="D129" i="2"/>
  <c r="B129" i="2"/>
  <c r="A129" i="2"/>
  <c r="K128" i="2"/>
  <c r="J128" i="2"/>
  <c r="I128" i="2"/>
  <c r="G128" i="2"/>
  <c r="E128" i="2"/>
  <c r="D128" i="2"/>
  <c r="B128" i="2"/>
  <c r="A128" i="2"/>
  <c r="K127" i="2"/>
  <c r="J127" i="2"/>
  <c r="I127" i="2"/>
  <c r="G127" i="2"/>
  <c r="E127" i="2"/>
  <c r="D127" i="2"/>
  <c r="B127" i="2"/>
  <c r="A127" i="2"/>
  <c r="K126" i="2"/>
  <c r="J126" i="2"/>
  <c r="I126" i="2"/>
  <c r="G126" i="2"/>
  <c r="E126" i="2"/>
  <c r="D126" i="2"/>
  <c r="B126" i="2"/>
  <c r="A126" i="2"/>
  <c r="K125" i="2"/>
  <c r="J125" i="2"/>
  <c r="I125" i="2"/>
  <c r="G125" i="2"/>
  <c r="E125" i="2"/>
  <c r="D125" i="2"/>
  <c r="B125" i="2"/>
  <c r="A125" i="2"/>
  <c r="K124" i="2"/>
  <c r="J124" i="2"/>
  <c r="I124" i="2"/>
  <c r="G124" i="2"/>
  <c r="E124" i="2"/>
  <c r="D124" i="2"/>
  <c r="B124" i="2"/>
  <c r="C124" i="2" s="1"/>
  <c r="A124" i="2"/>
  <c r="K123" i="2"/>
  <c r="J123" i="2"/>
  <c r="I123" i="2"/>
  <c r="G123" i="2"/>
  <c r="E123" i="2"/>
  <c r="D123" i="2"/>
  <c r="B123" i="2"/>
  <c r="A123" i="2"/>
  <c r="K122" i="2"/>
  <c r="J122" i="2"/>
  <c r="I122" i="2"/>
  <c r="G122" i="2"/>
  <c r="E122" i="2"/>
  <c r="D122" i="2"/>
  <c r="B122" i="2"/>
  <c r="A122" i="2"/>
  <c r="K121" i="2"/>
  <c r="J121" i="2"/>
  <c r="I121" i="2"/>
  <c r="G121" i="2"/>
  <c r="E121" i="2"/>
  <c r="D121" i="2"/>
  <c r="B121" i="2"/>
  <c r="A121" i="2"/>
  <c r="K120" i="2"/>
  <c r="J120" i="2"/>
  <c r="I120" i="2"/>
  <c r="G120" i="2"/>
  <c r="E120" i="2"/>
  <c r="D120" i="2"/>
  <c r="B120" i="2"/>
  <c r="A120" i="2"/>
  <c r="K119" i="2"/>
  <c r="J119" i="2"/>
  <c r="I119" i="2"/>
  <c r="G119" i="2"/>
  <c r="E119" i="2"/>
  <c r="D119" i="2"/>
  <c r="B119" i="2"/>
  <c r="A119" i="2"/>
  <c r="K118" i="2"/>
  <c r="J118" i="2"/>
  <c r="I118" i="2"/>
  <c r="G118" i="2"/>
  <c r="E118" i="2"/>
  <c r="D118" i="2"/>
  <c r="B118" i="2"/>
  <c r="C118" i="2" s="1"/>
  <c r="A118" i="2"/>
  <c r="K117" i="2"/>
  <c r="J117" i="2"/>
  <c r="I117" i="2"/>
  <c r="G117" i="2"/>
  <c r="E117" i="2"/>
  <c r="D117" i="2"/>
  <c r="B117" i="2"/>
  <c r="A117" i="2"/>
  <c r="K116" i="2"/>
  <c r="J116" i="2"/>
  <c r="I116" i="2"/>
  <c r="G116" i="2"/>
  <c r="E116" i="2"/>
  <c r="D116" i="2"/>
  <c r="B116" i="2"/>
  <c r="A116" i="2"/>
  <c r="K115" i="2"/>
  <c r="J115" i="2"/>
  <c r="I115" i="2"/>
  <c r="G115" i="2"/>
  <c r="E115" i="2"/>
  <c r="D115" i="2"/>
  <c r="B115" i="2"/>
  <c r="A115" i="2"/>
  <c r="K114" i="2"/>
  <c r="J114" i="2"/>
  <c r="I114" i="2"/>
  <c r="G114" i="2"/>
  <c r="E114" i="2"/>
  <c r="D114" i="2"/>
  <c r="B114" i="2"/>
  <c r="A114" i="2"/>
  <c r="K113" i="2"/>
  <c r="J113" i="2"/>
  <c r="I113" i="2"/>
  <c r="G113" i="2"/>
  <c r="E113" i="2"/>
  <c r="D113" i="2"/>
  <c r="B113" i="2"/>
  <c r="A113" i="2"/>
  <c r="K112" i="2"/>
  <c r="J112" i="2"/>
  <c r="I112" i="2"/>
  <c r="G112" i="2"/>
  <c r="E112" i="2"/>
  <c r="D112" i="2"/>
  <c r="B112" i="2"/>
  <c r="A112" i="2"/>
  <c r="K111" i="2"/>
  <c r="J111" i="2"/>
  <c r="I111" i="2"/>
  <c r="G111" i="2"/>
  <c r="E111" i="2"/>
  <c r="D111" i="2"/>
  <c r="B111" i="2"/>
  <c r="A111" i="2"/>
  <c r="K110" i="2"/>
  <c r="J110" i="2"/>
  <c r="I110" i="2"/>
  <c r="G110" i="2"/>
  <c r="E110" i="2"/>
  <c r="F110" i="2" s="1"/>
  <c r="D110" i="2"/>
  <c r="B110" i="2"/>
  <c r="A110" i="2"/>
  <c r="K109" i="2"/>
  <c r="J109" i="2"/>
  <c r="I109" i="2"/>
  <c r="G109" i="2"/>
  <c r="E109" i="2"/>
  <c r="D109" i="2"/>
  <c r="B109" i="2"/>
  <c r="A109" i="2"/>
  <c r="K108" i="2"/>
  <c r="J108" i="2"/>
  <c r="I108" i="2"/>
  <c r="G108" i="2"/>
  <c r="E108" i="2"/>
  <c r="D108" i="2"/>
  <c r="B108" i="2"/>
  <c r="C108" i="2" s="1"/>
  <c r="A108" i="2"/>
  <c r="K107" i="2"/>
  <c r="J107" i="2"/>
  <c r="I107" i="2"/>
  <c r="G107" i="2"/>
  <c r="E107" i="2"/>
  <c r="F107" i="2" s="1"/>
  <c r="D107" i="2"/>
  <c r="B107" i="2"/>
  <c r="A107" i="2"/>
  <c r="K106" i="2"/>
  <c r="J106" i="2"/>
  <c r="I106" i="2"/>
  <c r="G106" i="2"/>
  <c r="E106" i="2"/>
  <c r="D106" i="2"/>
  <c r="B106" i="2"/>
  <c r="A106" i="2"/>
  <c r="K105" i="2"/>
  <c r="J105" i="2"/>
  <c r="I105" i="2"/>
  <c r="G105" i="2"/>
  <c r="E105" i="2"/>
  <c r="D105" i="2"/>
  <c r="B105" i="2"/>
  <c r="A105" i="2"/>
  <c r="K104" i="2"/>
  <c r="J104" i="2"/>
  <c r="I104" i="2"/>
  <c r="G104" i="2"/>
  <c r="E104" i="2"/>
  <c r="D104" i="2"/>
  <c r="B104" i="2"/>
  <c r="A104" i="2"/>
  <c r="K103" i="2"/>
  <c r="J103" i="2"/>
  <c r="I103" i="2"/>
  <c r="G103" i="2"/>
  <c r="E103" i="2"/>
  <c r="D103" i="2"/>
  <c r="B103" i="2"/>
  <c r="A103" i="2"/>
  <c r="K102" i="2"/>
  <c r="J102" i="2"/>
  <c r="I102" i="2"/>
  <c r="G102" i="2"/>
  <c r="E102" i="2"/>
  <c r="F102" i="2" s="1"/>
  <c r="D102" i="2"/>
  <c r="B102" i="2"/>
  <c r="A102" i="2"/>
  <c r="K101" i="2"/>
  <c r="J101" i="2"/>
  <c r="I101" i="2"/>
  <c r="G101" i="2"/>
  <c r="E101" i="2"/>
  <c r="D101" i="2"/>
  <c r="B101" i="2"/>
  <c r="A101" i="2"/>
  <c r="K100" i="2"/>
  <c r="J100" i="2"/>
  <c r="I100" i="2"/>
  <c r="G100" i="2"/>
  <c r="E100" i="2"/>
  <c r="D100" i="2"/>
  <c r="B100" i="2"/>
  <c r="A100" i="2"/>
  <c r="K99" i="2"/>
  <c r="J99" i="2"/>
  <c r="I99" i="2"/>
  <c r="G99" i="2"/>
  <c r="E99" i="2"/>
  <c r="D99" i="2"/>
  <c r="B99" i="2"/>
  <c r="A99" i="2"/>
  <c r="K98" i="2"/>
  <c r="J98" i="2"/>
  <c r="I98" i="2"/>
  <c r="G98" i="2"/>
  <c r="E98" i="2"/>
  <c r="D98" i="2"/>
  <c r="B98" i="2"/>
  <c r="A98" i="2"/>
  <c r="K97" i="2"/>
  <c r="J97" i="2"/>
  <c r="I97" i="2"/>
  <c r="G97" i="2"/>
  <c r="E97" i="2"/>
  <c r="D97" i="2"/>
  <c r="B97" i="2"/>
  <c r="A97" i="2"/>
  <c r="K96" i="2"/>
  <c r="J96" i="2"/>
  <c r="I96" i="2"/>
  <c r="G96" i="2"/>
  <c r="E96" i="2"/>
  <c r="D96" i="2"/>
  <c r="B96" i="2"/>
  <c r="A96" i="2"/>
  <c r="K95" i="2"/>
  <c r="J95" i="2"/>
  <c r="I95" i="2"/>
  <c r="G95" i="2"/>
  <c r="E95" i="2"/>
  <c r="D95" i="2"/>
  <c r="B95" i="2"/>
  <c r="A95" i="2"/>
  <c r="K94" i="2"/>
  <c r="J94" i="2"/>
  <c r="I94" i="2"/>
  <c r="G94" i="2"/>
  <c r="E94" i="2"/>
  <c r="D94" i="2"/>
  <c r="B94" i="2"/>
  <c r="A94" i="2"/>
  <c r="K93" i="2"/>
  <c r="J93" i="2"/>
  <c r="I93" i="2"/>
  <c r="G93" i="2"/>
  <c r="E93" i="2"/>
  <c r="D93" i="2"/>
  <c r="B93" i="2"/>
  <c r="A93" i="2"/>
  <c r="K92" i="2"/>
  <c r="J92" i="2"/>
  <c r="I92" i="2"/>
  <c r="G92" i="2"/>
  <c r="E92" i="2"/>
  <c r="D92" i="2"/>
  <c r="B92" i="2"/>
  <c r="A92" i="2"/>
  <c r="K91" i="2"/>
  <c r="J91" i="2"/>
  <c r="I91" i="2"/>
  <c r="G91" i="2"/>
  <c r="E91" i="2"/>
  <c r="D91" i="2"/>
  <c r="B91" i="2"/>
  <c r="A91" i="2"/>
  <c r="K90" i="2"/>
  <c r="J90" i="2"/>
  <c r="I90" i="2"/>
  <c r="G90" i="2"/>
  <c r="E90" i="2"/>
  <c r="D90" i="2"/>
  <c r="B90" i="2"/>
  <c r="A90" i="2"/>
  <c r="K89" i="2"/>
  <c r="J89" i="2"/>
  <c r="I89" i="2"/>
  <c r="G89" i="2"/>
  <c r="E89" i="2"/>
  <c r="D89" i="2"/>
  <c r="B89" i="2"/>
  <c r="A89" i="2"/>
  <c r="K88" i="2"/>
  <c r="J88" i="2"/>
  <c r="I88" i="2"/>
  <c r="G88" i="2"/>
  <c r="E88" i="2"/>
  <c r="D88" i="2"/>
  <c r="B88" i="2"/>
  <c r="A88" i="2"/>
  <c r="K87" i="2"/>
  <c r="J87" i="2"/>
  <c r="I87" i="2"/>
  <c r="G87" i="2"/>
  <c r="E87" i="2"/>
  <c r="D87" i="2"/>
  <c r="B87" i="2"/>
  <c r="A87" i="2"/>
  <c r="K86" i="2"/>
  <c r="J86" i="2"/>
  <c r="I86" i="2"/>
  <c r="G86" i="2"/>
  <c r="E86" i="2"/>
  <c r="D86" i="2"/>
  <c r="B86" i="2"/>
  <c r="A86" i="2"/>
  <c r="K85" i="2"/>
  <c r="J85" i="2"/>
  <c r="I85" i="2"/>
  <c r="G85" i="2"/>
  <c r="E85" i="2"/>
  <c r="D85" i="2"/>
  <c r="B85" i="2"/>
  <c r="A85" i="2"/>
  <c r="K84" i="2"/>
  <c r="J84" i="2"/>
  <c r="I84" i="2"/>
  <c r="G84" i="2"/>
  <c r="E84" i="2"/>
  <c r="F84" i="2" s="1"/>
  <c r="D84" i="2"/>
  <c r="B84" i="2"/>
  <c r="A84" i="2"/>
  <c r="K83" i="2"/>
  <c r="J83" i="2"/>
  <c r="I83" i="2"/>
  <c r="G83" i="2"/>
  <c r="E83" i="2"/>
  <c r="F83" i="2" s="1"/>
  <c r="D83" i="2"/>
  <c r="B83" i="2"/>
  <c r="A83" i="2"/>
  <c r="K82" i="2"/>
  <c r="J82" i="2"/>
  <c r="I82" i="2"/>
  <c r="G82" i="2"/>
  <c r="E82" i="2"/>
  <c r="F82" i="2" s="1"/>
  <c r="D82" i="2"/>
  <c r="B82" i="2"/>
  <c r="A82" i="2"/>
  <c r="K81" i="2"/>
  <c r="J81" i="2"/>
  <c r="I81" i="2"/>
  <c r="G81" i="2"/>
  <c r="E81" i="2"/>
  <c r="D81" i="2"/>
  <c r="B81" i="2"/>
  <c r="A81" i="2"/>
  <c r="K80" i="2"/>
  <c r="J80" i="2"/>
  <c r="I80" i="2"/>
  <c r="G80" i="2"/>
  <c r="E80" i="2"/>
  <c r="D80" i="2"/>
  <c r="B80" i="2"/>
  <c r="A80" i="2"/>
  <c r="K79" i="2"/>
  <c r="J79" i="2"/>
  <c r="I79" i="2"/>
  <c r="G79" i="2"/>
  <c r="E79" i="2"/>
  <c r="D79" i="2"/>
  <c r="B79" i="2"/>
  <c r="A79" i="2"/>
  <c r="K78" i="2"/>
  <c r="J78" i="2"/>
  <c r="I78" i="2"/>
  <c r="G78" i="2"/>
  <c r="E78" i="2"/>
  <c r="D78" i="2"/>
  <c r="B78" i="2"/>
  <c r="A78" i="2"/>
  <c r="K77" i="2"/>
  <c r="J77" i="2"/>
  <c r="I77" i="2"/>
  <c r="G77" i="2"/>
  <c r="E77" i="2"/>
  <c r="D77" i="2"/>
  <c r="B77" i="2"/>
  <c r="A77" i="2"/>
  <c r="K76" i="2"/>
  <c r="J76" i="2"/>
  <c r="I76" i="2"/>
  <c r="G76" i="2"/>
  <c r="E76" i="2"/>
  <c r="F76" i="2" s="1"/>
  <c r="D76" i="2"/>
  <c r="B76" i="2"/>
  <c r="C76" i="2" s="1"/>
  <c r="A76" i="2"/>
  <c r="K75" i="2"/>
  <c r="J75" i="2"/>
  <c r="I75" i="2"/>
  <c r="G75" i="2"/>
  <c r="E75" i="2"/>
  <c r="D75" i="2"/>
  <c r="B75" i="2"/>
  <c r="C75" i="2" s="1"/>
  <c r="A75" i="2"/>
  <c r="K74" i="2"/>
  <c r="J74" i="2"/>
  <c r="I74" i="2"/>
  <c r="G74" i="2"/>
  <c r="E74" i="2"/>
  <c r="D74" i="2"/>
  <c r="B74" i="2"/>
  <c r="A74" i="2"/>
  <c r="K73" i="2"/>
  <c r="J73" i="2"/>
  <c r="I73" i="2"/>
  <c r="G73" i="2"/>
  <c r="E73" i="2"/>
  <c r="D73" i="2"/>
  <c r="B73" i="2"/>
  <c r="C73" i="2" s="1"/>
  <c r="A73" i="2"/>
  <c r="K72" i="2"/>
  <c r="J72" i="2"/>
  <c r="I72" i="2"/>
  <c r="G72" i="2"/>
  <c r="E72" i="2"/>
  <c r="D72" i="2"/>
  <c r="B72" i="2"/>
  <c r="A72" i="2"/>
  <c r="K71" i="2"/>
  <c r="J71" i="2"/>
  <c r="I71" i="2"/>
  <c r="G71" i="2"/>
  <c r="E71" i="2"/>
  <c r="F71" i="2" s="1"/>
  <c r="D71" i="2"/>
  <c r="B71" i="2"/>
  <c r="A71" i="2"/>
  <c r="K70" i="2"/>
  <c r="J70" i="2"/>
  <c r="I70" i="2"/>
  <c r="G70" i="2"/>
  <c r="E70" i="2"/>
  <c r="D70" i="2"/>
  <c r="B70" i="2"/>
  <c r="A70" i="2"/>
  <c r="K69" i="2"/>
  <c r="J69" i="2"/>
  <c r="I69" i="2"/>
  <c r="G69" i="2"/>
  <c r="E69" i="2"/>
  <c r="D69" i="2"/>
  <c r="B69" i="2"/>
  <c r="A69" i="2"/>
  <c r="K68" i="2"/>
  <c r="J68" i="2"/>
  <c r="I68" i="2"/>
  <c r="G68" i="2"/>
  <c r="E68" i="2"/>
  <c r="D68" i="2"/>
  <c r="B68" i="2"/>
  <c r="A68" i="2"/>
  <c r="K67" i="2"/>
  <c r="J67" i="2"/>
  <c r="I67" i="2"/>
  <c r="G67" i="2"/>
  <c r="E67" i="2"/>
  <c r="F67" i="2" s="1"/>
  <c r="D67" i="2"/>
  <c r="B67" i="2"/>
  <c r="A67" i="2"/>
  <c r="K66" i="2"/>
  <c r="J66" i="2"/>
  <c r="I66" i="2"/>
  <c r="G66" i="2"/>
  <c r="E66" i="2"/>
  <c r="D66" i="2"/>
  <c r="B66" i="2"/>
  <c r="C66" i="2" s="1"/>
  <c r="A66" i="2"/>
  <c r="K65" i="2"/>
  <c r="J65" i="2"/>
  <c r="I65" i="2"/>
  <c r="G65" i="2"/>
  <c r="E65" i="2"/>
  <c r="F65" i="2" s="1"/>
  <c r="D65" i="2"/>
  <c r="B65" i="2"/>
  <c r="A65" i="2"/>
  <c r="K64" i="2"/>
  <c r="J64" i="2"/>
  <c r="I64" i="2"/>
  <c r="G64" i="2"/>
  <c r="E64" i="2"/>
  <c r="D64" i="2"/>
  <c r="B64" i="2"/>
  <c r="A64" i="2"/>
  <c r="K63" i="2"/>
  <c r="J63" i="2"/>
  <c r="I63" i="2"/>
  <c r="G63" i="2"/>
  <c r="E63" i="2"/>
  <c r="D63" i="2"/>
  <c r="B63" i="2"/>
  <c r="A63" i="2"/>
  <c r="K62" i="2"/>
  <c r="J62" i="2"/>
  <c r="I62" i="2"/>
  <c r="G62" i="2"/>
  <c r="E62" i="2"/>
  <c r="D62" i="2"/>
  <c r="B62" i="2"/>
  <c r="A62" i="2"/>
  <c r="K61" i="2"/>
  <c r="J61" i="2"/>
  <c r="I61" i="2"/>
  <c r="G61" i="2"/>
  <c r="E61" i="2"/>
  <c r="D61" i="2"/>
  <c r="B61" i="2"/>
  <c r="A61" i="2"/>
  <c r="K60" i="2"/>
  <c r="J60" i="2"/>
  <c r="I60" i="2"/>
  <c r="G60" i="2"/>
  <c r="E60" i="2"/>
  <c r="D60" i="2"/>
  <c r="B60" i="2"/>
  <c r="A60" i="2"/>
  <c r="K59" i="2"/>
  <c r="J59" i="2"/>
  <c r="I59" i="2"/>
  <c r="G59" i="2"/>
  <c r="E59" i="2"/>
  <c r="D59" i="2"/>
  <c r="B59" i="2"/>
  <c r="A59" i="2"/>
  <c r="K58" i="2"/>
  <c r="J58" i="2"/>
  <c r="I58" i="2"/>
  <c r="G58" i="2"/>
  <c r="E58" i="2"/>
  <c r="D58" i="2"/>
  <c r="B58" i="2"/>
  <c r="A58" i="2"/>
  <c r="K57" i="2"/>
  <c r="J57" i="2"/>
  <c r="I57" i="2"/>
  <c r="G57" i="2"/>
  <c r="E57" i="2"/>
  <c r="D57" i="2"/>
  <c r="B57" i="2"/>
  <c r="A57" i="2"/>
  <c r="K56" i="2"/>
  <c r="J56" i="2"/>
  <c r="I56" i="2"/>
  <c r="G56" i="2"/>
  <c r="E56" i="2"/>
  <c r="D56" i="2"/>
  <c r="B56" i="2"/>
  <c r="C56" i="2" s="1"/>
  <c r="A56" i="2"/>
  <c r="K55" i="2"/>
  <c r="J55" i="2"/>
  <c r="I55" i="2"/>
  <c r="G55" i="2"/>
  <c r="E55" i="2"/>
  <c r="D55" i="2"/>
  <c r="B55" i="2"/>
  <c r="A55" i="2"/>
  <c r="K54" i="2"/>
  <c r="J54" i="2"/>
  <c r="I54" i="2"/>
  <c r="G54" i="2"/>
  <c r="E54" i="2"/>
  <c r="D54" i="2"/>
  <c r="B54" i="2"/>
  <c r="A54" i="2"/>
  <c r="K53" i="2"/>
  <c r="J53" i="2"/>
  <c r="I53" i="2"/>
  <c r="G53" i="2"/>
  <c r="E53" i="2"/>
  <c r="D53" i="2"/>
  <c r="B53" i="2"/>
  <c r="A53" i="2"/>
  <c r="K52" i="2"/>
  <c r="J52" i="2"/>
  <c r="I52" i="2"/>
  <c r="G52" i="2"/>
  <c r="E52" i="2"/>
  <c r="D52" i="2"/>
  <c r="B52" i="2"/>
  <c r="A52" i="2"/>
  <c r="K51" i="2"/>
  <c r="J51" i="2"/>
  <c r="I51" i="2"/>
  <c r="G51" i="2"/>
  <c r="E51" i="2"/>
  <c r="D51" i="2"/>
  <c r="B51" i="2"/>
  <c r="A51" i="2"/>
  <c r="K50" i="2"/>
  <c r="J50" i="2"/>
  <c r="I50" i="2"/>
  <c r="G50" i="2"/>
  <c r="E50" i="2"/>
  <c r="D50" i="2"/>
  <c r="B50" i="2"/>
  <c r="A50" i="2"/>
  <c r="K49" i="2"/>
  <c r="J49" i="2"/>
  <c r="I49" i="2"/>
  <c r="G49" i="2"/>
  <c r="E49" i="2"/>
  <c r="F49" i="2" s="1"/>
  <c r="D49" i="2"/>
  <c r="B49" i="2"/>
  <c r="A49" i="2"/>
  <c r="K48" i="2"/>
  <c r="J48" i="2"/>
  <c r="I48" i="2"/>
  <c r="G48" i="2"/>
  <c r="E48" i="2"/>
  <c r="D48" i="2"/>
  <c r="B48" i="2"/>
  <c r="A48" i="2"/>
  <c r="K47" i="2"/>
  <c r="J47" i="2"/>
  <c r="I47" i="2"/>
  <c r="G47" i="2"/>
  <c r="E47" i="2"/>
  <c r="D47" i="2"/>
  <c r="B47" i="2"/>
  <c r="A47" i="2"/>
  <c r="K46" i="2"/>
  <c r="J46" i="2"/>
  <c r="I46" i="2"/>
  <c r="G46" i="2"/>
  <c r="E46" i="2"/>
  <c r="F46" i="2" s="1"/>
  <c r="D46" i="2"/>
  <c r="B46" i="2"/>
  <c r="A46" i="2"/>
  <c r="K45" i="2"/>
  <c r="J45" i="2"/>
  <c r="I45" i="2"/>
  <c r="G45" i="2"/>
  <c r="E45" i="2"/>
  <c r="D45" i="2"/>
  <c r="B45" i="2"/>
  <c r="A45" i="2"/>
  <c r="K44" i="2"/>
  <c r="J44" i="2"/>
  <c r="I44" i="2"/>
  <c r="G44" i="2"/>
  <c r="E44" i="2"/>
  <c r="F44" i="2" s="1"/>
  <c r="D44" i="2"/>
  <c r="B44" i="2"/>
  <c r="A44" i="2"/>
  <c r="K43" i="2"/>
  <c r="J43" i="2"/>
  <c r="I43" i="2"/>
  <c r="G43" i="2"/>
  <c r="E43" i="2"/>
  <c r="D43" i="2"/>
  <c r="B43" i="2"/>
  <c r="A43" i="2"/>
  <c r="K42" i="2"/>
  <c r="J42" i="2"/>
  <c r="I42" i="2"/>
  <c r="G42" i="2"/>
  <c r="E42" i="2"/>
  <c r="D42" i="2"/>
  <c r="B42" i="2"/>
  <c r="A42" i="2"/>
  <c r="K41" i="2"/>
  <c r="J41" i="2"/>
  <c r="I41" i="2"/>
  <c r="G41" i="2"/>
  <c r="E41" i="2"/>
  <c r="D41" i="2"/>
  <c r="B41" i="2"/>
  <c r="A41" i="2"/>
  <c r="K40" i="2"/>
  <c r="J40" i="2"/>
  <c r="I40" i="2"/>
  <c r="G40" i="2"/>
  <c r="E40" i="2"/>
  <c r="D40" i="2"/>
  <c r="B40" i="2"/>
  <c r="A40" i="2"/>
  <c r="K39" i="2"/>
  <c r="J39" i="2"/>
  <c r="I39" i="2"/>
  <c r="G39" i="2"/>
  <c r="E39" i="2"/>
  <c r="D39" i="2"/>
  <c r="B39" i="2"/>
  <c r="A39" i="2"/>
  <c r="K38" i="2"/>
  <c r="J38" i="2"/>
  <c r="I38" i="2"/>
  <c r="G38" i="2"/>
  <c r="E38" i="2"/>
  <c r="D38" i="2"/>
  <c r="B38" i="2"/>
  <c r="A38" i="2"/>
  <c r="K37" i="2"/>
  <c r="J37" i="2"/>
  <c r="I37" i="2"/>
  <c r="G37" i="2"/>
  <c r="E37" i="2"/>
  <c r="D37" i="2"/>
  <c r="B37" i="2"/>
  <c r="A37" i="2"/>
  <c r="K36" i="2"/>
  <c r="J36" i="2"/>
  <c r="I36" i="2"/>
  <c r="G36" i="2"/>
  <c r="E36" i="2"/>
  <c r="D36" i="2"/>
  <c r="B36" i="2"/>
  <c r="A36" i="2"/>
  <c r="K35" i="2"/>
  <c r="J35" i="2"/>
  <c r="I35" i="2"/>
  <c r="G35" i="2"/>
  <c r="E35" i="2"/>
  <c r="D35" i="2"/>
  <c r="B35" i="2"/>
  <c r="A35" i="2"/>
  <c r="K34" i="2"/>
  <c r="J34" i="2"/>
  <c r="I34" i="2"/>
  <c r="G34" i="2"/>
  <c r="E34" i="2"/>
  <c r="D34" i="2"/>
  <c r="B34" i="2"/>
  <c r="A34" i="2"/>
  <c r="K33" i="2"/>
  <c r="J33" i="2"/>
  <c r="I33" i="2"/>
  <c r="G33" i="2"/>
  <c r="E33" i="2"/>
  <c r="D33" i="2"/>
  <c r="B33" i="2"/>
  <c r="A33" i="2"/>
  <c r="K32" i="2"/>
  <c r="J32" i="2"/>
  <c r="I32" i="2"/>
  <c r="G32" i="2"/>
  <c r="E32" i="2"/>
  <c r="D32" i="2"/>
  <c r="B32" i="2"/>
  <c r="A32" i="2"/>
  <c r="K31" i="2"/>
  <c r="J31" i="2"/>
  <c r="I31" i="2"/>
  <c r="G31" i="2"/>
  <c r="E31" i="2"/>
  <c r="D31" i="2"/>
  <c r="B31" i="2"/>
  <c r="A31" i="2"/>
  <c r="K30" i="2"/>
  <c r="J30" i="2"/>
  <c r="I30" i="2"/>
  <c r="G30" i="2"/>
  <c r="E30" i="2"/>
  <c r="D30" i="2"/>
  <c r="B30" i="2"/>
  <c r="A30" i="2"/>
  <c r="K29" i="2"/>
  <c r="J29" i="2"/>
  <c r="I29" i="2"/>
  <c r="G29" i="2"/>
  <c r="E29" i="2"/>
  <c r="D29" i="2"/>
  <c r="B29" i="2"/>
  <c r="A29" i="2"/>
  <c r="K28" i="2"/>
  <c r="J28" i="2"/>
  <c r="I28" i="2"/>
  <c r="G28" i="2"/>
  <c r="E28" i="2"/>
  <c r="D28" i="2"/>
  <c r="B28" i="2"/>
  <c r="A28" i="2"/>
  <c r="K27" i="2"/>
  <c r="J27" i="2"/>
  <c r="I27" i="2"/>
  <c r="G27" i="2"/>
  <c r="E27" i="2"/>
  <c r="D27" i="2"/>
  <c r="B27" i="2"/>
  <c r="A27" i="2"/>
  <c r="K26" i="2"/>
  <c r="J26" i="2"/>
  <c r="I26" i="2"/>
  <c r="G26" i="2"/>
  <c r="E26" i="2"/>
  <c r="D26" i="2"/>
  <c r="B26" i="2"/>
  <c r="C26" i="2" s="1"/>
  <c r="A26" i="2"/>
  <c r="K25" i="2"/>
  <c r="J25" i="2"/>
  <c r="I25" i="2"/>
  <c r="G25" i="2"/>
  <c r="E25" i="2"/>
  <c r="D25" i="2"/>
  <c r="B25" i="2"/>
  <c r="A25" i="2"/>
  <c r="K24" i="2"/>
  <c r="J24" i="2"/>
  <c r="I24" i="2"/>
  <c r="G24" i="2"/>
  <c r="E24" i="2"/>
  <c r="F24" i="2" s="1"/>
  <c r="D24" i="2"/>
  <c r="B24" i="2"/>
  <c r="A24" i="2"/>
  <c r="K23" i="2"/>
  <c r="J23" i="2"/>
  <c r="I23" i="2"/>
  <c r="G23" i="2"/>
  <c r="E23" i="2"/>
  <c r="D23" i="2"/>
  <c r="B23" i="2"/>
  <c r="A23" i="2"/>
  <c r="K22" i="2"/>
  <c r="J22" i="2"/>
  <c r="I22" i="2"/>
  <c r="G22" i="2"/>
  <c r="E22" i="2"/>
  <c r="F22" i="2" s="1"/>
  <c r="D22" i="2"/>
  <c r="B22" i="2"/>
  <c r="A22" i="2"/>
  <c r="K21" i="2"/>
  <c r="J21" i="2"/>
  <c r="I21" i="2"/>
  <c r="G21" i="2"/>
  <c r="E21" i="2"/>
  <c r="D21" i="2"/>
  <c r="B21" i="2"/>
  <c r="A21" i="2"/>
  <c r="K20" i="2"/>
  <c r="J20" i="2"/>
  <c r="I20" i="2"/>
  <c r="G20" i="2"/>
  <c r="E20" i="2"/>
  <c r="F20" i="2" s="1"/>
  <c r="D20" i="2"/>
  <c r="B20" i="2"/>
  <c r="A20" i="2"/>
  <c r="K19" i="2"/>
  <c r="J19" i="2"/>
  <c r="I19" i="2"/>
  <c r="G19" i="2"/>
  <c r="E19" i="2"/>
  <c r="D19" i="2"/>
  <c r="B19" i="2"/>
  <c r="A19" i="2"/>
  <c r="K18" i="2"/>
  <c r="J18" i="2"/>
  <c r="I18" i="2"/>
  <c r="G18" i="2"/>
  <c r="E18" i="2"/>
  <c r="F18" i="2" s="1"/>
  <c r="D18" i="2"/>
  <c r="B18" i="2"/>
  <c r="A18" i="2"/>
  <c r="K17" i="2"/>
  <c r="J17" i="2"/>
  <c r="I17" i="2"/>
  <c r="G17" i="2"/>
  <c r="E17" i="2"/>
  <c r="D17" i="2"/>
  <c r="B17" i="2"/>
  <c r="A17" i="2"/>
  <c r="K16" i="2"/>
  <c r="J16" i="2"/>
  <c r="I16" i="2"/>
  <c r="G16" i="2"/>
  <c r="E16" i="2"/>
  <c r="D16" i="2"/>
  <c r="B16" i="2"/>
  <c r="A16" i="2"/>
  <c r="K15" i="2"/>
  <c r="J15" i="2"/>
  <c r="I15" i="2"/>
  <c r="G15" i="2"/>
  <c r="E15" i="2"/>
  <c r="D15" i="2"/>
  <c r="B15" i="2"/>
  <c r="A15" i="2"/>
  <c r="K14" i="2"/>
  <c r="J14" i="2"/>
  <c r="I14" i="2"/>
  <c r="G14" i="2"/>
  <c r="E14" i="2"/>
  <c r="D14" i="2"/>
  <c r="B14" i="2"/>
  <c r="A14" i="2"/>
  <c r="K13" i="2"/>
  <c r="J13" i="2"/>
  <c r="I13" i="2"/>
  <c r="G13" i="2"/>
  <c r="E13" i="2"/>
  <c r="D13" i="2"/>
  <c r="B13" i="2"/>
  <c r="A13" i="2"/>
  <c r="K12" i="2"/>
  <c r="J12" i="2"/>
  <c r="I12" i="2"/>
  <c r="G12" i="2"/>
  <c r="E12" i="2"/>
  <c r="D12" i="2"/>
  <c r="B12" i="2"/>
  <c r="A12" i="2"/>
  <c r="K11" i="2"/>
  <c r="J11" i="2"/>
  <c r="I11" i="2"/>
  <c r="G11" i="2"/>
  <c r="E11" i="2"/>
  <c r="D11" i="2"/>
  <c r="B11" i="2"/>
  <c r="A11" i="2"/>
  <c r="K10" i="2"/>
  <c r="J10" i="2"/>
  <c r="I10" i="2"/>
  <c r="G10" i="2"/>
  <c r="E10" i="2"/>
  <c r="D10" i="2"/>
  <c r="B10" i="2"/>
  <c r="A10" i="2"/>
  <c r="K9" i="2"/>
  <c r="J9" i="2"/>
  <c r="I9" i="2"/>
  <c r="G9" i="2"/>
  <c r="E9" i="2"/>
  <c r="F9" i="2" s="1"/>
  <c r="D9" i="2"/>
  <c r="B9" i="2"/>
  <c r="A9" i="2"/>
  <c r="K8" i="2"/>
  <c r="J8" i="2"/>
  <c r="I8" i="2"/>
  <c r="G8" i="2"/>
  <c r="E8" i="2"/>
  <c r="F8" i="2" s="1"/>
  <c r="D8" i="2"/>
  <c r="B8" i="2"/>
  <c r="A8" i="2"/>
  <c r="K7" i="2"/>
  <c r="J7" i="2"/>
  <c r="I7" i="2"/>
  <c r="G7" i="2"/>
  <c r="E7" i="2"/>
  <c r="D7" i="2"/>
  <c r="B7" i="2"/>
  <c r="A7" i="2"/>
  <c r="K6" i="2"/>
  <c r="J6" i="2"/>
  <c r="I6" i="2"/>
  <c r="G6" i="2"/>
  <c r="E6" i="2"/>
  <c r="F6" i="2" s="1"/>
  <c r="D6" i="2"/>
  <c r="B6" i="2"/>
  <c r="C6" i="2" s="1"/>
  <c r="A6" i="2"/>
  <c r="K5" i="2"/>
  <c r="J5" i="2"/>
  <c r="I5" i="2"/>
  <c r="G5" i="2"/>
  <c r="E5" i="2"/>
  <c r="D5" i="2"/>
  <c r="B5" i="2"/>
  <c r="A5" i="2"/>
  <c r="K4" i="2"/>
  <c r="J4" i="2"/>
  <c r="I4" i="2"/>
  <c r="G4" i="2"/>
  <c r="E4" i="2"/>
  <c r="D4" i="2"/>
  <c r="B4" i="2"/>
  <c r="A4" i="2"/>
  <c r="K3" i="2"/>
  <c r="J3" i="2"/>
  <c r="I3" i="2"/>
  <c r="G3" i="2"/>
  <c r="E3" i="2"/>
  <c r="D3" i="2"/>
  <c r="B3" i="2"/>
  <c r="C2" i="2" s="1" a="1"/>
  <c r="C11039" i="2" s="1"/>
  <c r="A3" i="2"/>
  <c r="K2" i="2"/>
  <c r="J2" i="2"/>
  <c r="I2" i="2"/>
  <c r="G2" i="2"/>
  <c r="F11051" i="2"/>
  <c r="F10766" i="2"/>
  <c r="F10694" i="2"/>
  <c r="F10658" i="2"/>
  <c r="F10644" i="2"/>
  <c r="F10611" i="2"/>
  <c r="F10578" i="2"/>
  <c r="F10557" i="2"/>
  <c r="F10422" i="2"/>
  <c r="F10344" i="2"/>
  <c r="F10195" i="2"/>
  <c r="F10134" i="2"/>
  <c r="F10125" i="2"/>
  <c r="F10077" i="2"/>
  <c r="F10014" i="2"/>
  <c r="F9981" i="2"/>
  <c r="F9973" i="2"/>
  <c r="F9893" i="2"/>
  <c r="F9789" i="2"/>
  <c r="F9645" i="2"/>
  <c r="F9634" i="2"/>
  <c r="F9626" i="2"/>
  <c r="F9622" i="2"/>
  <c r="F9618" i="2"/>
  <c r="F9547" i="2"/>
  <c r="F9532" i="2"/>
  <c r="F9450" i="2"/>
  <c r="F9443" i="2"/>
  <c r="F9323" i="2"/>
  <c r="F9301" i="2"/>
  <c r="F9293" i="2"/>
  <c r="F9247" i="2"/>
  <c r="F9226" i="2"/>
  <c r="F9209" i="2"/>
  <c r="F9201" i="2"/>
  <c r="F9116" i="2"/>
  <c r="F9098" i="2"/>
  <c r="F8984" i="2"/>
  <c r="F8969" i="2"/>
  <c r="F8949" i="2"/>
  <c r="F8930" i="2"/>
  <c r="F8923" i="2"/>
  <c r="F8867" i="2"/>
  <c r="F8850" i="2"/>
  <c r="F8813" i="2"/>
  <c r="F8791" i="2"/>
  <c r="F8689" i="2"/>
  <c r="F8617" i="2"/>
  <c r="F8616" i="2"/>
  <c r="F8615" i="2"/>
  <c r="F8613" i="2"/>
  <c r="F8598" i="2"/>
  <c r="F8587" i="2"/>
  <c r="F8483" i="2"/>
  <c r="F8444" i="2"/>
  <c r="F8373" i="2"/>
  <c r="F8335" i="2"/>
  <c r="F8330" i="2"/>
  <c r="F8322" i="2"/>
  <c r="F8303" i="2"/>
  <c r="F8244" i="2"/>
  <c r="F8242" i="2"/>
  <c r="F8226" i="2"/>
  <c r="F8149" i="2"/>
  <c r="F8051" i="2"/>
  <c r="F8041" i="2"/>
  <c r="F8035" i="2"/>
  <c r="F8022" i="2"/>
  <c r="F8021" i="2"/>
  <c r="F7972" i="2"/>
  <c r="F7945" i="2"/>
  <c r="F7895" i="2"/>
  <c r="F7886" i="2"/>
  <c r="F7801" i="2"/>
  <c r="F7793" i="2"/>
  <c r="F7792" i="2"/>
  <c r="F7732" i="2"/>
  <c r="F7730" i="2"/>
  <c r="F7729" i="2"/>
  <c r="F7721" i="2"/>
  <c r="F7654" i="2"/>
  <c r="F7625" i="2"/>
  <c r="F7560" i="2"/>
  <c r="F7558" i="2"/>
  <c r="F7555" i="2"/>
  <c r="F7512" i="2"/>
  <c r="F7500" i="2"/>
  <c r="F7491" i="2"/>
  <c r="F7476" i="2"/>
  <c r="F7423" i="2"/>
  <c r="F7416" i="2"/>
  <c r="F7331" i="2"/>
  <c r="F7276" i="2"/>
  <c r="F7275" i="2"/>
  <c r="F7274" i="2"/>
  <c r="F7273" i="2"/>
  <c r="F7256" i="2"/>
  <c r="F7255" i="2"/>
  <c r="F7196" i="2"/>
  <c r="F7163" i="2"/>
  <c r="F7114" i="2"/>
  <c r="F7091" i="2"/>
  <c r="F7077" i="2"/>
  <c r="F7075" i="2"/>
  <c r="F7056" i="2"/>
  <c r="F7031" i="2"/>
  <c r="F7020" i="2"/>
  <c r="F7002" i="2"/>
  <c r="F6943" i="2"/>
  <c r="F6876" i="2"/>
  <c r="F6869" i="2"/>
  <c r="F6868" i="2"/>
  <c r="F6864" i="2"/>
  <c r="F6863" i="2"/>
  <c r="F6841" i="2"/>
  <c r="F6830" i="2"/>
  <c r="F6775" i="2"/>
  <c r="F6757" i="2"/>
  <c r="F6685" i="2"/>
  <c r="F6682" i="2"/>
  <c r="F6678" i="2"/>
  <c r="F6645" i="2"/>
  <c r="F6639" i="2"/>
  <c r="F6633" i="2"/>
  <c r="F6631" i="2"/>
  <c r="F6567" i="2"/>
  <c r="F6557" i="2"/>
  <c r="F6493" i="2"/>
  <c r="F6485" i="2"/>
  <c r="F6481" i="2"/>
  <c r="F6458" i="2"/>
  <c r="F6449" i="2"/>
  <c r="F6441" i="2"/>
  <c r="F6427" i="2"/>
  <c r="F6375" i="2"/>
  <c r="F6373" i="2"/>
  <c r="F6301" i="2"/>
  <c r="F6281" i="2"/>
  <c r="F6265" i="2"/>
  <c r="F6260" i="2"/>
  <c r="F6247" i="2"/>
  <c r="F6246" i="2"/>
  <c r="F6241" i="2"/>
  <c r="F6175" i="2"/>
  <c r="F6155" i="2"/>
  <c r="F6112" i="2"/>
  <c r="F6081" i="2"/>
  <c r="F6077" i="2"/>
  <c r="F6059" i="2"/>
  <c r="F6058" i="2"/>
  <c r="F6021" i="2"/>
  <c r="F6017" i="2"/>
  <c r="F5992" i="2"/>
  <c r="F5949" i="2"/>
  <c r="F5901" i="2"/>
  <c r="F5877" i="2"/>
  <c r="F5873" i="2"/>
  <c r="F5867" i="2"/>
  <c r="F5865" i="2"/>
  <c r="F5841" i="2"/>
  <c r="F5840" i="2"/>
  <c r="F5787" i="2"/>
  <c r="F5771" i="2"/>
  <c r="F5701" i="2"/>
  <c r="F5693" i="2"/>
  <c r="F5684" i="2"/>
  <c r="F5647" i="2"/>
  <c r="F5639" i="2"/>
  <c r="F5638" i="2"/>
  <c r="F5632" i="2"/>
  <c r="F5590" i="2"/>
  <c r="F5556" i="2"/>
  <c r="F5530" i="2"/>
  <c r="F5499" i="2"/>
  <c r="F5495" i="2"/>
  <c r="F5473" i="2"/>
  <c r="F5463" i="2"/>
  <c r="F5446" i="2"/>
  <c r="F5441" i="2"/>
  <c r="F5407" i="2"/>
  <c r="F5388" i="2"/>
  <c r="F5327" i="2"/>
  <c r="F5301" i="2"/>
  <c r="F5293" i="2"/>
  <c r="F5281" i="2"/>
  <c r="F5278" i="2"/>
  <c r="F5269" i="2"/>
  <c r="F5257" i="2"/>
  <c r="F5206" i="2"/>
  <c r="F5191" i="2"/>
  <c r="F5153" i="2"/>
  <c r="F5115" i="2"/>
  <c r="F5113" i="2"/>
  <c r="F5103" i="2"/>
  <c r="F5099" i="2"/>
  <c r="F5067" i="2"/>
  <c r="F5061" i="2"/>
  <c r="F5051" i="2"/>
  <c r="F5007" i="2"/>
  <c r="F4966" i="2"/>
  <c r="F4956" i="2"/>
  <c r="F4935" i="2"/>
  <c r="F4927" i="2"/>
  <c r="F4922" i="2"/>
  <c r="F4897" i="2"/>
  <c r="F4893" i="2"/>
  <c r="F4846" i="2"/>
  <c r="F4842" i="2"/>
  <c r="F4789" i="2"/>
  <c r="F4783" i="2"/>
  <c r="F4775" i="2"/>
  <c r="F4764" i="2"/>
  <c r="F4751" i="2"/>
  <c r="F4745" i="2"/>
  <c r="F4740" i="2"/>
  <c r="F4703" i="2"/>
  <c r="F4682" i="2"/>
  <c r="F4639" i="2"/>
  <c r="F4635" i="2"/>
  <c r="F4633" i="2"/>
  <c r="F4613" i="2"/>
  <c r="F4612" i="2"/>
  <c r="F4588" i="2"/>
  <c r="F4587" i="2"/>
  <c r="F4564" i="2"/>
  <c r="F4552" i="2"/>
  <c r="F4509" i="2"/>
  <c r="F4485" i="2"/>
  <c r="F4475" i="2"/>
  <c r="F4469" i="2"/>
  <c r="F4466" i="2"/>
  <c r="F4463" i="2"/>
  <c r="F4462" i="2"/>
  <c r="F4423" i="2"/>
  <c r="F4396" i="2"/>
  <c r="F4364" i="2"/>
  <c r="F4348" i="2"/>
  <c r="F4345" i="2"/>
  <c r="F4330" i="2"/>
  <c r="F4324" i="2"/>
  <c r="F4303" i="2"/>
  <c r="F4300" i="2"/>
  <c r="F4297" i="2"/>
  <c r="F4262" i="2"/>
  <c r="F4220" i="2"/>
  <c r="F4215" i="2"/>
  <c r="F4208" i="2"/>
  <c r="F4202" i="2"/>
  <c r="F4192" i="2"/>
  <c r="F4177" i="2"/>
  <c r="F4170" i="2"/>
  <c r="F4143" i="2"/>
  <c r="F4129" i="2"/>
  <c r="F4092" i="2"/>
  <c r="F4082" i="2"/>
  <c r="F4075" i="2"/>
  <c r="F4056" i="2"/>
  <c r="F4050" i="2"/>
  <c r="F4048" i="2"/>
  <c r="F4047" i="2"/>
  <c r="F4013" i="2"/>
  <c r="F3992" i="2"/>
  <c r="F3965" i="2"/>
  <c r="F3953" i="2"/>
  <c r="F3951" i="2"/>
  <c r="F3930" i="2"/>
  <c r="F3920" i="2"/>
  <c r="F3913" i="2"/>
  <c r="F3907" i="2"/>
  <c r="F3890" i="2"/>
  <c r="F3886" i="2"/>
  <c r="F3840" i="2"/>
  <c r="F3826" i="2"/>
  <c r="F3815" i="2"/>
  <c r="F3808" i="2"/>
  <c r="F3804" i="2"/>
  <c r="F3801" i="2"/>
  <c r="F3792" i="2"/>
  <c r="F3764" i="2"/>
  <c r="F3740" i="2"/>
  <c r="F3720" i="2"/>
  <c r="F3696" i="2"/>
  <c r="F3695" i="2"/>
  <c r="F3692" i="2"/>
  <c r="F3680" i="2"/>
  <c r="F3671" i="2"/>
  <c r="F3663" i="2"/>
  <c r="F3650" i="2"/>
  <c r="F3625" i="2"/>
  <c r="F3585" i="2"/>
  <c r="F3580" i="2"/>
  <c r="F3579" i="2"/>
  <c r="F3572" i="2"/>
  <c r="F3571" i="2"/>
  <c r="F3548" i="2"/>
  <c r="F3543" i="2"/>
  <c r="F3516" i="2"/>
  <c r="F3505" i="2"/>
  <c r="F3460" i="2"/>
  <c r="F3457" i="2"/>
  <c r="F3454" i="2"/>
  <c r="F3437" i="2"/>
  <c r="F3426" i="2"/>
  <c r="F3424" i="2"/>
  <c r="F3423" i="2"/>
  <c r="F3399" i="2"/>
  <c r="F3380" i="2"/>
  <c r="F3342" i="2"/>
  <c r="F3340" i="2"/>
  <c r="F3339" i="2"/>
  <c r="F3321" i="2"/>
  <c r="F3313" i="2"/>
  <c r="F3305" i="2"/>
  <c r="F3297" i="2"/>
  <c r="F3269" i="2"/>
  <c r="F3267" i="2"/>
  <c r="F3226" i="2"/>
  <c r="F3210" i="2"/>
  <c r="F3208" i="2"/>
  <c r="F3207" i="2"/>
  <c r="F3199" i="2"/>
  <c r="F3195" i="2"/>
  <c r="F3191" i="2"/>
  <c r="F3157" i="2"/>
  <c r="F3148" i="2"/>
  <c r="F3125" i="2"/>
  <c r="F3104" i="2"/>
  <c r="F3102" i="2"/>
  <c r="F3096" i="2"/>
  <c r="F3095" i="2"/>
  <c r="F3070" i="2"/>
  <c r="F3069" i="2"/>
  <c r="F3056" i="2"/>
  <c r="F3044" i="2"/>
  <c r="F3004" i="2"/>
  <c r="F3003" i="2"/>
  <c r="F3002" i="2"/>
  <c r="F2996" i="2"/>
  <c r="F2995" i="2"/>
  <c r="F2971" i="2"/>
  <c r="F2967" i="2"/>
  <c r="F2947" i="2"/>
  <c r="F2937" i="2"/>
  <c r="F2900" i="2"/>
  <c r="F2894" i="2"/>
  <c r="F2888" i="2"/>
  <c r="F2880" i="2"/>
  <c r="F2876" i="2"/>
  <c r="F2868" i="2"/>
  <c r="F2860" i="2"/>
  <c r="F2839" i="2"/>
  <c r="F2824" i="2"/>
  <c r="F2798" i="2"/>
  <c r="F2796" i="2"/>
  <c r="F2789" i="2"/>
  <c r="F2772" i="2"/>
  <c r="F2770" i="2"/>
  <c r="F2759" i="2"/>
  <c r="F2755" i="2"/>
  <c r="F2732" i="2"/>
  <c r="F2724" i="2"/>
  <c r="F2687" i="2"/>
  <c r="F2680" i="2"/>
  <c r="F2674" i="2"/>
  <c r="F2665" i="2"/>
  <c r="F2664" i="2"/>
  <c r="F2663" i="2"/>
  <c r="F2661" i="2"/>
  <c r="F2624" i="2"/>
  <c r="F2612" i="2"/>
  <c r="F2588" i="2"/>
  <c r="F2570" i="2"/>
  <c r="F2565" i="2"/>
  <c r="F2560" i="2"/>
  <c r="F2558" i="2"/>
  <c r="F2548" i="2"/>
  <c r="F2539" i="2"/>
  <c r="F2529" i="2"/>
  <c r="F2510" i="2"/>
  <c r="F2478" i="2"/>
  <c r="F2476" i="2"/>
  <c r="F2467" i="2"/>
  <c r="F2465" i="2"/>
  <c r="F2464" i="2"/>
  <c r="F2449" i="2"/>
  <c r="F2442" i="2"/>
  <c r="F2418" i="2"/>
  <c r="F2411" i="2"/>
  <c r="F2383" i="2"/>
  <c r="F2368" i="2"/>
  <c r="F2364" i="2"/>
  <c r="F2356" i="2"/>
  <c r="F2355" i="2"/>
  <c r="F2354" i="2"/>
  <c r="F2351" i="2"/>
  <c r="F2320" i="2"/>
  <c r="F2311" i="2"/>
  <c r="F2279" i="2"/>
  <c r="F2277" i="2"/>
  <c r="F2273" i="2"/>
  <c r="F2260" i="2"/>
  <c r="F2258" i="2"/>
  <c r="F2256" i="2"/>
  <c r="F2249" i="2"/>
  <c r="F2224" i="2"/>
  <c r="F2212" i="2"/>
  <c r="F2176" i="2"/>
  <c r="F2172" i="2"/>
  <c r="F2168" i="2"/>
  <c r="F2164" i="2"/>
  <c r="F2163" i="2"/>
  <c r="F2162" i="2"/>
  <c r="F2151" i="2"/>
  <c r="F2130" i="2"/>
  <c r="F2113" i="2"/>
  <c r="F2094" i="2"/>
  <c r="F2081" i="2"/>
  <c r="F2080" i="2"/>
  <c r="F2069" i="2"/>
  <c r="F2063" i="2"/>
  <c r="F2057" i="2"/>
  <c r="F2055" i="2"/>
  <c r="F2041" i="2"/>
  <c r="F2024" i="2"/>
  <c r="F1993" i="2"/>
  <c r="F1989" i="2"/>
  <c r="F1986" i="2"/>
  <c r="F1985" i="2"/>
  <c r="F1981" i="2"/>
  <c r="F1967" i="2"/>
  <c r="F1962" i="2"/>
  <c r="F1943" i="2"/>
  <c r="F1932" i="2"/>
  <c r="F1929" i="2"/>
  <c r="F1905" i="2"/>
  <c r="F1903" i="2"/>
  <c r="F1899" i="2"/>
  <c r="F1883" i="2"/>
  <c r="F1882" i="2"/>
  <c r="F1880" i="2"/>
  <c r="F1879" i="2"/>
  <c r="F1854" i="2"/>
  <c r="F1845" i="2"/>
  <c r="F1844" i="2"/>
  <c r="F1821" i="2"/>
  <c r="F1819" i="2"/>
  <c r="F1817" i="2"/>
  <c r="F1801" i="2"/>
  <c r="F1800" i="2"/>
  <c r="F1794" i="2"/>
  <c r="F1792" i="2"/>
  <c r="F1774" i="2"/>
  <c r="F1770" i="2"/>
  <c r="F1766" i="2"/>
  <c r="F1742" i="2"/>
  <c r="F1728" i="2"/>
  <c r="F1726" i="2"/>
  <c r="F1721" i="2"/>
  <c r="F1717" i="2"/>
  <c r="F1716" i="2"/>
  <c r="F1715" i="2"/>
  <c r="F1692" i="2"/>
  <c r="F1676" i="2"/>
  <c r="F1675" i="2"/>
  <c r="F1666" i="2"/>
  <c r="F1646" i="2"/>
  <c r="F1644" i="2"/>
  <c r="F1642" i="2"/>
  <c r="F1637" i="2"/>
  <c r="F1627" i="2"/>
  <c r="F1626" i="2"/>
  <c r="F1618" i="2"/>
  <c r="F1600" i="2"/>
  <c r="F1595" i="2"/>
  <c r="F1574" i="2"/>
  <c r="F1568" i="2"/>
  <c r="F1564" i="2"/>
  <c r="F1563" i="2"/>
  <c r="F1562" i="2"/>
  <c r="F1548" i="2"/>
  <c r="F1547" i="2"/>
  <c r="F1526" i="2"/>
  <c r="F1524" i="2"/>
  <c r="F1518" i="2"/>
  <c r="F1499" i="2"/>
  <c r="F1493" i="2"/>
  <c r="F1491" i="2"/>
  <c r="F1489" i="2"/>
  <c r="F1483" i="2"/>
  <c r="F1476" i="2"/>
  <c r="F1473" i="2"/>
  <c r="F1466" i="2"/>
  <c r="F1448" i="2"/>
  <c r="F1446" i="2"/>
  <c r="F1433" i="2"/>
  <c r="F1428" i="2"/>
  <c r="F1426" i="2"/>
  <c r="F1420" i="2"/>
  <c r="F1417" i="2"/>
  <c r="F1406" i="2"/>
  <c r="F1402" i="2"/>
  <c r="F1397" i="2"/>
  <c r="F1384" i="2"/>
  <c r="F1380" i="2"/>
  <c r="F1356" i="2"/>
  <c r="F1354" i="2"/>
  <c r="F1353" i="2"/>
  <c r="F1351" i="2"/>
  <c r="F1348" i="2"/>
  <c r="F1340" i="2"/>
  <c r="F1336" i="2"/>
  <c r="F1326" i="2"/>
  <c r="F1316" i="2"/>
  <c r="F1312" i="2"/>
  <c r="F1291" i="2"/>
  <c r="F1290" i="2"/>
  <c r="F1284" i="2"/>
  <c r="F1283" i="2"/>
  <c r="F1282" i="2"/>
  <c r="F1280" i="2"/>
  <c r="F1265" i="2"/>
  <c r="F1256" i="2"/>
  <c r="F1246" i="2"/>
  <c r="F1243" i="2"/>
  <c r="F1232" i="2"/>
  <c r="F1220" i="2"/>
  <c r="F1219" i="2"/>
  <c r="F1212" i="2"/>
  <c r="F1209" i="2"/>
  <c r="F1202" i="2"/>
  <c r="F1198" i="2"/>
  <c r="F1190" i="2"/>
  <c r="F1182" i="2"/>
  <c r="F1170" i="2"/>
  <c r="F1161" i="2"/>
  <c r="F1153" i="2"/>
  <c r="F1150" i="2"/>
  <c r="F1146" i="2"/>
  <c r="F1141" i="2"/>
  <c r="F1138" i="2"/>
  <c r="F1134" i="2"/>
  <c r="F1122" i="2"/>
  <c r="F1115" i="2"/>
  <c r="F1104" i="2"/>
  <c r="F1090" i="2"/>
  <c r="F1089" i="2"/>
  <c r="F1081" i="2"/>
  <c r="F1078" i="2"/>
  <c r="F1067" i="2"/>
  <c r="F1064" i="2"/>
  <c r="F1062" i="2"/>
  <c r="F1052" i="2"/>
  <c r="F1045" i="2"/>
  <c r="F1044" i="2"/>
  <c r="F1022" i="2"/>
  <c r="F1017" i="2"/>
  <c r="F1012" i="2"/>
  <c r="F1010" i="2"/>
  <c r="F1008" i="2"/>
  <c r="F1004" i="2"/>
  <c r="F996" i="2"/>
  <c r="F981" i="2"/>
  <c r="F972" i="2"/>
  <c r="F971" i="2"/>
  <c r="F952" i="2"/>
  <c r="F950" i="2"/>
  <c r="F946" i="2"/>
  <c r="F936" i="2"/>
  <c r="F935" i="2"/>
  <c r="F933" i="2"/>
  <c r="F932" i="2"/>
  <c r="F914" i="2"/>
  <c r="F907" i="2"/>
  <c r="F902" i="2"/>
  <c r="F884" i="2"/>
  <c r="F878" i="2"/>
  <c r="F876" i="2"/>
  <c r="F869" i="2"/>
  <c r="F866" i="2"/>
  <c r="F864" i="2"/>
  <c r="F862" i="2"/>
  <c r="F841" i="2"/>
  <c r="F836" i="2"/>
  <c r="F835" i="2"/>
  <c r="F816" i="2"/>
  <c r="F814" i="2"/>
  <c r="F812" i="2"/>
  <c r="F808" i="2"/>
  <c r="F793" i="2"/>
  <c r="F792" i="2"/>
  <c r="F789" i="2"/>
  <c r="F762" i="2"/>
  <c r="F744" i="2"/>
  <c r="F743" i="2"/>
  <c r="F741" i="2"/>
  <c r="F740" i="2"/>
  <c r="F724" i="2"/>
  <c r="F723" i="2"/>
  <c r="F696" i="2"/>
  <c r="F672" i="2"/>
  <c r="F629" i="2"/>
  <c r="F593" i="2"/>
  <c r="F531" i="2"/>
  <c r="F529" i="2"/>
  <c r="F523" i="2"/>
  <c r="F515" i="2"/>
  <c r="F457" i="2"/>
  <c r="F455" i="2"/>
  <c r="F437" i="2"/>
  <c r="F395" i="2"/>
  <c r="F299" i="2"/>
  <c r="F217" i="2"/>
  <c r="F209" i="2"/>
  <c r="F177" i="2"/>
  <c r="F167" i="2"/>
  <c r="F2" i="2" a="1"/>
  <c r="F10446" i="2" s="1"/>
  <c r="E2" i="2"/>
  <c r="D2" i="2"/>
  <c r="C11041" i="2"/>
  <c r="C10597" i="2"/>
  <c r="C10308" i="2"/>
  <c r="C9878" i="2"/>
  <c r="C9865" i="2"/>
  <c r="C9378" i="2"/>
  <c r="C9293" i="2"/>
  <c r="C9028" i="2"/>
  <c r="C8943" i="2"/>
  <c r="C8597" i="2"/>
  <c r="C8566" i="2"/>
  <c r="C8335" i="2"/>
  <c r="C8168" i="2"/>
  <c r="C7944" i="2"/>
  <c r="C7935" i="2"/>
  <c r="C7606" i="2"/>
  <c r="C7542" i="2"/>
  <c r="C7329" i="2"/>
  <c r="C7315" i="2"/>
  <c r="C7023" i="2"/>
  <c r="C7012" i="2"/>
  <c r="C6811" i="2"/>
  <c r="C6701" i="2"/>
  <c r="C6539" i="2"/>
  <c r="C6505" i="2"/>
  <c r="C6398" i="2"/>
  <c r="C6392" i="2"/>
  <c r="C6273" i="2"/>
  <c r="C6238" i="2"/>
  <c r="C6155" i="2"/>
  <c r="C6126" i="2"/>
  <c r="C6024" i="2"/>
  <c r="C6012" i="2"/>
  <c r="C5906" i="2"/>
  <c r="C5878" i="2"/>
  <c r="C5784" i="2"/>
  <c r="C5773" i="2"/>
  <c r="C5675" i="2"/>
  <c r="C5666" i="2"/>
  <c r="C5553" i="2"/>
  <c r="C5529" i="2"/>
  <c r="C5434" i="2"/>
  <c r="C5423" i="2"/>
  <c r="C5329" i="2"/>
  <c r="C5320" i="2"/>
  <c r="C5189" i="2"/>
  <c r="C5184" i="2"/>
  <c r="C5085" i="2"/>
  <c r="C5078" i="2"/>
  <c r="C4983" i="2"/>
  <c r="C4977" i="2"/>
  <c r="C4856" i="2"/>
  <c r="C4844" i="2"/>
  <c r="C4760" i="2"/>
  <c r="C4749" i="2"/>
  <c r="C4660" i="2"/>
  <c r="C4641" i="2"/>
  <c r="C4531" i="2"/>
  <c r="C4522" i="2"/>
  <c r="C4430" i="2"/>
  <c r="C4421" i="2"/>
  <c r="C4332" i="2"/>
  <c r="C4308" i="2"/>
  <c r="C4204" i="2"/>
  <c r="C4197" i="2"/>
  <c r="C4109" i="2"/>
  <c r="C4105" i="2"/>
  <c r="C4024" i="2"/>
  <c r="C4014" i="2"/>
  <c r="C3930" i="2"/>
  <c r="C3905" i="2"/>
  <c r="C3838" i="2"/>
  <c r="C3825" i="2"/>
  <c r="C3755" i="2"/>
  <c r="C3735" i="2"/>
  <c r="C3649" i="2"/>
  <c r="C3638" i="2"/>
  <c r="C3563" i="2"/>
  <c r="C3556" i="2"/>
  <c r="C3479" i="2"/>
  <c r="C3470" i="2"/>
  <c r="C3381" i="2"/>
  <c r="C3370" i="2"/>
  <c r="C3294" i="2"/>
  <c r="C3284" i="2"/>
  <c r="C3210" i="2"/>
  <c r="C3201" i="2"/>
  <c r="C3105" i="2"/>
  <c r="C3094" i="2"/>
  <c r="C3031" i="2"/>
  <c r="C3026" i="2"/>
  <c r="C2964" i="2"/>
  <c r="C2957" i="2"/>
  <c r="C2886" i="2"/>
  <c r="C2878" i="2"/>
  <c r="C2818" i="2"/>
  <c r="C2808" i="2"/>
  <c r="C2743" i="2"/>
  <c r="C2740" i="2"/>
  <c r="C2664" i="2"/>
  <c r="C2648" i="2"/>
  <c r="C2597" i="2"/>
  <c r="C2578" i="2"/>
  <c r="C2522" i="2"/>
  <c r="C2509" i="2"/>
  <c r="C2441" i="2"/>
  <c r="C2433" i="2"/>
  <c r="C2375" i="2"/>
  <c r="C2371" i="2"/>
  <c r="C2313" i="2"/>
  <c r="C2307" i="2"/>
  <c r="C2237" i="2"/>
  <c r="C2229" i="2"/>
  <c r="C2173" i="2"/>
  <c r="C2168" i="2"/>
  <c r="C2110" i="2"/>
  <c r="C2100" i="2"/>
  <c r="C2025" i="2"/>
  <c r="C2018" i="2"/>
  <c r="C1958" i="2"/>
  <c r="C1955" i="2"/>
  <c r="C1897" i="2"/>
  <c r="C1889" i="2"/>
  <c r="C1830" i="2"/>
  <c r="C1818" i="2"/>
  <c r="C1764" i="2"/>
  <c r="C1759" i="2"/>
  <c r="C1714" i="2"/>
  <c r="C1697" i="2"/>
  <c r="C1656" i="2"/>
  <c r="C1636" i="2"/>
  <c r="C1595" i="2"/>
  <c r="C1588" i="2"/>
  <c r="C1532" i="2"/>
  <c r="C1527" i="2"/>
  <c r="C1473" i="2"/>
  <c r="C1463" i="2"/>
  <c r="C1411" i="2"/>
  <c r="C1404" i="2"/>
  <c r="C1356" i="2"/>
  <c r="C1343" i="2"/>
  <c r="C1304" i="2"/>
  <c r="C1286" i="2"/>
  <c r="C1249" i="2"/>
  <c r="C1241" i="2"/>
  <c r="C1192" i="2"/>
  <c r="C1189" i="2"/>
  <c r="C1139" i="2"/>
  <c r="C1130" i="2"/>
  <c r="C1090" i="2"/>
  <c r="C1071" i="2"/>
  <c r="C1031" i="2"/>
  <c r="C1017" i="2"/>
  <c r="C981" i="2"/>
  <c r="C967" i="2"/>
  <c r="C927" i="2"/>
  <c r="C923" i="2"/>
  <c r="C877" i="2"/>
  <c r="C872" i="2"/>
  <c r="C825" i="2"/>
  <c r="C822" i="2"/>
  <c r="C779" i="2"/>
  <c r="C769" i="2"/>
  <c r="C732" i="2"/>
  <c r="C712" i="2"/>
  <c r="C680" i="2"/>
  <c r="C677" i="2"/>
  <c r="C660" i="2"/>
  <c r="C626" i="2"/>
  <c r="C625" i="2"/>
  <c r="C617" i="2"/>
  <c r="C575" i="2"/>
  <c r="C567" i="2"/>
  <c r="C479" i="2"/>
  <c r="C477" i="2"/>
  <c r="C463" i="2"/>
  <c r="C459" i="2"/>
  <c r="C409" i="2"/>
  <c r="C407" i="2"/>
  <c r="C405" i="2"/>
  <c r="C363" i="2"/>
  <c r="C323" i="2"/>
  <c r="C317" i="2"/>
  <c r="C315" i="2"/>
  <c r="C313" i="2"/>
  <c r="C309" i="2"/>
  <c r="C267" i="2"/>
  <c r="C263" i="2"/>
  <c r="C261" i="2"/>
  <c r="C259" i="2"/>
  <c r="C215" i="2"/>
  <c r="C213" i="2"/>
  <c r="C209" i="2"/>
  <c r="C207" i="2"/>
  <c r="C161" i="2"/>
  <c r="C159" i="2"/>
  <c r="C153" i="2"/>
  <c r="C125" i="2"/>
  <c r="C107" i="2"/>
  <c r="C103" i="2"/>
  <c r="C55" i="2"/>
  <c r="C29" i="2"/>
  <c r="C21" i="2"/>
  <c r="C15" i="2"/>
  <c r="C13" i="2"/>
  <c r="B2" i="2"/>
  <c r="A2" i="2"/>
  <c r="K1" i="2"/>
  <c r="J1" i="2"/>
  <c r="I1" i="2"/>
  <c r="G1" i="2"/>
  <c r="E1" i="2"/>
  <c r="D1" i="2"/>
  <c r="B1" i="2"/>
  <c r="A1" i="2"/>
  <c r="C42" i="2" l="1"/>
  <c r="C83" i="2"/>
  <c r="C132" i="2"/>
  <c r="C185" i="2"/>
  <c r="C236" i="2"/>
  <c r="C290" i="2"/>
  <c r="C341" i="2"/>
  <c r="C385" i="2"/>
  <c r="C435" i="2"/>
  <c r="C487" i="2"/>
  <c r="C539" i="2"/>
  <c r="C595" i="2"/>
  <c r="C646" i="2"/>
  <c r="C687" i="2"/>
  <c r="C742" i="2"/>
  <c r="C794" i="2"/>
  <c r="C844" i="2"/>
  <c r="C895" i="2"/>
  <c r="C946" i="2"/>
  <c r="C995" i="2"/>
  <c r="C1046" i="2"/>
  <c r="C1101" i="2"/>
  <c r="C1157" i="2"/>
  <c r="C1210" i="2"/>
  <c r="C1257" i="2"/>
  <c r="C1316" i="2"/>
  <c r="C1375" i="2"/>
  <c r="C1435" i="2"/>
  <c r="C1497" i="2"/>
  <c r="C1556" i="2"/>
  <c r="C1607" i="2"/>
  <c r="C1666" i="2"/>
  <c r="C1726" i="2"/>
  <c r="C1789" i="2"/>
  <c r="C1855" i="2"/>
  <c r="C1918" i="2"/>
  <c r="C1992" i="2"/>
  <c r="C2055" i="2"/>
  <c r="C2120" i="2"/>
  <c r="C2206" i="2"/>
  <c r="C2267" i="2"/>
  <c r="C2334" i="2"/>
  <c r="C2405" i="2"/>
  <c r="C2470" i="2"/>
  <c r="C2539" i="2"/>
  <c r="C2626" i="2"/>
  <c r="C2693" i="2"/>
  <c r="C2763" i="2"/>
  <c r="C2849" i="2"/>
  <c r="C2916" i="2"/>
  <c r="C2988" i="2"/>
  <c r="C3064" i="2"/>
  <c r="C3142" i="2"/>
  <c r="C3223" i="2"/>
  <c r="C3338" i="2"/>
  <c r="C3419" i="2"/>
  <c r="C3507" i="2"/>
  <c r="C3599" i="2"/>
  <c r="C3689" i="2"/>
  <c r="C3771" i="2"/>
  <c r="C3877" i="2"/>
  <c r="C3963" i="2"/>
  <c r="C4046" i="2"/>
  <c r="C4149" i="2"/>
  <c r="C4250" i="2"/>
  <c r="C4348" i="2"/>
  <c r="C4479" i="2"/>
  <c r="C4574" i="2"/>
  <c r="C4677" i="2"/>
  <c r="C4804" i="2"/>
  <c r="C4900" i="2"/>
  <c r="C5012" i="2"/>
  <c r="C5134" i="2"/>
  <c r="C5240" i="2"/>
  <c r="C5368" i="2"/>
  <c r="C5483" i="2"/>
  <c r="C5597" i="2"/>
  <c r="C5712" i="2"/>
  <c r="C5830" i="2"/>
  <c r="C5954" i="2"/>
  <c r="C6065" i="2"/>
  <c r="C6200" i="2"/>
  <c r="C6324" i="2"/>
  <c r="C6438" i="2"/>
  <c r="C6621" i="2"/>
  <c r="C6825" i="2"/>
  <c r="C7142" i="2"/>
  <c r="C7415" i="2"/>
  <c r="C7735" i="2"/>
  <c r="C8073" i="2"/>
  <c r="C8363" i="2"/>
  <c r="C8774" i="2"/>
  <c r="C9062" i="2"/>
  <c r="C9511" i="2"/>
  <c r="C10105" i="2"/>
  <c r="C10637" i="2"/>
  <c r="C47" i="2"/>
  <c r="C92" i="2"/>
  <c r="C134" i="2"/>
  <c r="C186" i="2"/>
  <c r="C241" i="2"/>
  <c r="C291" i="2"/>
  <c r="C343" i="2"/>
  <c r="C391" i="2"/>
  <c r="C436" i="2"/>
  <c r="C488" i="2"/>
  <c r="C540" i="2"/>
  <c r="C598" i="2"/>
  <c r="C650" i="2"/>
  <c r="C698" i="2"/>
  <c r="C743" i="2"/>
  <c r="C795" i="2"/>
  <c r="C845" i="2"/>
  <c r="C898" i="2"/>
  <c r="C953" i="2"/>
  <c r="C1000" i="2"/>
  <c r="C1047" i="2"/>
  <c r="C1102" i="2"/>
  <c r="C1159" i="2"/>
  <c r="C1217" i="2"/>
  <c r="C1268" i="2"/>
  <c r="C1325" i="2"/>
  <c r="C1377" i="2"/>
  <c r="C1439" i="2"/>
  <c r="C1498" i="2"/>
  <c r="C1558" i="2"/>
  <c r="C1614" i="2"/>
  <c r="C1667" i="2"/>
  <c r="C1732" i="2"/>
  <c r="C1793" i="2"/>
  <c r="C1858" i="2"/>
  <c r="C1919" i="2"/>
  <c r="C1994" i="2"/>
  <c r="C2056" i="2"/>
  <c r="C2121" i="2"/>
  <c r="C2207" i="2"/>
  <c r="C2268" i="2"/>
  <c r="C2335" i="2"/>
  <c r="C2407" i="2"/>
  <c r="C2472" i="2"/>
  <c r="C2540" i="2"/>
  <c r="C2629" i="2"/>
  <c r="C2701" i="2"/>
  <c r="C2771" i="2"/>
  <c r="C2851" i="2"/>
  <c r="C2917" i="2"/>
  <c r="C2989" i="2"/>
  <c r="C3066" i="2"/>
  <c r="C3143" i="2"/>
  <c r="C3225" i="2"/>
  <c r="C3345" i="2"/>
  <c r="C3420" i="2"/>
  <c r="C3512" i="2"/>
  <c r="C3601" i="2"/>
  <c r="C3690" i="2"/>
  <c r="C3773" i="2"/>
  <c r="C3885" i="2"/>
  <c r="C3971" i="2"/>
  <c r="C4054" i="2"/>
  <c r="C4155" i="2"/>
  <c r="C4251" i="2"/>
  <c r="C4349" i="2"/>
  <c r="C4481" i="2"/>
  <c r="C4582" i="2"/>
  <c r="C4687" i="2"/>
  <c r="C4805" i="2"/>
  <c r="C4905" i="2"/>
  <c r="C5019" i="2"/>
  <c r="C5141" i="2"/>
  <c r="C5257" i="2"/>
  <c r="C5369" i="2"/>
  <c r="C5487" i="2"/>
  <c r="C5610" i="2"/>
  <c r="C5717" i="2"/>
  <c r="C5850" i="2"/>
  <c r="C5961" i="2"/>
  <c r="C6072" i="2"/>
  <c r="C6215" i="2"/>
  <c r="C6327" i="2"/>
  <c r="C6439" i="2"/>
  <c r="C6623" i="2"/>
  <c r="C6826" i="2"/>
  <c r="C7155" i="2"/>
  <c r="C7428" i="2"/>
  <c r="C7739" i="2"/>
  <c r="C8127" i="2"/>
  <c r="C8371" i="2"/>
  <c r="C8794" i="2"/>
  <c r="C9130" i="2"/>
  <c r="C9538" i="2"/>
  <c r="C10231" i="2"/>
  <c r="C10645" i="2"/>
  <c r="C49" i="2"/>
  <c r="C94" i="2"/>
  <c r="C136" i="2"/>
  <c r="C188" i="2"/>
  <c r="C242" i="2"/>
  <c r="C294" i="2"/>
  <c r="C344" i="2"/>
  <c r="C395" i="2"/>
  <c r="C439" i="2"/>
  <c r="C489" i="2"/>
  <c r="C545" i="2"/>
  <c r="C599" i="2"/>
  <c r="C651" i="2"/>
  <c r="C700" i="2"/>
  <c r="C744" i="2"/>
  <c r="C796" i="2"/>
  <c r="C849" i="2"/>
  <c r="C900" i="2"/>
  <c r="C954" i="2"/>
  <c r="C1006" i="2"/>
  <c r="C1050" i="2"/>
  <c r="C1103" i="2"/>
  <c r="C1162" i="2"/>
  <c r="C1218" i="2"/>
  <c r="C1275" i="2"/>
  <c r="C1327" i="2"/>
  <c r="C1380" i="2"/>
  <c r="C1441" i="2"/>
  <c r="C1499" i="2"/>
  <c r="C1559" i="2"/>
  <c r="C1617" i="2"/>
  <c r="C1682" i="2"/>
  <c r="C1733" i="2"/>
  <c r="C1798" i="2"/>
  <c r="C1859" i="2"/>
  <c r="C1921" i="2"/>
  <c r="C2004" i="2"/>
  <c r="C2066" i="2"/>
  <c r="C2132" i="2"/>
  <c r="C2209" i="2"/>
  <c r="C2274" i="2"/>
  <c r="C2337" i="2"/>
  <c r="C2410" i="2"/>
  <c r="C2478" i="2"/>
  <c r="C2541" i="2"/>
  <c r="C2634" i="2"/>
  <c r="C2705" i="2"/>
  <c r="C2773" i="2"/>
  <c r="C2852" i="2"/>
  <c r="C2919" i="2"/>
  <c r="C2993" i="2"/>
  <c r="C3080" i="2"/>
  <c r="C3151" i="2"/>
  <c r="C3241" i="2"/>
  <c r="C3347" i="2"/>
  <c r="C3422" i="2"/>
  <c r="C3513" i="2"/>
  <c r="C3606" i="2"/>
  <c r="C3691" i="2"/>
  <c r="C3774" i="2"/>
  <c r="C3893" i="2"/>
  <c r="C3975" i="2"/>
  <c r="C4058" i="2"/>
  <c r="C4157" i="2"/>
  <c r="C4252" i="2"/>
  <c r="C4364" i="2"/>
  <c r="C4483" i="2"/>
  <c r="C4585" i="2"/>
  <c r="C4699" i="2"/>
  <c r="C4806" i="2"/>
  <c r="C4918" i="2"/>
  <c r="C5023" i="2"/>
  <c r="C5144" i="2"/>
  <c r="C5266" i="2"/>
  <c r="C5373" i="2"/>
  <c r="C5499" i="2"/>
  <c r="C5616" i="2"/>
  <c r="C5719" i="2"/>
  <c r="C5855" i="2"/>
  <c r="C5963" i="2"/>
  <c r="C6077" i="2"/>
  <c r="C6222" i="2"/>
  <c r="C6330" i="2"/>
  <c r="C6441" i="2"/>
  <c r="C6625" i="2"/>
  <c r="C6839" i="2"/>
  <c r="C7181" i="2"/>
  <c r="C7513" i="2"/>
  <c r="C7742" i="2"/>
  <c r="C8146" i="2"/>
  <c r="C8372" i="2"/>
  <c r="C8804" i="2"/>
  <c r="C9178" i="2"/>
  <c r="C9563" i="2"/>
  <c r="C10232" i="2"/>
  <c r="C10666" i="2"/>
  <c r="C2" i="2"/>
  <c r="C50" i="2"/>
  <c r="C99" i="2"/>
  <c r="C143" i="2"/>
  <c r="C197" i="2"/>
  <c r="C243" i="2"/>
  <c r="C295" i="2"/>
  <c r="C345" i="2"/>
  <c r="C398" i="2"/>
  <c r="C449" i="2"/>
  <c r="C490" i="2"/>
  <c r="C550" i="2"/>
  <c r="C600" i="2"/>
  <c r="C652" i="2"/>
  <c r="C705" i="2"/>
  <c r="C753" i="2"/>
  <c r="C797" i="2"/>
  <c r="C851" i="2"/>
  <c r="C905" i="2"/>
  <c r="C958" i="2"/>
  <c r="C1010" i="2"/>
  <c r="C1062" i="2"/>
  <c r="C1108" i="2"/>
  <c r="C1163" i="2"/>
  <c r="C1219" i="2"/>
  <c r="C1277" i="2"/>
  <c r="C1334" i="2"/>
  <c r="C1390" i="2"/>
  <c r="C1442" i="2"/>
  <c r="C1500" i="2"/>
  <c r="C1560" i="2"/>
  <c r="C1625" i="2"/>
  <c r="C1687" i="2"/>
  <c r="C1745" i="2"/>
  <c r="C1799" i="2"/>
  <c r="C1861" i="2"/>
  <c r="C1924" i="2"/>
  <c r="C2006" i="2"/>
  <c r="C2071" i="2"/>
  <c r="C2138" i="2"/>
  <c r="C2210" i="2"/>
  <c r="C2277" i="2"/>
  <c r="C2342" i="2"/>
  <c r="C2411" i="2"/>
  <c r="C2479" i="2"/>
  <c r="C2546" i="2"/>
  <c r="C2635" i="2"/>
  <c r="C2706" i="2"/>
  <c r="C2774" i="2"/>
  <c r="C2853" i="2"/>
  <c r="C2924" i="2"/>
  <c r="C2994" i="2"/>
  <c r="C3082" i="2"/>
  <c r="C3162" i="2"/>
  <c r="C3244" i="2"/>
  <c r="C3348" i="2"/>
  <c r="C3429" i="2"/>
  <c r="C3514" i="2"/>
  <c r="C3614" i="2"/>
  <c r="C3692" i="2"/>
  <c r="C3782" i="2"/>
  <c r="C3896" i="2"/>
  <c r="C3978" i="2"/>
  <c r="C4067" i="2"/>
  <c r="C4159" i="2"/>
  <c r="C4260" i="2"/>
  <c r="C4378" i="2"/>
  <c r="C4488" i="2"/>
  <c r="C4596" i="2"/>
  <c r="C4701" i="2"/>
  <c r="C4811" i="2"/>
  <c r="C4932" i="2"/>
  <c r="C5030" i="2"/>
  <c r="C5153" i="2"/>
  <c r="C5268" i="2"/>
  <c r="C5375" i="2"/>
  <c r="C5516" i="2"/>
  <c r="C5618" i="2"/>
  <c r="C5720" i="2"/>
  <c r="C5856" i="2"/>
  <c r="C5965" i="2"/>
  <c r="C6078" i="2"/>
  <c r="C6224" i="2"/>
  <c r="C6332" i="2"/>
  <c r="C6443" i="2"/>
  <c r="C6631" i="2"/>
  <c r="C6880" i="2"/>
  <c r="C7199" i="2"/>
  <c r="C7521" i="2"/>
  <c r="C7746" i="2"/>
  <c r="C8148" i="2"/>
  <c r="C8436" i="2"/>
  <c r="C8807" i="2"/>
  <c r="C9240" i="2"/>
  <c r="C9568" i="2"/>
  <c r="C10243" i="2"/>
  <c r="C10773" i="2"/>
  <c r="C4" i="2"/>
  <c r="C51" i="2"/>
  <c r="C100" i="2"/>
  <c r="C150" i="2"/>
  <c r="C199" i="2"/>
  <c r="C244" i="2"/>
  <c r="C296" i="2"/>
  <c r="C348" i="2"/>
  <c r="C403" i="2"/>
  <c r="C452" i="2"/>
  <c r="C504" i="2"/>
  <c r="C551" i="2"/>
  <c r="C603" i="2"/>
  <c r="C653" i="2"/>
  <c r="C706" i="2"/>
  <c r="C755" i="2"/>
  <c r="C799" i="2"/>
  <c r="C853" i="2"/>
  <c r="C906" i="2"/>
  <c r="C961" i="2"/>
  <c r="C1013" i="2"/>
  <c r="C1064" i="2"/>
  <c r="C1112" i="2"/>
  <c r="C1167" i="2"/>
  <c r="C1222" i="2"/>
  <c r="C1278" i="2"/>
  <c r="C1335" i="2"/>
  <c r="C1393" i="2"/>
  <c r="C1443" i="2"/>
  <c r="C1502" i="2"/>
  <c r="C1564" i="2"/>
  <c r="C1628" i="2"/>
  <c r="C1691" i="2"/>
  <c r="C1750" i="2"/>
  <c r="C1800" i="2"/>
  <c r="C1862" i="2"/>
  <c r="C1946" i="2"/>
  <c r="C2011" i="2"/>
  <c r="C2074" i="2"/>
  <c r="C2149" i="2"/>
  <c r="C2211" i="2"/>
  <c r="C2278" i="2"/>
  <c r="C2357" i="2"/>
  <c r="C2424" i="2"/>
  <c r="C2487" i="2"/>
  <c r="C2569" i="2"/>
  <c r="C2636" i="2"/>
  <c r="C2710" i="2"/>
  <c r="C2790" i="2"/>
  <c r="C2856" i="2"/>
  <c r="C2926" i="2"/>
  <c r="C3016" i="2"/>
  <c r="C3084" i="2"/>
  <c r="C3169" i="2"/>
  <c r="C3261" i="2"/>
  <c r="C3349" i="2"/>
  <c r="C3432" i="2"/>
  <c r="C3535" i="2"/>
  <c r="C3625" i="2"/>
  <c r="C3708" i="2"/>
  <c r="C3806" i="2"/>
  <c r="C3897" i="2"/>
  <c r="C3980" i="2"/>
  <c r="C4076" i="2"/>
  <c r="C4167" i="2"/>
  <c r="C4275" i="2"/>
  <c r="C4389" i="2"/>
  <c r="C4490" i="2"/>
  <c r="C4604" i="2"/>
  <c r="C4718" i="2"/>
  <c r="C4828" i="2"/>
  <c r="C4933" i="2"/>
  <c r="C5045" i="2"/>
  <c r="C5168" i="2"/>
  <c r="C5273" i="2"/>
  <c r="C5406" i="2"/>
  <c r="C5521" i="2"/>
  <c r="C5622" i="2"/>
  <c r="C5755" i="2"/>
  <c r="C5863" i="2"/>
  <c r="C5967" i="2"/>
  <c r="C6117" i="2"/>
  <c r="C6228" i="2"/>
  <c r="C6341" i="2"/>
  <c r="C6489" i="2"/>
  <c r="C6636" i="2"/>
  <c r="C6939" i="2"/>
  <c r="C7224" i="2"/>
  <c r="C7529" i="2"/>
  <c r="C7748" i="2"/>
  <c r="C8155" i="2"/>
  <c r="C8487" i="2"/>
  <c r="C8823" i="2"/>
  <c r="C9242" i="2"/>
  <c r="C9575" i="2"/>
  <c r="C10245" i="2"/>
  <c r="C10889" i="2"/>
  <c r="C5" i="2"/>
  <c r="C52" i="2"/>
  <c r="C101" i="2"/>
  <c r="C152" i="2"/>
  <c r="C205" i="2"/>
  <c r="C253" i="2"/>
  <c r="C297" i="2"/>
  <c r="C350" i="2"/>
  <c r="C404" i="2"/>
  <c r="C454" i="2"/>
  <c r="C509" i="2"/>
  <c r="C558" i="2"/>
  <c r="C604" i="2"/>
  <c r="C654" i="2"/>
  <c r="C707" i="2"/>
  <c r="C759" i="2"/>
  <c r="C807" i="2"/>
  <c r="C863" i="2"/>
  <c r="C908" i="2"/>
  <c r="C962" i="2"/>
  <c r="C1014" i="2"/>
  <c r="C1066" i="2"/>
  <c r="C1119" i="2"/>
  <c r="C1169" i="2"/>
  <c r="C1226" i="2"/>
  <c r="C1281" i="2"/>
  <c r="C1336" i="2"/>
  <c r="C1396" i="2"/>
  <c r="C1453" i="2"/>
  <c r="C1507" i="2"/>
  <c r="C1567" i="2"/>
  <c r="C1633" i="2"/>
  <c r="C1692" i="2"/>
  <c r="C1752" i="2"/>
  <c r="C1810" i="2"/>
  <c r="C1863" i="2"/>
  <c r="C1947" i="2"/>
  <c r="C2012" i="2"/>
  <c r="C2079" i="2"/>
  <c r="C2151" i="2"/>
  <c r="C2212" i="2"/>
  <c r="C2279" i="2"/>
  <c r="C2363" i="2"/>
  <c r="C2426" i="2"/>
  <c r="C2489" i="2"/>
  <c r="C2570" i="2"/>
  <c r="C2638" i="2"/>
  <c r="C2711" i="2"/>
  <c r="C2791" i="2"/>
  <c r="C2857" i="2"/>
  <c r="C2929" i="2"/>
  <c r="C3021" i="2"/>
  <c r="C3085" i="2"/>
  <c r="C3171" i="2"/>
  <c r="C3263" i="2"/>
  <c r="C3350" i="2"/>
  <c r="C3434" i="2"/>
  <c r="C3545" i="2"/>
  <c r="C3627" i="2"/>
  <c r="C3713" i="2"/>
  <c r="C3807" i="2"/>
  <c r="C3898" i="2"/>
  <c r="C3981" i="2"/>
  <c r="C4077" i="2"/>
  <c r="C4169" i="2"/>
  <c r="C4284" i="2"/>
  <c r="C4390" i="2"/>
  <c r="C4502" i="2"/>
  <c r="C4614" i="2"/>
  <c r="C4721" i="2"/>
  <c r="C4836" i="2"/>
  <c r="C4936" i="2"/>
  <c r="C5054" i="2"/>
  <c r="C5173" i="2"/>
  <c r="C5276" i="2"/>
  <c r="C5412" i="2"/>
  <c r="C5522" i="2"/>
  <c r="C5629" i="2"/>
  <c r="C5764" i="2"/>
  <c r="C5865" i="2"/>
  <c r="C5972" i="2"/>
  <c r="C6119" i="2"/>
  <c r="C6232" i="2"/>
  <c r="C6343" i="2"/>
  <c r="C6494" i="2"/>
  <c r="C6646" i="2"/>
  <c r="C6944" i="2"/>
  <c r="C7227" i="2"/>
  <c r="C7531" i="2"/>
  <c r="C7817" i="2"/>
  <c r="C8158" i="2"/>
  <c r="C8548" i="2"/>
  <c r="C8827" i="2"/>
  <c r="C9247" i="2"/>
  <c r="C9687" i="2"/>
  <c r="C10249" i="2"/>
  <c r="C11018" i="2"/>
  <c r="C513" i="2"/>
  <c r="C562" i="2"/>
  <c r="C605" i="2"/>
  <c r="C658" i="2"/>
  <c r="C708" i="2"/>
  <c r="C760" i="2"/>
  <c r="C817" i="2"/>
  <c r="C869" i="2"/>
  <c r="C913" i="2"/>
  <c r="C963" i="2"/>
  <c r="C1015" i="2"/>
  <c r="C1069" i="2"/>
  <c r="C1122" i="2"/>
  <c r="C1178" i="2"/>
  <c r="C1227" i="2"/>
  <c r="C1284" i="2"/>
  <c r="C1337" i="2"/>
  <c r="C1401" i="2"/>
  <c r="C1460" i="2"/>
  <c r="C1508" i="2"/>
  <c r="C1572" i="2"/>
  <c r="C1634" i="2"/>
  <c r="C1694" i="2"/>
  <c r="C1753" i="2"/>
  <c r="C1812" i="2"/>
  <c r="C1870" i="2"/>
  <c r="C1949" i="2"/>
  <c r="C2014" i="2"/>
  <c r="C2081" i="2"/>
  <c r="C2152" i="2"/>
  <c r="C2216" i="2"/>
  <c r="C2283" i="2"/>
  <c r="C2365" i="2"/>
  <c r="C2430" i="2"/>
  <c r="C2492" i="2"/>
  <c r="C2574" i="2"/>
  <c r="C2644" i="2"/>
  <c r="C2714" i="2"/>
  <c r="C2799" i="2"/>
  <c r="C2870" i="2"/>
  <c r="C2938" i="2"/>
  <c r="C3023" i="2"/>
  <c r="C3090" i="2"/>
  <c r="C3172" i="2"/>
  <c r="C3269" i="2"/>
  <c r="C3351" i="2"/>
  <c r="C3438" i="2"/>
  <c r="C3553" i="2"/>
  <c r="C3629" i="2"/>
  <c r="C3721" i="2"/>
  <c r="C3814" i="2"/>
  <c r="C3899" i="2"/>
  <c r="C3982" i="2"/>
  <c r="C4088" i="2"/>
  <c r="C4179" i="2"/>
  <c r="C4285" i="2"/>
  <c r="C4395" i="2"/>
  <c r="C4517" i="2"/>
  <c r="C4616" i="2"/>
  <c r="C4733" i="2"/>
  <c r="C4837" i="2"/>
  <c r="C4937" i="2"/>
  <c r="C5073" i="2"/>
  <c r="C5175" i="2"/>
  <c r="C5277" i="2"/>
  <c r="C5413" i="2"/>
  <c r="C5524" i="2"/>
  <c r="C5630" i="2"/>
  <c r="C5766" i="2"/>
  <c r="C5866" i="2"/>
  <c r="C5973" i="2"/>
  <c r="C6120" i="2"/>
  <c r="C6233" i="2"/>
  <c r="C6350" i="2"/>
  <c r="C6498" i="2"/>
  <c r="C6651" i="2"/>
  <c r="C6976" i="2"/>
  <c r="C7230" i="2"/>
  <c r="C7533" i="2"/>
  <c r="C7866" i="2"/>
  <c r="C8159" i="2"/>
  <c r="C8560" i="2"/>
  <c r="C8831" i="2"/>
  <c r="C9266" i="2"/>
  <c r="C9759" i="2"/>
  <c r="C10250" i="2"/>
  <c r="C11021" i="2"/>
  <c r="C514" i="2"/>
  <c r="C564" i="2"/>
  <c r="C614" i="2"/>
  <c r="C659" i="2"/>
  <c r="C709" i="2"/>
  <c r="C762" i="2"/>
  <c r="C819" i="2"/>
  <c r="C871" i="2"/>
  <c r="C919" i="2"/>
  <c r="C964" i="2"/>
  <c r="C1016" i="2"/>
  <c r="C1070" i="2"/>
  <c r="C1124" i="2"/>
  <c r="C1187" i="2"/>
  <c r="C1237" i="2"/>
  <c r="C1285" i="2"/>
  <c r="C1341" i="2"/>
  <c r="C1403" i="2"/>
  <c r="C1462" i="2"/>
  <c r="C1519" i="2"/>
  <c r="C1585" i="2"/>
  <c r="C1635" i="2"/>
  <c r="C1695" i="2"/>
  <c r="C1754" i="2"/>
  <c r="C1817" i="2"/>
  <c r="C1879" i="2"/>
  <c r="C1954" i="2"/>
  <c r="C2015" i="2"/>
  <c r="C2083" i="2"/>
  <c r="C2153" i="2"/>
  <c r="C2219" i="2"/>
  <c r="C2284" i="2"/>
  <c r="C2367" i="2"/>
  <c r="C2431" i="2"/>
  <c r="C2498" i="2"/>
  <c r="C2575" i="2"/>
  <c r="C2647" i="2"/>
  <c r="C2715" i="2"/>
  <c r="C2802" i="2"/>
  <c r="C2875" i="2"/>
  <c r="C2943" i="2"/>
  <c r="C3025" i="2"/>
  <c r="C3092" i="2"/>
  <c r="C3173" i="2"/>
  <c r="C3272" i="2"/>
  <c r="C3354" i="2"/>
  <c r="C3443" i="2"/>
  <c r="C3555" i="2"/>
  <c r="C3636" i="2"/>
  <c r="C3722" i="2"/>
  <c r="C3817" i="2"/>
  <c r="C3900" i="2"/>
  <c r="C3990" i="2"/>
  <c r="C4100" i="2"/>
  <c r="C4190" i="2"/>
  <c r="C4286" i="2"/>
  <c r="C4411" i="2"/>
  <c r="C4521" i="2"/>
  <c r="C4618" i="2"/>
  <c r="C4743" i="2"/>
  <c r="C4842" i="2"/>
  <c r="C4939" i="2"/>
  <c r="C5076" i="2"/>
  <c r="C5180" i="2"/>
  <c r="C5280" i="2"/>
  <c r="C5420" i="2"/>
  <c r="C5525" i="2"/>
  <c r="C5631" i="2"/>
  <c r="C5768" i="2"/>
  <c r="C5874" i="2"/>
  <c r="C5975" i="2"/>
  <c r="C6125" i="2"/>
  <c r="C6236" i="2"/>
  <c r="C6363" i="2"/>
  <c r="C6501" i="2"/>
  <c r="C6689" i="2"/>
  <c r="C7007" i="2"/>
  <c r="C7235" i="2"/>
  <c r="C7534" i="2"/>
  <c r="C7923" i="2"/>
  <c r="C8162" i="2"/>
  <c r="C8562" i="2"/>
  <c r="C8896" i="2"/>
  <c r="C9277" i="2"/>
  <c r="C9860" i="2"/>
  <c r="C10289" i="2"/>
  <c r="C11038" i="2"/>
  <c r="C11022" i="2"/>
  <c r="C11006" i="2"/>
  <c r="C10990" i="2"/>
  <c r="C10974" i="2"/>
  <c r="C10958" i="2"/>
  <c r="C10942" i="2"/>
  <c r="C10926" i="2"/>
  <c r="C10910" i="2"/>
  <c r="C10894" i="2"/>
  <c r="C10878" i="2"/>
  <c r="C10862" i="2"/>
  <c r="C10846" i="2"/>
  <c r="C10830" i="2"/>
  <c r="C10814" i="2"/>
  <c r="C10798" i="2"/>
  <c r="C10782" i="2"/>
  <c r="C10766" i="2"/>
  <c r="C10750" i="2"/>
  <c r="C10734" i="2"/>
  <c r="C10718" i="2"/>
  <c r="C10702" i="2"/>
  <c r="C10686" i="2"/>
  <c r="C10670" i="2"/>
  <c r="C10654" i="2"/>
  <c r="C10638" i="2"/>
  <c r="C10622" i="2"/>
  <c r="C10606" i="2"/>
  <c r="C10590" i="2"/>
  <c r="C10574" i="2"/>
  <c r="C10558" i="2"/>
  <c r="C10542" i="2"/>
  <c r="C10526" i="2"/>
  <c r="C10510" i="2"/>
  <c r="C10494" i="2"/>
  <c r="C10478" i="2"/>
  <c r="C10462" i="2"/>
  <c r="C10446" i="2"/>
  <c r="C10430" i="2"/>
  <c r="C10414" i="2"/>
  <c r="C10398" i="2"/>
  <c r="C10382" i="2"/>
  <c r="C10366" i="2"/>
  <c r="C10350" i="2"/>
  <c r="C10334" i="2"/>
  <c r="C10318" i="2"/>
  <c r="C10302" i="2"/>
  <c r="C10286" i="2"/>
  <c r="C10270" i="2"/>
  <c r="C10254" i="2"/>
  <c r="C10238" i="2"/>
  <c r="C10222" i="2"/>
  <c r="C10206" i="2"/>
  <c r="C10190" i="2"/>
  <c r="C10174" i="2"/>
  <c r="C10158" i="2"/>
  <c r="C10142" i="2"/>
  <c r="C10126" i="2"/>
  <c r="C10110" i="2"/>
  <c r="C10094" i="2"/>
  <c r="C10078" i="2"/>
  <c r="C10062" i="2"/>
  <c r="C10046" i="2"/>
  <c r="C10030" i="2"/>
  <c r="C10014" i="2"/>
  <c r="C9998" i="2"/>
  <c r="C9982" i="2"/>
  <c r="C9966" i="2"/>
  <c r="C9950" i="2"/>
  <c r="C9934" i="2"/>
  <c r="C9918" i="2"/>
  <c r="C9902" i="2"/>
  <c r="C9886" i="2"/>
  <c r="C9870" i="2"/>
  <c r="C9854" i="2"/>
  <c r="C9838" i="2"/>
  <c r="C9822" i="2"/>
  <c r="C9806" i="2"/>
  <c r="C9790" i="2"/>
  <c r="C9774" i="2"/>
  <c r="C9758" i="2"/>
  <c r="C9742" i="2"/>
  <c r="C9726" i="2"/>
  <c r="C9710" i="2"/>
  <c r="C9694" i="2"/>
  <c r="C9678" i="2"/>
  <c r="C9662" i="2"/>
  <c r="C9646" i="2"/>
  <c r="C9630" i="2"/>
  <c r="C9614" i="2"/>
  <c r="C9598" i="2"/>
  <c r="C9582" i="2"/>
  <c r="C9566" i="2"/>
  <c r="C9550" i="2"/>
  <c r="C9534" i="2"/>
  <c r="C9518" i="2"/>
  <c r="C9502" i="2"/>
  <c r="C9486" i="2"/>
  <c r="C9470" i="2"/>
  <c r="C9454" i="2"/>
  <c r="C9438" i="2"/>
  <c r="C9422" i="2"/>
  <c r="C9406" i="2"/>
  <c r="C9390" i="2"/>
  <c r="C9374" i="2"/>
  <c r="C9358" i="2"/>
  <c r="C9342" i="2"/>
  <c r="C9326" i="2"/>
  <c r="C9310" i="2"/>
  <c r="C9294" i="2"/>
  <c r="C9278" i="2"/>
  <c r="C9262" i="2"/>
  <c r="C9246" i="2"/>
  <c r="C9230" i="2"/>
  <c r="C9214" i="2"/>
  <c r="C9198" i="2"/>
  <c r="C9182" i="2"/>
  <c r="C9166" i="2"/>
  <c r="C9150" i="2"/>
  <c r="C9134" i="2"/>
  <c r="C9118" i="2"/>
  <c r="C9102" i="2"/>
  <c r="C9086" i="2"/>
  <c r="C9070" i="2"/>
  <c r="C9054" i="2"/>
  <c r="C9038" i="2"/>
  <c r="C9022" i="2"/>
  <c r="C9006" i="2"/>
  <c r="C8990" i="2"/>
  <c r="C8974" i="2"/>
  <c r="C8958" i="2"/>
  <c r="C8942" i="2"/>
  <c r="C8926" i="2"/>
  <c r="C8910" i="2"/>
  <c r="C8894" i="2"/>
  <c r="C8878" i="2"/>
  <c r="C8862" i="2"/>
  <c r="C8846" i="2"/>
  <c r="C8830" i="2"/>
  <c r="C8814" i="2"/>
  <c r="C8798" i="2"/>
  <c r="C8782" i="2"/>
  <c r="C8766" i="2"/>
  <c r="C8750" i="2"/>
  <c r="C8734" i="2"/>
  <c r="C8718" i="2"/>
  <c r="C8702" i="2"/>
  <c r="C8686" i="2"/>
  <c r="C8670" i="2"/>
  <c r="C8654" i="2"/>
  <c r="C8638" i="2"/>
  <c r="C8622" i="2"/>
  <c r="C8606" i="2"/>
  <c r="C8590" i="2"/>
  <c r="C8574" i="2"/>
  <c r="C8558" i="2"/>
  <c r="C8542" i="2"/>
  <c r="C8526" i="2"/>
  <c r="C8510" i="2"/>
  <c r="C8494" i="2"/>
  <c r="C8478" i="2"/>
  <c r="C8462" i="2"/>
  <c r="C8446" i="2"/>
  <c r="C8430" i="2"/>
  <c r="C8414" i="2"/>
  <c r="C8398" i="2"/>
  <c r="C8382" i="2"/>
  <c r="C11052" i="2"/>
  <c r="C11036" i="2"/>
  <c r="C11020" i="2"/>
  <c r="C11004" i="2"/>
  <c r="C10988" i="2"/>
  <c r="C10972" i="2"/>
  <c r="C10956" i="2"/>
  <c r="C10940" i="2"/>
  <c r="C10924" i="2"/>
  <c r="C10908" i="2"/>
  <c r="C10892" i="2"/>
  <c r="C10876" i="2"/>
  <c r="C10860" i="2"/>
  <c r="C10844" i="2"/>
  <c r="C10828" i="2"/>
  <c r="C10812" i="2"/>
  <c r="C10796" i="2"/>
  <c r="C10780" i="2"/>
  <c r="C10764" i="2"/>
  <c r="C10748" i="2"/>
  <c r="C10732" i="2"/>
  <c r="C10716" i="2"/>
  <c r="C10700" i="2"/>
  <c r="C10684" i="2"/>
  <c r="C10668" i="2"/>
  <c r="C10652" i="2"/>
  <c r="C10636" i="2"/>
  <c r="C10620" i="2"/>
  <c r="C10604" i="2"/>
  <c r="C10588" i="2"/>
  <c r="C10572" i="2"/>
  <c r="C10556" i="2"/>
  <c r="C10540" i="2"/>
  <c r="C10524" i="2"/>
  <c r="C10508" i="2"/>
  <c r="C10492" i="2"/>
  <c r="C10476" i="2"/>
  <c r="C10460" i="2"/>
  <c r="C10444" i="2"/>
  <c r="C10428" i="2"/>
  <c r="C10412" i="2"/>
  <c r="C10396" i="2"/>
  <c r="C10380" i="2"/>
  <c r="C10364" i="2"/>
  <c r="C10348" i="2"/>
  <c r="C10332" i="2"/>
  <c r="C10316" i="2"/>
  <c r="C10300" i="2"/>
  <c r="C10284" i="2"/>
  <c r="C10268" i="2"/>
  <c r="C10252" i="2"/>
  <c r="C10236" i="2"/>
  <c r="C10220" i="2"/>
  <c r="C10204" i="2"/>
  <c r="C10188" i="2"/>
  <c r="C10172" i="2"/>
  <c r="C10156" i="2"/>
  <c r="C10140" i="2"/>
  <c r="C10124" i="2"/>
  <c r="C10108" i="2"/>
  <c r="C10092" i="2"/>
  <c r="C10076" i="2"/>
  <c r="C10060" i="2"/>
  <c r="C10044" i="2"/>
  <c r="C10028" i="2"/>
  <c r="C10012" i="2"/>
  <c r="C9996" i="2"/>
  <c r="C9980" i="2"/>
  <c r="C9964" i="2"/>
  <c r="C9948" i="2"/>
  <c r="C9932" i="2"/>
  <c r="C9916" i="2"/>
  <c r="C9900" i="2"/>
  <c r="C9884" i="2"/>
  <c r="C9868" i="2"/>
  <c r="C9852" i="2"/>
  <c r="C9836" i="2"/>
  <c r="C9820" i="2"/>
  <c r="C9804" i="2"/>
  <c r="C9788" i="2"/>
  <c r="C9772" i="2"/>
  <c r="C9756" i="2"/>
  <c r="C9740" i="2"/>
  <c r="C9724" i="2"/>
  <c r="C9708" i="2"/>
  <c r="C9692" i="2"/>
  <c r="C9676" i="2"/>
  <c r="C9660" i="2"/>
  <c r="C9644" i="2"/>
  <c r="C9628" i="2"/>
  <c r="C9612" i="2"/>
  <c r="C9596" i="2"/>
  <c r="C9580" i="2"/>
  <c r="C9564" i="2"/>
  <c r="C9548" i="2"/>
  <c r="C9532" i="2"/>
  <c r="C9516" i="2"/>
  <c r="C9500" i="2"/>
  <c r="C9484" i="2"/>
  <c r="C9468" i="2"/>
  <c r="C9452" i="2"/>
  <c r="C9436" i="2"/>
  <c r="C9420" i="2"/>
  <c r="C9404" i="2"/>
  <c r="C9388" i="2"/>
  <c r="C9372" i="2"/>
  <c r="C9356" i="2"/>
  <c r="C9340" i="2"/>
  <c r="C9324" i="2"/>
  <c r="C9308" i="2"/>
  <c r="C9292" i="2"/>
  <c r="C9276" i="2"/>
  <c r="C9260" i="2"/>
  <c r="C9244" i="2"/>
  <c r="C9228" i="2"/>
  <c r="C9212" i="2"/>
  <c r="C9196" i="2"/>
  <c r="C9180" i="2"/>
  <c r="C9164" i="2"/>
  <c r="C9148" i="2"/>
  <c r="C9132" i="2"/>
  <c r="C9116" i="2"/>
  <c r="C9100" i="2"/>
  <c r="C9084" i="2"/>
  <c r="C9068" i="2"/>
  <c r="C9052" i="2"/>
  <c r="C9036" i="2"/>
  <c r="C9020" i="2"/>
  <c r="C9004" i="2"/>
  <c r="C8988" i="2"/>
  <c r="C8972" i="2"/>
  <c r="C8956" i="2"/>
  <c r="C8940" i="2"/>
  <c r="C8924" i="2"/>
  <c r="C8908" i="2"/>
  <c r="C8892" i="2"/>
  <c r="C8876" i="2"/>
  <c r="C8860" i="2"/>
  <c r="C8844" i="2"/>
  <c r="C8828" i="2"/>
  <c r="C8812" i="2"/>
  <c r="C8796" i="2"/>
  <c r="C8780" i="2"/>
  <c r="C8764" i="2"/>
  <c r="C8748" i="2"/>
  <c r="C8732" i="2"/>
  <c r="C8716" i="2"/>
  <c r="C8700" i="2"/>
  <c r="C8684" i="2"/>
  <c r="C8668" i="2"/>
  <c r="C8652" i="2"/>
  <c r="C8636" i="2"/>
  <c r="C8620" i="2"/>
  <c r="C8604" i="2"/>
  <c r="C8588" i="2"/>
  <c r="C8572" i="2"/>
  <c r="C8556" i="2"/>
  <c r="C8540" i="2"/>
  <c r="C8524" i="2"/>
  <c r="C8508" i="2"/>
  <c r="C8492" i="2"/>
  <c r="C8476" i="2"/>
  <c r="C8460" i="2"/>
  <c r="C8444" i="2"/>
  <c r="C8428" i="2"/>
  <c r="C8412" i="2"/>
  <c r="C8396" i="2"/>
  <c r="C8380" i="2"/>
  <c r="C8364" i="2"/>
  <c r="C8348" i="2"/>
  <c r="C8332" i="2"/>
  <c r="C8316" i="2"/>
  <c r="C8300" i="2"/>
  <c r="C8284" i="2"/>
  <c r="C8268" i="2"/>
  <c r="C8252" i="2"/>
  <c r="C8236" i="2"/>
  <c r="C8220" i="2"/>
  <c r="C8204" i="2"/>
  <c r="C8188" i="2"/>
  <c r="C8172" i="2"/>
  <c r="C8156" i="2"/>
  <c r="C8140" i="2"/>
  <c r="C8124" i="2"/>
  <c r="C8108" i="2"/>
  <c r="C8092" i="2"/>
  <c r="C8076" i="2"/>
  <c r="C8060" i="2"/>
  <c r="C8044" i="2"/>
  <c r="C8028" i="2"/>
  <c r="C8012" i="2"/>
  <c r="C7996" i="2"/>
  <c r="C7980" i="2"/>
  <c r="C7964" i="2"/>
  <c r="C7948" i="2"/>
  <c r="C7932" i="2"/>
  <c r="C7916" i="2"/>
  <c r="C7900" i="2"/>
  <c r="C7884" i="2"/>
  <c r="C7868" i="2"/>
  <c r="C7852" i="2"/>
  <c r="C7836" i="2"/>
  <c r="C7820" i="2"/>
  <c r="C7804" i="2"/>
  <c r="C7788" i="2"/>
  <c r="C7772" i="2"/>
  <c r="C7756" i="2"/>
  <c r="C7740" i="2"/>
  <c r="C7724" i="2"/>
  <c r="C7708" i="2"/>
  <c r="C7692" i="2"/>
  <c r="C7676" i="2"/>
  <c r="C7660" i="2"/>
  <c r="C7644" i="2"/>
  <c r="C7628" i="2"/>
  <c r="C7612" i="2"/>
  <c r="C7596" i="2"/>
  <c r="C7580" i="2"/>
  <c r="C7564" i="2"/>
  <c r="C7548" i="2"/>
  <c r="C7532" i="2"/>
  <c r="C7516" i="2"/>
  <c r="C7500" i="2"/>
  <c r="C7484" i="2"/>
  <c r="C7468" i="2"/>
  <c r="C7452" i="2"/>
  <c r="C7436" i="2"/>
  <c r="C7420" i="2"/>
  <c r="C7404" i="2"/>
  <c r="C7388" i="2"/>
  <c r="C7372" i="2"/>
  <c r="C7356" i="2"/>
  <c r="C7340" i="2"/>
  <c r="C7324" i="2"/>
  <c r="C7308" i="2"/>
  <c r="C7292" i="2"/>
  <c r="C7276" i="2"/>
  <c r="C7260" i="2"/>
  <c r="C7244" i="2"/>
  <c r="C7228" i="2"/>
  <c r="C7212" i="2"/>
  <c r="C7196" i="2"/>
  <c r="C7180" i="2"/>
  <c r="C7164" i="2"/>
  <c r="C7148" i="2"/>
  <c r="C7132" i="2"/>
  <c r="C7116" i="2"/>
  <c r="C7100" i="2"/>
  <c r="C7084" i="2"/>
  <c r="C7068" i="2"/>
  <c r="C7052" i="2"/>
  <c r="C7036" i="2"/>
  <c r="C7020" i="2"/>
  <c r="C7004" i="2"/>
  <c r="C6988" i="2"/>
  <c r="C6972" i="2"/>
  <c r="C6956" i="2"/>
  <c r="C6940" i="2"/>
  <c r="C11043" i="2"/>
  <c r="C11025" i="2"/>
  <c r="C11007" i="2"/>
  <c r="C10987" i="2"/>
  <c r="C10969" i="2"/>
  <c r="C10951" i="2"/>
  <c r="C10933" i="2"/>
  <c r="C10915" i="2"/>
  <c r="C10897" i="2"/>
  <c r="C10879" i="2"/>
  <c r="C10859" i="2"/>
  <c r="C10841" i="2"/>
  <c r="C10823" i="2"/>
  <c r="C10805" i="2"/>
  <c r="C10787" i="2"/>
  <c r="C10769" i="2"/>
  <c r="C10751" i="2"/>
  <c r="C10731" i="2"/>
  <c r="C10713" i="2"/>
  <c r="C10695" i="2"/>
  <c r="C10677" i="2"/>
  <c r="C10659" i="2"/>
  <c r="C10641" i="2"/>
  <c r="C10623" i="2"/>
  <c r="C10603" i="2"/>
  <c r="C10585" i="2"/>
  <c r="C10567" i="2"/>
  <c r="C10549" i="2"/>
  <c r="C10531" i="2"/>
  <c r="C10513" i="2"/>
  <c r="C10495" i="2"/>
  <c r="C10475" i="2"/>
  <c r="C10457" i="2"/>
  <c r="C10439" i="2"/>
  <c r="C10421" i="2"/>
  <c r="C10403" i="2"/>
  <c r="C10385" i="2"/>
  <c r="C10367" i="2"/>
  <c r="C10347" i="2"/>
  <c r="C10329" i="2"/>
  <c r="C10311" i="2"/>
  <c r="C10293" i="2"/>
  <c r="C10275" i="2"/>
  <c r="C10257" i="2"/>
  <c r="C10239" i="2"/>
  <c r="C10219" i="2"/>
  <c r="C10201" i="2"/>
  <c r="C10183" i="2"/>
  <c r="C10165" i="2"/>
  <c r="C10147" i="2"/>
  <c r="C10129" i="2"/>
  <c r="C10111" i="2"/>
  <c r="C10091" i="2"/>
  <c r="C10073" i="2"/>
  <c r="C10055" i="2"/>
  <c r="C10037" i="2"/>
  <c r="C10019" i="2"/>
  <c r="C10001" i="2"/>
  <c r="C9983" i="2"/>
  <c r="C9963" i="2"/>
  <c r="C9945" i="2"/>
  <c r="C9927" i="2"/>
  <c r="C9909" i="2"/>
  <c r="C9891" i="2"/>
  <c r="C9873" i="2"/>
  <c r="C9855" i="2"/>
  <c r="C9835" i="2"/>
  <c r="C9817" i="2"/>
  <c r="C9799" i="2"/>
  <c r="C9781" i="2"/>
  <c r="C9763" i="2"/>
  <c r="C9745" i="2"/>
  <c r="C9727" i="2"/>
  <c r="C9707" i="2"/>
  <c r="C9689" i="2"/>
  <c r="C9671" i="2"/>
  <c r="C9653" i="2"/>
  <c r="C9635" i="2"/>
  <c r="C9617" i="2"/>
  <c r="C9599" i="2"/>
  <c r="C9579" i="2"/>
  <c r="C9561" i="2"/>
  <c r="C11053" i="2"/>
  <c r="C11034" i="2"/>
  <c r="C11016" i="2"/>
  <c r="C10998" i="2"/>
  <c r="C10980" i="2"/>
  <c r="C10962" i="2"/>
  <c r="C10944" i="2"/>
  <c r="C10925" i="2"/>
  <c r="C10906" i="2"/>
  <c r="C10888" i="2"/>
  <c r="C10870" i="2"/>
  <c r="C10852" i="2"/>
  <c r="C10834" i="2"/>
  <c r="C10816" i="2"/>
  <c r="C10797" i="2"/>
  <c r="C10778" i="2"/>
  <c r="C10760" i="2"/>
  <c r="C10742" i="2"/>
  <c r="C10724" i="2"/>
  <c r="C10706" i="2"/>
  <c r="C10688" i="2"/>
  <c r="C10669" i="2"/>
  <c r="C10650" i="2"/>
  <c r="C10632" i="2"/>
  <c r="C10614" i="2"/>
  <c r="C10596" i="2"/>
  <c r="C10578" i="2"/>
  <c r="C10560" i="2"/>
  <c r="C10541" i="2"/>
  <c r="C10522" i="2"/>
  <c r="C10504" i="2"/>
  <c r="C10486" i="2"/>
  <c r="C10468" i="2"/>
  <c r="C10450" i="2"/>
  <c r="C10432" i="2"/>
  <c r="C10413" i="2"/>
  <c r="C10394" i="2"/>
  <c r="C10376" i="2"/>
  <c r="C10358" i="2"/>
  <c r="C10340" i="2"/>
  <c r="C10322" i="2"/>
  <c r="C10304" i="2"/>
  <c r="C10285" i="2"/>
  <c r="C10266" i="2"/>
  <c r="C10248" i="2"/>
  <c r="C10230" i="2"/>
  <c r="C10212" i="2"/>
  <c r="C10194" i="2"/>
  <c r="C10176" i="2"/>
  <c r="C10157" i="2"/>
  <c r="C10138" i="2"/>
  <c r="C10120" i="2"/>
  <c r="C10102" i="2"/>
  <c r="C10084" i="2"/>
  <c r="C10066" i="2"/>
  <c r="C10048" i="2"/>
  <c r="C10029" i="2"/>
  <c r="C10010" i="2"/>
  <c r="C9992" i="2"/>
  <c r="C9974" i="2"/>
  <c r="C9956" i="2"/>
  <c r="C9938" i="2"/>
  <c r="C9920" i="2"/>
  <c r="C9901" i="2"/>
  <c r="C9882" i="2"/>
  <c r="C9864" i="2"/>
  <c r="C9846" i="2"/>
  <c r="C9828" i="2"/>
  <c r="C9810" i="2"/>
  <c r="C9792" i="2"/>
  <c r="C9773" i="2"/>
  <c r="C9754" i="2"/>
  <c r="C9736" i="2"/>
  <c r="C9718" i="2"/>
  <c r="C9700" i="2"/>
  <c r="C9682" i="2"/>
  <c r="C9664" i="2"/>
  <c r="C9645" i="2"/>
  <c r="C9626" i="2"/>
  <c r="C9608" i="2"/>
  <c r="C9590" i="2"/>
  <c r="C9572" i="2"/>
  <c r="C9554" i="2"/>
  <c r="C9536" i="2"/>
  <c r="C11051" i="2"/>
  <c r="C11033" i="2"/>
  <c r="C11015" i="2"/>
  <c r="C10997" i="2"/>
  <c r="C10979" i="2"/>
  <c r="C10961" i="2"/>
  <c r="C10943" i="2"/>
  <c r="C10923" i="2"/>
  <c r="C10905" i="2"/>
  <c r="C10887" i="2"/>
  <c r="C10869" i="2"/>
  <c r="C10851" i="2"/>
  <c r="C10833" i="2"/>
  <c r="C10815" i="2"/>
  <c r="C10795" i="2"/>
  <c r="C10777" i="2"/>
  <c r="C10759" i="2"/>
  <c r="C10741" i="2"/>
  <c r="C10723" i="2"/>
  <c r="C10705" i="2"/>
  <c r="C10687" i="2"/>
  <c r="C10667" i="2"/>
  <c r="C10649" i="2"/>
  <c r="C10631" i="2"/>
  <c r="C10613" i="2"/>
  <c r="C10595" i="2"/>
  <c r="C10577" i="2"/>
  <c r="C10559" i="2"/>
  <c r="C10539" i="2"/>
  <c r="C10521" i="2"/>
  <c r="C10503" i="2"/>
  <c r="C10485" i="2"/>
  <c r="C10467" i="2"/>
  <c r="C10449" i="2"/>
  <c r="C10431" i="2"/>
  <c r="C10411" i="2"/>
  <c r="C10393" i="2"/>
  <c r="C10375" i="2"/>
  <c r="C10357" i="2"/>
  <c r="C10339" i="2"/>
  <c r="C10321" i="2"/>
  <c r="C10303" i="2"/>
  <c r="C10283" i="2"/>
  <c r="C10265" i="2"/>
  <c r="C10247" i="2"/>
  <c r="C10229" i="2"/>
  <c r="C10211" i="2"/>
  <c r="C10193" i="2"/>
  <c r="C10175" i="2"/>
  <c r="C10155" i="2"/>
  <c r="C10137" i="2"/>
  <c r="C10119" i="2"/>
  <c r="C10101" i="2"/>
  <c r="C10083" i="2"/>
  <c r="C10065" i="2"/>
  <c r="C10047" i="2"/>
  <c r="C10027" i="2"/>
  <c r="C10009" i="2"/>
  <c r="C9991" i="2"/>
  <c r="C9973" i="2"/>
  <c r="C9955" i="2"/>
  <c r="C9937" i="2"/>
  <c r="C9919" i="2"/>
  <c r="C9899" i="2"/>
  <c r="C9881" i="2"/>
  <c r="C9863" i="2"/>
  <c r="C9845" i="2"/>
  <c r="C9827" i="2"/>
  <c r="C9809" i="2"/>
  <c r="C9791" i="2"/>
  <c r="C9771" i="2"/>
  <c r="C9753" i="2"/>
  <c r="C9735" i="2"/>
  <c r="C9717" i="2"/>
  <c r="C9699" i="2"/>
  <c r="C9681" i="2"/>
  <c r="C9663" i="2"/>
  <c r="C9643" i="2"/>
  <c r="C9625" i="2"/>
  <c r="C9607" i="2"/>
  <c r="C9589" i="2"/>
  <c r="C9571" i="2"/>
  <c r="C9553" i="2"/>
  <c r="C9535" i="2"/>
  <c r="C9515" i="2"/>
  <c r="C9497" i="2"/>
  <c r="C9479" i="2"/>
  <c r="C9461" i="2"/>
  <c r="C9443" i="2"/>
  <c r="C9425" i="2"/>
  <c r="C9407" i="2"/>
  <c r="C9387" i="2"/>
  <c r="C9369" i="2"/>
  <c r="C9351" i="2"/>
  <c r="C9333" i="2"/>
  <c r="C9315" i="2"/>
  <c r="C9297" i="2"/>
  <c r="C9279" i="2"/>
  <c r="C9259" i="2"/>
  <c r="C9241" i="2"/>
  <c r="C9223" i="2"/>
  <c r="C9205" i="2"/>
  <c r="C9187" i="2"/>
  <c r="C9169" i="2"/>
  <c r="C9151" i="2"/>
  <c r="C9131" i="2"/>
  <c r="C9113" i="2"/>
  <c r="C9095" i="2"/>
  <c r="C9077" i="2"/>
  <c r="C9059" i="2"/>
  <c r="C9041" i="2"/>
  <c r="C9023" i="2"/>
  <c r="C9003" i="2"/>
  <c r="C8985" i="2"/>
  <c r="C8967" i="2"/>
  <c r="C8949" i="2"/>
  <c r="C8931" i="2"/>
  <c r="C8913" i="2"/>
  <c r="C8895" i="2"/>
  <c r="C8875" i="2"/>
  <c r="C8857" i="2"/>
  <c r="C8839" i="2"/>
  <c r="C8821" i="2"/>
  <c r="C8803" i="2"/>
  <c r="C8785" i="2"/>
  <c r="C8767" i="2"/>
  <c r="C8747" i="2"/>
  <c r="C8729" i="2"/>
  <c r="C8711" i="2"/>
  <c r="C8693" i="2"/>
  <c r="C8675" i="2"/>
  <c r="C8657" i="2"/>
  <c r="C8639" i="2"/>
  <c r="C8619" i="2"/>
  <c r="C8601" i="2"/>
  <c r="C8583" i="2"/>
  <c r="C8565" i="2"/>
  <c r="C8547" i="2"/>
  <c r="C8529" i="2"/>
  <c r="C8511" i="2"/>
  <c r="C8491" i="2"/>
  <c r="C8473" i="2"/>
  <c r="C8455" i="2"/>
  <c r="C8437" i="2"/>
  <c r="C8419" i="2"/>
  <c r="C8401" i="2"/>
  <c r="C8383" i="2"/>
  <c r="C8365" i="2"/>
  <c r="C8347" i="2"/>
  <c r="C8330" i="2"/>
  <c r="C8313" i="2"/>
  <c r="C8296" i="2"/>
  <c r="C8279" i="2"/>
  <c r="C8262" i="2"/>
  <c r="C8245" i="2"/>
  <c r="C8228" i="2"/>
  <c r="C8211" i="2"/>
  <c r="C8194" i="2"/>
  <c r="C8177" i="2"/>
  <c r="C8160" i="2"/>
  <c r="C8143" i="2"/>
  <c r="C8126" i="2"/>
  <c r="C8109" i="2"/>
  <c r="C8091" i="2"/>
  <c r="C8074" i="2"/>
  <c r="C8057" i="2"/>
  <c r="C8040" i="2"/>
  <c r="C8023" i="2"/>
  <c r="C8006" i="2"/>
  <c r="C7989" i="2"/>
  <c r="C7972" i="2"/>
  <c r="C7955" i="2"/>
  <c r="C7938" i="2"/>
  <c r="C7921" i="2"/>
  <c r="C7904" i="2"/>
  <c r="C7887" i="2"/>
  <c r="C7870" i="2"/>
  <c r="C7853" i="2"/>
  <c r="C7835" i="2"/>
  <c r="C7818" i="2"/>
  <c r="C7801" i="2"/>
  <c r="C7784" i="2"/>
  <c r="C7767" i="2"/>
  <c r="C7750" i="2"/>
  <c r="C7733" i="2"/>
  <c r="C7716" i="2"/>
  <c r="C7699" i="2"/>
  <c r="C7682" i="2"/>
  <c r="C7665" i="2"/>
  <c r="C7648" i="2"/>
  <c r="C7631" i="2"/>
  <c r="C7614" i="2"/>
  <c r="C7597" i="2"/>
  <c r="C7579" i="2"/>
  <c r="C7562" i="2"/>
  <c r="C7545" i="2"/>
  <c r="C7528" i="2"/>
  <c r="C7511" i="2"/>
  <c r="C7494" i="2"/>
  <c r="C7477" i="2"/>
  <c r="C7460" i="2"/>
  <c r="C7443" i="2"/>
  <c r="C7426" i="2"/>
  <c r="C7409" i="2"/>
  <c r="C7392" i="2"/>
  <c r="C7375" i="2"/>
  <c r="C7358" i="2"/>
  <c r="C7341" i="2"/>
  <c r="C7323" i="2"/>
  <c r="C7306" i="2"/>
  <c r="C7289" i="2"/>
  <c r="C7272" i="2"/>
  <c r="C7255" i="2"/>
  <c r="C7238" i="2"/>
  <c r="C7221" i="2"/>
  <c r="C7204" i="2"/>
  <c r="C7187" i="2"/>
  <c r="C7170" i="2"/>
  <c r="C7153" i="2"/>
  <c r="C7136" i="2"/>
  <c r="C7119" i="2"/>
  <c r="C7102" i="2"/>
  <c r="C7085" i="2"/>
  <c r="C7067" i="2"/>
  <c r="C7050" i="2"/>
  <c r="C7033" i="2"/>
  <c r="C7016" i="2"/>
  <c r="C6999" i="2"/>
  <c r="C6982" i="2"/>
  <c r="C6965" i="2"/>
  <c r="C6948" i="2"/>
  <c r="C6931" i="2"/>
  <c r="C6915" i="2"/>
  <c r="C6899" i="2"/>
  <c r="C6883" i="2"/>
  <c r="C6867" i="2"/>
  <c r="C6851" i="2"/>
  <c r="C6835" i="2"/>
  <c r="C6819" i="2"/>
  <c r="C6803" i="2"/>
  <c r="C6787" i="2"/>
  <c r="C6771" i="2"/>
  <c r="C6755" i="2"/>
  <c r="C6739" i="2"/>
  <c r="C6723" i="2"/>
  <c r="C6707" i="2"/>
  <c r="C6691" i="2"/>
  <c r="C6675" i="2"/>
  <c r="C6659" i="2"/>
  <c r="C6643" i="2"/>
  <c r="C6627" i="2"/>
  <c r="C6611" i="2"/>
  <c r="C6595" i="2"/>
  <c r="C6579" i="2"/>
  <c r="C6563" i="2"/>
  <c r="C6547" i="2"/>
  <c r="C6531" i="2"/>
  <c r="C6515" i="2"/>
  <c r="C6499" i="2"/>
  <c r="C6483" i="2"/>
  <c r="C6467" i="2"/>
  <c r="C6451" i="2"/>
  <c r="C6435" i="2"/>
  <c r="C6419" i="2"/>
  <c r="C6403" i="2"/>
  <c r="C6387" i="2"/>
  <c r="C6371" i="2"/>
  <c r="C6355" i="2"/>
  <c r="C6339" i="2"/>
  <c r="C6323" i="2"/>
  <c r="C6307" i="2"/>
  <c r="C6291" i="2"/>
  <c r="C6275" i="2"/>
  <c r="C6259" i="2"/>
  <c r="C6243" i="2"/>
  <c r="C6227" i="2"/>
  <c r="C6211" i="2"/>
  <c r="C6195" i="2"/>
  <c r="C6179" i="2"/>
  <c r="C6163" i="2"/>
  <c r="C6147" i="2"/>
  <c r="C6131" i="2"/>
  <c r="C6115" i="2"/>
  <c r="C6099" i="2"/>
  <c r="C6083" i="2"/>
  <c r="C6067" i="2"/>
  <c r="C6051" i="2"/>
  <c r="C6035" i="2"/>
  <c r="C6019" i="2"/>
  <c r="C6003" i="2"/>
  <c r="C5987" i="2"/>
  <c r="C5971" i="2"/>
  <c r="C5955" i="2"/>
  <c r="C5939" i="2"/>
  <c r="C5923" i="2"/>
  <c r="C5907" i="2"/>
  <c r="C5891" i="2"/>
  <c r="C5875" i="2"/>
  <c r="C5859" i="2"/>
  <c r="C5843" i="2"/>
  <c r="C5827" i="2"/>
  <c r="C5811" i="2"/>
  <c r="C5795" i="2"/>
  <c r="C5779" i="2"/>
  <c r="C5763" i="2"/>
  <c r="C5747" i="2"/>
  <c r="C5731" i="2"/>
  <c r="C5715" i="2"/>
  <c r="C5699" i="2"/>
  <c r="C5683" i="2"/>
  <c r="C5667" i="2"/>
  <c r="C5651" i="2"/>
  <c r="C5635" i="2"/>
  <c r="C5619" i="2"/>
  <c r="C5603" i="2"/>
  <c r="C5587" i="2"/>
  <c r="C5571" i="2"/>
  <c r="C5555" i="2"/>
  <c r="C5539" i="2"/>
  <c r="C5523" i="2"/>
  <c r="C5507" i="2"/>
  <c r="C5491" i="2"/>
  <c r="C5475" i="2"/>
  <c r="C5459" i="2"/>
  <c r="C5443" i="2"/>
  <c r="C5427" i="2"/>
  <c r="C5411" i="2"/>
  <c r="C5395" i="2"/>
  <c r="C5379" i="2"/>
  <c r="C5363" i="2"/>
  <c r="C5347" i="2"/>
  <c r="C5331" i="2"/>
  <c r="C5315" i="2"/>
  <c r="C5299" i="2"/>
  <c r="C5283" i="2"/>
  <c r="C5267" i="2"/>
  <c r="C5251" i="2"/>
  <c r="C5235" i="2"/>
  <c r="C5219" i="2"/>
  <c r="C5203" i="2"/>
  <c r="C5187" i="2"/>
  <c r="C5171" i="2"/>
  <c r="C5155" i="2"/>
  <c r="C5139" i="2"/>
  <c r="C5123" i="2"/>
  <c r="C5107" i="2"/>
  <c r="C5091" i="2"/>
  <c r="C5075" i="2"/>
  <c r="C5059" i="2"/>
  <c r="C5043" i="2"/>
  <c r="C11045" i="2"/>
  <c r="C11023" i="2"/>
  <c r="C11000" i="2"/>
  <c r="C10977" i="2"/>
  <c r="C10954" i="2"/>
  <c r="C10932" i="2"/>
  <c r="C10911" i="2"/>
  <c r="C10886" i="2"/>
  <c r="C10865" i="2"/>
  <c r="C10842" i="2"/>
  <c r="C10820" i="2"/>
  <c r="C10799" i="2"/>
  <c r="C10774" i="2"/>
  <c r="C11049" i="2"/>
  <c r="C11027" i="2"/>
  <c r="C11002" i="2"/>
  <c r="C10978" i="2"/>
  <c r="C10953" i="2"/>
  <c r="C10930" i="2"/>
  <c r="C10904" i="2"/>
  <c r="C10882" i="2"/>
  <c r="C10857" i="2"/>
  <c r="C10835" i="2"/>
  <c r="C10809" i="2"/>
  <c r="C10786" i="2"/>
  <c r="C10762" i="2"/>
  <c r="C10739" i="2"/>
  <c r="C10717" i="2"/>
  <c r="C10694" i="2"/>
  <c r="C10673" i="2"/>
  <c r="C10648" i="2"/>
  <c r="C10627" i="2"/>
  <c r="C10605" i="2"/>
  <c r="C10582" i="2"/>
  <c r="C10561" i="2"/>
  <c r="C10536" i="2"/>
  <c r="C10515" i="2"/>
  <c r="C10491" i="2"/>
  <c r="C10470" i="2"/>
  <c r="C10447" i="2"/>
  <c r="C10424" i="2"/>
  <c r="C10402" i="2"/>
  <c r="C10379" i="2"/>
  <c r="C10356" i="2"/>
  <c r="C10335" i="2"/>
  <c r="C10312" i="2"/>
  <c r="C10290" i="2"/>
  <c r="C10267" i="2"/>
  <c r="C10244" i="2"/>
  <c r="C10223" i="2"/>
  <c r="C10199" i="2"/>
  <c r="C10178" i="2"/>
  <c r="C10153" i="2"/>
  <c r="C10132" i="2"/>
  <c r="C10109" i="2"/>
  <c r="C10087" i="2"/>
  <c r="C10064" i="2"/>
  <c r="C10041" i="2"/>
  <c r="C10020" i="2"/>
  <c r="C9997" i="2"/>
  <c r="C9975" i="2"/>
  <c r="C9952" i="2"/>
  <c r="C9929" i="2"/>
  <c r="C9907" i="2"/>
  <c r="C9885" i="2"/>
  <c r="C9861" i="2"/>
  <c r="C9840" i="2"/>
  <c r="C9816" i="2"/>
  <c r="C9795" i="2"/>
  <c r="C9770" i="2"/>
  <c r="C9749" i="2"/>
  <c r="C9728" i="2"/>
  <c r="C9704" i="2"/>
  <c r="C9683" i="2"/>
  <c r="C9658" i="2"/>
  <c r="C9637" i="2"/>
  <c r="C9615" i="2"/>
  <c r="C9592" i="2"/>
  <c r="C9569" i="2"/>
  <c r="C9546" i="2"/>
  <c r="C9526" i="2"/>
  <c r="C9507" i="2"/>
  <c r="C9488" i="2"/>
  <c r="C9467" i="2"/>
  <c r="C9448" i="2"/>
  <c r="C9429" i="2"/>
  <c r="C9410" i="2"/>
  <c r="C9391" i="2"/>
  <c r="C9370" i="2"/>
  <c r="C9350" i="2"/>
  <c r="C9331" i="2"/>
  <c r="C9312" i="2"/>
  <c r="C9291" i="2"/>
  <c r="C9272" i="2"/>
  <c r="C9253" i="2"/>
  <c r="C9234" i="2"/>
  <c r="C9215" i="2"/>
  <c r="C9194" i="2"/>
  <c r="C9175" i="2"/>
  <c r="C9156" i="2"/>
  <c r="C9137" i="2"/>
  <c r="C9117" i="2"/>
  <c r="C9097" i="2"/>
  <c r="C9078" i="2"/>
  <c r="C9058" i="2"/>
  <c r="C9039" i="2"/>
  <c r="C9018" i="2"/>
  <c r="C8999" i="2"/>
  <c r="C8980" i="2"/>
  <c r="C8961" i="2"/>
  <c r="C8941" i="2"/>
  <c r="C8921" i="2"/>
  <c r="C8902" i="2"/>
  <c r="C8883" i="2"/>
  <c r="C8864" i="2"/>
  <c r="C8843" i="2"/>
  <c r="C8824" i="2"/>
  <c r="C8805" i="2"/>
  <c r="C8786" i="2"/>
  <c r="C8765" i="2"/>
  <c r="C8745" i="2"/>
  <c r="C8726" i="2"/>
  <c r="C8707" i="2"/>
  <c r="C8688" i="2"/>
  <c r="C8667" i="2"/>
  <c r="C8648" i="2"/>
  <c r="C8629" i="2"/>
  <c r="C8610" i="2"/>
  <c r="C8591" i="2"/>
  <c r="C8570" i="2"/>
  <c r="C8551" i="2"/>
  <c r="C8532" i="2"/>
  <c r="C8513" i="2"/>
  <c r="C8493" i="2"/>
  <c r="C8472" i="2"/>
  <c r="C8453" i="2"/>
  <c r="C8434" i="2"/>
  <c r="C8415" i="2"/>
  <c r="C8394" i="2"/>
  <c r="C8375" i="2"/>
  <c r="C8357" i="2"/>
  <c r="C8339" i="2"/>
  <c r="C8321" i="2"/>
  <c r="C8303" i="2"/>
  <c r="C8285" i="2"/>
  <c r="C8266" i="2"/>
  <c r="C8248" i="2"/>
  <c r="C8230" i="2"/>
  <c r="C8212" i="2"/>
  <c r="C8193" i="2"/>
  <c r="C8175" i="2"/>
  <c r="C8157" i="2"/>
  <c r="C8138" i="2"/>
  <c r="C8120" i="2"/>
  <c r="C8102" i="2"/>
  <c r="C8084" i="2"/>
  <c r="C8066" i="2"/>
  <c r="C8048" i="2"/>
  <c r="C8030" i="2"/>
  <c r="C8011" i="2"/>
  <c r="C7993" i="2"/>
  <c r="C7975" i="2"/>
  <c r="C7957" i="2"/>
  <c r="C7939" i="2"/>
  <c r="C7920" i="2"/>
  <c r="C7902" i="2"/>
  <c r="C7883" i="2"/>
  <c r="C7865" i="2"/>
  <c r="C7847" i="2"/>
  <c r="C7829" i="2"/>
  <c r="C7811" i="2"/>
  <c r="C7793" i="2"/>
  <c r="C7775" i="2"/>
  <c r="C7757" i="2"/>
  <c r="C7738" i="2"/>
  <c r="C7720" i="2"/>
  <c r="C7702" i="2"/>
  <c r="C7684" i="2"/>
  <c r="C7666" i="2"/>
  <c r="C7647" i="2"/>
  <c r="C7629" i="2"/>
  <c r="C7610" i="2"/>
  <c r="C7592" i="2"/>
  <c r="C7574" i="2"/>
  <c r="C7556" i="2"/>
  <c r="C7538" i="2"/>
  <c r="C7520" i="2"/>
  <c r="C7502" i="2"/>
  <c r="C7483" i="2"/>
  <c r="C7465" i="2"/>
  <c r="C7447" i="2"/>
  <c r="C7429" i="2"/>
  <c r="C7411" i="2"/>
  <c r="C7393" i="2"/>
  <c r="C7374" i="2"/>
  <c r="C7355" i="2"/>
  <c r="C7337" i="2"/>
  <c r="C7319" i="2"/>
  <c r="C7301" i="2"/>
  <c r="C7283" i="2"/>
  <c r="C7265" i="2"/>
  <c r="C7247" i="2"/>
  <c r="C7229" i="2"/>
  <c r="C7210" i="2"/>
  <c r="C7192" i="2"/>
  <c r="C7174" i="2"/>
  <c r="C7156" i="2"/>
  <c r="C7138" i="2"/>
  <c r="C7120" i="2"/>
  <c r="C7101" i="2"/>
  <c r="C7082" i="2"/>
  <c r="C7064" i="2"/>
  <c r="C7046" i="2"/>
  <c r="C7028" i="2"/>
  <c r="C7010" i="2"/>
  <c r="C6992" i="2"/>
  <c r="C6974" i="2"/>
  <c r="C6955" i="2"/>
  <c r="C6937" i="2"/>
  <c r="C6920" i="2"/>
  <c r="C6903" i="2"/>
  <c r="C6886" i="2"/>
  <c r="C6869" i="2"/>
  <c r="C6852" i="2"/>
  <c r="C6834" i="2"/>
  <c r="C6817" i="2"/>
  <c r="C6800" i="2"/>
  <c r="C6783" i="2"/>
  <c r="C6766" i="2"/>
  <c r="C6749" i="2"/>
  <c r="C6732" i="2"/>
  <c r="C6715" i="2"/>
  <c r="C6698" i="2"/>
  <c r="C6681" i="2"/>
  <c r="C6664" i="2"/>
  <c r="C6647" i="2"/>
  <c r="C6630" i="2"/>
  <c r="C6613" i="2"/>
  <c r="C6596" i="2"/>
  <c r="C6578" i="2"/>
  <c r="C6561" i="2"/>
  <c r="C6544" i="2"/>
  <c r="C6527" i="2"/>
  <c r="C6510" i="2"/>
  <c r="C6493" i="2"/>
  <c r="C6476" i="2"/>
  <c r="C6459" i="2"/>
  <c r="C6442" i="2"/>
  <c r="C6425" i="2"/>
  <c r="C6408" i="2"/>
  <c r="C6391" i="2"/>
  <c r="C6374" i="2"/>
  <c r="C6357" i="2"/>
  <c r="C6340" i="2"/>
  <c r="C6322" i="2"/>
  <c r="C6305" i="2"/>
  <c r="C6288" i="2"/>
  <c r="C6271" i="2"/>
  <c r="C6254" i="2"/>
  <c r="C6237" i="2"/>
  <c r="C6220" i="2"/>
  <c r="C6203" i="2"/>
  <c r="C6186" i="2"/>
  <c r="C6169" i="2"/>
  <c r="C6152" i="2"/>
  <c r="C6135" i="2"/>
  <c r="C6118" i="2"/>
  <c r="C6101" i="2"/>
  <c r="C6084" i="2"/>
  <c r="C6066" i="2"/>
  <c r="C6049" i="2"/>
  <c r="C6032" i="2"/>
  <c r="C6015" i="2"/>
  <c r="C5998" i="2"/>
  <c r="C5981" i="2"/>
  <c r="C5964" i="2"/>
  <c r="C5947" i="2"/>
  <c r="C5930" i="2"/>
  <c r="C5913" i="2"/>
  <c r="C5896" i="2"/>
  <c r="C5879" i="2"/>
  <c r="C5862" i="2"/>
  <c r="C5845" i="2"/>
  <c r="C5828" i="2"/>
  <c r="C5810" i="2"/>
  <c r="C5793" i="2"/>
  <c r="C5776" i="2"/>
  <c r="C5759" i="2"/>
  <c r="C5742" i="2"/>
  <c r="C5725" i="2"/>
  <c r="C5708" i="2"/>
  <c r="C5691" i="2"/>
  <c r="C5674" i="2"/>
  <c r="C5657" i="2"/>
  <c r="C5640" i="2"/>
  <c r="C5623" i="2"/>
  <c r="C5606" i="2"/>
  <c r="C5589" i="2"/>
  <c r="C5572" i="2"/>
  <c r="C5554" i="2"/>
  <c r="C5537" i="2"/>
  <c r="C5520" i="2"/>
  <c r="C5503" i="2"/>
  <c r="C5486" i="2"/>
  <c r="C5469" i="2"/>
  <c r="C5452" i="2"/>
  <c r="C5435" i="2"/>
  <c r="C5418" i="2"/>
  <c r="C5401" i="2"/>
  <c r="C5384" i="2"/>
  <c r="C5367" i="2"/>
  <c r="C5350" i="2"/>
  <c r="C5333" i="2"/>
  <c r="C5316" i="2"/>
  <c r="C5298" i="2"/>
  <c r="C5281" i="2"/>
  <c r="C5264" i="2"/>
  <c r="C5247" i="2"/>
  <c r="C5230" i="2"/>
  <c r="C5213" i="2"/>
  <c r="C5196" i="2"/>
  <c r="C5179" i="2"/>
  <c r="C5162" i="2"/>
  <c r="C5145" i="2"/>
  <c r="C5128" i="2"/>
  <c r="C5111" i="2"/>
  <c r="C5094" i="2"/>
  <c r="C5077" i="2"/>
  <c r="C5060" i="2"/>
  <c r="C5042" i="2"/>
  <c r="C5026" i="2"/>
  <c r="C5010" i="2"/>
  <c r="C4994" i="2"/>
  <c r="C4978" i="2"/>
  <c r="C4962" i="2"/>
  <c r="C4946" i="2"/>
  <c r="C4930" i="2"/>
  <c r="C4914" i="2"/>
  <c r="C4898" i="2"/>
  <c r="C4882" i="2"/>
  <c r="C4866" i="2"/>
  <c r="C4850" i="2"/>
  <c r="C4834" i="2"/>
  <c r="C4818" i="2"/>
  <c r="C4802" i="2"/>
  <c r="C4786" i="2"/>
  <c r="C4770" i="2"/>
  <c r="C4754" i="2"/>
  <c r="C4738" i="2"/>
  <c r="C4722" i="2"/>
  <c r="C4706" i="2"/>
  <c r="C4690" i="2"/>
  <c r="C4674" i="2"/>
  <c r="C4658" i="2"/>
  <c r="C4642" i="2"/>
  <c r="C4626" i="2"/>
  <c r="C4610" i="2"/>
  <c r="C4594" i="2"/>
  <c r="C4578" i="2"/>
  <c r="C4562" i="2"/>
  <c r="C4546" i="2"/>
  <c r="C4530" i="2"/>
  <c r="C4514" i="2"/>
  <c r="C4498" i="2"/>
  <c r="C4482" i="2"/>
  <c r="C4466" i="2"/>
  <c r="C4450" i="2"/>
  <c r="C4434" i="2"/>
  <c r="C4418" i="2"/>
  <c r="C4402" i="2"/>
  <c r="C4386" i="2"/>
  <c r="C4370" i="2"/>
  <c r="C4354" i="2"/>
  <c r="C4338" i="2"/>
  <c r="C4322" i="2"/>
  <c r="C4306" i="2"/>
  <c r="C4290" i="2"/>
  <c r="C4274" i="2"/>
  <c r="C4258" i="2"/>
  <c r="C4242" i="2"/>
  <c r="C4226" i="2"/>
  <c r="C4210" i="2"/>
  <c r="C4194" i="2"/>
  <c r="C4178" i="2"/>
  <c r="C4162" i="2"/>
  <c r="C4146" i="2"/>
  <c r="C4130" i="2"/>
  <c r="C4114" i="2"/>
  <c r="C4098" i="2"/>
  <c r="C4082" i="2"/>
  <c r="C4066" i="2"/>
  <c r="C4050" i="2"/>
  <c r="C4034" i="2"/>
  <c r="C4018" i="2"/>
  <c r="C4002" i="2"/>
  <c r="C3986" i="2"/>
  <c r="C3970" i="2"/>
  <c r="C3954" i="2"/>
  <c r="C3938" i="2"/>
  <c r="C3922" i="2"/>
  <c r="C3906" i="2"/>
  <c r="C3890" i="2"/>
  <c r="C3874" i="2"/>
  <c r="C3858" i="2"/>
  <c r="C3842" i="2"/>
  <c r="C3826" i="2"/>
  <c r="C3810" i="2"/>
  <c r="C3794" i="2"/>
  <c r="C3778" i="2"/>
  <c r="C3762" i="2"/>
  <c r="C3746" i="2"/>
  <c r="C3730" i="2"/>
  <c r="C3714" i="2"/>
  <c r="C3698" i="2"/>
  <c r="C3682" i="2"/>
  <c r="C3666" i="2"/>
  <c r="C3650" i="2"/>
  <c r="C3634" i="2"/>
  <c r="C3618" i="2"/>
  <c r="C3602" i="2"/>
  <c r="C3586" i="2"/>
  <c r="C3570" i="2"/>
  <c r="C3554" i="2"/>
  <c r="C3538" i="2"/>
  <c r="C3522" i="2"/>
  <c r="C3506" i="2"/>
  <c r="C3490" i="2"/>
  <c r="C3474" i="2"/>
  <c r="C3458" i="2"/>
  <c r="C3442" i="2"/>
  <c r="C3426" i="2"/>
  <c r="C3410" i="2"/>
  <c r="C3394" i="2"/>
  <c r="C3378" i="2"/>
  <c r="C3362" i="2"/>
  <c r="C3346" i="2"/>
  <c r="C3330" i="2"/>
  <c r="C3314" i="2"/>
  <c r="C3298" i="2"/>
  <c r="C3282" i="2"/>
  <c r="C3266" i="2"/>
  <c r="C3250" i="2"/>
  <c r="C3234" i="2"/>
  <c r="C3218" i="2"/>
  <c r="C3202" i="2"/>
  <c r="C3186" i="2"/>
  <c r="C3170" i="2"/>
  <c r="C11047" i="2"/>
  <c r="C11024" i="2"/>
  <c r="C10999" i="2"/>
  <c r="C10975" i="2"/>
  <c r="C10950" i="2"/>
  <c r="C10928" i="2"/>
  <c r="C10902" i="2"/>
  <c r="C10880" i="2"/>
  <c r="C10855" i="2"/>
  <c r="C10831" i="2"/>
  <c r="C10807" i="2"/>
  <c r="C10784" i="2"/>
  <c r="C10758" i="2"/>
  <c r="C10737" i="2"/>
  <c r="C10714" i="2"/>
  <c r="C10692" i="2"/>
  <c r="C10671" i="2"/>
  <c r="C10646" i="2"/>
  <c r="C10625" i="2"/>
  <c r="C10601" i="2"/>
  <c r="C10580" i="2"/>
  <c r="C10555" i="2"/>
  <c r="C10534" i="2"/>
  <c r="C10512" i="2"/>
  <c r="C10489" i="2"/>
  <c r="C10466" i="2"/>
  <c r="C10443" i="2"/>
  <c r="C10422" i="2"/>
  <c r="C10400" i="2"/>
  <c r="C10377" i="2"/>
  <c r="C10354" i="2"/>
  <c r="C10331" i="2"/>
  <c r="C10309" i="2"/>
  <c r="C10288" i="2"/>
  <c r="C10263" i="2"/>
  <c r="C10242" i="2"/>
  <c r="C10218" i="2"/>
  <c r="C10197" i="2"/>
  <c r="C10173" i="2"/>
  <c r="C10151" i="2"/>
  <c r="C10130" i="2"/>
  <c r="C10106" i="2"/>
  <c r="C10085" i="2"/>
  <c r="C10061" i="2"/>
  <c r="C10039" i="2"/>
  <c r="C10017" i="2"/>
  <c r="C9994" i="2"/>
  <c r="C9971" i="2"/>
  <c r="C9949" i="2"/>
  <c r="C9926" i="2"/>
  <c r="C9905" i="2"/>
  <c r="C9880" i="2"/>
  <c r="C9859" i="2"/>
  <c r="C9837" i="2"/>
  <c r="C9814" i="2"/>
  <c r="C9793" i="2"/>
  <c r="C9768" i="2"/>
  <c r="C9747" i="2"/>
  <c r="C9723" i="2"/>
  <c r="C9702" i="2"/>
  <c r="C9679" i="2"/>
  <c r="C9656" i="2"/>
  <c r="C9634" i="2"/>
  <c r="C9611" i="2"/>
  <c r="C9588" i="2"/>
  <c r="C9567" i="2"/>
  <c r="C9544" i="2"/>
  <c r="C9524" i="2"/>
  <c r="C9505" i="2"/>
  <c r="C9485" i="2"/>
  <c r="C9465" i="2"/>
  <c r="C9446" i="2"/>
  <c r="C9427" i="2"/>
  <c r="C9408" i="2"/>
  <c r="C9386" i="2"/>
  <c r="C9367" i="2"/>
  <c r="C9348" i="2"/>
  <c r="C9329" i="2"/>
  <c r="C9309" i="2"/>
  <c r="C9289" i="2"/>
  <c r="C9270" i="2"/>
  <c r="C9251" i="2"/>
  <c r="C9232" i="2"/>
  <c r="C9211" i="2"/>
  <c r="C9192" i="2"/>
  <c r="C9173" i="2"/>
  <c r="C9154" i="2"/>
  <c r="C9135" i="2"/>
  <c r="C9114" i="2"/>
  <c r="C9094" i="2"/>
  <c r="C9075" i="2"/>
  <c r="C9056" i="2"/>
  <c r="C9035" i="2"/>
  <c r="C9016" i="2"/>
  <c r="C8997" i="2"/>
  <c r="C8978" i="2"/>
  <c r="C8959" i="2"/>
  <c r="C8938" i="2"/>
  <c r="C8919" i="2"/>
  <c r="C8900" i="2"/>
  <c r="C8881" i="2"/>
  <c r="C8861" i="2"/>
  <c r="C8841" i="2"/>
  <c r="C8822" i="2"/>
  <c r="C8802" i="2"/>
  <c r="C8783" i="2"/>
  <c r="C8762" i="2"/>
  <c r="C8743" i="2"/>
  <c r="C8724" i="2"/>
  <c r="C8705" i="2"/>
  <c r="C8685" i="2"/>
  <c r="C8665" i="2"/>
  <c r="C8646" i="2"/>
  <c r="C8627" i="2"/>
  <c r="C8608" i="2"/>
  <c r="C8587" i="2"/>
  <c r="C8568" i="2"/>
  <c r="C8549" i="2"/>
  <c r="C8530" i="2"/>
  <c r="C8509" i="2"/>
  <c r="C8489" i="2"/>
  <c r="C8470" i="2"/>
  <c r="C8451" i="2"/>
  <c r="C8432" i="2"/>
  <c r="C8411" i="2"/>
  <c r="C8392" i="2"/>
  <c r="C8373" i="2"/>
  <c r="C8355" i="2"/>
  <c r="C8337" i="2"/>
  <c r="C8319" i="2"/>
  <c r="C8301" i="2"/>
  <c r="C8282" i="2"/>
  <c r="C8264" i="2"/>
  <c r="C8246" i="2"/>
  <c r="C8227" i="2"/>
  <c r="C8209" i="2"/>
  <c r="C8191" i="2"/>
  <c r="C8173" i="2"/>
  <c r="C8154" i="2"/>
  <c r="C8136" i="2"/>
  <c r="C8118" i="2"/>
  <c r="C8100" i="2"/>
  <c r="C8082" i="2"/>
  <c r="C8064" i="2"/>
  <c r="C8046" i="2"/>
  <c r="C8027" i="2"/>
  <c r="C8009" i="2"/>
  <c r="C7991" i="2"/>
  <c r="C7973" i="2"/>
  <c r="C7954" i="2"/>
  <c r="C7936" i="2"/>
  <c r="C7918" i="2"/>
  <c r="C7899" i="2"/>
  <c r="C7881" i="2"/>
  <c r="C7863" i="2"/>
  <c r="C7845" i="2"/>
  <c r="C7827" i="2"/>
  <c r="C7809" i="2"/>
  <c r="C7791" i="2"/>
  <c r="C7773" i="2"/>
  <c r="C7754" i="2"/>
  <c r="C7736" i="2"/>
  <c r="C7718" i="2"/>
  <c r="C7700" i="2"/>
  <c r="C7681" i="2"/>
  <c r="C7663" i="2"/>
  <c r="C7645" i="2"/>
  <c r="C7626" i="2"/>
  <c r="C7608" i="2"/>
  <c r="C7590" i="2"/>
  <c r="C7572" i="2"/>
  <c r="C7554" i="2"/>
  <c r="C7536" i="2"/>
  <c r="C7518" i="2"/>
  <c r="C7499" i="2"/>
  <c r="C7481" i="2"/>
  <c r="C7463" i="2"/>
  <c r="C7445" i="2"/>
  <c r="C7427" i="2"/>
  <c r="C7408" i="2"/>
  <c r="C7390" i="2"/>
  <c r="C7371" i="2"/>
  <c r="C7353" i="2"/>
  <c r="C7335" i="2"/>
  <c r="C7317" i="2"/>
  <c r="C7299" i="2"/>
  <c r="C7281" i="2"/>
  <c r="C7263" i="2"/>
  <c r="C7245" i="2"/>
  <c r="C7226" i="2"/>
  <c r="C7208" i="2"/>
  <c r="C7190" i="2"/>
  <c r="C7172" i="2"/>
  <c r="C7154" i="2"/>
  <c r="C7135" i="2"/>
  <c r="C7117" i="2"/>
  <c r="C7098" i="2"/>
  <c r="C7080" i="2"/>
  <c r="C7062" i="2"/>
  <c r="C7044" i="2"/>
  <c r="C7026" i="2"/>
  <c r="C7008" i="2"/>
  <c r="C6990" i="2"/>
  <c r="C6971" i="2"/>
  <c r="C6953" i="2"/>
  <c r="C6935" i="2"/>
  <c r="C6918" i="2"/>
  <c r="C6901" i="2"/>
  <c r="C6884" i="2"/>
  <c r="C6866" i="2"/>
  <c r="C6849" i="2"/>
  <c r="C6832" i="2"/>
  <c r="C6815" i="2"/>
  <c r="C6798" i="2"/>
  <c r="C6781" i="2"/>
  <c r="C6764" i="2"/>
  <c r="C6747" i="2"/>
  <c r="C6730" i="2"/>
  <c r="C6713" i="2"/>
  <c r="C6696" i="2"/>
  <c r="C6679" i="2"/>
  <c r="C6662" i="2"/>
  <c r="C6645" i="2"/>
  <c r="C6628" i="2"/>
  <c r="C6610" i="2"/>
  <c r="C6593" i="2"/>
  <c r="C6576" i="2"/>
  <c r="C6559" i="2"/>
  <c r="C6542" i="2"/>
  <c r="C6525" i="2"/>
  <c r="C6508" i="2"/>
  <c r="C6491" i="2"/>
  <c r="C6474" i="2"/>
  <c r="C6457" i="2"/>
  <c r="C6440" i="2"/>
  <c r="C6423" i="2"/>
  <c r="C6406" i="2"/>
  <c r="C6389" i="2"/>
  <c r="C6372" i="2"/>
  <c r="C6354" i="2"/>
  <c r="C6337" i="2"/>
  <c r="C6320" i="2"/>
  <c r="C6303" i="2"/>
  <c r="C6286" i="2"/>
  <c r="C6269" i="2"/>
  <c r="C6252" i="2"/>
  <c r="C6235" i="2"/>
  <c r="C6218" i="2"/>
  <c r="C6201" i="2"/>
  <c r="C6184" i="2"/>
  <c r="C6167" i="2"/>
  <c r="C6150" i="2"/>
  <c r="C6133" i="2"/>
  <c r="C6116" i="2"/>
  <c r="C6098" i="2"/>
  <c r="C6081" i="2"/>
  <c r="C6064" i="2"/>
  <c r="C6047" i="2"/>
  <c r="C6030" i="2"/>
  <c r="C6013" i="2"/>
  <c r="C5996" i="2"/>
  <c r="C5979" i="2"/>
  <c r="C5962" i="2"/>
  <c r="C5945" i="2"/>
  <c r="C5928" i="2"/>
  <c r="C5911" i="2"/>
  <c r="C5894" i="2"/>
  <c r="C5877" i="2"/>
  <c r="C5860" i="2"/>
  <c r="C5842" i="2"/>
  <c r="C5825" i="2"/>
  <c r="C5808" i="2"/>
  <c r="C5791" i="2"/>
  <c r="C5774" i="2"/>
  <c r="C5757" i="2"/>
  <c r="C5740" i="2"/>
  <c r="C5723" i="2"/>
  <c r="C5706" i="2"/>
  <c r="C5689" i="2"/>
  <c r="C5672" i="2"/>
  <c r="C5655" i="2"/>
  <c r="C5638" i="2"/>
  <c r="C5621" i="2"/>
  <c r="C5604" i="2"/>
  <c r="C5586" i="2"/>
  <c r="C5569" i="2"/>
  <c r="C5552" i="2"/>
  <c r="C5535" i="2"/>
  <c r="C5518" i="2"/>
  <c r="C5501" i="2"/>
  <c r="C5484" i="2"/>
  <c r="C5467" i="2"/>
  <c r="C5450" i="2"/>
  <c r="C5433" i="2"/>
  <c r="C5416" i="2"/>
  <c r="C5399" i="2"/>
  <c r="C5382" i="2"/>
  <c r="C5365" i="2"/>
  <c r="C5348" i="2"/>
  <c r="C5330" i="2"/>
  <c r="C5313" i="2"/>
  <c r="C5296" i="2"/>
  <c r="C5279" i="2"/>
  <c r="C5262" i="2"/>
  <c r="C5245" i="2"/>
  <c r="C5228" i="2"/>
  <c r="C5211" i="2"/>
  <c r="C5194" i="2"/>
  <c r="C5177" i="2"/>
  <c r="C5160" i="2"/>
  <c r="C5143" i="2"/>
  <c r="C5126" i="2"/>
  <c r="C5109" i="2"/>
  <c r="C5092" i="2"/>
  <c r="C5074" i="2"/>
  <c r="C5057" i="2"/>
  <c r="C5040" i="2"/>
  <c r="C5024" i="2"/>
  <c r="C5008" i="2"/>
  <c r="C4992" i="2"/>
  <c r="C4976" i="2"/>
  <c r="C4960" i="2"/>
  <c r="C4944" i="2"/>
  <c r="C4928" i="2"/>
  <c r="C4912" i="2"/>
  <c r="C4896" i="2"/>
  <c r="C4880" i="2"/>
  <c r="C4864" i="2"/>
  <c r="C4848" i="2"/>
  <c r="C4832" i="2"/>
  <c r="C4816" i="2"/>
  <c r="C4800" i="2"/>
  <c r="C4784" i="2"/>
  <c r="C4768" i="2"/>
  <c r="C4752" i="2"/>
  <c r="C4736" i="2"/>
  <c r="C4720" i="2"/>
  <c r="C4704" i="2"/>
  <c r="C4688" i="2"/>
  <c r="C4672" i="2"/>
  <c r="C4656" i="2"/>
  <c r="C4640" i="2"/>
  <c r="C4624" i="2"/>
  <c r="C4608" i="2"/>
  <c r="C4592" i="2"/>
  <c r="C4576" i="2"/>
  <c r="C4560" i="2"/>
  <c r="C4544" i="2"/>
  <c r="C4528" i="2"/>
  <c r="C4512" i="2"/>
  <c r="C4496" i="2"/>
  <c r="C4480" i="2"/>
  <c r="C4464" i="2"/>
  <c r="C4448" i="2"/>
  <c r="C4432" i="2"/>
  <c r="C4416" i="2"/>
  <c r="C4400" i="2"/>
  <c r="C4384" i="2"/>
  <c r="C4368" i="2"/>
  <c r="C4352" i="2"/>
  <c r="C4336" i="2"/>
  <c r="C4320" i="2"/>
  <c r="C4304" i="2"/>
  <c r="C4288" i="2"/>
  <c r="C4272" i="2"/>
  <c r="C4256" i="2"/>
  <c r="C4240" i="2"/>
  <c r="C4224" i="2"/>
  <c r="C4208" i="2"/>
  <c r="C4192" i="2"/>
  <c r="C4176" i="2"/>
  <c r="C4160" i="2"/>
  <c r="C4144" i="2"/>
  <c r="C4128" i="2"/>
  <c r="C4112" i="2"/>
  <c r="C4096" i="2"/>
  <c r="C4080" i="2"/>
  <c r="C4064" i="2"/>
  <c r="C4048" i="2"/>
  <c r="C4032" i="2"/>
  <c r="C4016" i="2"/>
  <c r="C4000" i="2"/>
  <c r="C3984" i="2"/>
  <c r="C3968" i="2"/>
  <c r="C3952" i="2"/>
  <c r="C3936" i="2"/>
  <c r="C3920" i="2"/>
  <c r="C3904" i="2"/>
  <c r="C3888" i="2"/>
  <c r="C3872" i="2"/>
  <c r="C3856" i="2"/>
  <c r="C3840" i="2"/>
  <c r="C3824" i="2"/>
  <c r="C3808" i="2"/>
  <c r="C3792" i="2"/>
  <c r="C3776" i="2"/>
  <c r="C3760" i="2"/>
  <c r="C3744" i="2"/>
  <c r="C3728" i="2"/>
  <c r="C3712" i="2"/>
  <c r="C3696" i="2"/>
  <c r="C3680" i="2"/>
  <c r="C3664" i="2"/>
  <c r="C3648" i="2"/>
  <c r="C3632" i="2"/>
  <c r="C3616" i="2"/>
  <c r="C3600" i="2"/>
  <c r="C3584" i="2"/>
  <c r="C3568" i="2"/>
  <c r="C3552" i="2"/>
  <c r="C3536" i="2"/>
  <c r="C3520" i="2"/>
  <c r="C3504" i="2"/>
  <c r="C3488" i="2"/>
  <c r="C3472" i="2"/>
  <c r="C3456" i="2"/>
  <c r="C3440" i="2"/>
  <c r="C3424" i="2"/>
  <c r="C3408" i="2"/>
  <c r="C3392" i="2"/>
  <c r="C3376" i="2"/>
  <c r="C3360" i="2"/>
  <c r="C3344" i="2"/>
  <c r="C3328" i="2"/>
  <c r="C3312" i="2"/>
  <c r="C3296" i="2"/>
  <c r="C3280" i="2"/>
  <c r="C3264" i="2"/>
  <c r="C3248" i="2"/>
  <c r="C3232" i="2"/>
  <c r="C3216" i="2"/>
  <c r="C3200" i="2"/>
  <c r="C3184" i="2"/>
  <c r="C3168" i="2"/>
  <c r="C3152" i="2"/>
  <c r="C3136" i="2"/>
  <c r="C3120" i="2"/>
  <c r="C3104" i="2"/>
  <c r="C3088" i="2"/>
  <c r="C3072" i="2"/>
  <c r="C3056" i="2"/>
  <c r="C3040" i="2"/>
  <c r="C3024" i="2"/>
  <c r="C3008" i="2"/>
  <c r="C2992" i="2"/>
  <c r="C2976" i="2"/>
  <c r="C2960" i="2"/>
  <c r="C2944" i="2"/>
  <c r="C2928" i="2"/>
  <c r="C2912" i="2"/>
  <c r="C2896" i="2"/>
  <c r="C2880" i="2"/>
  <c r="C2864" i="2"/>
  <c r="C2848" i="2"/>
  <c r="C2832" i="2"/>
  <c r="C2816" i="2"/>
  <c r="C2800" i="2"/>
  <c r="C2784" i="2"/>
  <c r="C2768" i="2"/>
  <c r="C2752" i="2"/>
  <c r="C2736" i="2"/>
  <c r="C2720" i="2"/>
  <c r="C2704" i="2"/>
  <c r="C2688" i="2"/>
  <c r="C2672" i="2"/>
  <c r="C2656" i="2"/>
  <c r="C2640" i="2"/>
  <c r="C2624" i="2"/>
  <c r="C2608" i="2"/>
  <c r="C2592" i="2"/>
  <c r="C2576" i="2"/>
  <c r="C2560" i="2"/>
  <c r="C2544" i="2"/>
  <c r="C2528" i="2"/>
  <c r="C2512" i="2"/>
  <c r="C2496" i="2"/>
  <c r="C2480" i="2"/>
  <c r="C2464" i="2"/>
  <c r="C2448" i="2"/>
  <c r="C2432" i="2"/>
  <c r="C2416" i="2"/>
  <c r="C2400" i="2"/>
  <c r="C2384" i="2"/>
  <c r="C2368" i="2"/>
  <c r="C2352" i="2"/>
  <c r="C2336" i="2"/>
  <c r="C2320" i="2"/>
  <c r="C2304" i="2"/>
  <c r="C2288" i="2"/>
  <c r="C2272" i="2"/>
  <c r="C2256" i="2"/>
  <c r="C2240" i="2"/>
  <c r="C2224" i="2"/>
  <c r="C2208" i="2"/>
  <c r="C2192" i="2"/>
  <c r="C2176" i="2"/>
  <c r="C2160" i="2"/>
  <c r="C2144" i="2"/>
  <c r="C2128" i="2"/>
  <c r="C2112" i="2"/>
  <c r="C2096" i="2"/>
  <c r="C2080" i="2"/>
  <c r="C2064" i="2"/>
  <c r="C2048" i="2"/>
  <c r="C2032" i="2"/>
  <c r="C2016" i="2"/>
  <c r="C2000" i="2"/>
  <c r="C1984" i="2"/>
  <c r="C1968" i="2"/>
  <c r="C1952" i="2"/>
  <c r="C1936" i="2"/>
  <c r="C1920" i="2"/>
  <c r="C1904" i="2"/>
  <c r="C1888" i="2"/>
  <c r="C1872" i="2"/>
  <c r="C1856" i="2"/>
  <c r="C1840" i="2"/>
  <c r="C1824" i="2"/>
  <c r="C1808" i="2"/>
  <c r="C1792" i="2"/>
  <c r="C1776" i="2"/>
  <c r="C1760" i="2"/>
  <c r="C1744" i="2"/>
  <c r="C1728" i="2"/>
  <c r="C1712" i="2"/>
  <c r="C1696" i="2"/>
  <c r="C1680" i="2"/>
  <c r="C1664" i="2"/>
  <c r="C1648" i="2"/>
  <c r="C1632" i="2"/>
  <c r="C1616" i="2"/>
  <c r="C1600" i="2"/>
  <c r="C1584" i="2"/>
  <c r="C1568" i="2"/>
  <c r="C1552" i="2"/>
  <c r="C1536" i="2"/>
  <c r="C1520" i="2"/>
  <c r="C1504" i="2"/>
  <c r="C1488" i="2"/>
  <c r="C1472" i="2"/>
  <c r="C1456" i="2"/>
  <c r="C1440" i="2"/>
  <c r="C1424" i="2"/>
  <c r="C1408" i="2"/>
  <c r="C1392" i="2"/>
  <c r="C1376" i="2"/>
  <c r="C1360" i="2"/>
  <c r="C1344" i="2"/>
  <c r="C1328" i="2"/>
  <c r="C1312" i="2"/>
  <c r="C1296" i="2"/>
  <c r="C1280" i="2"/>
  <c r="C1264" i="2"/>
  <c r="C1248" i="2"/>
  <c r="C1232" i="2"/>
  <c r="C1216" i="2"/>
  <c r="C1200" i="2"/>
  <c r="C1184" i="2"/>
  <c r="C1168" i="2"/>
  <c r="C1152" i="2"/>
  <c r="C1136" i="2"/>
  <c r="C1120" i="2"/>
  <c r="C1104" i="2"/>
  <c r="C1088" i="2"/>
  <c r="C1072" i="2"/>
  <c r="C1056" i="2"/>
  <c r="C1040" i="2"/>
  <c r="C11040" i="2"/>
  <c r="C11014" i="2"/>
  <c r="C10992" i="2"/>
  <c r="C10967" i="2"/>
  <c r="C10945" i="2"/>
  <c r="C10919" i="2"/>
  <c r="C10896" i="2"/>
  <c r="C10872" i="2"/>
  <c r="C10848" i="2"/>
  <c r="C10824" i="2"/>
  <c r="C10801" i="2"/>
  <c r="C10775" i="2"/>
  <c r="C10753" i="2"/>
  <c r="C10729" i="2"/>
  <c r="C10708" i="2"/>
  <c r="C10683" i="2"/>
  <c r="C10662" i="2"/>
  <c r="C10640" i="2"/>
  <c r="C10617" i="2"/>
  <c r="C10594" i="2"/>
  <c r="C10571" i="2"/>
  <c r="C10550" i="2"/>
  <c r="C10528" i="2"/>
  <c r="C10505" i="2"/>
  <c r="C10482" i="2"/>
  <c r="C10459" i="2"/>
  <c r="C10437" i="2"/>
  <c r="C10416" i="2"/>
  <c r="C10391" i="2"/>
  <c r="C10370" i="2"/>
  <c r="C10346" i="2"/>
  <c r="C10325" i="2"/>
  <c r="C10301" i="2"/>
  <c r="C10279" i="2"/>
  <c r="C10258" i="2"/>
  <c r="C10234" i="2"/>
  <c r="C10213" i="2"/>
  <c r="C10189" i="2"/>
  <c r="C10167" i="2"/>
  <c r="C10145" i="2"/>
  <c r="C10122" i="2"/>
  <c r="C10099" i="2"/>
  <c r="C10077" i="2"/>
  <c r="C10054" i="2"/>
  <c r="C10033" i="2"/>
  <c r="C10008" i="2"/>
  <c r="C9987" i="2"/>
  <c r="C9965" i="2"/>
  <c r="C9942" i="2"/>
  <c r="C9921" i="2"/>
  <c r="C9896" i="2"/>
  <c r="C9875" i="2"/>
  <c r="C9851" i="2"/>
  <c r="C9830" i="2"/>
  <c r="C9807" i="2"/>
  <c r="C9784" i="2"/>
  <c r="C9762" i="2"/>
  <c r="C9739" i="2"/>
  <c r="C9716" i="2"/>
  <c r="C9695" i="2"/>
  <c r="C9672" i="2"/>
  <c r="C9650" i="2"/>
  <c r="C9627" i="2"/>
  <c r="C9604" i="2"/>
  <c r="C9583" i="2"/>
  <c r="C9559" i="2"/>
  <c r="C9539" i="2"/>
  <c r="C9519" i="2"/>
  <c r="C9498" i="2"/>
  <c r="C9478" i="2"/>
  <c r="C9459" i="2"/>
  <c r="C9440" i="2"/>
  <c r="C9419" i="2"/>
  <c r="C9400" i="2"/>
  <c r="C9381" i="2"/>
  <c r="C9362" i="2"/>
  <c r="C9343" i="2"/>
  <c r="C9322" i="2"/>
  <c r="C9303" i="2"/>
  <c r="C9284" i="2"/>
  <c r="C9265" i="2"/>
  <c r="C9245" i="2"/>
  <c r="C9225" i="2"/>
  <c r="C9206" i="2"/>
  <c r="C9186" i="2"/>
  <c r="C9167" i="2"/>
  <c r="C9146" i="2"/>
  <c r="C9127" i="2"/>
  <c r="C9108" i="2"/>
  <c r="C9089" i="2"/>
  <c r="C9069" i="2"/>
  <c r="C9049" i="2"/>
  <c r="C9030" i="2"/>
  <c r="C9011" i="2"/>
  <c r="C8992" i="2"/>
  <c r="C8971" i="2"/>
  <c r="C8952" i="2"/>
  <c r="C8933" i="2"/>
  <c r="C8914" i="2"/>
  <c r="C8893" i="2"/>
  <c r="C8873" i="2"/>
  <c r="C8854" i="2"/>
  <c r="C8835" i="2"/>
  <c r="C8816" i="2"/>
  <c r="C8795" i="2"/>
  <c r="C8776" i="2"/>
  <c r="C8757" i="2"/>
  <c r="C8738" i="2"/>
  <c r="C8719" i="2"/>
  <c r="C8698" i="2"/>
  <c r="C8679" i="2"/>
  <c r="C11030" i="2"/>
  <c r="C11001" i="2"/>
  <c r="C10970" i="2"/>
  <c r="C10939" i="2"/>
  <c r="C10913" i="2"/>
  <c r="C10883" i="2"/>
  <c r="C10853" i="2"/>
  <c r="C10822" i="2"/>
  <c r="C10792" i="2"/>
  <c r="C10765" i="2"/>
  <c r="C10736" i="2"/>
  <c r="C10709" i="2"/>
  <c r="C10680" i="2"/>
  <c r="C10655" i="2"/>
  <c r="C10626" i="2"/>
  <c r="C10598" i="2"/>
  <c r="C10569" i="2"/>
  <c r="C10544" i="2"/>
  <c r="C10516" i="2"/>
  <c r="C10487" i="2"/>
  <c r="C10458" i="2"/>
  <c r="C10433" i="2"/>
  <c r="C10405" i="2"/>
  <c r="C10374" i="2"/>
  <c r="C10349" i="2"/>
  <c r="C10320" i="2"/>
  <c r="C10294" i="2"/>
  <c r="C10264" i="2"/>
  <c r="C10237" i="2"/>
  <c r="C10209" i="2"/>
  <c r="C10182" i="2"/>
  <c r="C10154" i="2"/>
  <c r="C10127" i="2"/>
  <c r="C10098" i="2"/>
  <c r="C10071" i="2"/>
  <c r="C10043" i="2"/>
  <c r="C10016" i="2"/>
  <c r="C9988" i="2"/>
  <c r="C9960" i="2"/>
  <c r="C9933" i="2"/>
  <c r="C9906" i="2"/>
  <c r="C9877" i="2"/>
  <c r="C9849" i="2"/>
  <c r="C9823" i="2"/>
  <c r="C9796" i="2"/>
  <c r="C9766" i="2"/>
  <c r="C9738" i="2"/>
  <c r="C9712" i="2"/>
  <c r="C9685" i="2"/>
  <c r="C9655" i="2"/>
  <c r="C9629" i="2"/>
  <c r="C9601" i="2"/>
  <c r="C9574" i="2"/>
  <c r="C9545" i="2"/>
  <c r="C9521" i="2"/>
  <c r="C9495" i="2"/>
  <c r="C9473" i="2"/>
  <c r="C9449" i="2"/>
  <c r="C9424" i="2"/>
  <c r="C9399" i="2"/>
  <c r="C9377" i="2"/>
  <c r="C9353" i="2"/>
  <c r="C9328" i="2"/>
  <c r="C9304" i="2"/>
  <c r="C9281" i="2"/>
  <c r="C9256" i="2"/>
  <c r="C9233" i="2"/>
  <c r="C9208" i="2"/>
  <c r="C9184" i="2"/>
  <c r="C9160" i="2"/>
  <c r="C9138" i="2"/>
  <c r="C9111" i="2"/>
  <c r="C9088" i="2"/>
  <c r="C9064" i="2"/>
  <c r="C9042" i="2"/>
  <c r="C9015" i="2"/>
  <c r="C8993" i="2"/>
  <c r="C8968" i="2"/>
  <c r="C8945" i="2"/>
  <c r="C8920" i="2"/>
  <c r="C8897" i="2"/>
  <c r="C8871" i="2"/>
  <c r="C8849" i="2"/>
  <c r="C8825" i="2"/>
  <c r="C8800" i="2"/>
  <c r="C8775" i="2"/>
  <c r="C8753" i="2"/>
  <c r="C8728" i="2"/>
  <c r="C8704" i="2"/>
  <c r="C8680" i="2"/>
  <c r="C8658" i="2"/>
  <c r="C8634" i="2"/>
  <c r="C8613" i="2"/>
  <c r="C8592" i="2"/>
  <c r="C8567" i="2"/>
  <c r="C8545" i="2"/>
  <c r="C8522" i="2"/>
  <c r="C8501" i="2"/>
  <c r="C8480" i="2"/>
  <c r="C8457" i="2"/>
  <c r="C8435" i="2"/>
  <c r="C8410" i="2"/>
  <c r="C8389" i="2"/>
  <c r="C8368" i="2"/>
  <c r="C8346" i="2"/>
  <c r="C8326" i="2"/>
  <c r="C8306" i="2"/>
  <c r="C8286" i="2"/>
  <c r="C8263" i="2"/>
  <c r="C8242" i="2"/>
  <c r="C8222" i="2"/>
  <c r="C8201" i="2"/>
  <c r="C8181" i="2"/>
  <c r="C8161" i="2"/>
  <c r="C8139" i="2"/>
  <c r="C8117" i="2"/>
  <c r="C8097" i="2"/>
  <c r="C8077" i="2"/>
  <c r="C8055" i="2"/>
  <c r="C8035" i="2"/>
  <c r="C8015" i="2"/>
  <c r="C7994" i="2"/>
  <c r="C7971" i="2"/>
  <c r="C7951" i="2"/>
  <c r="C7930" i="2"/>
  <c r="C7910" i="2"/>
  <c r="C7890" i="2"/>
  <c r="C7869" i="2"/>
  <c r="C7848" i="2"/>
  <c r="C7826" i="2"/>
  <c r="C7806" i="2"/>
  <c r="C7785" i="2"/>
  <c r="C7764" i="2"/>
  <c r="C7744" i="2"/>
  <c r="C7723" i="2"/>
  <c r="C7703" i="2"/>
  <c r="C7680" i="2"/>
  <c r="C7659" i="2"/>
  <c r="C7639" i="2"/>
  <c r="C7619" i="2"/>
  <c r="C7599" i="2"/>
  <c r="C7577" i="2"/>
  <c r="C7557" i="2"/>
  <c r="C7535" i="2"/>
  <c r="C7514" i="2"/>
  <c r="C7493" i="2"/>
  <c r="C7473" i="2"/>
  <c r="C7453" i="2"/>
  <c r="C7432" i="2"/>
  <c r="C7412" i="2"/>
  <c r="C7389" i="2"/>
  <c r="C7368" i="2"/>
  <c r="C7348" i="2"/>
  <c r="C7328" i="2"/>
  <c r="C7307" i="2"/>
  <c r="C7286" i="2"/>
  <c r="C7266" i="2"/>
  <c r="C7243" i="2"/>
  <c r="C7223" i="2"/>
  <c r="C7202" i="2"/>
  <c r="C7182" i="2"/>
  <c r="C7161" i="2"/>
  <c r="C7141" i="2"/>
  <c r="C7121" i="2"/>
  <c r="C7097" i="2"/>
  <c r="C7077" i="2"/>
  <c r="C7057" i="2"/>
  <c r="C7037" i="2"/>
  <c r="C7015" i="2"/>
  <c r="C6995" i="2"/>
  <c r="C6975" i="2"/>
  <c r="C6952" i="2"/>
  <c r="C6932" i="2"/>
  <c r="C6912" i="2"/>
  <c r="C6893" i="2"/>
  <c r="C6874" i="2"/>
  <c r="C6855" i="2"/>
  <c r="C6836" i="2"/>
  <c r="C6814" i="2"/>
  <c r="C6795" i="2"/>
  <c r="C6776" i="2"/>
  <c r="C6757" i="2"/>
  <c r="C6737" i="2"/>
  <c r="C6718" i="2"/>
  <c r="C6699" i="2"/>
  <c r="C6678" i="2"/>
  <c r="C6658" i="2"/>
  <c r="C6639" i="2"/>
  <c r="C6620" i="2"/>
  <c r="C6601" i="2"/>
  <c r="C6582" i="2"/>
  <c r="C6562" i="2"/>
  <c r="C6541" i="2"/>
  <c r="C6522" i="2"/>
  <c r="C6503" i="2"/>
  <c r="C6484" i="2"/>
  <c r="C6464" i="2"/>
  <c r="C6445" i="2"/>
  <c r="C6426" i="2"/>
  <c r="C6405" i="2"/>
  <c r="C6385" i="2"/>
  <c r="C6366" i="2"/>
  <c r="C6347" i="2"/>
  <c r="C6328" i="2"/>
  <c r="C6309" i="2"/>
  <c r="C6289" i="2"/>
  <c r="C6268" i="2"/>
  <c r="C6249" i="2"/>
  <c r="C6230" i="2"/>
  <c r="C6210" i="2"/>
  <c r="C6191" i="2"/>
  <c r="C6172" i="2"/>
  <c r="C6153" i="2"/>
  <c r="C6132" i="2"/>
  <c r="C6112" i="2"/>
  <c r="C6093" i="2"/>
  <c r="C6074" i="2"/>
  <c r="C6055" i="2"/>
  <c r="C6036" i="2"/>
  <c r="C6016" i="2"/>
  <c r="C5995" i="2"/>
  <c r="C5976" i="2"/>
  <c r="C5957" i="2"/>
  <c r="C5937" i="2"/>
  <c r="C5918" i="2"/>
  <c r="C5899" i="2"/>
  <c r="C5880" i="2"/>
  <c r="C5858" i="2"/>
  <c r="C5839" i="2"/>
  <c r="C5820" i="2"/>
  <c r="C5801" i="2"/>
  <c r="C5782" i="2"/>
  <c r="C5762" i="2"/>
  <c r="C5743" i="2"/>
  <c r="C5722" i="2"/>
  <c r="C5703" i="2"/>
  <c r="C5684" i="2"/>
  <c r="C5664" i="2"/>
  <c r="C5645" i="2"/>
  <c r="C5626" i="2"/>
  <c r="C5607" i="2"/>
  <c r="C5585" i="2"/>
  <c r="C5566" i="2"/>
  <c r="C5547" i="2"/>
  <c r="C5528" i="2"/>
  <c r="C5509" i="2"/>
  <c r="C5489" i="2"/>
  <c r="C5470" i="2"/>
  <c r="C5449" i="2"/>
  <c r="C5430" i="2"/>
  <c r="C5410" i="2"/>
  <c r="C5391" i="2"/>
  <c r="C5372" i="2"/>
  <c r="C5353" i="2"/>
  <c r="C5334" i="2"/>
  <c r="C5312" i="2"/>
  <c r="C5293" i="2"/>
  <c r="C5274" i="2"/>
  <c r="C5255" i="2"/>
  <c r="C5236" i="2"/>
  <c r="C5216" i="2"/>
  <c r="C5197" i="2"/>
  <c r="C5176" i="2"/>
  <c r="C5157" i="2"/>
  <c r="C5137" i="2"/>
  <c r="C5118" i="2"/>
  <c r="C5099" i="2"/>
  <c r="C5080" i="2"/>
  <c r="C5061" i="2"/>
  <c r="C5039" i="2"/>
  <c r="C5021" i="2"/>
  <c r="C5003" i="2"/>
  <c r="C4985" i="2"/>
  <c r="C4967" i="2"/>
  <c r="C4949" i="2"/>
  <c r="C4931" i="2"/>
  <c r="C4911" i="2"/>
  <c r="C4893" i="2"/>
  <c r="C4875" i="2"/>
  <c r="C4857" i="2"/>
  <c r="C4839" i="2"/>
  <c r="C4821" i="2"/>
  <c r="C4803" i="2"/>
  <c r="C4783" i="2"/>
  <c r="C4765" i="2"/>
  <c r="C4747" i="2"/>
  <c r="C4729" i="2"/>
  <c r="C4711" i="2"/>
  <c r="C4693" i="2"/>
  <c r="C4675" i="2"/>
  <c r="C4655" i="2"/>
  <c r="C4637" i="2"/>
  <c r="C4619" i="2"/>
  <c r="C4601" i="2"/>
  <c r="C4583" i="2"/>
  <c r="C4565" i="2"/>
  <c r="C4547" i="2"/>
  <c r="C4527" i="2"/>
  <c r="C4509" i="2"/>
  <c r="C4491" i="2"/>
  <c r="C4473" i="2"/>
  <c r="C4455" i="2"/>
  <c r="C4437" i="2"/>
  <c r="C4419" i="2"/>
  <c r="C4399" i="2"/>
  <c r="C4381" i="2"/>
  <c r="C4363" i="2"/>
  <c r="C4345" i="2"/>
  <c r="C4327" i="2"/>
  <c r="C4309" i="2"/>
  <c r="C4291" i="2"/>
  <c r="C4271" i="2"/>
  <c r="C4253" i="2"/>
  <c r="C4235" i="2"/>
  <c r="C4217" i="2"/>
  <c r="C4199" i="2"/>
  <c r="C4181" i="2"/>
  <c r="C4163" i="2"/>
  <c r="C4143" i="2"/>
  <c r="C4125" i="2"/>
  <c r="C4107" i="2"/>
  <c r="C4089" i="2"/>
  <c r="C4071" i="2"/>
  <c r="C4053" i="2"/>
  <c r="C4035" i="2"/>
  <c r="C4015" i="2"/>
  <c r="C3997" i="2"/>
  <c r="C3979" i="2"/>
  <c r="C3961" i="2"/>
  <c r="C3943" i="2"/>
  <c r="C3925" i="2"/>
  <c r="C3907" i="2"/>
  <c r="C3887" i="2"/>
  <c r="C3869" i="2"/>
  <c r="C3851" i="2"/>
  <c r="C3833" i="2"/>
  <c r="C3815" i="2"/>
  <c r="C3797" i="2"/>
  <c r="C3779" i="2"/>
  <c r="C3759" i="2"/>
  <c r="C3741" i="2"/>
  <c r="C3723" i="2"/>
  <c r="C3705" i="2"/>
  <c r="C3687" i="2"/>
  <c r="C3669" i="2"/>
  <c r="C3651" i="2"/>
  <c r="C3631" i="2"/>
  <c r="C3613" i="2"/>
  <c r="C3595" i="2"/>
  <c r="C3577" i="2"/>
  <c r="C3559" i="2"/>
  <c r="C3541" i="2"/>
  <c r="C3523" i="2"/>
  <c r="C3503" i="2"/>
  <c r="C3485" i="2"/>
  <c r="C3467" i="2"/>
  <c r="C3449" i="2"/>
  <c r="C3431" i="2"/>
  <c r="C3413" i="2"/>
  <c r="C3395" i="2"/>
  <c r="C3375" i="2"/>
  <c r="C3357" i="2"/>
  <c r="C3339" i="2"/>
  <c r="C3321" i="2"/>
  <c r="C3303" i="2"/>
  <c r="C3285" i="2"/>
  <c r="C3267" i="2"/>
  <c r="C3247" i="2"/>
  <c r="C3229" i="2"/>
  <c r="C3211" i="2"/>
  <c r="C3193" i="2"/>
  <c r="C3175" i="2"/>
  <c r="C3157" i="2"/>
  <c r="C3140" i="2"/>
  <c r="C3123" i="2"/>
  <c r="C3106" i="2"/>
  <c r="C3089" i="2"/>
  <c r="C3071" i="2"/>
  <c r="C3054" i="2"/>
  <c r="C3037" i="2"/>
  <c r="C3020" i="2"/>
  <c r="C3003" i="2"/>
  <c r="C2986" i="2"/>
  <c r="C2969" i="2"/>
  <c r="C2952" i="2"/>
  <c r="C2935" i="2"/>
  <c r="C2918" i="2"/>
  <c r="C2901" i="2"/>
  <c r="C2884" i="2"/>
  <c r="C2867" i="2"/>
  <c r="C2850" i="2"/>
  <c r="C2833" i="2"/>
  <c r="C2815" i="2"/>
  <c r="C2798" i="2"/>
  <c r="C2781" i="2"/>
  <c r="C2764" i="2"/>
  <c r="C2747" i="2"/>
  <c r="C2730" i="2"/>
  <c r="C2713" i="2"/>
  <c r="C2696" i="2"/>
  <c r="C2679" i="2"/>
  <c r="C2662" i="2"/>
  <c r="C2645" i="2"/>
  <c r="C2628" i="2"/>
  <c r="C2611" i="2"/>
  <c r="C2594" i="2"/>
  <c r="C2577" i="2"/>
  <c r="C2559" i="2"/>
  <c r="C2542" i="2"/>
  <c r="C2525" i="2"/>
  <c r="C2508" i="2"/>
  <c r="C2491" i="2"/>
  <c r="C2474" i="2"/>
  <c r="C2457" i="2"/>
  <c r="C2440" i="2"/>
  <c r="C2423" i="2"/>
  <c r="C2406" i="2"/>
  <c r="C2389" i="2"/>
  <c r="C2372" i="2"/>
  <c r="C2355" i="2"/>
  <c r="C2338" i="2"/>
  <c r="C2321" i="2"/>
  <c r="C2303" i="2"/>
  <c r="C2286" i="2"/>
  <c r="C2269" i="2"/>
  <c r="C2252" i="2"/>
  <c r="C2235" i="2"/>
  <c r="C2218" i="2"/>
  <c r="C2201" i="2"/>
  <c r="C2184" i="2"/>
  <c r="C2167" i="2"/>
  <c r="C2150" i="2"/>
  <c r="C2133" i="2"/>
  <c r="C2116" i="2"/>
  <c r="C2099" i="2"/>
  <c r="C2082" i="2"/>
  <c r="C2065" i="2"/>
  <c r="C2047" i="2"/>
  <c r="C2030" i="2"/>
  <c r="C2013" i="2"/>
  <c r="C1996" i="2"/>
  <c r="C1979" i="2"/>
  <c r="C1962" i="2"/>
  <c r="C1945" i="2"/>
  <c r="C1928" i="2"/>
  <c r="C1911" i="2"/>
  <c r="C1894" i="2"/>
  <c r="C1877" i="2"/>
  <c r="C1860" i="2"/>
  <c r="C1843" i="2"/>
  <c r="C1826" i="2"/>
  <c r="C1809" i="2"/>
  <c r="C1791" i="2"/>
  <c r="C1774" i="2"/>
  <c r="C1757" i="2"/>
  <c r="C1740" i="2"/>
  <c r="C1723" i="2"/>
  <c r="C1706" i="2"/>
  <c r="C1689" i="2"/>
  <c r="C1672" i="2"/>
  <c r="C1655" i="2"/>
  <c r="C1638" i="2"/>
  <c r="C1621" i="2"/>
  <c r="C1604" i="2"/>
  <c r="C1587" i="2"/>
  <c r="C1570" i="2"/>
  <c r="C1553" i="2"/>
  <c r="C1535" i="2"/>
  <c r="C1518" i="2"/>
  <c r="C1501" i="2"/>
  <c r="C1484" i="2"/>
  <c r="C1467" i="2"/>
  <c r="C1450" i="2"/>
  <c r="C1433" i="2"/>
  <c r="C1416" i="2"/>
  <c r="C1399" i="2"/>
  <c r="C1382" i="2"/>
  <c r="C1365" i="2"/>
  <c r="C1348" i="2"/>
  <c r="C1331" i="2"/>
  <c r="C1314" i="2"/>
  <c r="C1297" i="2"/>
  <c r="C1279" i="2"/>
  <c r="C1262" i="2"/>
  <c r="C1245" i="2"/>
  <c r="C1228" i="2"/>
  <c r="C1211" i="2"/>
  <c r="C1194" i="2"/>
  <c r="C1177" i="2"/>
  <c r="C1160" i="2"/>
  <c r="C1143" i="2"/>
  <c r="C1126" i="2"/>
  <c r="C1109" i="2"/>
  <c r="C1092" i="2"/>
  <c r="C1075" i="2"/>
  <c r="C1058" i="2"/>
  <c r="C1041" i="2"/>
  <c r="C1024" i="2"/>
  <c r="C1008" i="2"/>
  <c r="C992" i="2"/>
  <c r="C976" i="2"/>
  <c r="C960" i="2"/>
  <c r="C944" i="2"/>
  <c r="C928" i="2"/>
  <c r="C912" i="2"/>
  <c r="C896" i="2"/>
  <c r="C880" i="2"/>
  <c r="C864" i="2"/>
  <c r="C848" i="2"/>
  <c r="C832" i="2"/>
  <c r="C816" i="2"/>
  <c r="C800" i="2"/>
  <c r="C784" i="2"/>
  <c r="C768" i="2"/>
  <c r="C752" i="2"/>
  <c r="C736" i="2"/>
  <c r="C720" i="2"/>
  <c r="C704" i="2"/>
  <c r="C688" i="2"/>
  <c r="C672" i="2"/>
  <c r="C656" i="2"/>
  <c r="C640" i="2"/>
  <c r="C624" i="2"/>
  <c r="C608" i="2"/>
  <c r="C592" i="2"/>
  <c r="C576" i="2"/>
  <c r="C560" i="2"/>
  <c r="C544" i="2"/>
  <c r="C528" i="2"/>
  <c r="C512" i="2"/>
  <c r="C496" i="2"/>
  <c r="C480" i="2"/>
  <c r="C464" i="2"/>
  <c r="C448" i="2"/>
  <c r="C432" i="2"/>
  <c r="C416" i="2"/>
  <c r="C400" i="2"/>
  <c r="C384" i="2"/>
  <c r="C368" i="2"/>
  <c r="C352" i="2"/>
  <c r="C336" i="2"/>
  <c r="C320" i="2"/>
  <c r="C304" i="2"/>
  <c r="C288" i="2"/>
  <c r="C272" i="2"/>
  <c r="C256" i="2"/>
  <c r="C240" i="2"/>
  <c r="C224" i="2"/>
  <c r="C208" i="2"/>
  <c r="C192" i="2"/>
  <c r="C176" i="2"/>
  <c r="C160" i="2"/>
  <c r="C144" i="2"/>
  <c r="C128" i="2"/>
  <c r="C112" i="2"/>
  <c r="C96" i="2"/>
  <c r="C80" i="2"/>
  <c r="C64" i="2"/>
  <c r="C48" i="2"/>
  <c r="C32" i="2"/>
  <c r="C16" i="2"/>
  <c r="C11019" i="2"/>
  <c r="C10989" i="2"/>
  <c r="C10959" i="2"/>
  <c r="C10927" i="2"/>
  <c r="C10895" i="2"/>
  <c r="C10864" i="2"/>
  <c r="C10832" i="2"/>
  <c r="C10802" i="2"/>
  <c r="C10770" i="2"/>
  <c r="C10740" i="2"/>
  <c r="C10710" i="2"/>
  <c r="C10679" i="2"/>
  <c r="C10651" i="2"/>
  <c r="C10619" i="2"/>
  <c r="C10591" i="2"/>
  <c r="C10563" i="2"/>
  <c r="C10532" i="2"/>
  <c r="C10501" i="2"/>
  <c r="C10473" i="2"/>
  <c r="C10442" i="2"/>
  <c r="C10415" i="2"/>
  <c r="C10386" i="2"/>
  <c r="C10355" i="2"/>
  <c r="C10326" i="2"/>
  <c r="C10296" i="2"/>
  <c r="C10269" i="2"/>
  <c r="C10235" i="2"/>
  <c r="C10207" i="2"/>
  <c r="C10179" i="2"/>
  <c r="C10148" i="2"/>
  <c r="C10117" i="2"/>
  <c r="C10089" i="2"/>
  <c r="C10058" i="2"/>
  <c r="C10031" i="2"/>
  <c r="C10002" i="2"/>
  <c r="C9970" i="2"/>
  <c r="C9941" i="2"/>
  <c r="C9912" i="2"/>
  <c r="C9883" i="2"/>
  <c r="C9853" i="2"/>
  <c r="C9824" i="2"/>
  <c r="C9794" i="2"/>
  <c r="C9764" i="2"/>
  <c r="C9733" i="2"/>
  <c r="C9705" i="2"/>
  <c r="C9674" i="2"/>
  <c r="C9647" i="2"/>
  <c r="C9618" i="2"/>
  <c r="C9586" i="2"/>
  <c r="C9557" i="2"/>
  <c r="C9529" i="2"/>
  <c r="C9504" i="2"/>
  <c r="C9477" i="2"/>
  <c r="C9453" i="2"/>
  <c r="C9428" i="2"/>
  <c r="C9401" i="2"/>
  <c r="C9376" i="2"/>
  <c r="C9349" i="2"/>
  <c r="C9323" i="2"/>
  <c r="C9299" i="2"/>
  <c r="C9273" i="2"/>
  <c r="C9248" i="2"/>
  <c r="C9221" i="2"/>
  <c r="C9197" i="2"/>
  <c r="C9171" i="2"/>
  <c r="C9144" i="2"/>
  <c r="C9121" i="2"/>
  <c r="C9093" i="2"/>
  <c r="C9067" i="2"/>
  <c r="C9044" i="2"/>
  <c r="C9017" i="2"/>
  <c r="C8991" i="2"/>
  <c r="C8965" i="2"/>
  <c r="C8939" i="2"/>
  <c r="C8915" i="2"/>
  <c r="C8888" i="2"/>
  <c r="C8865" i="2"/>
  <c r="C8837" i="2"/>
  <c r="C8811" i="2"/>
  <c r="C8788" i="2"/>
  <c r="C8760" i="2"/>
  <c r="C8736" i="2"/>
  <c r="C8710" i="2"/>
  <c r="C8683" i="2"/>
  <c r="C8660" i="2"/>
  <c r="C8635" i="2"/>
  <c r="C8612" i="2"/>
  <c r="C8586" i="2"/>
  <c r="C8563" i="2"/>
  <c r="C8539" i="2"/>
  <c r="C8517" i="2"/>
  <c r="C8495" i="2"/>
  <c r="C8468" i="2"/>
  <c r="C8445" i="2"/>
  <c r="C8422" i="2"/>
  <c r="C8399" i="2"/>
  <c r="C8374" i="2"/>
  <c r="C8352" i="2"/>
  <c r="C8329" i="2"/>
  <c r="C8308" i="2"/>
  <c r="C8287" i="2"/>
  <c r="C8261" i="2"/>
  <c r="C8240" i="2"/>
  <c r="C8218" i="2"/>
  <c r="C8197" i="2"/>
  <c r="C8174" i="2"/>
  <c r="C8151" i="2"/>
  <c r="C8130" i="2"/>
  <c r="C8107" i="2"/>
  <c r="C8086" i="2"/>
  <c r="C8063" i="2"/>
  <c r="C8041" i="2"/>
  <c r="C8019" i="2"/>
  <c r="C7998" i="2"/>
  <c r="C7976" i="2"/>
  <c r="C7952" i="2"/>
  <c r="C7929" i="2"/>
  <c r="C7908" i="2"/>
  <c r="C7886" i="2"/>
  <c r="C7862" i="2"/>
  <c r="C7841" i="2"/>
  <c r="C7819" i="2"/>
  <c r="C7797" i="2"/>
  <c r="C7776" i="2"/>
  <c r="C7752" i="2"/>
  <c r="C7730" i="2"/>
  <c r="C7709" i="2"/>
  <c r="C7687" i="2"/>
  <c r="C7664" i="2"/>
  <c r="C7641" i="2"/>
  <c r="C7620" i="2"/>
  <c r="C7598" i="2"/>
  <c r="C7575" i="2"/>
  <c r="C7552" i="2"/>
  <c r="C7530" i="2"/>
  <c r="C7508" i="2"/>
  <c r="C7487" i="2"/>
  <c r="C7464" i="2"/>
  <c r="C7441" i="2"/>
  <c r="C7419" i="2"/>
  <c r="C7398" i="2"/>
  <c r="C7377" i="2"/>
  <c r="C7352" i="2"/>
  <c r="C7331" i="2"/>
  <c r="C7310" i="2"/>
  <c r="C7287" i="2"/>
  <c r="C7264" i="2"/>
  <c r="C7241" i="2"/>
  <c r="C7219" i="2"/>
  <c r="C7198" i="2"/>
  <c r="C7176" i="2"/>
  <c r="C7152" i="2"/>
  <c r="C7130" i="2"/>
  <c r="C7109" i="2"/>
  <c r="C7088" i="2"/>
  <c r="C7065" i="2"/>
  <c r="C7042" i="2"/>
  <c r="C7021" i="2"/>
  <c r="C6998" i="2"/>
  <c r="C6977" i="2"/>
  <c r="C6954" i="2"/>
  <c r="C6930" i="2"/>
  <c r="C6910" i="2"/>
  <c r="C6890" i="2"/>
  <c r="C6870" i="2"/>
  <c r="C6847" i="2"/>
  <c r="C6827" i="2"/>
  <c r="C6807" i="2"/>
  <c r="C6786" i="2"/>
  <c r="C6765" i="2"/>
  <c r="C6744" i="2"/>
  <c r="C6724" i="2"/>
  <c r="C6703" i="2"/>
  <c r="C6683" i="2"/>
  <c r="C6661" i="2"/>
  <c r="C6640" i="2"/>
  <c r="C6619" i="2"/>
  <c r="C6599" i="2"/>
  <c r="C6577" i="2"/>
  <c r="C6556" i="2"/>
  <c r="C6536" i="2"/>
  <c r="C6516" i="2"/>
  <c r="C6495" i="2"/>
  <c r="C6473" i="2"/>
  <c r="C6453" i="2"/>
  <c r="C6432" i="2"/>
  <c r="C11029" i="2"/>
  <c r="C10994" i="2"/>
  <c r="C10963" i="2"/>
  <c r="C10929" i="2"/>
  <c r="C10893" i="2"/>
  <c r="C10861" i="2"/>
  <c r="C10826" i="2"/>
  <c r="C10791" i="2"/>
  <c r="C10757" i="2"/>
  <c r="C10727" i="2"/>
  <c r="C10697" i="2"/>
  <c r="C10664" i="2"/>
  <c r="C10634" i="2"/>
  <c r="C10602" i="2"/>
  <c r="C10570" i="2"/>
  <c r="C10538" i="2"/>
  <c r="C10507" i="2"/>
  <c r="C10477" i="2"/>
  <c r="C10445" i="2"/>
  <c r="C10410" i="2"/>
  <c r="C10383" i="2"/>
  <c r="C10351" i="2"/>
  <c r="C10317" i="2"/>
  <c r="C10287" i="2"/>
  <c r="C10255" i="2"/>
  <c r="C10225" i="2"/>
  <c r="C10192" i="2"/>
  <c r="C10162" i="2"/>
  <c r="C10131" i="2"/>
  <c r="C10097" i="2"/>
  <c r="C10068" i="2"/>
  <c r="C10035" i="2"/>
  <c r="C10004" i="2"/>
  <c r="C9972" i="2"/>
  <c r="C9940" i="2"/>
  <c r="C9910" i="2"/>
  <c r="C9876" i="2"/>
  <c r="C9844" i="2"/>
  <c r="C9813" i="2"/>
  <c r="C9782" i="2"/>
  <c r="C9751" i="2"/>
  <c r="C9720" i="2"/>
  <c r="C9688" i="2"/>
  <c r="C9657" i="2"/>
  <c r="C9623" i="2"/>
  <c r="C9594" i="2"/>
  <c r="C9562" i="2"/>
  <c r="C9531" i="2"/>
  <c r="C9506" i="2"/>
  <c r="C9476" i="2"/>
  <c r="C9450" i="2"/>
  <c r="C9421" i="2"/>
  <c r="C9395" i="2"/>
  <c r="C9366" i="2"/>
  <c r="C9339" i="2"/>
  <c r="C9314" i="2"/>
  <c r="C9286" i="2"/>
  <c r="C9258" i="2"/>
  <c r="C9231" i="2"/>
  <c r="C9203" i="2"/>
  <c r="C9177" i="2"/>
  <c r="C9149" i="2"/>
  <c r="C9123" i="2"/>
  <c r="C9096" i="2"/>
  <c r="C9066" i="2"/>
  <c r="C9040" i="2"/>
  <c r="C9012" i="2"/>
  <c r="C8984" i="2"/>
  <c r="C8957" i="2"/>
  <c r="C8930" i="2"/>
  <c r="C8904" i="2"/>
  <c r="C8877" i="2"/>
  <c r="C8850" i="2"/>
  <c r="C8820" i="2"/>
  <c r="C8793" i="2"/>
  <c r="C8769" i="2"/>
  <c r="C8740" i="2"/>
  <c r="C8713" i="2"/>
  <c r="C8687" i="2"/>
  <c r="C8659" i="2"/>
  <c r="C8632" i="2"/>
  <c r="C8607" i="2"/>
  <c r="C8581" i="2"/>
  <c r="C8557" i="2"/>
  <c r="C8533" i="2"/>
  <c r="C8505" i="2"/>
  <c r="C8482" i="2"/>
  <c r="C8456" i="2"/>
  <c r="C8429" i="2"/>
  <c r="C8405" i="2"/>
  <c r="C8379" i="2"/>
  <c r="C8356" i="2"/>
  <c r="C8333" i="2"/>
  <c r="C8309" i="2"/>
  <c r="C8283" i="2"/>
  <c r="C8259" i="2"/>
  <c r="C8237" i="2"/>
  <c r="C8214" i="2"/>
  <c r="C8189" i="2"/>
  <c r="C8166" i="2"/>
  <c r="C8144" i="2"/>
  <c r="C8119" i="2"/>
  <c r="C8095" i="2"/>
  <c r="C8071" i="2"/>
  <c r="C8049" i="2"/>
  <c r="C8024" i="2"/>
  <c r="C8001" i="2"/>
  <c r="C7978" i="2"/>
  <c r="C7953" i="2"/>
  <c r="C7928" i="2"/>
  <c r="C7906" i="2"/>
  <c r="C7880" i="2"/>
  <c r="C7858" i="2"/>
  <c r="C7834" i="2"/>
  <c r="C7812" i="2"/>
  <c r="C7787" i="2"/>
  <c r="C7763" i="2"/>
  <c r="C7741" i="2"/>
  <c r="C7715" i="2"/>
  <c r="C7693" i="2"/>
  <c r="C7670" i="2"/>
  <c r="C7646" i="2"/>
  <c r="C7622" i="2"/>
  <c r="C7600" i="2"/>
  <c r="C7573" i="2"/>
  <c r="C7550" i="2"/>
  <c r="C7526" i="2"/>
  <c r="C7504" i="2"/>
  <c r="C7479" i="2"/>
  <c r="C7456" i="2"/>
  <c r="C7433" i="2"/>
  <c r="C7407" i="2"/>
  <c r="C7384" i="2"/>
  <c r="C7362" i="2"/>
  <c r="C7338" i="2"/>
  <c r="C7314" i="2"/>
  <c r="C7291" i="2"/>
  <c r="C7268" i="2"/>
  <c r="C7242" i="2"/>
  <c r="C7218" i="2"/>
  <c r="C7195" i="2"/>
  <c r="C7171" i="2"/>
  <c r="C7147" i="2"/>
  <c r="C7125" i="2"/>
  <c r="C7103" i="2"/>
  <c r="C7076" i="2"/>
  <c r="C7054" i="2"/>
  <c r="C7030" i="2"/>
  <c r="C7006" i="2"/>
  <c r="C6983" i="2"/>
  <c r="C6960" i="2"/>
  <c r="C6936" i="2"/>
  <c r="C6913" i="2"/>
  <c r="C6891" i="2"/>
  <c r="C6868" i="2"/>
  <c r="C6845" i="2"/>
  <c r="C6824" i="2"/>
  <c r="C6802" i="2"/>
  <c r="C6779" i="2"/>
  <c r="C6758" i="2"/>
  <c r="C6735" i="2"/>
  <c r="C6712" i="2"/>
  <c r="C6690" i="2"/>
  <c r="C6669" i="2"/>
  <c r="C6648" i="2"/>
  <c r="C6624" i="2"/>
  <c r="C6603" i="2"/>
  <c r="C6581" i="2"/>
  <c r="C11026" i="2"/>
  <c r="C10991" i="2"/>
  <c r="C10957" i="2"/>
  <c r="C10921" i="2"/>
  <c r="C10890" i="2"/>
  <c r="C10856" i="2"/>
  <c r="C10821" i="2"/>
  <c r="C10789" i="2"/>
  <c r="C10755" i="2"/>
  <c r="C10725" i="2"/>
  <c r="C10693" i="2"/>
  <c r="C10661" i="2"/>
  <c r="C10630" i="2"/>
  <c r="C10599" i="2"/>
  <c r="C10566" i="2"/>
  <c r="C10535" i="2"/>
  <c r="C10502" i="2"/>
  <c r="C10472" i="2"/>
  <c r="C10440" i="2"/>
  <c r="C10408" i="2"/>
  <c r="C10378" i="2"/>
  <c r="C10344" i="2"/>
  <c r="C10314" i="2"/>
  <c r="C10281" i="2"/>
  <c r="C10251" i="2"/>
  <c r="C10221" i="2"/>
  <c r="C10187" i="2"/>
  <c r="C10160" i="2"/>
  <c r="C10125" i="2"/>
  <c r="C10095" i="2"/>
  <c r="C10063" i="2"/>
  <c r="C10032" i="2"/>
  <c r="C10000" i="2"/>
  <c r="C9968" i="2"/>
  <c r="C9936" i="2"/>
  <c r="C9904" i="2"/>
  <c r="C9872" i="2"/>
  <c r="C9842" i="2"/>
  <c r="C9811" i="2"/>
  <c r="C9779" i="2"/>
  <c r="C9748" i="2"/>
  <c r="C9715" i="2"/>
  <c r="C9686" i="2"/>
  <c r="C9652" i="2"/>
  <c r="C9621" i="2"/>
  <c r="C9591" i="2"/>
  <c r="C9558" i="2"/>
  <c r="C9528" i="2"/>
  <c r="C9501" i="2"/>
  <c r="C9474" i="2"/>
  <c r="C9445" i="2"/>
  <c r="C9417" i="2"/>
  <c r="C9393" i="2"/>
  <c r="C9364" i="2"/>
  <c r="C9337" i="2"/>
  <c r="C9311" i="2"/>
  <c r="C9283" i="2"/>
  <c r="C9255" i="2"/>
  <c r="C9227" i="2"/>
  <c r="C9201" i="2"/>
  <c r="C9174" i="2"/>
  <c r="C9145" i="2"/>
  <c r="C9120" i="2"/>
  <c r="C9091" i="2"/>
  <c r="C9063" i="2"/>
  <c r="C9034" i="2"/>
  <c r="C9009" i="2"/>
  <c r="C8982" i="2"/>
  <c r="C8954" i="2"/>
  <c r="C8928" i="2"/>
  <c r="C8901" i="2"/>
  <c r="C8872" i="2"/>
  <c r="C8847" i="2"/>
  <c r="C8818" i="2"/>
  <c r="C8791" i="2"/>
  <c r="C8763" i="2"/>
  <c r="C8737" i="2"/>
  <c r="C8709" i="2"/>
  <c r="C8681" i="2"/>
  <c r="C8655" i="2"/>
  <c r="C8630" i="2"/>
  <c r="C8603" i="2"/>
  <c r="C8579" i="2"/>
  <c r="C8554" i="2"/>
  <c r="C8528" i="2"/>
  <c r="C8503" i="2"/>
  <c r="C8479" i="2"/>
  <c r="C8452" i="2"/>
  <c r="C8426" i="2"/>
  <c r="C8403" i="2"/>
  <c r="C8377" i="2"/>
  <c r="C8353" i="2"/>
  <c r="C8328" i="2"/>
  <c r="C8305" i="2"/>
  <c r="C8280" i="2"/>
  <c r="C8257" i="2"/>
  <c r="C8234" i="2"/>
  <c r="C8210" i="2"/>
  <c r="C8186" i="2"/>
  <c r="C8164" i="2"/>
  <c r="C8141" i="2"/>
  <c r="C8115" i="2"/>
  <c r="C8093" i="2"/>
  <c r="C8069" i="2"/>
  <c r="C8045" i="2"/>
  <c r="C8021" i="2"/>
  <c r="C7999" i="2"/>
  <c r="C7974" i="2"/>
  <c r="C7949" i="2"/>
  <c r="C7926" i="2"/>
  <c r="C7903" i="2"/>
  <c r="C7878" i="2"/>
  <c r="C7856" i="2"/>
  <c r="C7832" i="2"/>
  <c r="C7808" i="2"/>
  <c r="C7783" i="2"/>
  <c r="C7761" i="2"/>
  <c r="C7737" i="2"/>
  <c r="C7713" i="2"/>
  <c r="C7690" i="2"/>
  <c r="C7668" i="2"/>
  <c r="C7642" i="2"/>
  <c r="C7618" i="2"/>
  <c r="C7594" i="2"/>
  <c r="C7570" i="2"/>
  <c r="C7547" i="2"/>
  <c r="C7524" i="2"/>
  <c r="C7501" i="2"/>
  <c r="C7476" i="2"/>
  <c r="C7454" i="2"/>
  <c r="C7430" i="2"/>
  <c r="C7405" i="2"/>
  <c r="C7382" i="2"/>
  <c r="C7360" i="2"/>
  <c r="C7334" i="2"/>
  <c r="C7312" i="2"/>
  <c r="C7288" i="2"/>
  <c r="C7262" i="2"/>
  <c r="C7239" i="2"/>
  <c r="C7216" i="2"/>
  <c r="C7193" i="2"/>
  <c r="C7168" i="2"/>
  <c r="C7145" i="2"/>
  <c r="C7123" i="2"/>
  <c r="C7096" i="2"/>
  <c r="C7074" i="2"/>
  <c r="C7051" i="2"/>
  <c r="C7027" i="2"/>
  <c r="C7003" i="2"/>
  <c r="C6980" i="2"/>
  <c r="C6958" i="2"/>
  <c r="C6933" i="2"/>
  <c r="C6909" i="2"/>
  <c r="C6888" i="2"/>
  <c r="C6864" i="2"/>
  <c r="C6843" i="2"/>
  <c r="C6822" i="2"/>
  <c r="C6799" i="2"/>
  <c r="C6777" i="2"/>
  <c r="C6754" i="2"/>
  <c r="C6733" i="2"/>
  <c r="C6710" i="2"/>
  <c r="C6688" i="2"/>
  <c r="C6667" i="2"/>
  <c r="C6644" i="2"/>
  <c r="C6622" i="2"/>
  <c r="C6600" i="2"/>
  <c r="C6575" i="2"/>
  <c r="C6554" i="2"/>
  <c r="C6533" i="2"/>
  <c r="C6511" i="2"/>
  <c r="C6488" i="2"/>
  <c r="C6466" i="2"/>
  <c r="C6444" i="2"/>
  <c r="C6421" i="2"/>
  <c r="C6400" i="2"/>
  <c r="C6380" i="2"/>
  <c r="C6360" i="2"/>
  <c r="C6338" i="2"/>
  <c r="C6317" i="2"/>
  <c r="C6297" i="2"/>
  <c r="C6277" i="2"/>
  <c r="C6256" i="2"/>
  <c r="C6234" i="2"/>
  <c r="C6214" i="2"/>
  <c r="C6193" i="2"/>
  <c r="C6173" i="2"/>
  <c r="C6151" i="2"/>
  <c r="C6129" i="2"/>
  <c r="C6109" i="2"/>
  <c r="C6089" i="2"/>
  <c r="C6069" i="2"/>
  <c r="C6046" i="2"/>
  <c r="C6026" i="2"/>
  <c r="C6006" i="2"/>
  <c r="C11044" i="2"/>
  <c r="C11011" i="2"/>
  <c r="C10981" i="2"/>
  <c r="C10946" i="2"/>
  <c r="C10912" i="2"/>
  <c r="C10875" i="2"/>
  <c r="C10843" i="2"/>
  <c r="C10810" i="2"/>
  <c r="C10776" i="2"/>
  <c r="C10745" i="2"/>
  <c r="C10712" i="2"/>
  <c r="C10681" i="2"/>
  <c r="C10647" i="2"/>
  <c r="C10616" i="2"/>
  <c r="C10586" i="2"/>
  <c r="C10553" i="2"/>
  <c r="C10523" i="2"/>
  <c r="C10493" i="2"/>
  <c r="C10461" i="2"/>
  <c r="C10427" i="2"/>
  <c r="C10397" i="2"/>
  <c r="C10365" i="2"/>
  <c r="C10336" i="2"/>
  <c r="C10305" i="2"/>
  <c r="C10273" i="2"/>
  <c r="C10241" i="2"/>
  <c r="C10208" i="2"/>
  <c r="C10177" i="2"/>
  <c r="C10144" i="2"/>
  <c r="C10114" i="2"/>
  <c r="C10081" i="2"/>
  <c r="C10051" i="2"/>
  <c r="C10021" i="2"/>
  <c r="C9986" i="2"/>
  <c r="C9957" i="2"/>
  <c r="C9924" i="2"/>
  <c r="C9893" i="2"/>
  <c r="C9862" i="2"/>
  <c r="C9831" i="2"/>
  <c r="C9800" i="2"/>
  <c r="C9767" i="2"/>
  <c r="C9734" i="2"/>
  <c r="C9703" i="2"/>
  <c r="C9670" i="2"/>
  <c r="C9640" i="2"/>
  <c r="C9609" i="2"/>
  <c r="C9577" i="2"/>
  <c r="C9547" i="2"/>
  <c r="C9517" i="2"/>
  <c r="C9491" i="2"/>
  <c r="C9463" i="2"/>
  <c r="C9435" i="2"/>
  <c r="C9411" i="2"/>
  <c r="C9382" i="2"/>
  <c r="C9355" i="2"/>
  <c r="C9327" i="2"/>
  <c r="C9300" i="2"/>
  <c r="C9271" i="2"/>
  <c r="C9243" i="2"/>
  <c r="C9218" i="2"/>
  <c r="C9190" i="2"/>
  <c r="C9162" i="2"/>
  <c r="C9136" i="2"/>
  <c r="C9107" i="2"/>
  <c r="C9081" i="2"/>
  <c r="C9053" i="2"/>
  <c r="C9027" i="2"/>
  <c r="C9000" i="2"/>
  <c r="C8973" i="2"/>
  <c r="C8946" i="2"/>
  <c r="C8917" i="2"/>
  <c r="C8889" i="2"/>
  <c r="C8863" i="2"/>
  <c r="C8834" i="2"/>
  <c r="C8808" i="2"/>
  <c r="C8779" i="2"/>
  <c r="C8754" i="2"/>
  <c r="C8725" i="2"/>
  <c r="C8697" i="2"/>
  <c r="C8672" i="2"/>
  <c r="C8645" i="2"/>
  <c r="C8621" i="2"/>
  <c r="C8596" i="2"/>
  <c r="C8571" i="2"/>
  <c r="C8544" i="2"/>
  <c r="C8519" i="2"/>
  <c r="C8496" i="2"/>
  <c r="C8467" i="2"/>
  <c r="C8442" i="2"/>
  <c r="C8418" i="2"/>
  <c r="C8391" i="2"/>
  <c r="C8367" i="2"/>
  <c r="C8343" i="2"/>
  <c r="C8320" i="2"/>
  <c r="C8295" i="2"/>
  <c r="C8273" i="2"/>
  <c r="C8250" i="2"/>
  <c r="C8225" i="2"/>
  <c r="C8202" i="2"/>
  <c r="C8179" i="2"/>
  <c r="C8153" i="2"/>
  <c r="C8131" i="2"/>
  <c r="C8106" i="2"/>
  <c r="C8083" i="2"/>
  <c r="C8059" i="2"/>
  <c r="C8036" i="2"/>
  <c r="C8013" i="2"/>
  <c r="C7987" i="2"/>
  <c r="C7965" i="2"/>
  <c r="C7942" i="2"/>
  <c r="C7917" i="2"/>
  <c r="C7894" i="2"/>
  <c r="C7872" i="2"/>
  <c r="C7846" i="2"/>
  <c r="C7823" i="2"/>
  <c r="C7799" i="2"/>
  <c r="C7777" i="2"/>
  <c r="C7751" i="2"/>
  <c r="C7728" i="2"/>
  <c r="C7705" i="2"/>
  <c r="C7679" i="2"/>
  <c r="C7656" i="2"/>
  <c r="C7634" i="2"/>
  <c r="C7609" i="2"/>
  <c r="C7586" i="2"/>
  <c r="C7563" i="2"/>
  <c r="C7540" i="2"/>
  <c r="C7515" i="2"/>
  <c r="C7491" i="2"/>
  <c r="C7469" i="2"/>
  <c r="C7444" i="2"/>
  <c r="C7421" i="2"/>
  <c r="C7397" i="2"/>
  <c r="C7373" i="2"/>
  <c r="C7349" i="2"/>
  <c r="C7326" i="2"/>
  <c r="C7302" i="2"/>
  <c r="C7278" i="2"/>
  <c r="C7254" i="2"/>
  <c r="C7232" i="2"/>
  <c r="C7207" i="2"/>
  <c r="C7184" i="2"/>
  <c r="C7160" i="2"/>
  <c r="C7137" i="2"/>
  <c r="C7112" i="2"/>
  <c r="C7090" i="2"/>
  <c r="C7066" i="2"/>
  <c r="C7041" i="2"/>
  <c r="C7018" i="2"/>
  <c r="C6994" i="2"/>
  <c r="C6969" i="2"/>
  <c r="C6946" i="2"/>
  <c r="C6924" i="2"/>
  <c r="C6902" i="2"/>
  <c r="C6879" i="2"/>
  <c r="C6858" i="2"/>
  <c r="C6837" i="2"/>
  <c r="C6812" i="2"/>
  <c r="C6791" i="2"/>
  <c r="C6769" i="2"/>
  <c r="C6746" i="2"/>
  <c r="C6725" i="2"/>
  <c r="C6702" i="2"/>
  <c r="C6680" i="2"/>
  <c r="C6656" i="2"/>
  <c r="C6635" i="2"/>
  <c r="C6614" i="2"/>
  <c r="C6590" i="2"/>
  <c r="C6569" i="2"/>
  <c r="C6548" i="2"/>
  <c r="C6524" i="2"/>
  <c r="C6502" i="2"/>
  <c r="C6480" i="2"/>
  <c r="C6458" i="2"/>
  <c r="C6436" i="2"/>
  <c r="C6414" i="2"/>
  <c r="C6394" i="2"/>
  <c r="C6373" i="2"/>
  <c r="C6351" i="2"/>
  <c r="C6331" i="2"/>
  <c r="C6311" i="2"/>
  <c r="C6290" i="2"/>
  <c r="C6267" i="2"/>
  <c r="C6247" i="2"/>
  <c r="C6226" i="2"/>
  <c r="C6206" i="2"/>
  <c r="C6185" i="2"/>
  <c r="C6164" i="2"/>
  <c r="C6143" i="2"/>
  <c r="C6123" i="2"/>
  <c r="C6103" i="2"/>
  <c r="C6080" i="2"/>
  <c r="C6060" i="2"/>
  <c r="C6040" i="2"/>
  <c r="C6020" i="2"/>
  <c r="C5999" i="2"/>
  <c r="C5977" i="2"/>
  <c r="C5956" i="2"/>
  <c r="C5935" i="2"/>
  <c r="C5915" i="2"/>
  <c r="C5893" i="2"/>
  <c r="C5872" i="2"/>
  <c r="C5852" i="2"/>
  <c r="C5832" i="2"/>
  <c r="C5812" i="2"/>
  <c r="C5789" i="2"/>
  <c r="C5769" i="2"/>
  <c r="C5749" i="2"/>
  <c r="C5728" i="2"/>
  <c r="C5707" i="2"/>
  <c r="C5686" i="2"/>
  <c r="C5665" i="2"/>
  <c r="C5644" i="2"/>
  <c r="C5624" i="2"/>
  <c r="C5601" i="2"/>
  <c r="C5581" i="2"/>
  <c r="C5561" i="2"/>
  <c r="C5541" i="2"/>
  <c r="C5519" i="2"/>
  <c r="C5498" i="2"/>
  <c r="C5478" i="2"/>
  <c r="C5457" i="2"/>
  <c r="C5437" i="2"/>
  <c r="C5415" i="2"/>
  <c r="C5394" i="2"/>
  <c r="C5374" i="2"/>
  <c r="C5354" i="2"/>
  <c r="C5332" i="2"/>
  <c r="C5310" i="2"/>
  <c r="C5290" i="2"/>
  <c r="C5270" i="2"/>
  <c r="C5249" i="2"/>
  <c r="C5227" i="2"/>
  <c r="C5207" i="2"/>
  <c r="C5186" i="2"/>
  <c r="C5166" i="2"/>
  <c r="C5146" i="2"/>
  <c r="C5124" i="2"/>
  <c r="C5103" i="2"/>
  <c r="C5083" i="2"/>
  <c r="C5063" i="2"/>
  <c r="C5041" i="2"/>
  <c r="C5020" i="2"/>
  <c r="C5001" i="2"/>
  <c r="C4982" i="2"/>
  <c r="C4963" i="2"/>
  <c r="C4942" i="2"/>
  <c r="C4923" i="2"/>
  <c r="C4904" i="2"/>
  <c r="C4885" i="2"/>
  <c r="C4865" i="2"/>
  <c r="C4845" i="2"/>
  <c r="C4826" i="2"/>
  <c r="C4807" i="2"/>
  <c r="C4788" i="2"/>
  <c r="C4767" i="2"/>
  <c r="C4748" i="2"/>
  <c r="C4728" i="2"/>
  <c r="C4709" i="2"/>
  <c r="C4689" i="2"/>
  <c r="C4669" i="2"/>
  <c r="C4650" i="2"/>
  <c r="C4631" i="2"/>
  <c r="C4612" i="2"/>
  <c r="C4591" i="2"/>
  <c r="C4572" i="2"/>
  <c r="C4553" i="2"/>
  <c r="C4534" i="2"/>
  <c r="C4515" i="2"/>
  <c r="C4494" i="2"/>
  <c r="C4475" i="2"/>
  <c r="C4456" i="2"/>
  <c r="C4436" i="2"/>
  <c r="C4415" i="2"/>
  <c r="C4396" i="2"/>
  <c r="C4377" i="2"/>
  <c r="C4358" i="2"/>
  <c r="C4339" i="2"/>
  <c r="C4318" i="2"/>
  <c r="C4299" i="2"/>
  <c r="C4280" i="2"/>
  <c r="C4261" i="2"/>
  <c r="C4241" i="2"/>
  <c r="C4221" i="2"/>
  <c r="C4202" i="2"/>
  <c r="C4183" i="2"/>
  <c r="C4164" i="2"/>
  <c r="C4142" i="2"/>
  <c r="C4123" i="2"/>
  <c r="C4104" i="2"/>
  <c r="C4085" i="2"/>
  <c r="C4065" i="2"/>
  <c r="C4045" i="2"/>
  <c r="C4026" i="2"/>
  <c r="C4007" i="2"/>
  <c r="C3988" i="2"/>
  <c r="C3967" i="2"/>
  <c r="C3948" i="2"/>
  <c r="C3929" i="2"/>
  <c r="C3910" i="2"/>
  <c r="C3891" i="2"/>
  <c r="C3870" i="2"/>
  <c r="C3850" i="2"/>
  <c r="C3831" i="2"/>
  <c r="C3812" i="2"/>
  <c r="C3791" i="2"/>
  <c r="C3772" i="2"/>
  <c r="C3753" i="2"/>
  <c r="C3734" i="2"/>
  <c r="C3715" i="2"/>
  <c r="C3694" i="2"/>
  <c r="C3675" i="2"/>
  <c r="C3656" i="2"/>
  <c r="C3637" i="2"/>
  <c r="C3617" i="2"/>
  <c r="C3597" i="2"/>
  <c r="C3578" i="2"/>
  <c r="C3558" i="2"/>
  <c r="C3539" i="2"/>
  <c r="C3518" i="2"/>
  <c r="C3499" i="2"/>
  <c r="C3480" i="2"/>
  <c r="C3461" i="2"/>
  <c r="C3441" i="2"/>
  <c r="C3421" i="2"/>
  <c r="C3402" i="2"/>
  <c r="C3383" i="2"/>
  <c r="C3364" i="2"/>
  <c r="C3343" i="2"/>
  <c r="C3324" i="2"/>
  <c r="C3305" i="2"/>
  <c r="C3286" i="2"/>
  <c r="C3265" i="2"/>
  <c r="C3245" i="2"/>
  <c r="C3226" i="2"/>
  <c r="C3207" i="2"/>
  <c r="C3188" i="2"/>
  <c r="C3167" i="2"/>
  <c r="C3149" i="2"/>
  <c r="C3131" i="2"/>
  <c r="C3113" i="2"/>
  <c r="C3095" i="2"/>
  <c r="C3077" i="2"/>
  <c r="C3059" i="2"/>
  <c r="C3041" i="2"/>
  <c r="C3022" i="2"/>
  <c r="C3004" i="2"/>
  <c r="C2985" i="2"/>
  <c r="C2967" i="2"/>
  <c r="C2949" i="2"/>
  <c r="C2931" i="2"/>
  <c r="C2913" i="2"/>
  <c r="C2894" i="2"/>
  <c r="C2876" i="2"/>
  <c r="C2858" i="2"/>
  <c r="C2840" i="2"/>
  <c r="C2822" i="2"/>
  <c r="C2804" i="2"/>
  <c r="C2786" i="2"/>
  <c r="C2767" i="2"/>
  <c r="C2749" i="2"/>
  <c r="C2731" i="2"/>
  <c r="C2712" i="2"/>
  <c r="C2694" i="2"/>
  <c r="C2676" i="2"/>
  <c r="C2658" i="2"/>
  <c r="C2639" i="2"/>
  <c r="C2621" i="2"/>
  <c r="C2603" i="2"/>
  <c r="C2585" i="2"/>
  <c r="C2567" i="2"/>
  <c r="C2549" i="2"/>
  <c r="C2531" i="2"/>
  <c r="C2513" i="2"/>
  <c r="C2494" i="2"/>
  <c r="C2476" i="2"/>
  <c r="C2458" i="2"/>
  <c r="C2439" i="2"/>
  <c r="C2421" i="2"/>
  <c r="C2403" i="2"/>
  <c r="C2385" i="2"/>
  <c r="C2366" i="2"/>
  <c r="C2348" i="2"/>
  <c r="C2330" i="2"/>
  <c r="C2312" i="2"/>
  <c r="C2294" i="2"/>
  <c r="C2276" i="2"/>
  <c r="C2258" i="2"/>
  <c r="C2239" i="2"/>
  <c r="C2221" i="2"/>
  <c r="C2203" i="2"/>
  <c r="C2185" i="2"/>
  <c r="C2166" i="2"/>
  <c r="C2148" i="2"/>
  <c r="C2130" i="2"/>
  <c r="C2111" i="2"/>
  <c r="C2093" i="2"/>
  <c r="C2075" i="2"/>
  <c r="C2057" i="2"/>
  <c r="C2039" i="2"/>
  <c r="C2021" i="2"/>
  <c r="C2003" i="2"/>
  <c r="C1985" i="2"/>
  <c r="C1966" i="2"/>
  <c r="C1948" i="2"/>
  <c r="C1930" i="2"/>
  <c r="C1912" i="2"/>
  <c r="C1893" i="2"/>
  <c r="C1875" i="2"/>
  <c r="C1857" i="2"/>
  <c r="C1838" i="2"/>
  <c r="C1820" i="2"/>
  <c r="C1802" i="2"/>
  <c r="C1784" i="2"/>
  <c r="C1766" i="2"/>
  <c r="C1748" i="2"/>
  <c r="C1730" i="2"/>
  <c r="C1711" i="2"/>
  <c r="C1693" i="2"/>
  <c r="C1675" i="2"/>
  <c r="C1657" i="2"/>
  <c r="C1639" i="2"/>
  <c r="C1620" i="2"/>
  <c r="C1602" i="2"/>
  <c r="C1583" i="2"/>
  <c r="C1565" i="2"/>
  <c r="C1547" i="2"/>
  <c r="C1529" i="2"/>
  <c r="C1511" i="2"/>
  <c r="C1493" i="2"/>
  <c r="C1475" i="2"/>
  <c r="C1457" i="2"/>
  <c r="C1438" i="2"/>
  <c r="C1420" i="2"/>
  <c r="C1402" i="2"/>
  <c r="C1384" i="2"/>
  <c r="C1366" i="2"/>
  <c r="C1347" i="2"/>
  <c r="C1329" i="2"/>
  <c r="C1310" i="2"/>
  <c r="C1292" i="2"/>
  <c r="C1274" i="2"/>
  <c r="C1256" i="2"/>
  <c r="C1238" i="2"/>
  <c r="C1220" i="2"/>
  <c r="C1202" i="2"/>
  <c r="C1183" i="2"/>
  <c r="C1165" i="2"/>
  <c r="C1147" i="2"/>
  <c r="C1129" i="2"/>
  <c r="C1111" i="2"/>
  <c r="C1093" i="2"/>
  <c r="C1074" i="2"/>
  <c r="C1055" i="2"/>
  <c r="C1037" i="2"/>
  <c r="C1020" i="2"/>
  <c r="C1003" i="2"/>
  <c r="C986" i="2"/>
  <c r="C969" i="2"/>
  <c r="C952" i="2"/>
  <c r="C935" i="2"/>
  <c r="C918" i="2"/>
  <c r="C901" i="2"/>
  <c r="C884" i="2"/>
  <c r="C867" i="2"/>
  <c r="C850" i="2"/>
  <c r="C833" i="2"/>
  <c r="C815" i="2"/>
  <c r="C798" i="2"/>
  <c r="C781" i="2"/>
  <c r="C764" i="2"/>
  <c r="C747" i="2"/>
  <c r="C730" i="2"/>
  <c r="C713" i="2"/>
  <c r="C696" i="2"/>
  <c r="C679" i="2"/>
  <c r="C662" i="2"/>
  <c r="C645" i="2"/>
  <c r="C628" i="2"/>
  <c r="C611" i="2"/>
  <c r="C594" i="2"/>
  <c r="C577" i="2"/>
  <c r="C559" i="2"/>
  <c r="C542" i="2"/>
  <c r="C525" i="2"/>
  <c r="C508" i="2"/>
  <c r="C491" i="2"/>
  <c r="C474" i="2"/>
  <c r="C457" i="2"/>
  <c r="C440" i="2"/>
  <c r="C423" i="2"/>
  <c r="C406" i="2"/>
  <c r="C389" i="2"/>
  <c r="C372" i="2"/>
  <c r="C355" i="2"/>
  <c r="C338" i="2"/>
  <c r="C321" i="2"/>
  <c r="C303" i="2"/>
  <c r="C286" i="2"/>
  <c r="C269" i="2"/>
  <c r="C252" i="2"/>
  <c r="C235" i="2"/>
  <c r="C218" i="2"/>
  <c r="C201" i="2"/>
  <c r="C184" i="2"/>
  <c r="C167" i="2"/>
  <c r="C11050" i="2"/>
  <c r="C11010" i="2"/>
  <c r="C10968" i="2"/>
  <c r="C10931" i="2"/>
  <c r="C10885" i="2"/>
  <c r="C10845" i="2"/>
  <c r="C10804" i="2"/>
  <c r="C10763" i="2"/>
  <c r="C10722" i="2"/>
  <c r="C10685" i="2"/>
  <c r="C10644" i="2"/>
  <c r="C10609" i="2"/>
  <c r="C10568" i="2"/>
  <c r="C10529" i="2"/>
  <c r="C10490" i="2"/>
  <c r="C10453" i="2"/>
  <c r="C10417" i="2"/>
  <c r="C10372" i="2"/>
  <c r="C10337" i="2"/>
  <c r="C10297" i="2"/>
  <c r="C10259" i="2"/>
  <c r="C10217" i="2"/>
  <c r="C10181" i="2"/>
  <c r="C10141" i="2"/>
  <c r="C10104" i="2"/>
  <c r="C10067" i="2"/>
  <c r="C10024" i="2"/>
  <c r="C9985" i="2"/>
  <c r="C9947" i="2"/>
  <c r="C9911" i="2"/>
  <c r="C9869" i="2"/>
  <c r="C9832" i="2"/>
  <c r="C9789" i="2"/>
  <c r="C9755" i="2"/>
  <c r="C9714" i="2"/>
  <c r="C9675" i="2"/>
  <c r="C9638" i="2"/>
  <c r="C9600" i="2"/>
  <c r="C9560" i="2"/>
  <c r="C9523" i="2"/>
  <c r="C9490" i="2"/>
  <c r="C9457" i="2"/>
  <c r="C9423" i="2"/>
  <c r="C9389" i="2"/>
  <c r="C9357" i="2"/>
  <c r="C9320" i="2"/>
  <c r="C9288" i="2"/>
  <c r="C9254" i="2"/>
  <c r="C9220" i="2"/>
  <c r="C9188" i="2"/>
  <c r="C9155" i="2"/>
  <c r="C9122" i="2"/>
  <c r="C9085" i="2"/>
  <c r="C9051" i="2"/>
  <c r="C9021" i="2"/>
  <c r="C8986" i="2"/>
  <c r="C8951" i="2"/>
  <c r="C8918" i="2"/>
  <c r="C8885" i="2"/>
  <c r="C8852" i="2"/>
  <c r="C8817" i="2"/>
  <c r="C8784" i="2"/>
  <c r="C8751" i="2"/>
  <c r="C8717" i="2"/>
  <c r="C8682" i="2"/>
  <c r="C8650" i="2"/>
  <c r="C8618" i="2"/>
  <c r="C8589" i="2"/>
  <c r="C8559" i="2"/>
  <c r="C8525" i="2"/>
  <c r="C8497" i="2"/>
  <c r="C8464" i="2"/>
  <c r="C8433" i="2"/>
  <c r="C8402" i="2"/>
  <c r="C8370" i="2"/>
  <c r="C8341" i="2"/>
  <c r="C8312" i="2"/>
  <c r="C8281" i="2"/>
  <c r="C8254" i="2"/>
  <c r="C8224" i="2"/>
  <c r="C8196" i="2"/>
  <c r="C8167" i="2"/>
  <c r="C8135" i="2"/>
  <c r="C8110" i="2"/>
  <c r="C8079" i="2"/>
  <c r="C8051" i="2"/>
  <c r="C8020" i="2"/>
  <c r="C7990" i="2"/>
  <c r="C7962" i="2"/>
  <c r="C7934" i="2"/>
  <c r="C7905" i="2"/>
  <c r="C7875" i="2"/>
  <c r="C7844" i="2"/>
  <c r="C7816" i="2"/>
  <c r="C7789" i="2"/>
  <c r="C7759" i="2"/>
  <c r="C7729" i="2"/>
  <c r="C7698" i="2"/>
  <c r="C7672" i="2"/>
  <c r="C7640" i="2"/>
  <c r="C7613" i="2"/>
  <c r="C7584" i="2"/>
  <c r="C7555" i="2"/>
  <c r="C7525" i="2"/>
  <c r="C7496" i="2"/>
  <c r="C7467" i="2"/>
  <c r="C7438" i="2"/>
  <c r="C7410" i="2"/>
  <c r="C7380" i="2"/>
  <c r="C7350" i="2"/>
  <c r="C7321" i="2"/>
  <c r="C7294" i="2"/>
  <c r="C7261" i="2"/>
  <c r="C7234" i="2"/>
  <c r="C7205" i="2"/>
  <c r="C7177" i="2"/>
  <c r="C7146" i="2"/>
  <c r="C7115" i="2"/>
  <c r="C7089" i="2"/>
  <c r="C7059" i="2"/>
  <c r="C7031" i="2"/>
  <c r="C7001" i="2"/>
  <c r="C6970" i="2"/>
  <c r="C6943" i="2"/>
  <c r="C6916" i="2"/>
  <c r="C6887" i="2"/>
  <c r="C6860" i="2"/>
  <c r="C6831" i="2"/>
  <c r="C6806" i="2"/>
  <c r="C6778" i="2"/>
  <c r="C6751" i="2"/>
  <c r="C6722" i="2"/>
  <c r="C6695" i="2"/>
  <c r="C6670" i="2"/>
  <c r="C6641" i="2"/>
  <c r="C6615" i="2"/>
  <c r="C6587" i="2"/>
  <c r="C6560" i="2"/>
  <c r="C6535" i="2"/>
  <c r="C6509" i="2"/>
  <c r="C6485" i="2"/>
  <c r="C6460" i="2"/>
  <c r="C6433" i="2"/>
  <c r="C6410" i="2"/>
  <c r="C6384" i="2"/>
  <c r="C6362" i="2"/>
  <c r="C6336" i="2"/>
  <c r="C6314" i="2"/>
  <c r="C6292" i="2"/>
  <c r="C6265" i="2"/>
  <c r="C6242" i="2"/>
  <c r="C6219" i="2"/>
  <c r="C6196" i="2"/>
  <c r="C6171" i="2"/>
  <c r="C6146" i="2"/>
  <c r="C6124" i="2"/>
  <c r="C6100" i="2"/>
  <c r="C6076" i="2"/>
  <c r="C6053" i="2"/>
  <c r="C6028" i="2"/>
  <c r="C6005" i="2"/>
  <c r="C5983" i="2"/>
  <c r="C5960" i="2"/>
  <c r="C5938" i="2"/>
  <c r="C5916" i="2"/>
  <c r="C5892" i="2"/>
  <c r="C5870" i="2"/>
  <c r="C5849" i="2"/>
  <c r="C5826" i="2"/>
  <c r="C5804" i="2"/>
  <c r="C5783" i="2"/>
  <c r="C5760" i="2"/>
  <c r="C5737" i="2"/>
  <c r="C5716" i="2"/>
  <c r="C5694" i="2"/>
  <c r="C5671" i="2"/>
  <c r="C5649" i="2"/>
  <c r="C5628" i="2"/>
  <c r="C5605" i="2"/>
  <c r="C5582" i="2"/>
  <c r="C5560" i="2"/>
  <c r="C5538" i="2"/>
  <c r="C5515" i="2"/>
  <c r="C5494" i="2"/>
  <c r="C5472" i="2"/>
  <c r="C5448" i="2"/>
  <c r="C5426" i="2"/>
  <c r="C5405" i="2"/>
  <c r="C5383" i="2"/>
  <c r="C5360" i="2"/>
  <c r="C5339" i="2"/>
  <c r="C5318" i="2"/>
  <c r="C5294" i="2"/>
  <c r="C5272" i="2"/>
  <c r="C5250" i="2"/>
  <c r="C5226" i="2"/>
  <c r="C5205" i="2"/>
  <c r="C5183" i="2"/>
  <c r="C5161" i="2"/>
  <c r="C5138" i="2"/>
  <c r="C5116" i="2"/>
  <c r="C5095" i="2"/>
  <c r="C5071" i="2"/>
  <c r="C5050" i="2"/>
  <c r="C5029" i="2"/>
  <c r="C5007" i="2"/>
  <c r="C4987" i="2"/>
  <c r="C4966" i="2"/>
  <c r="C4945" i="2"/>
  <c r="C4924" i="2"/>
  <c r="C4903" i="2"/>
  <c r="C4883" i="2"/>
  <c r="C4861" i="2"/>
  <c r="C4841" i="2"/>
  <c r="C4820" i="2"/>
  <c r="C4798" i="2"/>
  <c r="C4778" i="2"/>
  <c r="C4758" i="2"/>
  <c r="C4737" i="2"/>
  <c r="C4716" i="2"/>
  <c r="C4696" i="2"/>
  <c r="C4676" i="2"/>
  <c r="C4653" i="2"/>
  <c r="C4633" i="2"/>
  <c r="C4613" i="2"/>
  <c r="C4590" i="2"/>
  <c r="C4570" i="2"/>
  <c r="C4550" i="2"/>
  <c r="C4529" i="2"/>
  <c r="C4507" i="2"/>
  <c r="C4487" i="2"/>
  <c r="C4467" i="2"/>
  <c r="C4445" i="2"/>
  <c r="C4425" i="2"/>
  <c r="C4405" i="2"/>
  <c r="C4383" i="2"/>
  <c r="C4362" i="2"/>
  <c r="C4342" i="2"/>
  <c r="C4321" i="2"/>
  <c r="C4300" i="2"/>
  <c r="C4279" i="2"/>
  <c r="C4259" i="2"/>
  <c r="C4237" i="2"/>
  <c r="C4216" i="2"/>
  <c r="C4196" i="2"/>
  <c r="C4174" i="2"/>
  <c r="C4154" i="2"/>
  <c r="C4134" i="2"/>
  <c r="C4113" i="2"/>
  <c r="C4092" i="2"/>
  <c r="C4072" i="2"/>
  <c r="C4051" i="2"/>
  <c r="C4029" i="2"/>
  <c r="C4009" i="2"/>
  <c r="C3989" i="2"/>
  <c r="C3966" i="2"/>
  <c r="C3946" i="2"/>
  <c r="C3926" i="2"/>
  <c r="C3903" i="2"/>
  <c r="C3883" i="2"/>
  <c r="C3863" i="2"/>
  <c r="C3843" i="2"/>
  <c r="C3821" i="2"/>
  <c r="C3801" i="2"/>
  <c r="C3781" i="2"/>
  <c r="C3758" i="2"/>
  <c r="C3738" i="2"/>
  <c r="C3718" i="2"/>
  <c r="C3697" i="2"/>
  <c r="C3676" i="2"/>
  <c r="C3655" i="2"/>
  <c r="C3635" i="2"/>
  <c r="C3612" i="2"/>
  <c r="C3592" i="2"/>
  <c r="C3572" i="2"/>
  <c r="C3550" i="2"/>
  <c r="C3530" i="2"/>
  <c r="C3510" i="2"/>
  <c r="C3489" i="2"/>
  <c r="C3468" i="2"/>
  <c r="C3447" i="2"/>
  <c r="C3427" i="2"/>
  <c r="C3405" i="2"/>
  <c r="C3385" i="2"/>
  <c r="C3365" i="2"/>
  <c r="C3342" i="2"/>
  <c r="C3322" i="2"/>
  <c r="C3301" i="2"/>
  <c r="C3279" i="2"/>
  <c r="C3259" i="2"/>
  <c r="C3239" i="2"/>
  <c r="C3219" i="2"/>
  <c r="C3197" i="2"/>
  <c r="C3177" i="2"/>
  <c r="C3156" i="2"/>
  <c r="C3137" i="2"/>
  <c r="C3117" i="2"/>
  <c r="C3098" i="2"/>
  <c r="C3079" i="2"/>
  <c r="C3060" i="2"/>
  <c r="C3039" i="2"/>
  <c r="C3019" i="2"/>
  <c r="C3000" i="2"/>
  <c r="C2981" i="2"/>
  <c r="C2962" i="2"/>
  <c r="C2942" i="2"/>
  <c r="C2923" i="2"/>
  <c r="C2904" i="2"/>
  <c r="C2885" i="2"/>
  <c r="C2865" i="2"/>
  <c r="C2845" i="2"/>
  <c r="C2826" i="2"/>
  <c r="C2807" i="2"/>
  <c r="C2788" i="2"/>
  <c r="C2769" i="2"/>
  <c r="C2748" i="2"/>
  <c r="C2728" i="2"/>
  <c r="C2709" i="2"/>
  <c r="C2690" i="2"/>
  <c r="C2670" i="2"/>
  <c r="C2651" i="2"/>
  <c r="C2632" i="2"/>
  <c r="C2613" i="2"/>
  <c r="C2593" i="2"/>
  <c r="C2573" i="2"/>
  <c r="C2554" i="2"/>
  <c r="C2535" i="2"/>
  <c r="C2516" i="2"/>
  <c r="C2497" i="2"/>
  <c r="C2477" i="2"/>
  <c r="C2456" i="2"/>
  <c r="C2437" i="2"/>
  <c r="C2418" i="2"/>
  <c r="C2398" i="2"/>
  <c r="C2379" i="2"/>
  <c r="C2360" i="2"/>
  <c r="C2341" i="2"/>
  <c r="C2322" i="2"/>
  <c r="C2301" i="2"/>
  <c r="C2282" i="2"/>
  <c r="C2263" i="2"/>
  <c r="C2244" i="2"/>
  <c r="C2225" i="2"/>
  <c r="C2205" i="2"/>
  <c r="C2186" i="2"/>
  <c r="C2165" i="2"/>
  <c r="C2146" i="2"/>
  <c r="C2126" i="2"/>
  <c r="C2107" i="2"/>
  <c r="C2088" i="2"/>
  <c r="C2069" i="2"/>
  <c r="C2050" i="2"/>
  <c r="C2029" i="2"/>
  <c r="C2010" i="2"/>
  <c r="C1991" i="2"/>
  <c r="C1972" i="2"/>
  <c r="C1953" i="2"/>
  <c r="C1933" i="2"/>
  <c r="C1914" i="2"/>
  <c r="C1895" i="2"/>
  <c r="C1874" i="2"/>
  <c r="C1854" i="2"/>
  <c r="C1835" i="2"/>
  <c r="C1816" i="2"/>
  <c r="C1797" i="2"/>
  <c r="C1778" i="2"/>
  <c r="C1758" i="2"/>
  <c r="C1738" i="2"/>
  <c r="C1719" i="2"/>
  <c r="C1700" i="2"/>
  <c r="C1681" i="2"/>
  <c r="C1661" i="2"/>
  <c r="C1642" i="2"/>
  <c r="C1623" i="2"/>
  <c r="C1603" i="2"/>
  <c r="C1582" i="2"/>
  <c r="C1563" i="2"/>
  <c r="C1544" i="2"/>
  <c r="C1525" i="2"/>
  <c r="C1506" i="2"/>
  <c r="C1486" i="2"/>
  <c r="C1466" i="2"/>
  <c r="C1447" i="2"/>
  <c r="C1428" i="2"/>
  <c r="C1409" i="2"/>
  <c r="C1389" i="2"/>
  <c r="C1370" i="2"/>
  <c r="C1351" i="2"/>
  <c r="C1332" i="2"/>
  <c r="C1311" i="2"/>
  <c r="C1291" i="2"/>
  <c r="C1272" i="2"/>
  <c r="C1253" i="2"/>
  <c r="C1234" i="2"/>
  <c r="C1214" i="2"/>
  <c r="C1195" i="2"/>
  <c r="C1175" i="2"/>
  <c r="C1156" i="2"/>
  <c r="C1137" i="2"/>
  <c r="C1117" i="2"/>
  <c r="C1098" i="2"/>
  <c r="C1079" i="2"/>
  <c r="C1060" i="2"/>
  <c r="C1039" i="2"/>
  <c r="C1021" i="2"/>
  <c r="C1002" i="2"/>
  <c r="C984" i="2"/>
  <c r="C966" i="2"/>
  <c r="C948" i="2"/>
  <c r="C930" i="2"/>
  <c r="C911" i="2"/>
  <c r="C893" i="2"/>
  <c r="C875" i="2"/>
  <c r="C857" i="2"/>
  <c r="C839" i="2"/>
  <c r="C821" i="2"/>
  <c r="C803" i="2"/>
  <c r="C785" i="2"/>
  <c r="C766" i="2"/>
  <c r="C748" i="2"/>
  <c r="C729" i="2"/>
  <c r="C711" i="2"/>
  <c r="C693" i="2"/>
  <c r="C675" i="2"/>
  <c r="C657" i="2"/>
  <c r="C638" i="2"/>
  <c r="C620" i="2"/>
  <c r="C602" i="2"/>
  <c r="C584" i="2"/>
  <c r="C566" i="2"/>
  <c r="C548" i="2"/>
  <c r="C530" i="2"/>
  <c r="C511" i="2"/>
  <c r="C493" i="2"/>
  <c r="C475" i="2"/>
  <c r="C456" i="2"/>
  <c r="C438" i="2"/>
  <c r="C420" i="2"/>
  <c r="C402" i="2"/>
  <c r="C383" i="2"/>
  <c r="C365" i="2"/>
  <c r="C347" i="2"/>
  <c r="C329" i="2"/>
  <c r="C311" i="2"/>
  <c r="C293" i="2"/>
  <c r="C275" i="2"/>
  <c r="C257" i="2"/>
  <c r="C238" i="2"/>
  <c r="C220" i="2"/>
  <c r="C202" i="2"/>
  <c r="C183" i="2"/>
  <c r="C165" i="2"/>
  <c r="C148" i="2"/>
  <c r="C131" i="2"/>
  <c r="C114" i="2"/>
  <c r="C97" i="2"/>
  <c r="C79" i="2"/>
  <c r="C62" i="2"/>
  <c r="C45" i="2"/>
  <c r="C28" i="2"/>
  <c r="C11" i="2"/>
  <c r="C11048" i="2"/>
  <c r="C11009" i="2"/>
  <c r="C10966" i="2"/>
  <c r="C10922" i="2"/>
  <c r="C10884" i="2"/>
  <c r="C10840" i="2"/>
  <c r="C10803" i="2"/>
  <c r="C10761" i="2"/>
  <c r="C10721" i="2"/>
  <c r="C10682" i="2"/>
  <c r="C10643" i="2"/>
  <c r="C10608" i="2"/>
  <c r="C10565" i="2"/>
  <c r="C10527" i="2"/>
  <c r="C10488" i="2"/>
  <c r="C10452" i="2"/>
  <c r="C10409" i="2"/>
  <c r="C10371" i="2"/>
  <c r="C10333" i="2"/>
  <c r="C10295" i="2"/>
  <c r="C10256" i="2"/>
  <c r="C10216" i="2"/>
  <c r="C10180" i="2"/>
  <c r="C10139" i="2"/>
  <c r="C10103" i="2"/>
  <c r="C10059" i="2"/>
  <c r="C10023" i="2"/>
  <c r="C9984" i="2"/>
  <c r="C9946" i="2"/>
  <c r="C9908" i="2"/>
  <c r="C9867" i="2"/>
  <c r="C9829" i="2"/>
  <c r="C9787" i="2"/>
  <c r="C9752" i="2"/>
  <c r="C9713" i="2"/>
  <c r="C9673" i="2"/>
  <c r="C9636" i="2"/>
  <c r="C9597" i="2"/>
  <c r="C9556" i="2"/>
  <c r="C9522" i="2"/>
  <c r="C9489" i="2"/>
  <c r="C9456" i="2"/>
  <c r="C9418" i="2"/>
  <c r="C9385" i="2"/>
  <c r="C9354" i="2"/>
  <c r="C9319" i="2"/>
  <c r="C9287" i="2"/>
  <c r="C9252" i="2"/>
  <c r="C9219" i="2"/>
  <c r="C9185" i="2"/>
  <c r="C9153" i="2"/>
  <c r="C9119" i="2"/>
  <c r="C9083" i="2"/>
  <c r="C9050" i="2"/>
  <c r="C9019" i="2"/>
  <c r="C8983" i="2"/>
  <c r="C8950" i="2"/>
  <c r="C8916" i="2"/>
  <c r="C8884" i="2"/>
  <c r="C8851" i="2"/>
  <c r="C8815" i="2"/>
  <c r="C8781" i="2"/>
  <c r="C8749" i="2"/>
  <c r="C8715" i="2"/>
  <c r="C8678" i="2"/>
  <c r="C8649" i="2"/>
  <c r="C8617" i="2"/>
  <c r="C8585" i="2"/>
  <c r="C8555" i="2"/>
  <c r="C8523" i="2"/>
  <c r="C8490" i="2"/>
  <c r="C8463" i="2"/>
  <c r="C8431" i="2"/>
  <c r="C8400" i="2"/>
  <c r="C8369" i="2"/>
  <c r="C8340" i="2"/>
  <c r="C8311" i="2"/>
  <c r="C8278" i="2"/>
  <c r="C8253" i="2"/>
  <c r="C8223" i="2"/>
  <c r="C8195" i="2"/>
  <c r="C8165" i="2"/>
  <c r="C8134" i="2"/>
  <c r="C8105" i="2"/>
  <c r="C8078" i="2"/>
  <c r="C8050" i="2"/>
  <c r="C8018" i="2"/>
  <c r="C7988" i="2"/>
  <c r="C7961" i="2"/>
  <c r="C7933" i="2"/>
  <c r="C7901" i="2"/>
  <c r="C7874" i="2"/>
  <c r="C7843" i="2"/>
  <c r="C7815" i="2"/>
  <c r="C7786" i="2"/>
  <c r="C7758" i="2"/>
  <c r="C7727" i="2"/>
  <c r="C7697" i="2"/>
  <c r="C7671" i="2"/>
  <c r="C7638" i="2"/>
  <c r="C7611" i="2"/>
  <c r="C7583" i="2"/>
  <c r="C7553" i="2"/>
  <c r="C7523" i="2"/>
  <c r="C7495" i="2"/>
  <c r="C7466" i="2"/>
  <c r="C7437" i="2"/>
  <c r="C7406" i="2"/>
  <c r="C7379" i="2"/>
  <c r="C7347" i="2"/>
  <c r="C7320" i="2"/>
  <c r="C7293" i="2"/>
  <c r="C7259" i="2"/>
  <c r="C7233" i="2"/>
  <c r="C7203" i="2"/>
  <c r="C7175" i="2"/>
  <c r="C7144" i="2"/>
  <c r="C7114" i="2"/>
  <c r="C7087" i="2"/>
  <c r="C7058" i="2"/>
  <c r="C7029" i="2"/>
  <c r="C7000" i="2"/>
  <c r="C6968" i="2"/>
  <c r="C6942" i="2"/>
  <c r="C6914" i="2"/>
  <c r="C6885" i="2"/>
  <c r="C6859" i="2"/>
  <c r="C6830" i="2"/>
  <c r="C6805" i="2"/>
  <c r="C6775" i="2"/>
  <c r="C6750" i="2"/>
  <c r="C6721" i="2"/>
  <c r="C6694" i="2"/>
  <c r="C6668" i="2"/>
  <c r="C6638" i="2"/>
  <c r="C6612" i="2"/>
  <c r="C6586" i="2"/>
  <c r="C6558" i="2"/>
  <c r="C6534" i="2"/>
  <c r="C6507" i="2"/>
  <c r="C6482" i="2"/>
  <c r="C6456" i="2"/>
  <c r="C6431" i="2"/>
  <c r="C6409" i="2"/>
  <c r="C6383" i="2"/>
  <c r="C6361" i="2"/>
  <c r="C6335" i="2"/>
  <c r="C6313" i="2"/>
  <c r="C6287" i="2"/>
  <c r="C6264" i="2"/>
  <c r="C6241" i="2"/>
  <c r="C6217" i="2"/>
  <c r="C6194" i="2"/>
  <c r="C6170" i="2"/>
  <c r="C6145" i="2"/>
  <c r="C6122" i="2"/>
  <c r="C6097" i="2"/>
  <c r="C6075" i="2"/>
  <c r="C6052" i="2"/>
  <c r="C6027" i="2"/>
  <c r="C6004" i="2"/>
  <c r="C5982" i="2"/>
  <c r="C5959" i="2"/>
  <c r="C5936" i="2"/>
  <c r="C5914" i="2"/>
  <c r="C5890" i="2"/>
  <c r="C5869" i="2"/>
  <c r="C5848" i="2"/>
  <c r="C5824" i="2"/>
  <c r="C5803" i="2"/>
  <c r="C5781" i="2"/>
  <c r="C5758" i="2"/>
  <c r="C5736" i="2"/>
  <c r="C5714" i="2"/>
  <c r="C5693" i="2"/>
  <c r="C5670" i="2"/>
  <c r="C5648" i="2"/>
  <c r="C5627" i="2"/>
  <c r="C5602" i="2"/>
  <c r="C5580" i="2"/>
  <c r="C5559" i="2"/>
  <c r="C5536" i="2"/>
  <c r="C5514" i="2"/>
  <c r="C5493" i="2"/>
  <c r="C5471" i="2"/>
  <c r="C5447" i="2"/>
  <c r="C5425" i="2"/>
  <c r="C5404" i="2"/>
  <c r="C5381" i="2"/>
  <c r="C5359" i="2"/>
  <c r="C5338" i="2"/>
  <c r="C5317" i="2"/>
  <c r="C5292" i="2"/>
  <c r="C5271" i="2"/>
  <c r="C5248" i="2"/>
  <c r="C5225" i="2"/>
  <c r="C5204" i="2"/>
  <c r="C5182" i="2"/>
  <c r="C5159" i="2"/>
  <c r="C5136" i="2"/>
  <c r="C5115" i="2"/>
  <c r="C5093" i="2"/>
  <c r="C5070" i="2"/>
  <c r="C5049" i="2"/>
  <c r="C5028" i="2"/>
  <c r="C5006" i="2"/>
  <c r="C4986" i="2"/>
  <c r="C4965" i="2"/>
  <c r="C4943" i="2"/>
  <c r="C4922" i="2"/>
  <c r="C4902" i="2"/>
  <c r="C4881" i="2"/>
  <c r="C4860" i="2"/>
  <c r="C4840" i="2"/>
  <c r="C4819" i="2"/>
  <c r="C4797" i="2"/>
  <c r="C4777" i="2"/>
  <c r="C4757" i="2"/>
  <c r="C4735" i="2"/>
  <c r="C4715" i="2"/>
  <c r="C4695" i="2"/>
  <c r="C4673" i="2"/>
  <c r="C4652" i="2"/>
  <c r="C4632" i="2"/>
  <c r="C4611" i="2"/>
  <c r="C4589" i="2"/>
  <c r="C4569" i="2"/>
  <c r="C4549" i="2"/>
  <c r="C4526" i="2"/>
  <c r="C4506" i="2"/>
  <c r="C4486" i="2"/>
  <c r="C4465" i="2"/>
  <c r="C4444" i="2"/>
  <c r="C4424" i="2"/>
  <c r="C4404" i="2"/>
  <c r="C4382" i="2"/>
  <c r="C4361" i="2"/>
  <c r="C4341" i="2"/>
  <c r="C4319" i="2"/>
  <c r="C4298" i="2"/>
  <c r="C4278" i="2"/>
  <c r="C4257" i="2"/>
  <c r="C4236" i="2"/>
  <c r="C4215" i="2"/>
  <c r="C4195" i="2"/>
  <c r="C4173" i="2"/>
  <c r="C4153" i="2"/>
  <c r="C4133" i="2"/>
  <c r="C4111" i="2"/>
  <c r="C4091" i="2"/>
  <c r="C4070" i="2"/>
  <c r="C4049" i="2"/>
  <c r="C4028" i="2"/>
  <c r="C4008" i="2"/>
  <c r="C3987" i="2"/>
  <c r="C3965" i="2"/>
  <c r="C3945" i="2"/>
  <c r="C3924" i="2"/>
  <c r="C3902" i="2"/>
  <c r="C3882" i="2"/>
  <c r="C3862" i="2"/>
  <c r="C3841" i="2"/>
  <c r="C3820" i="2"/>
  <c r="C3800" i="2"/>
  <c r="C3780" i="2"/>
  <c r="C3757" i="2"/>
  <c r="C3737" i="2"/>
  <c r="C3717" i="2"/>
  <c r="C3695" i="2"/>
  <c r="C3674" i="2"/>
  <c r="C3654" i="2"/>
  <c r="C3633" i="2"/>
  <c r="C3611" i="2"/>
  <c r="C3591" i="2"/>
  <c r="C3571" i="2"/>
  <c r="C3549" i="2"/>
  <c r="C3529" i="2"/>
  <c r="C3509" i="2"/>
  <c r="C3487" i="2"/>
  <c r="C3466" i="2"/>
  <c r="C3446" i="2"/>
  <c r="C3425" i="2"/>
  <c r="C3404" i="2"/>
  <c r="C3384" i="2"/>
  <c r="C3363" i="2"/>
  <c r="C3341" i="2"/>
  <c r="C3320" i="2"/>
  <c r="C3300" i="2"/>
  <c r="C3278" i="2"/>
  <c r="C3258" i="2"/>
  <c r="C3238" i="2"/>
  <c r="C3217" i="2"/>
  <c r="C3196" i="2"/>
  <c r="C3176" i="2"/>
  <c r="C3155" i="2"/>
  <c r="C3135" i="2"/>
  <c r="C3116" i="2"/>
  <c r="C3097" i="2"/>
  <c r="C3078" i="2"/>
  <c r="C3058" i="2"/>
  <c r="C3038" i="2"/>
  <c r="C3018" i="2"/>
  <c r="C2999" i="2"/>
  <c r="C2980" i="2"/>
  <c r="C2961" i="2"/>
  <c r="C2941" i="2"/>
  <c r="C2922" i="2"/>
  <c r="C2903" i="2"/>
  <c r="C2883" i="2"/>
  <c r="C2863" i="2"/>
  <c r="C2844" i="2"/>
  <c r="C2825" i="2"/>
  <c r="C2806" i="2"/>
  <c r="C2787" i="2"/>
  <c r="C2766" i="2"/>
  <c r="C2746" i="2"/>
  <c r="C2727" i="2"/>
  <c r="C2708" i="2"/>
  <c r="C2689" i="2"/>
  <c r="C2669" i="2"/>
  <c r="C2650" i="2"/>
  <c r="C2631" i="2"/>
  <c r="C2612" i="2"/>
  <c r="C2591" i="2"/>
  <c r="C2572" i="2"/>
  <c r="C2553" i="2"/>
  <c r="C2534" i="2"/>
  <c r="C2515" i="2"/>
  <c r="C2495" i="2"/>
  <c r="C2475" i="2"/>
  <c r="C2455" i="2"/>
  <c r="C2436" i="2"/>
  <c r="C2417" i="2"/>
  <c r="C2397" i="2"/>
  <c r="C2378" i="2"/>
  <c r="C2359" i="2"/>
  <c r="C2340" i="2"/>
  <c r="C2319" i="2"/>
  <c r="C2300" i="2"/>
  <c r="C2281" i="2"/>
  <c r="C2262" i="2"/>
  <c r="C2243" i="2"/>
  <c r="C2223" i="2"/>
  <c r="C2204" i="2"/>
  <c r="C2183" i="2"/>
  <c r="C2164" i="2"/>
  <c r="C2145" i="2"/>
  <c r="C2125" i="2"/>
  <c r="C2106" i="2"/>
  <c r="C2087" i="2"/>
  <c r="C2068" i="2"/>
  <c r="C2049" i="2"/>
  <c r="C2028" i="2"/>
  <c r="C2009" i="2"/>
  <c r="C1990" i="2"/>
  <c r="C1971" i="2"/>
  <c r="C1951" i="2"/>
  <c r="C1932" i="2"/>
  <c r="C1913" i="2"/>
  <c r="C1892" i="2"/>
  <c r="C1873" i="2"/>
  <c r="C1853" i="2"/>
  <c r="C1834" i="2"/>
  <c r="C1815" i="2"/>
  <c r="C1796" i="2"/>
  <c r="C1777" i="2"/>
  <c r="C1756" i="2"/>
  <c r="C1737" i="2"/>
  <c r="C1718" i="2"/>
  <c r="C1699" i="2"/>
  <c r="C1679" i="2"/>
  <c r="C1660" i="2"/>
  <c r="C1641" i="2"/>
  <c r="C1622" i="2"/>
  <c r="C1601" i="2"/>
  <c r="C1581" i="2"/>
  <c r="C1562" i="2"/>
  <c r="C1543" i="2"/>
  <c r="C1524" i="2"/>
  <c r="C1505" i="2"/>
  <c r="C1485" i="2"/>
  <c r="C1465" i="2"/>
  <c r="C1446" i="2"/>
  <c r="C1427" i="2"/>
  <c r="C1407" i="2"/>
  <c r="C1388" i="2"/>
  <c r="C1369" i="2"/>
  <c r="C1350" i="2"/>
  <c r="C1330" i="2"/>
  <c r="C1309" i="2"/>
  <c r="C1290" i="2"/>
  <c r="C1271" i="2"/>
  <c r="C1252" i="2"/>
  <c r="C1233" i="2"/>
  <c r="C1213" i="2"/>
  <c r="C1193" i="2"/>
  <c r="C1174" i="2"/>
  <c r="C1155" i="2"/>
  <c r="C1135" i="2"/>
  <c r="C1116" i="2"/>
  <c r="C1097" i="2"/>
  <c r="C1078" i="2"/>
  <c r="C1059" i="2"/>
  <c r="C1038" i="2"/>
  <c r="C1019" i="2"/>
  <c r="C1001" i="2"/>
  <c r="C983" i="2"/>
  <c r="C965" i="2"/>
  <c r="C947" i="2"/>
  <c r="C929" i="2"/>
  <c r="C910" i="2"/>
  <c r="C892" i="2"/>
  <c r="C874" i="2"/>
  <c r="C856" i="2"/>
  <c r="C838" i="2"/>
  <c r="C820" i="2"/>
  <c r="C802" i="2"/>
  <c r="C783" i="2"/>
  <c r="C765" i="2"/>
  <c r="C746" i="2"/>
  <c r="C728" i="2"/>
  <c r="C710" i="2"/>
  <c r="C692" i="2"/>
  <c r="C674" i="2"/>
  <c r="C655" i="2"/>
  <c r="C637" i="2"/>
  <c r="C619" i="2"/>
  <c r="C601" i="2"/>
  <c r="C583" i="2"/>
  <c r="C565" i="2"/>
  <c r="C547" i="2"/>
  <c r="C529" i="2"/>
  <c r="C510" i="2"/>
  <c r="C492" i="2"/>
  <c r="C473" i="2"/>
  <c r="C455" i="2"/>
  <c r="C437" i="2"/>
  <c r="C419" i="2"/>
  <c r="C401" i="2"/>
  <c r="C382" i="2"/>
  <c r="C364" i="2"/>
  <c r="C346" i="2"/>
  <c r="C328" i="2"/>
  <c r="C310" i="2"/>
  <c r="C292" i="2"/>
  <c r="C274" i="2"/>
  <c r="C255" i="2"/>
  <c r="C237" i="2"/>
  <c r="C219" i="2"/>
  <c r="C200" i="2"/>
  <c r="C182" i="2"/>
  <c r="C164" i="2"/>
  <c r="C147" i="2"/>
  <c r="C130" i="2"/>
  <c r="C113" i="2"/>
  <c r="C95" i="2"/>
  <c r="C78" i="2"/>
  <c r="C61" i="2"/>
  <c r="C44" i="2"/>
  <c r="C27" i="2"/>
  <c r="C10" i="2"/>
  <c r="C11046" i="2"/>
  <c r="C11008" i="2"/>
  <c r="C10965" i="2"/>
  <c r="C10920" i="2"/>
  <c r="C10881" i="2"/>
  <c r="C10839" i="2"/>
  <c r="C10800" i="2"/>
  <c r="C10756" i="2"/>
  <c r="C10720" i="2"/>
  <c r="C10678" i="2"/>
  <c r="C10642" i="2"/>
  <c r="C10607" i="2"/>
  <c r="C10564" i="2"/>
  <c r="C10525" i="2"/>
  <c r="C10484" i="2"/>
  <c r="C10451" i="2"/>
  <c r="C10407" i="2"/>
  <c r="C10369" i="2"/>
  <c r="C10330" i="2"/>
  <c r="C10292" i="2"/>
  <c r="C10253" i="2"/>
  <c r="C10215" i="2"/>
  <c r="C10171" i="2"/>
  <c r="C10136" i="2"/>
  <c r="C10100" i="2"/>
  <c r="C10057" i="2"/>
  <c r="C10022" i="2"/>
  <c r="C9981" i="2"/>
  <c r="C9944" i="2"/>
  <c r="C9903" i="2"/>
  <c r="C9866" i="2"/>
  <c r="C9826" i="2"/>
  <c r="C9786" i="2"/>
  <c r="C9750" i="2"/>
  <c r="C9711" i="2"/>
  <c r="C9669" i="2"/>
  <c r="C9633" i="2"/>
  <c r="C9595" i="2"/>
  <c r="C9555" i="2"/>
  <c r="C9520" i="2"/>
  <c r="C9487" i="2"/>
  <c r="C9455" i="2"/>
  <c r="C9416" i="2"/>
  <c r="C9384" i="2"/>
  <c r="C9352" i="2"/>
  <c r="C9318" i="2"/>
  <c r="C9285" i="2"/>
  <c r="C9250" i="2"/>
  <c r="C9217" i="2"/>
  <c r="C9183" i="2"/>
  <c r="C9152" i="2"/>
  <c r="C9115" i="2"/>
  <c r="C9082" i="2"/>
  <c r="C9048" i="2"/>
  <c r="C9014" i="2"/>
  <c r="C8981" i="2"/>
  <c r="C8948" i="2"/>
  <c r="C8912" i="2"/>
  <c r="C8882" i="2"/>
  <c r="C8848" i="2"/>
  <c r="C8813" i="2"/>
  <c r="C8778" i="2"/>
  <c r="C8746" i="2"/>
  <c r="C8714" i="2"/>
  <c r="C8677" i="2"/>
  <c r="C8647" i="2"/>
  <c r="C8616" i="2"/>
  <c r="C8584" i="2"/>
  <c r="C8553" i="2"/>
  <c r="C8521" i="2"/>
  <c r="C8488" i="2"/>
  <c r="C8461" i="2"/>
  <c r="C8427" i="2"/>
  <c r="C8397" i="2"/>
  <c r="C8366" i="2"/>
  <c r="C8338" i="2"/>
  <c r="C8310" i="2"/>
  <c r="C8277" i="2"/>
  <c r="C8251" i="2"/>
  <c r="C8221" i="2"/>
  <c r="C8192" i="2"/>
  <c r="C8163" i="2"/>
  <c r="C8133" i="2"/>
  <c r="C8104" i="2"/>
  <c r="C8075" i="2"/>
  <c r="C8047" i="2"/>
  <c r="C8017" i="2"/>
  <c r="C7986" i="2"/>
  <c r="C7960" i="2"/>
  <c r="C7931" i="2"/>
  <c r="C7898" i="2"/>
  <c r="C7873" i="2"/>
  <c r="C7842" i="2"/>
  <c r="C7814" i="2"/>
  <c r="C7782" i="2"/>
  <c r="C7755" i="2"/>
  <c r="C7726" i="2"/>
  <c r="C7696" i="2"/>
  <c r="C7669" i="2"/>
  <c r="C7637" i="2"/>
  <c r="C7607" i="2"/>
  <c r="C7582" i="2"/>
  <c r="C7551" i="2"/>
  <c r="C7522" i="2"/>
  <c r="C7492" i="2"/>
  <c r="C7462" i="2"/>
  <c r="C7435" i="2"/>
  <c r="C7403" i="2"/>
  <c r="C7378" i="2"/>
  <c r="C7346" i="2"/>
  <c r="C7318" i="2"/>
  <c r="C7290" i="2"/>
  <c r="C7258" i="2"/>
  <c r="C7231" i="2"/>
  <c r="C7201" i="2"/>
  <c r="C7173" i="2"/>
  <c r="C7143" i="2"/>
  <c r="C7113" i="2"/>
  <c r="C7086" i="2"/>
  <c r="C7056" i="2"/>
  <c r="C7025" i="2"/>
  <c r="C6997" i="2"/>
  <c r="C6967" i="2"/>
  <c r="C6941" i="2"/>
  <c r="C6911" i="2"/>
  <c r="C6882" i="2"/>
  <c r="C6857" i="2"/>
  <c r="C6829" i="2"/>
  <c r="C6804" i="2"/>
  <c r="C6774" i="2"/>
  <c r="C6748" i="2"/>
  <c r="C6720" i="2"/>
  <c r="C6693" i="2"/>
  <c r="C6666" i="2"/>
  <c r="C6637" i="2"/>
  <c r="C6609" i="2"/>
  <c r="C6585" i="2"/>
  <c r="C6557" i="2"/>
  <c r="C6532" i="2"/>
  <c r="C6506" i="2"/>
  <c r="C6481" i="2"/>
  <c r="C6455" i="2"/>
  <c r="C6430" i="2"/>
  <c r="C6407" i="2"/>
  <c r="C6382" i="2"/>
  <c r="C6359" i="2"/>
  <c r="C6334" i="2"/>
  <c r="C6312" i="2"/>
  <c r="C6285" i="2"/>
  <c r="C6263" i="2"/>
  <c r="C6240" i="2"/>
  <c r="C6216" i="2"/>
  <c r="C6192" i="2"/>
  <c r="C6168" i="2"/>
  <c r="C6144" i="2"/>
  <c r="C6121" i="2"/>
  <c r="C6096" i="2"/>
  <c r="C6073" i="2"/>
  <c r="C6050" i="2"/>
  <c r="C6025" i="2"/>
  <c r="C6002" i="2"/>
  <c r="C5980" i="2"/>
  <c r="C5958" i="2"/>
  <c r="C5934" i="2"/>
  <c r="C5912" i="2"/>
  <c r="C5889" i="2"/>
  <c r="C5868" i="2"/>
  <c r="C5847" i="2"/>
  <c r="C5823" i="2"/>
  <c r="C5802" i="2"/>
  <c r="C5780" i="2"/>
  <c r="C5756" i="2"/>
  <c r="C5735" i="2"/>
  <c r="C5713" i="2"/>
  <c r="C5692" i="2"/>
  <c r="C5669" i="2"/>
  <c r="C5647" i="2"/>
  <c r="C5625" i="2"/>
  <c r="C5600" i="2"/>
  <c r="C5579" i="2"/>
  <c r="C5558" i="2"/>
  <c r="C5534" i="2"/>
  <c r="C5513" i="2"/>
  <c r="C5492" i="2"/>
  <c r="C5468" i="2"/>
  <c r="C5446" i="2"/>
  <c r="C5424" i="2"/>
  <c r="C5403" i="2"/>
  <c r="C5380" i="2"/>
  <c r="C5358" i="2"/>
  <c r="C5337" i="2"/>
  <c r="C5314" i="2"/>
  <c r="C5291" i="2"/>
  <c r="C5269" i="2"/>
  <c r="C5246" i="2"/>
  <c r="C5224" i="2"/>
  <c r="C5202" i="2"/>
  <c r="C5181" i="2"/>
  <c r="C5158" i="2"/>
  <c r="C5135" i="2"/>
  <c r="C5114" i="2"/>
  <c r="C5090" i="2"/>
  <c r="C5069" i="2"/>
  <c r="C5048" i="2"/>
  <c r="C5027" i="2"/>
  <c r="C5005" i="2"/>
  <c r="C4984" i="2"/>
  <c r="C4964" i="2"/>
  <c r="C4941" i="2"/>
  <c r="C4921" i="2"/>
  <c r="C4901" i="2"/>
  <c r="C4879" i="2"/>
  <c r="C4859" i="2"/>
  <c r="C4838" i="2"/>
  <c r="C4817" i="2"/>
  <c r="C4796" i="2"/>
  <c r="C4776" i="2"/>
  <c r="C4756" i="2"/>
  <c r="C4734" i="2"/>
  <c r="C4714" i="2"/>
  <c r="C4694" i="2"/>
  <c r="C4671" i="2"/>
  <c r="C4651" i="2"/>
  <c r="C4630" i="2"/>
  <c r="C4609" i="2"/>
  <c r="C4588" i="2"/>
  <c r="C4568" i="2"/>
  <c r="C4548" i="2"/>
  <c r="C4525" i="2"/>
  <c r="C4505" i="2"/>
  <c r="C4485" i="2"/>
  <c r="C4463" i="2"/>
  <c r="C4443" i="2"/>
  <c r="C4423" i="2"/>
  <c r="C4403" i="2"/>
  <c r="C4380" i="2"/>
  <c r="C4360" i="2"/>
  <c r="C4340" i="2"/>
  <c r="C4317" i="2"/>
  <c r="C4297" i="2"/>
  <c r="C4277" i="2"/>
  <c r="C4255" i="2"/>
  <c r="C4234" i="2"/>
  <c r="C4214" i="2"/>
  <c r="C4193" i="2"/>
  <c r="C4172" i="2"/>
  <c r="C4152" i="2"/>
  <c r="C4132" i="2"/>
  <c r="C4110" i="2"/>
  <c r="C4090" i="2"/>
  <c r="C4069" i="2"/>
  <c r="C4047" i="2"/>
  <c r="C4027" i="2"/>
  <c r="C4006" i="2"/>
  <c r="C3985" i="2"/>
  <c r="C3964" i="2"/>
  <c r="C3944" i="2"/>
  <c r="C3923" i="2"/>
  <c r="C3901" i="2"/>
  <c r="C3881" i="2"/>
  <c r="C3861" i="2"/>
  <c r="C3839" i="2"/>
  <c r="C3819" i="2"/>
  <c r="C3799" i="2"/>
  <c r="C3777" i="2"/>
  <c r="C3756" i="2"/>
  <c r="C3736" i="2"/>
  <c r="C3716" i="2"/>
  <c r="C3693" i="2"/>
  <c r="C3673" i="2"/>
  <c r="C3653" i="2"/>
  <c r="C3630" i="2"/>
  <c r="C3610" i="2"/>
  <c r="C3590" i="2"/>
  <c r="C3569" i="2"/>
  <c r="C3548" i="2"/>
  <c r="C3528" i="2"/>
  <c r="C3508" i="2"/>
  <c r="C3486" i="2"/>
  <c r="C3465" i="2"/>
  <c r="C3445" i="2"/>
  <c r="C3423" i="2"/>
  <c r="C3403" i="2"/>
  <c r="C3382" i="2"/>
  <c r="C3361" i="2"/>
  <c r="C3340" i="2"/>
  <c r="C3319" i="2"/>
  <c r="C3299" i="2"/>
  <c r="C3277" i="2"/>
  <c r="C3257" i="2"/>
  <c r="C3237" i="2"/>
  <c r="C3215" i="2"/>
  <c r="C3195" i="2"/>
  <c r="C3174" i="2"/>
  <c r="C3154" i="2"/>
  <c r="C3134" i="2"/>
  <c r="C3115" i="2"/>
  <c r="C3096" i="2"/>
  <c r="C3076" i="2"/>
  <c r="C3057" i="2"/>
  <c r="C3036" i="2"/>
  <c r="C3017" i="2"/>
  <c r="C2998" i="2"/>
  <c r="C2979" i="2"/>
  <c r="C2959" i="2"/>
  <c r="C2940" i="2"/>
  <c r="C2921" i="2"/>
  <c r="C2902" i="2"/>
  <c r="C2882" i="2"/>
  <c r="C2862" i="2"/>
  <c r="C2843" i="2"/>
  <c r="C2824" i="2"/>
  <c r="C2805" i="2"/>
  <c r="C2785" i="2"/>
  <c r="C2765" i="2"/>
  <c r="C2745" i="2"/>
  <c r="C2726" i="2"/>
  <c r="C2707" i="2"/>
  <c r="C2687" i="2"/>
  <c r="C2668" i="2"/>
  <c r="C2649" i="2"/>
  <c r="C2630" i="2"/>
  <c r="C2610" i="2"/>
  <c r="C2590" i="2"/>
  <c r="C2571" i="2"/>
  <c r="C2552" i="2"/>
  <c r="C2533" i="2"/>
  <c r="C2514" i="2"/>
  <c r="C2493" i="2"/>
  <c r="C2473" i="2"/>
  <c r="C2454" i="2"/>
  <c r="C2435" i="2"/>
  <c r="C2415" i="2"/>
  <c r="C2396" i="2"/>
  <c r="C2377" i="2"/>
  <c r="C2358" i="2"/>
  <c r="C2339" i="2"/>
  <c r="C2318" i="2"/>
  <c r="C2299" i="2"/>
  <c r="C2280" i="2"/>
  <c r="C2261" i="2"/>
  <c r="C2242" i="2"/>
  <c r="C2222" i="2"/>
  <c r="C2202" i="2"/>
  <c r="C2182" i="2"/>
  <c r="C2163" i="2"/>
  <c r="C2143" i="2"/>
  <c r="C2124" i="2"/>
  <c r="C2105" i="2"/>
  <c r="C2086" i="2"/>
  <c r="C2067" i="2"/>
  <c r="C2046" i="2"/>
  <c r="C2027" i="2"/>
  <c r="C2008" i="2"/>
  <c r="C1989" i="2"/>
  <c r="C1970" i="2"/>
  <c r="C1950" i="2"/>
  <c r="C1931" i="2"/>
  <c r="C1910" i="2"/>
  <c r="C1891" i="2"/>
  <c r="C1871" i="2"/>
  <c r="C1852" i="2"/>
  <c r="C1833" i="2"/>
  <c r="C1814" i="2"/>
  <c r="C1795" i="2"/>
  <c r="C1775" i="2"/>
  <c r="C1755" i="2"/>
  <c r="C1736" i="2"/>
  <c r="C1717" i="2"/>
  <c r="C1698" i="2"/>
  <c r="C1678" i="2"/>
  <c r="C1659" i="2"/>
  <c r="C1640" i="2"/>
  <c r="C1619" i="2"/>
  <c r="C1599" i="2"/>
  <c r="C1580" i="2"/>
  <c r="C1561" i="2"/>
  <c r="C1542" i="2"/>
  <c r="C1523" i="2"/>
  <c r="C1503" i="2"/>
  <c r="C1483" i="2"/>
  <c r="C1464" i="2"/>
  <c r="C1445" i="2"/>
  <c r="C1426" i="2"/>
  <c r="C1406" i="2"/>
  <c r="C1387" i="2"/>
  <c r="C1368" i="2"/>
  <c r="C1349" i="2"/>
  <c r="C11032" i="2"/>
  <c r="C10986" i="2"/>
  <c r="C10948" i="2"/>
  <c r="C10907" i="2"/>
  <c r="C10867" i="2"/>
  <c r="C10825" i="2"/>
  <c r="C10783" i="2"/>
  <c r="C10744" i="2"/>
  <c r="C10703" i="2"/>
  <c r="C10665" i="2"/>
  <c r="C10628" i="2"/>
  <c r="C10587" i="2"/>
  <c r="C10548" i="2"/>
  <c r="C10511" i="2"/>
  <c r="C10471" i="2"/>
  <c r="C10434" i="2"/>
  <c r="C10392" i="2"/>
  <c r="C10359" i="2"/>
  <c r="C10315" i="2"/>
  <c r="C10277" i="2"/>
  <c r="C10240" i="2"/>
  <c r="C10200" i="2"/>
  <c r="C10163" i="2"/>
  <c r="C10121" i="2"/>
  <c r="C10082" i="2"/>
  <c r="C10045" i="2"/>
  <c r="C10006" i="2"/>
  <c r="C9967" i="2"/>
  <c r="C9928" i="2"/>
  <c r="C9890" i="2"/>
  <c r="C9850" i="2"/>
  <c r="C9812" i="2"/>
  <c r="C9776" i="2"/>
  <c r="C9732" i="2"/>
  <c r="C9696" i="2"/>
  <c r="C9659" i="2"/>
  <c r="C9619" i="2"/>
  <c r="C9578" i="2"/>
  <c r="C9541" i="2"/>
  <c r="C9509" i="2"/>
  <c r="C9472" i="2"/>
  <c r="C9439" i="2"/>
  <c r="C9405" i="2"/>
  <c r="C9373" i="2"/>
  <c r="C9338" i="2"/>
  <c r="C9305" i="2"/>
  <c r="C9269" i="2"/>
  <c r="C9238" i="2"/>
  <c r="C9204" i="2"/>
  <c r="C9170" i="2"/>
  <c r="C9139" i="2"/>
  <c r="C9104" i="2"/>
  <c r="C9072" i="2"/>
  <c r="C9033" i="2"/>
  <c r="C9002" i="2"/>
  <c r="C8969" i="2"/>
  <c r="C8935" i="2"/>
  <c r="C8903" i="2"/>
  <c r="C8868" i="2"/>
  <c r="C8833" i="2"/>
  <c r="C8801" i="2"/>
  <c r="C8770" i="2"/>
  <c r="C8733" i="2"/>
  <c r="C8699" i="2"/>
  <c r="C8666" i="2"/>
  <c r="C8637" i="2"/>
  <c r="C8602" i="2"/>
  <c r="C8575" i="2"/>
  <c r="C8541" i="2"/>
  <c r="C8512" i="2"/>
  <c r="C8481" i="2"/>
  <c r="C8448" i="2"/>
  <c r="C8417" i="2"/>
  <c r="C8386" i="2"/>
  <c r="C8358" i="2"/>
  <c r="C8325" i="2"/>
  <c r="C8297" i="2"/>
  <c r="C8270" i="2"/>
  <c r="C8239" i="2"/>
  <c r="C8208" i="2"/>
  <c r="C8182" i="2"/>
  <c r="C8150" i="2"/>
  <c r="C8123" i="2"/>
  <c r="C8094" i="2"/>
  <c r="C8065" i="2"/>
  <c r="C8034" i="2"/>
  <c r="C8005" i="2"/>
  <c r="C7979" i="2"/>
  <c r="C7946" i="2"/>
  <c r="C7919" i="2"/>
  <c r="C7891" i="2"/>
  <c r="C7860" i="2"/>
  <c r="C7831" i="2"/>
  <c r="C7802" i="2"/>
  <c r="C7771" i="2"/>
  <c r="C7745" i="2"/>
  <c r="C7714" i="2"/>
  <c r="C7686" i="2"/>
  <c r="C7655" i="2"/>
  <c r="C7627" i="2"/>
  <c r="C7601" i="2"/>
  <c r="C7568" i="2"/>
  <c r="C7541" i="2"/>
  <c r="C7510" i="2"/>
  <c r="C7482" i="2"/>
  <c r="C7451" i="2"/>
  <c r="C7423" i="2"/>
  <c r="C7395" i="2"/>
  <c r="C7365" i="2"/>
  <c r="C7336" i="2"/>
  <c r="C7305" i="2"/>
  <c r="C7277" i="2"/>
  <c r="C7250" i="2"/>
  <c r="C7220" i="2"/>
  <c r="C7189" i="2"/>
  <c r="C7162" i="2"/>
  <c r="C7131" i="2"/>
  <c r="C7105" i="2"/>
  <c r="C7073" i="2"/>
  <c r="C7045" i="2"/>
  <c r="C7014" i="2"/>
  <c r="C6986" i="2"/>
  <c r="C6959" i="2"/>
  <c r="C6927" i="2"/>
  <c r="C6900" i="2"/>
  <c r="C6875" i="2"/>
  <c r="C6846" i="2"/>
  <c r="C6820" i="2"/>
  <c r="C6792" i="2"/>
  <c r="C6763" i="2"/>
  <c r="C6738" i="2"/>
  <c r="C6709" i="2"/>
  <c r="C6684" i="2"/>
  <c r="C6654" i="2"/>
  <c r="C6629" i="2"/>
  <c r="C6602" i="2"/>
  <c r="C6572" i="2"/>
  <c r="C6549" i="2"/>
  <c r="C6521" i="2"/>
  <c r="C6497" i="2"/>
  <c r="C6471" i="2"/>
  <c r="C6447" i="2"/>
  <c r="C6420" i="2"/>
  <c r="C6397" i="2"/>
  <c r="C6375" i="2"/>
  <c r="C6349" i="2"/>
  <c r="C6326" i="2"/>
  <c r="C6301" i="2"/>
  <c r="C6279" i="2"/>
  <c r="C6255" i="2"/>
  <c r="C6231" i="2"/>
  <c r="C6207" i="2"/>
  <c r="C6182" i="2"/>
  <c r="C6159" i="2"/>
  <c r="C6137" i="2"/>
  <c r="C6111" i="2"/>
  <c r="C6088" i="2"/>
  <c r="C6063" i="2"/>
  <c r="C6041" i="2"/>
  <c r="C6017" i="2"/>
  <c r="C5992" i="2"/>
  <c r="C5970" i="2"/>
  <c r="C5949" i="2"/>
  <c r="C5926" i="2"/>
  <c r="C5904" i="2"/>
  <c r="C5883" i="2"/>
  <c r="C5861" i="2"/>
  <c r="C5837" i="2"/>
  <c r="C5816" i="2"/>
  <c r="C5794" i="2"/>
  <c r="C5771" i="2"/>
  <c r="C5750" i="2"/>
  <c r="C5727" i="2"/>
  <c r="C5704" i="2"/>
  <c r="C5681" i="2"/>
  <c r="C5660" i="2"/>
  <c r="C5637" i="2"/>
  <c r="C5615" i="2"/>
  <c r="C5594" i="2"/>
  <c r="C5573" i="2"/>
  <c r="C5549" i="2"/>
  <c r="C5527" i="2"/>
  <c r="C5505" i="2"/>
  <c r="C5482" i="2"/>
  <c r="C5461" i="2"/>
  <c r="C5439" i="2"/>
  <c r="C5417" i="2"/>
  <c r="C5393" i="2"/>
  <c r="C5371" i="2"/>
  <c r="C5349" i="2"/>
  <c r="C5326" i="2"/>
  <c r="C5305" i="2"/>
  <c r="C5284" i="2"/>
  <c r="C5260" i="2"/>
  <c r="C5239" i="2"/>
  <c r="C5217" i="2"/>
  <c r="C5193" i="2"/>
  <c r="C5172" i="2"/>
  <c r="C5150" i="2"/>
  <c r="C5129" i="2"/>
  <c r="C5105" i="2"/>
  <c r="C5084" i="2"/>
  <c r="C5062" i="2"/>
  <c r="C5037" i="2"/>
  <c r="C5017" i="2"/>
  <c r="C4997" i="2"/>
  <c r="C4975" i="2"/>
  <c r="C4955" i="2"/>
  <c r="C4935" i="2"/>
  <c r="C4915" i="2"/>
  <c r="C4892" i="2"/>
  <c r="C4872" i="2"/>
  <c r="C4852" i="2"/>
  <c r="C4830" i="2"/>
  <c r="C4810" i="2"/>
  <c r="C4790" i="2"/>
  <c r="C4769" i="2"/>
  <c r="C4746" i="2"/>
  <c r="C4726" i="2"/>
  <c r="C4705" i="2"/>
  <c r="C4684" i="2"/>
  <c r="C4664" i="2"/>
  <c r="C4644" i="2"/>
  <c r="C4622" i="2"/>
  <c r="C4602" i="2"/>
  <c r="C4581" i="2"/>
  <c r="C4559" i="2"/>
  <c r="C4539" i="2"/>
  <c r="C4519" i="2"/>
  <c r="C4499" i="2"/>
  <c r="C4477" i="2"/>
  <c r="C4457" i="2"/>
  <c r="C4435" i="2"/>
  <c r="C4413" i="2"/>
  <c r="C4393" i="2"/>
  <c r="C4373" i="2"/>
  <c r="C4351" i="2"/>
  <c r="C4331" i="2"/>
  <c r="C4311" i="2"/>
  <c r="C4289" i="2"/>
  <c r="C4268" i="2"/>
  <c r="C4248" i="2"/>
  <c r="C4228" i="2"/>
  <c r="C4206" i="2"/>
  <c r="C4186" i="2"/>
  <c r="C4166" i="2"/>
  <c r="C4145" i="2"/>
  <c r="C4122" i="2"/>
  <c r="C4102" i="2"/>
  <c r="C4081" i="2"/>
  <c r="C4060" i="2"/>
  <c r="C4040" i="2"/>
  <c r="C4020" i="2"/>
  <c r="C3998" i="2"/>
  <c r="C3977" i="2"/>
  <c r="C3957" i="2"/>
  <c r="C3935" i="2"/>
  <c r="C3915" i="2"/>
  <c r="C3895" i="2"/>
  <c r="C3875" i="2"/>
  <c r="C3853" i="2"/>
  <c r="C3832" i="2"/>
  <c r="C3811" i="2"/>
  <c r="C3789" i="2"/>
  <c r="C3769" i="2"/>
  <c r="C3749" i="2"/>
  <c r="C3727" i="2"/>
  <c r="C3707" i="2"/>
  <c r="C3686" i="2"/>
  <c r="C3665" i="2"/>
  <c r="C3644" i="2"/>
  <c r="C3624" i="2"/>
  <c r="C3604" i="2"/>
  <c r="C3582" i="2"/>
  <c r="C3562" i="2"/>
  <c r="C3542" i="2"/>
  <c r="C3519" i="2"/>
  <c r="C3498" i="2"/>
  <c r="C3478" i="2"/>
  <c r="C3457" i="2"/>
  <c r="C3436" i="2"/>
  <c r="C3416" i="2"/>
  <c r="C3396" i="2"/>
  <c r="C3373" i="2"/>
  <c r="C3353" i="2"/>
  <c r="C3333" i="2"/>
  <c r="C3311" i="2"/>
  <c r="C3291" i="2"/>
  <c r="C3271" i="2"/>
  <c r="C3251" i="2"/>
  <c r="C3228" i="2"/>
  <c r="C3208" i="2"/>
  <c r="C3187" i="2"/>
  <c r="C3165" i="2"/>
  <c r="C3146" i="2"/>
  <c r="C3127" i="2"/>
  <c r="C3108" i="2"/>
  <c r="C3087" i="2"/>
  <c r="C3068" i="2"/>
  <c r="C3049" i="2"/>
  <c r="C3030" i="2"/>
  <c r="C3011" i="2"/>
  <c r="C2991" i="2"/>
  <c r="C2972" i="2"/>
  <c r="C2953" i="2"/>
  <c r="C2933" i="2"/>
  <c r="C2914" i="2"/>
  <c r="C2893" i="2"/>
  <c r="C2874" i="2"/>
  <c r="C2855" i="2"/>
  <c r="C2836" i="2"/>
  <c r="C2817" i="2"/>
  <c r="C2796" i="2"/>
  <c r="C2777" i="2"/>
  <c r="C2758" i="2"/>
  <c r="C2739" i="2"/>
  <c r="C2719" i="2"/>
  <c r="C2700" i="2"/>
  <c r="C2681" i="2"/>
  <c r="C2661" i="2"/>
  <c r="C2642" i="2"/>
  <c r="C2622" i="2"/>
  <c r="C2602" i="2"/>
  <c r="C2583" i="2"/>
  <c r="C2564" i="2"/>
  <c r="C2545" i="2"/>
  <c r="C2524" i="2"/>
  <c r="C2505" i="2"/>
  <c r="C2486" i="2"/>
  <c r="C2467" i="2"/>
  <c r="C2447" i="2"/>
  <c r="C2428" i="2"/>
  <c r="C2409" i="2"/>
  <c r="C2390" i="2"/>
  <c r="C2370" i="2"/>
  <c r="C2350" i="2"/>
  <c r="C2331" i="2"/>
  <c r="C2311" i="2"/>
  <c r="C2292" i="2"/>
  <c r="C2273" i="2"/>
  <c r="C2253" i="2"/>
  <c r="C2233" i="2"/>
  <c r="C2214" i="2"/>
  <c r="C2195" i="2"/>
  <c r="C2175" i="2"/>
  <c r="C2156" i="2"/>
  <c r="C2137" i="2"/>
  <c r="C2118" i="2"/>
  <c r="C2098" i="2"/>
  <c r="C2078" i="2"/>
  <c r="C2059" i="2"/>
  <c r="C2040" i="2"/>
  <c r="C2020" i="2"/>
  <c r="C2001" i="2"/>
  <c r="C1981" i="2"/>
  <c r="C1961" i="2"/>
  <c r="C1942" i="2"/>
  <c r="C1923" i="2"/>
  <c r="C1903" i="2"/>
  <c r="C1884" i="2"/>
  <c r="C1865" i="2"/>
  <c r="C1846" i="2"/>
  <c r="C1827" i="2"/>
  <c r="C1806" i="2"/>
  <c r="C1787" i="2"/>
  <c r="C1768" i="2"/>
  <c r="C1749" i="2"/>
  <c r="C1729" i="2"/>
  <c r="C1709" i="2"/>
  <c r="C1690" i="2"/>
  <c r="C1670" i="2"/>
  <c r="C1651" i="2"/>
  <c r="C1631" i="2"/>
  <c r="C1612" i="2"/>
  <c r="C1593" i="2"/>
  <c r="C1574" i="2"/>
  <c r="C1555" i="2"/>
  <c r="C1534" i="2"/>
  <c r="C1515" i="2"/>
  <c r="C1496" i="2"/>
  <c r="C1477" i="2"/>
  <c r="C1458" i="2"/>
  <c r="C1437" i="2"/>
  <c r="C1418" i="2"/>
  <c r="C1398" i="2"/>
  <c r="C1379" i="2"/>
  <c r="C1359" i="2"/>
  <c r="C1340" i="2"/>
  <c r="C1321" i="2"/>
  <c r="C1302" i="2"/>
  <c r="C1283" i="2"/>
  <c r="C1263" i="2"/>
  <c r="C1243" i="2"/>
  <c r="C1224" i="2"/>
  <c r="C1205" i="2"/>
  <c r="C1186" i="2"/>
  <c r="C1166" i="2"/>
  <c r="C1146" i="2"/>
  <c r="C1127" i="2"/>
  <c r="C1107" i="2"/>
  <c r="C1087" i="2"/>
  <c r="C1068" i="2"/>
  <c r="C1049" i="2"/>
  <c r="C1030" i="2"/>
  <c r="C1012" i="2"/>
  <c r="C994" i="2"/>
  <c r="C975" i="2"/>
  <c r="C957" i="2"/>
  <c r="C939" i="2"/>
  <c r="C921" i="2"/>
  <c r="C903" i="2"/>
  <c r="C885" i="2"/>
  <c r="C866" i="2"/>
  <c r="C847" i="2"/>
  <c r="C829" i="2"/>
  <c r="C811" i="2"/>
  <c r="C793" i="2"/>
  <c r="C775" i="2"/>
  <c r="C757" i="2"/>
  <c r="C739" i="2"/>
  <c r="C721" i="2"/>
  <c r="C702" i="2"/>
  <c r="C684" i="2"/>
  <c r="C666" i="2"/>
  <c r="C648" i="2"/>
  <c r="C630" i="2"/>
  <c r="C612" i="2"/>
  <c r="C593" i="2"/>
  <c r="C574" i="2"/>
  <c r="C556" i="2"/>
  <c r="C538" i="2"/>
  <c r="C520" i="2"/>
  <c r="C502" i="2"/>
  <c r="C484" i="2"/>
  <c r="C466" i="2"/>
  <c r="C447" i="2"/>
  <c r="C429" i="2"/>
  <c r="C411" i="2"/>
  <c r="C393" i="2"/>
  <c r="C375" i="2"/>
  <c r="C357" i="2"/>
  <c r="C339" i="2"/>
  <c r="C319" i="2"/>
  <c r="C301" i="2"/>
  <c r="C283" i="2"/>
  <c r="C265" i="2"/>
  <c r="C247" i="2"/>
  <c r="C229" i="2"/>
  <c r="C211" i="2"/>
  <c r="C193" i="2"/>
  <c r="C174" i="2"/>
  <c r="C156" i="2"/>
  <c r="C139" i="2"/>
  <c r="C122" i="2"/>
  <c r="C105" i="2"/>
  <c r="C88" i="2"/>
  <c r="C71" i="2"/>
  <c r="C54" i="2"/>
  <c r="C37" i="2"/>
  <c r="C20" i="2"/>
  <c r="C3" i="2"/>
  <c r="C11031" i="2"/>
  <c r="C10985" i="2"/>
  <c r="C10947" i="2"/>
  <c r="C10903" i="2"/>
  <c r="C10866" i="2"/>
  <c r="C10819" i="2"/>
  <c r="C10781" i="2"/>
  <c r="C10743" i="2"/>
  <c r="C10701" i="2"/>
  <c r="C10663" i="2"/>
  <c r="C10624" i="2"/>
  <c r="C10584" i="2"/>
  <c r="C10547" i="2"/>
  <c r="C10509" i="2"/>
  <c r="C10469" i="2"/>
  <c r="C10429" i="2"/>
  <c r="C10390" i="2"/>
  <c r="C10353" i="2"/>
  <c r="C10313" i="2"/>
  <c r="C10276" i="2"/>
  <c r="C10233" i="2"/>
  <c r="C10198" i="2"/>
  <c r="C10161" i="2"/>
  <c r="C10118" i="2"/>
  <c r="C10080" i="2"/>
  <c r="C10042" i="2"/>
  <c r="C10005" i="2"/>
  <c r="C9962" i="2"/>
  <c r="C9925" i="2"/>
  <c r="C9889" i="2"/>
  <c r="C9848" i="2"/>
  <c r="C9808" i="2"/>
  <c r="C9775" i="2"/>
  <c r="C9731" i="2"/>
  <c r="C9693" i="2"/>
  <c r="C9654" i="2"/>
  <c r="C9616" i="2"/>
  <c r="C9576" i="2"/>
  <c r="C9540" i="2"/>
  <c r="C9508" i="2"/>
  <c r="C9471" i="2"/>
  <c r="C9437" i="2"/>
  <c r="C9403" i="2"/>
  <c r="C9371" i="2"/>
  <c r="C9336" i="2"/>
  <c r="C9302" i="2"/>
  <c r="C9268" i="2"/>
  <c r="C9237" i="2"/>
  <c r="C9202" i="2"/>
  <c r="C9168" i="2"/>
  <c r="C9133" i="2"/>
  <c r="C9103" i="2"/>
  <c r="C9071" i="2"/>
  <c r="C9032" i="2"/>
  <c r="C9001" i="2"/>
  <c r="C8966" i="2"/>
  <c r="C8934" i="2"/>
  <c r="C8899" i="2"/>
  <c r="C8867" i="2"/>
  <c r="C8832" i="2"/>
  <c r="C8799" i="2"/>
  <c r="C8768" i="2"/>
  <c r="C8731" i="2"/>
  <c r="C8696" i="2"/>
  <c r="C8664" i="2"/>
  <c r="C8633" i="2"/>
  <c r="C8600" i="2"/>
  <c r="C8573" i="2"/>
  <c r="C8538" i="2"/>
  <c r="C8507" i="2"/>
  <c r="C8477" i="2"/>
  <c r="C8447" i="2"/>
  <c r="C8416" i="2"/>
  <c r="C8385" i="2"/>
  <c r="C8354" i="2"/>
  <c r="C8324" i="2"/>
  <c r="C8294" i="2"/>
  <c r="C8269" i="2"/>
  <c r="C8238" i="2"/>
  <c r="C8207" i="2"/>
  <c r="C8180" i="2"/>
  <c r="C8149" i="2"/>
  <c r="C8122" i="2"/>
  <c r="C8090" i="2"/>
  <c r="C8062" i="2"/>
  <c r="C8033" i="2"/>
  <c r="C8004" i="2"/>
  <c r="C7977" i="2"/>
  <c r="C7945" i="2"/>
  <c r="C7915" i="2"/>
  <c r="C7889" i="2"/>
  <c r="C7859" i="2"/>
  <c r="C7830" i="2"/>
  <c r="C7800" i="2"/>
  <c r="C7770" i="2"/>
  <c r="C7743" i="2"/>
  <c r="C7712" i="2"/>
  <c r="C7685" i="2"/>
  <c r="C7654" i="2"/>
  <c r="C7625" i="2"/>
  <c r="C7595" i="2"/>
  <c r="C7567" i="2"/>
  <c r="C7539" i="2"/>
  <c r="C7509" i="2"/>
  <c r="C7480" i="2"/>
  <c r="C7450" i="2"/>
  <c r="C7422" i="2"/>
  <c r="C7394" i="2"/>
  <c r="C7364" i="2"/>
  <c r="C7333" i="2"/>
  <c r="C7304" i="2"/>
  <c r="C7275" i="2"/>
  <c r="C7249" i="2"/>
  <c r="C7217" i="2"/>
  <c r="C7188" i="2"/>
  <c r="C7159" i="2"/>
  <c r="C7129" i="2"/>
  <c r="C7104" i="2"/>
  <c r="C7072" i="2"/>
  <c r="C7043" i="2"/>
  <c r="C7013" i="2"/>
  <c r="C6985" i="2"/>
  <c r="C6957" i="2"/>
  <c r="C6926" i="2"/>
  <c r="C6898" i="2"/>
  <c r="C6873" i="2"/>
  <c r="C6844" i="2"/>
  <c r="C6818" i="2"/>
  <c r="C6790" i="2"/>
  <c r="C6762" i="2"/>
  <c r="C6736" i="2"/>
  <c r="C6708" i="2"/>
  <c r="C6682" i="2"/>
  <c r="C6653" i="2"/>
  <c r="C6626" i="2"/>
  <c r="C6598" i="2"/>
  <c r="C6571" i="2"/>
  <c r="C6546" i="2"/>
  <c r="C6520" i="2"/>
  <c r="C6496" i="2"/>
  <c r="C6470" i="2"/>
  <c r="C6446" i="2"/>
  <c r="C6418" i="2"/>
  <c r="C6396" i="2"/>
  <c r="C6370" i="2"/>
  <c r="C6348" i="2"/>
  <c r="C6325" i="2"/>
  <c r="C6300" i="2"/>
  <c r="C6278" i="2"/>
  <c r="C6253" i="2"/>
  <c r="C6229" i="2"/>
  <c r="C6205" i="2"/>
  <c r="C6181" i="2"/>
  <c r="C6158" i="2"/>
  <c r="C6136" i="2"/>
  <c r="C6110" i="2"/>
  <c r="C6087" i="2"/>
  <c r="C6062" i="2"/>
  <c r="C6039" i="2"/>
  <c r="C6014" i="2"/>
  <c r="C5991" i="2"/>
  <c r="C5969" i="2"/>
  <c r="C5948" i="2"/>
  <c r="C5925" i="2"/>
  <c r="C5903" i="2"/>
  <c r="C5882" i="2"/>
  <c r="C5857" i="2"/>
  <c r="C5836" i="2"/>
  <c r="C5815" i="2"/>
  <c r="C5792" i="2"/>
  <c r="C5770" i="2"/>
  <c r="C5748" i="2"/>
  <c r="C5726" i="2"/>
  <c r="C5702" i="2"/>
  <c r="C5680" i="2"/>
  <c r="C5659" i="2"/>
  <c r="C5636" i="2"/>
  <c r="C5614" i="2"/>
  <c r="C5593" i="2"/>
  <c r="C5570" i="2"/>
  <c r="C5548" i="2"/>
  <c r="C5526" i="2"/>
  <c r="C5504" i="2"/>
  <c r="C5481" i="2"/>
  <c r="C5460" i="2"/>
  <c r="C5438" i="2"/>
  <c r="C5414" i="2"/>
  <c r="C5392" i="2"/>
  <c r="C5370" i="2"/>
  <c r="C5346" i="2"/>
  <c r="C5325" i="2"/>
  <c r="C5304" i="2"/>
  <c r="C5282" i="2"/>
  <c r="C5259" i="2"/>
  <c r="C5238" i="2"/>
  <c r="C5215" i="2"/>
  <c r="C5192" i="2"/>
  <c r="C5170" i="2"/>
  <c r="C5149" i="2"/>
  <c r="C5127" i="2"/>
  <c r="C5104" i="2"/>
  <c r="C5082" i="2"/>
  <c r="C5058" i="2"/>
  <c r="C5036" i="2"/>
  <c r="C5016" i="2"/>
  <c r="C4996" i="2"/>
  <c r="C4974" i="2"/>
  <c r="C4954" i="2"/>
  <c r="C4934" i="2"/>
  <c r="C4913" i="2"/>
  <c r="C4891" i="2"/>
  <c r="C4871" i="2"/>
  <c r="C4851" i="2"/>
  <c r="C4829" i="2"/>
  <c r="C4809" i="2"/>
  <c r="C4789" i="2"/>
  <c r="C4766" i="2"/>
  <c r="C4745" i="2"/>
  <c r="C4725" i="2"/>
  <c r="C4703" i="2"/>
  <c r="C4683" i="2"/>
  <c r="C4663" i="2"/>
  <c r="C4643" i="2"/>
  <c r="C4621" i="2"/>
  <c r="C4600" i="2"/>
  <c r="C4580" i="2"/>
  <c r="C4558" i="2"/>
  <c r="C4538" i="2"/>
  <c r="C4518" i="2"/>
  <c r="C4497" i="2"/>
  <c r="C4476" i="2"/>
  <c r="C4454" i="2"/>
  <c r="C4433" i="2"/>
  <c r="C4412" i="2"/>
  <c r="C4392" i="2"/>
  <c r="C4372" i="2"/>
  <c r="C4350" i="2"/>
  <c r="C4330" i="2"/>
  <c r="C4310" i="2"/>
  <c r="C4287" i="2"/>
  <c r="C4267" i="2"/>
  <c r="C4247" i="2"/>
  <c r="C4227" i="2"/>
  <c r="C4205" i="2"/>
  <c r="C4185" i="2"/>
  <c r="C4165" i="2"/>
  <c r="C4141" i="2"/>
  <c r="C4121" i="2"/>
  <c r="C4101" i="2"/>
  <c r="C4079" i="2"/>
  <c r="C4059" i="2"/>
  <c r="C4039" i="2"/>
  <c r="C4019" i="2"/>
  <c r="C3996" i="2"/>
  <c r="C3976" i="2"/>
  <c r="C3956" i="2"/>
  <c r="C3934" i="2"/>
  <c r="C3914" i="2"/>
  <c r="C3894" i="2"/>
  <c r="C3873" i="2"/>
  <c r="C3852" i="2"/>
  <c r="C3830" i="2"/>
  <c r="C3809" i="2"/>
  <c r="C3788" i="2"/>
  <c r="C3768" i="2"/>
  <c r="C3748" i="2"/>
  <c r="C3726" i="2"/>
  <c r="C3706" i="2"/>
  <c r="C3685" i="2"/>
  <c r="C3663" i="2"/>
  <c r="C3643" i="2"/>
  <c r="C3623" i="2"/>
  <c r="C3603" i="2"/>
  <c r="C3581" i="2"/>
  <c r="C3561" i="2"/>
  <c r="C3540" i="2"/>
  <c r="C3517" i="2"/>
  <c r="C3497" i="2"/>
  <c r="C3477" i="2"/>
  <c r="C3455" i="2"/>
  <c r="C3435" i="2"/>
  <c r="C3415" i="2"/>
  <c r="C3393" i="2"/>
  <c r="C3372" i="2"/>
  <c r="C3352" i="2"/>
  <c r="C3332" i="2"/>
  <c r="C3310" i="2"/>
  <c r="C3290" i="2"/>
  <c r="C3270" i="2"/>
  <c r="C3249" i="2"/>
  <c r="C3227" i="2"/>
  <c r="C3206" i="2"/>
  <c r="C3185" i="2"/>
  <c r="C3164" i="2"/>
  <c r="C3145" i="2"/>
  <c r="C3126" i="2"/>
  <c r="C3107" i="2"/>
  <c r="C3086" i="2"/>
  <c r="C3067" i="2"/>
  <c r="C3048" i="2"/>
  <c r="C3029" i="2"/>
  <c r="C3010" i="2"/>
  <c r="C2990" i="2"/>
  <c r="C2971" i="2"/>
  <c r="C2951" i="2"/>
  <c r="C2932" i="2"/>
  <c r="C2911" i="2"/>
  <c r="C2892" i="2"/>
  <c r="C2873" i="2"/>
  <c r="C2854" i="2"/>
  <c r="C2835" i="2"/>
  <c r="C2814" i="2"/>
  <c r="C2795" i="2"/>
  <c r="C2776" i="2"/>
  <c r="C2757" i="2"/>
  <c r="C2738" i="2"/>
  <c r="C2718" i="2"/>
  <c r="C2699" i="2"/>
  <c r="C2680" i="2"/>
  <c r="C2660" i="2"/>
  <c r="C2641" i="2"/>
  <c r="C2620" i="2"/>
  <c r="C2601" i="2"/>
  <c r="C2582" i="2"/>
  <c r="C2563" i="2"/>
  <c r="C2543" i="2"/>
  <c r="C2523" i="2"/>
  <c r="C2504" i="2"/>
  <c r="C2485" i="2"/>
  <c r="C2466" i="2"/>
  <c r="C2446" i="2"/>
  <c r="C2427" i="2"/>
  <c r="C2408" i="2"/>
  <c r="C2388" i="2"/>
  <c r="C2369" i="2"/>
  <c r="C2349" i="2"/>
  <c r="C2329" i="2"/>
  <c r="C2310" i="2"/>
  <c r="C2291" i="2"/>
  <c r="C2271" i="2"/>
  <c r="C2251" i="2"/>
  <c r="C2232" i="2"/>
  <c r="C2213" i="2"/>
  <c r="C2194" i="2"/>
  <c r="C2174" i="2"/>
  <c r="C2155" i="2"/>
  <c r="C2136" i="2"/>
  <c r="C2117" i="2"/>
  <c r="C2097" i="2"/>
  <c r="C2077" i="2"/>
  <c r="C2058" i="2"/>
  <c r="C2038" i="2"/>
  <c r="C2019" i="2"/>
  <c r="C1999" i="2"/>
  <c r="C1980" i="2"/>
  <c r="C1960" i="2"/>
  <c r="C1941" i="2"/>
  <c r="C1922" i="2"/>
  <c r="C1902" i="2"/>
  <c r="C1883" i="2"/>
  <c r="C1864" i="2"/>
  <c r="C1845" i="2"/>
  <c r="C1825" i="2"/>
  <c r="C1805" i="2"/>
  <c r="C1786" i="2"/>
  <c r="C1767" i="2"/>
  <c r="C1747" i="2"/>
  <c r="C1727" i="2"/>
  <c r="C1708" i="2"/>
  <c r="C1688" i="2"/>
  <c r="C1669" i="2"/>
  <c r="C1650" i="2"/>
  <c r="C1630" i="2"/>
  <c r="C1611" i="2"/>
  <c r="C1592" i="2"/>
  <c r="C1573" i="2"/>
  <c r="C1554" i="2"/>
  <c r="C1533" i="2"/>
  <c r="C1514" i="2"/>
  <c r="C1495" i="2"/>
  <c r="C1476" i="2"/>
  <c r="C1455" i="2"/>
  <c r="C1436" i="2"/>
  <c r="C1417" i="2"/>
  <c r="C1397" i="2"/>
  <c r="C1378" i="2"/>
  <c r="C1358" i="2"/>
  <c r="C1339" i="2"/>
  <c r="C1320" i="2"/>
  <c r="C1301" i="2"/>
  <c r="C1282" i="2"/>
  <c r="C1261" i="2"/>
  <c r="C1242" i="2"/>
  <c r="C1223" i="2"/>
  <c r="C1204" i="2"/>
  <c r="C1185" i="2"/>
  <c r="C1164" i="2"/>
  <c r="C1145" i="2"/>
  <c r="C1125" i="2"/>
  <c r="C1106" i="2"/>
  <c r="C1086" i="2"/>
  <c r="C1067" i="2"/>
  <c r="C1048" i="2"/>
  <c r="C1029" i="2"/>
  <c r="C1011" i="2"/>
  <c r="C993" i="2"/>
  <c r="C974" i="2"/>
  <c r="C956" i="2"/>
  <c r="C938" i="2"/>
  <c r="C920" i="2"/>
  <c r="C902" i="2"/>
  <c r="C883" i="2"/>
  <c r="C865" i="2"/>
  <c r="C846" i="2"/>
  <c r="C828" i="2"/>
  <c r="C810" i="2"/>
  <c r="C792" i="2"/>
  <c r="C774" i="2"/>
  <c r="C756" i="2"/>
  <c r="C738" i="2"/>
  <c r="C719" i="2"/>
  <c r="C701" i="2"/>
  <c r="C683" i="2"/>
  <c r="C665" i="2"/>
  <c r="C647" i="2"/>
  <c r="C629" i="2"/>
  <c r="C610" i="2"/>
  <c r="C591" i="2"/>
  <c r="C573" i="2"/>
  <c r="C555" i="2"/>
  <c r="C537" i="2"/>
  <c r="C519" i="2"/>
  <c r="C501" i="2"/>
  <c r="C483" i="2"/>
  <c r="C465" i="2"/>
  <c r="C446" i="2"/>
  <c r="C428" i="2"/>
  <c r="C410" i="2"/>
  <c r="C392" i="2"/>
  <c r="C374" i="2"/>
  <c r="C356" i="2"/>
  <c r="C337" i="2"/>
  <c r="C318" i="2"/>
  <c r="C300" i="2"/>
  <c r="C282" i="2"/>
  <c r="C264" i="2"/>
  <c r="C246" i="2"/>
  <c r="C228" i="2"/>
  <c r="C210" i="2"/>
  <c r="C191" i="2"/>
  <c r="C173" i="2"/>
  <c r="C155" i="2"/>
  <c r="C138" i="2"/>
  <c r="C121" i="2"/>
  <c r="C104" i="2"/>
  <c r="C87" i="2"/>
  <c r="C70" i="2"/>
  <c r="C53" i="2"/>
  <c r="C36" i="2"/>
  <c r="C19" i="2"/>
  <c r="C11037" i="2"/>
  <c r="C10976" i="2"/>
  <c r="C10916" i="2"/>
  <c r="C10854" i="2"/>
  <c r="C10793" i="2"/>
  <c r="C10735" i="2"/>
  <c r="C10676" i="2"/>
  <c r="C10621" i="2"/>
  <c r="C10573" i="2"/>
  <c r="C10514" i="2"/>
  <c r="C10455" i="2"/>
  <c r="C10399" i="2"/>
  <c r="C10342" i="2"/>
  <c r="C10282" i="2"/>
  <c r="C10228" i="2"/>
  <c r="C10169" i="2"/>
  <c r="C10115" i="2"/>
  <c r="C10056" i="2"/>
  <c r="C10003" i="2"/>
  <c r="C9951" i="2"/>
  <c r="C9892" i="2"/>
  <c r="C9834" i="2"/>
  <c r="C9778" i="2"/>
  <c r="C9722" i="2"/>
  <c r="C9666" i="2"/>
  <c r="C9606" i="2"/>
  <c r="C9551" i="2"/>
  <c r="C9499" i="2"/>
  <c r="C9451" i="2"/>
  <c r="C11035" i="2"/>
  <c r="C10973" i="2"/>
  <c r="C10914" i="2"/>
  <c r="C10850" i="2"/>
  <c r="C10790" i="2"/>
  <c r="C10733" i="2"/>
  <c r="C10675" i="2"/>
  <c r="C10618" i="2"/>
  <c r="C10562" i="2"/>
  <c r="C10506" i="2"/>
  <c r="C10454" i="2"/>
  <c r="C10395" i="2"/>
  <c r="C10341" i="2"/>
  <c r="C10280" i="2"/>
  <c r="C10227" i="2"/>
  <c r="C10168" i="2"/>
  <c r="C10113" i="2"/>
  <c r="C10053" i="2"/>
  <c r="C9999" i="2"/>
  <c r="C9943" i="2"/>
  <c r="C9888" i="2"/>
  <c r="C9833" i="2"/>
  <c r="C9777" i="2"/>
  <c r="C9721" i="2"/>
  <c r="C9665" i="2"/>
  <c r="C9605" i="2"/>
  <c r="C9549" i="2"/>
  <c r="C9496" i="2"/>
  <c r="C9447" i="2"/>
  <c r="C11028" i="2"/>
  <c r="C10971" i="2"/>
  <c r="C10909" i="2"/>
  <c r="C10849" i="2"/>
  <c r="C10788" i="2"/>
  <c r="C10730" i="2"/>
  <c r="C10674" i="2"/>
  <c r="C10615" i="2"/>
  <c r="C10557" i="2"/>
  <c r="C10500" i="2"/>
  <c r="C10448" i="2"/>
  <c r="C10389" i="2"/>
  <c r="C10338" i="2"/>
  <c r="C10278" i="2"/>
  <c r="C10226" i="2"/>
  <c r="C10166" i="2"/>
  <c r="C10112" i="2"/>
  <c r="C10052" i="2"/>
  <c r="C9995" i="2"/>
  <c r="C9939" i="2"/>
  <c r="C9887" i="2"/>
  <c r="C9825" i="2"/>
  <c r="C9769" i="2"/>
  <c r="C9719" i="2"/>
  <c r="C9661" i="2"/>
  <c r="C9603" i="2"/>
  <c r="C9543" i="2"/>
  <c r="C9494" i="2"/>
  <c r="C10995" i="2"/>
  <c r="C10936" i="2"/>
  <c r="C10873" i="2"/>
  <c r="C10813" i="2"/>
  <c r="C10752" i="2"/>
  <c r="C10698" i="2"/>
  <c r="C10639" i="2"/>
  <c r="C10583" i="2"/>
  <c r="C10530" i="2"/>
  <c r="C10474" i="2"/>
  <c r="C10419" i="2"/>
  <c r="C10361" i="2"/>
  <c r="C10306" i="2"/>
  <c r="C10246" i="2"/>
  <c r="C10191" i="2"/>
  <c r="C10134" i="2"/>
  <c r="C10075" i="2"/>
  <c r="C10018" i="2"/>
  <c r="C9961" i="2"/>
  <c r="C9913" i="2"/>
  <c r="C9856" i="2"/>
  <c r="C9798" i="2"/>
  <c r="C9741" i="2"/>
  <c r="C9684" i="2"/>
  <c r="C9624" i="2"/>
  <c r="C9570" i="2"/>
  <c r="C9513" i="2"/>
  <c r="C9466" i="2"/>
  <c r="C11042" i="2"/>
  <c r="C10984" i="2"/>
  <c r="C10934" i="2"/>
  <c r="C10868" i="2"/>
  <c r="C10808" i="2"/>
  <c r="C10747" i="2"/>
  <c r="C10691" i="2"/>
  <c r="C10635" i="2"/>
  <c r="C10579" i="2"/>
  <c r="C10996" i="2"/>
  <c r="C10900" i="2"/>
  <c r="C10818" i="2"/>
  <c r="C10728" i="2"/>
  <c r="C10656" i="2"/>
  <c r="C10575" i="2"/>
  <c r="C10496" i="2"/>
  <c r="C10420" i="2"/>
  <c r="C10343" i="2"/>
  <c r="C10262" i="2"/>
  <c r="C10195" i="2"/>
  <c r="C10116" i="2"/>
  <c r="C10038" i="2"/>
  <c r="C9969" i="2"/>
  <c r="C9894" i="2"/>
  <c r="C9815" i="2"/>
  <c r="C9743" i="2"/>
  <c r="C9667" i="2"/>
  <c r="C9585" i="2"/>
  <c r="C9514" i="2"/>
  <c r="C9458" i="2"/>
  <c r="C9398" i="2"/>
  <c r="C9347" i="2"/>
  <c r="C9301" i="2"/>
  <c r="C9257" i="2"/>
  <c r="C9207" i="2"/>
  <c r="C9158" i="2"/>
  <c r="C9106" i="2"/>
  <c r="C9060" i="2"/>
  <c r="C9008" i="2"/>
  <c r="C8962" i="2"/>
  <c r="C8909" i="2"/>
  <c r="C8859" i="2"/>
  <c r="C8810" i="2"/>
  <c r="C8761" i="2"/>
  <c r="C8720" i="2"/>
  <c r="C8669" i="2"/>
  <c r="C8624" i="2"/>
  <c r="C8577" i="2"/>
  <c r="C8534" i="2"/>
  <c r="C8485" i="2"/>
  <c r="C8440" i="2"/>
  <c r="C8393" i="2"/>
  <c r="C8350" i="2"/>
  <c r="C8307" i="2"/>
  <c r="C8267" i="2"/>
  <c r="C8226" i="2"/>
  <c r="C8183" i="2"/>
  <c r="C8142" i="2"/>
  <c r="C8098" i="2"/>
  <c r="C8054" i="2"/>
  <c r="C8010" i="2"/>
  <c r="C7968" i="2"/>
  <c r="C7925" i="2"/>
  <c r="C7885" i="2"/>
  <c r="C7840" i="2"/>
  <c r="C7798" i="2"/>
  <c r="C7760" i="2"/>
  <c r="C7717" i="2"/>
  <c r="C7674" i="2"/>
  <c r="C7632" i="2"/>
  <c r="C7588" i="2"/>
  <c r="C7544" i="2"/>
  <c r="C7505" i="2"/>
  <c r="C7459" i="2"/>
  <c r="C7417" i="2"/>
  <c r="C7376" i="2"/>
  <c r="C7332" i="2"/>
  <c r="C7295" i="2"/>
  <c r="C7251" i="2"/>
  <c r="C7209" i="2"/>
  <c r="C7165" i="2"/>
  <c r="C7124" i="2"/>
  <c r="C7079" i="2"/>
  <c r="C7038" i="2"/>
  <c r="C6993" i="2"/>
  <c r="C6950" i="2"/>
  <c r="C6908" i="2"/>
  <c r="C6872" i="2"/>
  <c r="C6833" i="2"/>
  <c r="C6793" i="2"/>
  <c r="C6753" i="2"/>
  <c r="C6714" i="2"/>
  <c r="C6673" i="2"/>
  <c r="C6633" i="2"/>
  <c r="C6592" i="2"/>
  <c r="C10993" i="2"/>
  <c r="C10899" i="2"/>
  <c r="C10817" i="2"/>
  <c r="C10726" i="2"/>
  <c r="C10653" i="2"/>
  <c r="C10554" i="2"/>
  <c r="C10483" i="2"/>
  <c r="C10418" i="2"/>
  <c r="C10328" i="2"/>
  <c r="C10261" i="2"/>
  <c r="C10186" i="2"/>
  <c r="C10107" i="2"/>
  <c r="C10036" i="2"/>
  <c r="C9959" i="2"/>
  <c r="C9879" i="2"/>
  <c r="C9805" i="2"/>
  <c r="C9737" i="2"/>
  <c r="C9651" i="2"/>
  <c r="C9584" i="2"/>
  <c r="C9512" i="2"/>
  <c r="C9444" i="2"/>
  <c r="C9397" i="2"/>
  <c r="C9346" i="2"/>
  <c r="C9298" i="2"/>
  <c r="C9249" i="2"/>
  <c r="C9200" i="2"/>
  <c r="C9157" i="2"/>
  <c r="C9105" i="2"/>
  <c r="C9057" i="2"/>
  <c r="C9007" i="2"/>
  <c r="C8960" i="2"/>
  <c r="C8907" i="2"/>
  <c r="C8858" i="2"/>
  <c r="C8809" i="2"/>
  <c r="C8759" i="2"/>
  <c r="C8712" i="2"/>
  <c r="C8663" i="2"/>
  <c r="C8623" i="2"/>
  <c r="C8576" i="2"/>
  <c r="C8531" i="2"/>
  <c r="C8484" i="2"/>
  <c r="C8439" i="2"/>
  <c r="C8390" i="2"/>
  <c r="C8349" i="2"/>
  <c r="C8304" i="2"/>
  <c r="C8265" i="2"/>
  <c r="C8219" i="2"/>
  <c r="C8178" i="2"/>
  <c r="C8137" i="2"/>
  <c r="C8096" i="2"/>
  <c r="C8053" i="2"/>
  <c r="C8008" i="2"/>
  <c r="C7967" i="2"/>
  <c r="C7924" i="2"/>
  <c r="C7882" i="2"/>
  <c r="C7839" i="2"/>
  <c r="C7796" i="2"/>
  <c r="C7753" i="2"/>
  <c r="C7711" i="2"/>
  <c r="C7673" i="2"/>
  <c r="C7630" i="2"/>
  <c r="C7587" i="2"/>
  <c r="C7543" i="2"/>
  <c r="C7503" i="2"/>
  <c r="C7458" i="2"/>
  <c r="C7416" i="2"/>
  <c r="C7370" i="2"/>
  <c r="C7330" i="2"/>
  <c r="C7285" i="2"/>
  <c r="C7248" i="2"/>
  <c r="C7206" i="2"/>
  <c r="C7163" i="2"/>
  <c r="C7122" i="2"/>
  <c r="C7078" i="2"/>
  <c r="C7035" i="2"/>
  <c r="C6991" i="2"/>
  <c r="C6949" i="2"/>
  <c r="C6907" i="2"/>
  <c r="C6871" i="2"/>
  <c r="C6828" i="2"/>
  <c r="C6789" i="2"/>
  <c r="C6752" i="2"/>
  <c r="C6711" i="2"/>
  <c r="C6672" i="2"/>
  <c r="C6632" i="2"/>
  <c r="C6591" i="2"/>
  <c r="C11017" i="2"/>
  <c r="C10937" i="2"/>
  <c r="C10838" i="2"/>
  <c r="C10767" i="2"/>
  <c r="C10672" i="2"/>
  <c r="C10593" i="2"/>
  <c r="C10518" i="2"/>
  <c r="C10436" i="2"/>
  <c r="C10363" i="2"/>
  <c r="C10291" i="2"/>
  <c r="C10210" i="2"/>
  <c r="C10143" i="2"/>
  <c r="C10070" i="2"/>
  <c r="C9989" i="2"/>
  <c r="C9915" i="2"/>
  <c r="C9841" i="2"/>
  <c r="C9760" i="2"/>
  <c r="C9690" i="2"/>
  <c r="C9613" i="2"/>
  <c r="C9537" i="2"/>
  <c r="C9475" i="2"/>
  <c r="C9414" i="2"/>
  <c r="C9365" i="2"/>
  <c r="C9317" i="2"/>
  <c r="C9267" i="2"/>
  <c r="C9222" i="2"/>
  <c r="C9172" i="2"/>
  <c r="C9125" i="2"/>
  <c r="C9074" i="2"/>
  <c r="C9026" i="2"/>
  <c r="C8976" i="2"/>
  <c r="C8927" i="2"/>
  <c r="C8879" i="2"/>
  <c r="C8829" i="2"/>
  <c r="C8777" i="2"/>
  <c r="C8730" i="2"/>
  <c r="C8689" i="2"/>
  <c r="C8640" i="2"/>
  <c r="C8594" i="2"/>
  <c r="C8546" i="2"/>
  <c r="C8500" i="2"/>
  <c r="C8454" i="2"/>
  <c r="C8408" i="2"/>
  <c r="C8362" i="2"/>
  <c r="C8322" i="2"/>
  <c r="C8276" i="2"/>
  <c r="C8235" i="2"/>
  <c r="C8198" i="2"/>
  <c r="C8152" i="2"/>
  <c r="C8112" i="2"/>
  <c r="C8068" i="2"/>
  <c r="C8026" i="2"/>
  <c r="C7983" i="2"/>
  <c r="C7941" i="2"/>
  <c r="C7896" i="2"/>
  <c r="C7855" i="2"/>
  <c r="C7813" i="2"/>
  <c r="C7769" i="2"/>
  <c r="C7731" i="2"/>
  <c r="C7688" i="2"/>
  <c r="C7649" i="2"/>
  <c r="C7603" i="2"/>
  <c r="C7560" i="2"/>
  <c r="C7517" i="2"/>
  <c r="C7474" i="2"/>
  <c r="C7431" i="2"/>
  <c r="C7387" i="2"/>
  <c r="C7345" i="2"/>
  <c r="C7303" i="2"/>
  <c r="C7267" i="2"/>
  <c r="C7222" i="2"/>
  <c r="C7179" i="2"/>
  <c r="C7134" i="2"/>
  <c r="C7093" i="2"/>
  <c r="C7049" i="2"/>
  <c r="C7009" i="2"/>
  <c r="C6964" i="2"/>
  <c r="C6923" i="2"/>
  <c r="C6881" i="2"/>
  <c r="C6842" i="2"/>
  <c r="C6808" i="2"/>
  <c r="C6767" i="2"/>
  <c r="C6727" i="2"/>
  <c r="C6686" i="2"/>
  <c r="C6649" i="2"/>
  <c r="C6606" i="2"/>
  <c r="C6567" i="2"/>
  <c r="C11012" i="2"/>
  <c r="C10918" i="2"/>
  <c r="C10836" i="2"/>
  <c r="C10749" i="2"/>
  <c r="C10660" i="2"/>
  <c r="C10589" i="2"/>
  <c r="C10499" i="2"/>
  <c r="C10426" i="2"/>
  <c r="C10360" i="2"/>
  <c r="C10274" i="2"/>
  <c r="C10203" i="2"/>
  <c r="C10133" i="2"/>
  <c r="C10050" i="2"/>
  <c r="C9978" i="2"/>
  <c r="C9898" i="2"/>
  <c r="C9821" i="2"/>
  <c r="C9757" i="2"/>
  <c r="C9680" i="2"/>
  <c r="C9602" i="2"/>
  <c r="C9530" i="2"/>
  <c r="C9464" i="2"/>
  <c r="C9412" i="2"/>
  <c r="C9361" i="2"/>
  <c r="C9313" i="2"/>
  <c r="C9264" i="2"/>
  <c r="C9213" i="2"/>
  <c r="C9163" i="2"/>
  <c r="C9112" i="2"/>
  <c r="C9065" i="2"/>
  <c r="C9024" i="2"/>
  <c r="C8970" i="2"/>
  <c r="C8923" i="2"/>
  <c r="C8870" i="2"/>
  <c r="C8826" i="2"/>
  <c r="C8773" i="2"/>
  <c r="C8723" i="2"/>
  <c r="C8674" i="2"/>
  <c r="C8628" i="2"/>
  <c r="C8582" i="2"/>
  <c r="C8537" i="2"/>
  <c r="C8498" i="2"/>
  <c r="C8449" i="2"/>
  <c r="C8406" i="2"/>
  <c r="C8360" i="2"/>
  <c r="C8317" i="2"/>
  <c r="C8274" i="2"/>
  <c r="C8232" i="2"/>
  <c r="C8187" i="2"/>
  <c r="C8147" i="2"/>
  <c r="C8103" i="2"/>
  <c r="C8061" i="2"/>
  <c r="C8022" i="2"/>
  <c r="C7981" i="2"/>
  <c r="C7937" i="2"/>
  <c r="C7893" i="2"/>
  <c r="C7851" i="2"/>
  <c r="C7807" i="2"/>
  <c r="C7766" i="2"/>
  <c r="C7722" i="2"/>
  <c r="C7678" i="2"/>
  <c r="C7636" i="2"/>
  <c r="C7593" i="2"/>
  <c r="C7558" i="2"/>
  <c r="C7512" i="2"/>
  <c r="C7471" i="2"/>
  <c r="C7425" i="2"/>
  <c r="C7385" i="2"/>
  <c r="C7343" i="2"/>
  <c r="C7298" i="2"/>
  <c r="C7256" i="2"/>
  <c r="C7214" i="2"/>
  <c r="C7169" i="2"/>
  <c r="C7128" i="2"/>
  <c r="C7091" i="2"/>
  <c r="C7047" i="2"/>
  <c r="C7005" i="2"/>
  <c r="C6962" i="2"/>
  <c r="C6921" i="2"/>
  <c r="C6878" i="2"/>
  <c r="C6840" i="2"/>
  <c r="C6797" i="2"/>
  <c r="C6760" i="2"/>
  <c r="C6719" i="2"/>
  <c r="C6677" i="2"/>
  <c r="C6642" i="2"/>
  <c r="C6604" i="2"/>
  <c r="C6565" i="2"/>
  <c r="C11003" i="2"/>
  <c r="C10901" i="2"/>
  <c r="C10827" i="2"/>
  <c r="C10738" i="2"/>
  <c r="C10657" i="2"/>
  <c r="C10576" i="2"/>
  <c r="C10497" i="2"/>
  <c r="C10423" i="2"/>
  <c r="C10345" i="2"/>
  <c r="C10271" i="2"/>
  <c r="C10196" i="2"/>
  <c r="C10123" i="2"/>
  <c r="C10040" i="2"/>
  <c r="C9976" i="2"/>
  <c r="C9895" i="2"/>
  <c r="C9818" i="2"/>
  <c r="C9744" i="2"/>
  <c r="C9668" i="2"/>
  <c r="C9587" i="2"/>
  <c r="C9525" i="2"/>
  <c r="C9460" i="2"/>
  <c r="C9402" i="2"/>
  <c r="C9359" i="2"/>
  <c r="C9306" i="2"/>
  <c r="C9261" i="2"/>
  <c r="C9209" i="2"/>
  <c r="C9159" i="2"/>
  <c r="C9109" i="2"/>
  <c r="C9061" i="2"/>
  <c r="C9010" i="2"/>
  <c r="C8963" i="2"/>
  <c r="C8911" i="2"/>
  <c r="C8866" i="2"/>
  <c r="C8819" i="2"/>
  <c r="C8771" i="2"/>
  <c r="C8721" i="2"/>
  <c r="C8671" i="2"/>
  <c r="C8625" i="2"/>
  <c r="C8578" i="2"/>
  <c r="C8535" i="2"/>
  <c r="C8486" i="2"/>
  <c r="C8441" i="2"/>
  <c r="C8395" i="2"/>
  <c r="C8351" i="2"/>
  <c r="C8314" i="2"/>
  <c r="C8271" i="2"/>
  <c r="C8229" i="2"/>
  <c r="C8184" i="2"/>
  <c r="C8145" i="2"/>
  <c r="C8099" i="2"/>
  <c r="C8056" i="2"/>
  <c r="C8014" i="2"/>
  <c r="C7969" i="2"/>
  <c r="C7927" i="2"/>
  <c r="C7888" i="2"/>
  <c r="C7849" i="2"/>
  <c r="C7803" i="2"/>
  <c r="C7762" i="2"/>
  <c r="C7719" i="2"/>
  <c r="C7675" i="2"/>
  <c r="C7633" i="2"/>
  <c r="C7589" i="2"/>
  <c r="C7546" i="2"/>
  <c r="C7506" i="2"/>
  <c r="C7461" i="2"/>
  <c r="C7418" i="2"/>
  <c r="C7381" i="2"/>
  <c r="C7339" i="2"/>
  <c r="C7296" i="2"/>
  <c r="C7252" i="2"/>
  <c r="C7211" i="2"/>
  <c r="C7166" i="2"/>
  <c r="C7126" i="2"/>
  <c r="C7081" i="2"/>
  <c r="C7039" i="2"/>
  <c r="C6996" i="2"/>
  <c r="C6951" i="2"/>
  <c r="C6917" i="2"/>
  <c r="C6876" i="2"/>
  <c r="C6838" i="2"/>
  <c r="C6794" i="2"/>
  <c r="C6756" i="2"/>
  <c r="C6716" i="2"/>
  <c r="C6674" i="2"/>
  <c r="C6634" i="2"/>
  <c r="C10983" i="2"/>
  <c r="C10871" i="2"/>
  <c r="C10746" i="2"/>
  <c r="C10612" i="2"/>
  <c r="C10517" i="2"/>
  <c r="C10388" i="2"/>
  <c r="C10298" i="2"/>
  <c r="C10170" i="2"/>
  <c r="C10074" i="2"/>
  <c r="C9954" i="2"/>
  <c r="C9857" i="2"/>
  <c r="C9730" i="2"/>
  <c r="C9632" i="2"/>
  <c r="C9527" i="2"/>
  <c r="C9432" i="2"/>
  <c r="C9363" i="2"/>
  <c r="C9290" i="2"/>
  <c r="C9224" i="2"/>
  <c r="C9142" i="2"/>
  <c r="C9079" i="2"/>
  <c r="C8998" i="2"/>
  <c r="C8936" i="2"/>
  <c r="C8856" i="2"/>
  <c r="C8792" i="2"/>
  <c r="C8722" i="2"/>
  <c r="C8651" i="2"/>
  <c r="C8593" i="2"/>
  <c r="C8516" i="2"/>
  <c r="C8458" i="2"/>
  <c r="C8384" i="2"/>
  <c r="C8327" i="2"/>
  <c r="C8258" i="2"/>
  <c r="C8203" i="2"/>
  <c r="C8132" i="2"/>
  <c r="C8080" i="2"/>
  <c r="C8016" i="2"/>
  <c r="C7956" i="2"/>
  <c r="C7895" i="2"/>
  <c r="C7828" i="2"/>
  <c r="C7774" i="2"/>
  <c r="C7706" i="2"/>
  <c r="C7651" i="2"/>
  <c r="C7581" i="2"/>
  <c r="C7527" i="2"/>
  <c r="C7457" i="2"/>
  <c r="C7400" i="2"/>
  <c r="C7342" i="2"/>
  <c r="C7274" i="2"/>
  <c r="C7215" i="2"/>
  <c r="C7151" i="2"/>
  <c r="C7094" i="2"/>
  <c r="C7024" i="2"/>
  <c r="C6973" i="2"/>
  <c r="C6905" i="2"/>
  <c r="C6853" i="2"/>
  <c r="C6788" i="2"/>
  <c r="C6734" i="2"/>
  <c r="C6676" i="2"/>
  <c r="C6618" i="2"/>
  <c r="C6568" i="2"/>
  <c r="C6528" i="2"/>
  <c r="C6490" i="2"/>
  <c r="C6452" i="2"/>
  <c r="C6416" i="2"/>
  <c r="C6381" i="2"/>
  <c r="C6346" i="2"/>
  <c r="C6315" i="2"/>
  <c r="C6280" i="2"/>
  <c r="C6245" i="2"/>
  <c r="C6209" i="2"/>
  <c r="C6176" i="2"/>
  <c r="C6140" i="2"/>
  <c r="C6106" i="2"/>
  <c r="C6071" i="2"/>
  <c r="C6037" i="2"/>
  <c r="C6001" i="2"/>
  <c r="C5968" i="2"/>
  <c r="C5940" i="2"/>
  <c r="C5905" i="2"/>
  <c r="C5873" i="2"/>
  <c r="C5840" i="2"/>
  <c r="C5807" i="2"/>
  <c r="C5775" i="2"/>
  <c r="C5744" i="2"/>
  <c r="C5711" i="2"/>
  <c r="C5678" i="2"/>
  <c r="C5646" i="2"/>
  <c r="C5613" i="2"/>
  <c r="C5583" i="2"/>
  <c r="C5550" i="2"/>
  <c r="C5517" i="2"/>
  <c r="C5485" i="2"/>
  <c r="C5454" i="2"/>
  <c r="C5421" i="2"/>
  <c r="C5388" i="2"/>
  <c r="C5356" i="2"/>
  <c r="C5323" i="2"/>
  <c r="C5289" i="2"/>
  <c r="C5258" i="2"/>
  <c r="C5229" i="2"/>
  <c r="C5195" i="2"/>
  <c r="C5164" i="2"/>
  <c r="C5131" i="2"/>
  <c r="C5098" i="2"/>
  <c r="C5066" i="2"/>
  <c r="C5033" i="2"/>
  <c r="C5002" i="2"/>
  <c r="C4972" i="2"/>
  <c r="C4940" i="2"/>
  <c r="C4910" i="2"/>
  <c r="C4884" i="2"/>
  <c r="C4853" i="2"/>
  <c r="C4823" i="2"/>
  <c r="C4792" i="2"/>
  <c r="C4761" i="2"/>
  <c r="C4731" i="2"/>
  <c r="C4700" i="2"/>
  <c r="C4668" i="2"/>
  <c r="C4639" i="2"/>
  <c r="C4607" i="2"/>
  <c r="C4579" i="2"/>
  <c r="C4551" i="2"/>
  <c r="C4520" i="2"/>
  <c r="C4489" i="2"/>
  <c r="C4459" i="2"/>
  <c r="C4428" i="2"/>
  <c r="C4397" i="2"/>
  <c r="C4367" i="2"/>
  <c r="C4335" i="2"/>
  <c r="C4307" i="2"/>
  <c r="C4276" i="2"/>
  <c r="C4246" i="2"/>
  <c r="C4218" i="2"/>
  <c r="C4187" i="2"/>
  <c r="C4156" i="2"/>
  <c r="C4126" i="2"/>
  <c r="C4095" i="2"/>
  <c r="C4063" i="2"/>
  <c r="C4036" i="2"/>
  <c r="C4004" i="2"/>
  <c r="C3974" i="2"/>
  <c r="C3942" i="2"/>
  <c r="C3913" i="2"/>
  <c r="C3884" i="2"/>
  <c r="C3854" i="2"/>
  <c r="C3823" i="2"/>
  <c r="C3793" i="2"/>
  <c r="C3764" i="2"/>
  <c r="C3732" i="2"/>
  <c r="C3702" i="2"/>
  <c r="C3671" i="2"/>
  <c r="C3641" i="2"/>
  <c r="C3609" i="2"/>
  <c r="C3580" i="2"/>
  <c r="C3551" i="2"/>
  <c r="C3521" i="2"/>
  <c r="C3492" i="2"/>
  <c r="C3460" i="2"/>
  <c r="C3430" i="2"/>
  <c r="C3399" i="2"/>
  <c r="C3369" i="2"/>
  <c r="C3337" i="2"/>
  <c r="C3308" i="2"/>
  <c r="C3276" i="2"/>
  <c r="C3246" i="2"/>
  <c r="C3220" i="2"/>
  <c r="C3189" i="2"/>
  <c r="C3159" i="2"/>
  <c r="C3129" i="2"/>
  <c r="C3101" i="2"/>
  <c r="C10964" i="2"/>
  <c r="C10858" i="2"/>
  <c r="C10715" i="2"/>
  <c r="C10610" i="2"/>
  <c r="C10481" i="2"/>
  <c r="C10384" i="2"/>
  <c r="C10272" i="2"/>
  <c r="C10159" i="2"/>
  <c r="C10069" i="2"/>
  <c r="C9935" i="2"/>
  <c r="C9843" i="2"/>
  <c r="C9725" i="2"/>
  <c r="C9622" i="2"/>
  <c r="C9510" i="2"/>
  <c r="C9430" i="2"/>
  <c r="C9345" i="2"/>
  <c r="C9280" i="2"/>
  <c r="C9210" i="2"/>
  <c r="C9140" i="2"/>
  <c r="C9073" i="2"/>
  <c r="C8995" i="2"/>
  <c r="C8929" i="2"/>
  <c r="C8853" i="2"/>
  <c r="C8789" i="2"/>
  <c r="C8706" i="2"/>
  <c r="C8643" i="2"/>
  <c r="C8569" i="2"/>
  <c r="C8514" i="2"/>
  <c r="C8443" i="2"/>
  <c r="C8378" i="2"/>
  <c r="C8318" i="2"/>
  <c r="C8255" i="2"/>
  <c r="C8199" i="2"/>
  <c r="C8128" i="2"/>
  <c r="C8072" i="2"/>
  <c r="C8003" i="2"/>
  <c r="C7947" i="2"/>
  <c r="C7879" i="2"/>
  <c r="C7824" i="2"/>
  <c r="C7765" i="2"/>
  <c r="C7701" i="2"/>
  <c r="C7643" i="2"/>
  <c r="C7576" i="2"/>
  <c r="C7519" i="2"/>
  <c r="C7449" i="2"/>
  <c r="C7396" i="2"/>
  <c r="C7327" i="2"/>
  <c r="C7271" i="2"/>
  <c r="C7200" i="2"/>
  <c r="C7149" i="2"/>
  <c r="C7083" i="2"/>
  <c r="C7022" i="2"/>
  <c r="C6963" i="2"/>
  <c r="C6897" i="2"/>
  <c r="C6848" i="2"/>
  <c r="C6784" i="2"/>
  <c r="C6729" i="2"/>
  <c r="C6665" i="2"/>
  <c r="C6616" i="2"/>
  <c r="C6564" i="2"/>
  <c r="C6523" i="2"/>
  <c r="C6487" i="2"/>
  <c r="C6449" i="2"/>
  <c r="C6413" i="2"/>
  <c r="C6378" i="2"/>
  <c r="C6344" i="2"/>
  <c r="C6308" i="2"/>
  <c r="C6274" i="2"/>
  <c r="C6239" i="2"/>
  <c r="C6204" i="2"/>
  <c r="C6174" i="2"/>
  <c r="C6138" i="2"/>
  <c r="C6104" i="2"/>
  <c r="C6068" i="2"/>
  <c r="C6033" i="2"/>
  <c r="C5997" i="2"/>
  <c r="C5966" i="2"/>
  <c r="C5932" i="2"/>
  <c r="C5901" i="2"/>
  <c r="C5867" i="2"/>
  <c r="C5835" i="2"/>
  <c r="C5805" i="2"/>
  <c r="C5772" i="2"/>
  <c r="C5739" i="2"/>
  <c r="C5709" i="2"/>
  <c r="C5676" i="2"/>
  <c r="C5642" i="2"/>
  <c r="C5611" i="2"/>
  <c r="C5577" i="2"/>
  <c r="C5545" i="2"/>
  <c r="C5512" i="2"/>
  <c r="C5480" i="2"/>
  <c r="C5451" i="2"/>
  <c r="C5419" i="2"/>
  <c r="C5386" i="2"/>
  <c r="C5352" i="2"/>
  <c r="C5321" i="2"/>
  <c r="C5287" i="2"/>
  <c r="C5256" i="2"/>
  <c r="C5222" i="2"/>
  <c r="C5190" i="2"/>
  <c r="C5156" i="2"/>
  <c r="C5125" i="2"/>
  <c r="C5096" i="2"/>
  <c r="C5064" i="2"/>
  <c r="C5031" i="2"/>
  <c r="C4999" i="2"/>
  <c r="C4970" i="2"/>
  <c r="C4938" i="2"/>
  <c r="C4908" i="2"/>
  <c r="C4877" i="2"/>
  <c r="C4847" i="2"/>
  <c r="C4815" i="2"/>
  <c r="C4787" i="2"/>
  <c r="C4759" i="2"/>
  <c r="C4727" i="2"/>
  <c r="C4698" i="2"/>
  <c r="C4666" i="2"/>
  <c r="C4636" i="2"/>
  <c r="C4605" i="2"/>
  <c r="C4575" i="2"/>
  <c r="C4543" i="2"/>
  <c r="C4516" i="2"/>
  <c r="C4484" i="2"/>
  <c r="C4453" i="2"/>
  <c r="C4426" i="2"/>
  <c r="C4394" i="2"/>
  <c r="C4365" i="2"/>
  <c r="C4333" i="2"/>
  <c r="C4303" i="2"/>
  <c r="C4273" i="2"/>
  <c r="C4244" i="2"/>
  <c r="C4212" i="2"/>
  <c r="C4182" i="2"/>
  <c r="C4151" i="2"/>
  <c r="C4120" i="2"/>
  <c r="C4093" i="2"/>
  <c r="C4061" i="2"/>
  <c r="C4031" i="2"/>
  <c r="C4001" i="2"/>
  <c r="C3972" i="2"/>
  <c r="C3940" i="2"/>
  <c r="C3911" i="2"/>
  <c r="C3879" i="2"/>
  <c r="C3848" i="2"/>
  <c r="C3818" i="2"/>
  <c r="C3787" i="2"/>
  <c r="C3761" i="2"/>
  <c r="C3729" i="2"/>
  <c r="C3700" i="2"/>
  <c r="C3668" i="2"/>
  <c r="C3639" i="2"/>
  <c r="C3607" i="2"/>
  <c r="C3576" i="2"/>
  <c r="C3546" i="2"/>
  <c r="C3515" i="2"/>
  <c r="C3484" i="2"/>
  <c r="C3454" i="2"/>
  <c r="C3428" i="2"/>
  <c r="C3397" i="2"/>
  <c r="C3367" i="2"/>
  <c r="C3335" i="2"/>
  <c r="C3306" i="2"/>
  <c r="C3274" i="2"/>
  <c r="C3243" i="2"/>
  <c r="C3213" i="2"/>
  <c r="C3182" i="2"/>
  <c r="C3153" i="2"/>
  <c r="C3125" i="2"/>
  <c r="C3099" i="2"/>
  <c r="C10952" i="2"/>
  <c r="C10806" i="2"/>
  <c r="C10689" i="2"/>
  <c r="C10543" i="2"/>
  <c r="C10406" i="2"/>
  <c r="C10299" i="2"/>
  <c r="C10152" i="2"/>
  <c r="C10026" i="2"/>
  <c r="C9917" i="2"/>
  <c r="C9785" i="2"/>
  <c r="C9649" i="2"/>
  <c r="C9542" i="2"/>
  <c r="C9433" i="2"/>
  <c r="C9344" i="2"/>
  <c r="C9274" i="2"/>
  <c r="C9189" i="2"/>
  <c r="C9101" i="2"/>
  <c r="C9029" i="2"/>
  <c r="C8944" i="2"/>
  <c r="C8869" i="2"/>
  <c r="C8787" i="2"/>
  <c r="C8695" i="2"/>
  <c r="C8615" i="2"/>
  <c r="C8550" i="2"/>
  <c r="C8471" i="2"/>
  <c r="C8404" i="2"/>
  <c r="C8331" i="2"/>
  <c r="C8249" i="2"/>
  <c r="C8176" i="2"/>
  <c r="C8114" i="2"/>
  <c r="C8039" i="2"/>
  <c r="C7970" i="2"/>
  <c r="C7909" i="2"/>
  <c r="C7833" i="2"/>
  <c r="C7749" i="2"/>
  <c r="C7691" i="2"/>
  <c r="C7617" i="2"/>
  <c r="C7549" i="2"/>
  <c r="C7485" i="2"/>
  <c r="C7413" i="2"/>
  <c r="C7344" i="2"/>
  <c r="C7270" i="2"/>
  <c r="C7194" i="2"/>
  <c r="C7127" i="2"/>
  <c r="C7060" i="2"/>
  <c r="C6984" i="2"/>
  <c r="C6922" i="2"/>
  <c r="C6854" i="2"/>
  <c r="C6782" i="2"/>
  <c r="C6717" i="2"/>
  <c r="C6652" i="2"/>
  <c r="C10941" i="2"/>
  <c r="C10785" i="2"/>
  <c r="C10658" i="2"/>
  <c r="C10533" i="2"/>
  <c r="C10401" i="2"/>
  <c r="C10260" i="2"/>
  <c r="C10149" i="2"/>
  <c r="C10015" i="2"/>
  <c r="C9897" i="2"/>
  <c r="C9780" i="2"/>
  <c r="C9642" i="2"/>
  <c r="C9533" i="2"/>
  <c r="C9426" i="2"/>
  <c r="C9335" i="2"/>
  <c r="C9263" i="2"/>
  <c r="C9179" i="2"/>
  <c r="C9098" i="2"/>
  <c r="C9025" i="2"/>
  <c r="C8937" i="2"/>
  <c r="C8845" i="2"/>
  <c r="C8772" i="2"/>
  <c r="C8692" i="2"/>
  <c r="C8611" i="2"/>
  <c r="C8543" i="2"/>
  <c r="C8466" i="2"/>
  <c r="C8387" i="2"/>
  <c r="C8315" i="2"/>
  <c r="C8244" i="2"/>
  <c r="C8170" i="2"/>
  <c r="C8111" i="2"/>
  <c r="C8037" i="2"/>
  <c r="C7963" i="2"/>
  <c r="C7897" i="2"/>
  <c r="C7822" i="2"/>
  <c r="C7747" i="2"/>
  <c r="C7683" i="2"/>
  <c r="C7615" i="2"/>
  <c r="C7537" i="2"/>
  <c r="C7475" i="2"/>
  <c r="C7401" i="2"/>
  <c r="C7325" i="2"/>
  <c r="C7257" i="2"/>
  <c r="C7186" i="2"/>
  <c r="C7111" i="2"/>
  <c r="C7053" i="2"/>
  <c r="C6979" i="2"/>
  <c r="C6906" i="2"/>
  <c r="C6841" i="2"/>
  <c r="C6773" i="2"/>
  <c r="C6705" i="2"/>
  <c r="C6650" i="2"/>
  <c r="C6583" i="2"/>
  <c r="C6537" i="2"/>
  <c r="C6492" i="2"/>
  <c r="C6448" i="2"/>
  <c r="C6404" i="2"/>
  <c r="C6367" i="2"/>
  <c r="C6329" i="2"/>
  <c r="C6293" i="2"/>
  <c r="C6250" i="2"/>
  <c r="C6212" i="2"/>
  <c r="C6166" i="2"/>
  <c r="C6128" i="2"/>
  <c r="C6091" i="2"/>
  <c r="C6054" i="2"/>
  <c r="C6011" i="2"/>
  <c r="C5974" i="2"/>
  <c r="C5941" i="2"/>
  <c r="C5900" i="2"/>
  <c r="C5864" i="2"/>
  <c r="C5829" i="2"/>
  <c r="C5788" i="2"/>
  <c r="C5753" i="2"/>
  <c r="C5718" i="2"/>
  <c r="C5679" i="2"/>
  <c r="C5641" i="2"/>
  <c r="C5608" i="2"/>
  <c r="C5567" i="2"/>
  <c r="C5531" i="2"/>
  <c r="C5496" i="2"/>
  <c r="C5458" i="2"/>
  <c r="C5422" i="2"/>
  <c r="C5385" i="2"/>
  <c r="C5344" i="2"/>
  <c r="C5308" i="2"/>
  <c r="C5275" i="2"/>
  <c r="C5237" i="2"/>
  <c r="C5200" i="2"/>
  <c r="C5165" i="2"/>
  <c r="C5122" i="2"/>
  <c r="C5087" i="2"/>
  <c r="C5052" i="2"/>
  <c r="C5015" i="2"/>
  <c r="C4981" i="2"/>
  <c r="C4950" i="2"/>
  <c r="C4916" i="2"/>
  <c r="C4876" i="2"/>
  <c r="C4843" i="2"/>
  <c r="C4808" i="2"/>
  <c r="C4774" i="2"/>
  <c r="C4741" i="2"/>
  <c r="C4707" i="2"/>
  <c r="C4670" i="2"/>
  <c r="C4635" i="2"/>
  <c r="C4599" i="2"/>
  <c r="C4566" i="2"/>
  <c r="C4533" i="2"/>
  <c r="C4500" i="2"/>
  <c r="C4462" i="2"/>
  <c r="C4429" i="2"/>
  <c r="C4391" i="2"/>
  <c r="C4357" i="2"/>
  <c r="C4325" i="2"/>
  <c r="C4292" i="2"/>
  <c r="C4254" i="2"/>
  <c r="C4222" i="2"/>
  <c r="C4188" i="2"/>
  <c r="C4150" i="2"/>
  <c r="C11013" i="2"/>
  <c r="C10863" i="2"/>
  <c r="C10707" i="2"/>
  <c r="C10581" i="2"/>
  <c r="C10456" i="2"/>
  <c r="C10323" i="2"/>
  <c r="C10205" i="2"/>
  <c r="C10086" i="2"/>
  <c r="C9953" i="2"/>
  <c r="C9819" i="2"/>
  <c r="C9698" i="2"/>
  <c r="C9573" i="2"/>
  <c r="C9469" i="2"/>
  <c r="C9379" i="2"/>
  <c r="C9295" i="2"/>
  <c r="C9216" i="2"/>
  <c r="C9129" i="2"/>
  <c r="C9046" i="2"/>
  <c r="C8975" i="2"/>
  <c r="C8890" i="2"/>
  <c r="C8806" i="2"/>
  <c r="C8735" i="2"/>
  <c r="C8644" i="2"/>
  <c r="C8564" i="2"/>
  <c r="C8499" i="2"/>
  <c r="C8421" i="2"/>
  <c r="C8344" i="2"/>
  <c r="C8288" i="2"/>
  <c r="C8206" i="2"/>
  <c r="C8129" i="2"/>
  <c r="C8067" i="2"/>
  <c r="C7995" i="2"/>
  <c r="C7922" i="2"/>
  <c r="C7857" i="2"/>
  <c r="C7781" i="2"/>
  <c r="C7710" i="2"/>
  <c r="C7650" i="2"/>
  <c r="C7569" i="2"/>
  <c r="C7497" i="2"/>
  <c r="C7434" i="2"/>
  <c r="C7361" i="2"/>
  <c r="C7284" i="2"/>
  <c r="C7225" i="2"/>
  <c r="C7150" i="2"/>
  <c r="C7071" i="2"/>
  <c r="C7011" i="2"/>
  <c r="C6938" i="2"/>
  <c r="C6865" i="2"/>
  <c r="C6810" i="2"/>
  <c r="C6741" i="2"/>
  <c r="C6671" i="2"/>
  <c r="C6607" i="2"/>
  <c r="C6551" i="2"/>
  <c r="C6512" i="2"/>
  <c r="C6468" i="2"/>
  <c r="C6427" i="2"/>
  <c r="C6388" i="2"/>
  <c r="C6345" i="2"/>
  <c r="C6304" i="2"/>
  <c r="C6266" i="2"/>
  <c r="C6225" i="2"/>
  <c r="C6188" i="2"/>
  <c r="C6149" i="2"/>
  <c r="C6108" i="2"/>
  <c r="C6070" i="2"/>
  <c r="C6029" i="2"/>
  <c r="C5989" i="2"/>
  <c r="C5952" i="2"/>
  <c r="C5919" i="2"/>
  <c r="C5881" i="2"/>
  <c r="C5844" i="2"/>
  <c r="C5806" i="2"/>
  <c r="C5767" i="2"/>
  <c r="C5732" i="2"/>
  <c r="C5696" i="2"/>
  <c r="C5658" i="2"/>
  <c r="C5620" i="2"/>
  <c r="C5588" i="2"/>
  <c r="C5546" i="2"/>
  <c r="C5510" i="2"/>
  <c r="C5474" i="2"/>
  <c r="C5436" i="2"/>
  <c r="C5400" i="2"/>
  <c r="C5364" i="2"/>
  <c r="C5327" i="2"/>
  <c r="C5288" i="2"/>
  <c r="C5253" i="2"/>
  <c r="C5214" i="2"/>
  <c r="C5178" i="2"/>
  <c r="C5142" i="2"/>
  <c r="C5106" i="2"/>
  <c r="C5068" i="2"/>
  <c r="C5032" i="2"/>
  <c r="C4995" i="2"/>
  <c r="C4959" i="2"/>
  <c r="C4927" i="2"/>
  <c r="C4894" i="2"/>
  <c r="C4858" i="2"/>
  <c r="C4825" i="2"/>
  <c r="C4791" i="2"/>
  <c r="C4753" i="2"/>
  <c r="C4719" i="2"/>
  <c r="C4685" i="2"/>
  <c r="C4649" i="2"/>
  <c r="C4617" i="2"/>
  <c r="C4584" i="2"/>
  <c r="C4545" i="2"/>
  <c r="C4511" i="2"/>
  <c r="C4478" i="2"/>
  <c r="C4442" i="2"/>
  <c r="C4409" i="2"/>
  <c r="C4375" i="2"/>
  <c r="C4343" i="2"/>
  <c r="C4305" i="2"/>
  <c r="C4269" i="2"/>
  <c r="C4233" i="2"/>
  <c r="C4201" i="2"/>
  <c r="C4168" i="2"/>
  <c r="C4135" i="2"/>
  <c r="C4099" i="2"/>
  <c r="C4062" i="2"/>
  <c r="C4025" i="2"/>
  <c r="C3993" i="2"/>
  <c r="C3959" i="2"/>
  <c r="C3927" i="2"/>
  <c r="C3892" i="2"/>
  <c r="C3857" i="2"/>
  <c r="C3822" i="2"/>
  <c r="C3785" i="2"/>
  <c r="C3751" i="2"/>
  <c r="C3719" i="2"/>
  <c r="C3683" i="2"/>
  <c r="C3647" i="2"/>
  <c r="C3615" i="2"/>
  <c r="C3579" i="2"/>
  <c r="C3544" i="2"/>
  <c r="C3511" i="2"/>
  <c r="C3475" i="2"/>
  <c r="C3439" i="2"/>
  <c r="C3407" i="2"/>
  <c r="C3371" i="2"/>
  <c r="C3336" i="2"/>
  <c r="C3302" i="2"/>
  <c r="C3268" i="2"/>
  <c r="C3233" i="2"/>
  <c r="C3199" i="2"/>
  <c r="C3163" i="2"/>
  <c r="C3132" i="2"/>
  <c r="C3100" i="2"/>
  <c r="C3069" i="2"/>
  <c r="C3043" i="2"/>
  <c r="C3013" i="2"/>
  <c r="C2984" i="2"/>
  <c r="C2956" i="2"/>
  <c r="C2927" i="2"/>
  <c r="C2899" i="2"/>
  <c r="C2871" i="2"/>
  <c r="C2842" i="2"/>
  <c r="C2813" i="2"/>
  <c r="C2789" i="2"/>
  <c r="C2759" i="2"/>
  <c r="C2732" i="2"/>
  <c r="C2702" i="2"/>
  <c r="C2674" i="2"/>
  <c r="C2646" i="2"/>
  <c r="C2617" i="2"/>
  <c r="C2588" i="2"/>
  <c r="C2561" i="2"/>
  <c r="C2532" i="2"/>
  <c r="C2503" i="2"/>
  <c r="C10982" i="2"/>
  <c r="C10837" i="2"/>
  <c r="C10699" i="2"/>
  <c r="C10551" i="2"/>
  <c r="C10438" i="2"/>
  <c r="C10310" i="2"/>
  <c r="C10185" i="2"/>
  <c r="C10072" i="2"/>
  <c r="C9930" i="2"/>
  <c r="C9802" i="2"/>
  <c r="C9691" i="2"/>
  <c r="C9565" i="2"/>
  <c r="C9442" i="2"/>
  <c r="C9375" i="2"/>
  <c r="C9282" i="2"/>
  <c r="C9195" i="2"/>
  <c r="C9126" i="2"/>
  <c r="C9043" i="2"/>
  <c r="C8955" i="2"/>
  <c r="C8886" i="2"/>
  <c r="C8797" i="2"/>
  <c r="C8708" i="2"/>
  <c r="C8641" i="2"/>
  <c r="C8561" i="2"/>
  <c r="C8483" i="2"/>
  <c r="C8413" i="2"/>
  <c r="C8336" i="2"/>
  <c r="C8272" i="2"/>
  <c r="C8200" i="2"/>
  <c r="C8125" i="2"/>
  <c r="C8052" i="2"/>
  <c r="C7985" i="2"/>
  <c r="C7913" i="2"/>
  <c r="C7850" i="2"/>
  <c r="C7779" i="2"/>
  <c r="C7704" i="2"/>
  <c r="C7624" i="2"/>
  <c r="C7565" i="2"/>
  <c r="C7489" i="2"/>
  <c r="C7424" i="2"/>
  <c r="C7357" i="2"/>
  <c r="C7280" i="2"/>
  <c r="C7213" i="2"/>
  <c r="C7140" i="2"/>
  <c r="C7069" i="2"/>
  <c r="C7002" i="2"/>
  <c r="C6929" i="2"/>
  <c r="C6862" i="2"/>
  <c r="C6801" i="2"/>
  <c r="C6731" i="2"/>
  <c r="C6660" i="2"/>
  <c r="C6597" i="2"/>
  <c r="C6545" i="2"/>
  <c r="C6504" i="2"/>
  <c r="C6463" i="2"/>
  <c r="C6422" i="2"/>
  <c r="C6379" i="2"/>
  <c r="C6342" i="2"/>
  <c r="C6299" i="2"/>
  <c r="C6261" i="2"/>
  <c r="C6223" i="2"/>
  <c r="C6183" i="2"/>
  <c r="C6142" i="2"/>
  <c r="C6105" i="2"/>
  <c r="C6061" i="2"/>
  <c r="C6023" i="2"/>
  <c r="C5986" i="2"/>
  <c r="C5950" i="2"/>
  <c r="C5910" i="2"/>
  <c r="C5876" i="2"/>
  <c r="C5838" i="2"/>
  <c r="C5799" i="2"/>
  <c r="C5765" i="2"/>
  <c r="C5729" i="2"/>
  <c r="C5690" i="2"/>
  <c r="C5654" i="2"/>
  <c r="C5617" i="2"/>
  <c r="C5578" i="2"/>
  <c r="C5543" i="2"/>
  <c r="C5506" i="2"/>
  <c r="C5466" i="2"/>
  <c r="C5432" i="2"/>
  <c r="C5397" i="2"/>
  <c r="C5361" i="2"/>
  <c r="C5322" i="2"/>
  <c r="C5285" i="2"/>
  <c r="C5244" i="2"/>
  <c r="C5210" i="2"/>
  <c r="C5174" i="2"/>
  <c r="C5140" i="2"/>
  <c r="C5101" i="2"/>
  <c r="C5065" i="2"/>
  <c r="C5025" i="2"/>
  <c r="C4991" i="2"/>
  <c r="C4957" i="2"/>
  <c r="C4925" i="2"/>
  <c r="C4889" i="2"/>
  <c r="C4855" i="2"/>
  <c r="C4822" i="2"/>
  <c r="C4782" i="2"/>
  <c r="C4750" i="2"/>
  <c r="C4717" i="2"/>
  <c r="C4681" i="2"/>
  <c r="C4647" i="2"/>
  <c r="C4615" i="2"/>
  <c r="C4577" i="2"/>
  <c r="C4541" i="2"/>
  <c r="C4508" i="2"/>
  <c r="C4472" i="2"/>
  <c r="C4440" i="2"/>
  <c r="C4407" i="2"/>
  <c r="C4371" i="2"/>
  <c r="C4334" i="2"/>
  <c r="C4301" i="2"/>
  <c r="C4265" i="2"/>
  <c r="C4231" i="2"/>
  <c r="C4198" i="2"/>
  <c r="C4161" i="2"/>
  <c r="C4129" i="2"/>
  <c r="C4094" i="2"/>
  <c r="C4057" i="2"/>
  <c r="C4023" i="2"/>
  <c r="C3991" i="2"/>
  <c r="C3955" i="2"/>
  <c r="C3919" i="2"/>
  <c r="C3886" i="2"/>
  <c r="C3849" i="2"/>
  <c r="C3816" i="2"/>
  <c r="C3783" i="2"/>
  <c r="C3747" i="2"/>
  <c r="C3711" i="2"/>
  <c r="C3679" i="2"/>
  <c r="C3645" i="2"/>
  <c r="C3608" i="2"/>
  <c r="C3574" i="2"/>
  <c r="C3537" i="2"/>
  <c r="C3505" i="2"/>
  <c r="C3471" i="2"/>
  <c r="C3437" i="2"/>
  <c r="C3401" i="2"/>
  <c r="C3368" i="2"/>
  <c r="C3331" i="2"/>
  <c r="C3295" i="2"/>
  <c r="C3262" i="2"/>
  <c r="C3230" i="2"/>
  <c r="C3194" i="2"/>
  <c r="C3161" i="2"/>
  <c r="C3128" i="2"/>
  <c r="C3093" i="2"/>
  <c r="C3065" i="2"/>
  <c r="C3035" i="2"/>
  <c r="C3009" i="2"/>
  <c r="C2982" i="2"/>
  <c r="C2954" i="2"/>
  <c r="C2925" i="2"/>
  <c r="C2897" i="2"/>
  <c r="C2869" i="2"/>
  <c r="C2839" i="2"/>
  <c r="C2811" i="2"/>
  <c r="C2782" i="2"/>
  <c r="C2755" i="2"/>
  <c r="C2725" i="2"/>
  <c r="C2698" i="2"/>
  <c r="C2671" i="2"/>
  <c r="C2643" i="2"/>
  <c r="C2615" i="2"/>
  <c r="C2586" i="2"/>
  <c r="C2557" i="2"/>
  <c r="C2529" i="2"/>
  <c r="C2501" i="2"/>
  <c r="C2471" i="2"/>
  <c r="C2444" i="2"/>
  <c r="C2414" i="2"/>
  <c r="C2387" i="2"/>
  <c r="C2361" i="2"/>
  <c r="C2332" i="2"/>
  <c r="C2305" i="2"/>
  <c r="C2275" i="2"/>
  <c r="C2247" i="2"/>
  <c r="C2217" i="2"/>
  <c r="C2190" i="2"/>
  <c r="C2161" i="2"/>
  <c r="C2134" i="2"/>
  <c r="C2104" i="2"/>
  <c r="C2076" i="2"/>
  <c r="C2051" i="2"/>
  <c r="C2022" i="2"/>
  <c r="C1993" i="2"/>
  <c r="C1964" i="2"/>
  <c r="C1937" i="2"/>
  <c r="C1907" i="2"/>
  <c r="C1880" i="2"/>
  <c r="C1850" i="2"/>
  <c r="C1822" i="2"/>
  <c r="C1794" i="2"/>
  <c r="C1765" i="2"/>
  <c r="C1739" i="2"/>
  <c r="C1710" i="2"/>
  <c r="C1683" i="2"/>
  <c r="C1653" i="2"/>
  <c r="C1626" i="2"/>
  <c r="C1596" i="2"/>
  <c r="C1569" i="2"/>
  <c r="C1540" i="2"/>
  <c r="C1512" i="2"/>
  <c r="C1482" i="2"/>
  <c r="C1454" i="2"/>
  <c r="C1429" i="2"/>
  <c r="C1400" i="2"/>
  <c r="C1372" i="2"/>
  <c r="C1342" i="2"/>
  <c r="C1317" i="2"/>
  <c r="C1289" i="2"/>
  <c r="C1266" i="2"/>
  <c r="C1239" i="2"/>
  <c r="C1212" i="2"/>
  <c r="C1188" i="2"/>
  <c r="C1161" i="2"/>
  <c r="C1134" i="2"/>
  <c r="C1110" i="2"/>
  <c r="C1083" i="2"/>
  <c r="C1057" i="2"/>
  <c r="C1032" i="2"/>
  <c r="C1007" i="2"/>
  <c r="C982" i="2"/>
  <c r="C959" i="2"/>
  <c r="C934" i="2"/>
  <c r="C909" i="2"/>
  <c r="C887" i="2"/>
  <c r="C861" i="2"/>
  <c r="C837" i="2"/>
  <c r="C813" i="2"/>
  <c r="C789" i="2"/>
  <c r="C763" i="2"/>
  <c r="C741" i="2"/>
  <c r="C716" i="2"/>
  <c r="C691" i="2"/>
  <c r="C668" i="2"/>
  <c r="C643" i="2"/>
  <c r="C618" i="2"/>
  <c r="C596" i="2"/>
  <c r="C570" i="2"/>
  <c r="C546" i="2"/>
  <c r="C522" i="2"/>
  <c r="C498" i="2"/>
  <c r="C472" i="2"/>
  <c r="C450" i="2"/>
  <c r="C425" i="2"/>
  <c r="C399" i="2"/>
  <c r="C377" i="2"/>
  <c r="C351" i="2"/>
  <c r="C327" i="2"/>
  <c r="C305" i="2"/>
  <c r="C279" i="2"/>
  <c r="C254" i="2"/>
  <c r="C231" i="2"/>
  <c r="C206" i="2"/>
  <c r="C181" i="2"/>
  <c r="C158" i="2"/>
  <c r="C135" i="2"/>
  <c r="C111" i="2"/>
  <c r="C90" i="2"/>
  <c r="C67" i="2"/>
  <c r="C43" i="2"/>
  <c r="C22" i="2"/>
  <c r="C10955" i="2"/>
  <c r="C10811" i="2"/>
  <c r="C10690" i="2"/>
  <c r="C10545" i="2"/>
  <c r="C10425" i="2"/>
  <c r="C10307" i="2"/>
  <c r="C10164" i="2"/>
  <c r="C10034" i="2"/>
  <c r="C9922" i="2"/>
  <c r="C9797" i="2"/>
  <c r="C9677" i="2"/>
  <c r="C9552" i="2"/>
  <c r="C9434" i="2"/>
  <c r="C9360" i="2"/>
  <c r="C9275" i="2"/>
  <c r="C9191" i="2"/>
  <c r="C9110" i="2"/>
  <c r="C9031" i="2"/>
  <c r="C8947" i="2"/>
  <c r="C8874" i="2"/>
  <c r="C8790" i="2"/>
  <c r="C8701" i="2"/>
  <c r="C8626" i="2"/>
  <c r="C8552" i="2"/>
  <c r="C8474" i="2"/>
  <c r="C8407" i="2"/>
  <c r="C8334" i="2"/>
  <c r="C8256" i="2"/>
  <c r="C8185" i="2"/>
  <c r="C8116" i="2"/>
  <c r="C8042" i="2"/>
  <c r="C7982" i="2"/>
  <c r="C7911" i="2"/>
  <c r="C7837" i="2"/>
  <c r="C7768" i="2"/>
  <c r="C7694" i="2"/>
  <c r="C7621" i="2"/>
  <c r="C7559" i="2"/>
  <c r="C7486" i="2"/>
  <c r="C7414" i="2"/>
  <c r="C7351" i="2"/>
  <c r="C7273" i="2"/>
  <c r="C7197" i="2"/>
  <c r="C7133" i="2"/>
  <c r="C7061" i="2"/>
  <c r="C6987" i="2"/>
  <c r="C6925" i="2"/>
  <c r="C6856" i="2"/>
  <c r="C6785" i="2"/>
  <c r="C6726" i="2"/>
  <c r="C6655" i="2"/>
  <c r="C6589" i="2"/>
  <c r="C6540" i="2"/>
  <c r="C6500" i="2"/>
  <c r="C6461" i="2"/>
  <c r="C6415" i="2"/>
  <c r="C6376" i="2"/>
  <c r="C6333" i="2"/>
  <c r="C6296" i="2"/>
  <c r="C6258" i="2"/>
  <c r="C6221" i="2"/>
  <c r="C6178" i="2"/>
  <c r="C6139" i="2"/>
  <c r="C6095" i="2"/>
  <c r="C6058" i="2"/>
  <c r="C6021" i="2"/>
  <c r="C5984" i="2"/>
  <c r="C5944" i="2"/>
  <c r="C5908" i="2"/>
  <c r="C5871" i="2"/>
  <c r="C5833" i="2"/>
  <c r="C5797" i="2"/>
  <c r="C5761" i="2"/>
  <c r="C5721" i="2"/>
  <c r="C5687" i="2"/>
  <c r="C5652" i="2"/>
  <c r="C5612" i="2"/>
  <c r="C5575" i="2"/>
  <c r="C5540" i="2"/>
  <c r="C5500" i="2"/>
  <c r="C5464" i="2"/>
  <c r="C5429" i="2"/>
  <c r="C5390" i="2"/>
  <c r="C5355" i="2"/>
  <c r="C5319" i="2"/>
  <c r="C5278" i="2"/>
  <c r="C5242" i="2"/>
  <c r="C5208" i="2"/>
  <c r="C5169" i="2"/>
  <c r="C5133" i="2"/>
  <c r="C5097" i="2"/>
  <c r="C5055" i="2"/>
  <c r="C5022" i="2"/>
  <c r="C4989" i="2"/>
  <c r="C4953" i="2"/>
  <c r="C4919" i="2"/>
  <c r="C4887" i="2"/>
  <c r="C4849" i="2"/>
  <c r="C4813" i="2"/>
  <c r="C4780" i="2"/>
  <c r="C4744" i="2"/>
  <c r="C4712" i="2"/>
  <c r="C4679" i="2"/>
  <c r="C4645" i="2"/>
  <c r="C4606" i="2"/>
  <c r="C4573" i="2"/>
  <c r="C4537" i="2"/>
  <c r="C4503" i="2"/>
  <c r="C4470" i="2"/>
  <c r="C4438" i="2"/>
  <c r="C4401" i="2"/>
  <c r="C4366" i="2"/>
  <c r="C4329" i="2"/>
  <c r="C4295" i="2"/>
  <c r="C4263" i="2"/>
  <c r="C4229" i="2"/>
  <c r="C4191" i="2"/>
  <c r="C4158" i="2"/>
  <c r="C4124" i="2"/>
  <c r="C4087" i="2"/>
  <c r="C4055" i="2"/>
  <c r="C4021" i="2"/>
  <c r="C3983" i="2"/>
  <c r="C3951" i="2"/>
  <c r="C3917" i="2"/>
  <c r="C3880" i="2"/>
  <c r="C3846" i="2"/>
  <c r="C3813" i="2"/>
  <c r="C3775" i="2"/>
  <c r="C3743" i="2"/>
  <c r="C3709" i="2"/>
  <c r="C3677" i="2"/>
  <c r="C3640" i="2"/>
  <c r="C3605" i="2"/>
  <c r="C3567" i="2"/>
  <c r="C3534" i="2"/>
  <c r="C3501" i="2"/>
  <c r="C3469" i="2"/>
  <c r="C3433" i="2"/>
  <c r="C3398" i="2"/>
  <c r="C3359" i="2"/>
  <c r="C3327" i="2"/>
  <c r="C3293" i="2"/>
  <c r="C3260" i="2"/>
  <c r="C3224" i="2"/>
  <c r="C3191" i="2"/>
  <c r="C3158" i="2"/>
  <c r="C3122" i="2"/>
  <c r="C3091" i="2"/>
  <c r="C3063" i="2"/>
  <c r="C3033" i="2"/>
  <c r="C3006" i="2"/>
  <c r="C2977" i="2"/>
  <c r="C2948" i="2"/>
  <c r="C2920" i="2"/>
  <c r="C2891" i="2"/>
  <c r="C2866" i="2"/>
  <c r="C2837" i="2"/>
  <c r="C2809" i="2"/>
  <c r="C2779" i="2"/>
  <c r="C2753" i="2"/>
  <c r="C2723" i="2"/>
  <c r="C2695" i="2"/>
  <c r="C2666" i="2"/>
  <c r="C2637" i="2"/>
  <c r="C2609" i="2"/>
  <c r="C2581" i="2"/>
  <c r="C2555" i="2"/>
  <c r="C2526" i="2"/>
  <c r="C2499" i="2"/>
  <c r="C2469" i="2"/>
  <c r="C2442" i="2"/>
  <c r="C2412" i="2"/>
  <c r="C2383" i="2"/>
  <c r="C2356" i="2"/>
  <c r="C2327" i="2"/>
  <c r="C2298" i="2"/>
  <c r="C2270" i="2"/>
  <c r="C2245" i="2"/>
  <c r="C2215" i="2"/>
  <c r="C2188" i="2"/>
  <c r="C2158" i="2"/>
  <c r="C2131" i="2"/>
  <c r="C2102" i="2"/>
  <c r="C2073" i="2"/>
  <c r="C2044" i="2"/>
  <c r="C2017" i="2"/>
  <c r="C1988" i="2"/>
  <c r="C1959" i="2"/>
  <c r="C1934" i="2"/>
  <c r="C1905" i="2"/>
  <c r="C1878" i="2"/>
  <c r="C1848" i="2"/>
  <c r="C1819" i="2"/>
  <c r="C1790" i="2"/>
  <c r="C1763" i="2"/>
  <c r="C1734" i="2"/>
  <c r="C1705" i="2"/>
  <c r="C1677" i="2"/>
  <c r="C1649" i="2"/>
  <c r="C1624" i="2"/>
  <c r="C1594" i="2"/>
  <c r="C1566" i="2"/>
  <c r="C1538" i="2"/>
  <c r="C1509" i="2"/>
  <c r="C1480" i="2"/>
  <c r="C1452" i="2"/>
  <c r="C1423" i="2"/>
  <c r="C1395" i="2"/>
  <c r="C1367" i="2"/>
  <c r="C1338" i="2"/>
  <c r="C1315" i="2"/>
  <c r="C1287" i="2"/>
  <c r="C1260" i="2"/>
  <c r="C1236" i="2"/>
  <c r="C1209" i="2"/>
  <c r="C1182" i="2"/>
  <c r="C1158" i="2"/>
  <c r="C1132" i="2"/>
  <c r="C1105" i="2"/>
  <c r="C1081" i="2"/>
  <c r="C1053" i="2"/>
  <c r="C1028" i="2"/>
  <c r="C1005" i="2"/>
  <c r="C980" i="2"/>
  <c r="C955" i="2"/>
  <c r="C932" i="2"/>
  <c r="C907" i="2"/>
  <c r="C882" i="2"/>
  <c r="C859" i="2"/>
  <c r="C835" i="2"/>
  <c r="C809" i="2"/>
  <c r="C787" i="2"/>
  <c r="C761" i="2"/>
  <c r="C737" i="2"/>
  <c r="C714" i="2"/>
  <c r="C689" i="2"/>
  <c r="C664" i="2"/>
  <c r="C641" i="2"/>
  <c r="C616" i="2"/>
  <c r="C590" i="2"/>
  <c r="C568" i="2"/>
  <c r="C543" i="2"/>
  <c r="C518" i="2"/>
  <c r="C495" i="2"/>
  <c r="C470" i="2"/>
  <c r="C445" i="2"/>
  <c r="C422" i="2"/>
  <c r="C397" i="2"/>
  <c r="C373" i="2"/>
  <c r="C349" i="2"/>
  <c r="C325" i="2"/>
  <c r="C299" i="2"/>
  <c r="C277" i="2"/>
  <c r="C251" i="2"/>
  <c r="C227" i="2"/>
  <c r="C204" i="2"/>
  <c r="C179" i="2"/>
  <c r="C154" i="2"/>
  <c r="C133" i="2"/>
  <c r="C109" i="2"/>
  <c r="C86" i="2"/>
  <c r="C65" i="2"/>
  <c r="C41" i="2"/>
  <c r="C18" i="2"/>
  <c r="C10917" i="2"/>
  <c r="C10711" i="2"/>
  <c r="C10519" i="2"/>
  <c r="C10327" i="2"/>
  <c r="C10146" i="2"/>
  <c r="C9979" i="2"/>
  <c r="C9783" i="2"/>
  <c r="C9610" i="2"/>
  <c r="C9441" i="2"/>
  <c r="C9325" i="2"/>
  <c r="C9199" i="2"/>
  <c r="C9087" i="2"/>
  <c r="C8977" i="2"/>
  <c r="C8840" i="2"/>
  <c r="C8741" i="2"/>
  <c r="C8609" i="2"/>
  <c r="C8506" i="2"/>
  <c r="C8388" i="2"/>
  <c r="C8292" i="2"/>
  <c r="C8190" i="2"/>
  <c r="C8087" i="2"/>
  <c r="C7992" i="2"/>
  <c r="C7876" i="2"/>
  <c r="C7790" i="2"/>
  <c r="C7667" i="2"/>
  <c r="C7578" i="2"/>
  <c r="C7472" i="2"/>
  <c r="C7367" i="2"/>
  <c r="C7269" i="2"/>
  <c r="C7167" i="2"/>
  <c r="C7063" i="2"/>
  <c r="C6961" i="2"/>
  <c r="C6863" i="2"/>
  <c r="C6768" i="2"/>
  <c r="C6685" i="2"/>
  <c r="C6580" i="2"/>
  <c r="C6518" i="2"/>
  <c r="C6465" i="2"/>
  <c r="C6402" i="2"/>
  <c r="C6356" i="2"/>
  <c r="C6302" i="2"/>
  <c r="C6248" i="2"/>
  <c r="C6198" i="2"/>
  <c r="C6148" i="2"/>
  <c r="C6090" i="2"/>
  <c r="C6042" i="2"/>
  <c r="C5988" i="2"/>
  <c r="C5933" i="2"/>
  <c r="C5887" i="2"/>
  <c r="C5841" i="2"/>
  <c r="C5787" i="2"/>
  <c r="C5741" i="2"/>
  <c r="C5695" i="2"/>
  <c r="C5639" i="2"/>
  <c r="C5595" i="2"/>
  <c r="C5544" i="2"/>
  <c r="C5495" i="2"/>
  <c r="C5444" i="2"/>
  <c r="C5398" i="2"/>
  <c r="C5343" i="2"/>
  <c r="C5301" i="2"/>
  <c r="C5252" i="2"/>
  <c r="C5199" i="2"/>
  <c r="C5151" i="2"/>
  <c r="C5102" i="2"/>
  <c r="C5051" i="2"/>
  <c r="C5009" i="2"/>
  <c r="C4958" i="2"/>
  <c r="C4909" i="2"/>
  <c r="C4868" i="2"/>
  <c r="C4824" i="2"/>
  <c r="C4773" i="2"/>
  <c r="C4730" i="2"/>
  <c r="C4682" i="2"/>
  <c r="C4634" i="2"/>
  <c r="C4593" i="2"/>
  <c r="C4542" i="2"/>
  <c r="C4495" i="2"/>
  <c r="C4451" i="2"/>
  <c r="C4408" i="2"/>
  <c r="C4356" i="2"/>
  <c r="C4314" i="2"/>
  <c r="C4266" i="2"/>
  <c r="C4220" i="2"/>
  <c r="C4175" i="2"/>
  <c r="C4131" i="2"/>
  <c r="C4084" i="2"/>
  <c r="C4043" i="2"/>
  <c r="C4003" i="2"/>
  <c r="C3960" i="2"/>
  <c r="C3916" i="2"/>
  <c r="C3871" i="2"/>
  <c r="C3834" i="2"/>
  <c r="C3790" i="2"/>
  <c r="C3745" i="2"/>
  <c r="C3703" i="2"/>
  <c r="C3660" i="2"/>
  <c r="C3621" i="2"/>
  <c r="C3575" i="2"/>
  <c r="C3532" i="2"/>
  <c r="C3493" i="2"/>
  <c r="C3450" i="2"/>
  <c r="C3409" i="2"/>
  <c r="C3358" i="2"/>
  <c r="C3318" i="2"/>
  <c r="C3281" i="2"/>
  <c r="C3236" i="2"/>
  <c r="C3192" i="2"/>
  <c r="C3148" i="2"/>
  <c r="C3111" i="2"/>
  <c r="C3074" i="2"/>
  <c r="C3042" i="2"/>
  <c r="C3002" i="2"/>
  <c r="C2968" i="2"/>
  <c r="C2936" i="2"/>
  <c r="C2900" i="2"/>
  <c r="C2861" i="2"/>
  <c r="C2829" i="2"/>
  <c r="C2794" i="2"/>
  <c r="C2761" i="2"/>
  <c r="C2724" i="2"/>
  <c r="C2691" i="2"/>
  <c r="C2655" i="2"/>
  <c r="C2623" i="2"/>
  <c r="C2587" i="2"/>
  <c r="C2550" i="2"/>
  <c r="C2518" i="2"/>
  <c r="C2483" i="2"/>
  <c r="C2451" i="2"/>
  <c r="C2420" i="2"/>
  <c r="C2386" i="2"/>
  <c r="C2353" i="2"/>
  <c r="C2323" i="2"/>
  <c r="C2289" i="2"/>
  <c r="C2257" i="2"/>
  <c r="C2227" i="2"/>
  <c r="C2193" i="2"/>
  <c r="C2159" i="2"/>
  <c r="C2127" i="2"/>
  <c r="C2094" i="2"/>
  <c r="C2062" i="2"/>
  <c r="C2033" i="2"/>
  <c r="C1998" i="2"/>
  <c r="C1967" i="2"/>
  <c r="C1935" i="2"/>
  <c r="C1900" i="2"/>
  <c r="C1868" i="2"/>
  <c r="C1837" i="2"/>
  <c r="C1804" i="2"/>
  <c r="C1772" i="2"/>
  <c r="C1742" i="2"/>
  <c r="C1707" i="2"/>
  <c r="C1674" i="2"/>
  <c r="C1644" i="2"/>
  <c r="C1610" i="2"/>
  <c r="C1578" i="2"/>
  <c r="C1548" i="2"/>
  <c r="C1516" i="2"/>
  <c r="C1481" i="2"/>
  <c r="C1449" i="2"/>
  <c r="C1415" i="2"/>
  <c r="C1385" i="2"/>
  <c r="C1354" i="2"/>
  <c r="C1323" i="2"/>
  <c r="C1294" i="2"/>
  <c r="C1265" i="2"/>
  <c r="C1231" i="2"/>
  <c r="C1203" i="2"/>
  <c r="C1173" i="2"/>
  <c r="C1144" i="2"/>
  <c r="C1115" i="2"/>
  <c r="C1085" i="2"/>
  <c r="C1054" i="2"/>
  <c r="C1026" i="2"/>
  <c r="C998" i="2"/>
  <c r="C971" i="2"/>
  <c r="C943" i="2"/>
  <c r="C916" i="2"/>
  <c r="C889" i="2"/>
  <c r="C860" i="2"/>
  <c r="C831" i="2"/>
  <c r="C805" i="2"/>
  <c r="C777" i="2"/>
  <c r="C750" i="2"/>
  <c r="C723" i="2"/>
  <c r="C695" i="2"/>
  <c r="C667" i="2"/>
  <c r="C636" i="2"/>
  <c r="C609" i="2"/>
  <c r="C582" i="2"/>
  <c r="C554" i="2"/>
  <c r="C527" i="2"/>
  <c r="C500" i="2"/>
  <c r="C471" i="2"/>
  <c r="C443" i="2"/>
  <c r="C415" i="2"/>
  <c r="C388" i="2"/>
  <c r="C361" i="2"/>
  <c r="C333" i="2"/>
  <c r="C307" i="2"/>
  <c r="C278" i="2"/>
  <c r="C249" i="2"/>
  <c r="C222" i="2"/>
  <c r="C195" i="2"/>
  <c r="C168" i="2"/>
  <c r="C141" i="2"/>
  <c r="C116" i="2"/>
  <c r="C89" i="2"/>
  <c r="C60" i="2"/>
  <c r="C35" i="2"/>
  <c r="C9" i="2"/>
  <c r="C10898" i="2"/>
  <c r="C10704" i="2"/>
  <c r="C10498" i="2"/>
  <c r="C10324" i="2"/>
  <c r="C10135" i="2"/>
  <c r="C9977" i="2"/>
  <c r="C9765" i="2"/>
  <c r="C9593" i="2"/>
  <c r="C9431" i="2"/>
  <c r="C9321" i="2"/>
  <c r="C9193" i="2"/>
  <c r="C9080" i="2"/>
  <c r="C8964" i="2"/>
  <c r="C8838" i="2"/>
  <c r="C8739" i="2"/>
  <c r="C8605" i="2"/>
  <c r="C8504" i="2"/>
  <c r="C8381" i="2"/>
  <c r="C8291" i="2"/>
  <c r="C8171" i="2"/>
  <c r="C8085" i="2"/>
  <c r="C7984" i="2"/>
  <c r="C7871" i="2"/>
  <c r="C7780" i="2"/>
  <c r="C7662" i="2"/>
  <c r="C7571" i="2"/>
  <c r="C7470" i="2"/>
  <c r="C7366" i="2"/>
  <c r="C7253" i="2"/>
  <c r="C7158" i="2"/>
  <c r="C7055" i="2"/>
  <c r="C6947" i="2"/>
  <c r="C6861" i="2"/>
  <c r="C6761" i="2"/>
  <c r="C6663" i="2"/>
  <c r="C6574" i="2"/>
  <c r="C6517" i="2"/>
  <c r="C6462" i="2"/>
  <c r="C6401" i="2"/>
  <c r="C6353" i="2"/>
  <c r="C6298" i="2"/>
  <c r="C6246" i="2"/>
  <c r="C6197" i="2"/>
  <c r="C6141" i="2"/>
  <c r="C6086" i="2"/>
  <c r="C6038" i="2"/>
  <c r="C5985" i="2"/>
  <c r="C5931" i="2"/>
  <c r="C5886" i="2"/>
  <c r="C5834" i="2"/>
  <c r="C5786" i="2"/>
  <c r="C5738" i="2"/>
  <c r="C5688" i="2"/>
  <c r="C5634" i="2"/>
  <c r="C5592" i="2"/>
  <c r="C5542" i="2"/>
  <c r="C5490" i="2"/>
  <c r="C5442" i="2"/>
  <c r="C5396" i="2"/>
  <c r="C5342" i="2"/>
  <c r="C5300" i="2"/>
  <c r="C5243" i="2"/>
  <c r="C5198" i="2"/>
  <c r="C5148" i="2"/>
  <c r="C5100" i="2"/>
  <c r="C5047" i="2"/>
  <c r="C5004" i="2"/>
  <c r="C4956" i="2"/>
  <c r="C4907" i="2"/>
  <c r="C4867" i="2"/>
  <c r="C4814" i="2"/>
  <c r="C4772" i="2"/>
  <c r="C4724" i="2"/>
  <c r="C4680" i="2"/>
  <c r="C4629" i="2"/>
  <c r="C4587" i="2"/>
  <c r="C4540" i="2"/>
  <c r="C4493" i="2"/>
  <c r="C4449" i="2"/>
  <c r="C4406" i="2"/>
  <c r="C4355" i="2"/>
  <c r="C4313" i="2"/>
  <c r="C4264" i="2"/>
  <c r="C4219" i="2"/>
  <c r="C4171" i="2"/>
  <c r="C4127" i="2"/>
  <c r="C4083" i="2"/>
  <c r="C4042" i="2"/>
  <c r="C3999" i="2"/>
  <c r="C3958" i="2"/>
  <c r="C3912" i="2"/>
  <c r="C3868" i="2"/>
  <c r="C3829" i="2"/>
  <c r="C3786" i="2"/>
  <c r="C3742" i="2"/>
  <c r="C3701" i="2"/>
  <c r="C3659" i="2"/>
  <c r="C3620" i="2"/>
  <c r="C3573" i="2"/>
  <c r="C3531" i="2"/>
  <c r="C3491" i="2"/>
  <c r="C3448" i="2"/>
  <c r="C3406" i="2"/>
  <c r="C3356" i="2"/>
  <c r="C3317" i="2"/>
  <c r="C3275" i="2"/>
  <c r="C3235" i="2"/>
  <c r="C3190" i="2"/>
  <c r="C3147" i="2"/>
  <c r="C3110" i="2"/>
  <c r="C3073" i="2"/>
  <c r="C3034" i="2"/>
  <c r="C3001" i="2"/>
  <c r="C2966" i="2"/>
  <c r="C2934" i="2"/>
  <c r="C2898" i="2"/>
  <c r="C2860" i="2"/>
  <c r="C2828" i="2"/>
  <c r="C2793" i="2"/>
  <c r="C2760" i="2"/>
  <c r="C2722" i="2"/>
  <c r="C2686" i="2"/>
  <c r="C2654" i="2"/>
  <c r="C2619" i="2"/>
  <c r="C2584" i="2"/>
  <c r="C2548" i="2"/>
  <c r="C2517" i="2"/>
  <c r="C2482" i="2"/>
  <c r="C2450" i="2"/>
  <c r="C2419" i="2"/>
  <c r="C2382" i="2"/>
  <c r="C2351" i="2"/>
  <c r="C2317" i="2"/>
  <c r="C2287" i="2"/>
  <c r="C2255" i="2"/>
  <c r="C2226" i="2"/>
  <c r="C2191" i="2"/>
  <c r="C2157" i="2"/>
  <c r="C2123" i="2"/>
  <c r="C2092" i="2"/>
  <c r="C2061" i="2"/>
  <c r="C2031" i="2"/>
  <c r="C1997" i="2"/>
  <c r="C1965" i="2"/>
  <c r="C1929" i="2"/>
  <c r="C1899" i="2"/>
  <c r="C1867" i="2"/>
  <c r="C1836" i="2"/>
  <c r="C1803" i="2"/>
  <c r="C1771" i="2"/>
  <c r="C1741" i="2"/>
  <c r="C1704" i="2"/>
  <c r="C1673" i="2"/>
  <c r="C1643" i="2"/>
  <c r="C1609" i="2"/>
  <c r="C1577" i="2"/>
  <c r="C1546" i="2"/>
  <c r="C1513" i="2"/>
  <c r="C1479" i="2"/>
  <c r="C1448" i="2"/>
  <c r="C1414" i="2"/>
  <c r="C1383" i="2"/>
  <c r="C1353" i="2"/>
  <c r="C1322" i="2"/>
  <c r="C1293" i="2"/>
  <c r="C1259" i="2"/>
  <c r="C1230" i="2"/>
  <c r="C1201" i="2"/>
  <c r="C1172" i="2"/>
  <c r="C1142" i="2"/>
  <c r="C1114" i="2"/>
  <c r="C1084" i="2"/>
  <c r="C1052" i="2"/>
  <c r="C1025" i="2"/>
  <c r="C997" i="2"/>
  <c r="C970" i="2"/>
  <c r="C942" i="2"/>
  <c r="C915" i="2"/>
  <c r="C888" i="2"/>
  <c r="C858" i="2"/>
  <c r="C830" i="2"/>
  <c r="C804" i="2"/>
  <c r="C776" i="2"/>
  <c r="C749" i="2"/>
  <c r="C722" i="2"/>
  <c r="C694" i="2"/>
  <c r="C663" i="2"/>
  <c r="C635" i="2"/>
  <c r="C607" i="2"/>
  <c r="C581" i="2"/>
  <c r="C553" i="2"/>
  <c r="C526" i="2"/>
  <c r="C499" i="2"/>
  <c r="C469" i="2"/>
  <c r="C442" i="2"/>
  <c r="C414" i="2"/>
  <c r="C387" i="2"/>
  <c r="C360" i="2"/>
  <c r="C332" i="2"/>
  <c r="C306" i="2"/>
  <c r="C276" i="2"/>
  <c r="C248" i="2"/>
  <c r="C221" i="2"/>
  <c r="C194" i="2"/>
  <c r="C166" i="2"/>
  <c r="C140" i="2"/>
  <c r="C115" i="2"/>
  <c r="C85" i="2"/>
  <c r="C59" i="2"/>
  <c r="C34" i="2"/>
  <c r="C8" i="2"/>
  <c r="C10891" i="2"/>
  <c r="C10696" i="2"/>
  <c r="C10480" i="2"/>
  <c r="C10319" i="2"/>
  <c r="C10128" i="2"/>
  <c r="C9958" i="2"/>
  <c r="C9761" i="2"/>
  <c r="C9581" i="2"/>
  <c r="C9415" i="2"/>
  <c r="C9316" i="2"/>
  <c r="C9181" i="2"/>
  <c r="C9076" i="2"/>
  <c r="C8953" i="2"/>
  <c r="C8836" i="2"/>
  <c r="C8727" i="2"/>
  <c r="C8599" i="2"/>
  <c r="C8502" i="2"/>
  <c r="C8376" i="2"/>
  <c r="C8290" i="2"/>
  <c r="C8169" i="2"/>
  <c r="C8081" i="2"/>
  <c r="C7966" i="2"/>
  <c r="C7867" i="2"/>
  <c r="C7778" i="2"/>
  <c r="C7661" i="2"/>
  <c r="C7566" i="2"/>
  <c r="C7455" i="2"/>
  <c r="C7363" i="2"/>
  <c r="C7246" i="2"/>
  <c r="C7157" i="2"/>
  <c r="C7048" i="2"/>
  <c r="C6945" i="2"/>
  <c r="C6850" i="2"/>
  <c r="C6759" i="2"/>
  <c r="C6657" i="2"/>
  <c r="C6573" i="2"/>
  <c r="C6514" i="2"/>
  <c r="C6454" i="2"/>
  <c r="C6399" i="2"/>
  <c r="C6352" i="2"/>
  <c r="C6295" i="2"/>
  <c r="C6244" i="2"/>
  <c r="C6190" i="2"/>
  <c r="C6134" i="2"/>
  <c r="C6085" i="2"/>
  <c r="C6034" i="2"/>
  <c r="C5978" i="2"/>
  <c r="C5929" i="2"/>
  <c r="C5885" i="2"/>
  <c r="C5831" i="2"/>
  <c r="C5785" i="2"/>
  <c r="C5734" i="2"/>
  <c r="C5685" i="2"/>
  <c r="C5633" i="2"/>
  <c r="C5591" i="2"/>
  <c r="C5533" i="2"/>
  <c r="C5488" i="2"/>
  <c r="C5441" i="2"/>
  <c r="C5389" i="2"/>
  <c r="C5341" i="2"/>
  <c r="C5297" i="2"/>
  <c r="C5241" i="2"/>
  <c r="C5191" i="2"/>
  <c r="C5147" i="2"/>
  <c r="C5089" i="2"/>
  <c r="C5046" i="2"/>
  <c r="C5000" i="2"/>
  <c r="C4952" i="2"/>
  <c r="C4906" i="2"/>
  <c r="C4863" i="2"/>
  <c r="C4812" i="2"/>
  <c r="C4771" i="2"/>
  <c r="C4723" i="2"/>
  <c r="C4678" i="2"/>
  <c r="C4628" i="2"/>
  <c r="C4586" i="2"/>
  <c r="C4536" i="2"/>
  <c r="C4492" i="2"/>
  <c r="C4447" i="2"/>
  <c r="C4398" i="2"/>
  <c r="C4353" i="2"/>
  <c r="C4312" i="2"/>
  <c r="C4262" i="2"/>
  <c r="C4213" i="2"/>
  <c r="C4170" i="2"/>
  <c r="C4119" i="2"/>
  <c r="C4078" i="2"/>
  <c r="C4041" i="2"/>
  <c r="C3995" i="2"/>
  <c r="C3953" i="2"/>
  <c r="C3909" i="2"/>
  <c r="C3867" i="2"/>
  <c r="C3828" i="2"/>
  <c r="C3784" i="2"/>
  <c r="C3740" i="2"/>
  <c r="C3699" i="2"/>
  <c r="C3658" i="2"/>
  <c r="C3619" i="2"/>
  <c r="C3566" i="2"/>
  <c r="C3527" i="2"/>
  <c r="C3483" i="2"/>
  <c r="C3444" i="2"/>
  <c r="C3400" i="2"/>
  <c r="C3355" i="2"/>
  <c r="C3316" i="2"/>
  <c r="C3273" i="2"/>
  <c r="C3231" i="2"/>
  <c r="C3183" i="2"/>
  <c r="C3144" i="2"/>
  <c r="C3109" i="2"/>
  <c r="C3070" i="2"/>
  <c r="C3032" i="2"/>
  <c r="C2997" i="2"/>
  <c r="C2965" i="2"/>
  <c r="C2930" i="2"/>
  <c r="C2895" i="2"/>
  <c r="C2859" i="2"/>
  <c r="C2827" i="2"/>
  <c r="C2792" i="2"/>
  <c r="C2756" i="2"/>
  <c r="C2721" i="2"/>
  <c r="C2685" i="2"/>
  <c r="C2653" i="2"/>
  <c r="C2618" i="2"/>
  <c r="C2580" i="2"/>
  <c r="C2547" i="2"/>
  <c r="C2511" i="2"/>
  <c r="C2481" i="2"/>
  <c r="C2449" i="2"/>
  <c r="C2413" i="2"/>
  <c r="C2381" i="2"/>
  <c r="C2347" i="2"/>
  <c r="C2316" i="2"/>
  <c r="C2285" i="2"/>
  <c r="C2254" i="2"/>
  <c r="C2220" i="2"/>
  <c r="C2189" i="2"/>
  <c r="C2154" i="2"/>
  <c r="C2122" i="2"/>
  <c r="C2091" i="2"/>
  <c r="C2060" i="2"/>
  <c r="C2026" i="2"/>
  <c r="C1995" i="2"/>
  <c r="C1963" i="2"/>
  <c r="C1927" i="2"/>
  <c r="C1898" i="2"/>
  <c r="C1866" i="2"/>
  <c r="C1832" i="2"/>
  <c r="C1801" i="2"/>
  <c r="C1770" i="2"/>
  <c r="C1735" i="2"/>
  <c r="C1703" i="2"/>
  <c r="C1671" i="2"/>
  <c r="C1637" i="2"/>
  <c r="C1608" i="2"/>
  <c r="C1576" i="2"/>
  <c r="C1545" i="2"/>
  <c r="C1510" i="2"/>
  <c r="C1478" i="2"/>
  <c r="C1444" i="2"/>
  <c r="C1413" i="2"/>
  <c r="C1381" i="2"/>
  <c r="C1352" i="2"/>
  <c r="C1319" i="2"/>
  <c r="C1288" i="2"/>
  <c r="C1258" i="2"/>
  <c r="C1229" i="2"/>
  <c r="C1199" i="2"/>
  <c r="C1171" i="2"/>
  <c r="C1141" i="2"/>
  <c r="C1113" i="2"/>
  <c r="C1082" i="2"/>
  <c r="C1051" i="2"/>
  <c r="C1023" i="2"/>
  <c r="C996" i="2"/>
  <c r="C968" i="2"/>
  <c r="C941" i="2"/>
  <c r="C914" i="2"/>
  <c r="C886" i="2"/>
  <c r="C855" i="2"/>
  <c r="C827" i="2"/>
  <c r="C801" i="2"/>
  <c r="C773" i="2"/>
  <c r="C745" i="2"/>
  <c r="C718" i="2"/>
  <c r="C690" i="2"/>
  <c r="C661" i="2"/>
  <c r="C634" i="2"/>
  <c r="C606" i="2"/>
  <c r="C580" i="2"/>
  <c r="C552" i="2"/>
  <c r="C524" i="2"/>
  <c r="C497" i="2"/>
  <c r="C468" i="2"/>
  <c r="C441" i="2"/>
  <c r="C413" i="2"/>
  <c r="C386" i="2"/>
  <c r="C359" i="2"/>
  <c r="C331" i="2"/>
  <c r="C302" i="2"/>
  <c r="C273" i="2"/>
  <c r="C245" i="2"/>
  <c r="C217" i="2"/>
  <c r="C190" i="2"/>
  <c r="C163" i="2"/>
  <c r="C137" i="2"/>
  <c r="C110" i="2"/>
  <c r="C84" i="2"/>
  <c r="C58" i="2"/>
  <c r="C33" i="2"/>
  <c r="C7" i="2"/>
  <c r="C11005" i="2"/>
  <c r="C10772" i="2"/>
  <c r="C10592" i="2"/>
  <c r="C10381" i="2"/>
  <c r="C10224" i="2"/>
  <c r="C10013" i="2"/>
  <c r="C9858" i="2"/>
  <c r="C9648" i="2"/>
  <c r="C9483" i="2"/>
  <c r="C9368" i="2"/>
  <c r="C9239" i="2"/>
  <c r="C9128" i="2"/>
  <c r="C8996" i="2"/>
  <c r="C8891" i="2"/>
  <c r="C8756" i="2"/>
  <c r="C8656" i="2"/>
  <c r="C8536" i="2"/>
  <c r="C8425" i="2"/>
  <c r="C8323" i="2"/>
  <c r="C8217" i="2"/>
  <c r="C8121" i="2"/>
  <c r="C8025" i="2"/>
  <c r="C7914" i="2"/>
  <c r="C7810" i="2"/>
  <c r="C7721" i="2"/>
  <c r="C7605" i="2"/>
  <c r="C7507" i="2"/>
  <c r="C7399" i="2"/>
  <c r="C7309" i="2"/>
  <c r="C7191" i="2"/>
  <c r="C7099" i="2"/>
  <c r="C6989" i="2"/>
  <c r="C6894" i="2"/>
  <c r="C6809" i="2"/>
  <c r="C6700" i="2"/>
  <c r="C6608" i="2"/>
  <c r="C6538" i="2"/>
  <c r="C6478" i="2"/>
  <c r="C6428" i="2"/>
  <c r="C6368" i="2"/>
  <c r="C6319" i="2"/>
  <c r="C6270" i="2"/>
  <c r="C6213" i="2"/>
  <c r="C6160" i="2"/>
  <c r="C6113" i="2"/>
  <c r="C6056" i="2"/>
  <c r="C6007" i="2"/>
  <c r="C5953" i="2"/>
  <c r="C5902" i="2"/>
  <c r="C5854" i="2"/>
  <c r="C5809" i="2"/>
  <c r="C5754" i="2"/>
  <c r="C5705" i="2"/>
  <c r="C5661" i="2"/>
  <c r="C5609" i="2"/>
  <c r="C5562" i="2"/>
  <c r="C5511" i="2"/>
  <c r="C5462" i="2"/>
  <c r="C5409" i="2"/>
  <c r="C5366" i="2"/>
  <c r="C5309" i="2"/>
  <c r="C5265" i="2"/>
  <c r="C5218" i="2"/>
  <c r="C5167" i="2"/>
  <c r="C5117" i="2"/>
  <c r="C5072" i="2"/>
  <c r="C5018" i="2"/>
  <c r="C4973" i="2"/>
  <c r="C4929" i="2"/>
  <c r="C4878" i="2"/>
  <c r="C4835" i="2"/>
  <c r="C4793" i="2"/>
  <c r="C4742" i="2"/>
  <c r="C4697" i="2"/>
  <c r="C4654" i="2"/>
  <c r="C4603" i="2"/>
  <c r="C4557" i="2"/>
  <c r="C4513" i="2"/>
  <c r="C4468" i="2"/>
  <c r="C4420" i="2"/>
  <c r="C4376" i="2"/>
  <c r="C4326" i="2"/>
  <c r="C4283" i="2"/>
  <c r="C4238" i="2"/>
  <c r="C4189" i="2"/>
  <c r="C4140" i="2"/>
  <c r="C4103" i="2"/>
  <c r="C4056" i="2"/>
  <c r="C4013" i="2"/>
  <c r="C3973" i="2"/>
  <c r="C3931" i="2"/>
  <c r="C3889" i="2"/>
  <c r="C3844" i="2"/>
  <c r="C3803" i="2"/>
  <c r="C3763" i="2"/>
  <c r="C3720" i="2"/>
  <c r="C3672" i="2"/>
  <c r="C3628" i="2"/>
  <c r="C3589" i="2"/>
  <c r="C3547" i="2"/>
  <c r="C3502" i="2"/>
  <c r="C3462" i="2"/>
  <c r="C3418" i="2"/>
  <c r="C3379" i="2"/>
  <c r="C3334" i="2"/>
  <c r="C3289" i="2"/>
  <c r="C3252" i="2"/>
  <c r="C3205" i="2"/>
  <c r="C3166" i="2"/>
  <c r="C3121" i="2"/>
  <c r="C3083" i="2"/>
  <c r="C3050" i="2"/>
  <c r="C3015" i="2"/>
  <c r="C2978" i="2"/>
  <c r="C2945" i="2"/>
  <c r="C2909" i="2"/>
  <c r="C2877" i="2"/>
  <c r="C2841" i="2"/>
  <c r="C2803" i="2"/>
  <c r="C2772" i="2"/>
  <c r="C2737" i="2"/>
  <c r="C2703" i="2"/>
  <c r="C2665" i="2"/>
  <c r="C2633" i="2"/>
  <c r="C2598" i="2"/>
  <c r="C2565" i="2"/>
  <c r="C2527" i="2"/>
  <c r="C2490" i="2"/>
  <c r="C2461" i="2"/>
  <c r="C2429" i="2"/>
  <c r="C2395" i="2"/>
  <c r="C2364" i="2"/>
  <c r="C2333" i="2"/>
  <c r="C2297" i="2"/>
  <c r="C2266" i="2"/>
  <c r="C2234" i="2"/>
  <c r="C2200" i="2"/>
  <c r="C2171" i="2"/>
  <c r="C2139" i="2"/>
  <c r="C2108" i="2"/>
  <c r="C2072" i="2"/>
  <c r="C2041" i="2"/>
  <c r="C2007" i="2"/>
  <c r="C1976" i="2"/>
  <c r="C1944" i="2"/>
  <c r="C1915" i="2"/>
  <c r="C1881" i="2"/>
  <c r="C1847" i="2"/>
  <c r="C1813" i="2"/>
  <c r="C1782" i="2"/>
  <c r="C1751" i="2"/>
  <c r="C1720" i="2"/>
  <c r="C1686" i="2"/>
  <c r="C1654" i="2"/>
  <c r="C1618" i="2"/>
  <c r="C1589" i="2"/>
  <c r="C1557" i="2"/>
  <c r="C1526" i="2"/>
  <c r="C1492" i="2"/>
  <c r="C1461" i="2"/>
  <c r="C1430" i="2"/>
  <c r="C1394" i="2"/>
  <c r="C1362" i="2"/>
  <c r="C1333" i="2"/>
  <c r="C1303" i="2"/>
  <c r="C1273" i="2"/>
  <c r="C1244" i="2"/>
  <c r="C1215" i="2"/>
  <c r="C1181" i="2"/>
  <c r="C1153" i="2"/>
  <c r="C1123" i="2"/>
  <c r="C1095" i="2"/>
  <c r="C1065" i="2"/>
  <c r="C1035" i="2"/>
  <c r="C1009" i="2"/>
  <c r="C979" i="2"/>
  <c r="C951" i="2"/>
  <c r="C924" i="2"/>
  <c r="C897" i="2"/>
  <c r="C870" i="2"/>
  <c r="C842" i="2"/>
  <c r="C814" i="2"/>
  <c r="C786" i="2"/>
  <c r="C758" i="2"/>
  <c r="C731" i="2"/>
  <c r="C703" i="2"/>
  <c r="C676" i="2"/>
  <c r="C649" i="2"/>
  <c r="C621" i="2"/>
  <c r="C589" i="2"/>
  <c r="C563" i="2"/>
  <c r="C535" i="2"/>
  <c r="C507" i="2"/>
  <c r="C481" i="2"/>
  <c r="C453" i="2"/>
  <c r="C426" i="2"/>
  <c r="C396" i="2"/>
  <c r="C369" i="2"/>
  <c r="C342" i="2"/>
  <c r="C314" i="2"/>
  <c r="C287" i="2"/>
  <c r="C260" i="2"/>
  <c r="C232" i="2"/>
  <c r="C203" i="2"/>
  <c r="C175" i="2"/>
  <c r="C149" i="2"/>
  <c r="C123" i="2"/>
  <c r="C98" i="2"/>
  <c r="C72" i="2"/>
  <c r="C46" i="2"/>
  <c r="C17" i="2"/>
  <c r="C10960" i="2"/>
  <c r="C10771" i="2"/>
  <c r="C10552" i="2"/>
  <c r="C10373" i="2"/>
  <c r="C10214" i="2"/>
  <c r="C10011" i="2"/>
  <c r="C9847" i="2"/>
  <c r="C9641" i="2"/>
  <c r="C9482" i="2"/>
  <c r="C9341" i="2"/>
  <c r="C9236" i="2"/>
  <c r="C9124" i="2"/>
  <c r="C8994" i="2"/>
  <c r="C8887" i="2"/>
  <c r="C8755" i="2"/>
  <c r="C8653" i="2"/>
  <c r="C8527" i="2"/>
  <c r="C8424" i="2"/>
  <c r="C8302" i="2"/>
  <c r="C8216" i="2"/>
  <c r="C8113" i="2"/>
  <c r="C8007" i="2"/>
  <c r="C7912" i="2"/>
  <c r="C7805" i="2"/>
  <c r="C7707" i="2"/>
  <c r="C7604" i="2"/>
  <c r="C7498" i="2"/>
  <c r="C7391" i="2"/>
  <c r="C7300" i="2"/>
  <c r="C7185" i="2"/>
  <c r="C7095" i="2"/>
  <c r="C6981" i="2"/>
  <c r="C6892" i="2"/>
  <c r="C6796" i="2"/>
  <c r="C6697" i="2"/>
  <c r="C6605" i="2"/>
  <c r="C6530" i="2"/>
  <c r="C6477" i="2"/>
  <c r="C6424" i="2"/>
  <c r="C6365" i="2"/>
  <c r="C6318" i="2"/>
  <c r="C6262" i="2"/>
  <c r="C6208" i="2"/>
  <c r="C6157" i="2"/>
  <c r="C6107" i="2"/>
  <c r="C6048" i="2"/>
  <c r="C6000" i="2"/>
  <c r="C5951" i="2"/>
  <c r="C5898" i="2"/>
  <c r="C5853" i="2"/>
  <c r="C5800" i="2"/>
  <c r="C5752" i="2"/>
  <c r="C5701" i="2"/>
  <c r="C5656" i="2"/>
  <c r="C5599" i="2"/>
  <c r="C5557" i="2"/>
  <c r="C5508" i="2"/>
  <c r="C5456" i="2"/>
  <c r="C5408" i="2"/>
  <c r="C5362" i="2"/>
  <c r="C5307" i="2"/>
  <c r="C5263" i="2"/>
  <c r="C5212" i="2"/>
  <c r="C5163" i="2"/>
  <c r="C5113" i="2"/>
  <c r="C5067" i="2"/>
  <c r="C5014" i="2"/>
  <c r="C4971" i="2"/>
  <c r="C4926" i="2"/>
  <c r="C4874" i="2"/>
  <c r="C4833" i="2"/>
  <c r="C4785" i="2"/>
  <c r="C4740" i="2"/>
  <c r="C4692" i="2"/>
  <c r="C4648" i="2"/>
  <c r="C4598" i="2"/>
  <c r="C4556" i="2"/>
  <c r="C4510" i="2"/>
  <c r="C4461" i="2"/>
  <c r="C4417" i="2"/>
  <c r="C4374" i="2"/>
  <c r="C4324" i="2"/>
  <c r="C4282" i="2"/>
  <c r="C4232" i="2"/>
  <c r="C4184" i="2"/>
  <c r="C10949" i="2"/>
  <c r="C10768" i="2"/>
  <c r="C10546" i="2"/>
  <c r="C10368" i="2"/>
  <c r="C10202" i="2"/>
  <c r="C10007" i="2"/>
  <c r="C9839" i="2"/>
  <c r="C9639" i="2"/>
  <c r="C9481" i="2"/>
  <c r="C9334" i="2"/>
  <c r="C9235" i="2"/>
  <c r="C9099" i="2"/>
  <c r="C8989" i="2"/>
  <c r="C8880" i="2"/>
  <c r="C8752" i="2"/>
  <c r="C8642" i="2"/>
  <c r="C8520" i="2"/>
  <c r="C8423" i="2"/>
  <c r="C8299" i="2"/>
  <c r="C8215" i="2"/>
  <c r="C8101" i="2"/>
  <c r="C8002" i="2"/>
  <c r="C7907" i="2"/>
  <c r="C7795" i="2"/>
  <c r="C7695" i="2"/>
  <c r="C7602" i="2"/>
  <c r="C7490" i="2"/>
  <c r="C7386" i="2"/>
  <c r="C7297" i="2"/>
  <c r="C7183" i="2"/>
  <c r="C7092" i="2"/>
  <c r="C6978" i="2"/>
  <c r="C6889" i="2"/>
  <c r="C6780" i="2"/>
  <c r="C6692" i="2"/>
  <c r="C6594" i="2"/>
  <c r="C6529" i="2"/>
  <c r="C6475" i="2"/>
  <c r="C6417" i="2"/>
  <c r="C6364" i="2"/>
  <c r="C6316" i="2"/>
  <c r="C6260" i="2"/>
  <c r="C6202" i="2"/>
  <c r="C6156" i="2"/>
  <c r="C6102" i="2"/>
  <c r="C6045" i="2"/>
  <c r="C5994" i="2"/>
  <c r="C5946" i="2"/>
  <c r="C5897" i="2"/>
  <c r="C5851" i="2"/>
  <c r="C5798" i="2"/>
  <c r="C5751" i="2"/>
  <c r="C5700" i="2"/>
  <c r="C5653" i="2"/>
  <c r="C5598" i="2"/>
  <c r="C5556" i="2"/>
  <c r="C5502" i="2"/>
  <c r="C5455" i="2"/>
  <c r="C5407" i="2"/>
  <c r="C5357" i="2"/>
  <c r="C5306" i="2"/>
  <c r="C5261" i="2"/>
  <c r="C5209" i="2"/>
  <c r="C5154" i="2"/>
  <c r="C5112" i="2"/>
  <c r="C5056" i="2"/>
  <c r="C5013" i="2"/>
  <c r="C4969" i="2"/>
  <c r="C4920" i="2"/>
  <c r="C4873" i="2"/>
  <c r="C4831" i="2"/>
  <c r="C4781" i="2"/>
  <c r="C4739" i="2"/>
  <c r="C4691" i="2"/>
  <c r="C4646" i="2"/>
  <c r="C4597" i="2"/>
  <c r="C4555" i="2"/>
  <c r="C4504" i="2"/>
  <c r="C4460" i="2"/>
  <c r="C4414" i="2"/>
  <c r="C4369" i="2"/>
  <c r="C4323" i="2"/>
  <c r="C4281" i="2"/>
  <c r="C4230" i="2"/>
  <c r="C4180" i="2"/>
  <c r="C4138" i="2"/>
  <c r="C4097" i="2"/>
  <c r="C4052" i="2"/>
  <c r="C4011" i="2"/>
  <c r="C3969" i="2"/>
  <c r="C3928" i="2"/>
  <c r="C3878" i="2"/>
  <c r="C3837" i="2"/>
  <c r="C3798" i="2"/>
  <c r="C3754" i="2"/>
  <c r="C3710" i="2"/>
  <c r="C3667" i="2"/>
  <c r="C3626" i="2"/>
  <c r="C3587" i="2"/>
  <c r="C3543" i="2"/>
  <c r="C3496" i="2"/>
  <c r="C3453" i="2"/>
  <c r="C3414" i="2"/>
  <c r="C3374" i="2"/>
  <c r="C3326" i="2"/>
  <c r="C3287" i="2"/>
  <c r="C3242" i="2"/>
  <c r="C3203" i="2"/>
  <c r="C3160" i="2"/>
  <c r="C3118" i="2"/>
  <c r="C3081" i="2"/>
  <c r="C3046" i="2"/>
  <c r="C3012" i="2"/>
  <c r="C2974" i="2"/>
  <c r="C2939" i="2"/>
  <c r="C2907" i="2"/>
  <c r="C2872" i="2"/>
  <c r="C2834" i="2"/>
  <c r="C2801" i="2"/>
  <c r="C2770" i="2"/>
  <c r="C2734" i="2"/>
  <c r="C2697" i="2"/>
  <c r="C2663" i="2"/>
  <c r="C2627" i="2"/>
  <c r="C2596" i="2"/>
  <c r="C2558" i="2"/>
  <c r="C2521" i="2"/>
  <c r="C2488" i="2"/>
  <c r="C2459" i="2"/>
  <c r="C2425" i="2"/>
  <c r="C2393" i="2"/>
  <c r="C2362" i="2"/>
  <c r="C2326" i="2"/>
  <c r="C2295" i="2"/>
  <c r="C2264" i="2"/>
  <c r="C2230" i="2"/>
  <c r="C2198" i="2"/>
  <c r="C2169" i="2"/>
  <c r="C2135" i="2"/>
  <c r="C2101" i="2"/>
  <c r="C2070" i="2"/>
  <c r="C2036" i="2"/>
  <c r="C2005" i="2"/>
  <c r="C1974" i="2"/>
  <c r="C1940" i="2"/>
  <c r="C1908" i="2"/>
  <c r="C1876" i="2"/>
  <c r="C1842" i="2"/>
  <c r="C1811" i="2"/>
  <c r="C1780" i="2"/>
  <c r="C1746" i="2"/>
  <c r="C1715" i="2"/>
  <c r="C1684" i="2"/>
  <c r="C1647" i="2"/>
  <c r="C1615" i="2"/>
  <c r="C1586" i="2"/>
  <c r="C1551" i="2"/>
  <c r="C1521" i="2"/>
  <c r="C1490" i="2"/>
  <c r="C1459" i="2"/>
  <c r="C1422" i="2"/>
  <c r="C1391" i="2"/>
  <c r="C1357" i="2"/>
  <c r="C1326" i="2"/>
  <c r="C1299" i="2"/>
  <c r="C1269" i="2"/>
  <c r="C1240" i="2"/>
  <c r="C1208" i="2"/>
  <c r="C1179" i="2"/>
  <c r="C1150" i="2"/>
  <c r="C1121" i="2"/>
  <c r="C1091" i="2"/>
  <c r="C1063" i="2"/>
  <c r="C1033" i="2"/>
  <c r="C1004" i="2"/>
  <c r="C977" i="2"/>
  <c r="C949" i="2"/>
  <c r="C922" i="2"/>
  <c r="C894" i="2"/>
  <c r="C868" i="2"/>
  <c r="C840" i="2"/>
  <c r="C808" i="2"/>
  <c r="C780" i="2"/>
  <c r="C754" i="2"/>
  <c r="C726" i="2"/>
  <c r="C699" i="2"/>
  <c r="C671" i="2"/>
  <c r="C644" i="2"/>
  <c r="C615" i="2"/>
  <c r="C587" i="2"/>
  <c r="C561" i="2"/>
  <c r="C533" i="2"/>
  <c r="C505" i="2"/>
  <c r="C478" i="2"/>
  <c r="C451" i="2"/>
  <c r="C421" i="2"/>
  <c r="C394" i="2"/>
  <c r="C366" i="2"/>
  <c r="C340" i="2"/>
  <c r="C312" i="2"/>
  <c r="C284" i="2"/>
  <c r="C258" i="2"/>
  <c r="C226" i="2"/>
  <c r="C198" i="2"/>
  <c r="C171" i="2"/>
  <c r="C145" i="2"/>
  <c r="C119" i="2"/>
  <c r="C93" i="2"/>
  <c r="C68" i="2"/>
  <c r="C40" i="2"/>
  <c r="C14" i="2"/>
  <c r="C10938" i="2"/>
  <c r="C10754" i="2"/>
  <c r="C10537" i="2"/>
  <c r="C10362" i="2"/>
  <c r="C10184" i="2"/>
  <c r="C9993" i="2"/>
  <c r="C9803" i="2"/>
  <c r="C9631" i="2"/>
  <c r="C9480" i="2"/>
  <c r="C9332" i="2"/>
  <c r="C9229" i="2"/>
  <c r="C9092" i="2"/>
  <c r="C8987" i="2"/>
  <c r="C8855" i="2"/>
  <c r="C8744" i="2"/>
  <c r="C8631" i="2"/>
  <c r="C8518" i="2"/>
  <c r="C8420" i="2"/>
  <c r="C8298" i="2"/>
  <c r="C8213" i="2"/>
  <c r="C8089" i="2"/>
  <c r="C8000" i="2"/>
  <c r="C7892" i="2"/>
  <c r="C7794" i="2"/>
  <c r="C7689" i="2"/>
  <c r="C10935" i="2"/>
  <c r="C10719" i="2"/>
  <c r="C10520" i="2"/>
  <c r="C10352" i="2"/>
  <c r="C10150" i="2"/>
  <c r="C9990" i="2"/>
  <c r="C9801" i="2"/>
  <c r="C9620" i="2"/>
  <c r="C9462" i="2"/>
  <c r="C9330" i="2"/>
  <c r="C9226" i="2"/>
  <c r="C9090" i="2"/>
  <c r="C8979" i="2"/>
  <c r="C8842" i="2"/>
  <c r="C8742" i="2"/>
  <c r="C8614" i="2"/>
  <c r="C8515" i="2"/>
  <c r="C8409" i="2"/>
  <c r="C8293" i="2"/>
  <c r="C8205" i="2"/>
  <c r="C8088" i="2"/>
  <c r="C7997" i="2"/>
  <c r="C7877" i="2"/>
  <c r="C7792" i="2"/>
  <c r="C7677" i="2"/>
  <c r="C7585" i="2"/>
  <c r="C7478" i="2"/>
  <c r="C7369" i="2"/>
  <c r="C7279" i="2"/>
  <c r="C7178" i="2"/>
  <c r="C7070" i="2"/>
  <c r="C6966" i="2"/>
  <c r="C6877" i="2"/>
  <c r="C6770" i="2"/>
  <c r="C6687" i="2"/>
  <c r="C6584" i="2"/>
  <c r="C6519" i="2"/>
  <c r="C6469" i="2"/>
  <c r="C6411" i="2"/>
  <c r="C6358" i="2"/>
  <c r="C6306" i="2"/>
  <c r="C6251" i="2"/>
  <c r="C6199" i="2"/>
  <c r="C6154" i="2"/>
  <c r="C6092" i="2"/>
  <c r="C6043" i="2"/>
  <c r="C5990" i="2"/>
  <c r="C5942" i="2"/>
  <c r="C5888" i="2"/>
  <c r="C5846" i="2"/>
  <c r="C5790" i="2"/>
  <c r="C5745" i="2"/>
  <c r="C5697" i="2"/>
  <c r="C5643" i="2"/>
  <c r="C5596" i="2"/>
  <c r="C5551" i="2"/>
  <c r="C5497" i="2"/>
  <c r="C5445" i="2"/>
  <c r="C5402" i="2"/>
  <c r="C5345" i="2"/>
  <c r="C5302" i="2"/>
  <c r="C5254" i="2"/>
  <c r="C5201" i="2"/>
  <c r="C5152" i="2"/>
  <c r="C5108" i="2"/>
  <c r="C5053" i="2"/>
  <c r="C5011" i="2"/>
  <c r="C4961" i="2"/>
  <c r="C4917" i="2"/>
  <c r="C4869" i="2"/>
  <c r="C4827" i="2"/>
  <c r="C4775" i="2"/>
  <c r="C4732" i="2"/>
  <c r="C4686" i="2"/>
  <c r="C4638" i="2"/>
  <c r="C4595" i="2"/>
  <c r="C4552" i="2"/>
  <c r="C4501" i="2"/>
  <c r="C4452" i="2"/>
  <c r="C4410" i="2"/>
  <c r="C4359" i="2"/>
  <c r="C4315" i="2"/>
  <c r="C4270" i="2"/>
  <c r="C4223" i="2"/>
  <c r="C4177" i="2"/>
  <c r="C4136" i="2"/>
  <c r="C4086" i="2"/>
  <c r="C4044" i="2"/>
  <c r="C4005" i="2"/>
  <c r="C3962" i="2"/>
  <c r="C3918" i="2"/>
  <c r="C3876" i="2"/>
  <c r="C3835" i="2"/>
  <c r="C3795" i="2"/>
  <c r="C3750" i="2"/>
  <c r="C3704" i="2"/>
  <c r="C3661" i="2"/>
  <c r="C3622" i="2"/>
  <c r="C3583" i="2"/>
  <c r="C3533" i="2"/>
  <c r="C3494" i="2"/>
  <c r="C3451" i="2"/>
  <c r="C3411" i="2"/>
  <c r="C3366" i="2"/>
  <c r="C3323" i="2"/>
  <c r="C3283" i="2"/>
  <c r="C3240" i="2"/>
  <c r="C3198" i="2"/>
  <c r="C3150" i="2"/>
  <c r="C3112" i="2"/>
  <c r="C3075" i="2"/>
  <c r="C3044" i="2"/>
  <c r="C3005" i="2"/>
  <c r="C2970" i="2"/>
  <c r="C2937" i="2"/>
  <c r="C2905" i="2"/>
  <c r="C2868" i="2"/>
  <c r="C2830" i="2"/>
  <c r="C2797" i="2"/>
  <c r="C2762" i="2"/>
  <c r="C2729" i="2"/>
  <c r="C2692" i="2"/>
  <c r="C2657" i="2"/>
  <c r="C2625" i="2"/>
  <c r="C2589" i="2"/>
  <c r="C2551" i="2"/>
  <c r="C2519" i="2"/>
  <c r="C2484" i="2"/>
  <c r="C2452" i="2"/>
  <c r="C2422" i="2"/>
  <c r="C2391" i="2"/>
  <c r="C2354" i="2"/>
  <c r="C2324" i="2"/>
  <c r="C2290" i="2"/>
  <c r="C2259" i="2"/>
  <c r="C2228" i="2"/>
  <c r="C2196" i="2"/>
  <c r="C2162" i="2"/>
  <c r="C2129" i="2"/>
  <c r="C2095" i="2"/>
  <c r="C2063" i="2"/>
  <c r="C2034" i="2"/>
  <c r="C2002" i="2"/>
  <c r="C1969" i="2"/>
  <c r="C1938" i="2"/>
  <c r="C1901" i="2"/>
  <c r="C1869" i="2"/>
  <c r="C1839" i="2"/>
  <c r="C1807" i="2"/>
  <c r="C1773" i="2"/>
  <c r="C1743" i="2"/>
  <c r="C1713" i="2"/>
  <c r="C1676" i="2"/>
  <c r="C1645" i="2"/>
  <c r="C1613" i="2"/>
  <c r="C1579" i="2"/>
  <c r="C1549" i="2"/>
  <c r="C1517" i="2"/>
  <c r="C1487" i="2"/>
  <c r="C1451" i="2"/>
  <c r="C1419" i="2"/>
  <c r="C1386" i="2"/>
  <c r="C1355" i="2"/>
  <c r="C1324" i="2"/>
  <c r="C1295" i="2"/>
  <c r="C1267" i="2"/>
  <c r="C1235" i="2"/>
  <c r="C1206" i="2"/>
  <c r="C1176" i="2"/>
  <c r="C1148" i="2"/>
  <c r="C1118" i="2"/>
  <c r="C1089" i="2"/>
  <c r="C1061" i="2"/>
  <c r="C1027" i="2"/>
  <c r="C999" i="2"/>
  <c r="C972" i="2"/>
  <c r="C945" i="2"/>
  <c r="C917" i="2"/>
  <c r="C890" i="2"/>
  <c r="C862" i="2"/>
  <c r="C834" i="2"/>
  <c r="C806" i="2"/>
  <c r="C778" i="2"/>
  <c r="C751" i="2"/>
  <c r="C724" i="2"/>
  <c r="C697" i="2"/>
  <c r="C669" i="2"/>
  <c r="C639" i="2"/>
  <c r="C613" i="2"/>
  <c r="C585" i="2"/>
  <c r="C557" i="2"/>
  <c r="C531" i="2"/>
  <c r="C503" i="2"/>
  <c r="C476" i="2"/>
  <c r="C444" i="2"/>
  <c r="C417" i="2"/>
  <c r="C390" i="2"/>
  <c r="C362" i="2"/>
  <c r="C334" i="2"/>
  <c r="C308" i="2"/>
  <c r="C280" i="2"/>
  <c r="C250" i="2"/>
  <c r="C223" i="2"/>
  <c r="C196" i="2"/>
  <c r="C169" i="2"/>
  <c r="C142" i="2"/>
  <c r="C117" i="2"/>
  <c r="C91" i="2"/>
  <c r="C63" i="2"/>
  <c r="C38" i="2"/>
  <c r="C12" i="2"/>
  <c r="C10794" i="2"/>
  <c r="C10435" i="2"/>
  <c r="C10079" i="2"/>
  <c r="C9701" i="2"/>
  <c r="C9383" i="2"/>
  <c r="C9143" i="2"/>
  <c r="C8905" i="2"/>
  <c r="C8673" i="2"/>
  <c r="C8450" i="2"/>
  <c r="C8241" i="2"/>
  <c r="C8032" i="2"/>
  <c r="C7825" i="2"/>
  <c r="C7623" i="2"/>
  <c r="C7440" i="2"/>
  <c r="C7237" i="2"/>
  <c r="C7075" i="2"/>
  <c r="C6896" i="2"/>
  <c r="C6728" i="2"/>
  <c r="C6555" i="2"/>
  <c r="C6450" i="2"/>
  <c r="C6369" i="2"/>
  <c r="C6276" i="2"/>
  <c r="C6177" i="2"/>
  <c r="C6079" i="2"/>
  <c r="C5993" i="2"/>
  <c r="C5909" i="2"/>
  <c r="C5818" i="2"/>
  <c r="C5724" i="2"/>
  <c r="C5632" i="2"/>
  <c r="C5563" i="2"/>
  <c r="C5473" i="2"/>
  <c r="C5376" i="2"/>
  <c r="C5286" i="2"/>
  <c r="C5206" i="2"/>
  <c r="C5120" i="2"/>
  <c r="C5034" i="2"/>
  <c r="C4947" i="2"/>
  <c r="C4862" i="2"/>
  <c r="C4794" i="2"/>
  <c r="C4702" i="2"/>
  <c r="C4620" i="2"/>
  <c r="C4532" i="2"/>
  <c r="C4458" i="2"/>
  <c r="C4379" i="2"/>
  <c r="C4293" i="2"/>
  <c r="C4207" i="2"/>
  <c r="C4137" i="2"/>
  <c r="C4068" i="2"/>
  <c r="C3992" i="2"/>
  <c r="C3932" i="2"/>
  <c r="C3860" i="2"/>
  <c r="C3796" i="2"/>
  <c r="C3724" i="2"/>
  <c r="C3652" i="2"/>
  <c r="C3593" i="2"/>
  <c r="C3516" i="2"/>
  <c r="C3452" i="2"/>
  <c r="C3386" i="2"/>
  <c r="C3313" i="2"/>
  <c r="C3253" i="2"/>
  <c r="C3178" i="2"/>
  <c r="C3114" i="2"/>
  <c r="C3053" i="2"/>
  <c r="C2995" i="2"/>
  <c r="C2946" i="2"/>
  <c r="C2887" i="2"/>
  <c r="C2831" i="2"/>
  <c r="C2775" i="2"/>
  <c r="C2716" i="2"/>
  <c r="C2667" i="2"/>
  <c r="C2606" i="2"/>
  <c r="C2556" i="2"/>
  <c r="C2500" i="2"/>
  <c r="C2443" i="2"/>
  <c r="C2399" i="2"/>
  <c r="C2343" i="2"/>
  <c r="C2293" i="2"/>
  <c r="C2238" i="2"/>
  <c r="C2181" i="2"/>
  <c r="C2140" i="2"/>
  <c r="C2084" i="2"/>
  <c r="C2035" i="2"/>
  <c r="C1982" i="2"/>
  <c r="C1925" i="2"/>
  <c r="C1882" i="2"/>
  <c r="C1828" i="2"/>
  <c r="C10779" i="2"/>
  <c r="C10404" i="2"/>
  <c r="C10049" i="2"/>
  <c r="C9697" i="2"/>
  <c r="C9380" i="2"/>
  <c r="C9141" i="2"/>
  <c r="C8898" i="2"/>
  <c r="C8662" i="2"/>
  <c r="C8438" i="2"/>
  <c r="C8233" i="2"/>
  <c r="C8031" i="2"/>
  <c r="C7821" i="2"/>
  <c r="C7616" i="2"/>
  <c r="C7439" i="2"/>
  <c r="C7236" i="2"/>
  <c r="C7040" i="2"/>
  <c r="C6895" i="2"/>
  <c r="C6706" i="2"/>
  <c r="C10877" i="2"/>
  <c r="C10465" i="2"/>
  <c r="C10096" i="2"/>
  <c r="C9746" i="2"/>
  <c r="C9409" i="2"/>
  <c r="C9176" i="2"/>
  <c r="C8932" i="2"/>
  <c r="C8694" i="2"/>
  <c r="C8475" i="2"/>
  <c r="C8275" i="2"/>
  <c r="C8070" i="2"/>
  <c r="C7864" i="2"/>
  <c r="C7657" i="2"/>
  <c r="C7488" i="2"/>
  <c r="C7313" i="2"/>
  <c r="C7110" i="2"/>
  <c r="C6934" i="2"/>
  <c r="C6745" i="2"/>
  <c r="C6617" i="2"/>
  <c r="C10874" i="2"/>
  <c r="C10464" i="2"/>
  <c r="C10093" i="2"/>
  <c r="C9729" i="2"/>
  <c r="C9396" i="2"/>
  <c r="C9165" i="2"/>
  <c r="C8925" i="2"/>
  <c r="C8691" i="2"/>
  <c r="C8469" i="2"/>
  <c r="C8260" i="2"/>
  <c r="C8058" i="2"/>
  <c r="C7861" i="2"/>
  <c r="C7653" i="2"/>
  <c r="C7448" i="2"/>
  <c r="C7311" i="2"/>
  <c r="C7108" i="2"/>
  <c r="C6928" i="2"/>
  <c r="C6743" i="2"/>
  <c r="C6588" i="2"/>
  <c r="C6486" i="2"/>
  <c r="C6390" i="2"/>
  <c r="C6283" i="2"/>
  <c r="C6189" i="2"/>
  <c r="C6114" i="2"/>
  <c r="C6010" i="2"/>
  <c r="C5921" i="2"/>
  <c r="C5822" i="2"/>
  <c r="C5746" i="2"/>
  <c r="C5663" i="2"/>
  <c r="C5568" i="2"/>
  <c r="C5479" i="2"/>
  <c r="C5387" i="2"/>
  <c r="C5311" i="2"/>
  <c r="C5223" i="2"/>
  <c r="C5132" i="2"/>
  <c r="C5044" i="2"/>
  <c r="C4968" i="2"/>
  <c r="C4888" i="2"/>
  <c r="C4801" i="2"/>
  <c r="C4713" i="2"/>
  <c r="C4627" i="2"/>
  <c r="C4561" i="2"/>
  <c r="C4474" i="2"/>
  <c r="C4388" i="2"/>
  <c r="C4302" i="2"/>
  <c r="C4225" i="2"/>
  <c r="C4148" i="2"/>
  <c r="C4075" i="2"/>
  <c r="C4012" i="2"/>
  <c r="C3939" i="2"/>
  <c r="C3866" i="2"/>
  <c r="C3805" i="2"/>
  <c r="C3733" i="2"/>
  <c r="C3670" i="2"/>
  <c r="C3598" i="2"/>
  <c r="C3526" i="2"/>
  <c r="C3464" i="2"/>
  <c r="C3389" i="2"/>
  <c r="C3329" i="2"/>
  <c r="C3256" i="2"/>
  <c r="C3181" i="2"/>
  <c r="C3130" i="2"/>
  <c r="C3062" i="2"/>
  <c r="C3014" i="2"/>
  <c r="C2955" i="2"/>
  <c r="C2890" i="2"/>
  <c r="C2847" i="2"/>
  <c r="C2783" i="2"/>
  <c r="C2735" i="2"/>
  <c r="C2677" i="2"/>
  <c r="C2616" i="2"/>
  <c r="C2568" i="2"/>
  <c r="C2507" i="2"/>
  <c r="C2460" i="2"/>
  <c r="C2404" i="2"/>
  <c r="C2346" i="2"/>
  <c r="C2306" i="2"/>
  <c r="C2248" i="2"/>
  <c r="C2199" i="2"/>
  <c r="C2147" i="2"/>
  <c r="C2090" i="2"/>
  <c r="C2043" i="2"/>
  <c r="C1987" i="2"/>
  <c r="C1943" i="2"/>
  <c r="C1887" i="2"/>
  <c r="C1831" i="2"/>
  <c r="C1785" i="2"/>
  <c r="C1731" i="2"/>
  <c r="C1685" i="2"/>
  <c r="C1629" i="2"/>
  <c r="C1575" i="2"/>
  <c r="C1528" i="2"/>
  <c r="C1471" i="2"/>
  <c r="C1425" i="2"/>
  <c r="C1373" i="2"/>
  <c r="C1318" i="2"/>
  <c r="C1276" i="2"/>
  <c r="C1225" i="2"/>
  <c r="C1180" i="2"/>
  <c r="C1131" i="2"/>
  <c r="C1080" i="2"/>
  <c r="C1042" i="2"/>
  <c r="C990" i="2"/>
  <c r="C950" i="2"/>
  <c r="C904" i="2"/>
  <c r="C854" i="2"/>
  <c r="C818" i="2"/>
  <c r="C770" i="2"/>
  <c r="C727" i="2"/>
  <c r="C681" i="2"/>
  <c r="C633" i="2"/>
  <c r="C597" i="2"/>
  <c r="C549" i="2"/>
  <c r="C506" i="2"/>
  <c r="C460" i="2"/>
  <c r="C412" i="2"/>
  <c r="C371" i="2"/>
  <c r="C324" i="2"/>
  <c r="C285" i="2"/>
  <c r="C239" i="2"/>
  <c r="C189" i="2"/>
  <c r="C151" i="2"/>
  <c r="C106" i="2"/>
  <c r="C69" i="2"/>
  <c r="C25" i="2"/>
  <c r="C10847" i="2"/>
  <c r="C10463" i="2"/>
  <c r="C10090" i="2"/>
  <c r="C9709" i="2"/>
  <c r="C9394" i="2"/>
  <c r="C9161" i="2"/>
  <c r="C8922" i="2"/>
  <c r="C8690" i="2"/>
  <c r="C8465" i="2"/>
  <c r="C8247" i="2"/>
  <c r="C8043" i="2"/>
  <c r="C7854" i="2"/>
  <c r="C7652" i="2"/>
  <c r="C7446" i="2"/>
  <c r="C7282" i="2"/>
  <c r="C7107" i="2"/>
  <c r="C6919" i="2"/>
  <c r="C6742" i="2"/>
  <c r="C6570" i="2"/>
  <c r="C6479" i="2"/>
  <c r="C6386" i="2"/>
  <c r="C6282" i="2"/>
  <c r="C6187" i="2"/>
  <c r="C6094" i="2"/>
  <c r="C6009" i="2"/>
  <c r="C5920" i="2"/>
  <c r="C5821" i="2"/>
  <c r="C5733" i="2"/>
  <c r="C5662" i="2"/>
  <c r="C5565" i="2"/>
  <c r="C5477" i="2"/>
  <c r="C5378" i="2"/>
  <c r="C5303" i="2"/>
  <c r="C5221" i="2"/>
  <c r="C5130" i="2"/>
  <c r="C5038" i="2"/>
  <c r="C4951" i="2"/>
  <c r="C4886" i="2"/>
  <c r="C4799" i="2"/>
  <c r="C4710" i="2"/>
  <c r="C4625" i="2"/>
  <c r="C4554" i="2"/>
  <c r="C4471" i="2"/>
  <c r="C4387" i="2"/>
  <c r="C4296" i="2"/>
  <c r="C4211" i="2"/>
  <c r="C4147" i="2"/>
  <c r="C4074" i="2"/>
  <c r="C4010" i="2"/>
  <c r="C3937" i="2"/>
  <c r="C3865" i="2"/>
  <c r="C3804" i="2"/>
  <c r="C3731" i="2"/>
  <c r="C3662" i="2"/>
  <c r="C3596" i="2"/>
  <c r="C3525" i="2"/>
  <c r="C3463" i="2"/>
  <c r="C3388" i="2"/>
  <c r="C3325" i="2"/>
  <c r="C3255" i="2"/>
  <c r="C3180" i="2"/>
  <c r="C3124" i="2"/>
  <c r="C3061" i="2"/>
  <c r="C3007" i="2"/>
  <c r="C2950" i="2"/>
  <c r="C2889" i="2"/>
  <c r="C2846" i="2"/>
  <c r="C2780" i="2"/>
  <c r="C2733" i="2"/>
  <c r="C2675" i="2"/>
  <c r="C2614" i="2"/>
  <c r="C2566" i="2"/>
  <c r="C2506" i="2"/>
  <c r="C2453" i="2"/>
  <c r="C2402" i="2"/>
  <c r="C2345" i="2"/>
  <c r="C2302" i="2"/>
  <c r="C2246" i="2"/>
  <c r="C2197" i="2"/>
  <c r="C2142" i="2"/>
  <c r="C2089" i="2"/>
  <c r="C2042" i="2"/>
  <c r="C1986" i="2"/>
  <c r="C1939" i="2"/>
  <c r="C1886" i="2"/>
  <c r="C10829" i="2"/>
  <c r="C10441" i="2"/>
  <c r="C10088" i="2"/>
  <c r="C9706" i="2"/>
  <c r="C9392" i="2"/>
  <c r="C9147" i="2"/>
  <c r="C8906" i="2"/>
  <c r="C8676" i="2"/>
  <c r="C8459" i="2"/>
  <c r="C8243" i="2"/>
  <c r="C8038" i="2"/>
  <c r="C7838" i="2"/>
  <c r="C7635" i="2"/>
  <c r="C7442" i="2"/>
  <c r="C7240" i="2"/>
  <c r="C7106" i="2"/>
  <c r="C6904" i="2"/>
  <c r="C6740" i="2"/>
  <c r="C6566" i="2"/>
  <c r="C6472" i="2"/>
  <c r="C6377" i="2"/>
  <c r="C6281" i="2"/>
  <c r="C6180" i="2"/>
  <c r="C6082" i="2"/>
  <c r="C6008" i="2"/>
  <c r="C5917" i="2"/>
  <c r="C5819" i="2"/>
  <c r="C5730" i="2"/>
  <c r="C5650" i="2"/>
  <c r="C5564" i="2"/>
  <c r="C5476" i="2"/>
  <c r="C5377" i="2"/>
  <c r="C5295" i="2"/>
  <c r="C5220" i="2"/>
  <c r="C5121" i="2"/>
  <c r="C5035" i="2"/>
  <c r="C4948" i="2"/>
  <c r="C4870" i="2"/>
  <c r="C4795" i="2"/>
  <c r="C4708" i="2"/>
  <c r="C4623" i="2"/>
  <c r="C4535" i="2"/>
  <c r="C4469" i="2"/>
  <c r="C4385" i="2"/>
  <c r="C4294" i="2"/>
  <c r="C4209" i="2"/>
  <c r="C4139" i="2"/>
  <c r="C4073" i="2"/>
  <c r="C3994" i="2"/>
  <c r="C3933" i="2"/>
  <c r="C3864" i="2"/>
  <c r="C3802" i="2"/>
  <c r="C3725" i="2"/>
  <c r="C3657" i="2"/>
  <c r="C3594" i="2"/>
  <c r="C3524" i="2"/>
  <c r="C3459" i="2"/>
  <c r="C3387" i="2"/>
  <c r="C3315" i="2"/>
  <c r="C3254" i="2"/>
  <c r="C3179" i="2"/>
  <c r="C3119" i="2"/>
  <c r="C3055" i="2"/>
  <c r="C2996" i="2"/>
  <c r="C2947" i="2"/>
  <c r="C2888" i="2"/>
  <c r="C2838" i="2"/>
  <c r="C2778" i="2"/>
  <c r="C2717" i="2"/>
  <c r="C2673" i="2"/>
  <c r="C2607" i="2"/>
  <c r="C2562" i="2"/>
  <c r="C2502" i="2"/>
  <c r="C2445" i="2"/>
  <c r="C2401" i="2"/>
  <c r="C2344" i="2"/>
  <c r="C2296" i="2"/>
  <c r="C2241" i="2"/>
  <c r="C2187" i="2"/>
  <c r="C2141" i="2"/>
  <c r="C2085" i="2"/>
  <c r="C2037" i="2"/>
  <c r="C1983" i="2"/>
  <c r="C1926" i="2"/>
  <c r="C1885" i="2"/>
  <c r="C1829" i="2"/>
  <c r="C1781" i="2"/>
  <c r="C1725" i="2"/>
  <c r="C1668" i="2"/>
  <c r="C1627" i="2"/>
  <c r="C1571" i="2"/>
  <c r="C1522" i="2"/>
  <c r="C1469" i="2"/>
  <c r="C1412" i="2"/>
  <c r="C1364" i="2"/>
  <c r="C1313" i="2"/>
  <c r="C1270" i="2"/>
  <c r="C1221" i="2"/>
  <c r="C1170" i="2"/>
  <c r="C1128" i="2"/>
  <c r="C1076" i="2"/>
  <c r="C1034" i="2"/>
  <c r="C988" i="2"/>
  <c r="C940" i="2"/>
  <c r="C899" i="2"/>
  <c r="C852" i="2"/>
  <c r="C812" i="2"/>
  <c r="C767" i="2"/>
  <c r="C717" i="2"/>
  <c r="C678" i="2"/>
  <c r="C631" i="2"/>
  <c r="C588" i="2"/>
  <c r="C541" i="2"/>
  <c r="C494" i="2"/>
  <c r="C458" i="2"/>
  <c r="C408" i="2"/>
  <c r="C367" i="2"/>
  <c r="C322" i="2"/>
  <c r="C271" i="2"/>
  <c r="C234" i="2"/>
  <c r="C187" i="2"/>
  <c r="C146" i="2"/>
  <c r="C102" i="2"/>
  <c r="C57" i="2"/>
  <c r="C23" i="2"/>
  <c r="C569" i="2"/>
  <c r="C622" i="2"/>
  <c r="C670" i="2"/>
  <c r="C715" i="2"/>
  <c r="C771" i="2"/>
  <c r="C823" i="2"/>
  <c r="C873" i="2"/>
  <c r="C925" i="2"/>
  <c r="C973" i="2"/>
  <c r="C1018" i="2"/>
  <c r="C1073" i="2"/>
  <c r="C1133" i="2"/>
  <c r="C1190" i="2"/>
  <c r="C1246" i="2"/>
  <c r="C1298" i="2"/>
  <c r="C1345" i="2"/>
  <c r="C1405" i="2"/>
  <c r="C1468" i="2"/>
  <c r="C1530" i="2"/>
  <c r="C1590" i="2"/>
  <c r="C1646" i="2"/>
  <c r="C1701" i="2"/>
  <c r="C1761" i="2"/>
  <c r="C1821" i="2"/>
  <c r="C1890" i="2"/>
  <c r="C1956" i="2"/>
  <c r="C2023" i="2"/>
  <c r="C2103" i="2"/>
  <c r="C2170" i="2"/>
  <c r="C2231" i="2"/>
  <c r="C2308" i="2"/>
  <c r="C2373" i="2"/>
  <c r="C2434" i="2"/>
  <c r="C2510" i="2"/>
  <c r="C2579" i="2"/>
  <c r="C2652" i="2"/>
  <c r="C2741" i="2"/>
  <c r="C2810" i="2"/>
  <c r="C2879" i="2"/>
  <c r="C2958" i="2"/>
  <c r="C3027" i="2"/>
  <c r="C3102" i="2"/>
  <c r="C3204" i="2"/>
  <c r="C3288" i="2"/>
  <c r="C3377" i="2"/>
  <c r="C3473" i="2"/>
  <c r="C3557" i="2"/>
  <c r="C3642" i="2"/>
  <c r="C3739" i="2"/>
  <c r="C3827" i="2"/>
  <c r="C3908" i="2"/>
  <c r="C4017" i="2"/>
  <c r="C4106" i="2"/>
  <c r="C4200" i="2"/>
  <c r="C4316" i="2"/>
  <c r="C4422" i="2"/>
  <c r="C4523" i="2"/>
  <c r="C4657" i="2"/>
  <c r="C4751" i="2"/>
  <c r="C4846" i="2"/>
  <c r="C4979" i="2"/>
  <c r="C5079" i="2"/>
  <c r="C5185" i="2"/>
  <c r="C5324" i="2"/>
  <c r="C5428" i="2"/>
  <c r="C5530" i="2"/>
  <c r="C5668" i="2"/>
  <c r="C5777" i="2"/>
  <c r="C5884" i="2"/>
  <c r="C6018" i="2"/>
  <c r="C6127" i="2"/>
  <c r="C6257" i="2"/>
  <c r="C6393" i="2"/>
  <c r="C6513" i="2"/>
  <c r="C6704" i="2"/>
  <c r="C7017" i="2"/>
  <c r="C7316" i="2"/>
  <c r="C7561" i="2"/>
  <c r="C7940" i="2"/>
  <c r="C8231" i="2"/>
  <c r="C8580" i="2"/>
  <c r="C9005" i="2"/>
  <c r="C9296" i="2"/>
  <c r="C9871" i="2"/>
  <c r="C10387" i="2"/>
  <c r="C24" i="2"/>
  <c r="C74" i="2"/>
  <c r="C120" i="2"/>
  <c r="C162" i="2"/>
  <c r="C214" i="2"/>
  <c r="C266" i="2"/>
  <c r="C316" i="2"/>
  <c r="C370" i="2"/>
  <c r="C424" i="2"/>
  <c r="C467" i="2"/>
  <c r="C517" i="2"/>
  <c r="C571" i="2"/>
  <c r="C623" i="2"/>
  <c r="C673" i="2"/>
  <c r="C725" i="2"/>
  <c r="C772" i="2"/>
  <c r="C824" i="2"/>
  <c r="C876" i="2"/>
  <c r="C926" i="2"/>
  <c r="C978" i="2"/>
  <c r="C1022" i="2"/>
  <c r="C1077" i="2"/>
  <c r="C1138" i="2"/>
  <c r="C1191" i="2"/>
  <c r="C1247" i="2"/>
  <c r="C1300" i="2"/>
  <c r="C1346" i="2"/>
  <c r="C1410" i="2"/>
  <c r="C1470" i="2"/>
  <c r="C1531" i="2"/>
  <c r="C1591" i="2"/>
  <c r="C1652" i="2"/>
  <c r="C1702" i="2"/>
  <c r="C1762" i="2"/>
  <c r="C1823" i="2"/>
  <c r="C1896" i="2"/>
  <c r="C1957" i="2"/>
  <c r="C2024" i="2"/>
  <c r="C2109" i="2"/>
  <c r="C2172" i="2"/>
  <c r="C2236" i="2"/>
  <c r="C2309" i="2"/>
  <c r="C2374" i="2"/>
  <c r="C2438" i="2"/>
  <c r="C2520" i="2"/>
  <c r="C2595" i="2"/>
  <c r="C2659" i="2"/>
  <c r="C2742" i="2"/>
  <c r="C2812" i="2"/>
  <c r="C2881" i="2"/>
  <c r="C2963" i="2"/>
  <c r="C3028" i="2"/>
  <c r="C3103" i="2"/>
  <c r="C3209" i="2"/>
  <c r="C3292" i="2"/>
  <c r="C3380" i="2"/>
  <c r="C3476" i="2"/>
  <c r="C3560" i="2"/>
  <c r="C3646" i="2"/>
  <c r="C3752" i="2"/>
  <c r="C3836" i="2"/>
  <c r="C3921" i="2"/>
  <c r="C4022" i="2"/>
  <c r="C4108" i="2"/>
  <c r="C4203" i="2"/>
  <c r="C4328" i="2"/>
  <c r="C4427" i="2"/>
  <c r="C4524" i="2"/>
  <c r="C4659" i="2"/>
  <c r="C4755" i="2"/>
  <c r="C4854" i="2"/>
  <c r="C4980" i="2"/>
  <c r="C5081" i="2"/>
  <c r="C5188" i="2"/>
  <c r="C5328" i="2"/>
  <c r="C5431" i="2"/>
  <c r="C5532" i="2"/>
  <c r="C5673" i="2"/>
  <c r="C5778" i="2"/>
  <c r="C5895" i="2"/>
  <c r="C6022" i="2"/>
  <c r="C6130" i="2"/>
  <c r="C6272" i="2"/>
  <c r="C6395" i="2"/>
  <c r="C6526" i="2"/>
  <c r="C6772" i="2"/>
  <c r="C7019" i="2"/>
  <c r="C7322" i="2"/>
  <c r="C7591" i="2"/>
  <c r="C7943" i="2"/>
  <c r="C8289" i="2"/>
  <c r="C8595" i="2"/>
  <c r="C9013" i="2"/>
  <c r="C9307" i="2"/>
  <c r="C9874" i="2"/>
  <c r="C10479" i="2"/>
  <c r="C733" i="2"/>
  <c r="C782" i="2"/>
  <c r="C826" i="2"/>
  <c r="C878" i="2"/>
  <c r="C931" i="2"/>
  <c r="C985" i="2"/>
  <c r="C1036" i="2"/>
  <c r="C1094" i="2"/>
  <c r="C1140" i="2"/>
  <c r="C1196" i="2"/>
  <c r="C1250" i="2"/>
  <c r="C1305" i="2"/>
  <c r="C1361" i="2"/>
  <c r="C1421" i="2"/>
  <c r="C1474" i="2"/>
  <c r="C1537" i="2"/>
  <c r="C1597" i="2"/>
  <c r="C1658" i="2"/>
  <c r="C1716" i="2"/>
  <c r="C1769" i="2"/>
  <c r="C1841" i="2"/>
  <c r="C1906" i="2"/>
  <c r="C1973" i="2"/>
  <c r="C2045" i="2"/>
  <c r="C2113" i="2"/>
  <c r="C2177" i="2"/>
  <c r="C2249" i="2"/>
  <c r="C2314" i="2"/>
  <c r="C2376" i="2"/>
  <c r="C2462" i="2"/>
  <c r="C2530" i="2"/>
  <c r="C2599" i="2"/>
  <c r="C2678" i="2"/>
  <c r="C2744" i="2"/>
  <c r="C2819" i="2"/>
  <c r="C2906" i="2"/>
  <c r="C2973" i="2"/>
  <c r="C3045" i="2"/>
  <c r="C3133" i="2"/>
  <c r="C3212" i="2"/>
  <c r="C3297" i="2"/>
  <c r="C3390" i="2"/>
  <c r="C3481" i="2"/>
  <c r="C3564" i="2"/>
  <c r="C3678" i="2"/>
  <c r="C3765" i="2"/>
  <c r="C3845" i="2"/>
  <c r="C3941" i="2"/>
  <c r="C4030" i="2"/>
  <c r="C4115" i="2"/>
  <c r="C4239" i="2"/>
  <c r="C4337" i="2"/>
  <c r="C4431" i="2"/>
  <c r="C4563" i="2"/>
  <c r="C4661" i="2"/>
  <c r="C4762" i="2"/>
  <c r="C4890" i="2"/>
  <c r="C4988" i="2"/>
  <c r="C5086" i="2"/>
  <c r="C5231" i="2"/>
  <c r="C5335" i="2"/>
  <c r="C5440" i="2"/>
  <c r="C5574" i="2"/>
  <c r="C5677" i="2"/>
  <c r="C5796" i="2"/>
  <c r="C5922" i="2"/>
  <c r="C6031" i="2"/>
  <c r="C6161" i="2"/>
  <c r="C6284" i="2"/>
  <c r="C6412" i="2"/>
  <c r="C6543" i="2"/>
  <c r="C6813" i="2"/>
  <c r="C7032" i="2"/>
  <c r="C7354" i="2"/>
  <c r="C7658" i="2"/>
  <c r="C7950" i="2"/>
  <c r="C8342" i="2"/>
  <c r="C8598" i="2"/>
  <c r="C9037" i="2"/>
  <c r="C9413" i="2"/>
  <c r="C9914" i="2"/>
  <c r="C10600" i="2"/>
  <c r="C30" i="2"/>
  <c r="C77" i="2"/>
  <c r="C126" i="2"/>
  <c r="C177" i="2"/>
  <c r="C225" i="2"/>
  <c r="C270" i="2"/>
  <c r="C326" i="2"/>
  <c r="C379" i="2"/>
  <c r="C431" i="2"/>
  <c r="C482" i="2"/>
  <c r="C532" i="2"/>
  <c r="C578" i="2"/>
  <c r="C627" i="2"/>
  <c r="C682" i="2"/>
  <c r="C734" i="2"/>
  <c r="C788" i="2"/>
  <c r="C836" i="2"/>
  <c r="C879" i="2"/>
  <c r="C933" i="2"/>
  <c r="C987" i="2"/>
  <c r="C1043" i="2"/>
  <c r="C1096" i="2"/>
  <c r="C1149" i="2"/>
  <c r="C1197" i="2"/>
  <c r="C1251" i="2"/>
  <c r="C1306" i="2"/>
  <c r="C1363" i="2"/>
  <c r="C1431" i="2"/>
  <c r="C1489" i="2"/>
  <c r="C1539" i="2"/>
  <c r="C1598" i="2"/>
  <c r="C1662" i="2"/>
  <c r="C1721" i="2"/>
  <c r="C1779" i="2"/>
  <c r="C1844" i="2"/>
  <c r="C1909" i="2"/>
  <c r="C1975" i="2"/>
  <c r="C2052" i="2"/>
  <c r="C2114" i="2"/>
  <c r="C2178" i="2"/>
  <c r="C2250" i="2"/>
  <c r="C2315" i="2"/>
  <c r="C2380" i="2"/>
  <c r="C2463" i="2"/>
  <c r="C2536" i="2"/>
  <c r="C2600" i="2"/>
  <c r="C2682" i="2"/>
  <c r="C2750" i="2"/>
  <c r="C2820" i="2"/>
  <c r="C2908" i="2"/>
  <c r="C2975" i="2"/>
  <c r="C3047" i="2"/>
  <c r="C3138" i="2"/>
  <c r="C3214" i="2"/>
  <c r="C3304" i="2"/>
  <c r="C3391" i="2"/>
  <c r="C3482" i="2"/>
  <c r="C3565" i="2"/>
  <c r="C3681" i="2"/>
  <c r="C3766" i="2"/>
  <c r="C3847" i="2"/>
  <c r="C3947" i="2"/>
  <c r="C4033" i="2"/>
  <c r="C4116" i="2"/>
  <c r="C4243" i="2"/>
  <c r="C4344" i="2"/>
  <c r="C4439" i="2"/>
  <c r="C4564" i="2"/>
  <c r="C4662" i="2"/>
  <c r="C4763" i="2"/>
  <c r="C4895" i="2"/>
  <c r="C4990" i="2"/>
  <c r="C5088" i="2"/>
  <c r="C5232" i="2"/>
  <c r="C5336" i="2"/>
  <c r="C5453" i="2"/>
  <c r="C5576" i="2"/>
  <c r="C5682" i="2"/>
  <c r="C5813" i="2"/>
  <c r="C5924" i="2"/>
  <c r="C6044" i="2"/>
  <c r="C6162" i="2"/>
  <c r="C6294" i="2"/>
  <c r="C6429" i="2"/>
  <c r="C6550" i="2"/>
  <c r="C6816" i="2"/>
  <c r="C7034" i="2"/>
  <c r="C7359" i="2"/>
  <c r="C7725" i="2"/>
  <c r="C7958" i="2"/>
  <c r="C8345" i="2"/>
  <c r="C8661" i="2"/>
  <c r="C9045" i="2"/>
  <c r="C9492" i="2"/>
  <c r="C9923" i="2"/>
  <c r="C10611" i="2"/>
  <c r="C31" i="2"/>
  <c r="C81" i="2"/>
  <c r="C127" i="2"/>
  <c r="C178" i="2"/>
  <c r="C230" i="2"/>
  <c r="C281" i="2"/>
  <c r="C330" i="2"/>
  <c r="C380" i="2"/>
  <c r="C433" i="2"/>
  <c r="C485" i="2"/>
  <c r="C534" i="2"/>
  <c r="C579" i="2"/>
  <c r="C632" i="2"/>
  <c r="C685" i="2"/>
  <c r="C735" i="2"/>
  <c r="C790" i="2"/>
  <c r="C841" i="2"/>
  <c r="C881" i="2"/>
  <c r="C936" i="2"/>
  <c r="C989" i="2"/>
  <c r="C1044" i="2"/>
  <c r="C1099" i="2"/>
  <c r="C1151" i="2"/>
  <c r="C1198" i="2"/>
  <c r="C1254" i="2"/>
  <c r="C1307" i="2"/>
  <c r="C1371" i="2"/>
  <c r="C1432" i="2"/>
  <c r="C1491" i="2"/>
  <c r="C1541" i="2"/>
  <c r="C1605" i="2"/>
  <c r="C1663" i="2"/>
  <c r="C1722" i="2"/>
  <c r="C1783" i="2"/>
  <c r="C1849" i="2"/>
  <c r="C1916" i="2"/>
  <c r="C1977" i="2"/>
  <c r="C2053" i="2"/>
  <c r="C2115" i="2"/>
  <c r="C2179" i="2"/>
  <c r="C2260" i="2"/>
  <c r="C2325" i="2"/>
  <c r="C2392" i="2"/>
  <c r="C2465" i="2"/>
  <c r="C2537" i="2"/>
  <c r="C2604" i="2"/>
  <c r="C2683" i="2"/>
  <c r="C2751" i="2"/>
  <c r="C2821" i="2"/>
  <c r="C2910" i="2"/>
  <c r="C2983" i="2"/>
  <c r="C3051" i="2"/>
  <c r="C3139" i="2"/>
  <c r="C3221" i="2"/>
  <c r="C3307" i="2"/>
  <c r="C3412" i="2"/>
  <c r="C3495" i="2"/>
  <c r="C3585" i="2"/>
  <c r="C3684" i="2"/>
  <c r="C3767" i="2"/>
  <c r="C3855" i="2"/>
  <c r="C3949" i="2"/>
  <c r="C4037" i="2"/>
  <c r="C4117" i="2"/>
  <c r="C4245" i="2"/>
  <c r="C4346" i="2"/>
  <c r="C4441" i="2"/>
  <c r="C4567" i="2"/>
  <c r="C4665" i="2"/>
  <c r="C4764" i="2"/>
  <c r="C4897" i="2"/>
  <c r="C4993" i="2"/>
  <c r="C5110" i="2"/>
  <c r="C5233" i="2"/>
  <c r="C5340" i="2"/>
  <c r="C5463" i="2"/>
  <c r="C5584" i="2"/>
  <c r="C5698" i="2"/>
  <c r="C5814" i="2"/>
  <c r="C5927" i="2"/>
  <c r="C6057" i="2"/>
  <c r="C6165" i="2"/>
  <c r="C6310" i="2"/>
  <c r="C6434" i="2"/>
  <c r="C6552" i="2"/>
  <c r="C6821" i="2"/>
  <c r="C7118" i="2"/>
  <c r="C7383" i="2"/>
  <c r="C7732" i="2"/>
  <c r="C7959" i="2"/>
  <c r="C8359" i="2"/>
  <c r="C8703" i="2"/>
  <c r="C9047" i="2"/>
  <c r="C9493" i="2"/>
  <c r="C9931" i="2"/>
  <c r="C10629" i="2"/>
  <c r="C39" i="2"/>
  <c r="C82" i="2"/>
  <c r="C129" i="2"/>
  <c r="C180" i="2"/>
  <c r="C233" i="2"/>
  <c r="C289" i="2"/>
  <c r="C335" i="2"/>
  <c r="C381" i="2"/>
  <c r="C434" i="2"/>
  <c r="C486" i="2"/>
  <c r="C536" i="2"/>
  <c r="C586" i="2"/>
  <c r="C642" i="2"/>
  <c r="C686" i="2"/>
  <c r="C740" i="2"/>
  <c r="C791" i="2"/>
  <c r="C843" i="2"/>
  <c r="C891" i="2"/>
  <c r="C937" i="2"/>
  <c r="C991" i="2"/>
  <c r="C1045" i="2"/>
  <c r="C1100" i="2"/>
  <c r="C1154" i="2"/>
  <c r="C1207" i="2"/>
  <c r="C1255" i="2"/>
  <c r="C1308" i="2"/>
  <c r="C1374" i="2"/>
  <c r="C1434" i="2"/>
  <c r="C1494" i="2"/>
  <c r="C1550" i="2"/>
  <c r="C1606" i="2"/>
  <c r="C1665" i="2"/>
  <c r="C1724" i="2"/>
  <c r="C1788" i="2"/>
  <c r="C1851" i="2"/>
  <c r="C1917" i="2"/>
  <c r="C1978" i="2"/>
  <c r="C2054" i="2"/>
  <c r="C2119" i="2"/>
  <c r="C2180" i="2"/>
  <c r="C2265" i="2"/>
  <c r="C2328" i="2"/>
  <c r="C2394" i="2"/>
  <c r="C2468" i="2"/>
  <c r="C2538" i="2"/>
  <c r="C2605" i="2"/>
  <c r="C2684" i="2"/>
  <c r="C2754" i="2"/>
  <c r="C2823" i="2"/>
  <c r="C2915" i="2"/>
  <c r="C2987" i="2"/>
  <c r="C3052" i="2"/>
  <c r="C3141" i="2"/>
  <c r="C3222" i="2"/>
  <c r="C3309" i="2"/>
  <c r="C3417" i="2"/>
  <c r="C3500" i="2"/>
  <c r="C3588" i="2"/>
  <c r="C3688" i="2"/>
  <c r="C3770" i="2"/>
  <c r="C3859" i="2"/>
  <c r="C3950" i="2"/>
  <c r="C4038" i="2"/>
  <c r="C4118" i="2"/>
  <c r="C4249" i="2"/>
  <c r="C4347" i="2"/>
  <c r="C4446" i="2"/>
  <c r="C4571" i="2"/>
  <c r="C4667" i="2"/>
  <c r="C4779" i="2"/>
  <c r="C4899" i="2"/>
  <c r="C4998" i="2"/>
  <c r="C5119" i="2"/>
  <c r="C5234" i="2"/>
  <c r="C5351" i="2"/>
  <c r="C5465" i="2"/>
  <c r="C5590" i="2"/>
  <c r="C5710" i="2"/>
  <c r="C5817" i="2"/>
  <c r="C5943" i="2"/>
  <c r="C6059" i="2"/>
  <c r="C6175" i="2"/>
  <c r="C6321" i="2"/>
  <c r="C6437" i="2"/>
  <c r="C6553" i="2"/>
  <c r="C6823" i="2"/>
  <c r="C7139" i="2"/>
  <c r="C7402" i="2"/>
  <c r="C7734" i="2"/>
  <c r="C8029" i="2"/>
  <c r="C8361" i="2"/>
  <c r="C8758" i="2"/>
  <c r="C9055" i="2"/>
  <c r="C9503" i="2"/>
  <c r="C10025" i="2"/>
  <c r="C10633" i="2"/>
  <c r="F2020" i="2"/>
  <c r="F2110" i="2"/>
  <c r="F2211" i="2"/>
  <c r="F2309" i="2"/>
  <c r="F2404" i="2"/>
  <c r="F2509" i="2"/>
  <c r="F2609" i="2"/>
  <c r="F2721" i="2"/>
  <c r="F2821" i="2"/>
  <c r="F2935" i="2"/>
  <c r="F3041" i="2"/>
  <c r="F3140" i="2"/>
  <c r="F3265" i="2"/>
  <c r="F3378" i="2"/>
  <c r="F3498" i="2"/>
  <c r="F3617" i="2"/>
  <c r="F3737" i="2"/>
  <c r="F3864" i="2"/>
  <c r="F3988" i="2"/>
  <c r="F4120" i="2"/>
  <c r="F4261" i="2"/>
  <c r="F4394" i="2"/>
  <c r="F4549" i="2"/>
  <c r="F4679" i="2"/>
  <c r="F4841" i="2"/>
  <c r="F5006" i="2"/>
  <c r="F5181" i="2"/>
  <c r="F5387" i="2"/>
  <c r="F5551" i="2"/>
  <c r="F5753" i="2"/>
  <c r="F5947" i="2"/>
  <c r="F6154" i="2"/>
  <c r="F6368" i="2"/>
  <c r="F6555" i="2"/>
  <c r="F6752" i="2"/>
  <c r="F6941" i="2"/>
  <c r="F7156" i="2"/>
  <c r="F7398" i="2"/>
  <c r="F7624" i="2"/>
  <c r="F7878" i="2"/>
  <c r="F8148" i="2"/>
  <c r="F8443" i="2"/>
  <c r="F8776" i="2"/>
  <c r="F9087" i="2"/>
  <c r="F9442" i="2"/>
  <c r="F9784" i="2"/>
  <c r="F10283" i="2"/>
  <c r="F11050" i="2"/>
  <c r="F48" i="2"/>
  <c r="F108" i="2"/>
  <c r="F172" i="2"/>
  <c r="F238" i="2"/>
  <c r="F305" i="2"/>
  <c r="F366" i="2"/>
  <c r="F434" i="2"/>
  <c r="F502" i="2"/>
  <c r="F572" i="2"/>
  <c r="F630" i="2"/>
  <c r="F698" i="2"/>
  <c r="F774" i="2"/>
  <c r="F840" i="2"/>
  <c r="F908" i="2"/>
  <c r="F977" i="2"/>
  <c r="F1051" i="2"/>
  <c r="F1118" i="2"/>
  <c r="F1188" i="2"/>
  <c r="F1254" i="2"/>
  <c r="F1323" i="2"/>
  <c r="F1388" i="2"/>
  <c r="F1452" i="2"/>
  <c r="F1525" i="2"/>
  <c r="F1609" i="2"/>
  <c r="F1685" i="2"/>
  <c r="F1772" i="2"/>
  <c r="F1853" i="2"/>
  <c r="F1939" i="2"/>
  <c r="F2039" i="2"/>
  <c r="F2124" i="2"/>
  <c r="F2223" i="2"/>
  <c r="F2318" i="2"/>
  <c r="F2413" i="2"/>
  <c r="F2524" i="2"/>
  <c r="F2623" i="2"/>
  <c r="F2731" i="2"/>
  <c r="F2836" i="2"/>
  <c r="F2944" i="2"/>
  <c r="F3055" i="2"/>
  <c r="F3156" i="2"/>
  <c r="F3268" i="2"/>
  <c r="F3386" i="2"/>
  <c r="F3507" i="2"/>
  <c r="F3640" i="2"/>
  <c r="F3754" i="2"/>
  <c r="F3888" i="2"/>
  <c r="F4010" i="2"/>
  <c r="F4135" i="2"/>
  <c r="F4282" i="2"/>
  <c r="F4416" i="2"/>
  <c r="F4555" i="2"/>
  <c r="F4695" i="2"/>
  <c r="F4843" i="2"/>
  <c r="F5033" i="2"/>
  <c r="F5201" i="2"/>
  <c r="F5391" i="2"/>
  <c r="F5578" i="2"/>
  <c r="F5785" i="2"/>
  <c r="F5991" i="2"/>
  <c r="F6173" i="2"/>
  <c r="F6374" i="2"/>
  <c r="F6561" i="2"/>
  <c r="F6768" i="2"/>
  <c r="F6997" i="2"/>
  <c r="F7182" i="2"/>
  <c r="F7421" i="2"/>
  <c r="F7647" i="2"/>
  <c r="F7888" i="2"/>
  <c r="F8209" i="2"/>
  <c r="F8472" i="2"/>
  <c r="F8806" i="2"/>
  <c r="F9114" i="2"/>
  <c r="F9448" i="2"/>
  <c r="F9874" i="2"/>
  <c r="F10381" i="2"/>
  <c r="F11052" i="2"/>
  <c r="F57" i="2"/>
  <c r="F119" i="2"/>
  <c r="F178" i="2"/>
  <c r="F242" i="2"/>
  <c r="F311" i="2"/>
  <c r="F373" i="2"/>
  <c r="F438" i="2"/>
  <c r="F510" i="2"/>
  <c r="F579" i="2"/>
  <c r="F647" i="2"/>
  <c r="F720" i="2"/>
  <c r="F780" i="2"/>
  <c r="F852" i="2"/>
  <c r="F915" i="2"/>
  <c r="F985" i="2"/>
  <c r="F1054" i="2"/>
  <c r="F1124" i="2"/>
  <c r="F1195" i="2"/>
  <c r="F1259" i="2"/>
  <c r="F1329" i="2"/>
  <c r="F1398" i="2"/>
  <c r="F1468" i="2"/>
  <c r="F1538" i="2"/>
  <c r="F1624" i="2"/>
  <c r="F1701" i="2"/>
  <c r="F1776" i="2"/>
  <c r="F1874" i="2"/>
  <c r="F1948" i="2"/>
  <c r="F2042" i="2"/>
  <c r="F2137" i="2"/>
  <c r="F2229" i="2"/>
  <c r="F2337" i="2"/>
  <c r="F2431" i="2"/>
  <c r="F2531" i="2"/>
  <c r="F2637" i="2"/>
  <c r="F2740" i="2"/>
  <c r="F2858" i="2"/>
  <c r="F2959" i="2"/>
  <c r="F3064" i="2"/>
  <c r="F3168" i="2"/>
  <c r="F3279" i="2"/>
  <c r="F3417" i="2"/>
  <c r="F3528" i="2"/>
  <c r="F3651" i="2"/>
  <c r="F3773" i="2"/>
  <c r="F3891" i="2"/>
  <c r="F4032" i="2"/>
  <c r="F4155" i="2"/>
  <c r="F4298" i="2"/>
  <c r="F4430" i="2"/>
  <c r="F4570" i="2"/>
  <c r="F4721" i="2"/>
  <c r="F4887" i="2"/>
  <c r="F5057" i="2"/>
  <c r="F5245" i="2"/>
  <c r="F5415" i="2"/>
  <c r="F5622" i="2"/>
  <c r="F5799" i="2"/>
  <c r="F6007" i="2"/>
  <c r="F6193" i="2"/>
  <c r="F6385" i="2"/>
  <c r="F6615" i="2"/>
  <c r="F6785" i="2"/>
  <c r="F7003" i="2"/>
  <c r="F7201" i="2"/>
  <c r="F7434" i="2"/>
  <c r="F7702" i="2"/>
  <c r="F7928" i="2"/>
  <c r="F8227" i="2"/>
  <c r="F8503" i="2"/>
  <c r="F8818" i="2"/>
  <c r="F9194" i="2"/>
  <c r="F9480" i="2"/>
  <c r="F9926" i="2"/>
  <c r="F11049" i="2"/>
  <c r="F11033" i="2"/>
  <c r="F11017" i="2"/>
  <c r="F11001" i="2"/>
  <c r="F10985" i="2"/>
  <c r="F10969" i="2"/>
  <c r="F10953" i="2"/>
  <c r="F10937" i="2"/>
  <c r="F10921" i="2"/>
  <c r="F10905" i="2"/>
  <c r="F10889" i="2"/>
  <c r="F10873" i="2"/>
  <c r="F10857" i="2"/>
  <c r="F10841" i="2"/>
  <c r="F10825" i="2"/>
  <c r="F10809" i="2"/>
  <c r="F10793" i="2"/>
  <c r="F10777" i="2"/>
  <c r="F10761" i="2"/>
  <c r="F10745" i="2"/>
  <c r="F10729" i="2"/>
  <c r="F10713" i="2"/>
  <c r="F10697" i="2"/>
  <c r="F10681" i="2"/>
  <c r="F10665" i="2"/>
  <c r="F10649" i="2"/>
  <c r="F10633" i="2"/>
  <c r="F10617" i="2"/>
  <c r="F10601" i="2"/>
  <c r="F10585" i="2"/>
  <c r="F10569" i="2"/>
  <c r="F10553" i="2"/>
  <c r="F10537" i="2"/>
  <c r="F10521" i="2"/>
  <c r="F10505" i="2"/>
  <c r="F10489" i="2"/>
  <c r="F10473" i="2"/>
  <c r="F10457" i="2"/>
  <c r="F10441" i="2"/>
  <c r="F10425" i="2"/>
  <c r="F10409" i="2"/>
  <c r="F10393" i="2"/>
  <c r="F10377" i="2"/>
  <c r="F10361" i="2"/>
  <c r="F10345" i="2"/>
  <c r="F10329" i="2"/>
  <c r="F10313" i="2"/>
  <c r="F10297" i="2"/>
  <c r="F10281" i="2"/>
  <c r="F10265" i="2"/>
  <c r="F10249" i="2"/>
  <c r="F10233" i="2"/>
  <c r="F10217" i="2"/>
  <c r="F10201" i="2"/>
  <c r="F10185" i="2"/>
  <c r="F10169" i="2"/>
  <c r="F10153" i="2"/>
  <c r="F10137" i="2"/>
  <c r="F10121" i="2"/>
  <c r="F10105" i="2"/>
  <c r="F10089" i="2"/>
  <c r="F10073" i="2"/>
  <c r="F10057" i="2"/>
  <c r="F10041" i="2"/>
  <c r="F10025" i="2"/>
  <c r="F10009" i="2"/>
  <c r="F9993" i="2"/>
  <c r="F9977" i="2"/>
  <c r="F9961" i="2"/>
  <c r="F9945" i="2"/>
  <c r="F9929" i="2"/>
  <c r="F9913" i="2"/>
  <c r="F9897" i="2"/>
  <c r="F9881" i="2"/>
  <c r="F9865" i="2"/>
  <c r="F9849" i="2"/>
  <c r="F9833" i="2"/>
  <c r="F9817" i="2"/>
  <c r="F9801" i="2"/>
  <c r="F9785" i="2"/>
  <c r="F9769" i="2"/>
  <c r="F9753" i="2"/>
  <c r="F9737" i="2"/>
  <c r="F9721" i="2"/>
  <c r="F9705" i="2"/>
  <c r="F11047" i="2"/>
  <c r="F11031" i="2"/>
  <c r="F11015" i="2"/>
  <c r="F10999" i="2"/>
  <c r="F10983" i="2"/>
  <c r="F10967" i="2"/>
  <c r="F10951" i="2"/>
  <c r="F10935" i="2"/>
  <c r="F10919" i="2"/>
  <c r="F10903" i="2"/>
  <c r="F10887" i="2"/>
  <c r="F10871" i="2"/>
  <c r="F10855" i="2"/>
  <c r="F10839" i="2"/>
  <c r="F10823" i="2"/>
  <c r="F10807" i="2"/>
  <c r="F10791" i="2"/>
  <c r="F10775" i="2"/>
  <c r="F10759" i="2"/>
  <c r="F10743" i="2"/>
  <c r="F10727" i="2"/>
  <c r="F10711" i="2"/>
  <c r="F10695" i="2"/>
  <c r="F10679" i="2"/>
  <c r="F10663" i="2"/>
  <c r="F10647" i="2"/>
  <c r="F10631" i="2"/>
  <c r="F10615" i="2"/>
  <c r="F10599" i="2"/>
  <c r="F10583" i="2"/>
  <c r="F10567" i="2"/>
  <c r="F10551" i="2"/>
  <c r="F10535" i="2"/>
  <c r="F10519" i="2"/>
  <c r="F10503" i="2"/>
  <c r="F10487" i="2"/>
  <c r="F10471" i="2"/>
  <c r="F10455" i="2"/>
  <c r="F10439" i="2"/>
  <c r="F10423" i="2"/>
  <c r="F10407" i="2"/>
  <c r="F10391" i="2"/>
  <c r="F10375" i="2"/>
  <c r="F10359" i="2"/>
  <c r="F10343" i="2"/>
  <c r="F10327" i="2"/>
  <c r="F10311" i="2"/>
  <c r="F10295" i="2"/>
  <c r="F10279" i="2"/>
  <c r="F10263" i="2"/>
  <c r="F10247" i="2"/>
  <c r="F10231" i="2"/>
  <c r="F10215" i="2"/>
  <c r="F10199" i="2"/>
  <c r="F10183" i="2"/>
  <c r="F10167" i="2"/>
  <c r="F10151" i="2"/>
  <c r="F10135" i="2"/>
  <c r="F10119" i="2"/>
  <c r="F10103" i="2"/>
  <c r="F10087" i="2"/>
  <c r="F10071" i="2"/>
  <c r="F10055" i="2"/>
  <c r="F10039" i="2"/>
  <c r="F10023" i="2"/>
  <c r="F10007" i="2"/>
  <c r="F9991" i="2"/>
  <c r="F9975" i="2"/>
  <c r="F9959" i="2"/>
  <c r="F9943" i="2"/>
  <c r="F9927" i="2"/>
  <c r="F9911" i="2"/>
  <c r="F9895" i="2"/>
  <c r="F9879" i="2"/>
  <c r="F9863" i="2"/>
  <c r="F9847" i="2"/>
  <c r="F9831" i="2"/>
  <c r="F9815" i="2"/>
  <c r="F9799" i="2"/>
  <c r="F9783" i="2"/>
  <c r="F9767" i="2"/>
  <c r="F9751" i="2"/>
  <c r="F9735" i="2"/>
  <c r="F9719" i="2"/>
  <c r="F9703" i="2"/>
  <c r="F11041" i="2"/>
  <c r="F11025" i="2"/>
  <c r="F11009" i="2"/>
  <c r="F10993" i="2"/>
  <c r="F10977" i="2"/>
  <c r="F10961" i="2"/>
  <c r="F10945" i="2"/>
  <c r="F10929" i="2"/>
  <c r="F10913" i="2"/>
  <c r="F10897" i="2"/>
  <c r="F10881" i="2"/>
  <c r="F10865" i="2"/>
  <c r="F10849" i="2"/>
  <c r="F10833" i="2"/>
  <c r="F10817" i="2"/>
  <c r="F10801" i="2"/>
  <c r="F10785" i="2"/>
  <c r="F10769" i="2"/>
  <c r="F10753" i="2"/>
  <c r="F10737" i="2"/>
  <c r="F10721" i="2"/>
  <c r="F10705" i="2"/>
  <c r="F10689" i="2"/>
  <c r="F10673" i="2"/>
  <c r="F10657" i="2"/>
  <c r="F10641" i="2"/>
  <c r="F10625" i="2"/>
  <c r="F10609" i="2"/>
  <c r="F10593" i="2"/>
  <c r="F10577" i="2"/>
  <c r="F10561" i="2"/>
  <c r="F10545" i="2"/>
  <c r="F10529" i="2"/>
  <c r="F10513" i="2"/>
  <c r="F10497" i="2"/>
  <c r="F10481" i="2"/>
  <c r="F10465" i="2"/>
  <c r="F10449" i="2"/>
  <c r="F10433" i="2"/>
  <c r="F10417" i="2"/>
  <c r="F10401" i="2"/>
  <c r="F10385" i="2"/>
  <c r="F10369" i="2"/>
  <c r="F10353" i="2"/>
  <c r="F10337" i="2"/>
  <c r="F10321" i="2"/>
  <c r="F10305" i="2"/>
  <c r="F10289" i="2"/>
  <c r="F10273" i="2"/>
  <c r="F10257" i="2"/>
  <c r="F10241" i="2"/>
  <c r="F10225" i="2"/>
  <c r="F10209" i="2"/>
  <c r="F10193" i="2"/>
  <c r="F10177" i="2"/>
  <c r="F10161" i="2"/>
  <c r="F10145" i="2"/>
  <c r="F10129" i="2"/>
  <c r="F10113" i="2"/>
  <c r="F10097" i="2"/>
  <c r="F10081" i="2"/>
  <c r="F10065" i="2"/>
  <c r="F10049" i="2"/>
  <c r="F10033" i="2"/>
  <c r="F10017" i="2"/>
  <c r="F10001" i="2"/>
  <c r="F9985" i="2"/>
  <c r="F9969" i="2"/>
  <c r="F9953" i="2"/>
  <c r="F9937" i="2"/>
  <c r="F9921" i="2"/>
  <c r="F9905" i="2"/>
  <c r="F9889" i="2"/>
  <c r="F9873" i="2"/>
  <c r="F9857" i="2"/>
  <c r="F9841" i="2"/>
  <c r="F9825" i="2"/>
  <c r="F9809" i="2"/>
  <c r="F9793" i="2"/>
  <c r="F9777" i="2"/>
  <c r="F9761" i="2"/>
  <c r="F9745" i="2"/>
  <c r="F9729" i="2"/>
  <c r="F9713" i="2"/>
  <c r="F9697" i="2"/>
  <c r="F11040" i="2"/>
  <c r="F11024" i="2"/>
  <c r="F11008" i="2"/>
  <c r="F10992" i="2"/>
  <c r="F10976" i="2"/>
  <c r="F10960" i="2"/>
  <c r="F10944" i="2"/>
  <c r="F10928" i="2"/>
  <c r="F10912" i="2"/>
  <c r="F10896" i="2"/>
  <c r="F10880" i="2"/>
  <c r="F10864" i="2"/>
  <c r="F10848" i="2"/>
  <c r="F10832" i="2"/>
  <c r="F10816" i="2"/>
  <c r="F10800" i="2"/>
  <c r="F10784" i="2"/>
  <c r="F10768" i="2"/>
  <c r="F10752" i="2"/>
  <c r="F10736" i="2"/>
  <c r="F10720" i="2"/>
  <c r="F10704" i="2"/>
  <c r="F10688" i="2"/>
  <c r="F10672" i="2"/>
  <c r="F10656" i="2"/>
  <c r="F10640" i="2"/>
  <c r="F10624" i="2"/>
  <c r="F10608" i="2"/>
  <c r="F10592" i="2"/>
  <c r="F10576" i="2"/>
  <c r="F10560" i="2"/>
  <c r="F10544" i="2"/>
  <c r="F10528" i="2"/>
  <c r="F10512" i="2"/>
  <c r="F10496" i="2"/>
  <c r="F10480" i="2"/>
  <c r="F10464" i="2"/>
  <c r="F10448" i="2"/>
  <c r="F10432" i="2"/>
  <c r="F10416" i="2"/>
  <c r="F10400" i="2"/>
  <c r="F10384" i="2"/>
  <c r="F10368" i="2"/>
  <c r="F10352" i="2"/>
  <c r="F10336" i="2"/>
  <c r="F10320" i="2"/>
  <c r="F10304" i="2"/>
  <c r="F10288" i="2"/>
  <c r="F10272" i="2"/>
  <c r="F10256" i="2"/>
  <c r="F10240" i="2"/>
  <c r="F10224" i="2"/>
  <c r="F10208" i="2"/>
  <c r="F10192" i="2"/>
  <c r="F10176" i="2"/>
  <c r="F10160" i="2"/>
  <c r="F10144" i="2"/>
  <c r="F10128" i="2"/>
  <c r="F10112" i="2"/>
  <c r="F10096" i="2"/>
  <c r="F10080" i="2"/>
  <c r="F10064" i="2"/>
  <c r="F10048" i="2"/>
  <c r="F10032" i="2"/>
  <c r="F10016" i="2"/>
  <c r="F10000" i="2"/>
  <c r="F9984" i="2"/>
  <c r="F9968" i="2"/>
  <c r="F9952" i="2"/>
  <c r="F9936" i="2"/>
  <c r="F9920" i="2"/>
  <c r="F9904" i="2"/>
  <c r="F9888" i="2"/>
  <c r="F9872" i="2"/>
  <c r="F9856" i="2"/>
  <c r="F9840" i="2"/>
  <c r="F9824" i="2"/>
  <c r="F9808" i="2"/>
  <c r="F9792" i="2"/>
  <c r="F9776" i="2"/>
  <c r="F9760" i="2"/>
  <c r="F9744" i="2"/>
  <c r="F9728" i="2"/>
  <c r="F9712" i="2"/>
  <c r="F9696" i="2"/>
  <c r="F11039" i="2"/>
  <c r="F11023" i="2"/>
  <c r="F11007" i="2"/>
  <c r="F10991" i="2"/>
  <c r="F10975" i="2"/>
  <c r="F10959" i="2"/>
  <c r="F10943" i="2"/>
  <c r="F10927" i="2"/>
  <c r="F10911" i="2"/>
  <c r="F10895" i="2"/>
  <c r="F10879" i="2"/>
  <c r="F10863" i="2"/>
  <c r="F10847" i="2"/>
  <c r="F10831" i="2"/>
  <c r="F10815" i="2"/>
  <c r="F10799" i="2"/>
  <c r="F10783" i="2"/>
  <c r="F10767" i="2"/>
  <c r="F10751" i="2"/>
  <c r="F10735" i="2"/>
  <c r="F10719" i="2"/>
  <c r="F10703" i="2"/>
  <c r="F10687" i="2"/>
  <c r="F10671" i="2"/>
  <c r="F10655" i="2"/>
  <c r="F10639" i="2"/>
  <c r="F10623" i="2"/>
  <c r="F10607" i="2"/>
  <c r="F10591" i="2"/>
  <c r="F10575" i="2"/>
  <c r="F10559" i="2"/>
  <c r="F10543" i="2"/>
  <c r="F10527" i="2"/>
  <c r="F10511" i="2"/>
  <c r="F10495" i="2"/>
  <c r="F10479" i="2"/>
  <c r="F10463" i="2"/>
  <c r="F10447" i="2"/>
  <c r="F10431" i="2"/>
  <c r="F10415" i="2"/>
  <c r="F10399" i="2"/>
  <c r="F10383" i="2"/>
  <c r="F10367" i="2"/>
  <c r="F10351" i="2"/>
  <c r="F10335" i="2"/>
  <c r="F10319" i="2"/>
  <c r="F10303" i="2"/>
  <c r="F10287" i="2"/>
  <c r="F10271" i="2"/>
  <c r="F10255" i="2"/>
  <c r="F10239" i="2"/>
  <c r="F10223" i="2"/>
  <c r="F10207" i="2"/>
  <c r="F10191" i="2"/>
  <c r="F10175" i="2"/>
  <c r="F10159" i="2"/>
  <c r="F10143" i="2"/>
  <c r="F10127" i="2"/>
  <c r="F10111" i="2"/>
  <c r="F10095" i="2"/>
  <c r="F10079" i="2"/>
  <c r="F10063" i="2"/>
  <c r="F10047" i="2"/>
  <c r="F10031" i="2"/>
  <c r="F10015" i="2"/>
  <c r="F9999" i="2"/>
  <c r="F9983" i="2"/>
  <c r="F9967" i="2"/>
  <c r="F9951" i="2"/>
  <c r="F9935" i="2"/>
  <c r="F9919" i="2"/>
  <c r="F9903" i="2"/>
  <c r="F9887" i="2"/>
  <c r="F9871" i="2"/>
  <c r="F9855" i="2"/>
  <c r="F9839" i="2"/>
  <c r="F9823" i="2"/>
  <c r="F9807" i="2"/>
  <c r="F9791" i="2"/>
  <c r="F9775" i="2"/>
  <c r="F9759" i="2"/>
  <c r="F9743" i="2"/>
  <c r="F9727" i="2"/>
  <c r="F9711" i="2"/>
  <c r="F9695" i="2"/>
  <c r="F11048" i="2"/>
  <c r="F11026" i="2"/>
  <c r="F11002" i="2"/>
  <c r="F10979" i="2"/>
  <c r="F10955" i="2"/>
  <c r="F10932" i="2"/>
  <c r="F10908" i="2"/>
  <c r="F10885" i="2"/>
  <c r="F10861" i="2"/>
  <c r="F10838" i="2"/>
  <c r="F10814" i="2"/>
  <c r="F10792" i="2"/>
  <c r="F10770" i="2"/>
  <c r="F10746" i="2"/>
  <c r="F10723" i="2"/>
  <c r="F10699" i="2"/>
  <c r="F10676" i="2"/>
  <c r="F10652" i="2"/>
  <c r="F10629" i="2"/>
  <c r="F10605" i="2"/>
  <c r="F10582" i="2"/>
  <c r="F10558" i="2"/>
  <c r="F10536" i="2"/>
  <c r="F10514" i="2"/>
  <c r="F10490" i="2"/>
  <c r="F10467" i="2"/>
  <c r="F10443" i="2"/>
  <c r="F10420" i="2"/>
  <c r="F10396" i="2"/>
  <c r="F10373" i="2"/>
  <c r="F10349" i="2"/>
  <c r="F10326" i="2"/>
  <c r="F10302" i="2"/>
  <c r="F10280" i="2"/>
  <c r="F10258" i="2"/>
  <c r="F10234" i="2"/>
  <c r="F10211" i="2"/>
  <c r="F10187" i="2"/>
  <c r="F10164" i="2"/>
  <c r="F10140" i="2"/>
  <c r="F10117" i="2"/>
  <c r="F10093" i="2"/>
  <c r="F10070" i="2"/>
  <c r="F10046" i="2"/>
  <c r="F10024" i="2"/>
  <c r="F10002" i="2"/>
  <c r="F9978" i="2"/>
  <c r="F9955" i="2"/>
  <c r="F9931" i="2"/>
  <c r="F9908" i="2"/>
  <c r="F9884" i="2"/>
  <c r="F9861" i="2"/>
  <c r="F9837" i="2"/>
  <c r="F9814" i="2"/>
  <c r="F9790" i="2"/>
  <c r="F9768" i="2"/>
  <c r="F9746" i="2"/>
  <c r="F9722" i="2"/>
  <c r="F9699" i="2"/>
  <c r="F9680" i="2"/>
  <c r="F9664" i="2"/>
  <c r="F9648" i="2"/>
  <c r="F9632" i="2"/>
  <c r="F9616" i="2"/>
  <c r="F9600" i="2"/>
  <c r="F9584" i="2"/>
  <c r="F9568" i="2"/>
  <c r="F9552" i="2"/>
  <c r="F9536" i="2"/>
  <c r="F9520" i="2"/>
  <c r="F9504" i="2"/>
  <c r="F9488" i="2"/>
  <c r="F9472" i="2"/>
  <c r="F9456" i="2"/>
  <c r="F9440" i="2"/>
  <c r="F9424" i="2"/>
  <c r="F9408" i="2"/>
  <c r="F9392" i="2"/>
  <c r="F9376" i="2"/>
  <c r="F9360" i="2"/>
  <c r="F9344" i="2"/>
  <c r="F9328" i="2"/>
  <c r="F9312" i="2"/>
  <c r="F9296" i="2"/>
  <c r="F9280" i="2"/>
  <c r="F9264" i="2"/>
  <c r="F9248" i="2"/>
  <c r="F9232" i="2"/>
  <c r="F9216" i="2"/>
  <c r="F9200" i="2"/>
  <c r="F9184" i="2"/>
  <c r="F9168" i="2"/>
  <c r="F9152" i="2"/>
  <c r="F9136" i="2"/>
  <c r="F9120" i="2"/>
  <c r="F9104" i="2"/>
  <c r="F9088" i="2"/>
  <c r="F9072" i="2"/>
  <c r="F9056" i="2"/>
  <c r="F9040" i="2"/>
  <c r="F9024" i="2"/>
  <c r="F9008" i="2"/>
  <c r="F8992" i="2"/>
  <c r="F8976" i="2"/>
  <c r="F8960" i="2"/>
  <c r="F8944" i="2"/>
  <c r="F8928" i="2"/>
  <c r="F8912" i="2"/>
  <c r="F8896" i="2"/>
  <c r="F8880" i="2"/>
  <c r="F8864" i="2"/>
  <c r="F8848" i="2"/>
  <c r="F8832" i="2"/>
  <c r="F8816" i="2"/>
  <c r="F8800" i="2"/>
  <c r="F8784" i="2"/>
  <c r="F8768" i="2"/>
  <c r="F8752" i="2"/>
  <c r="F8736" i="2"/>
  <c r="F8720" i="2"/>
  <c r="F8704" i="2"/>
  <c r="F8688" i="2"/>
  <c r="F8672" i="2"/>
  <c r="F8656" i="2"/>
  <c r="F8640" i="2"/>
  <c r="F8624" i="2"/>
  <c r="F8608" i="2"/>
  <c r="F8592" i="2"/>
  <c r="F8576" i="2"/>
  <c r="F8560" i="2"/>
  <c r="F8544" i="2"/>
  <c r="F8528" i="2"/>
  <c r="F8512" i="2"/>
  <c r="F8496" i="2"/>
  <c r="F8480" i="2"/>
  <c r="F8464" i="2"/>
  <c r="F8448" i="2"/>
  <c r="F8432" i="2"/>
  <c r="F8416" i="2"/>
  <c r="F8400" i="2"/>
  <c r="F8384" i="2"/>
  <c r="F8368" i="2"/>
  <c r="F8352" i="2"/>
  <c r="F8336" i="2"/>
  <c r="F8320" i="2"/>
  <c r="F8304" i="2"/>
  <c r="F8288" i="2"/>
  <c r="F8272" i="2"/>
  <c r="F8256" i="2"/>
  <c r="F8240" i="2"/>
  <c r="F8224" i="2"/>
  <c r="F8208" i="2"/>
  <c r="F8192" i="2"/>
  <c r="F8176" i="2"/>
  <c r="F8160" i="2"/>
  <c r="F8144" i="2"/>
  <c r="F8128" i="2"/>
  <c r="F8112" i="2"/>
  <c r="F8096" i="2"/>
  <c r="F8080" i="2"/>
  <c r="F8064" i="2"/>
  <c r="F8048" i="2"/>
  <c r="F8032" i="2"/>
  <c r="F8016" i="2"/>
  <c r="F8000" i="2"/>
  <c r="F7984" i="2"/>
  <c r="F7968" i="2"/>
  <c r="F7952" i="2"/>
  <c r="F7936" i="2"/>
  <c r="F7920" i="2"/>
  <c r="F11045" i="2"/>
  <c r="F11021" i="2"/>
  <c r="F10998" i="2"/>
  <c r="F10974" i="2"/>
  <c r="F10952" i="2"/>
  <c r="F10930" i="2"/>
  <c r="F10906" i="2"/>
  <c r="F10883" i="2"/>
  <c r="F10859" i="2"/>
  <c r="F10836" i="2"/>
  <c r="F10812" i="2"/>
  <c r="F10789" i="2"/>
  <c r="F10765" i="2"/>
  <c r="F10742" i="2"/>
  <c r="F10718" i="2"/>
  <c r="F10696" i="2"/>
  <c r="F10674" i="2"/>
  <c r="F10650" i="2"/>
  <c r="F10627" i="2"/>
  <c r="F10603" i="2"/>
  <c r="F10580" i="2"/>
  <c r="F10556" i="2"/>
  <c r="F10533" i="2"/>
  <c r="F10509" i="2"/>
  <c r="F10486" i="2"/>
  <c r="F10462" i="2"/>
  <c r="F10440" i="2"/>
  <c r="F10418" i="2"/>
  <c r="F10394" i="2"/>
  <c r="F10371" i="2"/>
  <c r="F10347" i="2"/>
  <c r="F10324" i="2"/>
  <c r="F10300" i="2"/>
  <c r="F10277" i="2"/>
  <c r="F10253" i="2"/>
  <c r="F10230" i="2"/>
  <c r="F10206" i="2"/>
  <c r="F10184" i="2"/>
  <c r="F10162" i="2"/>
  <c r="F10138" i="2"/>
  <c r="F10115" i="2"/>
  <c r="F10091" i="2"/>
  <c r="F10068" i="2"/>
  <c r="F10044" i="2"/>
  <c r="F10021" i="2"/>
  <c r="F9997" i="2"/>
  <c r="F9974" i="2"/>
  <c r="F9950" i="2"/>
  <c r="F9928" i="2"/>
  <c r="F9906" i="2"/>
  <c r="F9882" i="2"/>
  <c r="F9859" i="2"/>
  <c r="F9835" i="2"/>
  <c r="F9812" i="2"/>
  <c r="F9788" i="2"/>
  <c r="F9765" i="2"/>
  <c r="F9741" i="2"/>
  <c r="F9718" i="2"/>
  <c r="F9694" i="2"/>
  <c r="F9678" i="2"/>
  <c r="F9662" i="2"/>
  <c r="F9646" i="2"/>
  <c r="F9630" i="2"/>
  <c r="F9614" i="2"/>
  <c r="F9598" i="2"/>
  <c r="F9582" i="2"/>
  <c r="F9566" i="2"/>
  <c r="F9550" i="2"/>
  <c r="F9534" i="2"/>
  <c r="F9518" i="2"/>
  <c r="F9502" i="2"/>
  <c r="F9486" i="2"/>
  <c r="F9470" i="2"/>
  <c r="F9454" i="2"/>
  <c r="F9438" i="2"/>
  <c r="F9422" i="2"/>
  <c r="F9406" i="2"/>
  <c r="F9390" i="2"/>
  <c r="F9374" i="2"/>
  <c r="F9358" i="2"/>
  <c r="F9342" i="2"/>
  <c r="F9326" i="2"/>
  <c r="F9310" i="2"/>
  <c r="F9294" i="2"/>
  <c r="F9278" i="2"/>
  <c r="F9262" i="2"/>
  <c r="F9246" i="2"/>
  <c r="F9230" i="2"/>
  <c r="F9214" i="2"/>
  <c r="F9198" i="2"/>
  <c r="F9182" i="2"/>
  <c r="F9166" i="2"/>
  <c r="F9150" i="2"/>
  <c r="F9134" i="2"/>
  <c r="F9118" i="2"/>
  <c r="F9102" i="2"/>
  <c r="F9086" i="2"/>
  <c r="F9070" i="2"/>
  <c r="F9054" i="2"/>
  <c r="F9038" i="2"/>
  <c r="F9022" i="2"/>
  <c r="F9006" i="2"/>
  <c r="F8990" i="2"/>
  <c r="F8974" i="2"/>
  <c r="F8958" i="2"/>
  <c r="F8942" i="2"/>
  <c r="F8926" i="2"/>
  <c r="F8910" i="2"/>
  <c r="F8894" i="2"/>
  <c r="F8878" i="2"/>
  <c r="F8862" i="2"/>
  <c r="F8846" i="2"/>
  <c r="F8830" i="2"/>
  <c r="F8814" i="2"/>
  <c r="F8798" i="2"/>
  <c r="F8782" i="2"/>
  <c r="F8766" i="2"/>
  <c r="F8750" i="2"/>
  <c r="F8734" i="2"/>
  <c r="F8718" i="2"/>
  <c r="F8702" i="2"/>
  <c r="F8686" i="2"/>
  <c r="F8670" i="2"/>
  <c r="F8654" i="2"/>
  <c r="F8638" i="2"/>
  <c r="F8622" i="2"/>
  <c r="F8606" i="2"/>
  <c r="F8590" i="2"/>
  <c r="F8574" i="2"/>
  <c r="F8558" i="2"/>
  <c r="F8542" i="2"/>
  <c r="F8526" i="2"/>
  <c r="F8510" i="2"/>
  <c r="F8494" i="2"/>
  <c r="F8478" i="2"/>
  <c r="F8462" i="2"/>
  <c r="F8446" i="2"/>
  <c r="F8430" i="2"/>
  <c r="F8414" i="2"/>
  <c r="F8398" i="2"/>
  <c r="F8382" i="2"/>
  <c r="F8366" i="2"/>
  <c r="F8350" i="2"/>
  <c r="F8334" i="2"/>
  <c r="F8318" i="2"/>
  <c r="F8302" i="2"/>
  <c r="F8286" i="2"/>
  <c r="F8270" i="2"/>
  <c r="F8254" i="2"/>
  <c r="F8238" i="2"/>
  <c r="F8222" i="2"/>
  <c r="F8206" i="2"/>
  <c r="F8190" i="2"/>
  <c r="F8174" i="2"/>
  <c r="F8158" i="2"/>
  <c r="F8142" i="2"/>
  <c r="F8126" i="2"/>
  <c r="F8110" i="2"/>
  <c r="F8094" i="2"/>
  <c r="F8078" i="2"/>
  <c r="F8062" i="2"/>
  <c r="F8046" i="2"/>
  <c r="F8030" i="2"/>
  <c r="F8014" i="2"/>
  <c r="F7998" i="2"/>
  <c r="F7982" i="2"/>
  <c r="F7966" i="2"/>
  <c r="F7950" i="2"/>
  <c r="F7934" i="2"/>
  <c r="F11035" i="2"/>
  <c r="F11012" i="2"/>
  <c r="F10988" i="2"/>
  <c r="F10965" i="2"/>
  <c r="F10941" i="2"/>
  <c r="F10918" i="2"/>
  <c r="F10894" i="2"/>
  <c r="F10872" i="2"/>
  <c r="F10850" i="2"/>
  <c r="F10826" i="2"/>
  <c r="F10803" i="2"/>
  <c r="F10779" i="2"/>
  <c r="F10756" i="2"/>
  <c r="F10732" i="2"/>
  <c r="F10709" i="2"/>
  <c r="F10685" i="2"/>
  <c r="F10662" i="2"/>
  <c r="F10638" i="2"/>
  <c r="F10616" i="2"/>
  <c r="F10594" i="2"/>
  <c r="F10570" i="2"/>
  <c r="F10547" i="2"/>
  <c r="F10523" i="2"/>
  <c r="F10500" i="2"/>
  <c r="F10476" i="2"/>
  <c r="F10453" i="2"/>
  <c r="F10429" i="2"/>
  <c r="F10406" i="2"/>
  <c r="F10382" i="2"/>
  <c r="F10360" i="2"/>
  <c r="F10338" i="2"/>
  <c r="F10314" i="2"/>
  <c r="F10291" i="2"/>
  <c r="F10267" i="2"/>
  <c r="F10244" i="2"/>
  <c r="F11053" i="2"/>
  <c r="F11030" i="2"/>
  <c r="F11006" i="2"/>
  <c r="F10984" i="2"/>
  <c r="F10962" i="2"/>
  <c r="F10938" i="2"/>
  <c r="F10915" i="2"/>
  <c r="F10891" i="2"/>
  <c r="F10868" i="2"/>
  <c r="F10844" i="2"/>
  <c r="F10821" i="2"/>
  <c r="F10797" i="2"/>
  <c r="F10774" i="2"/>
  <c r="F10750" i="2"/>
  <c r="F10728" i="2"/>
  <c r="F10706" i="2"/>
  <c r="F10682" i="2"/>
  <c r="F10659" i="2"/>
  <c r="F10635" i="2"/>
  <c r="F10612" i="2"/>
  <c r="F10588" i="2"/>
  <c r="F10565" i="2"/>
  <c r="F10541" i="2"/>
  <c r="F10518" i="2"/>
  <c r="F10494" i="2"/>
  <c r="F10472" i="2"/>
  <c r="F10450" i="2"/>
  <c r="F10426" i="2"/>
  <c r="F10403" i="2"/>
  <c r="F10379" i="2"/>
  <c r="F10356" i="2"/>
  <c r="F10332" i="2"/>
  <c r="F10309" i="2"/>
  <c r="F10285" i="2"/>
  <c r="F10262" i="2"/>
  <c r="F10238" i="2"/>
  <c r="F10216" i="2"/>
  <c r="F10194" i="2"/>
  <c r="F10170" i="2"/>
  <c r="F10147" i="2"/>
  <c r="F10123" i="2"/>
  <c r="F10100" i="2"/>
  <c r="F10076" i="2"/>
  <c r="F10053" i="2"/>
  <c r="F10029" i="2"/>
  <c r="F10006" i="2"/>
  <c r="F9982" i="2"/>
  <c r="F9960" i="2"/>
  <c r="F9938" i="2"/>
  <c r="F9914" i="2"/>
  <c r="F9891" i="2"/>
  <c r="F9867" i="2"/>
  <c r="F9844" i="2"/>
  <c r="F9820" i="2"/>
  <c r="F9797" i="2"/>
  <c r="F9773" i="2"/>
  <c r="F9750" i="2"/>
  <c r="F11032" i="2"/>
  <c r="F11000" i="2"/>
  <c r="F10970" i="2"/>
  <c r="F10939" i="2"/>
  <c r="F10907" i="2"/>
  <c r="F10876" i="2"/>
  <c r="F10845" i="2"/>
  <c r="F10813" i="2"/>
  <c r="F10782" i="2"/>
  <c r="F10754" i="2"/>
  <c r="F10722" i="2"/>
  <c r="F10691" i="2"/>
  <c r="F10660" i="2"/>
  <c r="F10628" i="2"/>
  <c r="F10597" i="2"/>
  <c r="F10566" i="2"/>
  <c r="F10534" i="2"/>
  <c r="F10504" i="2"/>
  <c r="F10474" i="2"/>
  <c r="F10442" i="2"/>
  <c r="F10411" i="2"/>
  <c r="F10380" i="2"/>
  <c r="F10348" i="2"/>
  <c r="F10317" i="2"/>
  <c r="F10286" i="2"/>
  <c r="F10254" i="2"/>
  <c r="F10226" i="2"/>
  <c r="F10197" i="2"/>
  <c r="F10168" i="2"/>
  <c r="F10139" i="2"/>
  <c r="F10109" i="2"/>
  <c r="F10083" i="2"/>
  <c r="F10054" i="2"/>
  <c r="F10026" i="2"/>
  <c r="F9995" i="2"/>
  <c r="F9966" i="2"/>
  <c r="F9940" i="2"/>
  <c r="F9910" i="2"/>
  <c r="F9880" i="2"/>
  <c r="F9852" i="2"/>
  <c r="F9826" i="2"/>
  <c r="F9796" i="2"/>
  <c r="F9766" i="2"/>
  <c r="F9738" i="2"/>
  <c r="F9710" i="2"/>
  <c r="F9687" i="2"/>
  <c r="F9669" i="2"/>
  <c r="F9651" i="2"/>
  <c r="F9633" i="2"/>
  <c r="F9613" i="2"/>
  <c r="F9595" i="2"/>
  <c r="F9577" i="2"/>
  <c r="F9559" i="2"/>
  <c r="F9541" i="2"/>
  <c r="F9523" i="2"/>
  <c r="F9505" i="2"/>
  <c r="F9485" i="2"/>
  <c r="F9467" i="2"/>
  <c r="F9449" i="2"/>
  <c r="F9431" i="2"/>
  <c r="F9413" i="2"/>
  <c r="F9395" i="2"/>
  <c r="F9377" i="2"/>
  <c r="F9357" i="2"/>
  <c r="F9339" i="2"/>
  <c r="F9321" i="2"/>
  <c r="F9303" i="2"/>
  <c r="F9285" i="2"/>
  <c r="F9267" i="2"/>
  <c r="F9249" i="2"/>
  <c r="F9229" i="2"/>
  <c r="F9211" i="2"/>
  <c r="F9193" i="2"/>
  <c r="F9175" i="2"/>
  <c r="F9157" i="2"/>
  <c r="F9139" i="2"/>
  <c r="F9121" i="2"/>
  <c r="F9101" i="2"/>
  <c r="F9083" i="2"/>
  <c r="F9065" i="2"/>
  <c r="F9047" i="2"/>
  <c r="F9029" i="2"/>
  <c r="F9011" i="2"/>
  <c r="F8993" i="2"/>
  <c r="F8973" i="2"/>
  <c r="F11044" i="2"/>
  <c r="F11013" i="2"/>
  <c r="F10980" i="2"/>
  <c r="F10947" i="2"/>
  <c r="F10914" i="2"/>
  <c r="F10878" i="2"/>
  <c r="F10846" i="2"/>
  <c r="F10811" i="2"/>
  <c r="F10780" i="2"/>
  <c r="F10747" i="2"/>
  <c r="F10714" i="2"/>
  <c r="F10680" i="2"/>
  <c r="F10646" i="2"/>
  <c r="F10614" i="2"/>
  <c r="F10581" i="2"/>
  <c r="F10549" i="2"/>
  <c r="F10516" i="2"/>
  <c r="F10483" i="2"/>
  <c r="F11029" i="2"/>
  <c r="F10996" i="2"/>
  <c r="F10964" i="2"/>
  <c r="F10931" i="2"/>
  <c r="F10899" i="2"/>
  <c r="F10866" i="2"/>
  <c r="F10830" i="2"/>
  <c r="F10798" i="2"/>
  <c r="F10764" i="2"/>
  <c r="F10733" i="2"/>
  <c r="F10700" i="2"/>
  <c r="F10667" i="2"/>
  <c r="F10634" i="2"/>
  <c r="F10600" i="2"/>
  <c r="F10568" i="2"/>
  <c r="F10532" i="2"/>
  <c r="F10501" i="2"/>
  <c r="F10468" i="2"/>
  <c r="F10435" i="2"/>
  <c r="F10402" i="2"/>
  <c r="F10366" i="2"/>
  <c r="F10334" i="2"/>
  <c r="F10301" i="2"/>
  <c r="F10269" i="2"/>
  <c r="F10236" i="2"/>
  <c r="F10204" i="2"/>
  <c r="F10174" i="2"/>
  <c r="F10146" i="2"/>
  <c r="F10114" i="2"/>
  <c r="F10084" i="2"/>
  <c r="F10052" i="2"/>
  <c r="F10020" i="2"/>
  <c r="F9990" i="2"/>
  <c r="F9962" i="2"/>
  <c r="F9930" i="2"/>
  <c r="F9899" i="2"/>
  <c r="F9869" i="2"/>
  <c r="F9838" i="2"/>
  <c r="F9806" i="2"/>
  <c r="F9779" i="2"/>
  <c r="F9748" i="2"/>
  <c r="F9717" i="2"/>
  <c r="F9690" i="2"/>
  <c r="F9671" i="2"/>
  <c r="F9652" i="2"/>
  <c r="F9631" i="2"/>
  <c r="F9611" i="2"/>
  <c r="F9592" i="2"/>
  <c r="F9573" i="2"/>
  <c r="F9554" i="2"/>
  <c r="F9533" i="2"/>
  <c r="F9514" i="2"/>
  <c r="F9495" i="2"/>
  <c r="F9476" i="2"/>
  <c r="F9457" i="2"/>
  <c r="F9436" i="2"/>
  <c r="F9417" i="2"/>
  <c r="F9398" i="2"/>
  <c r="F9379" i="2"/>
  <c r="F9359" i="2"/>
  <c r="F9338" i="2"/>
  <c r="F9319" i="2"/>
  <c r="F9300" i="2"/>
  <c r="F9281" i="2"/>
  <c r="F9260" i="2"/>
  <c r="F9241" i="2"/>
  <c r="F9222" i="2"/>
  <c r="F9203" i="2"/>
  <c r="F9183" i="2"/>
  <c r="F9163" i="2"/>
  <c r="F9144" i="2"/>
  <c r="F9125" i="2"/>
  <c r="F9106" i="2"/>
  <c r="F9085" i="2"/>
  <c r="F9066" i="2"/>
  <c r="F9046" i="2"/>
  <c r="F9027" i="2"/>
  <c r="F9007" i="2"/>
  <c r="F8987" i="2"/>
  <c r="F8968" i="2"/>
  <c r="F8950" i="2"/>
  <c r="F8932" i="2"/>
  <c r="F8914" i="2"/>
  <c r="F8895" i="2"/>
  <c r="F8876" i="2"/>
  <c r="F8858" i="2"/>
  <c r="F8840" i="2"/>
  <c r="F8822" i="2"/>
  <c r="F8804" i="2"/>
  <c r="F8786" i="2"/>
  <c r="F8767" i="2"/>
  <c r="F8748" i="2"/>
  <c r="F8730" i="2"/>
  <c r="F8712" i="2"/>
  <c r="F8694" i="2"/>
  <c r="F8676" i="2"/>
  <c r="F8658" i="2"/>
  <c r="F8639" i="2"/>
  <c r="F8620" i="2"/>
  <c r="F8602" i="2"/>
  <c r="F8584" i="2"/>
  <c r="F8566" i="2"/>
  <c r="F8548" i="2"/>
  <c r="F8530" i="2"/>
  <c r="F8511" i="2"/>
  <c r="F8492" i="2"/>
  <c r="F8474" i="2"/>
  <c r="F8456" i="2"/>
  <c r="F8438" i="2"/>
  <c r="F8420" i="2"/>
  <c r="F8402" i="2"/>
  <c r="F8383" i="2"/>
  <c r="F8364" i="2"/>
  <c r="F8346" i="2"/>
  <c r="F8328" i="2"/>
  <c r="F8310" i="2"/>
  <c r="F8292" i="2"/>
  <c r="F8274" i="2"/>
  <c r="F8255" i="2"/>
  <c r="F8236" i="2"/>
  <c r="F8218" i="2"/>
  <c r="F8200" i="2"/>
  <c r="F8182" i="2"/>
  <c r="F8164" i="2"/>
  <c r="F8146" i="2"/>
  <c r="F8127" i="2"/>
  <c r="F8108" i="2"/>
  <c r="F8090" i="2"/>
  <c r="F8072" i="2"/>
  <c r="F8054" i="2"/>
  <c r="F8036" i="2"/>
  <c r="F8018" i="2"/>
  <c r="F7999" i="2"/>
  <c r="F7980" i="2"/>
  <c r="F7962" i="2"/>
  <c r="F7944" i="2"/>
  <c r="F7926" i="2"/>
  <c r="F7909" i="2"/>
  <c r="F7893" i="2"/>
  <c r="F7877" i="2"/>
  <c r="F7861" i="2"/>
  <c r="F7845" i="2"/>
  <c r="F7829" i="2"/>
  <c r="F7813" i="2"/>
  <c r="F7797" i="2"/>
  <c r="F7781" i="2"/>
  <c r="F7765" i="2"/>
  <c r="F7749" i="2"/>
  <c r="F7733" i="2"/>
  <c r="F7717" i="2"/>
  <c r="F7701" i="2"/>
  <c r="F7685" i="2"/>
  <c r="F7669" i="2"/>
  <c r="F7653" i="2"/>
  <c r="F7637" i="2"/>
  <c r="F7621" i="2"/>
  <c r="F7605" i="2"/>
  <c r="F7589" i="2"/>
  <c r="F7573" i="2"/>
  <c r="F7557" i="2"/>
  <c r="F7541" i="2"/>
  <c r="F7525" i="2"/>
  <c r="F7509" i="2"/>
  <c r="F7493" i="2"/>
  <c r="F7477" i="2"/>
  <c r="F7461" i="2"/>
  <c r="F7445" i="2"/>
  <c r="F7429" i="2"/>
  <c r="F7413" i="2"/>
  <c r="F7397" i="2"/>
  <c r="F11043" i="2"/>
  <c r="F11005" i="2"/>
  <c r="F10968" i="2"/>
  <c r="F10926" i="2"/>
  <c r="F10892" i="2"/>
  <c r="F10854" i="2"/>
  <c r="F10819" i="2"/>
  <c r="F10778" i="2"/>
  <c r="F10740" i="2"/>
  <c r="F10702" i="2"/>
  <c r="F10666" i="2"/>
  <c r="F10626" i="2"/>
  <c r="F10589" i="2"/>
  <c r="F10552" i="2"/>
  <c r="F10515" i="2"/>
  <c r="F10477" i="2"/>
  <c r="F10438" i="2"/>
  <c r="F10405" i="2"/>
  <c r="F10370" i="2"/>
  <c r="F10333" i="2"/>
  <c r="F10298" i="2"/>
  <c r="F10264" i="2"/>
  <c r="F10228" i="2"/>
  <c r="F10196" i="2"/>
  <c r="F10163" i="2"/>
  <c r="F10131" i="2"/>
  <c r="F10099" i="2"/>
  <c r="F10066" i="2"/>
  <c r="F10035" i="2"/>
  <c r="F10003" i="2"/>
  <c r="F9970" i="2"/>
  <c r="F9934" i="2"/>
  <c r="F9901" i="2"/>
  <c r="F9870" i="2"/>
  <c r="F9836" i="2"/>
  <c r="F9804" i="2"/>
  <c r="F9772" i="2"/>
  <c r="F9739" i="2"/>
  <c r="F9708" i="2"/>
  <c r="F9683" i="2"/>
  <c r="F9661" i="2"/>
  <c r="F9641" i="2"/>
  <c r="F9621" i="2"/>
  <c r="F9601" i="2"/>
  <c r="F9579" i="2"/>
  <c r="F9558" i="2"/>
  <c r="F9538" i="2"/>
  <c r="F9516" i="2"/>
  <c r="F9496" i="2"/>
  <c r="F9475" i="2"/>
  <c r="F9453" i="2"/>
  <c r="F9433" i="2"/>
  <c r="F9412" i="2"/>
  <c r="F9391" i="2"/>
  <c r="F9370" i="2"/>
  <c r="F9350" i="2"/>
  <c r="F9330" i="2"/>
  <c r="F9308" i="2"/>
  <c r="F9288" i="2"/>
  <c r="F9268" i="2"/>
  <c r="F9245" i="2"/>
  <c r="F9225" i="2"/>
  <c r="F9205" i="2"/>
  <c r="F9185" i="2"/>
  <c r="F9162" i="2"/>
  <c r="F9142" i="2"/>
  <c r="F9122" i="2"/>
  <c r="F9099" i="2"/>
  <c r="F9079" i="2"/>
  <c r="F9059" i="2"/>
  <c r="F9037" i="2"/>
  <c r="F9017" i="2"/>
  <c r="F8997" i="2"/>
  <c r="F8977" i="2"/>
  <c r="F8955" i="2"/>
  <c r="F8936" i="2"/>
  <c r="F8917" i="2"/>
  <c r="F8898" i="2"/>
  <c r="F8877" i="2"/>
  <c r="F8857" i="2"/>
  <c r="F8838" i="2"/>
  <c r="F8819" i="2"/>
  <c r="F8799" i="2"/>
  <c r="F8779" i="2"/>
  <c r="F8760" i="2"/>
  <c r="F8741" i="2"/>
  <c r="F8722" i="2"/>
  <c r="F8701" i="2"/>
  <c r="F8682" i="2"/>
  <c r="F8663" i="2"/>
  <c r="F8644" i="2"/>
  <c r="F8625" i="2"/>
  <c r="F8604" i="2"/>
  <c r="F8585" i="2"/>
  <c r="F8565" i="2"/>
  <c r="F8546" i="2"/>
  <c r="F8525" i="2"/>
  <c r="F8506" i="2"/>
  <c r="F8487" i="2"/>
  <c r="F8468" i="2"/>
  <c r="F8449" i="2"/>
  <c r="F8428" i="2"/>
  <c r="F8409" i="2"/>
  <c r="F8390" i="2"/>
  <c r="F8371" i="2"/>
  <c r="F8351" i="2"/>
  <c r="F8331" i="2"/>
  <c r="F8312" i="2"/>
  <c r="F8293" i="2"/>
  <c r="F8273" i="2"/>
  <c r="F8252" i="2"/>
  <c r="F8233" i="2"/>
  <c r="F8214" i="2"/>
  <c r="F8195" i="2"/>
  <c r="F8175" i="2"/>
  <c r="F8155" i="2"/>
  <c r="F8136" i="2"/>
  <c r="F8117" i="2"/>
  <c r="F8098" i="2"/>
  <c r="F8077" i="2"/>
  <c r="F8058" i="2"/>
  <c r="F8039" i="2"/>
  <c r="F8020" i="2"/>
  <c r="F8001" i="2"/>
  <c r="F11038" i="2"/>
  <c r="F11003" i="2"/>
  <c r="F10963" i="2"/>
  <c r="F10924" i="2"/>
  <c r="F10888" i="2"/>
  <c r="F10852" i="2"/>
  <c r="F10810" i="2"/>
  <c r="F10773" i="2"/>
  <c r="F10738" i="2"/>
  <c r="F10698" i="2"/>
  <c r="F10661" i="2"/>
  <c r="F10621" i="2"/>
  <c r="F10586" i="2"/>
  <c r="F10548" i="2"/>
  <c r="F10508" i="2"/>
  <c r="F10470" i="2"/>
  <c r="F10436" i="2"/>
  <c r="F10398" i="2"/>
  <c r="F10364" i="2"/>
  <c r="F10330" i="2"/>
  <c r="F10294" i="2"/>
  <c r="F10260" i="2"/>
  <c r="F10222" i="2"/>
  <c r="F10190" i="2"/>
  <c r="F10157" i="2"/>
  <c r="F10126" i="2"/>
  <c r="F10094" i="2"/>
  <c r="F10061" i="2"/>
  <c r="F10030" i="2"/>
  <c r="F9996" i="2"/>
  <c r="F9964" i="2"/>
  <c r="F9932" i="2"/>
  <c r="F9898" i="2"/>
  <c r="F9866" i="2"/>
  <c r="F9832" i="2"/>
  <c r="F9802" i="2"/>
  <c r="F9770" i="2"/>
  <c r="F9734" i="2"/>
  <c r="F9706" i="2"/>
  <c r="F9681" i="2"/>
  <c r="F9659" i="2"/>
  <c r="F9639" i="2"/>
  <c r="F9619" i="2"/>
  <c r="F9597" i="2"/>
  <c r="F9576" i="2"/>
  <c r="F9556" i="2"/>
  <c r="F9535" i="2"/>
  <c r="F9513" i="2"/>
  <c r="F9493" i="2"/>
  <c r="F9473" i="2"/>
  <c r="F9451" i="2"/>
  <c r="F9430" i="2"/>
  <c r="F9410" i="2"/>
  <c r="F9388" i="2"/>
  <c r="F9368" i="2"/>
  <c r="F9348" i="2"/>
  <c r="F9327" i="2"/>
  <c r="F9306" i="2"/>
  <c r="F9286" i="2"/>
  <c r="F9265" i="2"/>
  <c r="F9243" i="2"/>
  <c r="F9223" i="2"/>
  <c r="F9202" i="2"/>
  <c r="F9180" i="2"/>
  <c r="F9160" i="2"/>
  <c r="F9140" i="2"/>
  <c r="F9117" i="2"/>
  <c r="F9097" i="2"/>
  <c r="F9077" i="2"/>
  <c r="F9057" i="2"/>
  <c r="F9035" i="2"/>
  <c r="F9015" i="2"/>
  <c r="F8995" i="2"/>
  <c r="F8972" i="2"/>
  <c r="F8953" i="2"/>
  <c r="F8934" i="2"/>
  <c r="F8915" i="2"/>
  <c r="F8893" i="2"/>
  <c r="F8874" i="2"/>
  <c r="F8855" i="2"/>
  <c r="F8836" i="2"/>
  <c r="F8817" i="2"/>
  <c r="F8796" i="2"/>
  <c r="F8777" i="2"/>
  <c r="F8758" i="2"/>
  <c r="F8739" i="2"/>
  <c r="F8719" i="2"/>
  <c r="F8699" i="2"/>
  <c r="F8680" i="2"/>
  <c r="F8661" i="2"/>
  <c r="F8642" i="2"/>
  <c r="F8621" i="2"/>
  <c r="F8601" i="2"/>
  <c r="F8582" i="2"/>
  <c r="F8563" i="2"/>
  <c r="F8543" i="2"/>
  <c r="F8523" i="2"/>
  <c r="F8504" i="2"/>
  <c r="F8485" i="2"/>
  <c r="F8466" i="2"/>
  <c r="F8445" i="2"/>
  <c r="F8426" i="2"/>
  <c r="F8407" i="2"/>
  <c r="F8388" i="2"/>
  <c r="F8369" i="2"/>
  <c r="F8348" i="2"/>
  <c r="F8329" i="2"/>
  <c r="F8309" i="2"/>
  <c r="F8290" i="2"/>
  <c r="F8269" i="2"/>
  <c r="F8250" i="2"/>
  <c r="F8231" i="2"/>
  <c r="F8212" i="2"/>
  <c r="F8193" i="2"/>
  <c r="F8172" i="2"/>
  <c r="F8153" i="2"/>
  <c r="F8134" i="2"/>
  <c r="F8115" i="2"/>
  <c r="F8095" i="2"/>
  <c r="F8075" i="2"/>
  <c r="F8056" i="2"/>
  <c r="F8037" i="2"/>
  <c r="F8017" i="2"/>
  <c r="F7996" i="2"/>
  <c r="F7977" i="2"/>
  <c r="F7958" i="2"/>
  <c r="F7939" i="2"/>
  <c r="F7919" i="2"/>
  <c r="F7902" i="2"/>
  <c r="F7885" i="2"/>
  <c r="F7868" i="2"/>
  <c r="F7851" i="2"/>
  <c r="F7834" i="2"/>
  <c r="F7817" i="2"/>
  <c r="F7800" i="2"/>
  <c r="F7783" i="2"/>
  <c r="F7766" i="2"/>
  <c r="F7748" i="2"/>
  <c r="F7731" i="2"/>
  <c r="F7714" i="2"/>
  <c r="F7697" i="2"/>
  <c r="F7680" i="2"/>
  <c r="F7663" i="2"/>
  <c r="F7646" i="2"/>
  <c r="F7629" i="2"/>
  <c r="F7612" i="2"/>
  <c r="F7595" i="2"/>
  <c r="F7578" i="2"/>
  <c r="F7561" i="2"/>
  <c r="F7544" i="2"/>
  <c r="F7527" i="2"/>
  <c r="F7510" i="2"/>
  <c r="F7492" i="2"/>
  <c r="F7475" i="2"/>
  <c r="F7458" i="2"/>
  <c r="F7441" i="2"/>
  <c r="F7424" i="2"/>
  <c r="F7407" i="2"/>
  <c r="F7390" i="2"/>
  <c r="F7374" i="2"/>
  <c r="F7358" i="2"/>
  <c r="F7342" i="2"/>
  <c r="F7326" i="2"/>
  <c r="F7310" i="2"/>
  <c r="F7294" i="2"/>
  <c r="F7278" i="2"/>
  <c r="F7262" i="2"/>
  <c r="F7246" i="2"/>
  <c r="F7230" i="2"/>
  <c r="F7214" i="2"/>
  <c r="F11019" i="2"/>
  <c r="F10978" i="2"/>
  <c r="F10934" i="2"/>
  <c r="F10890" i="2"/>
  <c r="F10843" i="2"/>
  <c r="F10804" i="2"/>
  <c r="F10760" i="2"/>
  <c r="F10716" i="2"/>
  <c r="F10675" i="2"/>
  <c r="F10632" i="2"/>
  <c r="F10587" i="2"/>
  <c r="F10542" i="2"/>
  <c r="F10499" i="2"/>
  <c r="F10458" i="2"/>
  <c r="F10419" i="2"/>
  <c r="F10378" i="2"/>
  <c r="F10340" i="2"/>
  <c r="F10296" i="2"/>
  <c r="F10252" i="2"/>
  <c r="F10218" i="2"/>
  <c r="F10180" i="2"/>
  <c r="F10142" i="2"/>
  <c r="F10106" i="2"/>
  <c r="F10069" i="2"/>
  <c r="F10034" i="2"/>
  <c r="F9992" i="2"/>
  <c r="F9956" i="2"/>
  <c r="F9918" i="2"/>
  <c r="F9883" i="2"/>
  <c r="F9846" i="2"/>
  <c r="F9810" i="2"/>
  <c r="F9771" i="2"/>
  <c r="F9732" i="2"/>
  <c r="F9700" i="2"/>
  <c r="F9673" i="2"/>
  <c r="F9649" i="2"/>
  <c r="F9625" i="2"/>
  <c r="F9603" i="2"/>
  <c r="F9578" i="2"/>
  <c r="F9553" i="2"/>
  <c r="F9529" i="2"/>
  <c r="F9507" i="2"/>
  <c r="F9482" i="2"/>
  <c r="F9460" i="2"/>
  <c r="F9435" i="2"/>
  <c r="F9411" i="2"/>
  <c r="F9386" i="2"/>
  <c r="F9364" i="2"/>
  <c r="F9340" i="2"/>
  <c r="F9316" i="2"/>
  <c r="F9292" i="2"/>
  <c r="F9270" i="2"/>
  <c r="F9244" i="2"/>
  <c r="F9220" i="2"/>
  <c r="F9196" i="2"/>
  <c r="F9173" i="2"/>
  <c r="F9149" i="2"/>
  <c r="F9127" i="2"/>
  <c r="F9103" i="2"/>
  <c r="F9078" i="2"/>
  <c r="F9053" i="2"/>
  <c r="F9031" i="2"/>
  <c r="F9005" i="2"/>
  <c r="F8983" i="2"/>
  <c r="F8961" i="2"/>
  <c r="F8938" i="2"/>
  <c r="F8916" i="2"/>
  <c r="F8891" i="2"/>
  <c r="F8870" i="2"/>
  <c r="F8849" i="2"/>
  <c r="F8826" i="2"/>
  <c r="F8805" i="2"/>
  <c r="F8781" i="2"/>
  <c r="F8759" i="2"/>
  <c r="F8737" i="2"/>
  <c r="F8714" i="2"/>
  <c r="F8692" i="2"/>
  <c r="F8669" i="2"/>
  <c r="F8648" i="2"/>
  <c r="F8627" i="2"/>
  <c r="F8603" i="2"/>
  <c r="F8580" i="2"/>
  <c r="F8557" i="2"/>
  <c r="F8536" i="2"/>
  <c r="F8515" i="2"/>
  <c r="F8491" i="2"/>
  <c r="F8470" i="2"/>
  <c r="F8447" i="2"/>
  <c r="F8424" i="2"/>
  <c r="F8403" i="2"/>
  <c r="F8379" i="2"/>
  <c r="F8358" i="2"/>
  <c r="F8337" i="2"/>
  <c r="F8314" i="2"/>
  <c r="F8291" i="2"/>
  <c r="F8267" i="2"/>
  <c r="F8246" i="2"/>
  <c r="F8225" i="2"/>
  <c r="F8202" i="2"/>
  <c r="F8180" i="2"/>
  <c r="F8157" i="2"/>
  <c r="F8135" i="2"/>
  <c r="F8113" i="2"/>
  <c r="F8089" i="2"/>
  <c r="F8068" i="2"/>
  <c r="F8045" i="2"/>
  <c r="F8024" i="2"/>
  <c r="F8003" i="2"/>
  <c r="F7979" i="2"/>
  <c r="F7959" i="2"/>
  <c r="F7938" i="2"/>
  <c r="F7917" i="2"/>
  <c r="F7899" i="2"/>
  <c r="F7881" i="2"/>
  <c r="F7863" i="2"/>
  <c r="F7844" i="2"/>
  <c r="F7826" i="2"/>
  <c r="F7808" i="2"/>
  <c r="F7790" i="2"/>
  <c r="F7772" i="2"/>
  <c r="F7754" i="2"/>
  <c r="F7736" i="2"/>
  <c r="F7718" i="2"/>
  <c r="F7699" i="2"/>
  <c r="F7681" i="2"/>
  <c r="F7662" i="2"/>
  <c r="F7644" i="2"/>
  <c r="F7626" i="2"/>
  <c r="F7608" i="2"/>
  <c r="F7590" i="2"/>
  <c r="F7571" i="2"/>
  <c r="F7553" i="2"/>
  <c r="F7535" i="2"/>
  <c r="F7517" i="2"/>
  <c r="F7499" i="2"/>
  <c r="F7481" i="2"/>
  <c r="F7463" i="2"/>
  <c r="F7444" i="2"/>
  <c r="F7426" i="2"/>
  <c r="F7408" i="2"/>
  <c r="F7389" i="2"/>
  <c r="F7372" i="2"/>
  <c r="F7355" i="2"/>
  <c r="F7338" i="2"/>
  <c r="F7321" i="2"/>
  <c r="F7304" i="2"/>
  <c r="F7287" i="2"/>
  <c r="F7270" i="2"/>
  <c r="F7253" i="2"/>
  <c r="F7236" i="2"/>
  <c r="F7219" i="2"/>
  <c r="F7202" i="2"/>
  <c r="F7186" i="2"/>
  <c r="F7170" i="2"/>
  <c r="F7154" i="2"/>
  <c r="F7138" i="2"/>
  <c r="F7122" i="2"/>
  <c r="F7106" i="2"/>
  <c r="F7090" i="2"/>
  <c r="F7074" i="2"/>
  <c r="F7058" i="2"/>
  <c r="F7042" i="2"/>
  <c r="F7026" i="2"/>
  <c r="F7010" i="2"/>
  <c r="F6994" i="2"/>
  <c r="F6978" i="2"/>
  <c r="F6962" i="2"/>
  <c r="F6946" i="2"/>
  <c r="F6930" i="2"/>
  <c r="F6914" i="2"/>
  <c r="F11018" i="2"/>
  <c r="F10973" i="2"/>
  <c r="F10933" i="2"/>
  <c r="F10886" i="2"/>
  <c r="F10842" i="2"/>
  <c r="F10802" i="2"/>
  <c r="F10758" i="2"/>
  <c r="F10715" i="2"/>
  <c r="F10670" i="2"/>
  <c r="F10630" i="2"/>
  <c r="F10584" i="2"/>
  <c r="F10540" i="2"/>
  <c r="F10498" i="2"/>
  <c r="F10456" i="2"/>
  <c r="F10414" i="2"/>
  <c r="F10376" i="2"/>
  <c r="F10339" i="2"/>
  <c r="F10293" i="2"/>
  <c r="F10251" i="2"/>
  <c r="F10214" i="2"/>
  <c r="F10179" i="2"/>
  <c r="F10141" i="2"/>
  <c r="F10104" i="2"/>
  <c r="F10067" i="2"/>
  <c r="F10028" i="2"/>
  <c r="F9989" i="2"/>
  <c r="F9954" i="2"/>
  <c r="F9917" i="2"/>
  <c r="F9878" i="2"/>
  <c r="F9845" i="2"/>
  <c r="F9805" i="2"/>
  <c r="F9764" i="2"/>
  <c r="F9731" i="2"/>
  <c r="F9698" i="2"/>
  <c r="F9672" i="2"/>
  <c r="F9647" i="2"/>
  <c r="F9624" i="2"/>
  <c r="F9602" i="2"/>
  <c r="F9575" i="2"/>
  <c r="F9551" i="2"/>
  <c r="F9528" i="2"/>
  <c r="F9506" i="2"/>
  <c r="F9481" i="2"/>
  <c r="F9459" i="2"/>
  <c r="F9434" i="2"/>
  <c r="F9409" i="2"/>
  <c r="F9385" i="2"/>
  <c r="F9363" i="2"/>
  <c r="F9337" i="2"/>
  <c r="F9315" i="2"/>
  <c r="F9291" i="2"/>
  <c r="F9269" i="2"/>
  <c r="F9242" i="2"/>
  <c r="F9219" i="2"/>
  <c r="F9195" i="2"/>
  <c r="F9172" i="2"/>
  <c r="F9148" i="2"/>
  <c r="F9126" i="2"/>
  <c r="F9100" i="2"/>
  <c r="F9076" i="2"/>
  <c r="F9052" i="2"/>
  <c r="F9030" i="2"/>
  <c r="F9004" i="2"/>
  <c r="F8982" i="2"/>
  <c r="F8959" i="2"/>
  <c r="F8937" i="2"/>
  <c r="F8913" i="2"/>
  <c r="F8890" i="2"/>
  <c r="F8869" i="2"/>
  <c r="F8847" i="2"/>
  <c r="F8825" i="2"/>
  <c r="F8803" i="2"/>
  <c r="F8780" i="2"/>
  <c r="F8757" i="2"/>
  <c r="F8735" i="2"/>
  <c r="F8713" i="2"/>
  <c r="F8691" i="2"/>
  <c r="F8668" i="2"/>
  <c r="F8647" i="2"/>
  <c r="F8626" i="2"/>
  <c r="F8600" i="2"/>
  <c r="F8579" i="2"/>
  <c r="F8556" i="2"/>
  <c r="F8535" i="2"/>
  <c r="F8514" i="2"/>
  <c r="F8490" i="2"/>
  <c r="F11020" i="2"/>
  <c r="F10971" i="2"/>
  <c r="F10920" i="2"/>
  <c r="F10870" i="2"/>
  <c r="F10824" i="2"/>
  <c r="F10772" i="2"/>
  <c r="F10725" i="2"/>
  <c r="F10677" i="2"/>
  <c r="F10620" i="2"/>
  <c r="F10573" i="2"/>
  <c r="F10525" i="2"/>
  <c r="F10478" i="2"/>
  <c r="F10428" i="2"/>
  <c r="F10387" i="2"/>
  <c r="F10341" i="2"/>
  <c r="F10290" i="2"/>
  <c r="F10245" i="2"/>
  <c r="F10202" i="2"/>
  <c r="F10156" i="2"/>
  <c r="F10118" i="2"/>
  <c r="F10075" i="2"/>
  <c r="F10036" i="2"/>
  <c r="F9987" i="2"/>
  <c r="F9946" i="2"/>
  <c r="F9902" i="2"/>
  <c r="F9860" i="2"/>
  <c r="F9819" i="2"/>
  <c r="F9780" i="2"/>
  <c r="F9733" i="2"/>
  <c r="F9692" i="2"/>
  <c r="F9666" i="2"/>
  <c r="F9638" i="2"/>
  <c r="F9610" i="2"/>
  <c r="F9586" i="2"/>
  <c r="F9560" i="2"/>
  <c r="F9530" i="2"/>
  <c r="F9501" i="2"/>
  <c r="F9477" i="2"/>
  <c r="F9447" i="2"/>
  <c r="F9421" i="2"/>
  <c r="F9396" i="2"/>
  <c r="F9367" i="2"/>
  <c r="F9341" i="2"/>
  <c r="F9313" i="2"/>
  <c r="F9284" i="2"/>
  <c r="F9257" i="2"/>
  <c r="F9233" i="2"/>
  <c r="F9206" i="2"/>
  <c r="F9177" i="2"/>
  <c r="F9151" i="2"/>
  <c r="F9123" i="2"/>
  <c r="F9094" i="2"/>
  <c r="F9068" i="2"/>
  <c r="F9042" i="2"/>
  <c r="F9014" i="2"/>
  <c r="F8986" i="2"/>
  <c r="F8962" i="2"/>
  <c r="F8933" i="2"/>
  <c r="F8907" i="2"/>
  <c r="F8884" i="2"/>
  <c r="F8859" i="2"/>
  <c r="F8833" i="2"/>
  <c r="F8808" i="2"/>
  <c r="F8783" i="2"/>
  <c r="F8755" i="2"/>
  <c r="F8729" i="2"/>
  <c r="F8706" i="2"/>
  <c r="F8679" i="2"/>
  <c r="F8653" i="2"/>
  <c r="F8630" i="2"/>
  <c r="F8605" i="2"/>
  <c r="F8577" i="2"/>
  <c r="F8552" i="2"/>
  <c r="F8527" i="2"/>
  <c r="F8501" i="2"/>
  <c r="F8476" i="2"/>
  <c r="F8453" i="2"/>
  <c r="F8429" i="2"/>
  <c r="F8405" i="2"/>
  <c r="F8380" i="2"/>
  <c r="F8357" i="2"/>
  <c r="F8333" i="2"/>
  <c r="F8308" i="2"/>
  <c r="F8284" i="2"/>
  <c r="F8262" i="2"/>
  <c r="F8239" i="2"/>
  <c r="F8215" i="2"/>
  <c r="F8189" i="2"/>
  <c r="F8167" i="2"/>
  <c r="F8143" i="2"/>
  <c r="F8120" i="2"/>
  <c r="F8097" i="2"/>
  <c r="F8071" i="2"/>
  <c r="F8049" i="2"/>
  <c r="F8025" i="2"/>
  <c r="F8002" i="2"/>
  <c r="F7976" i="2"/>
  <c r="F7955" i="2"/>
  <c r="F7932" i="2"/>
  <c r="F7912" i="2"/>
  <c r="F7892" i="2"/>
  <c r="F7873" i="2"/>
  <c r="F7854" i="2"/>
  <c r="F7835" i="2"/>
  <c r="F7815" i="2"/>
  <c r="F7795" i="2"/>
  <c r="F7776" i="2"/>
  <c r="F7757" i="2"/>
  <c r="F7738" i="2"/>
  <c r="F7719" i="2"/>
  <c r="F7698" i="2"/>
  <c r="F7678" i="2"/>
  <c r="F7659" i="2"/>
  <c r="F7640" i="2"/>
  <c r="F7620" i="2"/>
  <c r="F7601" i="2"/>
  <c r="F7582" i="2"/>
  <c r="F7563" i="2"/>
  <c r="F7543" i="2"/>
  <c r="F7523" i="2"/>
  <c r="F7504" i="2"/>
  <c r="F7485" i="2"/>
  <c r="F7466" i="2"/>
  <c r="F7447" i="2"/>
  <c r="F7427" i="2"/>
  <c r="F7406" i="2"/>
  <c r="F7387" i="2"/>
  <c r="F7369" i="2"/>
  <c r="F7351" i="2"/>
  <c r="F7333" i="2"/>
  <c r="F7315" i="2"/>
  <c r="F7297" i="2"/>
  <c r="F7279" i="2"/>
  <c r="F7260" i="2"/>
  <c r="F7242" i="2"/>
  <c r="F7224" i="2"/>
  <c r="F7206" i="2"/>
  <c r="F7189" i="2"/>
  <c r="F7172" i="2"/>
  <c r="F7155" i="2"/>
  <c r="F7137" i="2"/>
  <c r="F7120" i="2"/>
  <c r="F7103" i="2"/>
  <c r="F7086" i="2"/>
  <c r="F7069" i="2"/>
  <c r="F7052" i="2"/>
  <c r="F7035" i="2"/>
  <c r="F7018" i="2"/>
  <c r="F7001" i="2"/>
  <c r="F6984" i="2"/>
  <c r="F6967" i="2"/>
  <c r="F6950" i="2"/>
  <c r="F6933" i="2"/>
  <c r="F6916" i="2"/>
  <c r="F6899" i="2"/>
  <c r="F6883" i="2"/>
  <c r="F6867" i="2"/>
  <c r="F6851" i="2"/>
  <c r="F6835" i="2"/>
  <c r="F6819" i="2"/>
  <c r="F6803" i="2"/>
  <c r="F6787" i="2"/>
  <c r="F6771" i="2"/>
  <c r="F6755" i="2"/>
  <c r="F6739" i="2"/>
  <c r="F6723" i="2"/>
  <c r="F6707" i="2"/>
  <c r="F6691" i="2"/>
  <c r="F6675" i="2"/>
  <c r="F6659" i="2"/>
  <c r="F6643" i="2"/>
  <c r="F6627" i="2"/>
  <c r="F6611" i="2"/>
  <c r="F6595" i="2"/>
  <c r="F6579" i="2"/>
  <c r="F6563" i="2"/>
  <c r="F6547" i="2"/>
  <c r="F6531" i="2"/>
  <c r="F6515" i="2"/>
  <c r="F6499" i="2"/>
  <c r="F6483" i="2"/>
  <c r="F6467" i="2"/>
  <c r="F6451" i="2"/>
  <c r="F6435" i="2"/>
  <c r="F6419" i="2"/>
  <c r="F6403" i="2"/>
  <c r="F6387" i="2"/>
  <c r="F6371" i="2"/>
  <c r="F6355" i="2"/>
  <c r="F6339" i="2"/>
  <c r="F6323" i="2"/>
  <c r="F6307" i="2"/>
  <c r="F6291" i="2"/>
  <c r="F6275" i="2"/>
  <c r="F6259" i="2"/>
  <c r="F6243" i="2"/>
  <c r="F6227" i="2"/>
  <c r="F6211" i="2"/>
  <c r="F6195" i="2"/>
  <c r="F6179" i="2"/>
  <c r="F6163" i="2"/>
  <c r="F6147" i="2"/>
  <c r="F6131" i="2"/>
  <c r="F6115" i="2"/>
  <c r="F6099" i="2"/>
  <c r="F6083" i="2"/>
  <c r="F6067" i="2"/>
  <c r="F6051" i="2"/>
  <c r="F6035" i="2"/>
  <c r="F6019" i="2"/>
  <c r="F6003" i="2"/>
  <c r="F5987" i="2"/>
  <c r="F5971" i="2"/>
  <c r="F5955" i="2"/>
  <c r="F5939" i="2"/>
  <c r="F5923" i="2"/>
  <c r="F5907" i="2"/>
  <c r="F5891" i="2"/>
  <c r="F5875" i="2"/>
  <c r="F5859" i="2"/>
  <c r="F5843" i="2"/>
  <c r="F5827" i="2"/>
  <c r="F5811" i="2"/>
  <c r="F5795" i="2"/>
  <c r="F5779" i="2"/>
  <c r="F5763" i="2"/>
  <c r="F5747" i="2"/>
  <c r="F5731" i="2"/>
  <c r="F5715" i="2"/>
  <c r="F5699" i="2"/>
  <c r="F5683" i="2"/>
  <c r="F5667" i="2"/>
  <c r="F5651" i="2"/>
  <c r="F5635" i="2"/>
  <c r="F5619" i="2"/>
  <c r="F5603" i="2"/>
  <c r="F5587" i="2"/>
  <c r="F5571" i="2"/>
  <c r="F5555" i="2"/>
  <c r="F5539" i="2"/>
  <c r="F5523" i="2"/>
  <c r="F5507" i="2"/>
  <c r="F5491" i="2"/>
  <c r="F5475" i="2"/>
  <c r="F5459" i="2"/>
  <c r="F5443" i="2"/>
  <c r="F5427" i="2"/>
  <c r="F5411" i="2"/>
  <c r="F5395" i="2"/>
  <c r="F5379" i="2"/>
  <c r="F5363" i="2"/>
  <c r="F5347" i="2"/>
  <c r="F5331" i="2"/>
  <c r="F5315" i="2"/>
  <c r="F5299" i="2"/>
  <c r="F5283" i="2"/>
  <c r="F5267" i="2"/>
  <c r="F5251" i="2"/>
  <c r="F5235" i="2"/>
  <c r="F5219" i="2"/>
  <c r="F5203" i="2"/>
  <c r="F5187" i="2"/>
  <c r="F5171" i="2"/>
  <c r="F5155" i="2"/>
  <c r="F5139" i="2"/>
  <c r="F5123" i="2"/>
  <c r="F5107" i="2"/>
  <c r="F5091" i="2"/>
  <c r="F5075" i="2"/>
  <c r="F5059" i="2"/>
  <c r="F5043" i="2"/>
  <c r="F5027" i="2"/>
  <c r="F5011" i="2"/>
  <c r="F4995" i="2"/>
  <c r="F4979" i="2"/>
  <c r="F4963" i="2"/>
  <c r="F4947" i="2"/>
  <c r="F4931" i="2"/>
  <c r="F4915" i="2"/>
  <c r="F4899" i="2"/>
  <c r="F4883" i="2"/>
  <c r="F4867" i="2"/>
  <c r="F4851" i="2"/>
  <c r="F4835" i="2"/>
  <c r="F4819" i="2"/>
  <c r="F4803" i="2"/>
  <c r="F4787" i="2"/>
  <c r="F4771" i="2"/>
  <c r="F4755" i="2"/>
  <c r="F4739" i="2"/>
  <c r="F4723" i="2"/>
  <c r="F4707" i="2"/>
  <c r="F4691" i="2"/>
  <c r="F4675" i="2"/>
  <c r="F4659" i="2"/>
  <c r="F4643" i="2"/>
  <c r="F4627" i="2"/>
  <c r="F4611" i="2"/>
  <c r="F4595" i="2"/>
  <c r="F4579" i="2"/>
  <c r="F4563" i="2"/>
  <c r="F4547" i="2"/>
  <c r="F4531" i="2"/>
  <c r="F4515" i="2"/>
  <c r="F4499" i="2"/>
  <c r="F4483" i="2"/>
  <c r="F4467" i="2"/>
  <c r="F4451" i="2"/>
  <c r="F4435" i="2"/>
  <c r="F4419" i="2"/>
  <c r="F4403" i="2"/>
  <c r="F4387" i="2"/>
  <c r="F4371" i="2"/>
  <c r="F4355" i="2"/>
  <c r="F4339" i="2"/>
  <c r="F4323" i="2"/>
  <c r="F4307" i="2"/>
  <c r="F4291" i="2"/>
  <c r="F4275" i="2"/>
  <c r="F4259" i="2"/>
  <c r="F4243" i="2"/>
  <c r="F4227" i="2"/>
  <c r="F4211" i="2"/>
  <c r="F4195" i="2"/>
  <c r="F4179" i="2"/>
  <c r="F4163" i="2"/>
  <c r="F4147" i="2"/>
  <c r="F4131" i="2"/>
  <c r="F4115" i="2"/>
  <c r="F4099" i="2"/>
  <c r="F4083" i="2"/>
  <c r="F4067" i="2"/>
  <c r="F4051" i="2"/>
  <c r="F4035" i="2"/>
  <c r="F4019" i="2"/>
  <c r="F4003" i="2"/>
  <c r="F3987" i="2"/>
  <c r="F3971" i="2"/>
  <c r="F3955" i="2"/>
  <c r="F3939" i="2"/>
  <c r="F3923" i="2"/>
  <c r="F11016" i="2"/>
  <c r="F10966" i="2"/>
  <c r="F10917" i="2"/>
  <c r="F10869" i="2"/>
  <c r="F10822" i="2"/>
  <c r="F10771" i="2"/>
  <c r="F10724" i="2"/>
  <c r="F10669" i="2"/>
  <c r="F10619" i="2"/>
  <c r="F10572" i="2"/>
  <c r="F10524" i="2"/>
  <c r="F10475" i="2"/>
  <c r="F10427" i="2"/>
  <c r="F10386" i="2"/>
  <c r="F10331" i="2"/>
  <c r="F10284" i="2"/>
  <c r="F10243" i="2"/>
  <c r="F10200" i="2"/>
  <c r="F10155" i="2"/>
  <c r="F10116" i="2"/>
  <c r="F10074" i="2"/>
  <c r="F10027" i="2"/>
  <c r="F9986" i="2"/>
  <c r="F9944" i="2"/>
  <c r="F9900" i="2"/>
  <c r="F9858" i="2"/>
  <c r="F9818" i="2"/>
  <c r="F9778" i="2"/>
  <c r="F9730" i="2"/>
  <c r="F9691" i="2"/>
  <c r="F9665" i="2"/>
  <c r="F9637" i="2"/>
  <c r="F9609" i="2"/>
  <c r="F9585" i="2"/>
  <c r="F9557" i="2"/>
  <c r="F9527" i="2"/>
  <c r="F9500" i="2"/>
  <c r="F9474" i="2"/>
  <c r="F9446" i="2"/>
  <c r="F9420" i="2"/>
  <c r="F9394" i="2"/>
  <c r="F9366" i="2"/>
  <c r="F9336" i="2"/>
  <c r="F9311" i="2"/>
  <c r="F9283" i="2"/>
  <c r="F9256" i="2"/>
  <c r="F9231" i="2"/>
  <c r="F9204" i="2"/>
  <c r="F9176" i="2"/>
  <c r="F9147" i="2"/>
  <c r="F9119" i="2"/>
  <c r="F9093" i="2"/>
  <c r="F9067" i="2"/>
  <c r="F9041" i="2"/>
  <c r="F9013" i="2"/>
  <c r="F8985" i="2"/>
  <c r="F8957" i="2"/>
  <c r="F8931" i="2"/>
  <c r="F8906" i="2"/>
  <c r="F8883" i="2"/>
  <c r="F8856" i="2"/>
  <c r="F8831" i="2"/>
  <c r="F8807" i="2"/>
  <c r="F8778" i="2"/>
  <c r="F8754" i="2"/>
  <c r="F8728" i="2"/>
  <c r="F8705" i="2"/>
  <c r="F8678" i="2"/>
  <c r="F8652" i="2"/>
  <c r="F8629" i="2"/>
  <c r="F8599" i="2"/>
  <c r="F8575" i="2"/>
  <c r="F8551" i="2"/>
  <c r="F8524" i="2"/>
  <c r="F8500" i="2"/>
  <c r="F8475" i="2"/>
  <c r="F8452" i="2"/>
  <c r="F8427" i="2"/>
  <c r="F8404" i="2"/>
  <c r="F8378" i="2"/>
  <c r="F8356" i="2"/>
  <c r="F8332" i="2"/>
  <c r="F8307" i="2"/>
  <c r="F8283" i="2"/>
  <c r="F8261" i="2"/>
  <c r="F8237" i="2"/>
  <c r="F8213" i="2"/>
  <c r="F8188" i="2"/>
  <c r="F8166" i="2"/>
  <c r="F8141" i="2"/>
  <c r="F8119" i="2"/>
  <c r="F8093" i="2"/>
  <c r="F8070" i="2"/>
  <c r="F8047" i="2"/>
  <c r="F8023" i="2"/>
  <c r="F7997" i="2"/>
  <c r="F7975" i="2"/>
  <c r="F7954" i="2"/>
  <c r="F7931" i="2"/>
  <c r="F7911" i="2"/>
  <c r="F7891" i="2"/>
  <c r="F7872" i="2"/>
  <c r="F7853" i="2"/>
  <c r="F7833" i="2"/>
  <c r="F7814" i="2"/>
  <c r="F7794" i="2"/>
  <c r="F7775" i="2"/>
  <c r="F7756" i="2"/>
  <c r="F7737" i="2"/>
  <c r="F7716" i="2"/>
  <c r="F7696" i="2"/>
  <c r="F7677" i="2"/>
  <c r="F7658" i="2"/>
  <c r="F7639" i="2"/>
  <c r="F7619" i="2"/>
  <c r="F7600" i="2"/>
  <c r="F7581" i="2"/>
  <c r="F7562" i="2"/>
  <c r="F7542" i="2"/>
  <c r="F7522" i="2"/>
  <c r="F7503" i="2"/>
  <c r="F7484" i="2"/>
  <c r="F7465" i="2"/>
  <c r="F7446" i="2"/>
  <c r="F7425" i="2"/>
  <c r="F7405" i="2"/>
  <c r="F7386" i="2"/>
  <c r="F7368" i="2"/>
  <c r="F7350" i="2"/>
  <c r="F7332" i="2"/>
  <c r="F7314" i="2"/>
  <c r="F7296" i="2"/>
  <c r="F7277" i="2"/>
  <c r="F7259" i="2"/>
  <c r="F7241" i="2"/>
  <c r="F7223" i="2"/>
  <c r="F7205" i="2"/>
  <c r="F7188" i="2"/>
  <c r="F7171" i="2"/>
  <c r="F7153" i="2"/>
  <c r="F7136" i="2"/>
  <c r="F7119" i="2"/>
  <c r="F7102" i="2"/>
  <c r="F7085" i="2"/>
  <c r="F7068" i="2"/>
  <c r="F7051" i="2"/>
  <c r="F7034" i="2"/>
  <c r="F7017" i="2"/>
  <c r="F7000" i="2"/>
  <c r="F6983" i="2"/>
  <c r="F6966" i="2"/>
  <c r="F6949" i="2"/>
  <c r="F6932" i="2"/>
  <c r="F6915" i="2"/>
  <c r="F6898" i="2"/>
  <c r="F6882" i="2"/>
  <c r="F6866" i="2"/>
  <c r="F6850" i="2"/>
  <c r="F6834" i="2"/>
  <c r="F6818" i="2"/>
  <c r="F6802" i="2"/>
  <c r="F6786" i="2"/>
  <c r="F6770" i="2"/>
  <c r="F6754" i="2"/>
  <c r="F6738" i="2"/>
  <c r="F6722" i="2"/>
  <c r="F6706" i="2"/>
  <c r="F6690" i="2"/>
  <c r="F6674" i="2"/>
  <c r="F6658" i="2"/>
  <c r="F6642" i="2"/>
  <c r="F6626" i="2"/>
  <c r="F6610" i="2"/>
  <c r="F6594" i="2"/>
  <c r="F6578" i="2"/>
  <c r="F6562" i="2"/>
  <c r="F6546" i="2"/>
  <c r="F6530" i="2"/>
  <c r="F6514" i="2"/>
  <c r="F6498" i="2"/>
  <c r="F6482" i="2"/>
  <c r="F6466" i="2"/>
  <c r="F6450" i="2"/>
  <c r="F6434" i="2"/>
  <c r="F6418" i="2"/>
  <c r="F6402" i="2"/>
  <c r="F6386" i="2"/>
  <c r="F6370" i="2"/>
  <c r="F6354" i="2"/>
  <c r="F6338" i="2"/>
  <c r="F6322" i="2"/>
  <c r="F6306" i="2"/>
  <c r="F6290" i="2"/>
  <c r="F6274" i="2"/>
  <c r="F6258" i="2"/>
  <c r="F6242" i="2"/>
  <c r="F6226" i="2"/>
  <c r="F6210" i="2"/>
  <c r="F6194" i="2"/>
  <c r="F6178" i="2"/>
  <c r="F6162" i="2"/>
  <c r="F6146" i="2"/>
  <c r="F6130" i="2"/>
  <c r="F6114" i="2"/>
  <c r="F6098" i="2"/>
  <c r="F6082" i="2"/>
  <c r="F6066" i="2"/>
  <c r="F6050" i="2"/>
  <c r="F6034" i="2"/>
  <c r="F6018" i="2"/>
  <c r="F6002" i="2"/>
  <c r="F5986" i="2"/>
  <c r="F5970" i="2"/>
  <c r="F5954" i="2"/>
  <c r="F5938" i="2"/>
  <c r="F5922" i="2"/>
  <c r="F5906" i="2"/>
  <c r="F5890" i="2"/>
  <c r="F5874" i="2"/>
  <c r="F5858" i="2"/>
  <c r="F5842" i="2"/>
  <c r="F5826" i="2"/>
  <c r="F5810" i="2"/>
  <c r="F5794" i="2"/>
  <c r="F5778" i="2"/>
  <c r="F5762" i="2"/>
  <c r="F5746" i="2"/>
  <c r="F5730" i="2"/>
  <c r="F5714" i="2"/>
  <c r="F5698" i="2"/>
  <c r="F5682" i="2"/>
  <c r="F5666" i="2"/>
  <c r="F5650" i="2"/>
  <c r="F5634" i="2"/>
  <c r="F5618" i="2"/>
  <c r="F5602" i="2"/>
  <c r="F5586" i="2"/>
  <c r="F5570" i="2"/>
  <c r="F5554" i="2"/>
  <c r="F5538" i="2"/>
  <c r="F5522" i="2"/>
  <c r="F5506" i="2"/>
  <c r="F5490" i="2"/>
  <c r="F5474" i="2"/>
  <c r="F5458" i="2"/>
  <c r="F5442" i="2"/>
  <c r="F5426" i="2"/>
  <c r="F5410" i="2"/>
  <c r="F5394" i="2"/>
  <c r="F5378" i="2"/>
  <c r="F5362" i="2"/>
  <c r="F5346" i="2"/>
  <c r="F5330" i="2"/>
  <c r="F5314" i="2"/>
  <c r="F5298" i="2"/>
  <c r="F5282" i="2"/>
  <c r="F5266" i="2"/>
  <c r="F5250" i="2"/>
  <c r="F5234" i="2"/>
  <c r="F5218" i="2"/>
  <c r="F5202" i="2"/>
  <c r="F5186" i="2"/>
  <c r="F5170" i="2"/>
  <c r="F5154" i="2"/>
  <c r="F5138" i="2"/>
  <c r="F5122" i="2"/>
  <c r="F5106" i="2"/>
  <c r="F5090" i="2"/>
  <c r="F5074" i="2"/>
  <c r="F5058" i="2"/>
  <c r="F5042" i="2"/>
  <c r="F5026" i="2"/>
  <c r="F5010" i="2"/>
  <c r="F4994" i="2"/>
  <c r="F4978" i="2"/>
  <c r="F4962" i="2"/>
  <c r="F4946" i="2"/>
  <c r="F4930" i="2"/>
  <c r="F4914" i="2"/>
  <c r="F4898" i="2"/>
  <c r="F4882" i="2"/>
  <c r="F4866" i="2"/>
  <c r="F4850" i="2"/>
  <c r="F4834" i="2"/>
  <c r="F4818" i="2"/>
  <c r="F4802" i="2"/>
  <c r="F4786" i="2"/>
  <c r="F4770" i="2"/>
  <c r="F4754" i="2"/>
  <c r="F4738" i="2"/>
  <c r="F4722" i="2"/>
  <c r="F4706" i="2"/>
  <c r="F4690" i="2"/>
  <c r="F4674" i="2"/>
  <c r="F4658" i="2"/>
  <c r="F4642" i="2"/>
  <c r="F11014" i="2"/>
  <c r="F10956" i="2"/>
  <c r="F10902" i="2"/>
  <c r="F10851" i="2"/>
  <c r="F10790" i="2"/>
  <c r="F10734" i="2"/>
  <c r="F10683" i="2"/>
  <c r="F10618" i="2"/>
  <c r="F10563" i="2"/>
  <c r="F10507" i="2"/>
  <c r="F10452" i="2"/>
  <c r="F10397" i="2"/>
  <c r="F10350" i="2"/>
  <c r="F10299" i="2"/>
  <c r="F10242" i="2"/>
  <c r="F10189" i="2"/>
  <c r="F10148" i="2"/>
  <c r="F10092" i="2"/>
  <c r="F10045" i="2"/>
  <c r="F10004" i="2"/>
  <c r="F9948" i="2"/>
  <c r="F9896" i="2"/>
  <c r="F9851" i="2"/>
  <c r="F9800" i="2"/>
  <c r="F9755" i="2"/>
  <c r="F9709" i="2"/>
  <c r="F9674" i="2"/>
  <c r="F9642" i="2"/>
  <c r="F9608" i="2"/>
  <c r="F9580" i="2"/>
  <c r="F9546" i="2"/>
  <c r="F9517" i="2"/>
  <c r="F9487" i="2"/>
  <c r="F9455" i="2"/>
  <c r="F9425" i="2"/>
  <c r="F9393" i="2"/>
  <c r="F9361" i="2"/>
  <c r="F9331" i="2"/>
  <c r="F9299" i="2"/>
  <c r="F9271" i="2"/>
  <c r="F9237" i="2"/>
  <c r="F9208" i="2"/>
  <c r="F9174" i="2"/>
  <c r="F9143" i="2"/>
  <c r="F9112" i="2"/>
  <c r="F9082" i="2"/>
  <c r="F9050" i="2"/>
  <c r="F9020" i="2"/>
  <c r="F8989" i="2"/>
  <c r="F8956" i="2"/>
  <c r="F8927" i="2"/>
  <c r="F8901" i="2"/>
  <c r="F8871" i="2"/>
  <c r="F8842" i="2"/>
  <c r="F8812" i="2"/>
  <c r="F8787" i="2"/>
  <c r="F8753" i="2"/>
  <c r="F8725" i="2"/>
  <c r="F8696" i="2"/>
  <c r="F8666" i="2"/>
  <c r="F8636" i="2"/>
  <c r="F8611" i="2"/>
  <c r="F8581" i="2"/>
  <c r="F8550" i="2"/>
  <c r="F8520" i="2"/>
  <c r="F8493" i="2"/>
  <c r="F8463" i="2"/>
  <c r="F8437" i="2"/>
  <c r="F8411" i="2"/>
  <c r="F8385" i="2"/>
  <c r="F8355" i="2"/>
  <c r="F8326" i="2"/>
  <c r="F8300" i="2"/>
  <c r="F8276" i="2"/>
  <c r="F8247" i="2"/>
  <c r="F8220" i="2"/>
  <c r="F8194" i="2"/>
  <c r="F8165" i="2"/>
  <c r="F8138" i="2"/>
  <c r="F8109" i="2"/>
  <c r="F8084" i="2"/>
  <c r="F8057" i="2"/>
  <c r="F8029" i="2"/>
  <c r="F8005" i="2"/>
  <c r="F7974" i="2"/>
  <c r="F7949" i="2"/>
  <c r="F7925" i="2"/>
  <c r="F7903" i="2"/>
  <c r="F7880" i="2"/>
  <c r="F7858" i="2"/>
  <c r="F7837" i="2"/>
  <c r="F7812" i="2"/>
  <c r="F7791" i="2"/>
  <c r="F7769" i="2"/>
  <c r="F7746" i="2"/>
  <c r="F7725" i="2"/>
  <c r="F7704" i="2"/>
  <c r="F7682" i="2"/>
  <c r="F7657" i="2"/>
  <c r="F7635" i="2"/>
  <c r="F7614" i="2"/>
  <c r="F7592" i="2"/>
  <c r="F7569" i="2"/>
  <c r="F7548" i="2"/>
  <c r="F7526" i="2"/>
  <c r="F7502" i="2"/>
  <c r="F7480" i="2"/>
  <c r="F7457" i="2"/>
  <c r="F7436" i="2"/>
  <c r="F7415" i="2"/>
  <c r="F7393" i="2"/>
  <c r="F7371" i="2"/>
  <c r="F7349" i="2"/>
  <c r="F7329" i="2"/>
  <c r="F7308" i="2"/>
  <c r="F7288" i="2"/>
  <c r="F7267" i="2"/>
  <c r="F7247" i="2"/>
  <c r="F7226" i="2"/>
  <c r="F7204" i="2"/>
  <c r="F7184" i="2"/>
  <c r="F7165" i="2"/>
  <c r="F7146" i="2"/>
  <c r="F7127" i="2"/>
  <c r="F7108" i="2"/>
  <c r="F7088" i="2"/>
  <c r="F7067" i="2"/>
  <c r="F7048" i="2"/>
  <c r="F7029" i="2"/>
  <c r="F7009" i="2"/>
  <c r="F6990" i="2"/>
  <c r="F6971" i="2"/>
  <c r="F6952" i="2"/>
  <c r="F6931" i="2"/>
  <c r="F6911" i="2"/>
  <c r="F6893" i="2"/>
  <c r="F6875" i="2"/>
  <c r="F6857" i="2"/>
  <c r="F6839" i="2"/>
  <c r="F6821" i="2"/>
  <c r="F6801" i="2"/>
  <c r="F6783" i="2"/>
  <c r="F6765" i="2"/>
  <c r="F6747" i="2"/>
  <c r="F6729" i="2"/>
  <c r="F6711" i="2"/>
  <c r="F6693" i="2"/>
  <c r="F6673" i="2"/>
  <c r="F6655" i="2"/>
  <c r="F6637" i="2"/>
  <c r="F6619" i="2"/>
  <c r="F6601" i="2"/>
  <c r="F6583" i="2"/>
  <c r="F6565" i="2"/>
  <c r="F6545" i="2"/>
  <c r="F6527" i="2"/>
  <c r="F6509" i="2"/>
  <c r="F6491" i="2"/>
  <c r="F6473" i="2"/>
  <c r="F6455" i="2"/>
  <c r="F6437" i="2"/>
  <c r="F6417" i="2"/>
  <c r="F6399" i="2"/>
  <c r="F6381" i="2"/>
  <c r="F6363" i="2"/>
  <c r="F6345" i="2"/>
  <c r="F6327" i="2"/>
  <c r="F6309" i="2"/>
  <c r="F6289" i="2"/>
  <c r="F6271" i="2"/>
  <c r="F6253" i="2"/>
  <c r="F6235" i="2"/>
  <c r="F6217" i="2"/>
  <c r="F6199" i="2"/>
  <c r="F6181" i="2"/>
  <c r="F6161" i="2"/>
  <c r="F6143" i="2"/>
  <c r="F6125" i="2"/>
  <c r="F6107" i="2"/>
  <c r="F6089" i="2"/>
  <c r="F6071" i="2"/>
  <c r="F6053" i="2"/>
  <c r="F6033" i="2"/>
  <c r="F6015" i="2"/>
  <c r="F5997" i="2"/>
  <c r="F5979" i="2"/>
  <c r="F5961" i="2"/>
  <c r="F5943" i="2"/>
  <c r="F5925" i="2"/>
  <c r="F5905" i="2"/>
  <c r="F5887" i="2"/>
  <c r="F5869" i="2"/>
  <c r="F5851" i="2"/>
  <c r="F5833" i="2"/>
  <c r="F5815" i="2"/>
  <c r="F5797" i="2"/>
  <c r="F5777" i="2"/>
  <c r="F5759" i="2"/>
  <c r="F5741" i="2"/>
  <c r="F5723" i="2"/>
  <c r="F5705" i="2"/>
  <c r="F5687" i="2"/>
  <c r="F5669" i="2"/>
  <c r="F5649" i="2"/>
  <c r="F5631" i="2"/>
  <c r="F5613" i="2"/>
  <c r="F5595" i="2"/>
  <c r="F5577" i="2"/>
  <c r="F5559" i="2"/>
  <c r="F5541" i="2"/>
  <c r="F5521" i="2"/>
  <c r="F5503" i="2"/>
  <c r="F5485" i="2"/>
  <c r="F5467" i="2"/>
  <c r="F5449" i="2"/>
  <c r="F5431" i="2"/>
  <c r="F5413" i="2"/>
  <c r="F5393" i="2"/>
  <c r="F5375" i="2"/>
  <c r="F5357" i="2"/>
  <c r="F5339" i="2"/>
  <c r="F5321" i="2"/>
  <c r="F5303" i="2"/>
  <c r="F5285" i="2"/>
  <c r="F5265" i="2"/>
  <c r="F5247" i="2"/>
  <c r="F5229" i="2"/>
  <c r="F5211" i="2"/>
  <c r="F5193" i="2"/>
  <c r="F5175" i="2"/>
  <c r="F5157" i="2"/>
  <c r="F5137" i="2"/>
  <c r="F5119" i="2"/>
  <c r="F5101" i="2"/>
  <c r="F5083" i="2"/>
  <c r="F5065" i="2"/>
  <c r="F5047" i="2"/>
  <c r="F5029" i="2"/>
  <c r="F5009" i="2"/>
  <c r="F4991" i="2"/>
  <c r="F4973" i="2"/>
  <c r="F4955" i="2"/>
  <c r="F4937" i="2"/>
  <c r="F4919" i="2"/>
  <c r="F4901" i="2"/>
  <c r="F4881" i="2"/>
  <c r="F4863" i="2"/>
  <c r="F4845" i="2"/>
  <c r="F4827" i="2"/>
  <c r="F4809" i="2"/>
  <c r="F4791" i="2"/>
  <c r="F4773" i="2"/>
  <c r="F4753" i="2"/>
  <c r="F4735" i="2"/>
  <c r="F4717" i="2"/>
  <c r="F4699" i="2"/>
  <c r="F4681" i="2"/>
  <c r="F4663" i="2"/>
  <c r="F4645" i="2"/>
  <c r="F4626" i="2"/>
  <c r="F4609" i="2"/>
  <c r="F4592" i="2"/>
  <c r="F4575" i="2"/>
  <c r="F4558" i="2"/>
  <c r="F4541" i="2"/>
  <c r="F4524" i="2"/>
  <c r="F4507" i="2"/>
  <c r="F4490" i="2"/>
  <c r="F4473" i="2"/>
  <c r="F4456" i="2"/>
  <c r="F4439" i="2"/>
  <c r="F4422" i="2"/>
  <c r="F4405" i="2"/>
  <c r="F4388" i="2"/>
  <c r="F4370" i="2"/>
  <c r="F4353" i="2"/>
  <c r="F4336" i="2"/>
  <c r="F4319" i="2"/>
  <c r="F4302" i="2"/>
  <c r="F4285" i="2"/>
  <c r="F4268" i="2"/>
  <c r="F4251" i="2"/>
  <c r="F4234" i="2"/>
  <c r="F4217" i="2"/>
  <c r="F4200" i="2"/>
  <c r="F4183" i="2"/>
  <c r="F4166" i="2"/>
  <c r="F4149" i="2"/>
  <c r="F4132" i="2"/>
  <c r="F4114" i="2"/>
  <c r="F4097" i="2"/>
  <c r="F4080" i="2"/>
  <c r="F4063" i="2"/>
  <c r="F4046" i="2"/>
  <c r="F4029" i="2"/>
  <c r="F4012" i="2"/>
  <c r="F3995" i="2"/>
  <c r="F3978" i="2"/>
  <c r="F3961" i="2"/>
  <c r="F3944" i="2"/>
  <c r="F3927" i="2"/>
  <c r="F3910" i="2"/>
  <c r="F3894" i="2"/>
  <c r="F3878" i="2"/>
  <c r="F3862" i="2"/>
  <c r="F3846" i="2"/>
  <c r="F3830" i="2"/>
  <c r="F3814" i="2"/>
  <c r="F3798" i="2"/>
  <c r="F3782" i="2"/>
  <c r="F3766" i="2"/>
  <c r="F3750" i="2"/>
  <c r="F3734" i="2"/>
  <c r="F3718" i="2"/>
  <c r="F3702" i="2"/>
  <c r="F3686" i="2"/>
  <c r="F3670" i="2"/>
  <c r="F3654" i="2"/>
  <c r="F3638" i="2"/>
  <c r="F3622" i="2"/>
  <c r="F3606" i="2"/>
  <c r="F3590" i="2"/>
  <c r="F3574" i="2"/>
  <c r="F3558" i="2"/>
  <c r="F3542" i="2"/>
  <c r="F3526" i="2"/>
  <c r="F3510" i="2"/>
  <c r="F3494" i="2"/>
  <c r="F3478" i="2"/>
  <c r="F3462" i="2"/>
  <c r="F3446" i="2"/>
  <c r="F3430" i="2"/>
  <c r="F3414" i="2"/>
  <c r="F3398" i="2"/>
  <c r="F3382" i="2"/>
  <c r="F3366" i="2"/>
  <c r="F3350" i="2"/>
  <c r="F3334" i="2"/>
  <c r="F3318" i="2"/>
  <c r="F3302" i="2"/>
  <c r="F3286" i="2"/>
  <c r="F3270" i="2"/>
  <c r="F3254" i="2"/>
  <c r="F3238" i="2"/>
  <c r="F3222" i="2"/>
  <c r="F3206" i="2"/>
  <c r="F3190" i="2"/>
  <c r="F3174" i="2"/>
  <c r="F3158" i="2"/>
  <c r="F3142" i="2"/>
  <c r="F3126" i="2"/>
  <c r="F3110" i="2"/>
  <c r="F3094" i="2"/>
  <c r="F3078" i="2"/>
  <c r="F3062" i="2"/>
  <c r="F3046" i="2"/>
  <c r="F3030" i="2"/>
  <c r="F3014" i="2"/>
  <c r="F2998" i="2"/>
  <c r="F2982" i="2"/>
  <c r="F2966" i="2"/>
  <c r="F2950" i="2"/>
  <c r="F2934" i="2"/>
  <c r="F2918" i="2"/>
  <c r="F2902" i="2"/>
  <c r="F2886" i="2"/>
  <c r="F2870" i="2"/>
  <c r="F2854" i="2"/>
  <c r="F2838" i="2"/>
  <c r="F2822" i="2"/>
  <c r="F2806" i="2"/>
  <c r="F2790" i="2"/>
  <c r="F2774" i="2"/>
  <c r="F2758" i="2"/>
  <c r="F2742" i="2"/>
  <c r="F2726" i="2"/>
  <c r="F2710" i="2"/>
  <c r="F2694" i="2"/>
  <c r="F2678" i="2"/>
  <c r="F2662" i="2"/>
  <c r="F2646" i="2"/>
  <c r="F2630" i="2"/>
  <c r="F2614" i="2"/>
  <c r="F2598" i="2"/>
  <c r="F2582" i="2"/>
  <c r="F2566" i="2"/>
  <c r="F2550" i="2"/>
  <c r="F2534" i="2"/>
  <c r="F2518" i="2"/>
  <c r="F2502" i="2"/>
  <c r="F2486" i="2"/>
  <c r="F2470" i="2"/>
  <c r="F2454" i="2"/>
  <c r="F2438" i="2"/>
  <c r="F2422" i="2"/>
  <c r="F2406" i="2"/>
  <c r="F2390" i="2"/>
  <c r="F2374" i="2"/>
  <c r="F2358" i="2"/>
  <c r="F2342" i="2"/>
  <c r="F2326" i="2"/>
  <c r="F2310" i="2"/>
  <c r="F2294" i="2"/>
  <c r="F2278" i="2"/>
  <c r="F2262" i="2"/>
  <c r="F2246" i="2"/>
  <c r="F2230" i="2"/>
  <c r="F2214" i="2"/>
  <c r="F2198" i="2"/>
  <c r="F2182" i="2"/>
  <c r="F2166" i="2"/>
  <c r="F2150" i="2"/>
  <c r="F2134" i="2"/>
  <c r="F2118" i="2"/>
  <c r="F2102" i="2"/>
  <c r="F2086" i="2"/>
  <c r="F2070" i="2"/>
  <c r="F2054" i="2"/>
  <c r="F2038" i="2"/>
  <c r="F2022" i="2"/>
  <c r="F2006" i="2"/>
  <c r="F1990" i="2"/>
  <c r="F1974" i="2"/>
  <c r="F1958" i="2"/>
  <c r="F1942" i="2"/>
  <c r="F1926" i="2"/>
  <c r="F1910" i="2"/>
  <c r="F1894" i="2"/>
  <c r="F1878" i="2"/>
  <c r="F1862" i="2"/>
  <c r="F1846" i="2"/>
  <c r="F1830" i="2"/>
  <c r="F1814" i="2"/>
  <c r="F11011" i="2"/>
  <c r="F10954" i="2"/>
  <c r="F10901" i="2"/>
  <c r="F10840" i="2"/>
  <c r="F10788" i="2"/>
  <c r="F10731" i="2"/>
  <c r="F10678" i="2"/>
  <c r="F10613" i="2"/>
  <c r="F10562" i="2"/>
  <c r="F10506" i="2"/>
  <c r="F10451" i="2"/>
  <c r="F10395" i="2"/>
  <c r="F10346" i="2"/>
  <c r="F10292" i="2"/>
  <c r="F10237" i="2"/>
  <c r="F10188" i="2"/>
  <c r="F10136" i="2"/>
  <c r="F10090" i="2"/>
  <c r="F10043" i="2"/>
  <c r="F9998" i="2"/>
  <c r="F9947" i="2"/>
  <c r="F9894" i="2"/>
  <c r="F9850" i="2"/>
  <c r="F9798" i="2"/>
  <c r="F9754" i="2"/>
  <c r="F9707" i="2"/>
  <c r="F9670" i="2"/>
  <c r="F9640" i="2"/>
  <c r="F9607" i="2"/>
  <c r="F9574" i="2"/>
  <c r="F9545" i="2"/>
  <c r="F9515" i="2"/>
  <c r="F9484" i="2"/>
  <c r="F9452" i="2"/>
  <c r="F9423" i="2"/>
  <c r="F9389" i="2"/>
  <c r="F9356" i="2"/>
  <c r="F9329" i="2"/>
  <c r="F9298" i="2"/>
  <c r="F9266" i="2"/>
  <c r="F9236" i="2"/>
  <c r="F9207" i="2"/>
  <c r="F9171" i="2"/>
  <c r="F9141" i="2"/>
  <c r="F9111" i="2"/>
  <c r="F9081" i="2"/>
  <c r="F9049" i="2"/>
  <c r="F9019" i="2"/>
  <c r="F8988" i="2"/>
  <c r="F8954" i="2"/>
  <c r="F8925" i="2"/>
  <c r="F8900" i="2"/>
  <c r="F8868" i="2"/>
  <c r="F8841" i="2"/>
  <c r="F8811" i="2"/>
  <c r="F8785" i="2"/>
  <c r="F8751" i="2"/>
  <c r="F8724" i="2"/>
  <c r="F8695" i="2"/>
  <c r="F8665" i="2"/>
  <c r="F8635" i="2"/>
  <c r="F8610" i="2"/>
  <c r="F8578" i="2"/>
  <c r="F8549" i="2"/>
  <c r="F8519" i="2"/>
  <c r="F8489" i="2"/>
  <c r="F8461" i="2"/>
  <c r="F8436" i="2"/>
  <c r="F8410" i="2"/>
  <c r="F8381" i="2"/>
  <c r="F8354" i="2"/>
  <c r="F8325" i="2"/>
  <c r="F8299" i="2"/>
  <c r="F8275" i="2"/>
  <c r="F8245" i="2"/>
  <c r="F8219" i="2"/>
  <c r="F8191" i="2"/>
  <c r="F8163" i="2"/>
  <c r="F8137" i="2"/>
  <c r="F8107" i="2"/>
  <c r="F8083" i="2"/>
  <c r="F8055" i="2"/>
  <c r="F8028" i="2"/>
  <c r="F8004" i="2"/>
  <c r="F7973" i="2"/>
  <c r="F7948" i="2"/>
  <c r="F7924" i="2"/>
  <c r="F7901" i="2"/>
  <c r="F7879" i="2"/>
  <c r="F7857" i="2"/>
  <c r="F7836" i="2"/>
  <c r="F7811" i="2"/>
  <c r="F7789" i="2"/>
  <c r="F7768" i="2"/>
  <c r="F7745" i="2"/>
  <c r="F7724" i="2"/>
  <c r="F7703" i="2"/>
  <c r="F7679" i="2"/>
  <c r="F7656" i="2"/>
  <c r="F7634" i="2"/>
  <c r="F7613" i="2"/>
  <c r="F7591" i="2"/>
  <c r="F7568" i="2"/>
  <c r="F7547" i="2"/>
  <c r="F7524" i="2"/>
  <c r="F7501" i="2"/>
  <c r="F7479" i="2"/>
  <c r="F7456" i="2"/>
  <c r="F7435" i="2"/>
  <c r="F7414" i="2"/>
  <c r="F7392" i="2"/>
  <c r="F7370" i="2"/>
  <c r="F7348" i="2"/>
  <c r="F7328" i="2"/>
  <c r="F7307" i="2"/>
  <c r="F7286" i="2"/>
  <c r="F7266" i="2"/>
  <c r="F7245" i="2"/>
  <c r="F7225" i="2"/>
  <c r="F7203" i="2"/>
  <c r="F7183" i="2"/>
  <c r="F7164" i="2"/>
  <c r="F7145" i="2"/>
  <c r="F7126" i="2"/>
  <c r="F7107" i="2"/>
  <c r="F7087" i="2"/>
  <c r="F7066" i="2"/>
  <c r="F7047" i="2"/>
  <c r="F7028" i="2"/>
  <c r="F7008" i="2"/>
  <c r="F6989" i="2"/>
  <c r="F6970" i="2"/>
  <c r="F6951" i="2"/>
  <c r="F6929" i="2"/>
  <c r="F6910" i="2"/>
  <c r="F6892" i="2"/>
  <c r="F6874" i="2"/>
  <c r="F6856" i="2"/>
  <c r="F6838" i="2"/>
  <c r="F6820" i="2"/>
  <c r="F6800" i="2"/>
  <c r="F6782" i="2"/>
  <c r="F6764" i="2"/>
  <c r="F6746" i="2"/>
  <c r="F6728" i="2"/>
  <c r="F6710" i="2"/>
  <c r="F6692" i="2"/>
  <c r="F6672" i="2"/>
  <c r="F6654" i="2"/>
  <c r="F6636" i="2"/>
  <c r="F6618" i="2"/>
  <c r="F6600" i="2"/>
  <c r="F6582" i="2"/>
  <c r="F6564" i="2"/>
  <c r="F6544" i="2"/>
  <c r="F6526" i="2"/>
  <c r="F6508" i="2"/>
  <c r="F6490" i="2"/>
  <c r="F6472" i="2"/>
  <c r="F6454" i="2"/>
  <c r="F6436" i="2"/>
  <c r="F6416" i="2"/>
  <c r="F6398" i="2"/>
  <c r="F6380" i="2"/>
  <c r="F6362" i="2"/>
  <c r="F6344" i="2"/>
  <c r="F6326" i="2"/>
  <c r="F6308" i="2"/>
  <c r="F6288" i="2"/>
  <c r="F6270" i="2"/>
  <c r="F6252" i="2"/>
  <c r="F6234" i="2"/>
  <c r="F6216" i="2"/>
  <c r="F6198" i="2"/>
  <c r="F6180" i="2"/>
  <c r="F6160" i="2"/>
  <c r="F6142" i="2"/>
  <c r="F6124" i="2"/>
  <c r="F6106" i="2"/>
  <c r="F6088" i="2"/>
  <c r="F6070" i="2"/>
  <c r="F6052" i="2"/>
  <c r="F6032" i="2"/>
  <c r="F6014" i="2"/>
  <c r="F5996" i="2"/>
  <c r="F5978" i="2"/>
  <c r="F5960" i="2"/>
  <c r="F5942" i="2"/>
  <c r="F5924" i="2"/>
  <c r="F5904" i="2"/>
  <c r="F5886" i="2"/>
  <c r="F5868" i="2"/>
  <c r="F5850" i="2"/>
  <c r="F5832" i="2"/>
  <c r="F5814" i="2"/>
  <c r="F5796" i="2"/>
  <c r="F5776" i="2"/>
  <c r="F5758" i="2"/>
  <c r="F5740" i="2"/>
  <c r="F5722" i="2"/>
  <c r="F5704" i="2"/>
  <c r="F5686" i="2"/>
  <c r="F5668" i="2"/>
  <c r="F5648" i="2"/>
  <c r="F5630" i="2"/>
  <c r="F5612" i="2"/>
  <c r="F5594" i="2"/>
  <c r="F5576" i="2"/>
  <c r="F5558" i="2"/>
  <c r="F5540" i="2"/>
  <c r="F5520" i="2"/>
  <c r="F5502" i="2"/>
  <c r="F5484" i="2"/>
  <c r="F5466" i="2"/>
  <c r="F5448" i="2"/>
  <c r="F5430" i="2"/>
  <c r="F5412" i="2"/>
  <c r="F5392" i="2"/>
  <c r="F5374" i="2"/>
  <c r="F5356" i="2"/>
  <c r="F5338" i="2"/>
  <c r="F5320" i="2"/>
  <c r="F5302" i="2"/>
  <c r="F5284" i="2"/>
  <c r="F5264" i="2"/>
  <c r="F5246" i="2"/>
  <c r="F5228" i="2"/>
  <c r="F5210" i="2"/>
  <c r="F5192" i="2"/>
  <c r="F5174" i="2"/>
  <c r="F5156" i="2"/>
  <c r="F5136" i="2"/>
  <c r="F5118" i="2"/>
  <c r="F5100" i="2"/>
  <c r="F5082" i="2"/>
  <c r="F5064" i="2"/>
  <c r="F5046" i="2"/>
  <c r="F5028" i="2"/>
  <c r="F5008" i="2"/>
  <c r="F4990" i="2"/>
  <c r="F4972" i="2"/>
  <c r="F4954" i="2"/>
  <c r="F4936" i="2"/>
  <c r="F4918" i="2"/>
  <c r="F4900" i="2"/>
  <c r="F4880" i="2"/>
  <c r="F4862" i="2"/>
  <c r="F4844" i="2"/>
  <c r="F4826" i="2"/>
  <c r="F4808" i="2"/>
  <c r="F4790" i="2"/>
  <c r="F4772" i="2"/>
  <c r="F4752" i="2"/>
  <c r="F4734" i="2"/>
  <c r="F4716" i="2"/>
  <c r="F4698" i="2"/>
  <c r="F4680" i="2"/>
  <c r="F4662" i="2"/>
  <c r="F4644" i="2"/>
  <c r="F4625" i="2"/>
  <c r="F4608" i="2"/>
  <c r="F4591" i="2"/>
  <c r="F4574" i="2"/>
  <c r="F4557" i="2"/>
  <c r="F4540" i="2"/>
  <c r="F4523" i="2"/>
  <c r="F4506" i="2"/>
  <c r="F4489" i="2"/>
  <c r="F4472" i="2"/>
  <c r="F4455" i="2"/>
  <c r="F4438" i="2"/>
  <c r="F4421" i="2"/>
  <c r="F4404" i="2"/>
  <c r="F4386" i="2"/>
  <c r="F4369" i="2"/>
  <c r="F4352" i="2"/>
  <c r="F4335" i="2"/>
  <c r="F4318" i="2"/>
  <c r="F4301" i="2"/>
  <c r="F4284" i="2"/>
  <c r="F4267" i="2"/>
  <c r="F4250" i="2"/>
  <c r="F4233" i="2"/>
  <c r="F4216" i="2"/>
  <c r="F4199" i="2"/>
  <c r="F4182" i="2"/>
  <c r="F4165" i="2"/>
  <c r="F4148" i="2"/>
  <c r="F4130" i="2"/>
  <c r="F4113" i="2"/>
  <c r="F4096" i="2"/>
  <c r="F4079" i="2"/>
  <c r="F4062" i="2"/>
  <c r="F4045" i="2"/>
  <c r="F4028" i="2"/>
  <c r="F4011" i="2"/>
  <c r="F3994" i="2"/>
  <c r="F3977" i="2"/>
  <c r="F3960" i="2"/>
  <c r="F3943" i="2"/>
  <c r="F3926" i="2"/>
  <c r="F3909" i="2"/>
  <c r="F3893" i="2"/>
  <c r="F3877" i="2"/>
  <c r="F3861" i="2"/>
  <c r="F3845" i="2"/>
  <c r="F3829" i="2"/>
  <c r="F3813" i="2"/>
  <c r="F3797" i="2"/>
  <c r="F3781" i="2"/>
  <c r="F3765" i="2"/>
  <c r="F3749" i="2"/>
  <c r="F3733" i="2"/>
  <c r="F3717" i="2"/>
  <c r="F3701" i="2"/>
  <c r="F3685" i="2"/>
  <c r="F3669" i="2"/>
  <c r="F3653" i="2"/>
  <c r="F3637" i="2"/>
  <c r="F3621" i="2"/>
  <c r="F3605" i="2"/>
  <c r="F3589" i="2"/>
  <c r="F3573" i="2"/>
  <c r="F3557" i="2"/>
  <c r="F3541" i="2"/>
  <c r="F3525" i="2"/>
  <c r="F3509" i="2"/>
  <c r="F3493" i="2"/>
  <c r="F3477" i="2"/>
  <c r="F3461" i="2"/>
  <c r="F3445" i="2"/>
  <c r="F3429" i="2"/>
  <c r="F3413" i="2"/>
  <c r="F3397" i="2"/>
  <c r="F3381" i="2"/>
  <c r="F3365" i="2"/>
  <c r="F3349" i="2"/>
  <c r="F3333" i="2"/>
  <c r="F3317" i="2"/>
  <c r="F3301" i="2"/>
  <c r="F3285" i="2"/>
  <c r="F11042" i="2"/>
  <c r="F10982" i="2"/>
  <c r="F10910" i="2"/>
  <c r="F10853" i="2"/>
  <c r="F10786" i="2"/>
  <c r="F10712" i="2"/>
  <c r="F10651" i="2"/>
  <c r="F10595" i="2"/>
  <c r="F10526" i="2"/>
  <c r="F10460" i="2"/>
  <c r="F10404" i="2"/>
  <c r="F10342" i="2"/>
  <c r="F10276" i="2"/>
  <c r="F10220" i="2"/>
  <c r="F10166" i="2"/>
  <c r="F10108" i="2"/>
  <c r="F10056" i="2"/>
  <c r="F10005" i="2"/>
  <c r="F9941" i="2"/>
  <c r="F9886" i="2"/>
  <c r="F9829" i="2"/>
  <c r="F9781" i="2"/>
  <c r="F9723" i="2"/>
  <c r="F9677" i="2"/>
  <c r="F9643" i="2"/>
  <c r="F9605" i="2"/>
  <c r="F9569" i="2"/>
  <c r="F9537" i="2"/>
  <c r="F9498" i="2"/>
  <c r="F9464" i="2"/>
  <c r="F9428" i="2"/>
  <c r="F9397" i="2"/>
  <c r="F9354" i="2"/>
  <c r="F9322" i="2"/>
  <c r="F9287" i="2"/>
  <c r="F9252" i="2"/>
  <c r="F9215" i="2"/>
  <c r="F9181" i="2"/>
  <c r="F9145" i="2"/>
  <c r="F9109" i="2"/>
  <c r="F9073" i="2"/>
  <c r="F9036" i="2"/>
  <c r="F9001" i="2"/>
  <c r="F8967" i="2"/>
  <c r="F8935" i="2"/>
  <c r="F8902" i="2"/>
  <c r="F8866" i="2"/>
  <c r="F8834" i="2"/>
  <c r="F8797" i="2"/>
  <c r="F8769" i="2"/>
  <c r="F8733" i="2"/>
  <c r="F8700" i="2"/>
  <c r="F8667" i="2"/>
  <c r="F8633" i="2"/>
  <c r="F8597" i="2"/>
  <c r="F8568" i="2"/>
  <c r="F8534" i="2"/>
  <c r="F8502" i="2"/>
  <c r="F8469" i="2"/>
  <c r="F8439" i="2"/>
  <c r="F8406" i="2"/>
  <c r="F8374" i="2"/>
  <c r="F8343" i="2"/>
  <c r="F8315" i="2"/>
  <c r="F8281" i="2"/>
  <c r="F8251" i="2"/>
  <c r="F8221" i="2"/>
  <c r="F8186" i="2"/>
  <c r="F8156" i="2"/>
  <c r="F8125" i="2"/>
  <c r="F8099" i="2"/>
  <c r="F8065" i="2"/>
  <c r="F8034" i="2"/>
  <c r="F8006" i="2"/>
  <c r="F7971" i="2"/>
  <c r="F7943" i="2"/>
  <c r="F7915" i="2"/>
  <c r="F7889" i="2"/>
  <c r="F7865" i="2"/>
  <c r="F7840" i="2"/>
  <c r="F7816" i="2"/>
  <c r="F7787" i="2"/>
  <c r="F7762" i="2"/>
  <c r="F7739" i="2"/>
  <c r="F7711" i="2"/>
  <c r="F7688" i="2"/>
  <c r="F7664" i="2"/>
  <c r="F7636" i="2"/>
  <c r="F7610" i="2"/>
  <c r="F7585" i="2"/>
  <c r="F7559" i="2"/>
  <c r="F7534" i="2"/>
  <c r="F7511" i="2"/>
  <c r="F7486" i="2"/>
  <c r="F7459" i="2"/>
  <c r="F7433" i="2"/>
  <c r="F7409" i="2"/>
  <c r="F7382" i="2"/>
  <c r="F7360" i="2"/>
  <c r="F7336" i="2"/>
  <c r="F7312" i="2"/>
  <c r="F7289" i="2"/>
  <c r="F7264" i="2"/>
  <c r="F7239" i="2"/>
  <c r="F7216" i="2"/>
  <c r="F7194" i="2"/>
  <c r="F7173" i="2"/>
  <c r="F7149" i="2"/>
  <c r="F7128" i="2"/>
  <c r="F7104" i="2"/>
  <c r="F7081" i="2"/>
  <c r="F7060" i="2"/>
  <c r="F7038" i="2"/>
  <c r="F7015" i="2"/>
  <c r="F6993" i="2"/>
  <c r="F6972" i="2"/>
  <c r="F6947" i="2"/>
  <c r="F6925" i="2"/>
  <c r="F6904" i="2"/>
  <c r="F6884" i="2"/>
  <c r="F6862" i="2"/>
  <c r="F6842" i="2"/>
  <c r="F6822" i="2"/>
  <c r="F6798" i="2"/>
  <c r="F6778" i="2"/>
  <c r="F6758" i="2"/>
  <c r="F6736" i="2"/>
  <c r="F6716" i="2"/>
  <c r="F6696" i="2"/>
  <c r="F6676" i="2"/>
  <c r="F6652" i="2"/>
  <c r="F6632" i="2"/>
  <c r="F6612" i="2"/>
  <c r="F6590" i="2"/>
  <c r="F6570" i="2"/>
  <c r="F6550" i="2"/>
  <c r="F6528" i="2"/>
  <c r="F6506" i="2"/>
  <c r="F6486" i="2"/>
  <c r="F6464" i="2"/>
  <c r="F6444" i="2"/>
  <c r="F6424" i="2"/>
  <c r="F6404" i="2"/>
  <c r="F6382" i="2"/>
  <c r="F6360" i="2"/>
  <c r="F6340" i="2"/>
  <c r="F6318" i="2"/>
  <c r="F6298" i="2"/>
  <c r="F6278" i="2"/>
  <c r="F6256" i="2"/>
  <c r="F6236" i="2"/>
  <c r="F6214" i="2"/>
  <c r="F6192" i="2"/>
  <c r="F6172" i="2"/>
  <c r="F6152" i="2"/>
  <c r="F6132" i="2"/>
  <c r="F6110" i="2"/>
  <c r="F6090" i="2"/>
  <c r="F6068" i="2"/>
  <c r="F6046" i="2"/>
  <c r="F6026" i="2"/>
  <c r="F6006" i="2"/>
  <c r="F5984" i="2"/>
  <c r="F5964" i="2"/>
  <c r="F5944" i="2"/>
  <c r="F5920" i="2"/>
  <c r="F5900" i="2"/>
  <c r="F5880" i="2"/>
  <c r="F5860" i="2"/>
  <c r="F5838" i="2"/>
  <c r="F5818" i="2"/>
  <c r="F5798" i="2"/>
  <c r="F5774" i="2"/>
  <c r="F5754" i="2"/>
  <c r="F5734" i="2"/>
  <c r="F5712" i="2"/>
  <c r="F5692" i="2"/>
  <c r="F5672" i="2"/>
  <c r="F5652" i="2"/>
  <c r="F5628" i="2"/>
  <c r="F5608" i="2"/>
  <c r="F5588" i="2"/>
  <c r="F5566" i="2"/>
  <c r="F5546" i="2"/>
  <c r="F5526" i="2"/>
  <c r="F5504" i="2"/>
  <c r="F5482" i="2"/>
  <c r="F5462" i="2"/>
  <c r="F5440" i="2"/>
  <c r="F5420" i="2"/>
  <c r="F5400" i="2"/>
  <c r="F5380" i="2"/>
  <c r="F5358" i="2"/>
  <c r="F5336" i="2"/>
  <c r="F5316" i="2"/>
  <c r="F5294" i="2"/>
  <c r="F5274" i="2"/>
  <c r="F5254" i="2"/>
  <c r="F5232" i="2"/>
  <c r="F5212" i="2"/>
  <c r="F5190" i="2"/>
  <c r="F5168" i="2"/>
  <c r="F5148" i="2"/>
  <c r="F5128" i="2"/>
  <c r="F5108" i="2"/>
  <c r="F5086" i="2"/>
  <c r="F5066" i="2"/>
  <c r="F5044" i="2"/>
  <c r="F5022" i="2"/>
  <c r="F5002" i="2"/>
  <c r="F4982" i="2"/>
  <c r="F4960" i="2"/>
  <c r="F4940" i="2"/>
  <c r="F4920" i="2"/>
  <c r="F4896" i="2"/>
  <c r="F4876" i="2"/>
  <c r="F4856" i="2"/>
  <c r="F4836" i="2"/>
  <c r="F4814" i="2"/>
  <c r="F4794" i="2"/>
  <c r="F4774" i="2"/>
  <c r="F4750" i="2"/>
  <c r="F4730" i="2"/>
  <c r="F11036" i="2"/>
  <c r="F10972" i="2"/>
  <c r="F10904" i="2"/>
  <c r="F10835" i="2"/>
  <c r="F10776" i="2"/>
  <c r="F10708" i="2"/>
  <c r="F10645" i="2"/>
  <c r="F10579" i="2"/>
  <c r="F10520" i="2"/>
  <c r="F10454" i="2"/>
  <c r="F10390" i="2"/>
  <c r="F10325" i="2"/>
  <c r="F10274" i="2"/>
  <c r="F10213" i="2"/>
  <c r="F10158" i="2"/>
  <c r="F10102" i="2"/>
  <c r="F10050" i="2"/>
  <c r="F9988" i="2"/>
  <c r="F9933" i="2"/>
  <c r="F9877" i="2"/>
  <c r="F9827" i="2"/>
  <c r="F9763" i="2"/>
  <c r="F9716" i="2"/>
  <c r="F9675" i="2"/>
  <c r="F9635" i="2"/>
  <c r="F9599" i="2"/>
  <c r="F9565" i="2"/>
  <c r="F9531" i="2"/>
  <c r="F9494" i="2"/>
  <c r="F9462" i="2"/>
  <c r="F9426" i="2"/>
  <c r="F9384" i="2"/>
  <c r="F9352" i="2"/>
  <c r="F9318" i="2"/>
  <c r="F9279" i="2"/>
  <c r="F9250" i="2"/>
  <c r="F9212" i="2"/>
  <c r="F9178" i="2"/>
  <c r="F9137" i="2"/>
  <c r="F9107" i="2"/>
  <c r="F9069" i="2"/>
  <c r="F9033" i="2"/>
  <c r="F8999" i="2"/>
  <c r="F8965" i="2"/>
  <c r="F8929" i="2"/>
  <c r="F8897" i="2"/>
  <c r="F8863" i="2"/>
  <c r="F8828" i="2"/>
  <c r="F8794" i="2"/>
  <c r="F8764" i="2"/>
  <c r="F8731" i="2"/>
  <c r="F8697" i="2"/>
  <c r="F8662" i="2"/>
  <c r="F8631" i="2"/>
  <c r="F8595" i="2"/>
  <c r="F8564" i="2"/>
  <c r="F8532" i="2"/>
  <c r="F8498" i="2"/>
  <c r="F8465" i="2"/>
  <c r="F8434" i="2"/>
  <c r="F8399" i="2"/>
  <c r="F8372" i="2"/>
  <c r="F8341" i="2"/>
  <c r="F8311" i="2"/>
  <c r="F8279" i="2"/>
  <c r="F8248" i="2"/>
  <c r="F8216" i="2"/>
  <c r="F8184" i="2"/>
  <c r="F8152" i="2"/>
  <c r="F8123" i="2"/>
  <c r="F8091" i="2"/>
  <c r="F8061" i="2"/>
  <c r="F8031" i="2"/>
  <c r="F7994" i="2"/>
  <c r="F7969" i="2"/>
  <c r="F7941" i="2"/>
  <c r="F7913" i="2"/>
  <c r="F7887" i="2"/>
  <c r="F7862" i="2"/>
  <c r="F7838" i="2"/>
  <c r="F7809" i="2"/>
  <c r="F7785" i="2"/>
  <c r="F7760" i="2"/>
  <c r="F7734" i="2"/>
  <c r="F7709" i="2"/>
  <c r="F7686" i="2"/>
  <c r="F7660" i="2"/>
  <c r="F7632" i="2"/>
  <c r="F7607" i="2"/>
  <c r="F7583" i="2"/>
  <c r="F7556" i="2"/>
  <c r="F7532" i="2"/>
  <c r="F7507" i="2"/>
  <c r="F7482" i="2"/>
  <c r="F7454" i="2"/>
  <c r="F7431" i="2"/>
  <c r="F7403" i="2"/>
  <c r="F7380" i="2"/>
  <c r="F7357" i="2"/>
  <c r="F7334" i="2"/>
  <c r="F7309" i="2"/>
  <c r="F7284" i="2"/>
  <c r="F7261" i="2"/>
  <c r="F7237" i="2"/>
  <c r="F7213" i="2"/>
  <c r="F7192" i="2"/>
  <c r="F7168" i="2"/>
  <c r="F7147" i="2"/>
  <c r="F7124" i="2"/>
  <c r="F7100" i="2"/>
  <c r="F7079" i="2"/>
  <c r="F7057" i="2"/>
  <c r="F7036" i="2"/>
  <c r="F7013" i="2"/>
  <c r="F6991" i="2"/>
  <c r="F6968" i="2"/>
  <c r="F6944" i="2"/>
  <c r="F6923" i="2"/>
  <c r="F6902" i="2"/>
  <c r="F6880" i="2"/>
  <c r="F6860" i="2"/>
  <c r="F6840" i="2"/>
  <c r="F6816" i="2"/>
  <c r="F6796" i="2"/>
  <c r="F6776" i="2"/>
  <c r="F6756" i="2"/>
  <c r="F6734" i="2"/>
  <c r="F6714" i="2"/>
  <c r="F6694" i="2"/>
  <c r="F6670" i="2"/>
  <c r="F6650" i="2"/>
  <c r="F6630" i="2"/>
  <c r="F6608" i="2"/>
  <c r="F6588" i="2"/>
  <c r="F6568" i="2"/>
  <c r="F6548" i="2"/>
  <c r="F6524" i="2"/>
  <c r="F6504" i="2"/>
  <c r="F6484" i="2"/>
  <c r="F6462" i="2"/>
  <c r="F6442" i="2"/>
  <c r="F6422" i="2"/>
  <c r="F6400" i="2"/>
  <c r="F6378" i="2"/>
  <c r="F6358" i="2"/>
  <c r="F6336" i="2"/>
  <c r="F6316" i="2"/>
  <c r="F6296" i="2"/>
  <c r="F6276" i="2"/>
  <c r="F6254" i="2"/>
  <c r="F6232" i="2"/>
  <c r="F6212" i="2"/>
  <c r="F6190" i="2"/>
  <c r="F6170" i="2"/>
  <c r="F6150" i="2"/>
  <c r="F6128" i="2"/>
  <c r="F6108" i="2"/>
  <c r="F6086" i="2"/>
  <c r="F6064" i="2"/>
  <c r="F6044" i="2"/>
  <c r="F6024" i="2"/>
  <c r="F6004" i="2"/>
  <c r="F5982" i="2"/>
  <c r="F5962" i="2"/>
  <c r="F5940" i="2"/>
  <c r="F5918" i="2"/>
  <c r="F5898" i="2"/>
  <c r="F5878" i="2"/>
  <c r="F5856" i="2"/>
  <c r="F5836" i="2"/>
  <c r="F5816" i="2"/>
  <c r="F5792" i="2"/>
  <c r="F5772" i="2"/>
  <c r="F5752" i="2"/>
  <c r="F5732" i="2"/>
  <c r="F5710" i="2"/>
  <c r="F5690" i="2"/>
  <c r="F5670" i="2"/>
  <c r="F5646" i="2"/>
  <c r="F5626" i="2"/>
  <c r="F5606" i="2"/>
  <c r="F5584" i="2"/>
  <c r="F5564" i="2"/>
  <c r="F5544" i="2"/>
  <c r="F5524" i="2"/>
  <c r="F5500" i="2"/>
  <c r="F5480" i="2"/>
  <c r="F5460" i="2"/>
  <c r="F5438" i="2"/>
  <c r="F5418" i="2"/>
  <c r="F5398" i="2"/>
  <c r="F5376" i="2"/>
  <c r="F5354" i="2"/>
  <c r="F5334" i="2"/>
  <c r="F5312" i="2"/>
  <c r="F5292" i="2"/>
  <c r="F5272" i="2"/>
  <c r="F5252" i="2"/>
  <c r="F5230" i="2"/>
  <c r="F5208" i="2"/>
  <c r="F5188" i="2"/>
  <c r="F5166" i="2"/>
  <c r="F5146" i="2"/>
  <c r="F5126" i="2"/>
  <c r="F5104" i="2"/>
  <c r="F5084" i="2"/>
  <c r="F5062" i="2"/>
  <c r="F5040" i="2"/>
  <c r="F5020" i="2"/>
  <c r="F5000" i="2"/>
  <c r="F4980" i="2"/>
  <c r="F4958" i="2"/>
  <c r="F4938" i="2"/>
  <c r="F4916" i="2"/>
  <c r="F4894" i="2"/>
  <c r="F4874" i="2"/>
  <c r="F4854" i="2"/>
  <c r="F4832" i="2"/>
  <c r="F4812" i="2"/>
  <c r="F4792" i="2"/>
  <c r="F4768" i="2"/>
  <c r="F4748" i="2"/>
  <c r="F4728" i="2"/>
  <c r="F4708" i="2"/>
  <c r="F4686" i="2"/>
  <c r="F4666" i="2"/>
  <c r="F4646" i="2"/>
  <c r="F4623" i="2"/>
  <c r="F4604" i="2"/>
  <c r="F4585" i="2"/>
  <c r="F4566" i="2"/>
  <c r="F4546" i="2"/>
  <c r="F4527" i="2"/>
  <c r="F4508" i="2"/>
  <c r="F4487" i="2"/>
  <c r="F4468" i="2"/>
  <c r="F4448" i="2"/>
  <c r="F4429" i="2"/>
  <c r="F4410" i="2"/>
  <c r="F4391" i="2"/>
  <c r="F4372" i="2"/>
  <c r="F4350" i="2"/>
  <c r="F4331" i="2"/>
  <c r="F4312" i="2"/>
  <c r="F4293" i="2"/>
  <c r="F4273" i="2"/>
  <c r="F4254" i="2"/>
  <c r="F4235" i="2"/>
  <c r="F4214" i="2"/>
  <c r="F4194" i="2"/>
  <c r="F4175" i="2"/>
  <c r="F4156" i="2"/>
  <c r="F4137" i="2"/>
  <c r="F4118" i="2"/>
  <c r="F4098" i="2"/>
  <c r="F4077" i="2"/>
  <c r="F4058" i="2"/>
  <c r="F4039" i="2"/>
  <c r="F4020" i="2"/>
  <c r="F4000" i="2"/>
  <c r="F3981" i="2"/>
  <c r="F3962" i="2"/>
  <c r="F3941" i="2"/>
  <c r="F3921" i="2"/>
  <c r="F3903" i="2"/>
  <c r="F3885" i="2"/>
  <c r="F3867" i="2"/>
  <c r="F3849" i="2"/>
  <c r="F3831" i="2"/>
  <c r="F3811" i="2"/>
  <c r="F3793" i="2"/>
  <c r="F3775" i="2"/>
  <c r="F3757" i="2"/>
  <c r="F3739" i="2"/>
  <c r="F3721" i="2"/>
  <c r="F3703" i="2"/>
  <c r="F3683" i="2"/>
  <c r="F3665" i="2"/>
  <c r="F3647" i="2"/>
  <c r="F3629" i="2"/>
  <c r="F3611" i="2"/>
  <c r="F3593" i="2"/>
  <c r="F3575" i="2"/>
  <c r="F3555" i="2"/>
  <c r="F3537" i="2"/>
  <c r="F3519" i="2"/>
  <c r="F3501" i="2"/>
  <c r="F3483" i="2"/>
  <c r="F3465" i="2"/>
  <c r="F3447" i="2"/>
  <c r="F3427" i="2"/>
  <c r="F3409" i="2"/>
  <c r="F3391" i="2"/>
  <c r="F3373" i="2"/>
  <c r="F3355" i="2"/>
  <c r="F3337" i="2"/>
  <c r="F3319" i="2"/>
  <c r="F3299" i="2"/>
  <c r="F3281" i="2"/>
  <c r="F3264" i="2"/>
  <c r="F3247" i="2"/>
  <c r="F3230" i="2"/>
  <c r="F3213" i="2"/>
  <c r="F3196" i="2"/>
  <c r="F3179" i="2"/>
  <c r="F3162" i="2"/>
  <c r="F3145" i="2"/>
  <c r="F3128" i="2"/>
  <c r="F3111" i="2"/>
  <c r="F3093" i="2"/>
  <c r="F3076" i="2"/>
  <c r="F3059" i="2"/>
  <c r="F3042" i="2"/>
  <c r="F3025" i="2"/>
  <c r="F3008" i="2"/>
  <c r="F2991" i="2"/>
  <c r="F2974" i="2"/>
  <c r="F2957" i="2"/>
  <c r="F2940" i="2"/>
  <c r="F2923" i="2"/>
  <c r="F2906" i="2"/>
  <c r="F2889" i="2"/>
  <c r="F2872" i="2"/>
  <c r="F2855" i="2"/>
  <c r="F2837" i="2"/>
  <c r="F2820" i="2"/>
  <c r="F2803" i="2"/>
  <c r="F2786" i="2"/>
  <c r="F2769" i="2"/>
  <c r="F2752" i="2"/>
  <c r="F2735" i="2"/>
  <c r="F2718" i="2"/>
  <c r="F2701" i="2"/>
  <c r="F2684" i="2"/>
  <c r="F2667" i="2"/>
  <c r="F2650" i="2"/>
  <c r="F2633" i="2"/>
  <c r="F2616" i="2"/>
  <c r="F2599" i="2"/>
  <c r="F2581" i="2"/>
  <c r="F2564" i="2"/>
  <c r="F11037" i="2"/>
  <c r="F10957" i="2"/>
  <c r="F10884" i="2"/>
  <c r="F10818" i="2"/>
  <c r="F10744" i="2"/>
  <c r="F10664" i="2"/>
  <c r="F10598" i="2"/>
  <c r="F10522" i="2"/>
  <c r="F10445" i="2"/>
  <c r="F10374" i="2"/>
  <c r="F10312" i="2"/>
  <c r="F10246" i="2"/>
  <c r="F10178" i="2"/>
  <c r="F10120" i="2"/>
  <c r="F10051" i="2"/>
  <c r="F9980" i="2"/>
  <c r="F9923" i="2"/>
  <c r="F9862" i="2"/>
  <c r="F9794" i="2"/>
  <c r="F9736" i="2"/>
  <c r="F9682" i="2"/>
  <c r="F9636" i="2"/>
  <c r="F9594" i="2"/>
  <c r="F9561" i="2"/>
  <c r="F9519" i="2"/>
  <c r="F9478" i="2"/>
  <c r="F9439" i="2"/>
  <c r="F9400" i="2"/>
  <c r="F9353" i="2"/>
  <c r="F9314" i="2"/>
  <c r="F9274" i="2"/>
  <c r="F9234" i="2"/>
  <c r="F9191" i="2"/>
  <c r="F9155" i="2"/>
  <c r="F9113" i="2"/>
  <c r="F9071" i="2"/>
  <c r="F9028" i="2"/>
  <c r="F8991" i="2"/>
  <c r="F8948" i="2"/>
  <c r="F8911" i="2"/>
  <c r="F8875" i="2"/>
  <c r="F8837" i="2"/>
  <c r="F8795" i="2"/>
  <c r="F8762" i="2"/>
  <c r="F8721" i="2"/>
  <c r="F8684" i="2"/>
  <c r="F8646" i="2"/>
  <c r="F8612" i="2"/>
  <c r="F8570" i="2"/>
  <c r="F8533" i="2"/>
  <c r="F8495" i="2"/>
  <c r="F8457" i="2"/>
  <c r="F8421" i="2"/>
  <c r="F8389" i="2"/>
  <c r="F8349" i="2"/>
  <c r="F8317" i="2"/>
  <c r="F8280" i="2"/>
  <c r="F8243" i="2"/>
  <c r="F8207" i="2"/>
  <c r="F8173" i="2"/>
  <c r="F8139" i="2"/>
  <c r="F8103" i="2"/>
  <c r="F8067" i="2"/>
  <c r="F8033" i="2"/>
  <c r="F7992" i="2"/>
  <c r="F7963" i="2"/>
  <c r="F7929" i="2"/>
  <c r="F7898" i="2"/>
  <c r="F7870" i="2"/>
  <c r="F7842" i="2"/>
  <c r="F7810" i="2"/>
  <c r="F7782" i="2"/>
  <c r="F7753" i="2"/>
  <c r="F7726" i="2"/>
  <c r="F7694" i="2"/>
  <c r="F7668" i="2"/>
  <c r="F7641" i="2"/>
  <c r="F7609" i="2"/>
  <c r="F7579" i="2"/>
  <c r="F7551" i="2"/>
  <c r="F7520" i="2"/>
  <c r="F7494" i="2"/>
  <c r="F7467" i="2"/>
  <c r="F7437" i="2"/>
  <c r="F7404" i="2"/>
  <c r="F7378" i="2"/>
  <c r="F7352" i="2"/>
  <c r="F7323" i="2"/>
  <c r="F7298" i="2"/>
  <c r="F7271" i="2"/>
  <c r="F7243" i="2"/>
  <c r="F7215" i="2"/>
  <c r="F7190" i="2"/>
  <c r="F7162" i="2"/>
  <c r="F7139" i="2"/>
  <c r="F7113" i="2"/>
  <c r="F7089" i="2"/>
  <c r="F7062" i="2"/>
  <c r="F7037" i="2"/>
  <c r="F7011" i="2"/>
  <c r="F6985" i="2"/>
  <c r="F6959" i="2"/>
  <c r="F6936" i="2"/>
  <c r="F6908" i="2"/>
  <c r="F6886" i="2"/>
  <c r="F6861" i="2"/>
  <c r="F6836" i="2"/>
  <c r="F6812" i="2"/>
  <c r="F6790" i="2"/>
  <c r="F6766" i="2"/>
  <c r="F6742" i="2"/>
  <c r="F6718" i="2"/>
  <c r="F6695" i="2"/>
  <c r="F6668" i="2"/>
  <c r="F6646" i="2"/>
  <c r="F6622" i="2"/>
  <c r="F6598" i="2"/>
  <c r="F6574" i="2"/>
  <c r="F6552" i="2"/>
  <c r="F6525" i="2"/>
  <c r="F6502" i="2"/>
  <c r="F6478" i="2"/>
  <c r="F6456" i="2"/>
  <c r="F6430" i="2"/>
  <c r="F6408" i="2"/>
  <c r="F6384" i="2"/>
  <c r="F6359" i="2"/>
  <c r="F6334" i="2"/>
  <c r="F6312" i="2"/>
  <c r="F6286" i="2"/>
  <c r="F6264" i="2"/>
  <c r="F6240" i="2"/>
  <c r="F6218" i="2"/>
  <c r="F6191" i="2"/>
  <c r="F6168" i="2"/>
  <c r="F6144" i="2"/>
  <c r="F6120" i="2"/>
  <c r="F6096" i="2"/>
  <c r="F6074" i="2"/>
  <c r="F6048" i="2"/>
  <c r="F6025" i="2"/>
  <c r="F6000" i="2"/>
  <c r="F5976" i="2"/>
  <c r="F5952" i="2"/>
  <c r="F5930" i="2"/>
  <c r="F5908" i="2"/>
  <c r="F5882" i="2"/>
  <c r="F5857" i="2"/>
  <c r="F5834" i="2"/>
  <c r="F5808" i="2"/>
  <c r="F5786" i="2"/>
  <c r="F5764" i="2"/>
  <c r="F5738" i="2"/>
  <c r="F5716" i="2"/>
  <c r="F5691" i="2"/>
  <c r="F5664" i="2"/>
  <c r="F5642" i="2"/>
  <c r="F5620" i="2"/>
  <c r="F5596" i="2"/>
  <c r="F5572" i="2"/>
  <c r="F5548" i="2"/>
  <c r="F5525" i="2"/>
  <c r="F5498" i="2"/>
  <c r="F5476" i="2"/>
  <c r="F5452" i="2"/>
  <c r="F5428" i="2"/>
  <c r="F5404" i="2"/>
  <c r="F5382" i="2"/>
  <c r="F5355" i="2"/>
  <c r="F5332" i="2"/>
  <c r="F5308" i="2"/>
  <c r="F5286" i="2"/>
  <c r="F5260" i="2"/>
  <c r="F5238" i="2"/>
  <c r="F5214" i="2"/>
  <c r="F5189" i="2"/>
  <c r="F5164" i="2"/>
  <c r="F5142" i="2"/>
  <c r="F5116" i="2"/>
  <c r="F5094" i="2"/>
  <c r="F5070" i="2"/>
  <c r="F5048" i="2"/>
  <c r="F5021" i="2"/>
  <c r="F4998" i="2"/>
  <c r="F4974" i="2"/>
  <c r="F4950" i="2"/>
  <c r="F4926" i="2"/>
  <c r="F4904" i="2"/>
  <c r="F4878" i="2"/>
  <c r="F4855" i="2"/>
  <c r="F4830" i="2"/>
  <c r="F4806" i="2"/>
  <c r="F4782" i="2"/>
  <c r="F4760" i="2"/>
  <c r="F4736" i="2"/>
  <c r="F4712" i="2"/>
  <c r="F4689" i="2"/>
  <c r="F4668" i="2"/>
  <c r="F4647" i="2"/>
  <c r="F4622" i="2"/>
  <c r="F4602" i="2"/>
  <c r="F4582" i="2"/>
  <c r="F4561" i="2"/>
  <c r="F4539" i="2"/>
  <c r="F4519" i="2"/>
  <c r="F4498" i="2"/>
  <c r="F4478" i="2"/>
  <c r="F4458" i="2"/>
  <c r="F4436" i="2"/>
  <c r="F4415" i="2"/>
  <c r="F4395" i="2"/>
  <c r="F4375" i="2"/>
  <c r="F4354" i="2"/>
  <c r="F4332" i="2"/>
  <c r="F4311" i="2"/>
  <c r="F4290" i="2"/>
  <c r="F4270" i="2"/>
  <c r="F4248" i="2"/>
  <c r="F4228" i="2"/>
  <c r="F4207" i="2"/>
  <c r="F4187" i="2"/>
  <c r="F4167" i="2"/>
  <c r="F4144" i="2"/>
  <c r="F4124" i="2"/>
  <c r="F4104" i="2"/>
  <c r="F4084" i="2"/>
  <c r="F4061" i="2"/>
  <c r="F4041" i="2"/>
  <c r="F4021" i="2"/>
  <c r="F3999" i="2"/>
  <c r="F3979" i="2"/>
  <c r="F3957" i="2"/>
  <c r="F3936" i="2"/>
  <c r="F3916" i="2"/>
  <c r="F3897" i="2"/>
  <c r="F3876" i="2"/>
  <c r="F3857" i="2"/>
  <c r="F3838" i="2"/>
  <c r="F3819" i="2"/>
  <c r="F3800" i="2"/>
  <c r="F3779" i="2"/>
  <c r="F3760" i="2"/>
  <c r="F3741" i="2"/>
  <c r="F3722" i="2"/>
  <c r="F3700" i="2"/>
  <c r="F3681" i="2"/>
  <c r="F3662" i="2"/>
  <c r="F3643" i="2"/>
  <c r="F3624" i="2"/>
  <c r="F3603" i="2"/>
  <c r="F3584" i="2"/>
  <c r="F3565" i="2"/>
  <c r="F3546" i="2"/>
  <c r="F3527" i="2"/>
  <c r="F3506" i="2"/>
  <c r="F3487" i="2"/>
  <c r="F3468" i="2"/>
  <c r="F3449" i="2"/>
  <c r="F3428" i="2"/>
  <c r="F3408" i="2"/>
  <c r="F3389" i="2"/>
  <c r="F3370" i="2"/>
  <c r="F3351" i="2"/>
  <c r="F3330" i="2"/>
  <c r="F3311" i="2"/>
  <c r="F3292" i="2"/>
  <c r="F3273" i="2"/>
  <c r="F3255" i="2"/>
  <c r="F3236" i="2"/>
  <c r="F3218" i="2"/>
  <c r="F3200" i="2"/>
  <c r="F3182" i="2"/>
  <c r="F3164" i="2"/>
  <c r="F3146" i="2"/>
  <c r="F3127" i="2"/>
  <c r="F3108" i="2"/>
  <c r="F3090" i="2"/>
  <c r="F3072" i="2"/>
  <c r="F3054" i="2"/>
  <c r="F3036" i="2"/>
  <c r="F3018" i="2"/>
  <c r="F3000" i="2"/>
  <c r="F2981" i="2"/>
  <c r="F2963" i="2"/>
  <c r="F2945" i="2"/>
  <c r="F2927" i="2"/>
  <c r="F2909" i="2"/>
  <c r="F2891" i="2"/>
  <c r="F2873" i="2"/>
  <c r="F2853" i="2"/>
  <c r="F2835" i="2"/>
  <c r="F2817" i="2"/>
  <c r="F2799" i="2"/>
  <c r="F2781" i="2"/>
  <c r="F2763" i="2"/>
  <c r="F2745" i="2"/>
  <c r="F2727" i="2"/>
  <c r="F2708" i="2"/>
  <c r="F2690" i="2"/>
  <c r="F2672" i="2"/>
  <c r="F2654" i="2"/>
  <c r="F2636" i="2"/>
  <c r="F2618" i="2"/>
  <c r="F2600" i="2"/>
  <c r="F2580" i="2"/>
  <c r="F2562" i="2"/>
  <c r="F2545" i="2"/>
  <c r="F2528" i="2"/>
  <c r="F2511" i="2"/>
  <c r="F2494" i="2"/>
  <c r="F2477" i="2"/>
  <c r="F2460" i="2"/>
  <c r="F2443" i="2"/>
  <c r="F2426" i="2"/>
  <c r="F2409" i="2"/>
  <c r="F2392" i="2"/>
  <c r="F2375" i="2"/>
  <c r="F2357" i="2"/>
  <c r="F2340" i="2"/>
  <c r="F2323" i="2"/>
  <c r="F2306" i="2"/>
  <c r="F2289" i="2"/>
  <c r="F2272" i="2"/>
  <c r="F2255" i="2"/>
  <c r="F2238" i="2"/>
  <c r="F2221" i="2"/>
  <c r="F2204" i="2"/>
  <c r="F2187" i="2"/>
  <c r="F2170" i="2"/>
  <c r="F2153" i="2"/>
  <c r="F2136" i="2"/>
  <c r="F2119" i="2"/>
  <c r="F2101" i="2"/>
  <c r="F2084" i="2"/>
  <c r="F2067" i="2"/>
  <c r="F2050" i="2"/>
  <c r="F2033" i="2"/>
  <c r="F2016" i="2"/>
  <c r="F1999" i="2"/>
  <c r="F1982" i="2"/>
  <c r="F1965" i="2"/>
  <c r="F11028" i="2"/>
  <c r="F10949" i="2"/>
  <c r="F10877" i="2"/>
  <c r="F10806" i="2"/>
  <c r="F10739" i="2"/>
  <c r="F10654" i="2"/>
  <c r="F10590" i="2"/>
  <c r="F10510" i="2"/>
  <c r="F10437" i="2"/>
  <c r="F10365" i="2"/>
  <c r="F10308" i="2"/>
  <c r="F10232" i="2"/>
  <c r="F10172" i="2"/>
  <c r="F10107" i="2"/>
  <c r="F10040" i="2"/>
  <c r="F9976" i="2"/>
  <c r="F9916" i="2"/>
  <c r="F9853" i="2"/>
  <c r="F9787" i="2"/>
  <c r="F9725" i="2"/>
  <c r="F9676" i="2"/>
  <c r="F9629" i="2"/>
  <c r="F9591" i="2"/>
  <c r="F9549" i="2"/>
  <c r="F9511" i="2"/>
  <c r="F9469" i="2"/>
  <c r="F9432" i="2"/>
  <c r="F9387" i="2"/>
  <c r="F9349" i="2"/>
  <c r="F9307" i="2"/>
  <c r="F9272" i="2"/>
  <c r="F9227" i="2"/>
  <c r="F9189" i="2"/>
  <c r="F9153" i="2"/>
  <c r="F9108" i="2"/>
  <c r="F9063" i="2"/>
  <c r="F9025" i="2"/>
  <c r="F8981" i="2"/>
  <c r="F8946" i="2"/>
  <c r="F8908" i="2"/>
  <c r="F8872" i="2"/>
  <c r="F8829" i="2"/>
  <c r="F8792" i="2"/>
  <c r="F8756" i="2"/>
  <c r="F8716" i="2"/>
  <c r="F8681" i="2"/>
  <c r="F8643" i="2"/>
  <c r="F8607" i="2"/>
  <c r="F8567" i="2"/>
  <c r="F8529" i="2"/>
  <c r="F8486" i="2"/>
  <c r="F8454" i="2"/>
  <c r="F8418" i="2"/>
  <c r="F8386" i="2"/>
  <c r="F8345" i="2"/>
  <c r="F8313" i="2"/>
  <c r="F8277" i="2"/>
  <c r="F8241" i="2"/>
  <c r="F8204" i="2"/>
  <c r="F8170" i="2"/>
  <c r="F8132" i="2"/>
  <c r="F8101" i="2"/>
  <c r="F8063" i="2"/>
  <c r="F8026" i="2"/>
  <c r="F7990" i="2"/>
  <c r="F7960" i="2"/>
  <c r="F7927" i="2"/>
  <c r="F7896" i="2"/>
  <c r="F7867" i="2"/>
  <c r="F7839" i="2"/>
  <c r="F7806" i="2"/>
  <c r="F7779" i="2"/>
  <c r="F7751" i="2"/>
  <c r="F7722" i="2"/>
  <c r="F7692" i="2"/>
  <c r="F7666" i="2"/>
  <c r="F7633" i="2"/>
  <c r="F7604" i="2"/>
  <c r="F7576" i="2"/>
  <c r="F7549" i="2"/>
  <c r="F7518" i="2"/>
  <c r="F7490" i="2"/>
  <c r="F7462" i="2"/>
  <c r="F7432" i="2"/>
  <c r="F7401" i="2"/>
  <c r="F7376" i="2"/>
  <c r="F7346" i="2"/>
  <c r="F7320" i="2"/>
  <c r="F7293" i="2"/>
  <c r="F7268" i="2"/>
  <c r="F7238" i="2"/>
  <c r="F7211" i="2"/>
  <c r="F7185" i="2"/>
  <c r="F7160" i="2"/>
  <c r="F7134" i="2"/>
  <c r="F7111" i="2"/>
  <c r="F7083" i="2"/>
  <c r="F7059" i="2"/>
  <c r="F7032" i="2"/>
  <c r="F7006" i="2"/>
  <c r="F6981" i="2"/>
  <c r="F6957" i="2"/>
  <c r="F6934" i="2"/>
  <c r="F6906" i="2"/>
  <c r="F6881" i="2"/>
  <c r="F6858" i="2"/>
  <c r="F6832" i="2"/>
  <c r="F6810" i="2"/>
  <c r="F6788" i="2"/>
  <c r="F6762" i="2"/>
  <c r="F6740" i="2"/>
  <c r="F6715" i="2"/>
  <c r="F6688" i="2"/>
  <c r="F6666" i="2"/>
  <c r="F6644" i="2"/>
  <c r="F6620" i="2"/>
  <c r="F6596" i="2"/>
  <c r="F6572" i="2"/>
  <c r="F6549" i="2"/>
  <c r="F6522" i="2"/>
  <c r="F6500" i="2"/>
  <c r="F6476" i="2"/>
  <c r="F6452" i="2"/>
  <c r="F6428" i="2"/>
  <c r="F6406" i="2"/>
  <c r="F6379" i="2"/>
  <c r="F6356" i="2"/>
  <c r="F6332" i="2"/>
  <c r="F6310" i="2"/>
  <c r="F6284" i="2"/>
  <c r="F6262" i="2"/>
  <c r="F6238" i="2"/>
  <c r="F6213" i="2"/>
  <c r="F6188" i="2"/>
  <c r="F6166" i="2"/>
  <c r="F6140" i="2"/>
  <c r="F6118" i="2"/>
  <c r="F6094" i="2"/>
  <c r="F6072" i="2"/>
  <c r="F6045" i="2"/>
  <c r="F6022" i="2"/>
  <c r="F5998" i="2"/>
  <c r="F5974" i="2"/>
  <c r="F5950" i="2"/>
  <c r="F5928" i="2"/>
  <c r="F5902" i="2"/>
  <c r="F5879" i="2"/>
  <c r="F5854" i="2"/>
  <c r="F5830" i="2"/>
  <c r="F5806" i="2"/>
  <c r="F5784" i="2"/>
  <c r="F5760" i="2"/>
  <c r="F5736" i="2"/>
  <c r="F5711" i="2"/>
  <c r="F5688" i="2"/>
  <c r="F5662" i="2"/>
  <c r="F5640" i="2"/>
  <c r="F5616" i="2"/>
  <c r="F5592" i="2"/>
  <c r="F5568" i="2"/>
  <c r="F5545" i="2"/>
  <c r="F5518" i="2"/>
  <c r="F5496" i="2"/>
  <c r="F5472" i="2"/>
  <c r="F5450" i="2"/>
  <c r="F5424" i="2"/>
  <c r="F5402" i="2"/>
  <c r="F5377" i="2"/>
  <c r="F5352" i="2"/>
  <c r="F5328" i="2"/>
  <c r="F5306" i="2"/>
  <c r="F5280" i="2"/>
  <c r="F5258" i="2"/>
  <c r="F5236" i="2"/>
  <c r="F5209" i="2"/>
  <c r="F5184" i="2"/>
  <c r="F5162" i="2"/>
  <c r="F5140" i="2"/>
  <c r="F5114" i="2"/>
  <c r="F5092" i="2"/>
  <c r="F5068" i="2"/>
  <c r="F5041" i="2"/>
  <c r="F5018" i="2"/>
  <c r="F4996" i="2"/>
  <c r="F4970" i="2"/>
  <c r="F4948" i="2"/>
  <c r="F4924" i="2"/>
  <c r="F4902" i="2"/>
  <c r="F4875" i="2"/>
  <c r="F4852" i="2"/>
  <c r="F4828" i="2"/>
  <c r="F4804" i="2"/>
  <c r="F4780" i="2"/>
  <c r="F4758" i="2"/>
  <c r="F4732" i="2"/>
  <c r="F4710" i="2"/>
  <c r="F4687" i="2"/>
  <c r="F4665" i="2"/>
  <c r="F4640" i="2"/>
  <c r="F4620" i="2"/>
  <c r="F4600" i="2"/>
  <c r="F4580" i="2"/>
  <c r="F4559" i="2"/>
  <c r="F4537" i="2"/>
  <c r="F4517" i="2"/>
  <c r="F4496" i="2"/>
  <c r="F4476" i="2"/>
  <c r="F4454" i="2"/>
  <c r="F4433" i="2"/>
  <c r="F4413" i="2"/>
  <c r="F4393" i="2"/>
  <c r="F4373" i="2"/>
  <c r="F4349" i="2"/>
  <c r="F4329" i="2"/>
  <c r="F4309" i="2"/>
  <c r="F4288" i="2"/>
  <c r="F4266" i="2"/>
  <c r="F4246" i="2"/>
  <c r="F4225" i="2"/>
  <c r="F4205" i="2"/>
  <c r="F4185" i="2"/>
  <c r="F4162" i="2"/>
  <c r="F4142" i="2"/>
  <c r="F4122" i="2"/>
  <c r="F4102" i="2"/>
  <c r="F4081" i="2"/>
  <c r="F4059" i="2"/>
  <c r="F4038" i="2"/>
  <c r="F4017" i="2"/>
  <c r="F3997" i="2"/>
  <c r="F3975" i="2"/>
  <c r="F3954" i="2"/>
  <c r="F3934" i="2"/>
  <c r="F3914" i="2"/>
  <c r="F3895" i="2"/>
  <c r="F3874" i="2"/>
  <c r="F3855" i="2"/>
  <c r="F3836" i="2"/>
  <c r="F3817" i="2"/>
  <c r="F3796" i="2"/>
  <c r="F3777" i="2"/>
  <c r="F3758" i="2"/>
  <c r="F3738" i="2"/>
  <c r="F3719" i="2"/>
  <c r="F3698" i="2"/>
  <c r="F3679" i="2"/>
  <c r="F3660" i="2"/>
  <c r="F3641" i="2"/>
  <c r="F3620" i="2"/>
  <c r="F3601" i="2"/>
  <c r="F3582" i="2"/>
  <c r="F3563" i="2"/>
  <c r="F3544" i="2"/>
  <c r="F3523" i="2"/>
  <c r="F3504" i="2"/>
  <c r="F3485" i="2"/>
  <c r="F3466" i="2"/>
  <c r="F3444" i="2"/>
  <c r="F3425" i="2"/>
  <c r="F3406" i="2"/>
  <c r="F3387" i="2"/>
  <c r="F3368" i="2"/>
  <c r="F3347" i="2"/>
  <c r="F3328" i="2"/>
  <c r="F3309" i="2"/>
  <c r="F3290" i="2"/>
  <c r="F3271" i="2"/>
  <c r="F3252" i="2"/>
  <c r="F3234" i="2"/>
  <c r="F3216" i="2"/>
  <c r="F3198" i="2"/>
  <c r="F11034" i="2"/>
  <c r="F10946" i="2"/>
  <c r="F10862" i="2"/>
  <c r="F10781" i="2"/>
  <c r="F10693" i="2"/>
  <c r="F10610" i="2"/>
  <c r="F10531" i="2"/>
  <c r="F10444" i="2"/>
  <c r="F10362" i="2"/>
  <c r="F10282" i="2"/>
  <c r="F10210" i="2"/>
  <c r="F10133" i="2"/>
  <c r="F10062" i="2"/>
  <c r="F9994" i="2"/>
  <c r="F9922" i="2"/>
  <c r="F9843" i="2"/>
  <c r="F9774" i="2"/>
  <c r="F9702" i="2"/>
  <c r="F9655" i="2"/>
  <c r="F9612" i="2"/>
  <c r="F9563" i="2"/>
  <c r="F9512" i="2"/>
  <c r="F9466" i="2"/>
  <c r="F9418" i="2"/>
  <c r="F9375" i="2"/>
  <c r="F9332" i="2"/>
  <c r="F9282" i="2"/>
  <c r="F9238" i="2"/>
  <c r="F9190" i="2"/>
  <c r="F9138" i="2"/>
  <c r="F9095" i="2"/>
  <c r="F9051" i="2"/>
  <c r="F9003" i="2"/>
  <c r="F8963" i="2"/>
  <c r="F8919" i="2"/>
  <c r="F8873" i="2"/>
  <c r="F8824" i="2"/>
  <c r="F8788" i="2"/>
  <c r="F8743" i="2"/>
  <c r="F8698" i="2"/>
  <c r="F8655" i="2"/>
  <c r="F8614" i="2"/>
  <c r="F8569" i="2"/>
  <c r="F8521" i="2"/>
  <c r="F8481" i="2"/>
  <c r="F8441" i="2"/>
  <c r="F8396" i="2"/>
  <c r="F8361" i="2"/>
  <c r="F8321" i="2"/>
  <c r="F8278" i="2"/>
  <c r="F8234" i="2"/>
  <c r="F8198" i="2"/>
  <c r="F8154" i="2"/>
  <c r="F8116" i="2"/>
  <c r="F8076" i="2"/>
  <c r="F8038" i="2"/>
  <c r="F7991" i="2"/>
  <c r="F7956" i="2"/>
  <c r="F7918" i="2"/>
  <c r="F7884" i="2"/>
  <c r="F7850" i="2"/>
  <c r="F7821" i="2"/>
  <c r="F7786" i="2"/>
  <c r="F7752" i="2"/>
  <c r="F7720" i="2"/>
  <c r="F7687" i="2"/>
  <c r="F7651" i="2"/>
  <c r="F7622" i="2"/>
  <c r="F7587" i="2"/>
  <c r="F7554" i="2"/>
  <c r="F7519" i="2"/>
  <c r="F7488" i="2"/>
  <c r="F7452" i="2"/>
  <c r="F7420" i="2"/>
  <c r="F7388" i="2"/>
  <c r="F7359" i="2"/>
  <c r="F7325" i="2"/>
  <c r="F7295" i="2"/>
  <c r="F7263" i="2"/>
  <c r="F7232" i="2"/>
  <c r="F7200" i="2"/>
  <c r="F7175" i="2"/>
  <c r="F7143" i="2"/>
  <c r="F7115" i="2"/>
  <c r="F7084" i="2"/>
  <c r="F7055" i="2"/>
  <c r="F7025" i="2"/>
  <c r="F6998" i="2"/>
  <c r="F6969" i="2"/>
  <c r="F6940" i="2"/>
  <c r="F6912" i="2"/>
  <c r="F6885" i="2"/>
  <c r="F6854" i="2"/>
  <c r="F6828" i="2"/>
  <c r="F6804" i="2"/>
  <c r="F6774" i="2"/>
  <c r="F6748" i="2"/>
  <c r="F6720" i="2"/>
  <c r="F6689" i="2"/>
  <c r="F6664" i="2"/>
  <c r="F6638" i="2"/>
  <c r="F6609" i="2"/>
  <c r="F6584" i="2"/>
  <c r="F6556" i="2"/>
  <c r="F6532" i="2"/>
  <c r="F6501" i="2"/>
  <c r="F6474" i="2"/>
  <c r="F6446" i="2"/>
  <c r="F6420" i="2"/>
  <c r="F6392" i="2"/>
  <c r="F6366" i="2"/>
  <c r="F6337" i="2"/>
  <c r="F6311" i="2"/>
  <c r="F6282" i="2"/>
  <c r="F6255" i="2"/>
  <c r="F6228" i="2"/>
  <c r="F6202" i="2"/>
  <c r="F6174" i="2"/>
  <c r="F6148" i="2"/>
  <c r="F6119" i="2"/>
  <c r="F6092" i="2"/>
  <c r="F6062" i="2"/>
  <c r="F6038" i="2"/>
  <c r="F6010" i="2"/>
  <c r="F5983" i="2"/>
  <c r="F5956" i="2"/>
  <c r="F5929" i="2"/>
  <c r="F5899" i="2"/>
  <c r="F5872" i="2"/>
  <c r="F5846" i="2"/>
  <c r="F5820" i="2"/>
  <c r="F5790" i="2"/>
  <c r="F5766" i="2"/>
  <c r="F5737" i="2"/>
  <c r="F5708" i="2"/>
  <c r="F5680" i="2"/>
  <c r="F5656" i="2"/>
  <c r="F5627" i="2"/>
  <c r="F5600" i="2"/>
  <c r="F5574" i="2"/>
  <c r="F5547" i="2"/>
  <c r="F5516" i="2"/>
  <c r="F5492" i="2"/>
  <c r="F5464" i="2"/>
  <c r="F5436" i="2"/>
  <c r="F5408" i="2"/>
  <c r="F5384" i="2"/>
  <c r="F5353" i="2"/>
  <c r="F5326" i="2"/>
  <c r="F5300" i="2"/>
  <c r="F5273" i="2"/>
  <c r="F5244" i="2"/>
  <c r="F5220" i="2"/>
  <c r="F5194" i="2"/>
  <c r="F5163" i="2"/>
  <c r="F5134" i="2"/>
  <c r="F5110" i="2"/>
  <c r="F5080" i="2"/>
  <c r="F5054" i="2"/>
  <c r="F5030" i="2"/>
  <c r="F5001" i="2"/>
  <c r="F4971" i="2"/>
  <c r="F4944" i="2"/>
  <c r="F4917" i="2"/>
  <c r="F4890" i="2"/>
  <c r="F4864" i="2"/>
  <c r="F4838" i="2"/>
  <c r="F4810" i="2"/>
  <c r="F4781" i="2"/>
  <c r="F4756" i="2"/>
  <c r="F4726" i="2"/>
  <c r="F4701" i="2"/>
  <c r="F4676" i="2"/>
  <c r="F4651" i="2"/>
  <c r="F4628" i="2"/>
  <c r="F4601" i="2"/>
  <c r="F4577" i="2"/>
  <c r="F4553" i="2"/>
  <c r="F4530" i="2"/>
  <c r="F4505" i="2"/>
  <c r="F4482" i="2"/>
  <c r="F4460" i="2"/>
  <c r="F4434" i="2"/>
  <c r="F4411" i="2"/>
  <c r="F4385" i="2"/>
  <c r="F4363" i="2"/>
  <c r="F4341" i="2"/>
  <c r="F4316" i="2"/>
  <c r="F4294" i="2"/>
  <c r="F4269" i="2"/>
  <c r="F4244" i="2"/>
  <c r="F4221" i="2"/>
  <c r="F4197" i="2"/>
  <c r="F4173" i="2"/>
  <c r="F4151" i="2"/>
  <c r="F4126" i="2"/>
  <c r="F4103" i="2"/>
  <c r="F4076" i="2"/>
  <c r="F4054" i="2"/>
  <c r="F4031" i="2"/>
  <c r="F4007" i="2"/>
  <c r="F3984" i="2"/>
  <c r="F3959" i="2"/>
  <c r="F3935" i="2"/>
  <c r="F3912" i="2"/>
  <c r="F3889" i="2"/>
  <c r="F3868" i="2"/>
  <c r="F3844" i="2"/>
  <c r="F3823" i="2"/>
  <c r="F3802" i="2"/>
  <c r="F3778" i="2"/>
  <c r="F3755" i="2"/>
  <c r="F3732" i="2"/>
  <c r="F3711" i="2"/>
  <c r="F3690" i="2"/>
  <c r="F3667" i="2"/>
  <c r="F3645" i="2"/>
  <c r="F3623" i="2"/>
  <c r="F3599" i="2"/>
  <c r="F3578" i="2"/>
  <c r="F3554" i="2"/>
  <c r="F3533" i="2"/>
  <c r="F3512" i="2"/>
  <c r="F3489" i="2"/>
  <c r="F3467" i="2"/>
  <c r="F3442" i="2"/>
  <c r="F3421" i="2"/>
  <c r="F3400" i="2"/>
  <c r="F3377" i="2"/>
  <c r="F3356" i="2"/>
  <c r="F3332" i="2"/>
  <c r="F3310" i="2"/>
  <c r="F3288" i="2"/>
  <c r="F3266" i="2"/>
  <c r="F3245" i="2"/>
  <c r="F3225" i="2"/>
  <c r="F3204" i="2"/>
  <c r="F3184" i="2"/>
  <c r="F3165" i="2"/>
  <c r="F3144" i="2"/>
  <c r="F3124" i="2"/>
  <c r="F3105" i="2"/>
  <c r="F3086" i="2"/>
  <c r="F3067" i="2"/>
  <c r="F3048" i="2"/>
  <c r="F3028" i="2"/>
  <c r="F3009" i="2"/>
  <c r="F2989" i="2"/>
  <c r="F2970" i="2"/>
  <c r="F2951" i="2"/>
  <c r="F2931" i="2"/>
  <c r="F2912" i="2"/>
  <c r="F2893" i="2"/>
  <c r="F2874" i="2"/>
  <c r="F2852" i="2"/>
  <c r="F2833" i="2"/>
  <c r="F2814" i="2"/>
  <c r="F2795" i="2"/>
  <c r="F2776" i="2"/>
  <c r="F2756" i="2"/>
  <c r="F2737" i="2"/>
  <c r="F2717" i="2"/>
  <c r="F2698" i="2"/>
  <c r="F2679" i="2"/>
  <c r="F2659" i="2"/>
  <c r="F2640" i="2"/>
  <c r="F2621" i="2"/>
  <c r="F2602" i="2"/>
  <c r="F2583" i="2"/>
  <c r="F2561" i="2"/>
  <c r="F2543" i="2"/>
  <c r="F2525" i="2"/>
  <c r="F2507" i="2"/>
  <c r="F2489" i="2"/>
  <c r="F2471" i="2"/>
  <c r="F2452" i="2"/>
  <c r="F2434" i="2"/>
  <c r="F2416" i="2"/>
  <c r="F2398" i="2"/>
  <c r="F2380" i="2"/>
  <c r="F2362" i="2"/>
  <c r="F2344" i="2"/>
  <c r="F2325" i="2"/>
  <c r="F2307" i="2"/>
  <c r="F2288" i="2"/>
  <c r="F2270" i="2"/>
  <c r="F2252" i="2"/>
  <c r="F2234" i="2"/>
  <c r="F2216" i="2"/>
  <c r="F2197" i="2"/>
  <c r="F2179" i="2"/>
  <c r="F2161" i="2"/>
  <c r="F2143" i="2"/>
  <c r="F2125" i="2"/>
  <c r="F2107" i="2"/>
  <c r="F2089" i="2"/>
  <c r="F2071" i="2"/>
  <c r="F2052" i="2"/>
  <c r="F2034" i="2"/>
  <c r="F2015" i="2"/>
  <c r="F1997" i="2"/>
  <c r="F1979" i="2"/>
  <c r="F1961" i="2"/>
  <c r="F1944" i="2"/>
  <c r="F1927" i="2"/>
  <c r="F1909" i="2"/>
  <c r="F1892" i="2"/>
  <c r="F1875" i="2"/>
  <c r="F1858" i="2"/>
  <c r="F1841" i="2"/>
  <c r="F1824" i="2"/>
  <c r="F1807" i="2"/>
  <c r="F1791" i="2"/>
  <c r="F1775" i="2"/>
  <c r="F1759" i="2"/>
  <c r="F1743" i="2"/>
  <c r="F1727" i="2"/>
  <c r="F1711" i="2"/>
  <c r="F1695" i="2"/>
  <c r="F1679" i="2"/>
  <c r="F1663" i="2"/>
  <c r="F1647" i="2"/>
  <c r="F1631" i="2"/>
  <c r="F1615" i="2"/>
  <c r="F1599" i="2"/>
  <c r="F1583" i="2"/>
  <c r="F1567" i="2"/>
  <c r="F1551" i="2"/>
  <c r="F1535" i="2"/>
  <c r="F1519" i="2"/>
  <c r="F1503" i="2"/>
  <c r="F1487" i="2"/>
  <c r="F1471" i="2"/>
  <c r="F1455" i="2"/>
  <c r="F1439" i="2"/>
  <c r="F1423" i="2"/>
  <c r="F1407" i="2"/>
  <c r="F1391" i="2"/>
  <c r="F1375" i="2"/>
  <c r="F1359" i="2"/>
  <c r="F1343" i="2"/>
  <c r="F1327" i="2"/>
  <c r="F1311" i="2"/>
  <c r="F1295" i="2"/>
  <c r="F1279" i="2"/>
  <c r="F1263" i="2"/>
  <c r="F1247" i="2"/>
  <c r="F1231" i="2"/>
  <c r="F1215" i="2"/>
  <c r="F1199" i="2"/>
  <c r="F1183" i="2"/>
  <c r="F1167" i="2"/>
  <c r="F1151" i="2"/>
  <c r="F1135" i="2"/>
  <c r="F1119" i="2"/>
  <c r="F1103" i="2"/>
  <c r="F1087" i="2"/>
  <c r="F1071" i="2"/>
  <c r="F1055" i="2"/>
  <c r="F1039" i="2"/>
  <c r="F1023" i="2"/>
  <c r="F1007" i="2"/>
  <c r="F991" i="2"/>
  <c r="F975" i="2"/>
  <c r="F959" i="2"/>
  <c r="F943" i="2"/>
  <c r="F927" i="2"/>
  <c r="F911" i="2"/>
  <c r="F895" i="2"/>
  <c r="F879" i="2"/>
  <c r="F863" i="2"/>
  <c r="F847" i="2"/>
  <c r="F831" i="2"/>
  <c r="F815" i="2"/>
  <c r="F799" i="2"/>
  <c r="F783" i="2"/>
  <c r="F767" i="2"/>
  <c r="F751" i="2"/>
  <c r="F735" i="2"/>
  <c r="F719" i="2"/>
  <c r="F703" i="2"/>
  <c r="F687" i="2"/>
  <c r="F671" i="2"/>
  <c r="F655" i="2"/>
  <c r="F639" i="2"/>
  <c r="F623" i="2"/>
  <c r="F607" i="2"/>
  <c r="F591" i="2"/>
  <c r="F575" i="2"/>
  <c r="F559" i="2"/>
  <c r="F543" i="2"/>
  <c r="F527" i="2"/>
  <c r="F511" i="2"/>
  <c r="F495" i="2"/>
  <c r="F479" i="2"/>
  <c r="F463" i="2"/>
  <c r="F447" i="2"/>
  <c r="F431" i="2"/>
  <c r="F415" i="2"/>
  <c r="F399" i="2"/>
  <c r="F383" i="2"/>
  <c r="F367" i="2"/>
  <c r="F351" i="2"/>
  <c r="F335" i="2"/>
  <c r="F319" i="2"/>
  <c r="F303" i="2"/>
  <c r="F287" i="2"/>
  <c r="F271" i="2"/>
  <c r="F255" i="2"/>
  <c r="F239" i="2"/>
  <c r="F223" i="2"/>
  <c r="F207" i="2"/>
  <c r="F191" i="2"/>
  <c r="F175" i="2"/>
  <c r="F159" i="2"/>
  <c r="F143" i="2"/>
  <c r="F127" i="2"/>
  <c r="F111" i="2"/>
  <c r="F95" i="2"/>
  <c r="F79" i="2"/>
  <c r="F63" i="2"/>
  <c r="F47" i="2"/>
  <c r="F31" i="2"/>
  <c r="F15" i="2"/>
  <c r="F11022" i="2"/>
  <c r="F10940" i="2"/>
  <c r="F10858" i="2"/>
  <c r="F10763" i="2"/>
  <c r="F10690" i="2"/>
  <c r="F10604" i="2"/>
  <c r="F10517" i="2"/>
  <c r="F10430" i="2"/>
  <c r="F10357" i="2"/>
  <c r="F10275" i="2"/>
  <c r="F10203" i="2"/>
  <c r="F10130" i="2"/>
  <c r="F10059" i="2"/>
  <c r="F9979" i="2"/>
  <c r="F9912" i="2"/>
  <c r="F9834" i="2"/>
  <c r="F9758" i="2"/>
  <c r="F9693" i="2"/>
  <c r="F9653" i="2"/>
  <c r="F9604" i="2"/>
  <c r="F9555" i="2"/>
  <c r="F9509" i="2"/>
  <c r="F9463" i="2"/>
  <c r="F9415" i="2"/>
  <c r="F9372" i="2"/>
  <c r="F9324" i="2"/>
  <c r="F9276" i="2"/>
  <c r="F9228" i="2"/>
  <c r="F9187" i="2"/>
  <c r="F9133" i="2"/>
  <c r="F9091" i="2"/>
  <c r="F9045" i="2"/>
  <c r="F9000" i="2"/>
  <c r="F8951" i="2"/>
  <c r="F8909" i="2"/>
  <c r="F8865" i="2"/>
  <c r="F8821" i="2"/>
  <c r="F8775" i="2"/>
  <c r="F8740" i="2"/>
  <c r="F8690" i="2"/>
  <c r="F8650" i="2"/>
  <c r="F8609" i="2"/>
  <c r="F8561" i="2"/>
  <c r="F8517" i="2"/>
  <c r="F8477" i="2"/>
  <c r="F8435" i="2"/>
  <c r="F8394" i="2"/>
  <c r="F8359" i="2"/>
  <c r="F8316" i="2"/>
  <c r="F8268" i="2"/>
  <c r="F8230" i="2"/>
  <c r="F8196" i="2"/>
  <c r="F8150" i="2"/>
  <c r="F8111" i="2"/>
  <c r="F8073" i="2"/>
  <c r="F8027" i="2"/>
  <c r="F7988" i="2"/>
  <c r="F7951" i="2"/>
  <c r="F7914" i="2"/>
  <c r="F7882" i="2"/>
  <c r="F7848" i="2"/>
  <c r="F7819" i="2"/>
  <c r="F7780" i="2"/>
  <c r="F7747" i="2"/>
  <c r="F7713" i="2"/>
  <c r="F7683" i="2"/>
  <c r="F7649" i="2"/>
  <c r="F7617" i="2"/>
  <c r="F7584" i="2"/>
  <c r="F7550" i="2"/>
  <c r="F7515" i="2"/>
  <c r="F7483" i="2"/>
  <c r="F7450" i="2"/>
  <c r="F7418" i="2"/>
  <c r="F7384" i="2"/>
  <c r="F7354" i="2"/>
  <c r="F7322" i="2"/>
  <c r="F7291" i="2"/>
  <c r="F7257" i="2"/>
  <c r="F7229" i="2"/>
  <c r="F7198" i="2"/>
  <c r="F7169" i="2"/>
  <c r="F7141" i="2"/>
  <c r="F7112" i="2"/>
  <c r="F7080" i="2"/>
  <c r="F7053" i="2"/>
  <c r="F7023" i="2"/>
  <c r="F6996" i="2"/>
  <c r="F6964" i="2"/>
  <c r="F6938" i="2"/>
  <c r="F6907" i="2"/>
  <c r="F6878" i="2"/>
  <c r="F6852" i="2"/>
  <c r="F6826" i="2"/>
  <c r="F6797" i="2"/>
  <c r="F6772" i="2"/>
  <c r="F6744" i="2"/>
  <c r="F6717" i="2"/>
  <c r="F6686" i="2"/>
  <c r="F6662" i="2"/>
  <c r="F6634" i="2"/>
  <c r="F6606" i="2"/>
  <c r="F6580" i="2"/>
  <c r="F6554" i="2"/>
  <c r="F6523" i="2"/>
  <c r="F6496" i="2"/>
  <c r="F6470" i="2"/>
  <c r="F6443" i="2"/>
  <c r="F6414" i="2"/>
  <c r="F6390" i="2"/>
  <c r="F6364" i="2"/>
  <c r="F6333" i="2"/>
  <c r="F6304" i="2"/>
  <c r="F6280" i="2"/>
  <c r="F6250" i="2"/>
  <c r="F6224" i="2"/>
  <c r="F6200" i="2"/>
  <c r="F6171" i="2"/>
  <c r="F6141" i="2"/>
  <c r="F6116" i="2"/>
  <c r="F6087" i="2"/>
  <c r="F6060" i="2"/>
  <c r="F6036" i="2"/>
  <c r="F6008" i="2"/>
  <c r="F5980" i="2"/>
  <c r="F5951" i="2"/>
  <c r="F5926" i="2"/>
  <c r="F5896" i="2"/>
  <c r="F5870" i="2"/>
  <c r="F5844" i="2"/>
  <c r="F5817" i="2"/>
  <c r="F5788" i="2"/>
  <c r="F5761" i="2"/>
  <c r="F5733" i="2"/>
  <c r="F5706" i="2"/>
  <c r="F5678" i="2"/>
  <c r="F5654" i="2"/>
  <c r="F5624" i="2"/>
  <c r="F5598" i="2"/>
  <c r="F5569" i="2"/>
  <c r="F5542" i="2"/>
  <c r="F5514" i="2"/>
  <c r="F5488" i="2"/>
  <c r="F5461" i="2"/>
  <c r="F5434" i="2"/>
  <c r="F5406" i="2"/>
  <c r="F5381" i="2"/>
  <c r="F5350" i="2"/>
  <c r="F5324" i="2"/>
  <c r="F5296" i="2"/>
  <c r="F5270" i="2"/>
  <c r="F5242" i="2"/>
  <c r="F5216" i="2"/>
  <c r="F5185" i="2"/>
  <c r="F5160" i="2"/>
  <c r="F5132" i="2"/>
  <c r="F5105" i="2"/>
  <c r="F5078" i="2"/>
  <c r="F5052" i="2"/>
  <c r="F5024" i="2"/>
  <c r="F4997" i="2"/>
  <c r="F4968" i="2"/>
  <c r="F4942" i="2"/>
  <c r="F4912" i="2"/>
  <c r="F4888" i="2"/>
  <c r="F4860" i="2"/>
  <c r="F4833" i="2"/>
  <c r="F4805" i="2"/>
  <c r="F4778" i="2"/>
  <c r="F4749" i="2"/>
  <c r="F4724" i="2"/>
  <c r="F4697" i="2"/>
  <c r="F4672" i="2"/>
  <c r="F4649" i="2"/>
  <c r="F4621" i="2"/>
  <c r="F4598" i="2"/>
  <c r="F4573" i="2"/>
  <c r="F4551" i="2"/>
  <c r="F4528" i="2"/>
  <c r="F4503" i="2"/>
  <c r="F4480" i="2"/>
  <c r="F4457" i="2"/>
  <c r="F4431" i="2"/>
  <c r="F4408" i="2"/>
  <c r="F4383" i="2"/>
  <c r="F4361" i="2"/>
  <c r="F4338" i="2"/>
  <c r="F4314" i="2"/>
  <c r="F4289" i="2"/>
  <c r="F4264" i="2"/>
  <c r="F4241" i="2"/>
  <c r="F4219" i="2"/>
  <c r="F4193" i="2"/>
  <c r="F4171" i="2"/>
  <c r="F4146" i="2"/>
  <c r="F4123" i="2"/>
  <c r="F4100" i="2"/>
  <c r="F4074" i="2"/>
  <c r="F4052" i="2"/>
  <c r="F4027" i="2"/>
  <c r="F4005" i="2"/>
  <c r="F3982" i="2"/>
  <c r="F3956" i="2"/>
  <c r="F3932" i="2"/>
  <c r="F3908" i="2"/>
  <c r="F3887" i="2"/>
  <c r="F3865" i="2"/>
  <c r="F3842" i="2"/>
  <c r="F3821" i="2"/>
  <c r="F3799" i="2"/>
  <c r="F3774" i="2"/>
  <c r="F3753" i="2"/>
  <c r="F3730" i="2"/>
  <c r="F3709" i="2"/>
  <c r="F3688" i="2"/>
  <c r="F3664" i="2"/>
  <c r="F3642" i="2"/>
  <c r="F3618" i="2"/>
  <c r="F3597" i="2"/>
  <c r="F3576" i="2"/>
  <c r="F3552" i="2"/>
  <c r="F3531" i="2"/>
  <c r="F3508" i="2"/>
  <c r="F3486" i="2"/>
  <c r="F3463" i="2"/>
  <c r="F3440" i="2"/>
  <c r="F3419" i="2"/>
  <c r="F3396" i="2"/>
  <c r="F3375" i="2"/>
  <c r="F3353" i="2"/>
  <c r="F3329" i="2"/>
  <c r="F3307" i="2"/>
  <c r="F3284" i="2"/>
  <c r="F3263" i="2"/>
  <c r="F3243" i="2"/>
  <c r="F3223" i="2"/>
  <c r="F3202" i="2"/>
  <c r="F3181" i="2"/>
  <c r="F3161" i="2"/>
  <c r="F3141" i="2"/>
  <c r="F3122" i="2"/>
  <c r="F3103" i="2"/>
  <c r="F3084" i="2"/>
  <c r="F3065" i="2"/>
  <c r="F3045" i="2"/>
  <c r="F3026" i="2"/>
  <c r="F3006" i="2"/>
  <c r="F2987" i="2"/>
  <c r="F2968" i="2"/>
  <c r="F2948" i="2"/>
  <c r="F2929" i="2"/>
  <c r="F2910" i="2"/>
  <c r="F2890" i="2"/>
  <c r="F2869" i="2"/>
  <c r="F2850" i="2"/>
  <c r="F2831" i="2"/>
  <c r="F2812" i="2"/>
  <c r="F2793" i="2"/>
  <c r="F2773" i="2"/>
  <c r="F2754" i="2"/>
  <c r="F2734" i="2"/>
  <c r="F2715" i="2"/>
  <c r="F2696" i="2"/>
  <c r="F2676" i="2"/>
  <c r="F2657" i="2"/>
  <c r="F2638" i="2"/>
  <c r="F2619" i="2"/>
  <c r="F2597" i="2"/>
  <c r="F2578" i="2"/>
  <c r="F2559" i="2"/>
  <c r="F2541" i="2"/>
  <c r="F2523" i="2"/>
  <c r="F2505" i="2"/>
  <c r="F2487" i="2"/>
  <c r="F2468" i="2"/>
  <c r="F2450" i="2"/>
  <c r="F2432" i="2"/>
  <c r="F2414" i="2"/>
  <c r="F2396" i="2"/>
  <c r="F2378" i="2"/>
  <c r="F2360" i="2"/>
  <c r="F2341" i="2"/>
  <c r="F2322" i="2"/>
  <c r="F2304" i="2"/>
  <c r="F2286" i="2"/>
  <c r="F2268" i="2"/>
  <c r="F2250" i="2"/>
  <c r="F2232" i="2"/>
  <c r="F2213" i="2"/>
  <c r="F2195" i="2"/>
  <c r="F2177" i="2"/>
  <c r="F2159" i="2"/>
  <c r="F2141" i="2"/>
  <c r="F2123" i="2"/>
  <c r="F2105" i="2"/>
  <c r="F2087" i="2"/>
  <c r="F2068" i="2"/>
  <c r="F2049" i="2"/>
  <c r="F2031" i="2"/>
  <c r="F2013" i="2"/>
  <c r="F1995" i="2"/>
  <c r="F1977" i="2"/>
  <c r="F1959" i="2"/>
  <c r="F1941" i="2"/>
  <c r="F1924" i="2"/>
  <c r="F1907" i="2"/>
  <c r="F1890" i="2"/>
  <c r="F1873" i="2"/>
  <c r="F1856" i="2"/>
  <c r="F1839" i="2"/>
  <c r="F1822" i="2"/>
  <c r="F1805" i="2"/>
  <c r="F1789" i="2"/>
  <c r="F1773" i="2"/>
  <c r="F1757" i="2"/>
  <c r="F1741" i="2"/>
  <c r="F1725" i="2"/>
  <c r="F1709" i="2"/>
  <c r="F1693" i="2"/>
  <c r="F1677" i="2"/>
  <c r="F1661" i="2"/>
  <c r="F1645" i="2"/>
  <c r="F1629" i="2"/>
  <c r="F1613" i="2"/>
  <c r="F1597" i="2"/>
  <c r="F1581" i="2"/>
  <c r="F1565" i="2"/>
  <c r="F1549" i="2"/>
  <c r="F1533" i="2"/>
  <c r="F1517" i="2"/>
  <c r="F1501" i="2"/>
  <c r="F1485" i="2"/>
  <c r="F1469" i="2"/>
  <c r="F1453" i="2"/>
  <c r="F1437" i="2"/>
  <c r="F1421" i="2"/>
  <c r="F1405" i="2"/>
  <c r="F1389" i="2"/>
  <c r="F1373" i="2"/>
  <c r="F1357" i="2"/>
  <c r="F1341" i="2"/>
  <c r="F1325" i="2"/>
  <c r="F1309" i="2"/>
  <c r="F1293" i="2"/>
  <c r="F1277" i="2"/>
  <c r="F1261" i="2"/>
  <c r="F1245" i="2"/>
  <c r="F1229" i="2"/>
  <c r="F1213" i="2"/>
  <c r="F1197" i="2"/>
  <c r="F1181" i="2"/>
  <c r="F1165" i="2"/>
  <c r="F1149" i="2"/>
  <c r="F1133" i="2"/>
  <c r="F1117" i="2"/>
  <c r="F1101" i="2"/>
  <c r="F1085" i="2"/>
  <c r="F1069" i="2"/>
  <c r="F1053" i="2"/>
  <c r="F1037" i="2"/>
  <c r="F1021" i="2"/>
  <c r="F1005" i="2"/>
  <c r="F989" i="2"/>
  <c r="F973" i="2"/>
  <c r="F957" i="2"/>
  <c r="F941" i="2"/>
  <c r="F925" i="2"/>
  <c r="F909" i="2"/>
  <c r="F893" i="2"/>
  <c r="F877" i="2"/>
  <c r="F861" i="2"/>
  <c r="F845" i="2"/>
  <c r="F829" i="2"/>
  <c r="F813" i="2"/>
  <c r="F797" i="2"/>
  <c r="F781" i="2"/>
  <c r="F765" i="2"/>
  <c r="F749" i="2"/>
  <c r="F733" i="2"/>
  <c r="F717" i="2"/>
  <c r="F701" i="2"/>
  <c r="F685" i="2"/>
  <c r="F669" i="2"/>
  <c r="F653" i="2"/>
  <c r="F637" i="2"/>
  <c r="F621" i="2"/>
  <c r="F605" i="2"/>
  <c r="F589" i="2"/>
  <c r="F573" i="2"/>
  <c r="F557" i="2"/>
  <c r="F541" i="2"/>
  <c r="F525" i="2"/>
  <c r="F509" i="2"/>
  <c r="F493" i="2"/>
  <c r="F477" i="2"/>
  <c r="F461" i="2"/>
  <c r="F445" i="2"/>
  <c r="F429" i="2"/>
  <c r="F413" i="2"/>
  <c r="F397" i="2"/>
  <c r="F381" i="2"/>
  <c r="F365" i="2"/>
  <c r="F349" i="2"/>
  <c r="F333" i="2"/>
  <c r="F317" i="2"/>
  <c r="F301" i="2"/>
  <c r="F285" i="2"/>
  <c r="F269" i="2"/>
  <c r="F253" i="2"/>
  <c r="F237" i="2"/>
  <c r="F221" i="2"/>
  <c r="F205" i="2"/>
  <c r="F189" i="2"/>
  <c r="F173" i="2"/>
  <c r="F157" i="2"/>
  <c r="F141" i="2"/>
  <c r="F125" i="2"/>
  <c r="F109" i="2"/>
  <c r="F93" i="2"/>
  <c r="F77" i="2"/>
  <c r="F61" i="2"/>
  <c r="F45" i="2"/>
  <c r="F29" i="2"/>
  <c r="F13" i="2"/>
  <c r="F10994" i="2"/>
  <c r="F10916" i="2"/>
  <c r="F10828" i="2"/>
  <c r="F10748" i="2"/>
  <c r="F10653" i="2"/>
  <c r="F10571" i="2"/>
  <c r="F10488" i="2"/>
  <c r="F10412" i="2"/>
  <c r="F10323" i="2"/>
  <c r="F10259" i="2"/>
  <c r="F10181" i="2"/>
  <c r="F10101" i="2"/>
  <c r="F10022" i="2"/>
  <c r="F9963" i="2"/>
  <c r="F9890" i="2"/>
  <c r="F9816" i="2"/>
  <c r="F9747" i="2"/>
  <c r="F9684" i="2"/>
  <c r="F9628" i="2"/>
  <c r="F9588" i="2"/>
  <c r="F9542" i="2"/>
  <c r="F9492" i="2"/>
  <c r="F9445" i="2"/>
  <c r="F9403" i="2"/>
  <c r="F9355" i="2"/>
  <c r="F9305" i="2"/>
  <c r="F9259" i="2"/>
  <c r="F9217" i="2"/>
  <c r="F9167" i="2"/>
  <c r="F9128" i="2"/>
  <c r="F9080" i="2"/>
  <c r="F9032" i="2"/>
  <c r="F8980" i="2"/>
  <c r="F8941" i="2"/>
  <c r="F8892" i="2"/>
  <c r="F8852" i="2"/>
  <c r="F8810" i="2"/>
  <c r="F8770" i="2"/>
  <c r="F8723" i="2"/>
  <c r="F8677" i="2"/>
  <c r="F8634" i="2"/>
  <c r="F8591" i="2"/>
  <c r="F8547" i="2"/>
  <c r="F8507" i="2"/>
  <c r="F8460" i="2"/>
  <c r="F8422" i="2"/>
  <c r="F8377" i="2"/>
  <c r="F8340" i="2"/>
  <c r="F8298" i="2"/>
  <c r="F8260" i="2"/>
  <c r="F8223" i="2"/>
  <c r="F8179" i="2"/>
  <c r="F8140" i="2"/>
  <c r="F8100" i="2"/>
  <c r="F8053" i="2"/>
  <c r="F8013" i="2"/>
  <c r="F7981" i="2"/>
  <c r="F7940" i="2"/>
  <c r="F7905" i="2"/>
  <c r="F7871" i="2"/>
  <c r="F7832" i="2"/>
  <c r="F7803" i="2"/>
  <c r="F7771" i="2"/>
  <c r="F7740" i="2"/>
  <c r="F7706" i="2"/>
  <c r="F7672" i="2"/>
  <c r="F7642" i="2"/>
  <c r="F7603" i="2"/>
  <c r="F7572" i="2"/>
  <c r="F7538" i="2"/>
  <c r="F7506" i="2"/>
  <c r="F7472" i="2"/>
  <c r="F7440" i="2"/>
  <c r="F7410" i="2"/>
  <c r="F7375" i="2"/>
  <c r="F7343" i="2"/>
  <c r="F7313" i="2"/>
  <c r="F7281" i="2"/>
  <c r="F7251" i="2"/>
  <c r="F7220" i="2"/>
  <c r="F7191" i="2"/>
  <c r="F7159" i="2"/>
  <c r="F7131" i="2"/>
  <c r="F7099" i="2"/>
  <c r="F7073" i="2"/>
  <c r="F7044" i="2"/>
  <c r="F7016" i="2"/>
  <c r="F6986" i="2"/>
  <c r="F6956" i="2"/>
  <c r="F6926" i="2"/>
  <c r="F6897" i="2"/>
  <c r="F6871" i="2"/>
  <c r="F6845" i="2"/>
  <c r="F6815" i="2"/>
  <c r="F6791" i="2"/>
  <c r="F6761" i="2"/>
  <c r="F6733" i="2"/>
  <c r="F6705" i="2"/>
  <c r="F6681" i="2"/>
  <c r="F6653" i="2"/>
  <c r="F6625" i="2"/>
  <c r="F6599" i="2"/>
  <c r="F6571" i="2"/>
  <c r="F6541" i="2"/>
  <c r="F6517" i="2"/>
  <c r="F6489" i="2"/>
  <c r="F6461" i="2"/>
  <c r="F6433" i="2"/>
  <c r="F6409" i="2"/>
  <c r="F6377" i="2"/>
  <c r="F6351" i="2"/>
  <c r="F6325" i="2"/>
  <c r="F6299" i="2"/>
  <c r="F6269" i="2"/>
  <c r="F6245" i="2"/>
  <c r="F6219" i="2"/>
  <c r="F6187" i="2"/>
  <c r="F6159" i="2"/>
  <c r="F6135" i="2"/>
  <c r="F6105" i="2"/>
  <c r="F6079" i="2"/>
  <c r="F6055" i="2"/>
  <c r="F6027" i="2"/>
  <c r="F5995" i="2"/>
  <c r="F5969" i="2"/>
  <c r="F5945" i="2"/>
  <c r="F5915" i="2"/>
  <c r="F5889" i="2"/>
  <c r="F5863" i="2"/>
  <c r="F5835" i="2"/>
  <c r="F5805" i="2"/>
  <c r="F5781" i="2"/>
  <c r="F5751" i="2"/>
  <c r="F5725" i="2"/>
  <c r="F5697" i="2"/>
  <c r="F5673" i="2"/>
  <c r="F5643" i="2"/>
  <c r="F5615" i="2"/>
  <c r="F5589" i="2"/>
  <c r="F5561" i="2"/>
  <c r="F5533" i="2"/>
  <c r="F5509" i="2"/>
  <c r="F5479" i="2"/>
  <c r="F5453" i="2"/>
  <c r="F5423" i="2"/>
  <c r="F5397" i="2"/>
  <c r="F5369" i="2"/>
  <c r="F5343" i="2"/>
  <c r="F5317" i="2"/>
  <c r="F5289" i="2"/>
  <c r="F5261" i="2"/>
  <c r="F5233" i="2"/>
  <c r="F5205" i="2"/>
  <c r="F5179" i="2"/>
  <c r="F5151" i="2"/>
  <c r="F5125" i="2"/>
  <c r="F5097" i="2"/>
  <c r="F5071" i="2"/>
  <c r="F5039" i="2"/>
  <c r="F5015" i="2"/>
  <c r="F4987" i="2"/>
  <c r="F4961" i="2"/>
  <c r="F4933" i="2"/>
  <c r="F4907" i="2"/>
  <c r="F4879" i="2"/>
  <c r="F4849" i="2"/>
  <c r="F4823" i="2"/>
  <c r="F4797" i="2"/>
  <c r="F4767" i="2"/>
  <c r="F4743" i="2"/>
  <c r="F4715" i="2"/>
  <c r="F4692" i="2"/>
  <c r="F4664" i="2"/>
  <c r="F4637" i="2"/>
  <c r="F4615" i="2"/>
  <c r="F4590" i="2"/>
  <c r="F4568" i="2"/>
  <c r="F4544" i="2"/>
  <c r="F4520" i="2"/>
  <c r="F4495" i="2"/>
  <c r="F4471" i="2"/>
  <c r="F4447" i="2"/>
  <c r="F4425" i="2"/>
  <c r="F4400" i="2"/>
  <c r="F4378" i="2"/>
  <c r="F4356" i="2"/>
  <c r="F4328" i="2"/>
  <c r="F4305" i="2"/>
  <c r="F4281" i="2"/>
  <c r="F4258" i="2"/>
  <c r="F4236" i="2"/>
  <c r="F4210" i="2"/>
  <c r="F4188" i="2"/>
  <c r="F4161" i="2"/>
  <c r="F4139" i="2"/>
  <c r="F4116" i="2"/>
  <c r="F4091" i="2"/>
  <c r="F4069" i="2"/>
  <c r="F4044" i="2"/>
  <c r="F4022" i="2"/>
  <c r="F3996" i="2"/>
  <c r="F3972" i="2"/>
  <c r="F3949" i="2"/>
  <c r="F3925" i="2"/>
  <c r="F3902" i="2"/>
  <c r="F3881" i="2"/>
  <c r="F3858" i="2"/>
  <c r="F3835" i="2"/>
  <c r="F3812" i="2"/>
  <c r="F3790" i="2"/>
  <c r="F3769" i="2"/>
  <c r="F3746" i="2"/>
  <c r="F3725" i="2"/>
  <c r="F3704" i="2"/>
  <c r="F3678" i="2"/>
  <c r="F3657" i="2"/>
  <c r="F3634" i="2"/>
  <c r="F3613" i="2"/>
  <c r="F3591" i="2"/>
  <c r="F3568" i="2"/>
  <c r="F3547" i="2"/>
  <c r="F3522" i="2"/>
  <c r="F3500" i="2"/>
  <c r="F3479" i="2"/>
  <c r="F3456" i="2"/>
  <c r="F3435" i="2"/>
  <c r="F3412" i="2"/>
  <c r="F3390" i="2"/>
  <c r="F3367" i="2"/>
  <c r="F3344" i="2"/>
  <c r="F3323" i="2"/>
  <c r="F3300" i="2"/>
  <c r="F3278" i="2"/>
  <c r="F3258" i="2"/>
  <c r="F3237" i="2"/>
  <c r="F3215" i="2"/>
  <c r="F3194" i="2"/>
  <c r="F3175" i="2"/>
  <c r="F3155" i="2"/>
  <c r="F3136" i="2"/>
  <c r="F3117" i="2"/>
  <c r="F3098" i="2"/>
  <c r="F3079" i="2"/>
  <c r="F3058" i="2"/>
  <c r="F3039" i="2"/>
  <c r="F3020" i="2"/>
  <c r="F3001" i="2"/>
  <c r="F2980" i="2"/>
  <c r="F2961" i="2"/>
  <c r="F2942" i="2"/>
  <c r="F2922" i="2"/>
  <c r="F2903" i="2"/>
  <c r="F2883" i="2"/>
  <c r="F2864" i="2"/>
  <c r="F2845" i="2"/>
  <c r="F2826" i="2"/>
  <c r="F2807" i="2"/>
  <c r="F2787" i="2"/>
  <c r="F2767" i="2"/>
  <c r="F2748" i="2"/>
  <c r="F2729" i="2"/>
  <c r="F2709" i="2"/>
  <c r="F2689" i="2"/>
  <c r="F2670" i="2"/>
  <c r="F2651" i="2"/>
  <c r="F2631" i="2"/>
  <c r="F2611" i="2"/>
  <c r="F2592" i="2"/>
  <c r="F2573" i="2"/>
  <c r="F2554" i="2"/>
  <c r="F2536" i="2"/>
  <c r="F2517" i="2"/>
  <c r="F2499" i="2"/>
  <c r="F2481" i="2"/>
  <c r="F2463" i="2"/>
  <c r="F2445" i="2"/>
  <c r="F2427" i="2"/>
  <c r="F2408" i="2"/>
  <c r="F2389" i="2"/>
  <c r="F2371" i="2"/>
  <c r="F2353" i="2"/>
  <c r="F2335" i="2"/>
  <c r="F2317" i="2"/>
  <c r="F2299" i="2"/>
  <c r="F2281" i="2"/>
  <c r="F2263" i="2"/>
  <c r="F2244" i="2"/>
  <c r="F2226" i="2"/>
  <c r="F2208" i="2"/>
  <c r="F2190" i="2"/>
  <c r="F10990" i="2"/>
  <c r="F10909" i="2"/>
  <c r="F10827" i="2"/>
  <c r="F10741" i="2"/>
  <c r="F10648" i="2"/>
  <c r="F10564" i="2"/>
  <c r="F10485" i="2"/>
  <c r="F10410" i="2"/>
  <c r="F10322" i="2"/>
  <c r="F10250" i="2"/>
  <c r="F10173" i="2"/>
  <c r="F10098" i="2"/>
  <c r="F10019" i="2"/>
  <c r="F9958" i="2"/>
  <c r="F9885" i="2"/>
  <c r="F9813" i="2"/>
  <c r="F9742" i="2"/>
  <c r="F9679" i="2"/>
  <c r="F9627" i="2"/>
  <c r="F9587" i="2"/>
  <c r="F9540" i="2"/>
  <c r="F9491" i="2"/>
  <c r="F9444" i="2"/>
  <c r="F9402" i="2"/>
  <c r="F9351" i="2"/>
  <c r="F9304" i="2"/>
  <c r="F9258" i="2"/>
  <c r="F9213" i="2"/>
  <c r="F9165" i="2"/>
  <c r="F9124" i="2"/>
  <c r="F9075" i="2"/>
  <c r="F9026" i="2"/>
  <c r="F8979" i="2"/>
  <c r="F8940" i="2"/>
  <c r="F8889" i="2"/>
  <c r="F8851" i="2"/>
  <c r="F8809" i="2"/>
  <c r="F8765" i="2"/>
  <c r="F8717" i="2"/>
  <c r="F8675" i="2"/>
  <c r="F8632" i="2"/>
  <c r="F8589" i="2"/>
  <c r="F8545" i="2"/>
  <c r="F8505" i="2"/>
  <c r="F8459" i="2"/>
  <c r="F8419" i="2"/>
  <c r="F8376" i="2"/>
  <c r="F8339" i="2"/>
  <c r="F8297" i="2"/>
  <c r="F8259" i="2"/>
  <c r="F8217" i="2"/>
  <c r="F8178" i="2"/>
  <c r="F8133" i="2"/>
  <c r="F8092" i="2"/>
  <c r="F8052" i="2"/>
  <c r="F8012" i="2"/>
  <c r="F7978" i="2"/>
  <c r="F7937" i="2"/>
  <c r="F7904" i="2"/>
  <c r="F7869" i="2"/>
  <c r="F7831" i="2"/>
  <c r="F7802" i="2"/>
  <c r="F7770" i="2"/>
  <c r="F7735" i="2"/>
  <c r="F7705" i="2"/>
  <c r="F7671" i="2"/>
  <c r="F7638" i="2"/>
  <c r="F7602" i="2"/>
  <c r="F7570" i="2"/>
  <c r="F7537" i="2"/>
  <c r="F7505" i="2"/>
  <c r="F7471" i="2"/>
  <c r="F7439" i="2"/>
  <c r="F7402" i="2"/>
  <c r="F7373" i="2"/>
  <c r="F7341" i="2"/>
  <c r="F7311" i="2"/>
  <c r="F7280" i="2"/>
  <c r="F7250" i="2"/>
  <c r="F7218" i="2"/>
  <c r="F7187" i="2"/>
  <c r="F7158" i="2"/>
  <c r="F7130" i="2"/>
  <c r="F7098" i="2"/>
  <c r="F7072" i="2"/>
  <c r="F7043" i="2"/>
  <c r="F7014" i="2"/>
  <c r="F6982" i="2"/>
  <c r="F6955" i="2"/>
  <c r="F6924" i="2"/>
  <c r="F6896" i="2"/>
  <c r="F6870" i="2"/>
  <c r="F6844" i="2"/>
  <c r="F6814" i="2"/>
  <c r="F6789" i="2"/>
  <c r="F6760" i="2"/>
  <c r="F6732" i="2"/>
  <c r="F6704" i="2"/>
  <c r="F6680" i="2"/>
  <c r="F6651" i="2"/>
  <c r="F6624" i="2"/>
  <c r="F6597" i="2"/>
  <c r="F6569" i="2"/>
  <c r="F6540" i="2"/>
  <c r="F6516" i="2"/>
  <c r="F6488" i="2"/>
  <c r="F6460" i="2"/>
  <c r="F6432" i="2"/>
  <c r="F6407" i="2"/>
  <c r="F6376" i="2"/>
  <c r="F6350" i="2"/>
  <c r="F6324" i="2"/>
  <c r="F6297" i="2"/>
  <c r="F6268" i="2"/>
  <c r="F6244" i="2"/>
  <c r="F6215" i="2"/>
  <c r="F6186" i="2"/>
  <c r="F6158" i="2"/>
  <c r="F6134" i="2"/>
  <c r="F6104" i="2"/>
  <c r="F6078" i="2"/>
  <c r="F6054" i="2"/>
  <c r="F6023" i="2"/>
  <c r="F5994" i="2"/>
  <c r="F5968" i="2"/>
  <c r="F5941" i="2"/>
  <c r="F5914" i="2"/>
  <c r="F5888" i="2"/>
  <c r="F5862" i="2"/>
  <c r="F5831" i="2"/>
  <c r="F5804" i="2"/>
  <c r="F5780" i="2"/>
  <c r="F5750" i="2"/>
  <c r="F5724" i="2"/>
  <c r="F5696" i="2"/>
  <c r="F5671" i="2"/>
  <c r="F5641" i="2"/>
  <c r="F5614" i="2"/>
  <c r="F5585" i="2"/>
  <c r="F5560" i="2"/>
  <c r="F5532" i="2"/>
  <c r="F5508" i="2"/>
  <c r="F5478" i="2"/>
  <c r="F5451" i="2"/>
  <c r="F5422" i="2"/>
  <c r="F5396" i="2"/>
  <c r="F5368" i="2"/>
  <c r="F5342" i="2"/>
  <c r="F5313" i="2"/>
  <c r="F5288" i="2"/>
  <c r="F5259" i="2"/>
  <c r="F5231" i="2"/>
  <c r="F5204" i="2"/>
  <c r="F5178" i="2"/>
  <c r="F5150" i="2"/>
  <c r="F5124" i="2"/>
  <c r="F5096" i="2"/>
  <c r="F5069" i="2"/>
  <c r="F5038" i="2"/>
  <c r="F5014" i="2"/>
  <c r="F4986" i="2"/>
  <c r="F4959" i="2"/>
  <c r="F4932" i="2"/>
  <c r="F4906" i="2"/>
  <c r="F4877" i="2"/>
  <c r="F4848" i="2"/>
  <c r="F4822" i="2"/>
  <c r="F4796" i="2"/>
  <c r="F4766" i="2"/>
  <c r="F4742" i="2"/>
  <c r="F4714" i="2"/>
  <c r="F4688" i="2"/>
  <c r="F4661" i="2"/>
  <c r="F4636" i="2"/>
  <c r="F4614" i="2"/>
  <c r="F4589" i="2"/>
  <c r="F4567" i="2"/>
  <c r="F4543" i="2"/>
  <c r="F4518" i="2"/>
  <c r="F4494" i="2"/>
  <c r="F4470" i="2"/>
  <c r="F4446" i="2"/>
  <c r="F4424" i="2"/>
  <c r="F4399" i="2"/>
  <c r="F4377" i="2"/>
  <c r="F4351" i="2"/>
  <c r="F4327" i="2"/>
  <c r="F4304" i="2"/>
  <c r="F4280" i="2"/>
  <c r="F4257" i="2"/>
  <c r="F4232" i="2"/>
  <c r="F4209" i="2"/>
  <c r="F4186" i="2"/>
  <c r="F4160" i="2"/>
  <c r="F4138" i="2"/>
  <c r="F4112" i="2"/>
  <c r="F4090" i="2"/>
  <c r="F4068" i="2"/>
  <c r="F4043" i="2"/>
  <c r="F4018" i="2"/>
  <c r="F3993" i="2"/>
  <c r="F3970" i="2"/>
  <c r="F3948" i="2"/>
  <c r="F3924" i="2"/>
  <c r="F3901" i="2"/>
  <c r="F3880" i="2"/>
  <c r="F3856" i="2"/>
  <c r="F3834" i="2"/>
  <c r="F3810" i="2"/>
  <c r="F3789" i="2"/>
  <c r="F3768" i="2"/>
  <c r="F3745" i="2"/>
  <c r="F3724" i="2"/>
  <c r="F3699" i="2"/>
  <c r="F3677" i="2"/>
  <c r="F3656" i="2"/>
  <c r="F3633" i="2"/>
  <c r="F3612" i="2"/>
  <c r="F3588" i="2"/>
  <c r="F3567" i="2"/>
  <c r="F3545" i="2"/>
  <c r="F3521" i="2"/>
  <c r="F3499" i="2"/>
  <c r="F3476" i="2"/>
  <c r="F3455" i="2"/>
  <c r="F3434" i="2"/>
  <c r="F3411" i="2"/>
  <c r="F3388" i="2"/>
  <c r="F3364" i="2"/>
  <c r="F3343" i="2"/>
  <c r="F3322" i="2"/>
  <c r="F3298" i="2"/>
  <c r="F3277" i="2"/>
  <c r="F3257" i="2"/>
  <c r="F3235" i="2"/>
  <c r="F3214" i="2"/>
  <c r="F3193" i="2"/>
  <c r="F3173" i="2"/>
  <c r="F3154" i="2"/>
  <c r="F3135" i="2"/>
  <c r="F3116" i="2"/>
  <c r="F3097" i="2"/>
  <c r="F3077" i="2"/>
  <c r="F3057" i="2"/>
  <c r="F3038" i="2"/>
  <c r="F3019" i="2"/>
  <c r="F2999" i="2"/>
  <c r="F2979" i="2"/>
  <c r="F2960" i="2"/>
  <c r="F2941" i="2"/>
  <c r="F2921" i="2"/>
  <c r="F2901" i="2"/>
  <c r="F2882" i="2"/>
  <c r="F2863" i="2"/>
  <c r="F2844" i="2"/>
  <c r="F2825" i="2"/>
  <c r="F2805" i="2"/>
  <c r="F2785" i="2"/>
  <c r="F2766" i="2"/>
  <c r="F2747" i="2"/>
  <c r="F2728" i="2"/>
  <c r="F2707" i="2"/>
  <c r="F2688" i="2"/>
  <c r="F2669" i="2"/>
  <c r="F2649" i="2"/>
  <c r="F2629" i="2"/>
  <c r="F2610" i="2"/>
  <c r="F2591" i="2"/>
  <c r="F2572" i="2"/>
  <c r="F2553" i="2"/>
  <c r="F2535" i="2"/>
  <c r="F2516" i="2"/>
  <c r="F2498" i="2"/>
  <c r="F2480" i="2"/>
  <c r="F2462" i="2"/>
  <c r="F2444" i="2"/>
  <c r="F2425" i="2"/>
  <c r="F2407" i="2"/>
  <c r="F2388" i="2"/>
  <c r="F2370" i="2"/>
  <c r="F2352" i="2"/>
  <c r="F2334" i="2"/>
  <c r="F2316" i="2"/>
  <c r="F2298" i="2"/>
  <c r="F2280" i="2"/>
  <c r="F2261" i="2"/>
  <c r="F2243" i="2"/>
  <c r="F2225" i="2"/>
  <c r="F2207" i="2"/>
  <c r="F2189" i="2"/>
  <c r="F2171" i="2"/>
  <c r="F2152" i="2"/>
  <c r="F2133" i="2"/>
  <c r="F2115" i="2"/>
  <c r="F2097" i="2"/>
  <c r="F2079" i="2"/>
  <c r="F2061" i="2"/>
  <c r="F2043" i="2"/>
  <c r="F2025" i="2"/>
  <c r="F2007" i="2"/>
  <c r="F1988" i="2"/>
  <c r="F1970" i="2"/>
  <c r="F1952" i="2"/>
  <c r="F1935" i="2"/>
  <c r="F1918" i="2"/>
  <c r="F1901" i="2"/>
  <c r="F1884" i="2"/>
  <c r="F1867" i="2"/>
  <c r="F1850" i="2"/>
  <c r="F1833" i="2"/>
  <c r="F1816" i="2"/>
  <c r="F1799" i="2"/>
  <c r="F1783" i="2"/>
  <c r="F1767" i="2"/>
  <c r="F1751" i="2"/>
  <c r="F1735" i="2"/>
  <c r="F1719" i="2"/>
  <c r="F1703" i="2"/>
  <c r="F1687" i="2"/>
  <c r="F1671" i="2"/>
  <c r="F1655" i="2"/>
  <c r="F1639" i="2"/>
  <c r="F1623" i="2"/>
  <c r="F1607" i="2"/>
  <c r="F1591" i="2"/>
  <c r="F1575" i="2"/>
  <c r="F1559" i="2"/>
  <c r="F1543" i="2"/>
  <c r="F11027" i="2"/>
  <c r="F10922" i="2"/>
  <c r="F10796" i="2"/>
  <c r="F10692" i="2"/>
  <c r="F10574" i="2"/>
  <c r="F10466" i="2"/>
  <c r="F10358" i="2"/>
  <c r="F10261" i="2"/>
  <c r="F10152" i="2"/>
  <c r="F10060" i="2"/>
  <c r="F9965" i="2"/>
  <c r="F9868" i="2"/>
  <c r="F9762" i="2"/>
  <c r="F9685" i="2"/>
  <c r="F9620" i="2"/>
  <c r="F9562" i="2"/>
  <c r="F9497" i="2"/>
  <c r="F9437" i="2"/>
  <c r="F9373" i="2"/>
  <c r="F9309" i="2"/>
  <c r="F9251" i="2"/>
  <c r="F9188" i="2"/>
  <c r="F9129" i="2"/>
  <c r="F9061" i="2"/>
  <c r="F9002" i="2"/>
  <c r="F8943" i="2"/>
  <c r="F8885" i="2"/>
  <c r="F8823" i="2"/>
  <c r="F8771" i="2"/>
  <c r="F8709" i="2"/>
  <c r="F8651" i="2"/>
  <c r="F8593" i="2"/>
  <c r="F8538" i="2"/>
  <c r="F8479" i="2"/>
  <c r="F8423" i="2"/>
  <c r="F8367" i="2"/>
  <c r="F8319" i="2"/>
  <c r="F8263" i="2"/>
  <c r="F8205" i="2"/>
  <c r="F8151" i="2"/>
  <c r="F8102" i="2"/>
  <c r="F8043" i="2"/>
  <c r="F7989" i="2"/>
  <c r="F7942" i="2"/>
  <c r="F7894" i="2"/>
  <c r="F7849" i="2"/>
  <c r="F7804" i="2"/>
  <c r="F7761" i="2"/>
  <c r="F7715" i="2"/>
  <c r="F7673" i="2"/>
  <c r="F7627" i="2"/>
  <c r="F7586" i="2"/>
  <c r="F7539" i="2"/>
  <c r="F7496" i="2"/>
  <c r="F7451" i="2"/>
  <c r="F7411" i="2"/>
  <c r="F7364" i="2"/>
  <c r="F7324" i="2"/>
  <c r="F7282" i="2"/>
  <c r="F7240" i="2"/>
  <c r="F7199" i="2"/>
  <c r="F7161" i="2"/>
  <c r="F7121" i="2"/>
  <c r="F7082" i="2"/>
  <c r="F7045" i="2"/>
  <c r="F7004" i="2"/>
  <c r="F6965" i="2"/>
  <c r="F6927" i="2"/>
  <c r="F6890" i="2"/>
  <c r="F6853" i="2"/>
  <c r="F6817" i="2"/>
  <c r="F6780" i="2"/>
  <c r="F6745" i="2"/>
  <c r="F6708" i="2"/>
  <c r="F6671" i="2"/>
  <c r="F6635" i="2"/>
  <c r="F6602" i="2"/>
  <c r="F6560" i="2"/>
  <c r="F6529" i="2"/>
  <c r="F6492" i="2"/>
  <c r="F6453" i="2"/>
  <c r="F6415" i="2"/>
  <c r="F6383" i="2"/>
  <c r="F6346" i="2"/>
  <c r="F6305" i="2"/>
  <c r="F6272" i="2"/>
  <c r="F6233" i="2"/>
  <c r="F6201" i="2"/>
  <c r="F6164" i="2"/>
  <c r="F6126" i="2"/>
  <c r="F6091" i="2"/>
  <c r="F6056" i="2"/>
  <c r="F6016" i="2"/>
  <c r="F5981" i="2"/>
  <c r="F5946" i="2"/>
  <c r="F5910" i="2"/>
  <c r="F5871" i="2"/>
  <c r="F5837" i="2"/>
  <c r="F5800" i="2"/>
  <c r="F5765" i="2"/>
  <c r="F5726" i="2"/>
  <c r="F5689" i="2"/>
  <c r="F5655" i="2"/>
  <c r="F5617" i="2"/>
  <c r="F5580" i="2"/>
  <c r="F5543" i="2"/>
  <c r="F5510" i="2"/>
  <c r="F5470" i="2"/>
  <c r="F5435" i="2"/>
  <c r="F5399" i="2"/>
  <c r="F5364" i="2"/>
  <c r="F5325" i="2"/>
  <c r="F5290" i="2"/>
  <c r="F5253" i="2"/>
  <c r="F5217" i="2"/>
  <c r="F5180" i="2"/>
  <c r="F5144" i="2"/>
  <c r="F5109" i="2"/>
  <c r="F5072" i="2"/>
  <c r="F5034" i="2"/>
  <c r="F4999" i="2"/>
  <c r="F4964" i="2"/>
  <c r="F4925" i="2"/>
  <c r="F4889" i="2"/>
  <c r="F4853" i="2"/>
  <c r="F4816" i="2"/>
  <c r="F4779" i="2"/>
  <c r="F4744" i="2"/>
  <c r="F4705" i="2"/>
  <c r="F4673" i="2"/>
  <c r="F4638" i="2"/>
  <c r="F4607" i="2"/>
  <c r="F4576" i="2"/>
  <c r="F4545" i="2"/>
  <c r="F4512" i="2"/>
  <c r="F4481" i="2"/>
  <c r="F4449" i="2"/>
  <c r="F4417" i="2"/>
  <c r="F4384" i="2"/>
  <c r="F4357" i="2"/>
  <c r="F4322" i="2"/>
  <c r="F4292" i="2"/>
  <c r="F4260" i="2"/>
  <c r="F4226" i="2"/>
  <c r="F4196" i="2"/>
  <c r="F4164" i="2"/>
  <c r="F4133" i="2"/>
  <c r="F4101" i="2"/>
  <c r="F4070" i="2"/>
  <c r="F4036" i="2"/>
  <c r="F4006" i="2"/>
  <c r="F3973" i="2"/>
  <c r="F3942" i="2"/>
  <c r="F3911" i="2"/>
  <c r="F3882" i="2"/>
  <c r="F3851" i="2"/>
  <c r="F3822" i="2"/>
  <c r="F3791" i="2"/>
  <c r="F3762" i="2"/>
  <c r="F3731" i="2"/>
  <c r="F3705" i="2"/>
  <c r="F3673" i="2"/>
  <c r="F3644" i="2"/>
  <c r="F3614" i="2"/>
  <c r="F3583" i="2"/>
  <c r="F3553" i="2"/>
  <c r="F3524" i="2"/>
  <c r="F3495" i="2"/>
  <c r="F3464" i="2"/>
  <c r="F3436" i="2"/>
  <c r="F3404" i="2"/>
  <c r="F3376" i="2"/>
  <c r="F3345" i="2"/>
  <c r="F3315" i="2"/>
  <c r="F3287" i="2"/>
  <c r="F3259" i="2"/>
  <c r="F3229" i="2"/>
  <c r="F3203" i="2"/>
  <c r="F3176" i="2"/>
  <c r="F3150" i="2"/>
  <c r="F3123" i="2"/>
  <c r="F3099" i="2"/>
  <c r="F3071" i="2"/>
  <c r="F3047" i="2"/>
  <c r="F3021" i="2"/>
  <c r="F2994" i="2"/>
  <c r="F2969" i="2"/>
  <c r="F2943" i="2"/>
  <c r="F2916" i="2"/>
  <c r="F2892" i="2"/>
  <c r="F2865" i="2"/>
  <c r="F2840" i="2"/>
  <c r="F2813" i="2"/>
  <c r="F2788" i="2"/>
  <c r="F2761" i="2"/>
  <c r="F2736" i="2"/>
  <c r="F2711" i="2"/>
  <c r="F2683" i="2"/>
  <c r="F2658" i="2"/>
  <c r="F2632" i="2"/>
  <c r="F2606" i="2"/>
  <c r="F2579" i="2"/>
  <c r="F2555" i="2"/>
  <c r="F2530" i="2"/>
  <c r="F2506" i="2"/>
  <c r="F2482" i="2"/>
  <c r="F2457" i="2"/>
  <c r="F2433" i="2"/>
  <c r="F2410" i="2"/>
  <c r="F2384" i="2"/>
  <c r="F2361" i="2"/>
  <c r="F2336" i="2"/>
  <c r="F2312" i="2"/>
  <c r="F2287" i="2"/>
  <c r="F2264" i="2"/>
  <c r="F2239" i="2"/>
  <c r="F2215" i="2"/>
  <c r="F2191" i="2"/>
  <c r="F2167" i="2"/>
  <c r="F2145" i="2"/>
  <c r="F2122" i="2"/>
  <c r="F2099" i="2"/>
  <c r="F2077" i="2"/>
  <c r="F2056" i="2"/>
  <c r="F2032" i="2"/>
  <c r="F2010" i="2"/>
  <c r="F1987" i="2"/>
  <c r="F1966" i="2"/>
  <c r="F1945" i="2"/>
  <c r="F1922" i="2"/>
  <c r="F1902" i="2"/>
  <c r="F1881" i="2"/>
  <c r="F1860" i="2"/>
  <c r="F1838" i="2"/>
  <c r="F1818" i="2"/>
  <c r="F1797" i="2"/>
  <c r="F1778" i="2"/>
  <c r="F1758" i="2"/>
  <c r="F1738" i="2"/>
  <c r="F1718" i="2"/>
  <c r="F1699" i="2"/>
  <c r="F1680" i="2"/>
  <c r="F1659" i="2"/>
  <c r="F1640" i="2"/>
  <c r="F1620" i="2"/>
  <c r="F1601" i="2"/>
  <c r="F1580" i="2"/>
  <c r="F1561" i="2"/>
  <c r="F1541" i="2"/>
  <c r="F1523" i="2"/>
  <c r="F1505" i="2"/>
  <c r="F1486" i="2"/>
  <c r="F1467" i="2"/>
  <c r="F1449" i="2"/>
  <c r="F1431" i="2"/>
  <c r="F1413" i="2"/>
  <c r="F1395" i="2"/>
  <c r="F1377" i="2"/>
  <c r="F1358" i="2"/>
  <c r="F1339" i="2"/>
  <c r="F1321" i="2"/>
  <c r="F1303" i="2"/>
  <c r="F1285" i="2"/>
  <c r="F1267" i="2"/>
  <c r="F1249" i="2"/>
  <c r="F1230" i="2"/>
  <c r="F1211" i="2"/>
  <c r="F1193" i="2"/>
  <c r="F1175" i="2"/>
  <c r="F1157" i="2"/>
  <c r="F1139" i="2"/>
  <c r="F1121" i="2"/>
  <c r="F1102" i="2"/>
  <c r="F1083" i="2"/>
  <c r="F1065" i="2"/>
  <c r="F1047" i="2"/>
  <c r="F1029" i="2"/>
  <c r="F1011" i="2"/>
  <c r="F993" i="2"/>
  <c r="F974" i="2"/>
  <c r="F955" i="2"/>
  <c r="F937" i="2"/>
  <c r="F919" i="2"/>
  <c r="F901" i="2"/>
  <c r="F883" i="2"/>
  <c r="F865" i="2"/>
  <c r="F846" i="2"/>
  <c r="F827" i="2"/>
  <c r="F809" i="2"/>
  <c r="F791" i="2"/>
  <c r="F773" i="2"/>
  <c r="F755" i="2"/>
  <c r="F737" i="2"/>
  <c r="F718" i="2"/>
  <c r="F699" i="2"/>
  <c r="F681" i="2"/>
  <c r="F663" i="2"/>
  <c r="F645" i="2"/>
  <c r="F627" i="2"/>
  <c r="F609" i="2"/>
  <c r="F590" i="2"/>
  <c r="F571" i="2"/>
  <c r="F553" i="2"/>
  <c r="F535" i="2"/>
  <c r="F517" i="2"/>
  <c r="F499" i="2"/>
  <c r="F481" i="2"/>
  <c r="F462" i="2"/>
  <c r="F443" i="2"/>
  <c r="F425" i="2"/>
  <c r="F407" i="2"/>
  <c r="F389" i="2"/>
  <c r="F371" i="2"/>
  <c r="F353" i="2"/>
  <c r="F334" i="2"/>
  <c r="F315" i="2"/>
  <c r="F297" i="2"/>
  <c r="F279" i="2"/>
  <c r="F261" i="2"/>
  <c r="F243" i="2"/>
  <c r="F225" i="2"/>
  <c r="F206" i="2"/>
  <c r="F187" i="2"/>
  <c r="F169" i="2"/>
  <c r="F151" i="2"/>
  <c r="F133" i="2"/>
  <c r="F115" i="2"/>
  <c r="F97" i="2"/>
  <c r="F78" i="2"/>
  <c r="F59" i="2"/>
  <c r="F41" i="2"/>
  <c r="F23" i="2"/>
  <c r="F5" i="2"/>
  <c r="F10986" i="2"/>
  <c r="F10867" i="2"/>
  <c r="F10755" i="2"/>
  <c r="F10642" i="2"/>
  <c r="F10538" i="2"/>
  <c r="F10421" i="2"/>
  <c r="F10315" i="2"/>
  <c r="F10212" i="2"/>
  <c r="F10122" i="2"/>
  <c r="F10013" i="2"/>
  <c r="F9924" i="2"/>
  <c r="F9822" i="2"/>
  <c r="F9724" i="2"/>
  <c r="F9656" i="2"/>
  <c r="F9590" i="2"/>
  <c r="F9526" i="2"/>
  <c r="F9468" i="2"/>
  <c r="F9405" i="2"/>
  <c r="F9345" i="2"/>
  <c r="F9289" i="2"/>
  <c r="F9221" i="2"/>
  <c r="F9159" i="2"/>
  <c r="F9096" i="2"/>
  <c r="F9039" i="2"/>
  <c r="F8971" i="2"/>
  <c r="F8920" i="2"/>
  <c r="F8854" i="2"/>
  <c r="F8801" i="2"/>
  <c r="F8744" i="2"/>
  <c r="F8685" i="2"/>
  <c r="F8619" i="2"/>
  <c r="F8571" i="2"/>
  <c r="F8509" i="2"/>
  <c r="F8451" i="2"/>
  <c r="F8397" i="2"/>
  <c r="F8344" i="2"/>
  <c r="F8294" i="2"/>
  <c r="F8235" i="2"/>
  <c r="F8183" i="2"/>
  <c r="F8129" i="2"/>
  <c r="F8079" i="2"/>
  <c r="F8019" i="2"/>
  <c r="F7967" i="2"/>
  <c r="F7921" i="2"/>
  <c r="F7875" i="2"/>
  <c r="F7827" i="2"/>
  <c r="F7788" i="2"/>
  <c r="F7742" i="2"/>
  <c r="F7695" i="2"/>
  <c r="F7652" i="2"/>
  <c r="F7611" i="2"/>
  <c r="F7565" i="2"/>
  <c r="F7521" i="2"/>
  <c r="F7474" i="2"/>
  <c r="F7430" i="2"/>
  <c r="F7391" i="2"/>
  <c r="F7345" i="2"/>
  <c r="F7303" i="2"/>
  <c r="F7265" i="2"/>
  <c r="F7222" i="2"/>
  <c r="F7180" i="2"/>
  <c r="F7144" i="2"/>
  <c r="F7105" i="2"/>
  <c r="F7065" i="2"/>
  <c r="F7027" i="2"/>
  <c r="F6988" i="2"/>
  <c r="F6948" i="2"/>
  <c r="F6913" i="2"/>
  <c r="F6873" i="2"/>
  <c r="F6837" i="2"/>
  <c r="F6805" i="2"/>
  <c r="F6767" i="2"/>
  <c r="F6727" i="2"/>
  <c r="F6697" i="2"/>
  <c r="F6657" i="2"/>
  <c r="F6617" i="2"/>
  <c r="F6585" i="2"/>
  <c r="F6543" i="2"/>
  <c r="F6511" i="2"/>
  <c r="F6475" i="2"/>
  <c r="F6439" i="2"/>
  <c r="F6397" i="2"/>
  <c r="F6367" i="2"/>
  <c r="F6329" i="2"/>
  <c r="F6293" i="2"/>
  <c r="F6257" i="2"/>
  <c r="F6221" i="2"/>
  <c r="F6183" i="2"/>
  <c r="F6149" i="2"/>
  <c r="F6111" i="2"/>
  <c r="F6075" i="2"/>
  <c r="F6039" i="2"/>
  <c r="F6001" i="2"/>
  <c r="F5965" i="2"/>
  <c r="F5931" i="2"/>
  <c r="F5893" i="2"/>
  <c r="F5853" i="2"/>
  <c r="F5821" i="2"/>
  <c r="F5783" i="2"/>
  <c r="F5745" i="2"/>
  <c r="F5709" i="2"/>
  <c r="F5675" i="2"/>
  <c r="F5637" i="2"/>
  <c r="F5601" i="2"/>
  <c r="F5563" i="2"/>
  <c r="F5529" i="2"/>
  <c r="F5493" i="2"/>
  <c r="F5455" i="2"/>
  <c r="F5417" i="2"/>
  <c r="F5385" i="2"/>
  <c r="F5345" i="2"/>
  <c r="F5309" i="2"/>
  <c r="F5275" i="2"/>
  <c r="F5239" i="2"/>
  <c r="F5199" i="2"/>
  <c r="F5165" i="2"/>
  <c r="F5129" i="2"/>
  <c r="F5089" i="2"/>
  <c r="F5055" i="2"/>
  <c r="F5017" i="2"/>
  <c r="F4983" i="2"/>
  <c r="F4945" i="2"/>
  <c r="F4909" i="2"/>
  <c r="F4871" i="2"/>
  <c r="F4839" i="2"/>
  <c r="F4799" i="2"/>
  <c r="F4763" i="2"/>
  <c r="F4727" i="2"/>
  <c r="F4694" i="2"/>
  <c r="F4656" i="2"/>
  <c r="F4629" i="2"/>
  <c r="F4594" i="2"/>
  <c r="F4562" i="2"/>
  <c r="F4532" i="2"/>
  <c r="F4500" i="2"/>
  <c r="F4465" i="2"/>
  <c r="F4437" i="2"/>
  <c r="F4402" i="2"/>
  <c r="F4368" i="2"/>
  <c r="F4342" i="2"/>
  <c r="F4308" i="2"/>
  <c r="F4277" i="2"/>
  <c r="F4245" i="2"/>
  <c r="F4213" i="2"/>
  <c r="F4180" i="2"/>
  <c r="F4152" i="2"/>
  <c r="F4119" i="2"/>
  <c r="F4087" i="2"/>
  <c r="F4055" i="2"/>
  <c r="F4024" i="2"/>
  <c r="F3990" i="2"/>
  <c r="F3963" i="2"/>
  <c r="F3929" i="2"/>
  <c r="F3898" i="2"/>
  <c r="F3869" i="2"/>
  <c r="F3839" i="2"/>
  <c r="F3807" i="2"/>
  <c r="F3780" i="2"/>
  <c r="F3748" i="2"/>
  <c r="F3716" i="2"/>
  <c r="F3691" i="2"/>
  <c r="F3659" i="2"/>
  <c r="F3630" i="2"/>
  <c r="F3600" i="2"/>
  <c r="F3570" i="2"/>
  <c r="F3539" i="2"/>
  <c r="F3513" i="2"/>
  <c r="F3481" i="2"/>
  <c r="F3452" i="2"/>
  <c r="F3422" i="2"/>
  <c r="F3393" i="2"/>
  <c r="F3361" i="2"/>
  <c r="F3335" i="2"/>
  <c r="F3304" i="2"/>
  <c r="F3274" i="2"/>
  <c r="F3246" i="2"/>
  <c r="F3219" i="2"/>
  <c r="F3189" i="2"/>
  <c r="F3166" i="2"/>
  <c r="F3138" i="2"/>
  <c r="F3113" i="2"/>
  <c r="F3087" i="2"/>
  <c r="F3061" i="2"/>
  <c r="F3034" i="2"/>
  <c r="F3010" i="2"/>
  <c r="F2984" i="2"/>
  <c r="F2956" i="2"/>
  <c r="F2932" i="2"/>
  <c r="F2905" i="2"/>
  <c r="F2879" i="2"/>
  <c r="F2856" i="2"/>
  <c r="F2828" i="2"/>
  <c r="F2801" i="2"/>
  <c r="F2777" i="2"/>
  <c r="F2750" i="2"/>
  <c r="F2723" i="2"/>
  <c r="F2699" i="2"/>
  <c r="F2673" i="2"/>
  <c r="F2645" i="2"/>
  <c r="F2622" i="2"/>
  <c r="F2594" i="2"/>
  <c r="F2569" i="2"/>
  <c r="F2544" i="2"/>
  <c r="F2520" i="2"/>
  <c r="F2495" i="2"/>
  <c r="F2472" i="2"/>
  <c r="F2447" i="2"/>
  <c r="F2421" i="2"/>
  <c r="F2399" i="2"/>
  <c r="F2373" i="2"/>
  <c r="F2349" i="2"/>
  <c r="F2327" i="2"/>
  <c r="F2301" i="2"/>
  <c r="F2276" i="2"/>
  <c r="F2253" i="2"/>
  <c r="F2228" i="2"/>
  <c r="F2203" i="2"/>
  <c r="F2180" i="2"/>
  <c r="F2157" i="2"/>
  <c r="F2135" i="2"/>
  <c r="F2112" i="2"/>
  <c r="F2091" i="2"/>
  <c r="F2066" i="2"/>
  <c r="F2045" i="2"/>
  <c r="F2023" i="2"/>
  <c r="F2001" i="2"/>
  <c r="F1978" i="2"/>
  <c r="F1955" i="2"/>
  <c r="F1934" i="2"/>
  <c r="F1914" i="2"/>
  <c r="F1893" i="2"/>
  <c r="F1871" i="2"/>
  <c r="F1851" i="2"/>
  <c r="F1829" i="2"/>
  <c r="F1809" i="2"/>
  <c r="F1788" i="2"/>
  <c r="F1769" i="2"/>
  <c r="F1749" i="2"/>
  <c r="F1730" i="2"/>
  <c r="F1710" i="2"/>
  <c r="F1690" i="2"/>
  <c r="F1670" i="2"/>
  <c r="F1651" i="2"/>
  <c r="F1632" i="2"/>
  <c r="F1611" i="2"/>
  <c r="F1592" i="2"/>
  <c r="F1572" i="2"/>
  <c r="F1553" i="2"/>
  <c r="F1532" i="2"/>
  <c r="F1514" i="2"/>
  <c r="F1496" i="2"/>
  <c r="F1478" i="2"/>
  <c r="F1460" i="2"/>
  <c r="F1442" i="2"/>
  <c r="F1424" i="2"/>
  <c r="F1404" i="2"/>
  <c r="F1386" i="2"/>
  <c r="F1368" i="2"/>
  <c r="F1350" i="2"/>
  <c r="F1332" i="2"/>
  <c r="F1314" i="2"/>
  <c r="F1296" i="2"/>
  <c r="F1276" i="2"/>
  <c r="F1258" i="2"/>
  <c r="F1240" i="2"/>
  <c r="F1222" i="2"/>
  <c r="F1204" i="2"/>
  <c r="F1186" i="2"/>
  <c r="F1168" i="2"/>
  <c r="F1148" i="2"/>
  <c r="F1130" i="2"/>
  <c r="F1112" i="2"/>
  <c r="F1094" i="2"/>
  <c r="F1076" i="2"/>
  <c r="F1058" i="2"/>
  <c r="F1040" i="2"/>
  <c r="F1020" i="2"/>
  <c r="F1002" i="2"/>
  <c r="F984" i="2"/>
  <c r="F966" i="2"/>
  <c r="F948" i="2"/>
  <c r="F930" i="2"/>
  <c r="F912" i="2"/>
  <c r="F892" i="2"/>
  <c r="F874" i="2"/>
  <c r="F856" i="2"/>
  <c r="F838" i="2"/>
  <c r="F820" i="2"/>
  <c r="F802" i="2"/>
  <c r="F784" i="2"/>
  <c r="F764" i="2"/>
  <c r="F746" i="2"/>
  <c r="F728" i="2"/>
  <c r="F710" i="2"/>
  <c r="F692" i="2"/>
  <c r="F674" i="2"/>
  <c r="F656" i="2"/>
  <c r="F636" i="2"/>
  <c r="F618" i="2"/>
  <c r="F600" i="2"/>
  <c r="F582" i="2"/>
  <c r="F564" i="2"/>
  <c r="F546" i="2"/>
  <c r="F528" i="2"/>
  <c r="F508" i="2"/>
  <c r="F490" i="2"/>
  <c r="F472" i="2"/>
  <c r="F454" i="2"/>
  <c r="F436" i="2"/>
  <c r="F418" i="2"/>
  <c r="F400" i="2"/>
  <c r="F380" i="2"/>
  <c r="F362" i="2"/>
  <c r="F344" i="2"/>
  <c r="F326" i="2"/>
  <c r="F308" i="2"/>
  <c r="F290" i="2"/>
  <c r="F272" i="2"/>
  <c r="F252" i="2"/>
  <c r="F234" i="2"/>
  <c r="F216" i="2"/>
  <c r="F198" i="2"/>
  <c r="F180" i="2"/>
  <c r="F162" i="2"/>
  <c r="F144" i="2"/>
  <c r="F124" i="2"/>
  <c r="F106" i="2"/>
  <c r="F88" i="2"/>
  <c r="F70" i="2"/>
  <c r="F52" i="2"/>
  <c r="F34" i="2"/>
  <c r="F16" i="2"/>
  <c r="F10981" i="2"/>
  <c r="F10860" i="2"/>
  <c r="F10749" i="2"/>
  <c r="F10637" i="2"/>
  <c r="F10530" i="2"/>
  <c r="F10413" i="2"/>
  <c r="F10310" i="2"/>
  <c r="F10205" i="2"/>
  <c r="F10110" i="2"/>
  <c r="F10012" i="2"/>
  <c r="F9915" i="2"/>
  <c r="F9821" i="2"/>
  <c r="F9720" i="2"/>
  <c r="F9654" i="2"/>
  <c r="F9589" i="2"/>
  <c r="F9525" i="2"/>
  <c r="F9465" i="2"/>
  <c r="F9404" i="2"/>
  <c r="F9343" i="2"/>
  <c r="F9277" i="2"/>
  <c r="F9218" i="2"/>
  <c r="F9158" i="2"/>
  <c r="F9092" i="2"/>
  <c r="F9034" i="2"/>
  <c r="F8970" i="2"/>
  <c r="F8918" i="2"/>
  <c r="F8853" i="2"/>
  <c r="F8793" i="2"/>
  <c r="F8742" i="2"/>
  <c r="F8683" i="2"/>
  <c r="F8618" i="2"/>
  <c r="F8562" i="2"/>
  <c r="F8508" i="2"/>
  <c r="F8450" i="2"/>
  <c r="F8395" i="2"/>
  <c r="F8342" i="2"/>
  <c r="F8289" i="2"/>
  <c r="F8232" i="2"/>
  <c r="F8181" i="2"/>
  <c r="F8124" i="2"/>
  <c r="F8074" i="2"/>
  <c r="F8015" i="2"/>
  <c r="F7965" i="2"/>
  <c r="F7916" i="2"/>
  <c r="F7874" i="2"/>
  <c r="F7825" i="2"/>
  <c r="F7784" i="2"/>
  <c r="F7741" i="2"/>
  <c r="F7693" i="2"/>
  <c r="F7650" i="2"/>
  <c r="F7606" i="2"/>
  <c r="F7564" i="2"/>
  <c r="F7516" i="2"/>
  <c r="F7473" i="2"/>
  <c r="F7428" i="2"/>
  <c r="F7385" i="2"/>
  <c r="F7344" i="2"/>
  <c r="F7302" i="2"/>
  <c r="F7258" i="2"/>
  <c r="F7221" i="2"/>
  <c r="F7179" i="2"/>
  <c r="F7142" i="2"/>
  <c r="F7101" i="2"/>
  <c r="F7064" i="2"/>
  <c r="F7024" i="2"/>
  <c r="F6987" i="2"/>
  <c r="F6945" i="2"/>
  <c r="F6909" i="2"/>
  <c r="F6872" i="2"/>
  <c r="F6833" i="2"/>
  <c r="F6799" i="2"/>
  <c r="F6763" i="2"/>
  <c r="F6726" i="2"/>
  <c r="F6687" i="2"/>
  <c r="F6656" i="2"/>
  <c r="F6616" i="2"/>
  <c r="F6581" i="2"/>
  <c r="F6542" i="2"/>
  <c r="F6510" i="2"/>
  <c r="F6471" i="2"/>
  <c r="F6438" i="2"/>
  <c r="F6396" i="2"/>
  <c r="F6365" i="2"/>
  <c r="F6328" i="2"/>
  <c r="F6292" i="2"/>
  <c r="F6251" i="2"/>
  <c r="F6220" i="2"/>
  <c r="F6182" i="2"/>
  <c r="F6145" i="2"/>
  <c r="F6109" i="2"/>
  <c r="F6073" i="2"/>
  <c r="F6037" i="2"/>
  <c r="F5999" i="2"/>
  <c r="F5963" i="2"/>
  <c r="F5927" i="2"/>
  <c r="F5892" i="2"/>
  <c r="F5852" i="2"/>
  <c r="F5819" i="2"/>
  <c r="F5782" i="2"/>
  <c r="F5744" i="2"/>
  <c r="F5707" i="2"/>
  <c r="F5674" i="2"/>
  <c r="F5636" i="2"/>
  <c r="F5599" i="2"/>
  <c r="F5562" i="2"/>
  <c r="F5528" i="2"/>
  <c r="F5489" i="2"/>
  <c r="F5454" i="2"/>
  <c r="F5416" i="2"/>
  <c r="F5383" i="2"/>
  <c r="F5344" i="2"/>
  <c r="F5307" i="2"/>
  <c r="F5271" i="2"/>
  <c r="F5237" i="2"/>
  <c r="F5198" i="2"/>
  <c r="F5161" i="2"/>
  <c r="F5127" i="2"/>
  <c r="F5088" i="2"/>
  <c r="F5053" i="2"/>
  <c r="F5016" i="2"/>
  <c r="F4981" i="2"/>
  <c r="F4943" i="2"/>
  <c r="F4908" i="2"/>
  <c r="F4870" i="2"/>
  <c r="F4837" i="2"/>
  <c r="F4798" i="2"/>
  <c r="F4762" i="2"/>
  <c r="F4725" i="2"/>
  <c r="F4693" i="2"/>
  <c r="F4655" i="2"/>
  <c r="F4624" i="2"/>
  <c r="F4593" i="2"/>
  <c r="F4560" i="2"/>
  <c r="F4529" i="2"/>
  <c r="F4497" i="2"/>
  <c r="F4464" i="2"/>
  <c r="F4432" i="2"/>
  <c r="F4401" i="2"/>
  <c r="F4367" i="2"/>
  <c r="F4340" i="2"/>
  <c r="F4306" i="2"/>
  <c r="F4276" i="2"/>
  <c r="F4242" i="2"/>
  <c r="F4212" i="2"/>
  <c r="F4178" i="2"/>
  <c r="F4150" i="2"/>
  <c r="F4117" i="2"/>
  <c r="F4086" i="2"/>
  <c r="F4053" i="2"/>
  <c r="F4023" i="2"/>
  <c r="F3989" i="2"/>
  <c r="F3958" i="2"/>
  <c r="F3928" i="2"/>
  <c r="F3896" i="2"/>
  <c r="F3866" i="2"/>
  <c r="F3837" i="2"/>
  <c r="F3806" i="2"/>
  <c r="F3776" i="2"/>
  <c r="F3747" i="2"/>
  <c r="F3715" i="2"/>
  <c r="F3689" i="2"/>
  <c r="F3658" i="2"/>
  <c r="F3628" i="2"/>
  <c r="F3598" i="2"/>
  <c r="F3569" i="2"/>
  <c r="F3538" i="2"/>
  <c r="F3511" i="2"/>
  <c r="F3480" i="2"/>
  <c r="F3451" i="2"/>
  <c r="F3420" i="2"/>
  <c r="F3392" i="2"/>
  <c r="F3360" i="2"/>
  <c r="F3331" i="2"/>
  <c r="F3303" i="2"/>
  <c r="F3272" i="2"/>
  <c r="F3244" i="2"/>
  <c r="F3217" i="2"/>
  <c r="F3188" i="2"/>
  <c r="F3163" i="2"/>
  <c r="F3137" i="2"/>
  <c r="F3112" i="2"/>
  <c r="F3085" i="2"/>
  <c r="F3060" i="2"/>
  <c r="F3033" i="2"/>
  <c r="F3007" i="2"/>
  <c r="F2983" i="2"/>
  <c r="F2955" i="2"/>
  <c r="F2930" i="2"/>
  <c r="F2904" i="2"/>
  <c r="F2878" i="2"/>
  <c r="F2851" i="2"/>
  <c r="F2827" i="2"/>
  <c r="F2800" i="2"/>
  <c r="F2775" i="2"/>
  <c r="F2749" i="2"/>
  <c r="F2722" i="2"/>
  <c r="F2697" i="2"/>
  <c r="F2671" i="2"/>
  <c r="F2644" i="2"/>
  <c r="F2620" i="2"/>
  <c r="F2593" i="2"/>
  <c r="F2568" i="2"/>
  <c r="F2542" i="2"/>
  <c r="F2519" i="2"/>
  <c r="F2493" i="2"/>
  <c r="F2469" i="2"/>
  <c r="F2446" i="2"/>
  <c r="F2420" i="2"/>
  <c r="F2397" i="2"/>
  <c r="F2372" i="2"/>
  <c r="F2348" i="2"/>
  <c r="F2324" i="2"/>
  <c r="F2300" i="2"/>
  <c r="F2275" i="2"/>
  <c r="F2251" i="2"/>
  <c r="F2227" i="2"/>
  <c r="F2202" i="2"/>
  <c r="F2178" i="2"/>
  <c r="F2156" i="2"/>
  <c r="F2132" i="2"/>
  <c r="F2111" i="2"/>
  <c r="F2090" i="2"/>
  <c r="F2065" i="2"/>
  <c r="F2044" i="2"/>
  <c r="F2021" i="2"/>
  <c r="F2000" i="2"/>
  <c r="F1976" i="2"/>
  <c r="F1954" i="2"/>
  <c r="F1933" i="2"/>
  <c r="F1913" i="2"/>
  <c r="F1891" i="2"/>
  <c r="F1870" i="2"/>
  <c r="F1849" i="2"/>
  <c r="F1828" i="2"/>
  <c r="F1808" i="2"/>
  <c r="F1787" i="2"/>
  <c r="F1768" i="2"/>
  <c r="F1748" i="2"/>
  <c r="F1729" i="2"/>
  <c r="F1708" i="2"/>
  <c r="F1689" i="2"/>
  <c r="F1669" i="2"/>
  <c r="F1650" i="2"/>
  <c r="F1630" i="2"/>
  <c r="F1610" i="2"/>
  <c r="F1590" i="2"/>
  <c r="F1571" i="2"/>
  <c r="F1552" i="2"/>
  <c r="F1531" i="2"/>
  <c r="F1513" i="2"/>
  <c r="F1495" i="2"/>
  <c r="F1477" i="2"/>
  <c r="F1459" i="2"/>
  <c r="F1441" i="2"/>
  <c r="F1422" i="2"/>
  <c r="F1403" i="2"/>
  <c r="F1385" i="2"/>
  <c r="F1367" i="2"/>
  <c r="F1349" i="2"/>
  <c r="F1331" i="2"/>
  <c r="F1313" i="2"/>
  <c r="F1294" i="2"/>
  <c r="F1275" i="2"/>
  <c r="F1257" i="2"/>
  <c r="F1239" i="2"/>
  <c r="F1221" i="2"/>
  <c r="F1203" i="2"/>
  <c r="F1185" i="2"/>
  <c r="F1166" i="2"/>
  <c r="F1147" i="2"/>
  <c r="F1129" i="2"/>
  <c r="F1111" i="2"/>
  <c r="F1093" i="2"/>
  <c r="F1075" i="2"/>
  <c r="F1057" i="2"/>
  <c r="F1038" i="2"/>
  <c r="F1019" i="2"/>
  <c r="F1001" i="2"/>
  <c r="F983" i="2"/>
  <c r="F965" i="2"/>
  <c r="F947" i="2"/>
  <c r="F929" i="2"/>
  <c r="F910" i="2"/>
  <c r="F891" i="2"/>
  <c r="F873" i="2"/>
  <c r="F855" i="2"/>
  <c r="F837" i="2"/>
  <c r="F819" i="2"/>
  <c r="F801" i="2"/>
  <c r="F782" i="2"/>
  <c r="F763" i="2"/>
  <c r="F745" i="2"/>
  <c r="F727" i="2"/>
  <c r="F709" i="2"/>
  <c r="F691" i="2"/>
  <c r="F673" i="2"/>
  <c r="F654" i="2"/>
  <c r="F635" i="2"/>
  <c r="F617" i="2"/>
  <c r="F599" i="2"/>
  <c r="F581" i="2"/>
  <c r="F563" i="2"/>
  <c r="F545" i="2"/>
  <c r="F526" i="2"/>
  <c r="F507" i="2"/>
  <c r="F489" i="2"/>
  <c r="F471" i="2"/>
  <c r="F453" i="2"/>
  <c r="F435" i="2"/>
  <c r="F417" i="2"/>
  <c r="F398" i="2"/>
  <c r="F379" i="2"/>
  <c r="F361" i="2"/>
  <c r="F343" i="2"/>
  <c r="F325" i="2"/>
  <c r="F307" i="2"/>
  <c r="F289" i="2"/>
  <c r="F270" i="2"/>
  <c r="F251" i="2"/>
  <c r="F233" i="2"/>
  <c r="F215" i="2"/>
  <c r="F197" i="2"/>
  <c r="F179" i="2"/>
  <c r="F161" i="2"/>
  <c r="F142" i="2"/>
  <c r="F123" i="2"/>
  <c r="F105" i="2"/>
  <c r="F87" i="2"/>
  <c r="F69" i="2"/>
  <c r="F51" i="2"/>
  <c r="F33" i="2"/>
  <c r="F14" i="2"/>
  <c r="F11004" i="2"/>
  <c r="F10875" i="2"/>
  <c r="F10726" i="2"/>
  <c r="F10602" i="2"/>
  <c r="F10461" i="2"/>
  <c r="F10328" i="2"/>
  <c r="F10198" i="2"/>
  <c r="F10082" i="2"/>
  <c r="F9971" i="2"/>
  <c r="F9848" i="2"/>
  <c r="F9726" i="2"/>
  <c r="F9644" i="2"/>
  <c r="F9567" i="2"/>
  <c r="F9489" i="2"/>
  <c r="F9414" i="2"/>
  <c r="F9334" i="2"/>
  <c r="F9255" i="2"/>
  <c r="F9186" i="2"/>
  <c r="F9110" i="2"/>
  <c r="F9023" i="2"/>
  <c r="F8952" i="2"/>
  <c r="F8886" i="2"/>
  <c r="F8815" i="2"/>
  <c r="F8745" i="2"/>
  <c r="F8671" i="2"/>
  <c r="F8596" i="2"/>
  <c r="F8531" i="2"/>
  <c r="F8458" i="2"/>
  <c r="F8392" i="2"/>
  <c r="F8324" i="2"/>
  <c r="F8258" i="2"/>
  <c r="F8197" i="2"/>
  <c r="F8122" i="2"/>
  <c r="F8059" i="2"/>
  <c r="F7993" i="2"/>
  <c r="F7930" i="2"/>
  <c r="F7876" i="2"/>
  <c r="F7822" i="2"/>
  <c r="F7764" i="2"/>
  <c r="F7710" i="2"/>
  <c r="F7655" i="2"/>
  <c r="F7598" i="2"/>
  <c r="F7546" i="2"/>
  <c r="F7495" i="2"/>
  <c r="F7442" i="2"/>
  <c r="F7383" i="2"/>
  <c r="F7335" i="2"/>
  <c r="F7283" i="2"/>
  <c r="F7233" i="2"/>
  <c r="F7181" i="2"/>
  <c r="F7133" i="2"/>
  <c r="F7092" i="2"/>
  <c r="F7040" i="2"/>
  <c r="F6995" i="2"/>
  <c r="F6942" i="2"/>
  <c r="F6895" i="2"/>
  <c r="F6849" i="2"/>
  <c r="F6808" i="2"/>
  <c r="F6759" i="2"/>
  <c r="F6719" i="2"/>
  <c r="F6677" i="2"/>
  <c r="F6629" i="2"/>
  <c r="F6586" i="2"/>
  <c r="F6537" i="2"/>
  <c r="F6494" i="2"/>
  <c r="F6448" i="2"/>
  <c r="F6405" i="2"/>
  <c r="F6357" i="2"/>
  <c r="F6315" i="2"/>
  <c r="F6267" i="2"/>
  <c r="F6225" i="2"/>
  <c r="F6177" i="2"/>
  <c r="F6136" i="2"/>
  <c r="F6093" i="2"/>
  <c r="F6043" i="2"/>
  <c r="F6005" i="2"/>
  <c r="F5957" i="2"/>
  <c r="F5912" i="2"/>
  <c r="F5866" i="2"/>
  <c r="F5823" i="2"/>
  <c r="F5773" i="2"/>
  <c r="F5729" i="2"/>
  <c r="F5685" i="2"/>
  <c r="F5644" i="2"/>
  <c r="F5597" i="2"/>
  <c r="F10950" i="2"/>
  <c r="F10820" i="2"/>
  <c r="F10686" i="2"/>
  <c r="F10550" i="2"/>
  <c r="F10408" i="2"/>
  <c r="F10278" i="2"/>
  <c r="F10154" i="2"/>
  <c r="F10038" i="2"/>
  <c r="F9925" i="2"/>
  <c r="F9795" i="2"/>
  <c r="F9688" i="2"/>
  <c r="F9617" i="2"/>
  <c r="F9539" i="2"/>
  <c r="F9458" i="2"/>
  <c r="F9381" i="2"/>
  <c r="F9302" i="2"/>
  <c r="F9235" i="2"/>
  <c r="F9156" i="2"/>
  <c r="F9084" i="2"/>
  <c r="F9009" i="2"/>
  <c r="F8924" i="2"/>
  <c r="F8860" i="2"/>
  <c r="F8789" i="2"/>
  <c r="F8711" i="2"/>
  <c r="F8645" i="2"/>
  <c r="F8573" i="2"/>
  <c r="F8499" i="2"/>
  <c r="F8433" i="2"/>
  <c r="F8365" i="2"/>
  <c r="F8301" i="2"/>
  <c r="F8229" i="2"/>
  <c r="F8168" i="2"/>
  <c r="F8104" i="2"/>
  <c r="F8040" i="2"/>
  <c r="F7970" i="2"/>
  <c r="F7907" i="2"/>
  <c r="F7855" i="2"/>
  <c r="F7799" i="2"/>
  <c r="F7744" i="2"/>
  <c r="F7690" i="2"/>
  <c r="F7631" i="2"/>
  <c r="F7580" i="2"/>
  <c r="F7530" i="2"/>
  <c r="F7470" i="2"/>
  <c r="F7419" i="2"/>
  <c r="F7365" i="2"/>
  <c r="F7317" i="2"/>
  <c r="F7269" i="2"/>
  <c r="F7210" i="2"/>
  <c r="F7166" i="2"/>
  <c r="F7117" i="2"/>
  <c r="F7071" i="2"/>
  <c r="F7021" i="2"/>
  <c r="F6975" i="2"/>
  <c r="F6922" i="2"/>
  <c r="F6879" i="2"/>
  <c r="F6831" i="2"/>
  <c r="F6792" i="2"/>
  <c r="F6749" i="2"/>
  <c r="F6701" i="2"/>
  <c r="F6660" i="2"/>
  <c r="F6613" i="2"/>
  <c r="F6566" i="2"/>
  <c r="F6520" i="2"/>
  <c r="F6479" i="2"/>
  <c r="F6429" i="2"/>
  <c r="F6389" i="2"/>
  <c r="F6343" i="2"/>
  <c r="F6300" i="2"/>
  <c r="F6249" i="2"/>
  <c r="F6206" i="2"/>
  <c r="F6165" i="2"/>
  <c r="F6121" i="2"/>
  <c r="F6076" i="2"/>
  <c r="F6029" i="2"/>
  <c r="F5988" i="2"/>
  <c r="F5936" i="2"/>
  <c r="F5895" i="2"/>
  <c r="F5848" i="2"/>
  <c r="F5803" i="2"/>
  <c r="F5757" i="2"/>
  <c r="F5718" i="2"/>
  <c r="F5665" i="2"/>
  <c r="F5625" i="2"/>
  <c r="F5581" i="2"/>
  <c r="F5535" i="2"/>
  <c r="F5494" i="2"/>
  <c r="F5445" i="2"/>
  <c r="F5403" i="2"/>
  <c r="F5360" i="2"/>
  <c r="F5311" i="2"/>
  <c r="F5268" i="2"/>
  <c r="F5223" i="2"/>
  <c r="F5177" i="2"/>
  <c r="F5133" i="2"/>
  <c r="F5087" i="2"/>
  <c r="F5045" i="2"/>
  <c r="F5003" i="2"/>
  <c r="F4953" i="2"/>
  <c r="F4910" i="2"/>
  <c r="F4865" i="2"/>
  <c r="F4820" i="2"/>
  <c r="F4776" i="2"/>
  <c r="F4731" i="2"/>
  <c r="F4684" i="2"/>
  <c r="F4648" i="2"/>
  <c r="F4606" i="2"/>
  <c r="F4569" i="2"/>
  <c r="F4526" i="2"/>
  <c r="F4488" i="2"/>
  <c r="F4450" i="2"/>
  <c r="F4412" i="2"/>
  <c r="F4374" i="2"/>
  <c r="F4333" i="2"/>
  <c r="F4296" i="2"/>
  <c r="F4255" i="2"/>
  <c r="F4218" i="2"/>
  <c r="F4176" i="2"/>
  <c r="F4136" i="2"/>
  <c r="F4095" i="2"/>
  <c r="F4060" i="2"/>
  <c r="F4016" i="2"/>
  <c r="F3983" i="2"/>
  <c r="F3945" i="2"/>
  <c r="F3905" i="2"/>
  <c r="F3870" i="2"/>
  <c r="F3828" i="2"/>
  <c r="F3794" i="2"/>
  <c r="F3759" i="2"/>
  <c r="F3723" i="2"/>
  <c r="F3684" i="2"/>
  <c r="F3649" i="2"/>
  <c r="F3610" i="2"/>
  <c r="F3577" i="2"/>
  <c r="F3536" i="2"/>
  <c r="F3502" i="2"/>
  <c r="F3469" i="2"/>
  <c r="F3431" i="2"/>
  <c r="F3394" i="2"/>
  <c r="F3357" i="2"/>
  <c r="F3320" i="2"/>
  <c r="F3282" i="2"/>
  <c r="F3249" i="2"/>
  <c r="F3211" i="2"/>
  <c r="F3180" i="2"/>
  <c r="F3149" i="2"/>
  <c r="F3118" i="2"/>
  <c r="F3083" i="2"/>
  <c r="F3052" i="2"/>
  <c r="F3022" i="2"/>
  <c r="F2990" i="2"/>
  <c r="F2958" i="2"/>
  <c r="F2925" i="2"/>
  <c r="F2895" i="2"/>
  <c r="F2861" i="2"/>
  <c r="F2830" i="2"/>
  <c r="F2797" i="2"/>
  <c r="F2765" i="2"/>
  <c r="F2733" i="2"/>
  <c r="F2703" i="2"/>
  <c r="F2668" i="2"/>
  <c r="F2639" i="2"/>
  <c r="F2607" i="2"/>
  <c r="F2575" i="2"/>
  <c r="F2546" i="2"/>
  <c r="F2513" i="2"/>
  <c r="F2484" i="2"/>
  <c r="F2455" i="2"/>
  <c r="F2424" i="2"/>
  <c r="F2394" i="2"/>
  <c r="F2365" i="2"/>
  <c r="F2333" i="2"/>
  <c r="F2305" i="2"/>
  <c r="F2274" i="2"/>
  <c r="F2245" i="2"/>
  <c r="F2217" i="2"/>
  <c r="F2185" i="2"/>
  <c r="F2158" i="2"/>
  <c r="F2129" i="2"/>
  <c r="F2103" i="2"/>
  <c r="F2075" i="2"/>
  <c r="F2047" i="2"/>
  <c r="F2019" i="2"/>
  <c r="F1992" i="2"/>
  <c r="F1964" i="2"/>
  <c r="F1938" i="2"/>
  <c r="F1912" i="2"/>
  <c r="F1886" i="2"/>
  <c r="F1861" i="2"/>
  <c r="F1835" i="2"/>
  <c r="F1810" i="2"/>
  <c r="F1784" i="2"/>
  <c r="F1761" i="2"/>
  <c r="F1736" i="2"/>
  <c r="F1713" i="2"/>
  <c r="F1686" i="2"/>
  <c r="F1664" i="2"/>
  <c r="F1638" i="2"/>
  <c r="F1616" i="2"/>
  <c r="F1589" i="2"/>
  <c r="F1566" i="2"/>
  <c r="F1542" i="2"/>
  <c r="F1520" i="2"/>
  <c r="F1497" i="2"/>
  <c r="F1474" i="2"/>
  <c r="F1451" i="2"/>
  <c r="F1429" i="2"/>
  <c r="F1408" i="2"/>
  <c r="F1383" i="2"/>
  <c r="F1362" i="2"/>
  <c r="F1338" i="2"/>
  <c r="F1317" i="2"/>
  <c r="F1292" i="2"/>
  <c r="F1271" i="2"/>
  <c r="F1250" i="2"/>
  <c r="F1226" i="2"/>
  <c r="F1205" i="2"/>
  <c r="F1180" i="2"/>
  <c r="F1159" i="2"/>
  <c r="F1137" i="2"/>
  <c r="F1114" i="2"/>
  <c r="F1091" i="2"/>
  <c r="F1068" i="2"/>
  <c r="F1046" i="2"/>
  <c r="F1025" i="2"/>
  <c r="F1000" i="2"/>
  <c r="F979" i="2"/>
  <c r="F956" i="2"/>
  <c r="F934" i="2"/>
  <c r="F913" i="2"/>
  <c r="F888" i="2"/>
  <c r="F867" i="2"/>
  <c r="F843" i="2"/>
  <c r="F822" i="2"/>
  <c r="F798" i="2"/>
  <c r="F776" i="2"/>
  <c r="F754" i="2"/>
  <c r="F731" i="2"/>
  <c r="F708" i="2"/>
  <c r="F686" i="2"/>
  <c r="F664" i="2"/>
  <c r="F642" i="2"/>
  <c r="F619" i="2"/>
  <c r="F596" i="2"/>
  <c r="F574" i="2"/>
  <c r="F551" i="2"/>
  <c r="F530" i="2"/>
  <c r="F505" i="2"/>
  <c r="F484" i="2"/>
  <c r="F460" i="2"/>
  <c r="F439" i="2"/>
  <c r="F416" i="2"/>
  <c r="F393" i="2"/>
  <c r="F372" i="2"/>
  <c r="F348" i="2"/>
  <c r="F327" i="2"/>
  <c r="F304" i="2"/>
  <c r="F281" i="2"/>
  <c r="F259" i="2"/>
  <c r="F236" i="2"/>
  <c r="F213" i="2"/>
  <c r="F192" i="2"/>
  <c r="F168" i="2"/>
  <c r="F147" i="2"/>
  <c r="F122" i="2"/>
  <c r="F101" i="2"/>
  <c r="F80" i="2"/>
  <c r="F56" i="2"/>
  <c r="F35" i="2"/>
  <c r="F10" i="2"/>
  <c r="F11010" i="2"/>
  <c r="F10856" i="2"/>
  <c r="F10701" i="2"/>
  <c r="F10546" i="2"/>
  <c r="F10388" i="2"/>
  <c r="F10235" i="2"/>
  <c r="F10088" i="2"/>
  <c r="F9972" i="2"/>
  <c r="F9830" i="2"/>
  <c r="F9701" i="2"/>
  <c r="F9615" i="2"/>
  <c r="F9522" i="2"/>
  <c r="F9441" i="2"/>
  <c r="F9347" i="2"/>
  <c r="F9261" i="2"/>
  <c r="F9170" i="2"/>
  <c r="F9089" i="2"/>
  <c r="F8998" i="2"/>
  <c r="F8921" i="2"/>
  <c r="F8839" i="2"/>
  <c r="F8749" i="2"/>
  <c r="F8673" i="2"/>
  <c r="F8588" i="2"/>
  <c r="F8513" i="2"/>
  <c r="F8431" i="2"/>
  <c r="F8360" i="2"/>
  <c r="F8282" i="2"/>
  <c r="F8203" i="2"/>
  <c r="F8130" i="2"/>
  <c r="F8050" i="2"/>
  <c r="F7983" i="2"/>
  <c r="F7906" i="2"/>
  <c r="F7846" i="2"/>
  <c r="F7778" i="2"/>
  <c r="F7723" i="2"/>
  <c r="F7661" i="2"/>
  <c r="F7596" i="2"/>
  <c r="F7533" i="2"/>
  <c r="F7469" i="2"/>
  <c r="F7412" i="2"/>
  <c r="F7353" i="2"/>
  <c r="F7292" i="2"/>
  <c r="F7234" i="2"/>
  <c r="F7177" i="2"/>
  <c r="F7123" i="2"/>
  <c r="F7070" i="2"/>
  <c r="F7012" i="2"/>
  <c r="F6960" i="2"/>
  <c r="F6903" i="2"/>
  <c r="F6855" i="2"/>
  <c r="F6806" i="2"/>
  <c r="F6751" i="2"/>
  <c r="F6700" i="2"/>
  <c r="F6647" i="2"/>
  <c r="F6593" i="2"/>
  <c r="F6551" i="2"/>
  <c r="F6495" i="2"/>
  <c r="F6445" i="2"/>
  <c r="F6393" i="2"/>
  <c r="F6342" i="2"/>
  <c r="F6287" i="2"/>
  <c r="F6239" i="2"/>
  <c r="F6189" i="2"/>
  <c r="F6137" i="2"/>
  <c r="F6084" i="2"/>
  <c r="F6031" i="2"/>
  <c r="F5985" i="2"/>
  <c r="F5933" i="2"/>
  <c r="F5881" i="2"/>
  <c r="F5828" i="2"/>
  <c r="F5775" i="2"/>
  <c r="F5727" i="2"/>
  <c r="F5677" i="2"/>
  <c r="F5623" i="2"/>
  <c r="F5575" i="2"/>
  <c r="F5527" i="2"/>
  <c r="F5477" i="2"/>
  <c r="F5432" i="2"/>
  <c r="F5386" i="2"/>
  <c r="F5335" i="2"/>
  <c r="F5287" i="2"/>
  <c r="F5241" i="2"/>
  <c r="F5195" i="2"/>
  <c r="F5145" i="2"/>
  <c r="F5098" i="2"/>
  <c r="F5050" i="2"/>
  <c r="F5004" i="2"/>
  <c r="F4952" i="2"/>
  <c r="F4903" i="2"/>
  <c r="F4858" i="2"/>
  <c r="F4811" i="2"/>
  <c r="F4761" i="2"/>
  <c r="F4713" i="2"/>
  <c r="F4670" i="2"/>
  <c r="F4630" i="2"/>
  <c r="F4584" i="2"/>
  <c r="F4542" i="2"/>
  <c r="F4502" i="2"/>
  <c r="F4461" i="2"/>
  <c r="F4418" i="2"/>
  <c r="F4379" i="2"/>
  <c r="F4334" i="2"/>
  <c r="F4295" i="2"/>
  <c r="F4252" i="2"/>
  <c r="F4206" i="2"/>
  <c r="F4169" i="2"/>
  <c r="F4127" i="2"/>
  <c r="F4085" i="2"/>
  <c r="F4042" i="2"/>
  <c r="F4002" i="2"/>
  <c r="F3964" i="2"/>
  <c r="F3918" i="2"/>
  <c r="F3879" i="2"/>
  <c r="F3841" i="2"/>
  <c r="F3803" i="2"/>
  <c r="F3763" i="2"/>
  <c r="F3726" i="2"/>
  <c r="F3682" i="2"/>
  <c r="F3646" i="2"/>
  <c r="F3607" i="2"/>
  <c r="F3564" i="2"/>
  <c r="F3529" i="2"/>
  <c r="F3490" i="2"/>
  <c r="F3450" i="2"/>
  <c r="F3410" i="2"/>
  <c r="F3372" i="2"/>
  <c r="F3336" i="2"/>
  <c r="F3294" i="2"/>
  <c r="F3256" i="2"/>
  <c r="F3221" i="2"/>
  <c r="F3185" i="2"/>
  <c r="F3151" i="2"/>
  <c r="F3115" i="2"/>
  <c r="F3081" i="2"/>
  <c r="F3049" i="2"/>
  <c r="F3013" i="2"/>
  <c r="F2977" i="2"/>
  <c r="F2946" i="2"/>
  <c r="F2913" i="2"/>
  <c r="F2877" i="2"/>
  <c r="F2843" i="2"/>
  <c r="F2810" i="2"/>
  <c r="F2778" i="2"/>
  <c r="F2741" i="2"/>
  <c r="F2706" i="2"/>
  <c r="F2675" i="2"/>
  <c r="F2641" i="2"/>
  <c r="F2605" i="2"/>
  <c r="F2571" i="2"/>
  <c r="F2538" i="2"/>
  <c r="F2508" i="2"/>
  <c r="F2475" i="2"/>
  <c r="F2441" i="2"/>
  <c r="F2412" i="2"/>
  <c r="F2381" i="2"/>
  <c r="F2347" i="2"/>
  <c r="F2315" i="2"/>
  <c r="F2284" i="2"/>
  <c r="F2254" i="2"/>
  <c r="F2220" i="2"/>
  <c r="F2188" i="2"/>
  <c r="F2160" i="2"/>
  <c r="F2128" i="2"/>
  <c r="F2098" i="2"/>
  <c r="F2072" i="2"/>
  <c r="F2040" i="2"/>
  <c r="F2011" i="2"/>
  <c r="F1983" i="2"/>
  <c r="F1951" i="2"/>
  <c r="F1925" i="2"/>
  <c r="F1898" i="2"/>
  <c r="F1869" i="2"/>
  <c r="F1843" i="2"/>
  <c r="F1815" i="2"/>
  <c r="F1790" i="2"/>
  <c r="F1763" i="2"/>
  <c r="F1737" i="2"/>
  <c r="F1712" i="2"/>
  <c r="F1684" i="2"/>
  <c r="F1658" i="2"/>
  <c r="F1634" i="2"/>
  <c r="F1606" i="2"/>
  <c r="F1582" i="2"/>
  <c r="F1556" i="2"/>
  <c r="F1529" i="2"/>
  <c r="F1507" i="2"/>
  <c r="F1482" i="2"/>
  <c r="F1458" i="2"/>
  <c r="F1434" i="2"/>
  <c r="F1411" i="2"/>
  <c r="F1387" i="2"/>
  <c r="F1363" i="2"/>
  <c r="F1337" i="2"/>
  <c r="F1315" i="2"/>
  <c r="F1289" i="2"/>
  <c r="F1266" i="2"/>
  <c r="F1242" i="2"/>
  <c r="F1218" i="2"/>
  <c r="F1194" i="2"/>
  <c r="F1171" i="2"/>
  <c r="F1145" i="2"/>
  <c r="F1123" i="2"/>
  <c r="F1098" i="2"/>
  <c r="F1074" i="2"/>
  <c r="F1050" i="2"/>
  <c r="F1027" i="2"/>
  <c r="F1003" i="2"/>
  <c r="F978" i="2"/>
  <c r="F953" i="2"/>
  <c r="F931" i="2"/>
  <c r="F905" i="2"/>
  <c r="F882" i="2"/>
  <c r="F858" i="2"/>
  <c r="F834" i="2"/>
  <c r="F810" i="2"/>
  <c r="F787" i="2"/>
  <c r="F761" i="2"/>
  <c r="F739" i="2"/>
  <c r="F714" i="2"/>
  <c r="F690" i="2"/>
  <c r="F666" i="2"/>
  <c r="F643" i="2"/>
  <c r="F616" i="2"/>
  <c r="F594" i="2"/>
  <c r="F569" i="2"/>
  <c r="F547" i="2"/>
  <c r="F521" i="2"/>
  <c r="F498" i="2"/>
  <c r="F474" i="2"/>
  <c r="F450" i="2"/>
  <c r="F426" i="2"/>
  <c r="F403" i="2"/>
  <c r="F377" i="2"/>
  <c r="F355" i="2"/>
  <c r="F330" i="2"/>
  <c r="F306" i="2"/>
  <c r="F282" i="2"/>
  <c r="F258" i="2"/>
  <c r="F232" i="2"/>
  <c r="F210" i="2"/>
  <c r="F185" i="2"/>
  <c r="F163" i="2"/>
  <c r="F137" i="2"/>
  <c r="F114" i="2"/>
  <c r="F90" i="2"/>
  <c r="F66" i="2"/>
  <c r="F42" i="2"/>
  <c r="F19" i="2"/>
  <c r="F10995" i="2"/>
  <c r="F10834" i="2"/>
  <c r="F10684" i="2"/>
  <c r="F10502" i="2"/>
  <c r="F10372" i="2"/>
  <c r="F10227" i="2"/>
  <c r="F10085" i="2"/>
  <c r="F9949" i="2"/>
  <c r="F9811" i="2"/>
  <c r="F9686" i="2"/>
  <c r="F9596" i="2"/>
  <c r="F9510" i="2"/>
  <c r="F9427" i="2"/>
  <c r="F9335" i="2"/>
  <c r="F9253" i="2"/>
  <c r="F9164" i="2"/>
  <c r="F9074" i="2"/>
  <c r="F8994" i="2"/>
  <c r="F8904" i="2"/>
  <c r="F8827" i="2"/>
  <c r="F8746" i="2"/>
  <c r="F8660" i="2"/>
  <c r="F8586" i="2"/>
  <c r="F8497" i="2"/>
  <c r="F8417" i="2"/>
  <c r="F8347" i="2"/>
  <c r="F8266" i="2"/>
  <c r="F8199" i="2"/>
  <c r="F8118" i="2"/>
  <c r="F8042" i="2"/>
  <c r="F7964" i="2"/>
  <c r="F7897" i="2"/>
  <c r="F7841" i="2"/>
  <c r="F7774" i="2"/>
  <c r="F7712" i="2"/>
  <c r="F7648" i="2"/>
  <c r="F7593" i="2"/>
  <c r="F7529" i="2"/>
  <c r="F7464" i="2"/>
  <c r="F7399" i="2"/>
  <c r="F7340" i="2"/>
  <c r="F7285" i="2"/>
  <c r="F7228" i="2"/>
  <c r="F7174" i="2"/>
  <c r="F7116" i="2"/>
  <c r="F7061" i="2"/>
  <c r="F7005" i="2"/>
  <c r="F6954" i="2"/>
  <c r="F6900" i="2"/>
  <c r="F6847" i="2"/>
  <c r="F6794" i="2"/>
  <c r="F6743" i="2"/>
  <c r="F6698" i="2"/>
  <c r="F6641" i="2"/>
  <c r="F6591" i="2"/>
  <c r="F6538" i="2"/>
  <c r="F6487" i="2"/>
  <c r="F6440" i="2"/>
  <c r="F6388" i="2"/>
  <c r="F6335" i="2"/>
  <c r="F6283" i="2"/>
  <c r="F6231" i="2"/>
  <c r="F6184" i="2"/>
  <c r="F6129" i="2"/>
  <c r="F6080" i="2"/>
  <c r="F6028" i="2"/>
  <c r="F5975" i="2"/>
  <c r="F5921" i="2"/>
  <c r="F5876" i="2"/>
  <c r="F5824" i="2"/>
  <c r="F5770" i="2"/>
  <c r="F5720" i="2"/>
  <c r="F5663" i="2"/>
  <c r="F5621" i="2"/>
  <c r="F5567" i="2"/>
  <c r="F5517" i="2"/>
  <c r="F5471" i="2"/>
  <c r="F5425" i="2"/>
  <c r="F5372" i="2"/>
  <c r="F5329" i="2"/>
  <c r="F5279" i="2"/>
  <c r="F5227" i="2"/>
  <c r="F5183" i="2"/>
  <c r="F5141" i="2"/>
  <c r="F5093" i="2"/>
  <c r="F5037" i="2"/>
  <c r="F4992" i="2"/>
  <c r="F4949" i="2"/>
  <c r="F4895" i="2"/>
  <c r="F4847" i="2"/>
  <c r="F4801" i="2"/>
  <c r="F4757" i="2"/>
  <c r="F4709" i="2"/>
  <c r="F4667" i="2"/>
  <c r="F4618" i="2"/>
  <c r="F4581" i="2"/>
  <c r="F4536" i="2"/>
  <c r="F4493" i="2"/>
  <c r="F4453" i="2"/>
  <c r="F4414" i="2"/>
  <c r="F4366" i="2"/>
  <c r="F4326" i="2"/>
  <c r="F4286" i="2"/>
  <c r="F4247" i="2"/>
  <c r="F4203" i="2"/>
  <c r="F4159" i="2"/>
  <c r="F4121" i="2"/>
  <c r="F4078" i="2"/>
  <c r="F4037" i="2"/>
  <c r="F3998" i="2"/>
  <c r="F3952" i="2"/>
  <c r="F3915" i="2"/>
  <c r="F3873" i="2"/>
  <c r="F3833" i="2"/>
  <c r="F3795" i="2"/>
  <c r="F3756" i="2"/>
  <c r="F3714" i="2"/>
  <c r="F3676" i="2"/>
  <c r="F3639" i="2"/>
  <c r="F3602" i="2"/>
  <c r="F3561" i="2"/>
  <c r="F3520" i="2"/>
  <c r="F3484" i="2"/>
  <c r="F3443" i="2"/>
  <c r="F3405" i="2"/>
  <c r="F3369" i="2"/>
  <c r="F3326" i="2"/>
  <c r="F3291" i="2"/>
  <c r="F3251" i="2"/>
  <c r="F3212" i="2"/>
  <c r="F3178" i="2"/>
  <c r="F3147" i="2"/>
  <c r="F3109" i="2"/>
  <c r="F3075" i="2"/>
  <c r="F3043" i="2"/>
  <c r="F3011" i="2"/>
  <c r="F2975" i="2"/>
  <c r="F2939" i="2"/>
  <c r="F2908" i="2"/>
  <c r="F2875" i="2"/>
  <c r="F2841" i="2"/>
  <c r="F2808" i="2"/>
  <c r="F2771" i="2"/>
  <c r="F2739" i="2"/>
  <c r="F2704" i="2"/>
  <c r="F2666" i="2"/>
  <c r="F2635" i="2"/>
  <c r="F2603" i="2"/>
  <c r="F2567" i="2"/>
  <c r="F2533" i="2"/>
  <c r="F2503" i="2"/>
  <c r="F2473" i="2"/>
  <c r="F2439" i="2"/>
  <c r="F2405" i="2"/>
  <c r="F2377" i="2"/>
  <c r="F2345" i="2"/>
  <c r="F2313" i="2"/>
  <c r="F2282" i="2"/>
  <c r="F2248" i="2"/>
  <c r="F2218" i="2"/>
  <c r="F2184" i="2"/>
  <c r="F2154" i="2"/>
  <c r="F2126" i="2"/>
  <c r="F2095" i="2"/>
  <c r="F2064" i="2"/>
  <c r="F2037" i="2"/>
  <c r="F2008" i="2"/>
  <c r="F1980" i="2"/>
  <c r="F1949" i="2"/>
  <c r="F1921" i="2"/>
  <c r="F1896" i="2"/>
  <c r="F1866" i="2"/>
  <c r="F1840" i="2"/>
  <c r="F1812" i="2"/>
  <c r="F1785" i="2"/>
  <c r="F1760" i="2"/>
  <c r="F1733" i="2"/>
  <c r="F1706" i="2"/>
  <c r="F1682" i="2"/>
  <c r="F1656" i="2"/>
  <c r="F1628" i="2"/>
  <c r="F1604" i="2"/>
  <c r="F1578" i="2"/>
  <c r="F1554" i="2"/>
  <c r="F1527" i="2"/>
  <c r="F1504" i="2"/>
  <c r="F1480" i="2"/>
  <c r="F1456" i="2"/>
  <c r="F1432" i="2"/>
  <c r="F1409" i="2"/>
  <c r="F1382" i="2"/>
  <c r="F1360" i="2"/>
  <c r="F1335" i="2"/>
  <c r="F1310" i="2"/>
  <c r="F1287" i="2"/>
  <c r="F1264" i="2"/>
  <c r="F1238" i="2"/>
  <c r="F1216" i="2"/>
  <c r="F1191" i="2"/>
  <c r="F1169" i="2"/>
  <c r="F1143" i="2"/>
  <c r="F1120" i="2"/>
  <c r="F1096" i="2"/>
  <c r="F1072" i="2"/>
  <c r="F1048" i="2"/>
  <c r="F1024" i="2"/>
  <c r="F998" i="2"/>
  <c r="F976" i="2"/>
  <c r="F951" i="2"/>
  <c r="F926" i="2"/>
  <c r="F903" i="2"/>
  <c r="F880" i="2"/>
  <c r="F854" i="2"/>
  <c r="F832" i="2"/>
  <c r="F807" i="2"/>
  <c r="F785" i="2"/>
  <c r="F759" i="2"/>
  <c r="F736" i="2"/>
  <c r="F712" i="2"/>
  <c r="F688" i="2"/>
  <c r="F662" i="2"/>
  <c r="F640" i="2"/>
  <c r="F614" i="2"/>
  <c r="F592" i="2"/>
  <c r="F567" i="2"/>
  <c r="F542" i="2"/>
  <c r="F519" i="2"/>
  <c r="F496" i="2"/>
  <c r="F470" i="2"/>
  <c r="F448" i="2"/>
  <c r="F423" i="2"/>
  <c r="F401" i="2"/>
  <c r="F375" i="2"/>
  <c r="F352" i="2"/>
  <c r="F328" i="2"/>
  <c r="F302" i="2"/>
  <c r="F278" i="2"/>
  <c r="F256" i="2"/>
  <c r="F230" i="2"/>
  <c r="F208" i="2"/>
  <c r="F183" i="2"/>
  <c r="F158" i="2"/>
  <c r="F135" i="2"/>
  <c r="F112" i="2"/>
  <c r="F86" i="2"/>
  <c r="F64" i="2"/>
  <c r="F39" i="2"/>
  <c r="F17" i="2"/>
  <c r="F10942" i="2"/>
  <c r="F10794" i="2"/>
  <c r="F10636" i="2"/>
  <c r="F10482" i="2"/>
  <c r="F10318" i="2"/>
  <c r="F10182" i="2"/>
  <c r="F10042" i="2"/>
  <c r="F9907" i="2"/>
  <c r="F9782" i="2"/>
  <c r="F9658" i="2"/>
  <c r="F9571" i="2"/>
  <c r="F9483" i="2"/>
  <c r="F9399" i="2"/>
  <c r="F9317" i="2"/>
  <c r="F9224" i="2"/>
  <c r="F9132" i="2"/>
  <c r="F9055" i="2"/>
  <c r="F8966" i="2"/>
  <c r="F8882" i="2"/>
  <c r="F8802" i="2"/>
  <c r="F8715" i="2"/>
  <c r="F8637" i="2"/>
  <c r="F8554" i="2"/>
  <c r="F8473" i="2"/>
  <c r="F8401" i="2"/>
  <c r="F8323" i="2"/>
  <c r="F8249" i="2"/>
  <c r="F8169" i="2"/>
  <c r="F8087" i="2"/>
  <c r="F8011" i="2"/>
  <c r="F7946" i="2"/>
  <c r="F7883" i="2"/>
  <c r="F7820" i="2"/>
  <c r="F7758" i="2"/>
  <c r="F7691" i="2"/>
  <c r="F7628" i="2"/>
  <c r="F7567" i="2"/>
  <c r="F7508" i="2"/>
  <c r="F7448" i="2"/>
  <c r="F7381" i="2"/>
  <c r="F7327" i="2"/>
  <c r="F7272" i="2"/>
  <c r="F7208" i="2"/>
  <c r="F7152" i="2"/>
  <c r="F7096" i="2"/>
  <c r="F7046" i="2"/>
  <c r="F6992" i="2"/>
  <c r="F6937" i="2"/>
  <c r="F6887" i="2"/>
  <c r="F6829" i="2"/>
  <c r="F6779" i="2"/>
  <c r="F6730" i="2"/>
  <c r="F6679" i="2"/>
  <c r="F6628" i="2"/>
  <c r="F6575" i="2"/>
  <c r="F6521" i="2"/>
  <c r="F6469" i="2"/>
  <c r="F6423" i="2"/>
  <c r="F6372" i="2"/>
  <c r="F6319" i="2"/>
  <c r="F6266" i="2"/>
  <c r="F6209" i="2"/>
  <c r="F6167" i="2"/>
  <c r="F6113" i="2"/>
  <c r="F6061" i="2"/>
  <c r="F6012" i="2"/>
  <c r="F5959" i="2"/>
  <c r="F5911" i="2"/>
  <c r="F5861" i="2"/>
  <c r="F5807" i="2"/>
  <c r="F5755" i="2"/>
  <c r="F5702" i="2"/>
  <c r="F5657" i="2"/>
  <c r="F5605" i="2"/>
  <c r="F5552" i="2"/>
  <c r="F5505" i="2"/>
  <c r="F5457" i="2"/>
  <c r="F5409" i="2"/>
  <c r="F5365" i="2"/>
  <c r="F5318" i="2"/>
  <c r="F5263" i="2"/>
  <c r="F5221" i="2"/>
  <c r="F5172" i="2"/>
  <c r="F5120" i="2"/>
  <c r="F5076" i="2"/>
  <c r="F5031" i="2"/>
  <c r="F4977" i="2"/>
  <c r="F4929" i="2"/>
  <c r="F4886" i="2"/>
  <c r="F4840" i="2"/>
  <c r="F4788" i="2"/>
  <c r="F4741" i="2"/>
  <c r="F4696" i="2"/>
  <c r="F4652" i="2"/>
  <c r="F4610" i="2"/>
  <c r="F4565" i="2"/>
  <c r="F4522" i="2"/>
  <c r="F4484" i="2"/>
  <c r="F4442" i="2"/>
  <c r="F4397" i="2"/>
  <c r="F4359" i="2"/>
  <c r="F4317" i="2"/>
  <c r="F4274" i="2"/>
  <c r="F4231" i="2"/>
  <c r="F4191" i="2"/>
  <c r="F4153" i="2"/>
  <c r="F4108" i="2"/>
  <c r="F4066" i="2"/>
  <c r="F4026" i="2"/>
  <c r="F3985" i="2"/>
  <c r="F3940" i="2"/>
  <c r="F3900" i="2"/>
  <c r="F3860" i="2"/>
  <c r="F3824" i="2"/>
  <c r="F3785" i="2"/>
  <c r="F3743" i="2"/>
  <c r="F3707" i="2"/>
  <c r="F3668" i="2"/>
  <c r="F3627" i="2"/>
  <c r="F3587" i="2"/>
  <c r="F3550" i="2"/>
  <c r="F3514" i="2"/>
  <c r="F3472" i="2"/>
  <c r="F3433" i="2"/>
  <c r="F3395" i="2"/>
  <c r="F3354" i="2"/>
  <c r="F3314" i="2"/>
  <c r="F3276" i="2"/>
  <c r="F3240" i="2"/>
  <c r="F3205" i="2"/>
  <c r="F3169" i="2"/>
  <c r="F3133" i="2"/>
  <c r="F3101" i="2"/>
  <c r="F3068" i="2"/>
  <c r="F3032" i="2"/>
  <c r="F2997" i="2"/>
  <c r="F2965" i="2"/>
  <c r="F2933" i="2"/>
  <c r="F2897" i="2"/>
  <c r="F2862" i="2"/>
  <c r="F2829" i="2"/>
  <c r="F2794" i="2"/>
  <c r="F2760" i="2"/>
  <c r="F2725" i="2"/>
  <c r="F2692" i="2"/>
  <c r="F2660" i="2"/>
  <c r="F2625" i="2"/>
  <c r="F2589" i="2"/>
  <c r="F2557" i="2"/>
  <c r="F2526" i="2"/>
  <c r="F2492" i="2"/>
  <c r="F2461" i="2"/>
  <c r="F2430" i="2"/>
  <c r="F2400" i="2"/>
  <c r="F2366" i="2"/>
  <c r="F2332" i="2"/>
  <c r="F2302" i="2"/>
  <c r="F2269" i="2"/>
  <c r="F2237" i="2"/>
  <c r="F2206" i="2"/>
  <c r="F2174" i="2"/>
  <c r="F2146" i="2"/>
  <c r="F2116" i="2"/>
  <c r="F2085" i="2"/>
  <c r="F2058" i="2"/>
  <c r="F2028" i="2"/>
  <c r="F1998" i="2"/>
  <c r="F1969" i="2"/>
  <c r="F1940" i="2"/>
  <c r="F1915" i="2"/>
  <c r="F1885" i="2"/>
  <c r="F1857" i="2"/>
  <c r="F1831" i="2"/>
  <c r="F1802" i="2"/>
  <c r="F1777" i="2"/>
  <c r="F1752" i="2"/>
  <c r="F1724" i="2"/>
  <c r="F1700" i="2"/>
  <c r="F1674" i="2"/>
  <c r="F1648" i="2"/>
  <c r="F1622" i="2"/>
  <c r="F1596" i="2"/>
  <c r="F1570" i="2"/>
  <c r="F1545" i="2"/>
  <c r="F1521" i="2"/>
  <c r="F1494" i="2"/>
  <c r="F1472" i="2"/>
  <c r="F1447" i="2"/>
  <c r="F1425" i="2"/>
  <c r="F1399" i="2"/>
  <c r="F1376" i="2"/>
  <c r="F1352" i="2"/>
  <c r="F1328" i="2"/>
  <c r="F1304" i="2"/>
  <c r="F1281" i="2"/>
  <c r="F1255" i="2"/>
  <c r="F1233" i="2"/>
  <c r="F1208" i="2"/>
  <c r="F1184" i="2"/>
  <c r="F1160" i="2"/>
  <c r="F1136" i="2"/>
  <c r="F1110" i="2"/>
  <c r="F1088" i="2"/>
  <c r="F1063" i="2"/>
  <c r="F1041" i="2"/>
  <c r="F1015" i="2"/>
  <c r="F992" i="2"/>
  <c r="F968" i="2"/>
  <c r="F944" i="2"/>
  <c r="F920" i="2"/>
  <c r="F897" i="2"/>
  <c r="F871" i="2"/>
  <c r="F849" i="2"/>
  <c r="F824" i="2"/>
  <c r="F800" i="2"/>
  <c r="F775" i="2"/>
  <c r="F752" i="2"/>
  <c r="F726" i="2"/>
  <c r="F704" i="2"/>
  <c r="F679" i="2"/>
  <c r="F657" i="2"/>
  <c r="F631" i="2"/>
  <c r="F608" i="2"/>
  <c r="F584" i="2"/>
  <c r="F560" i="2"/>
  <c r="F536" i="2"/>
  <c r="F513" i="2"/>
  <c r="F487" i="2"/>
  <c r="F465" i="2"/>
  <c r="F440" i="2"/>
  <c r="F414" i="2"/>
  <c r="F391" i="2"/>
  <c r="F368" i="2"/>
  <c r="F342" i="2"/>
  <c r="F320" i="2"/>
  <c r="F295" i="2"/>
  <c r="F273" i="2"/>
  <c r="F247" i="2"/>
  <c r="F224" i="2"/>
  <c r="F200" i="2"/>
  <c r="F176" i="2"/>
  <c r="F152" i="2"/>
  <c r="F129" i="2"/>
  <c r="F103" i="2"/>
  <c r="F81" i="2"/>
  <c r="F55" i="2"/>
  <c r="F30" i="2"/>
  <c r="F7" i="2"/>
  <c r="F11046" i="2"/>
  <c r="F10808" i="2"/>
  <c r="F10622" i="2"/>
  <c r="F10434" i="2"/>
  <c r="F10266" i="2"/>
  <c r="F10078" i="2"/>
  <c r="F9909" i="2"/>
  <c r="F9752" i="2"/>
  <c r="F9623" i="2"/>
  <c r="F9521" i="2"/>
  <c r="F9407" i="2"/>
  <c r="F9297" i="2"/>
  <c r="F9197" i="2"/>
  <c r="F9090" i="2"/>
  <c r="F8978" i="2"/>
  <c r="F8881" i="2"/>
  <c r="F8774" i="2"/>
  <c r="F8687" i="2"/>
  <c r="F8583" i="2"/>
  <c r="F8482" i="2"/>
  <c r="F8387" i="2"/>
  <c r="F8295" i="2"/>
  <c r="F8201" i="2"/>
  <c r="F8105" i="2"/>
  <c r="F8009" i="2"/>
  <c r="F7923" i="2"/>
  <c r="F7847" i="2"/>
  <c r="F7767" i="2"/>
  <c r="F7689" i="2"/>
  <c r="F7618" i="2"/>
  <c r="F7540" i="2"/>
  <c r="F7460" i="2"/>
  <c r="F7394" i="2"/>
  <c r="F7316" i="2"/>
  <c r="F7248" i="2"/>
  <c r="F7176" i="2"/>
  <c r="F7109" i="2"/>
  <c r="F7039" i="2"/>
  <c r="F6974" i="2"/>
  <c r="F6905" i="2"/>
  <c r="F6843" i="2"/>
  <c r="F6777" i="2"/>
  <c r="F6713" i="2"/>
  <c r="F6649" i="2"/>
  <c r="F6589" i="2"/>
  <c r="F6533" i="2"/>
  <c r="F6463" i="2"/>
  <c r="F6401" i="2"/>
  <c r="F6341" i="2"/>
  <c r="F6277" i="2"/>
  <c r="F6207" i="2"/>
  <c r="F6153" i="2"/>
  <c r="F6085" i="2"/>
  <c r="F6020" i="2"/>
  <c r="F5958" i="2"/>
  <c r="F5897" i="2"/>
  <c r="F5839" i="2"/>
  <c r="F5769" i="2"/>
  <c r="F5703" i="2"/>
  <c r="F5645" i="2"/>
  <c r="F5582" i="2"/>
  <c r="F5519" i="2"/>
  <c r="F5465" i="2"/>
  <c r="F5405" i="2"/>
  <c r="F5348" i="2"/>
  <c r="F5291" i="2"/>
  <c r="F5225" i="2"/>
  <c r="F5169" i="2"/>
  <c r="F5112" i="2"/>
  <c r="F5056" i="2"/>
  <c r="F4989" i="2"/>
  <c r="F4934" i="2"/>
  <c r="F4873" i="2"/>
  <c r="F4817" i="2"/>
  <c r="F4759" i="2"/>
  <c r="F4702" i="2"/>
  <c r="F4641" i="2"/>
  <c r="F4596" i="2"/>
  <c r="F4548" i="2"/>
  <c r="F4491" i="2"/>
  <c r="F4441" i="2"/>
  <c r="F4390" i="2"/>
  <c r="F4343" i="2"/>
  <c r="F4283" i="2"/>
  <c r="F4237" i="2"/>
  <c r="F10987" i="2"/>
  <c r="F10787" i="2"/>
  <c r="F10596" i="2"/>
  <c r="F10392" i="2"/>
  <c r="F10221" i="2"/>
  <c r="F10058" i="2"/>
  <c r="F9876" i="2"/>
  <c r="F9715" i="2"/>
  <c r="F9606" i="2"/>
  <c r="F9499" i="2"/>
  <c r="F9382" i="2"/>
  <c r="F9290" i="2"/>
  <c r="F9179" i="2"/>
  <c r="F9062" i="2"/>
  <c r="F8964" i="2"/>
  <c r="F8861" i="2"/>
  <c r="F8763" i="2"/>
  <c r="F8659" i="2"/>
  <c r="F8555" i="2"/>
  <c r="F8467" i="2"/>
  <c r="F8370" i="2"/>
  <c r="F8271" i="2"/>
  <c r="F8177" i="2"/>
  <c r="F8085" i="2"/>
  <c r="F7995" i="2"/>
  <c r="F7908" i="2"/>
  <c r="F7828" i="2"/>
  <c r="F7755" i="2"/>
  <c r="F7675" i="2"/>
  <c r="F7599" i="2"/>
  <c r="F7528" i="2"/>
  <c r="F7449" i="2"/>
  <c r="F7367" i="2"/>
  <c r="F7301" i="2"/>
  <c r="F7231" i="2"/>
  <c r="F7157" i="2"/>
  <c r="F7094" i="2"/>
  <c r="F7030" i="2"/>
  <c r="F6961" i="2"/>
  <c r="F6891" i="2"/>
  <c r="F6827" i="2"/>
  <c r="F6769" i="2"/>
  <c r="F6703" i="2"/>
  <c r="F6640" i="2"/>
  <c r="F6576" i="2"/>
  <c r="F6513" i="2"/>
  <c r="F6457" i="2"/>
  <c r="F6391" i="2"/>
  <c r="F6321" i="2"/>
  <c r="F6263" i="2"/>
  <c r="F6203" i="2"/>
  <c r="F6138" i="2"/>
  <c r="F6069" i="2"/>
  <c r="F6011" i="2"/>
  <c r="F5948" i="2"/>
  <c r="F5884" i="2"/>
  <c r="F5822" i="2"/>
  <c r="F5756" i="2"/>
  <c r="F5695" i="2"/>
  <c r="F5633" i="2"/>
  <c r="F5573" i="2"/>
  <c r="F5512" i="2"/>
  <c r="F5447" i="2"/>
  <c r="F5390" i="2"/>
  <c r="F5337" i="2"/>
  <c r="F5277" i="2"/>
  <c r="F5215" i="2"/>
  <c r="F5158" i="2"/>
  <c r="F5102" i="2"/>
  <c r="F5036" i="2"/>
  <c r="F4984" i="2"/>
  <c r="F4923" i="2"/>
  <c r="F4868" i="2"/>
  <c r="F4807" i="2"/>
  <c r="F4746" i="2"/>
  <c r="F4685" i="2"/>
  <c r="F4634" i="2"/>
  <c r="F4586" i="2"/>
  <c r="F4534" i="2"/>
  <c r="F4479" i="2"/>
  <c r="F4428" i="2"/>
  <c r="F4381" i="2"/>
  <c r="F4325" i="2"/>
  <c r="F4278" i="2"/>
  <c r="F4224" i="2"/>
  <c r="F4174" i="2"/>
  <c r="F4125" i="2"/>
  <c r="F4072" i="2"/>
  <c r="F4015" i="2"/>
  <c r="F3968" i="2"/>
  <c r="F3919" i="2"/>
  <c r="F3871" i="2"/>
  <c r="F3820" i="2"/>
  <c r="F3772" i="2"/>
  <c r="F3728" i="2"/>
  <c r="F3675" i="2"/>
  <c r="F3631" i="2"/>
  <c r="F3581" i="2"/>
  <c r="F3534" i="2"/>
  <c r="F3488" i="2"/>
  <c r="F3438" i="2"/>
  <c r="F3385" i="2"/>
  <c r="F3341" i="2"/>
  <c r="F3295" i="2"/>
  <c r="F3248" i="2"/>
  <c r="F3201" i="2"/>
  <c r="F3159" i="2"/>
  <c r="F3120" i="2"/>
  <c r="F3074" i="2"/>
  <c r="F3035" i="2"/>
  <c r="F2993" i="2"/>
  <c r="F2952" i="2"/>
  <c r="F2911" i="2"/>
  <c r="F2867" i="2"/>
  <c r="F2823" i="2"/>
  <c r="F2783" i="2"/>
  <c r="F2743" i="2"/>
  <c r="F2700" i="2"/>
  <c r="F2656" i="2"/>
  <c r="F2615" i="2"/>
  <c r="F2576" i="2"/>
  <c r="F2532" i="2"/>
  <c r="F2496" i="2"/>
  <c r="F2456" i="2"/>
  <c r="F2417" i="2"/>
  <c r="F2379" i="2"/>
  <c r="F2338" i="2"/>
  <c r="F2296" i="2"/>
  <c r="F2259" i="2"/>
  <c r="F2222" i="2"/>
  <c r="F2181" i="2"/>
  <c r="F2144" i="2"/>
  <c r="F2109" i="2"/>
  <c r="F2074" i="2"/>
  <c r="F2036" i="2"/>
  <c r="F2002" i="2"/>
  <c r="F1963" i="2"/>
  <c r="F1930" i="2"/>
  <c r="F1897" i="2"/>
  <c r="F1863" i="2"/>
  <c r="F1826" i="2"/>
  <c r="F1795" i="2"/>
  <c r="F1764" i="2"/>
  <c r="F1731" i="2"/>
  <c r="F1698" i="2"/>
  <c r="F1667" i="2"/>
  <c r="F1636" i="2"/>
  <c r="F1603" i="2"/>
  <c r="F1573" i="2"/>
  <c r="F1539" i="2"/>
  <c r="F1510" i="2"/>
  <c r="F1481" i="2"/>
  <c r="F1450" i="2"/>
  <c r="F1419" i="2"/>
  <c r="F1393" i="2"/>
  <c r="F1364" i="2"/>
  <c r="F1333" i="2"/>
  <c r="F1302" i="2"/>
  <c r="F1273" i="2"/>
  <c r="F1244" i="2"/>
  <c r="F1214" i="2"/>
  <c r="F1187" i="2"/>
  <c r="F1155" i="2"/>
  <c r="F1126" i="2"/>
  <c r="F1097" i="2"/>
  <c r="F1066" i="2"/>
  <c r="F1035" i="2"/>
  <c r="F1009" i="2"/>
  <c r="F980" i="2"/>
  <c r="F949" i="2"/>
  <c r="F918" i="2"/>
  <c r="F889" i="2"/>
  <c r="F860" i="2"/>
  <c r="F830" i="2"/>
  <c r="F803" i="2"/>
  <c r="F771" i="2"/>
  <c r="F742" i="2"/>
  <c r="F713" i="2"/>
  <c r="F682" i="2"/>
  <c r="F651" i="2"/>
  <c r="F625" i="2"/>
  <c r="F595" i="2"/>
  <c r="F565" i="2"/>
  <c r="F534" i="2"/>
  <c r="F504" i="2"/>
  <c r="F476" i="2"/>
  <c r="F446" i="2"/>
  <c r="F419" i="2"/>
  <c r="F387" i="2"/>
  <c r="F358" i="2"/>
  <c r="F329" i="2"/>
  <c r="F298" i="2"/>
  <c r="F267" i="2"/>
  <c r="F241" i="2"/>
  <c r="F211" i="2"/>
  <c r="F181" i="2"/>
  <c r="F150" i="2"/>
  <c r="F120" i="2"/>
  <c r="F92" i="2"/>
  <c r="F62" i="2"/>
  <c r="F32" i="2"/>
  <c r="F3" i="2"/>
  <c r="F10958" i="2"/>
  <c r="F10757" i="2"/>
  <c r="F10539" i="2"/>
  <c r="F10316" i="2"/>
  <c r="F10132" i="2"/>
  <c r="F9939" i="2"/>
  <c r="F9749" i="2"/>
  <c r="F9593" i="2"/>
  <c r="F9479" i="2"/>
  <c r="F9365" i="2"/>
  <c r="F9239" i="2"/>
  <c r="F9115" i="2"/>
  <c r="F8996" i="2"/>
  <c r="F8879" i="2"/>
  <c r="F8761" i="2"/>
  <c r="F8641" i="2"/>
  <c r="F8537" i="2"/>
  <c r="F8415" i="2"/>
  <c r="F8306" i="2"/>
  <c r="F8210" i="2"/>
  <c r="F8088" i="2"/>
  <c r="F7987" i="2"/>
  <c r="F7890" i="2"/>
  <c r="F7805" i="2"/>
  <c r="F7727" i="2"/>
  <c r="F7630" i="2"/>
  <c r="F7552" i="2"/>
  <c r="F7455" i="2"/>
  <c r="F7366" i="2"/>
  <c r="F7290" i="2"/>
  <c r="F7207" i="2"/>
  <c r="F7132" i="2"/>
  <c r="F7054" i="2"/>
  <c r="F6977" i="2"/>
  <c r="F6901" i="2"/>
  <c r="F6825" i="2"/>
  <c r="F6753" i="2"/>
  <c r="F6683" i="2"/>
  <c r="F6614" i="2"/>
  <c r="F6539" i="2"/>
  <c r="F6468" i="2"/>
  <c r="F6395" i="2"/>
  <c r="F6320" i="2"/>
  <c r="F6248" i="2"/>
  <c r="F6176" i="2"/>
  <c r="F6103" i="2"/>
  <c r="F6041" i="2"/>
  <c r="F5967" i="2"/>
  <c r="F5894" i="2"/>
  <c r="F5813" i="2"/>
  <c r="F5748" i="2"/>
  <c r="F5679" i="2"/>
  <c r="F5607" i="2"/>
  <c r="F5536" i="2"/>
  <c r="F5469" i="2"/>
  <c r="F5401" i="2"/>
  <c r="F5333" i="2"/>
  <c r="F5262" i="2"/>
  <c r="F5200" i="2"/>
  <c r="F5131" i="2"/>
  <c r="F5063" i="2"/>
  <c r="F5005" i="2"/>
  <c r="F4928" i="2"/>
  <c r="F4861" i="2"/>
  <c r="F4793" i="2"/>
  <c r="F4729" i="2"/>
  <c r="F4669" i="2"/>
  <c r="F4605" i="2"/>
  <c r="F4550" i="2"/>
  <c r="F4486" i="2"/>
  <c r="F4427" i="2"/>
  <c r="F4365" i="2"/>
  <c r="F4313" i="2"/>
  <c r="F4256" i="2"/>
  <c r="F4198" i="2"/>
  <c r="F4141" i="2"/>
  <c r="F4089" i="2"/>
  <c r="F4033" i="2"/>
  <c r="F3976" i="2"/>
  <c r="F3922" i="2"/>
  <c r="F3872" i="2"/>
  <c r="F3818" i="2"/>
  <c r="F3770" i="2"/>
  <c r="F3713" i="2"/>
  <c r="F3666" i="2"/>
  <c r="F3616" i="2"/>
  <c r="F3562" i="2"/>
  <c r="F3515" i="2"/>
  <c r="F3459" i="2"/>
  <c r="F3415" i="2"/>
  <c r="F3359" i="2"/>
  <c r="F3308" i="2"/>
  <c r="F3261" i="2"/>
  <c r="F3209" i="2"/>
  <c r="F3167" i="2"/>
  <c r="F3121" i="2"/>
  <c r="F3073" i="2"/>
  <c r="F3029" i="2"/>
  <c r="F2986" i="2"/>
  <c r="F2938" i="2"/>
  <c r="F2896" i="2"/>
  <c r="F2849" i="2"/>
  <c r="F2809" i="2"/>
  <c r="F2762" i="2"/>
  <c r="F2719" i="2"/>
  <c r="F2677" i="2"/>
  <c r="F2627" i="2"/>
  <c r="F2586" i="2"/>
  <c r="F2540" i="2"/>
  <c r="F2500" i="2"/>
  <c r="F2458" i="2"/>
  <c r="F2415" i="2"/>
  <c r="F2369" i="2"/>
  <c r="F2330" i="2"/>
  <c r="F2291" i="2"/>
  <c r="F2247" i="2"/>
  <c r="F2205" i="2"/>
  <c r="F2165" i="2"/>
  <c r="F2127" i="2"/>
  <c r="F2088" i="2"/>
  <c r="F2051" i="2"/>
  <c r="F2012" i="2"/>
  <c r="F1972" i="2"/>
  <c r="F1936" i="2"/>
  <c r="F1900" i="2"/>
  <c r="F1864" i="2"/>
  <c r="F1825" i="2"/>
  <c r="F1793" i="2"/>
  <c r="F1755" i="2"/>
  <c r="F1722" i="2"/>
  <c r="F1691" i="2"/>
  <c r="F1654" i="2"/>
  <c r="F1621" i="2"/>
  <c r="F1587" i="2"/>
  <c r="F1555" i="2"/>
  <c r="F1522" i="2"/>
  <c r="F1490" i="2"/>
  <c r="F1461" i="2"/>
  <c r="F1427" i="2"/>
  <c r="F1396" i="2"/>
  <c r="F1365" i="2"/>
  <c r="F1330" i="2"/>
  <c r="F1300" i="2"/>
  <c r="F1269" i="2"/>
  <c r="F1236" i="2"/>
  <c r="F1206" i="2"/>
  <c r="F1174" i="2"/>
  <c r="F1142" i="2"/>
  <c r="F1109" i="2"/>
  <c r="F1080" i="2"/>
  <c r="F1049" i="2"/>
  <c r="F1016" i="2"/>
  <c r="F986" i="2"/>
  <c r="F954" i="2"/>
  <c r="F922" i="2"/>
  <c r="F890" i="2"/>
  <c r="F859" i="2"/>
  <c r="F826" i="2"/>
  <c r="F794" i="2"/>
  <c r="F766" i="2"/>
  <c r="F732" i="2"/>
  <c r="F700" i="2"/>
  <c r="F670" i="2"/>
  <c r="F638" i="2"/>
  <c r="F606" i="2"/>
  <c r="F577" i="2"/>
  <c r="F544" i="2"/>
  <c r="F514" i="2"/>
  <c r="F482" i="2"/>
  <c r="F451" i="2"/>
  <c r="F10997" i="2"/>
  <c r="F10762" i="2"/>
  <c r="F10493" i="2"/>
  <c r="F10306" i="2"/>
  <c r="F10086" i="2"/>
  <c r="F9875" i="2"/>
  <c r="F9668" i="2"/>
  <c r="F9548" i="2"/>
  <c r="F9429" i="2"/>
  <c r="F9295" i="2"/>
  <c r="F9161" i="2"/>
  <c r="F9043" i="2"/>
  <c r="F8905" i="2"/>
  <c r="F8790" i="2"/>
  <c r="F8664" i="2"/>
  <c r="F8540" i="2"/>
  <c r="F8425" i="2"/>
  <c r="F8305" i="2"/>
  <c r="F8187" i="2"/>
  <c r="F8081" i="2"/>
  <c r="F7961" i="2"/>
  <c r="F7864" i="2"/>
  <c r="F7777" i="2"/>
  <c r="F7676" i="2"/>
  <c r="F7588" i="2"/>
  <c r="F7497" i="2"/>
  <c r="F7400" i="2"/>
  <c r="F7318" i="2"/>
  <c r="F7227" i="2"/>
  <c r="F7148" i="2"/>
  <c r="F7063" i="2"/>
  <c r="F6979" i="2"/>
  <c r="F6894" i="2"/>
  <c r="F6823" i="2"/>
  <c r="F6741" i="2"/>
  <c r="F6667" i="2"/>
  <c r="F6592" i="2"/>
  <c r="F6512" i="2"/>
  <c r="F6431" i="2"/>
  <c r="F6361" i="2"/>
  <c r="F6285" i="2"/>
  <c r="F6205" i="2"/>
  <c r="F6127" i="2"/>
  <c r="F6057" i="2"/>
  <c r="F5977" i="2"/>
  <c r="F5903" i="2"/>
  <c r="F5825" i="2"/>
  <c r="F5743" i="2"/>
  <c r="F5661" i="2"/>
  <c r="F5591" i="2"/>
  <c r="F5515" i="2"/>
  <c r="F5444" i="2"/>
  <c r="F5371" i="2"/>
  <c r="F5304" i="2"/>
  <c r="F5240" i="2"/>
  <c r="F5159" i="2"/>
  <c r="F5085" i="2"/>
  <c r="F5019" i="2"/>
  <c r="F4951" i="2"/>
  <c r="F4884" i="2"/>
  <c r="F4800" i="2"/>
  <c r="F4733" i="2"/>
  <c r="F4660" i="2"/>
  <c r="F4599" i="2"/>
  <c r="F4535" i="2"/>
  <c r="F4474" i="2"/>
  <c r="F4409" i="2"/>
  <c r="F4347" i="2"/>
  <c r="F4287" i="2"/>
  <c r="F4223" i="2"/>
  <c r="F4168" i="2"/>
  <c r="F4107" i="2"/>
  <c r="F4049" i="2"/>
  <c r="F3991" i="2"/>
  <c r="F3933" i="2"/>
  <c r="F3883" i="2"/>
  <c r="F3825" i="2"/>
  <c r="F3767" i="2"/>
  <c r="F3710" i="2"/>
  <c r="F3655" i="2"/>
  <c r="F3604" i="2"/>
  <c r="F3549" i="2"/>
  <c r="F3496" i="2"/>
  <c r="F3439" i="2"/>
  <c r="F3383" i="2"/>
  <c r="F3327" i="2"/>
  <c r="F3275" i="2"/>
  <c r="F3227" i="2"/>
  <c r="F3172" i="2"/>
  <c r="F3130" i="2"/>
  <c r="F3082" i="2"/>
  <c r="F3031" i="2"/>
  <c r="F2985" i="2"/>
  <c r="F2936" i="2"/>
  <c r="F2887" i="2"/>
  <c r="F2842" i="2"/>
  <c r="F2792" i="2"/>
  <c r="F2746" i="2"/>
  <c r="F2695" i="2"/>
  <c r="F2652" i="2"/>
  <c r="F2604" i="2"/>
  <c r="F2556" i="2"/>
  <c r="F2512" i="2"/>
  <c r="F2466" i="2"/>
  <c r="F2423" i="2"/>
  <c r="F2382" i="2"/>
  <c r="F2331" i="2"/>
  <c r="F2290" i="2"/>
  <c r="F2241" i="2"/>
  <c r="F2199" i="2"/>
  <c r="F2155" i="2"/>
  <c r="F2114" i="2"/>
  <c r="F2076" i="2"/>
  <c r="F2030" i="2"/>
  <c r="F1991" i="2"/>
  <c r="F1950" i="2"/>
  <c r="F1911" i="2"/>
  <c r="F1876" i="2"/>
  <c r="F1836" i="2"/>
  <c r="F1798" i="2"/>
  <c r="F1762" i="2"/>
  <c r="F1723" i="2"/>
  <c r="F1688" i="2"/>
  <c r="F1652" i="2"/>
  <c r="F1617" i="2"/>
  <c r="F1579" i="2"/>
  <c r="F1544" i="2"/>
  <c r="F1509" i="2"/>
  <c r="F1475" i="2"/>
  <c r="F1443" i="2"/>
  <c r="F1410" i="2"/>
  <c r="F1374" i="2"/>
  <c r="F1344" i="2"/>
  <c r="F1307" i="2"/>
  <c r="F1274" i="2"/>
  <c r="F1241" i="2"/>
  <c r="F1207" i="2"/>
  <c r="F1173" i="2"/>
  <c r="F1140" i="2"/>
  <c r="F1106" i="2"/>
  <c r="F1073" i="2"/>
  <c r="F1036" i="2"/>
  <c r="F1006" i="2"/>
  <c r="F970" i="2"/>
  <c r="F938" i="2"/>
  <c r="F904" i="2"/>
  <c r="F870" i="2"/>
  <c r="F839" i="2"/>
  <c r="F805" i="2"/>
  <c r="F770" i="2"/>
  <c r="F738" i="2"/>
  <c r="F702" i="2"/>
  <c r="F668" i="2"/>
  <c r="F633" i="2"/>
  <c r="F602" i="2"/>
  <c r="F568" i="2"/>
  <c r="F533" i="2"/>
  <c r="F501" i="2"/>
  <c r="F467" i="2"/>
  <c r="F433" i="2"/>
  <c r="F404" i="2"/>
  <c r="F370" i="2"/>
  <c r="F339" i="2"/>
  <c r="F310" i="2"/>
  <c r="F276" i="2"/>
  <c r="F245" i="2"/>
  <c r="F214" i="2"/>
  <c r="F182" i="2"/>
  <c r="F149" i="2"/>
  <c r="F118" i="2"/>
  <c r="F10948" i="2"/>
  <c r="F10717" i="2"/>
  <c r="F10491" i="2"/>
  <c r="F10270" i="2"/>
  <c r="F10072" i="2"/>
  <c r="F9864" i="2"/>
  <c r="F9663" i="2"/>
  <c r="F9544" i="2"/>
  <c r="F9416" i="2"/>
  <c r="F9275" i="2"/>
  <c r="F9146" i="2"/>
  <c r="F9018" i="2"/>
  <c r="F8899" i="2"/>
  <c r="F8773" i="2"/>
  <c r="F8649" i="2"/>
  <c r="F8522" i="2"/>
  <c r="F8412" i="2"/>
  <c r="F8296" i="2"/>
  <c r="F8171" i="2"/>
  <c r="F8066" i="2"/>
  <c r="F7953" i="2"/>
  <c r="F7859" i="2"/>
  <c r="F7763" i="2"/>
  <c r="F7670" i="2"/>
  <c r="F7575" i="2"/>
  <c r="F7489" i="2"/>
  <c r="F7396" i="2"/>
  <c r="F7305" i="2"/>
  <c r="F7212" i="2"/>
  <c r="F7135" i="2"/>
  <c r="F7050" i="2"/>
  <c r="F6973" i="2"/>
  <c r="F6888" i="2"/>
  <c r="F6811" i="2"/>
  <c r="F6735" i="2"/>
  <c r="F6663" i="2"/>
  <c r="F6577" i="2"/>
  <c r="F6505" i="2"/>
  <c r="F6426" i="2"/>
  <c r="F6352" i="2"/>
  <c r="F6279" i="2"/>
  <c r="F6197" i="2"/>
  <c r="F6122" i="2"/>
  <c r="F6047" i="2"/>
  <c r="F5972" i="2"/>
  <c r="F5885" i="2"/>
  <c r="F5809" i="2"/>
  <c r="F5739" i="2"/>
  <c r="F5659" i="2"/>
  <c r="F5583" i="2"/>
  <c r="F5511" i="2"/>
  <c r="F5439" i="2"/>
  <c r="F5367" i="2"/>
  <c r="F5297" i="2"/>
  <c r="F5224" i="2"/>
  <c r="F5152" i="2"/>
  <c r="F5079" i="2"/>
  <c r="F5012" i="2"/>
  <c r="F4939" i="2"/>
  <c r="F10936" i="2"/>
  <c r="F10710" i="2"/>
  <c r="F10484" i="2"/>
  <c r="F10268" i="2"/>
  <c r="F10037" i="2"/>
  <c r="F9854" i="2"/>
  <c r="F9660" i="2"/>
  <c r="F9543" i="2"/>
  <c r="F9401" i="2"/>
  <c r="F9273" i="2"/>
  <c r="F9135" i="2"/>
  <c r="F9016" i="2"/>
  <c r="F8888" i="2"/>
  <c r="F8772" i="2"/>
  <c r="F8628" i="2"/>
  <c r="F8518" i="2"/>
  <c r="F8408" i="2"/>
  <c r="F8287" i="2"/>
  <c r="F8162" i="2"/>
  <c r="F8060" i="2"/>
  <c r="F7947" i="2"/>
  <c r="F7856" i="2"/>
  <c r="F7759" i="2"/>
  <c r="F7667" i="2"/>
  <c r="F7574" i="2"/>
  <c r="F7487" i="2"/>
  <c r="F7395" i="2"/>
  <c r="F7300" i="2"/>
  <c r="F7209" i="2"/>
  <c r="F7129" i="2"/>
  <c r="F7049" i="2"/>
  <c r="F6963" i="2"/>
  <c r="F6877" i="2"/>
  <c r="F6809" i="2"/>
  <c r="F6731" i="2"/>
  <c r="F6661" i="2"/>
  <c r="F6573" i="2"/>
  <c r="F6503" i="2"/>
  <c r="F6425" i="2"/>
  <c r="F6349" i="2"/>
  <c r="F6273" i="2"/>
  <c r="F6196" i="2"/>
  <c r="F6117" i="2"/>
  <c r="F6042" i="2"/>
  <c r="F5966" i="2"/>
  <c r="F5883" i="2"/>
  <c r="F5802" i="2"/>
  <c r="F5735" i="2"/>
  <c r="F5658" i="2"/>
  <c r="F5579" i="2"/>
  <c r="F5501" i="2"/>
  <c r="F5437" i="2"/>
  <c r="F5366" i="2"/>
  <c r="F5295" i="2"/>
  <c r="F5222" i="2"/>
  <c r="F5149" i="2"/>
  <c r="F5077" i="2"/>
  <c r="F10989" i="2"/>
  <c r="F10668" i="2"/>
  <c r="F10389" i="2"/>
  <c r="F10149" i="2"/>
  <c r="F9892" i="2"/>
  <c r="F9650" i="2"/>
  <c r="F9490" i="2"/>
  <c r="F9333" i="2"/>
  <c r="F9192" i="2"/>
  <c r="F9012" i="2"/>
  <c r="F8845" i="2"/>
  <c r="F8708" i="2"/>
  <c r="F8559" i="2"/>
  <c r="F8413" i="2"/>
  <c r="F8264" i="2"/>
  <c r="F8145" i="2"/>
  <c r="F8007" i="2"/>
  <c r="F7866" i="2"/>
  <c r="F7743" i="2"/>
  <c r="F7643" i="2"/>
  <c r="F7514" i="2"/>
  <c r="F7417" i="2"/>
  <c r="F7299" i="2"/>
  <c r="F7195" i="2"/>
  <c r="F7093" i="2"/>
  <c r="F6999" i="2"/>
  <c r="F6889" i="2"/>
  <c r="F6793" i="2"/>
  <c r="F6702" i="2"/>
  <c r="F6607" i="2"/>
  <c r="F6518" i="2"/>
  <c r="F6413" i="2"/>
  <c r="F6317" i="2"/>
  <c r="F6230" i="2"/>
  <c r="F6139" i="2"/>
  <c r="F6040" i="2"/>
  <c r="F5937" i="2"/>
  <c r="F5849" i="2"/>
  <c r="F5767" i="2"/>
  <c r="F5660" i="2"/>
  <c r="F5557" i="2"/>
  <c r="F5483" i="2"/>
  <c r="F5389" i="2"/>
  <c r="F5305" i="2"/>
  <c r="F5207" i="2"/>
  <c r="F5121" i="2"/>
  <c r="F5035" i="2"/>
  <c r="F4965" i="2"/>
  <c r="F4885" i="2"/>
  <c r="F4795" i="2"/>
  <c r="F4720" i="2"/>
  <c r="F4653" i="2"/>
  <c r="F4583" i="2"/>
  <c r="F4514" i="2"/>
  <c r="F4452" i="2"/>
  <c r="F4389" i="2"/>
  <c r="F4320" i="2"/>
  <c r="F4253" i="2"/>
  <c r="F4189" i="2"/>
  <c r="F4128" i="2"/>
  <c r="F4064" i="2"/>
  <c r="F4004" i="2"/>
  <c r="F3938" i="2"/>
  <c r="F3884" i="2"/>
  <c r="F3816" i="2"/>
  <c r="F3761" i="2"/>
  <c r="F3697" i="2"/>
  <c r="F3648" i="2"/>
  <c r="F3586" i="2"/>
  <c r="F3530" i="2"/>
  <c r="F3471" i="2"/>
  <c r="F3416" i="2"/>
  <c r="F3352" i="2"/>
  <c r="F3296" i="2"/>
  <c r="F3239" i="2"/>
  <c r="F3187" i="2"/>
  <c r="F3134" i="2"/>
  <c r="F3089" i="2"/>
  <c r="F3037" i="2"/>
  <c r="F2978" i="2"/>
  <c r="F2928" i="2"/>
  <c r="F2881" i="2"/>
  <c r="F2832" i="2"/>
  <c r="F2780" i="2"/>
  <c r="F2730" i="2"/>
  <c r="F2681" i="2"/>
  <c r="F2626" i="2"/>
  <c r="F2577" i="2"/>
  <c r="F2527" i="2"/>
  <c r="F2479" i="2"/>
  <c r="F2435" i="2"/>
  <c r="F2386" i="2"/>
  <c r="F2339" i="2"/>
  <c r="F2292" i="2"/>
  <c r="F2240" i="2"/>
  <c r="F2194" i="2"/>
  <c r="F2148" i="2"/>
  <c r="F2106" i="2"/>
  <c r="F2060" i="2"/>
  <c r="F2018" i="2"/>
  <c r="F1973" i="2"/>
  <c r="F1931" i="2"/>
  <c r="F1888" i="2"/>
  <c r="F1848" i="2"/>
  <c r="F1806" i="2"/>
  <c r="F1771" i="2"/>
  <c r="F1732" i="2"/>
  <c r="F1694" i="2"/>
  <c r="F1653" i="2"/>
  <c r="F1614" i="2"/>
  <c r="F1576" i="2"/>
  <c r="F1537" i="2"/>
  <c r="F1500" i="2"/>
  <c r="F1465" i="2"/>
  <c r="F1430" i="2"/>
  <c r="F1394" i="2"/>
  <c r="F1355" i="2"/>
  <c r="F1322" i="2"/>
  <c r="F1286" i="2"/>
  <c r="F1252" i="2"/>
  <c r="F1217" i="2"/>
  <c r="F1178" i="2"/>
  <c r="F1144" i="2"/>
  <c r="F1107" i="2"/>
  <c r="F1070" i="2"/>
  <c r="F1033" i="2"/>
  <c r="F997" i="2"/>
  <c r="F963" i="2"/>
  <c r="F928" i="2"/>
  <c r="F894" i="2"/>
  <c r="F853" i="2"/>
  <c r="F818" i="2"/>
  <c r="F786" i="2"/>
  <c r="F748" i="2"/>
  <c r="F715" i="2"/>
  <c r="F677" i="2"/>
  <c r="F644" i="2"/>
  <c r="F604" i="2"/>
  <c r="F570" i="2"/>
  <c r="F532" i="2"/>
  <c r="F497" i="2"/>
  <c r="F459" i="2"/>
  <c r="F427" i="2"/>
  <c r="F392" i="2"/>
  <c r="F359" i="2"/>
  <c r="F323" i="2"/>
  <c r="F292" i="2"/>
  <c r="F260" i="2"/>
  <c r="F226" i="2"/>
  <c r="F193" i="2"/>
  <c r="F156" i="2"/>
  <c r="F126" i="2"/>
  <c r="F91" i="2"/>
  <c r="F58" i="2"/>
  <c r="F26" i="2"/>
  <c r="F10923" i="2"/>
  <c r="F10925" i="2"/>
  <c r="F10643" i="2"/>
  <c r="F10354" i="2"/>
  <c r="F10018" i="2"/>
  <c r="F9786" i="2"/>
  <c r="F9581" i="2"/>
  <c r="F9419" i="2"/>
  <c r="F9240" i="2"/>
  <c r="F9064" i="2"/>
  <c r="F8922" i="2"/>
  <c r="F8732" i="2"/>
  <c r="F8594" i="2"/>
  <c r="F8442" i="2"/>
  <c r="F8265" i="2"/>
  <c r="F8131" i="2"/>
  <c r="F7985" i="2"/>
  <c r="F7843" i="2"/>
  <c r="F7728" i="2"/>
  <c r="F7615" i="2"/>
  <c r="F7478" i="2"/>
  <c r="F7361" i="2"/>
  <c r="F7252" i="2"/>
  <c r="F7140" i="2"/>
  <c r="F7022" i="2"/>
  <c r="F6921" i="2"/>
  <c r="F6824" i="2"/>
  <c r="F6721" i="2"/>
  <c r="F6621" i="2"/>
  <c r="F6519" i="2"/>
  <c r="F6412" i="2"/>
  <c r="F6313" i="2"/>
  <c r="F6222" i="2"/>
  <c r="F6102" i="2"/>
  <c r="F6009" i="2"/>
  <c r="F5916" i="2"/>
  <c r="F5801" i="2"/>
  <c r="F5713" i="2"/>
  <c r="F5610" i="2"/>
  <c r="F5513" i="2"/>
  <c r="F5419" i="2"/>
  <c r="F5323" i="2"/>
  <c r="F5243" i="2"/>
  <c r="F5135" i="2"/>
  <c r="F5049" i="2"/>
  <c r="F4957" i="2"/>
  <c r="F4869" i="2"/>
  <c r="F4784" i="2"/>
  <c r="F4704" i="2"/>
  <c r="F4632" i="2"/>
  <c r="F4556" i="2"/>
  <c r="F4492" i="2"/>
  <c r="F4420" i="2"/>
  <c r="F4346" i="2"/>
  <c r="F4272" i="2"/>
  <c r="F4204" i="2"/>
  <c r="F4140" i="2"/>
  <c r="F4073" i="2"/>
  <c r="F4009" i="2"/>
  <c r="F3946" i="2"/>
  <c r="F3875" i="2"/>
  <c r="F3809" i="2"/>
  <c r="F3751" i="2"/>
  <c r="F3693" i="2"/>
  <c r="F3626" i="2"/>
  <c r="F3566" i="2"/>
  <c r="F3503" i="2"/>
  <c r="F3441" i="2"/>
  <c r="F3379" i="2"/>
  <c r="F3316" i="2"/>
  <c r="F3260" i="2"/>
  <c r="F3197" i="2"/>
  <c r="F3143" i="2"/>
  <c r="F3092" i="2"/>
  <c r="F3040" i="2"/>
  <c r="F2976" i="2"/>
  <c r="F2924" i="2"/>
  <c r="F2871" i="2"/>
  <c r="F2818" i="2"/>
  <c r="F2764" i="2"/>
  <c r="F2713" i="2"/>
  <c r="F2655" i="2"/>
  <c r="F2601" i="2"/>
  <c r="F2549" i="2"/>
  <c r="F2497" i="2"/>
  <c r="F2448" i="2"/>
  <c r="F2395" i="2"/>
  <c r="F2350" i="2"/>
  <c r="F2295" i="2"/>
  <c r="F2242" i="2"/>
  <c r="F2193" i="2"/>
  <c r="F2142" i="2"/>
  <c r="F2096" i="2"/>
  <c r="F2053" i="2"/>
  <c r="F2004" i="2"/>
  <c r="F1957" i="2"/>
  <c r="F1916" i="2"/>
  <c r="F1872" i="2"/>
  <c r="F1823" i="2"/>
  <c r="F1781" i="2"/>
  <c r="F1744" i="2"/>
  <c r="F1702" i="2"/>
  <c r="F1662" i="2"/>
  <c r="F1619" i="2"/>
  <c r="F1577" i="2"/>
  <c r="F1536" i="2"/>
  <c r="F1498" i="2"/>
  <c r="F1462" i="2"/>
  <c r="F1418" i="2"/>
  <c r="F1381" i="2"/>
  <c r="F1346" i="2"/>
  <c r="F1306" i="2"/>
  <c r="F1268" i="2"/>
  <c r="F1228" i="2"/>
  <c r="F1192" i="2"/>
  <c r="F1154" i="2"/>
  <c r="F1116" i="2"/>
  <c r="F1079" i="2"/>
  <c r="F1042" i="2"/>
  <c r="F999" i="2"/>
  <c r="F962" i="2"/>
  <c r="F923" i="2"/>
  <c r="F885" i="2"/>
  <c r="F848" i="2"/>
  <c r="F811" i="2"/>
  <c r="F772" i="2"/>
  <c r="F730" i="2"/>
  <c r="F695" i="2"/>
  <c r="F658" i="2"/>
  <c r="F620" i="2"/>
  <c r="F580" i="2"/>
  <c r="F540" i="2"/>
  <c r="F503" i="2"/>
  <c r="F466" i="2"/>
  <c r="F428" i="2"/>
  <c r="F390" i="2"/>
  <c r="F356" i="2"/>
  <c r="F318" i="2"/>
  <c r="F284" i="2"/>
  <c r="F248" i="2"/>
  <c r="F212" i="2"/>
  <c r="F174" i="2"/>
  <c r="F139" i="2"/>
  <c r="F104" i="2"/>
  <c r="F72" i="2"/>
  <c r="F38" i="2"/>
  <c r="F4" i="2"/>
  <c r="F10898" i="2"/>
  <c r="F10606" i="2"/>
  <c r="F10307" i="2"/>
  <c r="F10011" i="2"/>
  <c r="F9757" i="2"/>
  <c r="F9570" i="2"/>
  <c r="F9380" i="2"/>
  <c r="F9210" i="2"/>
  <c r="F9058" i="2"/>
  <c r="F8887" i="2"/>
  <c r="F8726" i="2"/>
  <c r="F8572" i="2"/>
  <c r="F8393" i="2"/>
  <c r="F8253" i="2"/>
  <c r="F8114" i="2"/>
  <c r="F7957" i="2"/>
  <c r="F7824" i="2"/>
  <c r="F7708" i="2"/>
  <c r="F7594" i="2"/>
  <c r="F7468" i="2"/>
  <c r="F7347" i="2"/>
  <c r="F7244" i="2"/>
  <c r="F7118" i="2"/>
  <c r="F7019" i="2"/>
  <c r="F6919" i="2"/>
  <c r="F6807" i="2"/>
  <c r="F6709" i="2"/>
  <c r="F6605" i="2"/>
  <c r="F6497" i="2"/>
  <c r="F6410" i="2"/>
  <c r="F6302" i="2"/>
  <c r="F6204" i="2"/>
  <c r="F6100" i="2"/>
  <c r="F5993" i="2"/>
  <c r="F5909" i="2"/>
  <c r="F5793" i="2"/>
  <c r="F5700" i="2"/>
  <c r="F5604" i="2"/>
  <c r="F5497" i="2"/>
  <c r="F5414" i="2"/>
  <c r="F5319" i="2"/>
  <c r="F5213" i="2"/>
  <c r="F5117" i="2"/>
  <c r="F5032" i="2"/>
  <c r="F4941" i="2"/>
  <c r="F4857" i="2"/>
  <c r="F4777" i="2"/>
  <c r="F4700" i="2"/>
  <c r="F4619" i="2"/>
  <c r="F4554" i="2"/>
  <c r="F4477" i="2"/>
  <c r="F4407" i="2"/>
  <c r="F4344" i="2"/>
  <c r="F4265" i="2"/>
  <c r="F4201" i="2"/>
  <c r="F4134" i="2"/>
  <c r="F4065" i="2"/>
  <c r="F4001" i="2"/>
  <c r="F3931" i="2"/>
  <c r="F3863" i="2"/>
  <c r="F3805" i="2"/>
  <c r="F3742" i="2"/>
  <c r="F3687" i="2"/>
  <c r="F3619" i="2"/>
  <c r="F3559" i="2"/>
  <c r="F3497" i="2"/>
  <c r="F3432" i="2"/>
  <c r="F3374" i="2"/>
  <c r="F3312" i="2"/>
  <c r="F3250" i="2"/>
  <c r="F3192" i="2"/>
  <c r="F3139" i="2"/>
  <c r="F3088" i="2"/>
  <c r="F3024" i="2"/>
  <c r="F2972" i="2"/>
  <c r="F2919" i="2"/>
  <c r="F2866" i="2"/>
  <c r="F2815" i="2"/>
  <c r="F2757" i="2"/>
  <c r="F2705" i="2"/>
  <c r="F2648" i="2"/>
  <c r="F2595" i="2"/>
  <c r="F2547" i="2"/>
  <c r="F2490" i="2"/>
  <c r="F2440" i="2"/>
  <c r="F2391" i="2"/>
  <c r="F2343" i="2"/>
  <c r="F2285" i="2"/>
  <c r="F2235" i="2"/>
  <c r="F2186" i="2"/>
  <c r="F2139" i="2"/>
  <c r="F2093" i="2"/>
  <c r="F2046" i="2"/>
  <c r="F1996" i="2"/>
  <c r="F1953" i="2"/>
  <c r="F1906" i="2"/>
  <c r="F1865" i="2"/>
  <c r="F1820" i="2"/>
  <c r="F1779" i="2"/>
  <c r="F1740" i="2"/>
  <c r="F1697" i="2"/>
  <c r="F1657" i="2"/>
  <c r="F1612" i="2"/>
  <c r="F1569" i="2"/>
  <c r="F1530" i="2"/>
  <c r="F1492" i="2"/>
  <c r="F1454" i="2"/>
  <c r="F1416" i="2"/>
  <c r="F1379" i="2"/>
  <c r="F1342" i="2"/>
  <c r="F1301" i="2"/>
  <c r="F1262" i="2"/>
  <c r="F1225" i="2"/>
  <c r="F1189" i="2"/>
  <c r="F1152" i="2"/>
  <c r="F1113" i="2"/>
  <c r="F1077" i="2"/>
  <c r="F1032" i="2"/>
  <c r="F995" i="2"/>
  <c r="F960" i="2"/>
  <c r="F917" i="2"/>
  <c r="F881" i="2"/>
  <c r="F842" i="2"/>
  <c r="F806" i="2"/>
  <c r="F768" i="2"/>
  <c r="F725" i="2"/>
  <c r="F693" i="2"/>
  <c r="F650" i="2"/>
  <c r="F613" i="2"/>
  <c r="F578" i="2"/>
  <c r="F538" i="2"/>
  <c r="F500" i="2"/>
  <c r="F458" i="2"/>
  <c r="F422" i="2"/>
  <c r="F386" i="2"/>
  <c r="F350" i="2"/>
  <c r="F314" i="2"/>
  <c r="F280" i="2"/>
  <c r="F244" i="2"/>
  <c r="F204" i="2"/>
  <c r="F171" i="2"/>
  <c r="F136" i="2"/>
  <c r="F100" i="2"/>
  <c r="F68" i="2"/>
  <c r="F36" i="2"/>
  <c r="F2" i="2"/>
  <c r="F10805" i="2"/>
  <c r="F10469" i="2"/>
  <c r="F10186" i="2"/>
  <c r="F9942" i="2"/>
  <c r="F9667" i="2"/>
  <c r="F9503" i="2"/>
  <c r="F9325" i="2"/>
  <c r="F9154" i="2"/>
  <c r="F8975" i="2"/>
  <c r="F8820" i="2"/>
  <c r="F8674" i="2"/>
  <c r="F8488" i="2"/>
  <c r="F8353" i="2"/>
  <c r="F8211" i="2"/>
  <c r="F8044" i="2"/>
  <c r="F7910" i="2"/>
  <c r="F7796" i="2"/>
  <c r="F7665" i="2"/>
  <c r="F7545" i="2"/>
  <c r="F7422" i="2"/>
  <c r="F7306" i="2"/>
  <c r="F7193" i="2"/>
  <c r="F7078" i="2"/>
  <c r="F6976" i="2"/>
  <c r="F6865" i="2"/>
  <c r="F6773" i="2"/>
  <c r="F6669" i="2"/>
  <c r="F6559" i="2"/>
  <c r="F6465" i="2"/>
  <c r="F6369" i="2"/>
  <c r="F6261" i="2"/>
  <c r="F6157" i="2"/>
  <c r="F6063" i="2"/>
  <c r="F5953" i="2"/>
  <c r="F5864" i="2"/>
  <c r="F5768" i="2"/>
  <c r="F5653" i="2"/>
  <c r="F5553" i="2"/>
  <c r="F5468" i="2"/>
  <c r="F5370" i="2"/>
  <c r="F5276" i="2"/>
  <c r="F5182" i="2"/>
  <c r="F5095" i="2"/>
  <c r="F4993" i="2"/>
  <c r="F4911" i="2"/>
  <c r="F4829" i="2"/>
  <c r="F4747" i="2"/>
  <c r="F4677" i="2"/>
  <c r="F4597" i="2"/>
  <c r="F4521" i="2"/>
  <c r="F4459" i="2"/>
  <c r="F4382" i="2"/>
  <c r="F4310" i="2"/>
  <c r="F4239" i="2"/>
  <c r="F4172" i="2"/>
  <c r="F4106" i="2"/>
  <c r="F4040" i="2"/>
  <c r="F3969" i="2"/>
  <c r="F3906" i="2"/>
  <c r="F3848" i="2"/>
  <c r="F3786" i="2"/>
  <c r="F3727" i="2"/>
  <c r="F3661" i="2"/>
  <c r="F3595" i="2"/>
  <c r="F3535" i="2"/>
  <c r="F3473" i="2"/>
  <c r="F3407" i="2"/>
  <c r="F3346" i="2"/>
  <c r="F3283" i="2"/>
  <c r="F3228" i="2"/>
  <c r="F3170" i="2"/>
  <c r="F3114" i="2"/>
  <c r="F3063" i="2"/>
  <c r="F3005" i="2"/>
  <c r="F2954" i="2"/>
  <c r="F2899" i="2"/>
  <c r="F2847" i="2"/>
  <c r="F2791" i="2"/>
  <c r="F2738" i="2"/>
  <c r="F2685" i="2"/>
  <c r="F2628" i="2"/>
  <c r="F2574" i="2"/>
  <c r="F2522" i="2"/>
  <c r="F2474" i="2"/>
  <c r="F2419" i="2"/>
  <c r="F2367" i="2"/>
  <c r="F2319" i="2"/>
  <c r="F2267" i="2"/>
  <c r="F2219" i="2"/>
  <c r="F2169" i="2"/>
  <c r="F2121" i="2"/>
  <c r="F2078" i="2"/>
  <c r="F2027" i="2"/>
  <c r="F1984" i="2"/>
  <c r="F1937" i="2"/>
  <c r="F1889" i="2"/>
  <c r="F1847" i="2"/>
  <c r="F1803" i="2"/>
  <c r="F1765" i="2"/>
  <c r="F1720" i="2"/>
  <c r="F1678" i="2"/>
  <c r="F1641" i="2"/>
  <c r="F1598" i="2"/>
  <c r="F1558" i="2"/>
  <c r="F1516" i="2"/>
  <c r="F1479" i="2"/>
  <c r="F1440" i="2"/>
  <c r="F1401" i="2"/>
  <c r="F1366" i="2"/>
  <c r="F1324" i="2"/>
  <c r="F1288" i="2"/>
  <c r="F1251" i="2"/>
  <c r="F1210" i="2"/>
  <c r="F1172" i="2"/>
  <c r="F1132" i="2"/>
  <c r="F1095" i="2"/>
  <c r="F1059" i="2"/>
  <c r="F1018" i="2"/>
  <c r="F982" i="2"/>
  <c r="F942" i="2"/>
  <c r="F906" i="2"/>
  <c r="F868" i="2"/>
  <c r="F828" i="2"/>
  <c r="F790" i="2"/>
  <c r="F753" i="2"/>
  <c r="F716" i="2"/>
  <c r="F676" i="2"/>
  <c r="F634" i="2"/>
  <c r="F598" i="2"/>
  <c r="F558" i="2"/>
  <c r="F522" i="2"/>
  <c r="F485" i="2"/>
  <c r="F444" i="2"/>
  <c r="F409" i="2"/>
  <c r="F374" i="2"/>
  <c r="F338" i="2"/>
  <c r="F300" i="2"/>
  <c r="F265" i="2"/>
  <c r="F229" i="2"/>
  <c r="F195" i="2"/>
  <c r="F160" i="2"/>
  <c r="F121" i="2"/>
  <c r="F85" i="2"/>
  <c r="F53" i="2"/>
  <c r="F21" i="2"/>
  <c r="F10900" i="2"/>
  <c r="F10555" i="2"/>
  <c r="F10171" i="2"/>
  <c r="F9842" i="2"/>
  <c r="F9583" i="2"/>
  <c r="F9371" i="2"/>
  <c r="F9169" i="2"/>
  <c r="F8947" i="2"/>
  <c r="F8747" i="2"/>
  <c r="F8553" i="2"/>
  <c r="F8363" i="2"/>
  <c r="F8185" i="2"/>
  <c r="F8010" i="2"/>
  <c r="F7830" i="2"/>
  <c r="F7700" i="2"/>
  <c r="F7536" i="2"/>
  <c r="F7379" i="2"/>
  <c r="F7254" i="2"/>
  <c r="F7110" i="2"/>
  <c r="F6980" i="2"/>
  <c r="F6859" i="2"/>
  <c r="F6725" i="2"/>
  <c r="F6604" i="2"/>
  <c r="F6480" i="2"/>
  <c r="F6353" i="2"/>
  <c r="F6237" i="2"/>
  <c r="F6101" i="2"/>
  <c r="F5990" i="2"/>
  <c r="F5855" i="2"/>
  <c r="F5728" i="2"/>
  <c r="F5611" i="2"/>
  <c r="F5487" i="2"/>
  <c r="F5373" i="2"/>
  <c r="F5256" i="2"/>
  <c r="F5147" i="2"/>
  <c r="F5025" i="2"/>
  <c r="F4921" i="2"/>
  <c r="F4824" i="2"/>
  <c r="F4719" i="2"/>
  <c r="F4631" i="2"/>
  <c r="F4538" i="2"/>
  <c r="F4445" i="2"/>
  <c r="F4362" i="2"/>
  <c r="F4279" i="2"/>
  <c r="F4190" i="2"/>
  <c r="F4109" i="2"/>
  <c r="F4030" i="2"/>
  <c r="F3950" i="2"/>
  <c r="F3859" i="2"/>
  <c r="F3788" i="2"/>
  <c r="F3712" i="2"/>
  <c r="F3636" i="2"/>
  <c r="F3560" i="2"/>
  <c r="F3482" i="2"/>
  <c r="F3403" i="2"/>
  <c r="F3338" i="2"/>
  <c r="F3262" i="2"/>
  <c r="F3186" i="2"/>
  <c r="F3119" i="2"/>
  <c r="F3053" i="2"/>
  <c r="F2992" i="2"/>
  <c r="F2917" i="2"/>
  <c r="F2857" i="2"/>
  <c r="F2784" i="2"/>
  <c r="F2720" i="2"/>
  <c r="F2653" i="2"/>
  <c r="F2587" i="2"/>
  <c r="F2521" i="2"/>
  <c r="F2459" i="2"/>
  <c r="F2401" i="2"/>
  <c r="F2329" i="2"/>
  <c r="F2271" i="2"/>
  <c r="F2210" i="2"/>
  <c r="F2149" i="2"/>
  <c r="F2092" i="2"/>
  <c r="F2035" i="2"/>
  <c r="F1975" i="2"/>
  <c r="F1920" i="2"/>
  <c r="F1868" i="2"/>
  <c r="F1813" i="2"/>
  <c r="F1756" i="2"/>
  <c r="F1714" i="2"/>
  <c r="F1665" i="2"/>
  <c r="F1608" i="2"/>
  <c r="F1560" i="2"/>
  <c r="F1511" i="2"/>
  <c r="F1464" i="2"/>
  <c r="F1415" i="2"/>
  <c r="F1370" i="2"/>
  <c r="F1320" i="2"/>
  <c r="F1278" i="2"/>
  <c r="F1227" i="2"/>
  <c r="F1179" i="2"/>
  <c r="F1131" i="2"/>
  <c r="F1086" i="2"/>
  <c r="F1043" i="2"/>
  <c r="F990" i="2"/>
  <c r="F945" i="2"/>
  <c r="F899" i="2"/>
  <c r="F851" i="2"/>
  <c r="F804" i="2"/>
  <c r="F757" i="2"/>
  <c r="F707" i="2"/>
  <c r="F661" i="2"/>
  <c r="F615" i="2"/>
  <c r="F566" i="2"/>
  <c r="F520" i="2"/>
  <c r="F475" i="2"/>
  <c r="F430" i="2"/>
  <c r="F384" i="2"/>
  <c r="F340" i="2"/>
  <c r="F294" i="2"/>
  <c r="F250" i="2"/>
  <c r="F203" i="2"/>
  <c r="F165" i="2"/>
  <c r="F117" i="2"/>
  <c r="F75" i="2"/>
  <c r="F37" i="2"/>
  <c r="F10893" i="2"/>
  <c r="F10554" i="2"/>
  <c r="F10165" i="2"/>
  <c r="F9828" i="2"/>
  <c r="F9572" i="2"/>
  <c r="F9369" i="2"/>
  <c r="F9131" i="2"/>
  <c r="F8945" i="2"/>
  <c r="F8738" i="2"/>
  <c r="F8541" i="2"/>
  <c r="F8362" i="2"/>
  <c r="F8161" i="2"/>
  <c r="F8008" i="2"/>
  <c r="F7823" i="2"/>
  <c r="F7684" i="2"/>
  <c r="F7531" i="2"/>
  <c r="F7377" i="2"/>
  <c r="F7249" i="2"/>
  <c r="F7097" i="2"/>
  <c r="F6958" i="2"/>
  <c r="F6848" i="2"/>
  <c r="F6724" i="2"/>
  <c r="F6603" i="2"/>
  <c r="F6477" i="2"/>
  <c r="F6348" i="2"/>
  <c r="F6229" i="2"/>
  <c r="F6097" i="2"/>
  <c r="F5989" i="2"/>
  <c r="F5847" i="2"/>
  <c r="F5721" i="2"/>
  <c r="F5609" i="2"/>
  <c r="F5486" i="2"/>
  <c r="F5361" i="2"/>
  <c r="F5255" i="2"/>
  <c r="F5143" i="2"/>
  <c r="F5023" i="2"/>
  <c r="F4913" i="2"/>
  <c r="F4821" i="2"/>
  <c r="F4718" i="2"/>
  <c r="F4617" i="2"/>
  <c r="F4533" i="2"/>
  <c r="F4444" i="2"/>
  <c r="F4360" i="2"/>
  <c r="F4271" i="2"/>
  <c r="F4184" i="2"/>
  <c r="F4105" i="2"/>
  <c r="F4025" i="2"/>
  <c r="F3947" i="2"/>
  <c r="F3854" i="2"/>
  <c r="F3787" i="2"/>
  <c r="F3708" i="2"/>
  <c r="F3635" i="2"/>
  <c r="F3556" i="2"/>
  <c r="F3475" i="2"/>
  <c r="F3402" i="2"/>
  <c r="F3325" i="2"/>
  <c r="F3253" i="2"/>
  <c r="F3183" i="2"/>
  <c r="F3107" i="2"/>
  <c r="F3051" i="2"/>
  <c r="F2988" i="2"/>
  <c r="F2915" i="2"/>
  <c r="F2848" i="2"/>
  <c r="F2782" i="2"/>
  <c r="F2716" i="2"/>
  <c r="F2647" i="2"/>
  <c r="F2585" i="2"/>
  <c r="F2515" i="2"/>
  <c r="F2453" i="2"/>
  <c r="F2393" i="2"/>
  <c r="F2328" i="2"/>
  <c r="F2266" i="2"/>
  <c r="F2209" i="2"/>
  <c r="F2147" i="2"/>
  <c r="F2083" i="2"/>
  <c r="F2029" i="2"/>
  <c r="F1971" i="2"/>
  <c r="F1919" i="2"/>
  <c r="F1859" i="2"/>
  <c r="F1811" i="2"/>
  <c r="F1754" i="2"/>
  <c r="F1707" i="2"/>
  <c r="F1660" i="2"/>
  <c r="F1605" i="2"/>
  <c r="F1557" i="2"/>
  <c r="F1508" i="2"/>
  <c r="F1463" i="2"/>
  <c r="F1414" i="2"/>
  <c r="F1369" i="2"/>
  <c r="F1319" i="2"/>
  <c r="F1272" i="2"/>
  <c r="F1224" i="2"/>
  <c r="F1177" i="2"/>
  <c r="F1128" i="2"/>
  <c r="F1084" i="2"/>
  <c r="F1034" i="2"/>
  <c r="F988" i="2"/>
  <c r="F940" i="2"/>
  <c r="F898" i="2"/>
  <c r="F850" i="2"/>
  <c r="F796" i="2"/>
  <c r="F756" i="2"/>
  <c r="F706" i="2"/>
  <c r="F660" i="2"/>
  <c r="F612" i="2"/>
  <c r="F562" i="2"/>
  <c r="F518" i="2"/>
  <c r="F473" i="2"/>
  <c r="F424" i="2"/>
  <c r="F382" i="2"/>
  <c r="F337" i="2"/>
  <c r="F293" i="2"/>
  <c r="F249" i="2"/>
  <c r="F202" i="2"/>
  <c r="F164" i="2"/>
  <c r="F116" i="2"/>
  <c r="F74" i="2"/>
  <c r="F28" i="2"/>
  <c r="F10882" i="2"/>
  <c r="F10492" i="2"/>
  <c r="F10150" i="2"/>
  <c r="F9803" i="2"/>
  <c r="F9564" i="2"/>
  <c r="F9362" i="2"/>
  <c r="F9130" i="2"/>
  <c r="F8939" i="2"/>
  <c r="F8727" i="2"/>
  <c r="F8539" i="2"/>
  <c r="F8338" i="2"/>
  <c r="F8159" i="2"/>
  <c r="F7986" i="2"/>
  <c r="F7818" i="2"/>
  <c r="F7674" i="2"/>
  <c r="F7513" i="2"/>
  <c r="F7363" i="2"/>
  <c r="F7235" i="2"/>
  <c r="F7095" i="2"/>
  <c r="F6953" i="2"/>
  <c r="F6846" i="2"/>
  <c r="F6712" i="2"/>
  <c r="F6587" i="2"/>
  <c r="F6459" i="2"/>
  <c r="F6347" i="2"/>
  <c r="F6223" i="2"/>
  <c r="F6095" i="2"/>
  <c r="F5973" i="2"/>
  <c r="F5845" i="2"/>
  <c r="F5719" i="2"/>
  <c r="F5593" i="2"/>
  <c r="F5481" i="2"/>
  <c r="F5359" i="2"/>
  <c r="F5249" i="2"/>
  <c r="F5130" i="2"/>
  <c r="F5013" i="2"/>
  <c r="F4905" i="2"/>
  <c r="F4815" i="2"/>
  <c r="F4711" i="2"/>
  <c r="F4616" i="2"/>
  <c r="F4525" i="2"/>
  <c r="F4443" i="2"/>
  <c r="F4358" i="2"/>
  <c r="F4263" i="2"/>
  <c r="F4181" i="2"/>
  <c r="F4094" i="2"/>
  <c r="F4014" i="2"/>
  <c r="F3937" i="2"/>
  <c r="F3853" i="2"/>
  <c r="F3784" i="2"/>
  <c r="F3706" i="2"/>
  <c r="F3632" i="2"/>
  <c r="F3551" i="2"/>
  <c r="F3474" i="2"/>
  <c r="F3401" i="2"/>
  <c r="F3324" i="2"/>
  <c r="F3242" i="2"/>
  <c r="F3177" i="2"/>
  <c r="F3106" i="2"/>
  <c r="F3050" i="2"/>
  <c r="F2973" i="2"/>
  <c r="F2914" i="2"/>
  <c r="F2846" i="2"/>
  <c r="F2779" i="2"/>
  <c r="F2714" i="2"/>
  <c r="F2643" i="2"/>
  <c r="F2584" i="2"/>
  <c r="F2514" i="2"/>
  <c r="F2451" i="2"/>
  <c r="F2387" i="2"/>
  <c r="F2321" i="2"/>
  <c r="F2265" i="2"/>
  <c r="F2201" i="2"/>
  <c r="F2140" i="2"/>
  <c r="F2082" i="2"/>
  <c r="F2026" i="2"/>
  <c r="F1968" i="2"/>
  <c r="F1917" i="2"/>
  <c r="F1855" i="2"/>
  <c r="F1804" i="2"/>
  <c r="F1753" i="2"/>
  <c r="F1705" i="2"/>
  <c r="F1649" i="2"/>
  <c r="F1602" i="2"/>
  <c r="F1550" i="2"/>
  <c r="F1506" i="2"/>
  <c r="F1457" i="2"/>
  <c r="F1412" i="2"/>
  <c r="F1361" i="2"/>
  <c r="F1318" i="2"/>
  <c r="F1270" i="2"/>
  <c r="F1223" i="2"/>
  <c r="F1176" i="2"/>
  <c r="F1127" i="2"/>
  <c r="F1082" i="2"/>
  <c r="F1031" i="2"/>
  <c r="F987" i="2"/>
  <c r="F939" i="2"/>
  <c r="F896" i="2"/>
  <c r="F844" i="2"/>
  <c r="F795" i="2"/>
  <c r="F750" i="2"/>
  <c r="F705" i="2"/>
  <c r="F659" i="2"/>
  <c r="F611" i="2"/>
  <c r="F561" i="2"/>
  <c r="F516" i="2"/>
  <c r="F469" i="2"/>
  <c r="F421" i="2"/>
  <c r="F378" i="2"/>
  <c r="F336" i="2"/>
  <c r="F291" i="2"/>
  <c r="F246" i="2"/>
  <c r="F201" i="2"/>
  <c r="F155" i="2"/>
  <c r="F113" i="2"/>
  <c r="F73" i="2"/>
  <c r="F27" i="2"/>
  <c r="F10829" i="2"/>
  <c r="F10424" i="2"/>
  <c r="F10124" i="2"/>
  <c r="F9756" i="2"/>
  <c r="F9524" i="2"/>
  <c r="F9320" i="2"/>
  <c r="F9105" i="2"/>
  <c r="F8903" i="2"/>
  <c r="F8703" i="2"/>
  <c r="F8484" i="2"/>
  <c r="F8327" i="2"/>
  <c r="F8147" i="2"/>
  <c r="F7935" i="2"/>
  <c r="F7798" i="2"/>
  <c r="F7645" i="2"/>
  <c r="F7498" i="2"/>
  <c r="F7339" i="2"/>
  <c r="F7197" i="2"/>
  <c r="F7076" i="2"/>
  <c r="F6939" i="2"/>
  <c r="F6813" i="2"/>
  <c r="F6684" i="2"/>
  <c r="F6558" i="2"/>
  <c r="F6447" i="2"/>
  <c r="F6314" i="2"/>
  <c r="F6185" i="2"/>
  <c r="F6065" i="2"/>
  <c r="F5935" i="2"/>
  <c r="F5829" i="2"/>
  <c r="F5694" i="2"/>
  <c r="F5565" i="2"/>
  <c r="F5456" i="2"/>
  <c r="F5341" i="2"/>
  <c r="F5226" i="2"/>
  <c r="F5111" i="2"/>
  <c r="F4988" i="2"/>
  <c r="F4892" i="2"/>
  <c r="F4785" i="2"/>
  <c r="F4683" i="2"/>
  <c r="F4603" i="2"/>
  <c r="F4511" i="2"/>
  <c r="F4426" i="2"/>
  <c r="F4337" i="2"/>
  <c r="F4249" i="2"/>
  <c r="F4158" i="2"/>
  <c r="F4088" i="2"/>
  <c r="F4008" i="2"/>
  <c r="F3917" i="2"/>
  <c r="F3847" i="2"/>
  <c r="F3771" i="2"/>
  <c r="F3694" i="2"/>
  <c r="F3615" i="2"/>
  <c r="F3540" i="2"/>
  <c r="F3458" i="2"/>
  <c r="F3384" i="2"/>
  <c r="F3306" i="2"/>
  <c r="F3232" i="2"/>
  <c r="F3160" i="2"/>
  <c r="F3100" i="2"/>
  <c r="F3027" i="2"/>
  <c r="F2964" i="2"/>
  <c r="F2898" i="2"/>
  <c r="F2834" i="2"/>
  <c r="F2768" i="2"/>
  <c r="F2693" i="2"/>
  <c r="F2634" i="2"/>
  <c r="F2563" i="2"/>
  <c r="F2504" i="2"/>
  <c r="F2437" i="2"/>
  <c r="F2376" i="2"/>
  <c r="F2314" i="2"/>
  <c r="F2257" i="2"/>
  <c r="F2192" i="2"/>
  <c r="F2131" i="2"/>
  <c r="F2073" i="2"/>
  <c r="F2017" i="2"/>
  <c r="F1960" i="2"/>
  <c r="F1904" i="2"/>
  <c r="F1852" i="2"/>
  <c r="F1796" i="2"/>
  <c r="F1746" i="2"/>
  <c r="F1696" i="2"/>
  <c r="F1643" i="2"/>
  <c r="F1594" i="2"/>
  <c r="F1546" i="2"/>
  <c r="F10730" i="2"/>
  <c r="F10363" i="2"/>
  <c r="F10010" i="2"/>
  <c r="F9704" i="2"/>
  <c r="F9471" i="2"/>
  <c r="F9263" i="2"/>
  <c r="F9060" i="2"/>
  <c r="F8844" i="2"/>
  <c r="F8657" i="2"/>
  <c r="F8471" i="2"/>
  <c r="F8285" i="2"/>
  <c r="F8086" i="2"/>
  <c r="F7922" i="2"/>
  <c r="F7773" i="2"/>
  <c r="F7623" i="2"/>
  <c r="F7453" i="2"/>
  <c r="F7330" i="2"/>
  <c r="F7178" i="2"/>
  <c r="F7041" i="2"/>
  <c r="F6920" i="2"/>
  <c r="F6784" i="2"/>
  <c r="F6665" i="2"/>
  <c r="F6553" i="2"/>
  <c r="F6421" i="2"/>
  <c r="F6295" i="2"/>
  <c r="F6169" i="2"/>
  <c r="F6049" i="2"/>
  <c r="F5919" i="2"/>
  <c r="F5791" i="2"/>
  <c r="F5681" i="2"/>
  <c r="F5550" i="2"/>
  <c r="F5433" i="2"/>
  <c r="F5322" i="2"/>
  <c r="F5197" i="2"/>
  <c r="F5081" i="2"/>
  <c r="F4975" i="2"/>
  <c r="F4872" i="2"/>
  <c r="F4769" i="2"/>
  <c r="F4678" i="2"/>
  <c r="F4578" i="2"/>
  <c r="F4504" i="2"/>
  <c r="F4406" i="2"/>
  <c r="F4321" i="2"/>
  <c r="F4230" i="2"/>
  <c r="F4154" i="2"/>
  <c r="F4071" i="2"/>
  <c r="F3986" i="2"/>
  <c r="F3904" i="2"/>
  <c r="F3832" i="2"/>
  <c r="F3752" i="2"/>
  <c r="F3674" i="2"/>
  <c r="F3596" i="2"/>
  <c r="F3518" i="2"/>
  <c r="F3453" i="2"/>
  <c r="F3371" i="2"/>
  <c r="F3293" i="2"/>
  <c r="F3224" i="2"/>
  <c r="F3153" i="2"/>
  <c r="F3091" i="2"/>
  <c r="F3016" i="2"/>
  <c r="F2953" i="2"/>
  <c r="F2885" i="2"/>
  <c r="F2819" i="2"/>
  <c r="F2753" i="2"/>
  <c r="F2686" i="2"/>
  <c r="F2617" i="2"/>
  <c r="F2552" i="2"/>
  <c r="F2488" i="2"/>
  <c r="F2429" i="2"/>
  <c r="F2363" i="2"/>
  <c r="F2308" i="2"/>
  <c r="F2236" i="2"/>
  <c r="F2175" i="2"/>
  <c r="F2120" i="2"/>
  <c r="F2062" i="2"/>
  <c r="F2005" i="2"/>
  <c r="F1947" i="2"/>
  <c r="F1895" i="2"/>
  <c r="F1842" i="2"/>
  <c r="F1786" i="2"/>
  <c r="F1739" i="2"/>
  <c r="F1683" i="2"/>
  <c r="F1635" i="2"/>
  <c r="F1586" i="2"/>
  <c r="F1534" i="2"/>
  <c r="F1488" i="2"/>
  <c r="F1438" i="2"/>
  <c r="F1392" i="2"/>
  <c r="F1347" i="2"/>
  <c r="F1298" i="2"/>
  <c r="F1253" i="2"/>
  <c r="F1201" i="2"/>
  <c r="F1158" i="2"/>
  <c r="F1108" i="2"/>
  <c r="F1061" i="2"/>
  <c r="F1014" i="2"/>
  <c r="F969" i="2"/>
  <c r="F921" i="2"/>
  <c r="F875" i="2"/>
  <c r="F825" i="2"/>
  <c r="F779" i="2"/>
  <c r="F734" i="2"/>
  <c r="F684" i="2"/>
  <c r="F641" i="2"/>
  <c r="F588" i="2"/>
  <c r="F549" i="2"/>
  <c r="F494" i="2"/>
  <c r="F452" i="2"/>
  <c r="F406" i="2"/>
  <c r="F363" i="2"/>
  <c r="F316" i="2"/>
  <c r="F274" i="2"/>
  <c r="F228" i="2"/>
  <c r="F186" i="2"/>
  <c r="F140" i="2"/>
  <c r="F98" i="2"/>
  <c r="F54" i="2"/>
  <c r="F12" i="2"/>
  <c r="F10707" i="2"/>
  <c r="F10355" i="2"/>
  <c r="F10008" i="2"/>
  <c r="F9689" i="2"/>
  <c r="F9461" i="2"/>
  <c r="F9254" i="2"/>
  <c r="F9048" i="2"/>
  <c r="F8843" i="2"/>
  <c r="F8623" i="2"/>
  <c r="F8455" i="2"/>
  <c r="F8257" i="2"/>
  <c r="F8082" i="2"/>
  <c r="F7900" i="2"/>
  <c r="F7750" i="2"/>
  <c r="F7616" i="2"/>
  <c r="F7443" i="2"/>
  <c r="F7319" i="2"/>
  <c r="F7167" i="2"/>
  <c r="F7033" i="2"/>
  <c r="F6918" i="2"/>
  <c r="F6781" i="2"/>
  <c r="F6648" i="2"/>
  <c r="F6536" i="2"/>
  <c r="F6411" i="2"/>
  <c r="F6294" i="2"/>
  <c r="F6156" i="2"/>
  <c r="F6030" i="2"/>
  <c r="F5917" i="2"/>
  <c r="F5789" i="2"/>
  <c r="F5676" i="2"/>
  <c r="F5549" i="2"/>
  <c r="F5429" i="2"/>
  <c r="F5310" i="2"/>
  <c r="F5196" i="2"/>
  <c r="F5073" i="2"/>
  <c r="F4969" i="2"/>
  <c r="F4859" i="2"/>
  <c r="F4765" i="2"/>
  <c r="F4671" i="2"/>
  <c r="F4572" i="2"/>
  <c r="F4501" i="2"/>
  <c r="F4398" i="2"/>
  <c r="F4315" i="2"/>
  <c r="F4229" i="2"/>
  <c r="F4145" i="2"/>
  <c r="F4057" i="2"/>
  <c r="F3980" i="2"/>
  <c r="F3899" i="2"/>
  <c r="F3827" i="2"/>
  <c r="F3744" i="2"/>
  <c r="F3672" i="2"/>
  <c r="F3594" i="2"/>
  <c r="F3517" i="2"/>
  <c r="F3448" i="2"/>
  <c r="F3363" i="2"/>
  <c r="F3289" i="2"/>
  <c r="F3220" i="2"/>
  <c r="F3152" i="2"/>
  <c r="F3080" i="2"/>
  <c r="F3015" i="2"/>
  <c r="F2949" i="2"/>
  <c r="F2884" i="2"/>
  <c r="F2816" i="2"/>
  <c r="F2751" i="2"/>
  <c r="F2682" i="2"/>
  <c r="F2613" i="2"/>
  <c r="F2551" i="2"/>
  <c r="F2485" i="2"/>
  <c r="F2428" i="2"/>
  <c r="F2359" i="2"/>
  <c r="F2303" i="2"/>
  <c r="F2233" i="2"/>
  <c r="F2173" i="2"/>
  <c r="F2117" i="2"/>
  <c r="F2059" i="2"/>
  <c r="F2003" i="2"/>
  <c r="F1946" i="2"/>
  <c r="F1887" i="2"/>
  <c r="F1837" i="2"/>
  <c r="F1782" i="2"/>
  <c r="F1734" i="2"/>
  <c r="F1681" i="2"/>
  <c r="F1633" i="2"/>
  <c r="F1585" i="2"/>
  <c r="F1528" i="2"/>
  <c r="F1484" i="2"/>
  <c r="F1436" i="2"/>
  <c r="F1390" i="2"/>
  <c r="F1345" i="2"/>
  <c r="F1297" i="2"/>
  <c r="F1248" i="2"/>
  <c r="F1200" i="2"/>
  <c r="F1156" i="2"/>
  <c r="F1105" i="2"/>
  <c r="F1060" i="2"/>
  <c r="F1013" i="2"/>
  <c r="F967" i="2"/>
  <c r="F916" i="2"/>
  <c r="F872" i="2"/>
  <c r="F823" i="2"/>
  <c r="F778" i="2"/>
  <c r="F729" i="2"/>
  <c r="F683" i="2"/>
  <c r="F632" i="2"/>
  <c r="F587" i="2"/>
  <c r="F548" i="2"/>
  <c r="F492" i="2"/>
  <c r="F449" i="2"/>
  <c r="F405" i="2"/>
  <c r="F360" i="2"/>
  <c r="F313" i="2"/>
  <c r="F268" i="2"/>
  <c r="F227" i="2"/>
  <c r="F184" i="2"/>
  <c r="F138" i="2"/>
  <c r="F96" i="2"/>
  <c r="F50" i="2"/>
  <c r="F11" i="2"/>
  <c r="F60" i="2"/>
  <c r="F128" i="2"/>
  <c r="F188" i="2"/>
  <c r="F254" i="2"/>
  <c r="F312" i="2"/>
  <c r="F376" i="2"/>
  <c r="F441" i="2"/>
  <c r="F512" i="2"/>
  <c r="F583" i="2"/>
  <c r="F648" i="2"/>
  <c r="F721" i="2"/>
  <c r="F788" i="2"/>
  <c r="F857" i="2"/>
  <c r="F924" i="2"/>
  <c r="F994" i="2"/>
  <c r="F1056" i="2"/>
  <c r="F1125" i="2"/>
  <c r="F1196" i="2"/>
  <c r="F1260" i="2"/>
  <c r="F1334" i="2"/>
  <c r="F1400" i="2"/>
  <c r="F1470" i="2"/>
  <c r="F1540" i="2"/>
  <c r="F1625" i="2"/>
  <c r="F1704" i="2"/>
  <c r="F1780" i="2"/>
  <c r="F1877" i="2"/>
  <c r="F1956" i="2"/>
  <c r="F2048" i="2"/>
  <c r="F2138" i="2"/>
  <c r="F2231" i="2"/>
  <c r="F2346" i="2"/>
  <c r="F2436" i="2"/>
  <c r="F2537" i="2"/>
  <c r="F2642" i="2"/>
  <c r="F2744" i="2"/>
  <c r="F2859" i="2"/>
  <c r="F2962" i="2"/>
  <c r="F3066" i="2"/>
  <c r="F3171" i="2"/>
  <c r="F3280" i="2"/>
  <c r="F3418" i="2"/>
  <c r="F3532" i="2"/>
  <c r="F3652" i="2"/>
  <c r="F3783" i="2"/>
  <c r="F3892" i="2"/>
  <c r="F4034" i="2"/>
  <c r="F4157" i="2"/>
  <c r="F4299" i="2"/>
  <c r="F4440" i="2"/>
  <c r="F4571" i="2"/>
  <c r="F4737" i="2"/>
  <c r="F4891" i="2"/>
  <c r="F5060" i="2"/>
  <c r="F5248" i="2"/>
  <c r="F5421" i="2"/>
  <c r="F5629" i="2"/>
  <c r="F5812" i="2"/>
  <c r="F6013" i="2"/>
  <c r="F6208" i="2"/>
  <c r="F6394" i="2"/>
  <c r="F6623" i="2"/>
  <c r="F6795" i="2"/>
  <c r="F7007" i="2"/>
  <c r="F7217" i="2"/>
  <c r="F7438" i="2"/>
  <c r="F7707" i="2"/>
  <c r="F7933" i="2"/>
  <c r="F8228" i="2"/>
  <c r="F8516" i="2"/>
  <c r="F8835" i="2"/>
  <c r="F9199" i="2"/>
  <c r="F9508" i="2"/>
  <c r="F9957" i="2"/>
  <c r="F10459" i="2"/>
  <c r="F25" i="2"/>
  <c r="F89" i="2"/>
  <c r="F153" i="2"/>
  <c r="F219" i="2"/>
  <c r="F283" i="2"/>
  <c r="F346" i="2"/>
  <c r="F410" i="2"/>
  <c r="F480" i="2"/>
  <c r="F550" i="2"/>
  <c r="F622" i="2"/>
  <c r="F680" i="2"/>
  <c r="F747" i="2"/>
  <c r="F817" i="2"/>
  <c r="F886" i="2"/>
  <c r="F958" i="2"/>
  <c r="F1026" i="2"/>
  <c r="F1092" i="2"/>
  <c r="F1162" i="2"/>
  <c r="F1234" i="2"/>
  <c r="F1299" i="2"/>
  <c r="F1371" i="2"/>
  <c r="F1435" i="2"/>
  <c r="F1502" i="2"/>
  <c r="F1584" i="2"/>
  <c r="F1668" i="2"/>
  <c r="F1745" i="2"/>
  <c r="F1827" i="2"/>
  <c r="F1908" i="2"/>
  <c r="F1994" i="2"/>
  <c r="F2100" i="2"/>
  <c r="F2183" i="2"/>
  <c r="F2283" i="2"/>
  <c r="F2385" i="2"/>
  <c r="F2483" i="2"/>
  <c r="F2590" i="2"/>
  <c r="F2691" i="2"/>
  <c r="F2802" i="2"/>
  <c r="F2907" i="2"/>
  <c r="F3012" i="2"/>
  <c r="F3129" i="2"/>
  <c r="F3231" i="2"/>
  <c r="F3348" i="2"/>
  <c r="F3470" i="2"/>
  <c r="F3592" i="2"/>
  <c r="F3729" i="2"/>
  <c r="F3843" i="2"/>
  <c r="F3966" i="2"/>
  <c r="F4093" i="2"/>
  <c r="F4222" i="2"/>
  <c r="F4376" i="2"/>
  <c r="F4510" i="2"/>
  <c r="F4650" i="2"/>
  <c r="F4813" i="2"/>
  <c r="F4967" i="2"/>
  <c r="F5167" i="2"/>
  <c r="F5340" i="2"/>
  <c r="F5531" i="2"/>
  <c r="F5717" i="2"/>
  <c r="F5913" i="2"/>
  <c r="F6123" i="2"/>
  <c r="F6303" i="2"/>
  <c r="F6507" i="2"/>
  <c r="F6699" i="2"/>
  <c r="F6917" i="2"/>
  <c r="F7125" i="2"/>
  <c r="F7337" i="2"/>
  <c r="F7566" i="2"/>
  <c r="F7807" i="2"/>
  <c r="F8069" i="2"/>
  <c r="F8375" i="2"/>
  <c r="F8693" i="2"/>
  <c r="F9010" i="2"/>
  <c r="F9346" i="2"/>
  <c r="F9657" i="2"/>
  <c r="F10219" i="2"/>
  <c r="F10795" i="2"/>
  <c r="F40" i="2"/>
  <c r="F94" i="2"/>
  <c r="F154" i="2"/>
  <c r="F220" i="2"/>
  <c r="F286" i="2"/>
  <c r="F347" i="2"/>
  <c r="F411" i="2"/>
  <c r="F483" i="2"/>
  <c r="F552" i="2"/>
  <c r="F624" i="2"/>
  <c r="F689" i="2"/>
  <c r="F758" i="2"/>
  <c r="F821" i="2"/>
  <c r="F887" i="2"/>
  <c r="F961" i="2"/>
  <c r="F1028" i="2"/>
  <c r="F1099" i="2"/>
  <c r="F1163" i="2"/>
  <c r="F1235" i="2"/>
  <c r="F1305" i="2"/>
  <c r="F1372" i="2"/>
  <c r="F1444" i="2"/>
  <c r="F1512" i="2"/>
  <c r="F1588" i="2"/>
  <c r="F1672" i="2"/>
  <c r="F1747" i="2"/>
  <c r="F1832" i="2"/>
  <c r="F1923" i="2"/>
  <c r="F2009" i="2"/>
  <c r="F2104" i="2"/>
  <c r="F2196" i="2"/>
  <c r="F2293" i="2"/>
  <c r="F2402" i="2"/>
  <c r="F2491" i="2"/>
  <c r="F2596" i="2"/>
  <c r="F2702" i="2"/>
  <c r="F2804" i="2"/>
  <c r="F2920" i="2"/>
  <c r="F3017" i="2"/>
  <c r="F3131" i="2"/>
  <c r="F3233" i="2"/>
  <c r="F3358" i="2"/>
  <c r="F3491" i="2"/>
  <c r="F3608" i="2"/>
  <c r="F3735" i="2"/>
  <c r="F3850" i="2"/>
  <c r="F3967" i="2"/>
  <c r="F4110" i="2"/>
  <c r="F4238" i="2"/>
  <c r="F4380" i="2"/>
  <c r="F4513" i="2"/>
  <c r="F4654" i="2"/>
  <c r="F4825" i="2"/>
  <c r="F4976" i="2"/>
  <c r="F5173" i="2"/>
  <c r="F5349" i="2"/>
  <c r="F5534" i="2"/>
  <c r="F5742" i="2"/>
  <c r="F5932" i="2"/>
  <c r="F6133" i="2"/>
  <c r="F6330" i="2"/>
  <c r="F6534" i="2"/>
  <c r="F6737" i="2"/>
  <c r="F6928" i="2"/>
  <c r="F7150" i="2"/>
  <c r="F7356" i="2"/>
  <c r="F7577" i="2"/>
  <c r="F7852" i="2"/>
  <c r="F8106" i="2"/>
  <c r="F8391" i="2"/>
  <c r="F8707" i="2"/>
  <c r="F9021" i="2"/>
  <c r="F9378" i="2"/>
  <c r="F9714" i="2"/>
  <c r="F10229" i="2"/>
  <c r="F10837" i="2"/>
  <c r="F43" i="2"/>
  <c r="F99" i="2"/>
  <c r="F166" i="2"/>
  <c r="F222" i="2"/>
  <c r="F288" i="2"/>
  <c r="F354" i="2"/>
  <c r="F412" i="2"/>
  <c r="F486" i="2"/>
  <c r="F554" i="2"/>
  <c r="F626" i="2"/>
  <c r="F694" i="2"/>
  <c r="F760" i="2"/>
  <c r="F833" i="2"/>
  <c r="F900" i="2"/>
  <c r="F964" i="2"/>
  <c r="F1030" i="2"/>
  <c r="F1100" i="2"/>
  <c r="F1164" i="2"/>
  <c r="F1237" i="2"/>
  <c r="F1308" i="2"/>
  <c r="F1378" i="2"/>
  <c r="F1445" i="2"/>
  <c r="F1515" i="2"/>
  <c r="F1593" i="2"/>
  <c r="F1673" i="2"/>
  <c r="F1750" i="2"/>
  <c r="F1834" i="2"/>
  <c r="F1928" i="2"/>
  <c r="F2014" i="2"/>
  <c r="F2108" i="2"/>
  <c r="F2200" i="2"/>
  <c r="F2297" i="2"/>
  <c r="F2403" i="2"/>
  <c r="F2501" i="2"/>
  <c r="F2608" i="2"/>
  <c r="F2712" i="2"/>
  <c r="F2811" i="2"/>
  <c r="F2926" i="2"/>
  <c r="F3023" i="2"/>
  <c r="F3132" i="2"/>
  <c r="F3241" i="2"/>
  <c r="F3362" i="2"/>
  <c r="F3492" i="2"/>
  <c r="F3609" i="2"/>
  <c r="F3736" i="2"/>
  <c r="F3852" i="2"/>
  <c r="F3974" i="2"/>
  <c r="F4111" i="2"/>
  <c r="F4240" i="2"/>
  <c r="F4392" i="2"/>
  <c r="F4516" i="2"/>
  <c r="F4657" i="2"/>
  <c r="F4831" i="2"/>
  <c r="F4985" i="2"/>
  <c r="F5176" i="2"/>
  <c r="F5351" i="2"/>
  <c r="F5537" i="2"/>
  <c r="F5749" i="2"/>
  <c r="F5934" i="2"/>
  <c r="F6151" i="2"/>
  <c r="F6331" i="2"/>
  <c r="F6535" i="2"/>
  <c r="F6750" i="2"/>
  <c r="F6935" i="2"/>
  <c r="F7151" i="2"/>
  <c r="F7362" i="2"/>
  <c r="F7597" i="2"/>
  <c r="F7860" i="2"/>
  <c r="F8121" i="2"/>
  <c r="F8440" i="2"/>
  <c r="F8710" i="2"/>
  <c r="F9044" i="2"/>
  <c r="F9383" i="2"/>
  <c r="F9740" i="2"/>
  <c r="F10248" i="2"/>
  <c r="F10874" i="2"/>
</calcChain>
</file>

<file path=xl/sharedStrings.xml><?xml version="1.0" encoding="utf-8"?>
<sst xmlns="http://schemas.openxmlformats.org/spreadsheetml/2006/main" count="406" uniqueCount="261">
  <si>
    <t>SS</t>
  </si>
  <si>
    <t xml:space="preserve">THỜI GIAN </t>
  </si>
  <si>
    <t xml:space="preserve">NỘI DUNG BUỔI HỌC </t>
  </si>
  <si>
    <t>LINK XEM LẠI VIDEO + TÀI LIỆU</t>
  </si>
  <si>
    <t xml:space="preserve">GHI CHÚ </t>
  </si>
  <si>
    <t>LỊCH HỌC CHÍNH THỨC 
20:00 TỐI THỨ 3 VÀ THỨ 5 HÀNG TUẦN 
TỪ 09.07.2024</t>
  </si>
  <si>
    <t>HƯỚNG DẪN HỌC</t>
  </si>
  <si>
    <t xml:space="preserve">LỊCH HỌC THÁNG 07 + NỬA ĐẦU THÁNG 08 </t>
  </si>
  <si>
    <t>Khai giảng chính thức khóa học toàn diện 2K7
"Đi kiếm mình nơi thế gian rộng lớn"</t>
  </si>
  <si>
    <t xml:space="preserve">LINK LIVE </t>
  </si>
  <si>
    <t xml:space="preserve">Kĩ năng chung viết đoạn văn và bài văn </t>
  </si>
  <si>
    <t xml:space="preserve">Link live </t>
  </si>
  <si>
    <t xml:space="preserve">Link tài liệu </t>
  </si>
  <si>
    <t>16/07</t>
  </si>
  <si>
    <t xml:space="preserve">Kĩ năng chung khi viết NLXH </t>
  </si>
  <si>
    <t xml:space="preserve">link tài liệu </t>
  </si>
  <si>
    <t>18/07</t>
  </si>
  <si>
    <t>Kĩ năng làm bài nghị luận về một tư tưởng đạo lý tốt đẹp</t>
  </si>
  <si>
    <t>21/07</t>
  </si>
  <si>
    <t>Mở rộng: Vấn đề xã hội trong kịch Lưu Quang Vũ</t>
  </si>
  <si>
    <t xml:space="preserve">LINK TÀI LIỆU </t>
  </si>
  <si>
    <t>24/07</t>
  </si>
  <si>
    <t>Kĩ năng làm dạng bài thuyết phục ai đó từ bỏ thói quen xấu</t>
  </si>
  <si>
    <t xml:space="preserve">Link live phần 1 </t>
  </si>
  <si>
    <t xml:space="preserve">15p cuối bị lag nên các bạn có thể bỏ qua, 
nghe sang live 02 nha </t>
  </si>
  <si>
    <t xml:space="preserve">Link live phần 2 </t>
  </si>
  <si>
    <t>25/07</t>
  </si>
  <si>
    <t>Kĩ năng làm dạng bài nghị luận về hiện tượng đời sống (Tốt/Xấu)</t>
  </si>
  <si>
    <t>Link live</t>
  </si>
  <si>
    <t>30/07</t>
  </si>
  <si>
    <t xml:space="preserve">Kĩ năng làm dạng bài bàn về cách thức, giải pháp </t>
  </si>
  <si>
    <t>LINK LIVE</t>
  </si>
  <si>
    <t xml:space="preserve">Kĩ năng làm dạng bài bàn về một câu nói </t>
  </si>
  <si>
    <t xml:space="preserve">bù buổi 01.08 nghỉ </t>
  </si>
  <si>
    <t>Kĩ năng làm dạng bài bàn về vấn đề liên quan tuổi trẻ</t>
  </si>
  <si>
    <t>Mở rộng: Kĩ năng thuyết trình về một vấn đề xã hội</t>
  </si>
  <si>
    <t>13/08</t>
  </si>
  <si>
    <t>Dạng bài NLXH về một câu chuyện  (nâng cao)</t>
  </si>
  <si>
    <t>18/08</t>
  </si>
  <si>
    <t>Dạng bài NLXH về một hình ảnh (nâng cao)</t>
  </si>
  <si>
    <t xml:space="preserve">Bù buổi 15.08 nghỉ </t>
  </si>
  <si>
    <t>20/08</t>
  </si>
  <si>
    <t>Kĩ năng chung khi làm bài đọc hiểu</t>
  </si>
  <si>
    <t>29/08</t>
  </si>
  <si>
    <t>Chuyên đề lý luận: Đặc trưng văn học</t>
  </si>
  <si>
    <t>Link tài liệu</t>
  </si>
  <si>
    <t xml:space="preserve">TỪ THÁNG 09 MÌNH SẼ HỌC THEO GIÁO TRÌNH CỦA BỘ SÁCH "ĐI KIẾM MÌNH" NHA. </t>
  </si>
  <si>
    <t xml:space="preserve">LỊCH HỌC CỤ THỂ THÁNG 09 </t>
  </si>
  <si>
    <t xml:space="preserve">Bài 01: Văn học và cuộc sống
Kiến thức ngữ văn: Chức năng văn học </t>
  </si>
  <si>
    <t xml:space="preserve">Bài 01: Văn học và cuộc sống
Đọc hiểu văn bản: "Chiếc thuyền ngoài xa" (Nguyễn Minh Châu) </t>
  </si>
  <si>
    <t>Bài 01: Văn học và cuộc sống
Đọc hiểu văn bản: "Người đàn bà ngồi đan" (Ý Nhi)</t>
  </si>
  <si>
    <t>18/09</t>
  </si>
  <si>
    <t>Bài 01: Văn học và cuộc sống
Tiếng Việt thực hành: Giữ gìn sự trong sáng của tiếng Việt</t>
  </si>
  <si>
    <t>LINK</t>
  </si>
  <si>
    <t>19/09</t>
  </si>
  <si>
    <t>Bài 01: Văn học và cuộc sống
Viết bài phát biểu trong lễ phát động một phong trào/một sự kiện xã hội</t>
  </si>
  <si>
    <t>26/09</t>
  </si>
  <si>
    <t xml:space="preserve">Bài 02: Lắng nghe khúc hùng ca lịch sử
Kiến thức ngữ văn: Văn học chiến tranh </t>
  </si>
  <si>
    <t>link</t>
  </si>
  <si>
    <t>LINK TÀI LIỆU</t>
  </si>
  <si>
    <t xml:space="preserve">Bài 02: Lắng nghe khúc hùng ca lịch sử
Tiếng Việt thực hành: Ôn tập biện pháp tu từ </t>
  </si>
  <si>
    <t xml:space="preserve">link live </t>
  </si>
  <si>
    <t xml:space="preserve">Bài 02: Lắng nghe khúc hùng ca lịch sử
Đọc hiểu văn bản: "Giá từng thước đất" </t>
  </si>
  <si>
    <t xml:space="preserve">LINK TÀI LIỆU ĐỌC TRƯỚC </t>
  </si>
  <si>
    <t xml:space="preserve">Nếu chưa nhận được sách em xem trước file này nha </t>
  </si>
  <si>
    <t xml:space="preserve">Link tài liệu cô ghi trong buổi học </t>
  </si>
  <si>
    <t xml:space="preserve">Bài 02: Lắng nghe khúc hùng ca lịch sử
Đọc hiểu văn bản: "Khoảng trời, hố bom"
Học kĩ năng dạng bài so sánh thơ </t>
  </si>
  <si>
    <t>LINK LIVE 1
LINK LIVE 2</t>
  </si>
  <si>
    <t xml:space="preserve">Bài 02: Lắng nghe khúc hùng ca lịch sử
Xem phim "Mùi cỏ cháy" và thảo luận về phim </t>
  </si>
  <si>
    <t xml:space="preserve">Link live 01 (xem phim)
Link live 2 (trò chuyện thêm về phim) </t>
  </si>
  <si>
    <t xml:space="preserve">Buổi này không có tài liệu gì nha, cô mong rằng các bạn có thể tập viết về phim sau khi xem xong để rèn thói quen viết nha. </t>
  </si>
  <si>
    <r>
      <rPr>
        <b/>
        <sz val="13"/>
        <color theme="1"/>
        <rFont val="Palatino Linotype"/>
      </rPr>
      <t xml:space="preserve">Bài 03: Chạm vào thế gian rực rỡ
</t>
    </r>
    <r>
      <rPr>
        <b/>
        <i/>
        <sz val="13"/>
        <color theme="1"/>
        <rFont val="Palatino Linotype"/>
      </rPr>
      <t xml:space="preserve">Kiến thức văn học:
Phong cách hiện thực - phong cách lãng mạn
Đặc trưng thể loại truyện </t>
    </r>
  </si>
  <si>
    <t>Link tài liệu cô đánh máy trong buổi học</t>
  </si>
  <si>
    <t>16/10</t>
  </si>
  <si>
    <t>Ôn tập phụ đạo bộ sách "Cánh diều"</t>
  </si>
  <si>
    <t xml:space="preserve">Học cùng chị Yến Thanh và chị Hoàng Sinh </t>
  </si>
  <si>
    <t>17/10</t>
  </si>
  <si>
    <t xml:space="preserve">Bài 03: Chạm vào thế gian rực rỡ
Đọc hiểu "Bức tranh" - Nguyễn Minh Châu
</t>
  </si>
  <si>
    <r>
      <rPr>
        <u/>
        <sz val="13"/>
        <color rgb="FF1155CC"/>
        <rFont val="Palatino Linotype"/>
      </rPr>
      <t xml:space="preserve">Link truyện </t>
    </r>
    <r>
      <rPr>
        <sz val="13"/>
        <rFont val="Palatino Linotype"/>
      </rPr>
      <t xml:space="preserve"> 
- Các em đọc trước buổi live nha</t>
    </r>
  </si>
  <si>
    <t xml:space="preserve">"Mắt sói" các em tự đọc - tự học và tham khảo các gợi ý chi tiết trong sách giáo trình nha </t>
  </si>
  <si>
    <t>Link tài liệu trong live</t>
  </si>
  <si>
    <t>22/10</t>
  </si>
  <si>
    <t xml:space="preserve">Bài 03: Chạm vào thế gian rực rỡ
Thực hành tiếng Việt - Ngôn ngữ trang trọng và ngôn ngữ thân mật
</t>
  </si>
  <si>
    <t>Học cùng chị Trần Thủy và anh Phong Du</t>
  </si>
  <si>
    <t>26/10</t>
  </si>
  <si>
    <t>Bài 03: Chạm vào thế gian rực rỡ
Dạng bài so sánh, đánh giá 2 tác phẩm văn xuôi (truyện)</t>
  </si>
  <si>
    <t xml:space="preserve">Link tài liệu trong live </t>
  </si>
  <si>
    <t>29/10</t>
  </si>
  <si>
    <t>Bài 04: Theo những dấu chân Người
Kiến thức Ngữ Văn: Cuộc đời và sự nghiệp sáng tác của Hồ Chí Minh</t>
  </si>
  <si>
    <r>
      <rPr>
        <u/>
        <sz val="13"/>
        <color rgb="FF1155CC"/>
        <rFont val="Palatino Linotype"/>
      </rPr>
      <t xml:space="preserve">Link xem lại video
</t>
    </r>
    <r>
      <rPr>
        <sz val="13"/>
        <color rgb="FF000000"/>
        <rFont val="Palatino Linotype"/>
      </rPr>
      <t>Tài liệu học tập Bài 4_ Tác giả Hồ Chí Minh và tập thơ "Nhật ký trong tù".docx.pdf</t>
    </r>
  </si>
  <si>
    <t>Học cùng anh Minh Huy</t>
  </si>
  <si>
    <t xml:space="preserve">Bài 04: Theo những dấu chân Người
Văn bản "Tuyên ngôn độc lập" </t>
  </si>
  <si>
    <t xml:space="preserve">Link tài liệu cô ghi chú trong live </t>
  </si>
  <si>
    <t xml:space="preserve">Bài 04: Theo những dấu chân Người
Văn bản "Đối nguyệt" </t>
  </si>
  <si>
    <t>Link tài liệu cô ghi chú trong live</t>
  </si>
  <si>
    <t xml:space="preserve">Bài 04: Theo những dấu chân Người
Khắc phục lỗi logic và lỗi mơ hồ </t>
  </si>
  <si>
    <t xml:space="preserve">Học cùng chị Hoàng Sinh và anh Phong Du </t>
  </si>
  <si>
    <t>Bài 04: Theo những dấu chân Người
Viết thư trao đổi công việc hoặc những vấn đề xã hội</t>
  </si>
  <si>
    <t>19/11</t>
  </si>
  <si>
    <t xml:space="preserve">Bài 05: Từ tiếng cười hài kịch đến "sân khấu" cuộc đời
Kiến thức ngữ văn: Tìm hiểu chung về hài kịch </t>
  </si>
  <si>
    <t>lINK TÀI LIỆU TRONG LIVE</t>
  </si>
  <si>
    <t xml:space="preserve">21/11 </t>
  </si>
  <si>
    <t xml:space="preserve">Bài 05: Từ tiếng cười hài kịch đến "sân khấu" cuộc đời
Đọc hiểu văn bản "Nhân vật quan trọng" - Trích "Quan thanh tra"
</t>
  </si>
  <si>
    <t>28/11</t>
  </si>
  <si>
    <t>Bài 05: Từ tiếng cười hài kịch đến "sân khấu" cuộc đời
Tiếng Việt thực hành: Biện pháp nói mỉa, nghịch ngữ</t>
  </si>
  <si>
    <t>29/11</t>
  </si>
  <si>
    <t xml:space="preserve">Bài 05: Từ tiếng cười hài kịch đến "sân khấu" cuộc đời
ARPAGÔNG - ÊLY - CLÊAN
(Trích “Lão hà tiện”) Mô - li - e        
</t>
  </si>
  <si>
    <t>lINK LIVE</t>
  </si>
  <si>
    <t xml:space="preserve">Bài 05: Từ tiếng cười hài kịch đến "sân khấu" cuộc đời
Dạng bài Nghị luận về một tác phẩm nghệ thuật
</t>
  </si>
  <si>
    <t>Link live phần 1</t>
  </si>
  <si>
    <r>
      <rPr>
        <i/>
        <sz val="13"/>
        <rFont val="Palatino Linotype"/>
      </rPr>
      <t xml:space="preserve">Nếu link live phần 01 bạn không xem lại được trong nhóm fb, có thể xem lại trên drive: </t>
    </r>
    <r>
      <rPr>
        <i/>
        <u/>
        <sz val="13"/>
        <color rgb="FF1155CC"/>
        <rFont val="Palatino Linotype"/>
      </rPr>
      <t>LINK</t>
    </r>
  </si>
  <si>
    <t>Link live phần 2</t>
  </si>
  <si>
    <t>Link tài liệu cô ghi trong live</t>
  </si>
  <si>
    <t xml:space="preserve">Bài 06: Sự thật trên trang kí
Khái quát chung về kí </t>
  </si>
  <si>
    <t>Bài 06: Sự thật trên trang kí
Văn bản: "Mãi mãi tuổi hai mươi"</t>
  </si>
  <si>
    <t>Bài 06: Sự thật trên trang kí
Văn bản: "Tôi kéo xe"</t>
  </si>
  <si>
    <t>17/12</t>
  </si>
  <si>
    <t>Bài 06: Sự thật trên trang kí
Thực hành Tiếng Việt - Giải thích nghĩa của từ</t>
  </si>
  <si>
    <t>Học cùng chị Giàng Sang và chị Giàng Chư</t>
  </si>
  <si>
    <t>19/12</t>
  </si>
  <si>
    <t>Bài 06: Sự thật trên trang kí
Viết bài văn so sánh, đánh giá 2 tác phẩm kí</t>
  </si>
  <si>
    <t>LINK TÀI LIỆU TRONG LIVE</t>
  </si>
  <si>
    <t>24/12</t>
  </si>
  <si>
    <t>Bài 07: Phiêu du trong tâm trí
Tìm hiểu chung về truyện truyền kì</t>
  </si>
  <si>
    <t xml:space="preserve">LINK TÀI LIỆU LIVE </t>
  </si>
  <si>
    <t>27/12</t>
  </si>
  <si>
    <t>Bài 07: Phiêu du trong tâm trí
VB "Chuyện chức phán sự đền Tản Viên"</t>
  </si>
  <si>
    <t>31/12</t>
  </si>
  <si>
    <t>VB "Ca kĩ họ Nguyễn"</t>
  </si>
  <si>
    <t xml:space="preserve">Thực hành tiếng Việt: Phương tiện giao tiếp phi ngôn ngữ </t>
  </si>
  <si>
    <t>Học cùng TG Trần Thủy và TG Phong Du</t>
  </si>
  <si>
    <t>LINK BẢN TRÌNH CHIẾU</t>
  </si>
  <si>
    <t>Viết bài báo cáo nghiên cứu</t>
  </si>
  <si>
    <t>LINK FILE ĐÁNH MÁY</t>
  </si>
  <si>
    <t>Chủ đề 08: Những vết thương lòng
Live trò chuyện, chia sẻ về "những vết thương lòng"</t>
  </si>
  <si>
    <t xml:space="preserve">Buổi này cô bị lỗi mạng nên chỉ có thể chuyện trò với các bạn qua live điện thoại, chúng mình sẽ tìm hiểu về phần kiến thức tiểu thuyết vào buổi học sau nha </t>
  </si>
  <si>
    <t>17/01</t>
  </si>
  <si>
    <t>Chủ đề 08: Những vết thương lòng
Tìm hiểu chung về tiểu thuyết + Văn bản "Nghệ sĩ dương cầm"</t>
  </si>
  <si>
    <t xml:space="preserve">LINK LIVE 1 </t>
  </si>
  <si>
    <t>LINK LIVE PHẦN 2</t>
  </si>
  <si>
    <t>19/01</t>
  </si>
  <si>
    <t>Chủ đề 08: Những vết thương lòng
Văn bản "Tình xưa"</t>
  </si>
  <si>
    <t>21/01</t>
  </si>
  <si>
    <t xml:space="preserve">Chủ đề 08: Những vết thương lòng 
Tiếng Việt thực hành: Sự liên kết </t>
  </si>
  <si>
    <t>Học cùng TG Huy và TG Chư</t>
  </si>
  <si>
    <t xml:space="preserve">TÀI LIỆU LÝ THUYẾT </t>
  </si>
  <si>
    <t>TÀI LIỆU BÀI TẬP</t>
  </si>
  <si>
    <t xml:space="preserve"> </t>
  </si>
  <si>
    <t>23/01</t>
  </si>
  <si>
    <t xml:space="preserve">Chủ đề 08: Những vết thương lòng 
Nghị luận về vấn đề xã hội đặt ra từ tác phẩm văn học </t>
  </si>
  <si>
    <t>Chủ đề 09: Mộng mơ và bâng khuâng
Ôn tập chung về thơ</t>
  </si>
  <si>
    <t xml:space="preserve">Yếu tố siêu thực trong thơ và văn bản "Say trăng" </t>
  </si>
  <si>
    <t>Văn bản: "Xô nát hoàng hôn trên biển"</t>
  </si>
  <si>
    <t>13/2</t>
  </si>
  <si>
    <t>Lỗi về thành phần câu và cách sửa</t>
  </si>
  <si>
    <t xml:space="preserve">file record bị lỗi nên tối thứ 6 ngày 21.02 các anh chị trợ giảng sẽ live bù buổi này nha </t>
  </si>
  <si>
    <t>18/02</t>
  </si>
  <si>
    <t>Viết bài luận về bản thân</t>
  </si>
  <si>
    <t>21/02</t>
  </si>
  <si>
    <t>27/02</t>
  </si>
  <si>
    <t xml:space="preserve">Chủ đề 10: "Tôi và chúng ta" trong thời đại mới
Khái quát chung về văn bản thông tin </t>
  </si>
  <si>
    <t xml:space="preserve">Đọc hiểu 2 văn bản thông tin trong sách giáo trình </t>
  </si>
  <si>
    <t>Thực hành tiếng Việt: Tôn trọng và bảo vệ quyền sở hữu trí tuệ</t>
  </si>
  <si>
    <t>LINK BUỔI HỌC</t>
  </si>
  <si>
    <t>Luyện tập đọc hiểu văn bản thông tin</t>
  </si>
  <si>
    <t>13/03</t>
  </si>
  <si>
    <t xml:space="preserve">Đọc mở rộng chủ đề 10 </t>
  </si>
  <si>
    <t>STT</t>
  </si>
  <si>
    <r>
      <rPr>
        <b/>
        <sz val="13"/>
        <color rgb="FFFF0000"/>
        <rFont val="Palatino Linotype"/>
      </rPr>
      <t xml:space="preserve">Ôn tập HKII 11 - Bộ Cánh Diều 
</t>
    </r>
    <r>
      <rPr>
        <b/>
        <i/>
        <sz val="13"/>
        <color theme="1"/>
        <rFont val="Palatino Linotype"/>
      </rPr>
      <t xml:space="preserve">Các nội dung chính:
</t>
    </r>
    <r>
      <rPr>
        <sz val="13"/>
        <color theme="1"/>
        <rFont val="Palatino Linotype"/>
      </rPr>
      <t xml:space="preserve">+ Bi kịch
+ Văn bản nghị luận
+ Đặc điểm của ngôn ngữ văn chương
+ Luyện kiểu bài VIẾT:
Viết bài Nghị luận về một hiện tượng đời sống
Viết bài Nghị luận về một tác phẩm kịch </t>
    </r>
  </si>
  <si>
    <t>13/04/2024</t>
  </si>
  <si>
    <r>
      <rPr>
        <b/>
        <sz val="13"/>
        <color rgb="FFFF0000"/>
        <rFont val="Palatino Linotype"/>
      </rPr>
      <t xml:space="preserve">Ôn tập HKII 11 - Bộ Kết nối tri thức với cuộc sống 
</t>
    </r>
    <r>
      <rPr>
        <b/>
        <i/>
        <sz val="13"/>
        <color theme="1"/>
        <rFont val="Palatino Linotype"/>
      </rPr>
      <t xml:space="preserve">Các nội dung chính:
</t>
    </r>
    <r>
      <rPr>
        <sz val="13"/>
        <color theme="1"/>
        <rFont val="Palatino Linotype"/>
      </rPr>
      <t xml:space="preserve">+ Văn bản thông tin
+ Văn bản văn học có nhiều chủ đề
+ Đọc thêm tài liệu truyện - kí 
+ Nghĩa của từ 
+ Luyện kiểu bài VIẾT:
1) Viết văn bản thuyết minh về một sự vật, hiện tượng trong tự nhiên/thuyết minh về một văn bản 
2) Viết bài văn nghị luận về một tác phẩm nghệ thuật 
</t>
    </r>
    <r>
      <rPr>
        <b/>
        <i/>
        <sz val="13"/>
        <color theme="1"/>
        <rFont val="Palatino Linotype"/>
      </rPr>
      <t xml:space="preserve">Chuẩn bị cho phần luyện tập - thảo luận:
</t>
    </r>
    <r>
      <rPr>
        <sz val="13"/>
        <color theme="1"/>
        <rFont val="Palatino Linotype"/>
      </rPr>
      <t xml:space="preserve">Mỗi học sinh hãy chuẩn bị phần giới thiệu về một bộ phim điện ảnh mình ấn tượng và muốn giới thiệu với cô, anh chị cùng các bạn trong lớp để cuối buổi học mình có thể cùng trò chuyện, thảo luận nha. </t>
    </r>
  </si>
  <si>
    <t>20/04/2024</t>
  </si>
  <si>
    <r>
      <rPr>
        <b/>
        <sz val="13"/>
        <color rgb="FFFF0000"/>
        <rFont val="Palatino Linotype"/>
      </rPr>
      <t xml:space="preserve">Ôn tập HKII 11 - Luyện đề
</t>
    </r>
    <r>
      <rPr>
        <b/>
        <i/>
        <sz val="13"/>
        <color rgb="FF000000"/>
        <rFont val="Palatino Linotype"/>
      </rPr>
      <t xml:space="preserve">Các đề luyện liên quan kiến thức Bộ Cánh Diều và Bộ Kết Nối Tri Thức </t>
    </r>
  </si>
  <si>
    <t xml:space="preserve">Học cùng anh chị trợ giảng
Anh Minh Huy và chị Trần Thủy </t>
  </si>
  <si>
    <t>27/04</t>
  </si>
  <si>
    <r>
      <rPr>
        <b/>
        <sz val="13"/>
        <color rgb="FFFF0000"/>
        <rFont val="Palatino Linotype"/>
      </rPr>
      <t xml:space="preserve">Ôn tập HKII 11 - Bộ Chân trời sáng tạo
</t>
    </r>
    <r>
      <rPr>
        <i/>
        <sz val="13"/>
        <color rgb="FF000000"/>
        <rFont val="Palatino Linotype"/>
      </rPr>
      <t xml:space="preserve">Ôn tập thơ 
Ôn tập truyện kí
Luyện dạng bài viết bài văn nghị luận về 1 tác phẩm thơ </t>
    </r>
  </si>
  <si>
    <r>
      <rPr>
        <b/>
        <sz val="13"/>
        <color rgb="FFFF0000"/>
        <rFont val="Palatino Linotype"/>
      </rPr>
      <t xml:space="preserve">Ôn tập HKII 11 - Luyện đề (2) 
</t>
    </r>
    <r>
      <rPr>
        <b/>
        <i/>
        <sz val="13"/>
        <color rgb="FF000000"/>
        <rFont val="Palatino Linotype"/>
      </rPr>
      <t>Các đề luyện liên quan kiến thức Bộ Chân trời sáng tạo</t>
    </r>
  </si>
  <si>
    <t xml:space="preserve">CÁC BUỔI PHỤ ĐẠO NÂNG CAO CẢM THỤ (HỌC HÈ) </t>
  </si>
  <si>
    <t xml:space="preserve">18/05 </t>
  </si>
  <si>
    <r>
      <rPr>
        <b/>
        <sz val="13"/>
        <color rgb="FFFF0000"/>
        <rFont val="Palatino Linotype"/>
      </rPr>
      <t xml:space="preserve">Phụ đạo 01: 
</t>
    </r>
    <r>
      <rPr>
        <b/>
        <sz val="13"/>
        <color rgb="FF000000"/>
        <rFont val="Palatino Linotype"/>
      </rPr>
      <t xml:space="preserve">Luyện tập dạng bài viết văn nghị luận về một tác phẩm nghệ thuật </t>
    </r>
  </si>
  <si>
    <t xml:space="preserve">Học cùng anh chị trợ giảng
Anh Khiếu Du và chị Trần Thủy </t>
  </si>
  <si>
    <t xml:space="preserve">25/05 </t>
  </si>
  <si>
    <r>
      <rPr>
        <b/>
        <sz val="13"/>
        <color rgb="FFFF0000"/>
        <rFont val="Palatino Linotype"/>
      </rPr>
      <t xml:space="preserve">Phụ đạo 02:
</t>
    </r>
    <r>
      <rPr>
        <b/>
        <sz val="13"/>
        <color rgb="FF000000"/>
        <rFont val="Palatino Linotype"/>
      </rPr>
      <t xml:space="preserve">tìm hiểu về giải thưởng Nobel Văn học </t>
    </r>
  </si>
  <si>
    <t xml:space="preserve">Học cùng anh chị trợ giảng
Anh Minh Huy và chị Anh T hư </t>
  </si>
  <si>
    <t>15/06</t>
  </si>
  <si>
    <r>
      <rPr>
        <b/>
        <sz val="13"/>
        <color rgb="FFFF0000"/>
        <rFont val="Palatino Linotype"/>
      </rPr>
      <t xml:space="preserve">Phụ đạo 03:
</t>
    </r>
    <r>
      <rPr>
        <b/>
        <sz val="13"/>
        <color theme="1"/>
        <rFont val="Palatino Linotype"/>
      </rPr>
      <t xml:space="preserve">Đọc mở rộng về chủ đề: Thiên nhiên
</t>
    </r>
  </si>
  <si>
    <t xml:space="preserve">Học cùng anh chị trợ giảng
Chị Anh Thư và chị Trần Thủy </t>
  </si>
  <si>
    <t>22/06</t>
  </si>
  <si>
    <r>
      <rPr>
        <b/>
        <sz val="13"/>
        <color rgb="FFFF0000"/>
        <rFont val="Palatino Linotype"/>
      </rPr>
      <t xml:space="preserve">Phụ đạo 04:
</t>
    </r>
    <r>
      <rPr>
        <b/>
        <sz val="13"/>
        <color theme="1"/>
        <rFont val="Palatino Linotype"/>
      </rPr>
      <t>Đọc mở rộng về chủ đề: Người mẹ</t>
    </r>
  </si>
  <si>
    <t>29/06</t>
  </si>
  <si>
    <r>
      <rPr>
        <b/>
        <sz val="13"/>
        <color rgb="FFFF0000"/>
        <rFont val="Palatino Linotype"/>
      </rPr>
      <t xml:space="preserve">Phụ đạo 05:
</t>
    </r>
    <r>
      <rPr>
        <b/>
        <sz val="13"/>
        <color rgb="FF000000"/>
        <rFont val="Palatino Linotype"/>
      </rPr>
      <t>Từ hành trình trở về nhà đến giá trị của tình yêu thương</t>
    </r>
  </si>
  <si>
    <t xml:space="preserve">Học cùng anh chị trợ giảng
Chị Yến Thanh và chị Anh Thư </t>
  </si>
  <si>
    <t xml:space="preserve">GIAI ĐOẠN HỌC CHÍNH THỨC </t>
  </si>
  <si>
    <t>22/08</t>
  </si>
  <si>
    <t>Ôn tập: Kĩ năng viết câu và sửa lỗi sai trong câu (Anh Huy + chị Sinh)</t>
  </si>
  <si>
    <t xml:space="preserve">Link live
</t>
  </si>
  <si>
    <t>link tài liệu</t>
  </si>
  <si>
    <t>27/08</t>
  </si>
  <si>
    <t>Ôn tập: Kiến thức tiếng Việt (Anh Phúc + chị Thanh)</t>
  </si>
  <si>
    <t>15/09</t>
  </si>
  <si>
    <r>
      <rPr>
        <b/>
        <sz val="13"/>
        <color theme="1"/>
        <rFont val="Palatino Linotype"/>
      </rPr>
      <t>Buổi phụ đạo: Tư vấn, chia sẻ về các trường Đại học
"Concept: Cuộc thi Mr and Miss University</t>
    </r>
    <r>
      <rPr>
        <sz val="13"/>
        <color theme="1"/>
        <rFont val="Palatino Linotype"/>
      </rPr>
      <t xml:space="preserve"> </t>
    </r>
  </si>
  <si>
    <t>22/09</t>
  </si>
  <si>
    <t xml:space="preserve">Buổi phụ đạo: Chữa phần luyện tập bài 01 trong sách giáo trình </t>
  </si>
  <si>
    <r>
      <rPr>
        <i/>
        <sz val="13"/>
        <color rgb="FF000000"/>
        <rFont val="&quot;docs-Palatino Linotype&quot;"/>
      </rPr>
      <t>Học cùng anh/chị trợ giảng</t>
    </r>
  </si>
  <si>
    <t>Bài 02: Lắng nghe khúc hùng ca lịch sử
Học phần Luyện tập bài 02</t>
  </si>
  <si>
    <t xml:space="preserve">Học cùng anh chị trợ giảng </t>
  </si>
  <si>
    <t>27/10</t>
  </si>
  <si>
    <t>Bài 03: Chạm vào thế gian rực rỡ
Luyện tập: "Tro tàn rực rỡ" - Nguyễn Ngọc Tư</t>
  </si>
  <si>
    <t xml:space="preserve">Link ghi chú trong live của cô </t>
  </si>
  <si>
    <t xml:space="preserve">Buổi ôn tập phụ đạo dành cho bộ sách Kết nối tri thức </t>
  </si>
  <si>
    <t>Học cùng chị Yến Thanh và anh Phong Du</t>
  </si>
  <si>
    <t>16/11</t>
  </si>
  <si>
    <t>Bài 04: Theo những dấu chân Người
Luyện tập "Người đi tìm hình của nước"</t>
  </si>
  <si>
    <t>20/11</t>
  </si>
  <si>
    <t>Mở rộng: Văn học Gothic; Đọc hiểu "Rebecca" - Daphné du Maurier
Luyện viết: So sánh 2 tác phẩm truyện</t>
  </si>
  <si>
    <t>link live</t>
  </si>
  <si>
    <t>LINK TÀI LIỆU 
 Tài liệu So sánh hai tác phẩm kí</t>
  </si>
  <si>
    <t>24/11</t>
  </si>
  <si>
    <t>Phụ đạo bộ sách Chân trời sáng tạo</t>
  </si>
  <si>
    <t>Học cùng chị Trần Thủy và chị Hoàng Sinh</t>
  </si>
  <si>
    <t>30/11</t>
  </si>
  <si>
    <t>Phụ đạo bộ sách Kết nối tri thức với cuộc sống: Luyện tập kĩ năng viết NLVH (so sánh, đánh giá hai tác phẩm cụ thể) và NLXH</t>
  </si>
  <si>
    <t>Bản ghi hình buổi học</t>
  </si>
  <si>
    <t>Bản note bình luận buổi học</t>
  </si>
  <si>
    <t>Phụ đạo phần Luyện tập chủ đề 05</t>
  </si>
  <si>
    <t>Học cùng chị Giàng Sang và anh Phong Du</t>
  </si>
  <si>
    <t xml:space="preserve">   </t>
  </si>
  <si>
    <t xml:space="preserve">Hoạt động ngoại khóa: Xem kịch "Người ngựa ngựa người" </t>
  </si>
  <si>
    <t xml:space="preserve">Link đọc truyện của nhà văn Nguyễn Công Hoan </t>
  </si>
  <si>
    <t xml:space="preserve">Link đề thi cuộc thi viết nội bộ về vở kịch "Người ngựa ngựa người" </t>
  </si>
  <si>
    <t>Luyện tập chủ đề "Phiêu du trong tâm trí"</t>
  </si>
  <si>
    <t>Bản ghi buổi dạy</t>
  </si>
  <si>
    <t>26/01</t>
  </si>
  <si>
    <t xml:space="preserve">Luyện tập chủ đề 08: Những vết thương lòng
Văn bản "Đoạn tuyệt" </t>
  </si>
  <si>
    <t>Luyện tập chủ đề 06: 
"Một lít nước mắt"</t>
  </si>
  <si>
    <t xml:space="preserve">LINK XEM LẠI </t>
  </si>
  <si>
    <t xml:space="preserve">Buổi này không ghi chép gì nên cũng không có tài liệu gì, các bạn nghe thui là đc nha. Các bạn có thể đọc văn bản trong sách giáo trình nha. </t>
  </si>
  <si>
    <t>23/02</t>
  </si>
  <si>
    <t xml:space="preserve">Luyện tập chủ đề 09:
"Cỏ bồng thi" </t>
  </si>
  <si>
    <t>TÊN TÀI LIỆU</t>
  </si>
  <si>
    <t>Số tay 100 dẫn chứng nghị luận xã hội</t>
  </si>
  <si>
    <t>[HVCSM] Sổ tay dẫn chứng nghị luận xã hội.pdf</t>
  </si>
  <si>
    <t>Tổng hợp 100 danh ngôn, trích dẫn mới nhất - Áp dụng cho các đề Nghị Luận Xã Hội</t>
  </si>
  <si>
    <t xml:space="preserve">100 danh ngôn, trích dẫn </t>
  </si>
  <si>
    <t>Tổng hợp 100 trích dẫn lý luận văn học - Áp dụng cho các đề Nghị luận Văn học</t>
  </si>
  <si>
    <t>TRÍCH DẪN LÝ LUẬN VĂN HỌC</t>
  </si>
  <si>
    <t>Kĩ năng đọc hiểu văn bản thể loại truyện</t>
  </si>
  <si>
    <t xml:space="preserve">Kĩ năng đọc hiểu văn bản thể loại truyện </t>
  </si>
  <si>
    <t>Tổng hợp các hình ảnh ẩn dụ, liên tưởng - Áp dụng cho các đề Nghị luận xã hội</t>
  </si>
  <si>
    <t>[HVCSM] Tổng hợp các hình ảnh ẩn dụ, liên tưởng.pdf</t>
  </si>
  <si>
    <t>Tổng hợp 10 đề thi Ngữ Văn mới nhất năm học 2024 - 2025 của các Trường, Sở kèm đáp án chi tiết</t>
  </si>
  <si>
    <t>[HVCSM] TỔNG HỢP 10 ĐỀ MỚI NHẤT KÈM LỜI GIẢI CHI TIẾT CHI TIẾT</t>
  </si>
  <si>
    <t>10 mẫu mở bài - kết bài cho các dạng nghị luận văn học theo thể loại</t>
  </si>
  <si>
    <t>[HVCSM] 10 mẫu Mở bài - Kết bài cho các dạng Nghị luận Văn học theo thể loại.pdf</t>
  </si>
  <si>
    <t>Kĩ năng đọc hiểu văn bản thể loại truyện thần thoại, cổ tích</t>
  </si>
  <si>
    <t>Một số vấn đề khi đọc hiểu văn bản thơ trữ tình</t>
  </si>
  <si>
    <t>TÀI LIỆU NỘI BỘ</t>
  </si>
  <si>
    <t>Chủ nghĩa siêu thực và thơ siêu thực ở Việt Nam</t>
  </si>
  <si>
    <t>Chủ nghĩa siêu thực trong thơ và yếu tố siêu thực trong thơ Việt Nam.docx.pdf</t>
  </si>
  <si>
    <t>Một số vấn đề khi đọc hiểu văn bản truyện truyền kì</t>
  </si>
  <si>
    <t>Một số vấn đề khi đọc hiểu văn bản truyện truyền kì.docx (1).pdf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</si>
</sst>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
    <numFmt numFmtId="165" formatCode="mm/dd"/>
    <numFmt numFmtId="166" formatCode="m/d"/>
    <numFmt numFmtId="167" formatCode="mm/dd/yyyy"/>
  </numFmts>
  <fonts count="28">
    <font>
      <sz val="10"/>
      <color rgb="FF000000"/>
      <name val="Arial"/>
      <scheme val="minor"/>
    </font>
    <font>
      <b/>
      <sz val="13"/>
      <color theme="1"/>
      <name val="Palatino Linotype"/>
    </font>
    <font>
      <sz val="10"/>
      <color theme="1"/>
      <name val="Arial"/>
      <scheme val="minor"/>
    </font>
    <font>
      <sz val="13"/>
      <color theme="1"/>
      <name val="Palatino Linotype"/>
    </font>
    <font>
      <u/>
      <sz val="13"/>
      <color rgb="FF1155CC"/>
      <name val="Palatino Linotype"/>
    </font>
    <font>
      <b/>
      <i/>
      <sz val="13"/>
      <color theme="1"/>
      <name val="Palatino Linotype"/>
    </font>
    <font>
      <b/>
      <sz val="13"/>
      <color rgb="FFFF0000"/>
      <name val="Palatino Linotype"/>
    </font>
    <font>
      <u/>
      <sz val="13"/>
      <color rgb="FF0000FF"/>
      <name val="Palatino Linotype"/>
    </font>
    <font>
      <i/>
      <sz val="13"/>
      <color theme="1"/>
      <name val="Palatino Linotype"/>
    </font>
    <font>
      <u/>
      <sz val="13"/>
      <color rgb="FF0000FF"/>
      <name val="Palatino Linotype"/>
    </font>
    <font>
      <b/>
      <u/>
      <sz val="13"/>
      <color rgb="FF0000FF"/>
      <name val="Palatino Linotype"/>
    </font>
    <font>
      <b/>
      <sz val="13"/>
      <color rgb="FF000000"/>
      <name val="Palatino Linotype"/>
    </font>
    <font>
      <u/>
      <sz val="13"/>
      <color rgb="FF1155CC"/>
      <name val="Palatino Linotype"/>
    </font>
    <font>
      <u/>
      <sz val="13"/>
      <color rgb="FF0000FF"/>
      <name val="Palatino Linotype"/>
    </font>
    <font>
      <i/>
      <u/>
      <sz val="13"/>
      <color rgb="FF0000FF"/>
      <name val="Palatino Linotype"/>
    </font>
    <font>
      <i/>
      <sz val="13"/>
      <color rgb="FF000000"/>
      <name val="Palatino Linotype"/>
    </font>
    <font>
      <i/>
      <sz val="10"/>
      <color theme="1"/>
      <name val="Arial"/>
      <scheme val="minor"/>
    </font>
    <font>
      <u/>
      <sz val="13"/>
      <color theme="1"/>
      <name val="Palatino Linotype"/>
    </font>
    <font>
      <u/>
      <sz val="13"/>
      <color rgb="FF0000FF"/>
      <name val="Times New Roman"/>
    </font>
    <font>
      <sz val="13"/>
      <color rgb="FF000000"/>
      <name val="Palatino Linotype"/>
    </font>
    <font>
      <sz val="12"/>
      <color theme="1"/>
      <name val="Palatino Linotype"/>
    </font>
    <font>
      <u/>
      <sz val="12"/>
      <color theme="1"/>
      <name val="Palatino Linotype"/>
    </font>
    <font>
      <u/>
      <sz val="12"/>
      <color theme="1"/>
      <name val="Palatino Linotype"/>
    </font>
    <font>
      <sz val="13"/>
      <name val="Palatino Linotype"/>
    </font>
    <font>
      <i/>
      <sz val="13"/>
      <name val="Palatino Linotype"/>
    </font>
    <font>
      <i/>
      <u/>
      <sz val="13"/>
      <color rgb="FF1155CC"/>
      <name val="Palatino Linotype"/>
    </font>
    <font>
      <b/>
      <i/>
      <sz val="13"/>
      <color rgb="FF000000"/>
      <name val="Palatino Linotype"/>
    </font>
    <font>
      <i/>
      <sz val="13"/>
      <color rgb="FF000000"/>
      <name val="&quot;docs-Palatino Linotype&quot;"/>
    </font>
  </fonts>
  <fills count="6">
    <fill>
      <patternFill patternType="none"/>
    </fill>
    <fill>
      <patternFill patternType="gray125"/>
    </fill>
    <fill>
      <patternFill patternType="solid">
        <fgColor rgb="FFF4CCCC"/>
        <bgColor rgb="FFF4CCCC"/>
      </patternFill>
    </fill>
    <fill>
      <patternFill patternType="solid">
        <fgColor rgb="FFFFFFFF"/>
        <bgColor rgb="FFFFFFFF"/>
      </patternFill>
    </fill>
    <fill>
      <patternFill patternType="solid">
        <fgColor rgb="FFFFFF00"/>
        <bgColor rgb="FFFFFF00"/>
      </patternFill>
    </fill>
    <fill>
      <patternFill patternType="solid">
        <fgColor rgb="FFFFE599"/>
        <bgColor rgb="FFFFE599"/>
      </patternFill>
    </fill>
  </fills>
  <borders count="1">
    <border>
      <left/>
      <right/>
      <top/>
      <bottom/>
      <diagonal/>
    </border>
  </borders>
  <cellStyleXfs count="1">
    <xf numFmtId="0" fontId="0" fillId="0" borderId="0"/>
  </cellStyleXfs>
  <cellXfs count="43">
    <xf numFmtId="0" fontId="0" fillId="0" borderId="0" xfId="0"/>
    <xf numFmtId="0" fontId="3" fillId="0" borderId="0" xfId="0" applyFont="1" applyAlignment="1">
      <alignment horizontal="center"/>
    </xf>
    <xf numFmtId="0" fontId="2" fillId="0" borderId="0" xfId="0" applyFont="1"/>
    <xf numFmtId="49" fontId="2" fillId="0" borderId="0" xfId="0" applyNumberFormat="1" applyFont="1"/>
    <xf numFmtId="164" fontId="1" fillId="2" borderId="0" xfId="0" applyNumberFormat="1" applyFont="1" applyFill="1" applyAlignment="1">
      <alignment horizontal="center" vertical="center"/>
    </xf>
    <xf numFmtId="0" fontId="1" fillId="2" borderId="0" xfId="0" applyFont="1" applyFill="1" applyAlignment="1">
      <alignment horizontal="center" vertical="center"/>
    </xf>
    <xf numFmtId="0" fontId="5" fillId="2" borderId="0" xfId="0" applyFont="1" applyFill="1" applyAlignment="1">
      <alignment horizontal="center" vertical="center"/>
    </xf>
    <xf numFmtId="0" fontId="1" fillId="0" borderId="0" xfId="0" applyFont="1" applyAlignment="1">
      <alignment horizontal="center" vertical="center"/>
    </xf>
    <xf numFmtId="0" fontId="3" fillId="0" borderId="0" xfId="0" applyFont="1" applyAlignment="1">
      <alignment horizontal="center" vertical="center"/>
    </xf>
    <xf numFmtId="0" fontId="6"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165" fontId="1" fillId="0" borderId="0" xfId="0" applyNumberFormat="1" applyFont="1" applyAlignment="1">
      <alignment horizontal="center" vertical="center"/>
    </xf>
    <xf numFmtId="0" fontId="9" fillId="0" borderId="0" xfId="0" applyFont="1" applyAlignment="1">
      <alignment horizontal="center"/>
    </xf>
    <xf numFmtId="0" fontId="10" fillId="0" borderId="0" xfId="0" applyFont="1" applyAlignment="1">
      <alignment horizontal="center" vertical="center"/>
    </xf>
    <xf numFmtId="0" fontId="1" fillId="4" borderId="0" xfId="0" applyFont="1" applyFill="1" applyAlignment="1">
      <alignment horizontal="center" vertical="center"/>
    </xf>
    <xf numFmtId="0" fontId="11" fillId="0" borderId="0" xfId="0" applyFont="1" applyAlignment="1">
      <alignment horizontal="center"/>
    </xf>
    <xf numFmtId="0" fontId="12" fillId="0" borderId="0" xfId="0" applyFont="1" applyAlignment="1">
      <alignment horizontal="center" vertical="center"/>
    </xf>
    <xf numFmtId="0" fontId="8" fillId="0" borderId="0" xfId="0" applyFont="1" applyAlignment="1">
      <alignment horizontal="center" vertical="center" wrapText="1"/>
    </xf>
    <xf numFmtId="166" fontId="1" fillId="0" borderId="0" xfId="0" applyNumberFormat="1" applyFont="1" applyAlignment="1">
      <alignment horizontal="center" vertical="center"/>
    </xf>
    <xf numFmtId="0" fontId="3" fillId="4" borderId="0" xfId="0" applyFont="1" applyFill="1" applyAlignment="1">
      <alignment horizontal="center" vertical="center"/>
    </xf>
    <xf numFmtId="0" fontId="13" fillId="0" borderId="0" xfId="0" applyFont="1" applyAlignment="1">
      <alignment horizontal="center" vertical="center" wrapText="1"/>
    </xf>
    <xf numFmtId="0" fontId="14" fillId="0" borderId="0" xfId="0" applyFont="1" applyAlignment="1">
      <alignment horizontal="center" vertical="center" wrapText="1"/>
    </xf>
    <xf numFmtId="14" fontId="1" fillId="0" borderId="0" xfId="0" applyNumberFormat="1" applyFont="1" applyAlignment="1">
      <alignment horizontal="center" vertical="center"/>
    </xf>
    <xf numFmtId="0" fontId="3" fillId="0" borderId="0" xfId="0" applyFont="1" applyAlignment="1">
      <alignment horizontal="center" vertical="center" wrapText="1"/>
    </xf>
    <xf numFmtId="167" fontId="1" fillId="0" borderId="0" xfId="0" applyNumberFormat="1" applyFont="1" applyAlignment="1">
      <alignment horizontal="center" vertical="center"/>
    </xf>
    <xf numFmtId="0" fontId="15" fillId="3" borderId="0" xfId="0" applyFont="1" applyFill="1" applyAlignment="1">
      <alignment horizontal="center"/>
    </xf>
    <xf numFmtId="0" fontId="16" fillId="0" borderId="0" xfId="0" applyFont="1" applyAlignment="1">
      <alignment horizontal="center"/>
    </xf>
    <xf numFmtId="0" fontId="1" fillId="0" borderId="0" xfId="0" applyFont="1" applyAlignment="1">
      <alignment horizontal="center" vertical="center" wrapText="1"/>
    </xf>
    <xf numFmtId="0" fontId="17" fillId="0" borderId="0" xfId="0" applyFont="1" applyAlignment="1">
      <alignment horizontal="center" vertical="center"/>
    </xf>
    <xf numFmtId="0" fontId="18" fillId="0" borderId="0" xfId="0" applyFont="1" applyAlignment="1">
      <alignment horizontal="center"/>
    </xf>
    <xf numFmtId="0" fontId="1" fillId="5" borderId="0" xfId="0" applyFont="1" applyFill="1" applyAlignment="1">
      <alignment horizontal="center" vertical="center"/>
    </xf>
    <xf numFmtId="0" fontId="20" fillId="0" borderId="0" xfId="0" applyFont="1" applyAlignment="1">
      <alignment horizontal="center"/>
    </xf>
    <xf numFmtId="0" fontId="20" fillId="0" borderId="0" xfId="0" applyFont="1" applyAlignment="1">
      <alignment wrapText="1"/>
    </xf>
    <xf numFmtId="0" fontId="21" fillId="0" borderId="0" xfId="0" applyFont="1"/>
    <xf numFmtId="0" fontId="20" fillId="0" borderId="0" xfId="0" applyFont="1"/>
    <xf numFmtId="0" fontId="22" fillId="0" borderId="0" xfId="0" applyFont="1"/>
    <xf numFmtId="0" fontId="2" fillId="0" borderId="0" xfId="0" applyFont="1" applyAlignment="1">
      <alignment horizontal="center"/>
    </xf>
    <xf numFmtId="0" fontId="1" fillId="0" borderId="0" xfId="0" applyFont="1" applyAlignment="1">
      <alignment horizontal="center" vertical="center"/>
    </xf>
    <xf numFmtId="0" fontId="0" fillId="0" borderId="0" xfId="0"/>
    <xf numFmtId="0" fontId="8" fillId="0" borderId="0" xfId="0" applyFont="1" applyAlignment="1">
      <alignment horizontal="center" vertical="center"/>
    </xf>
    <xf numFmtId="0" fontId="3" fillId="0" borderId="0" xfId="0" applyFont="1" applyAlignment="1">
      <alignment horizontal="center" vertical="center"/>
    </xf>
    <xf numFmtId="167" fontId="1" fillId="0" borderId="0" xfId="0" applyNumberFormat="1" applyFont="1" applyAlignment="1">
      <alignment horizontal="center" vertical="center"/>
    </xf>
  </cellXfs>
  <cellStyles count="1">
    <cellStyle name="Normal" xfId="0" builtinId="0"/>
  </cellStyles>
  <dxfs count="3">
    <dxf>
      <fill>
        <patternFill patternType="solid">
          <fgColor rgb="FFF8F9FA"/>
          <bgColor rgb="FFF8F9FA"/>
        </patternFill>
      </fill>
    </dxf>
    <dxf>
      <fill>
        <patternFill patternType="solid">
          <fgColor rgb="FFFFFFFF"/>
          <bgColor rgb="FFFFFFFF"/>
        </patternFill>
      </fill>
    </dxf>
    <dxf>
      <fill>
        <patternFill patternType="solid">
          <fgColor rgb="FF356854"/>
          <bgColor rgb="FF356854"/>
        </patternFill>
      </fill>
    </dxf>
  </dxfs>
  <tableStyles count="1">
    <tableStyle name="ĐỀ 17-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drive.google.com/drive/folders/1RDwuqb0imIeP60ElaZUtAnXHFzGp6IA2" TargetMode="External"/><Relationship Id="rId21" Type="http://schemas.openxmlformats.org/officeDocument/2006/relationships/hyperlink" Target="https://www.facebook.com/795616745807158/videos/424057154005365" TargetMode="External"/><Relationship Id="rId42" Type="http://schemas.openxmlformats.org/officeDocument/2006/relationships/hyperlink" Target="https://www.facebook.com/795616745807158/videos/481853771490595" TargetMode="External"/><Relationship Id="rId63" Type="http://schemas.openxmlformats.org/officeDocument/2006/relationships/hyperlink" Target="https://drive.google.com/file/d/1z2coY-o7S47gQYMLfoxY6EG-Taxen4Xk/view?usp=sharing" TargetMode="External"/><Relationship Id="rId84" Type="http://schemas.openxmlformats.org/officeDocument/2006/relationships/hyperlink" Target="https://www.facebook.com/795616745807158/videos/803689721865710" TargetMode="External"/><Relationship Id="rId16" Type="http://schemas.openxmlformats.org/officeDocument/2006/relationships/hyperlink" Target="https://drive.google.com/drive/folders/1SAsiW9yHo0oRDYayNRlfgrWfD5UGqZYu" TargetMode="External"/><Relationship Id="rId107" Type="http://schemas.openxmlformats.org/officeDocument/2006/relationships/hyperlink" Target="https://www.facebook.com/795616745807158/videos/572864248922219?locale=vi_VN" TargetMode="External"/><Relationship Id="rId11" Type="http://schemas.openxmlformats.org/officeDocument/2006/relationships/hyperlink" Target="https://drive.google.com/drive/folders/15mElcitWAGCDfQIo51M8SqFzboNtImcW" TargetMode="External"/><Relationship Id="rId32" Type="http://schemas.openxmlformats.org/officeDocument/2006/relationships/hyperlink" Target="https://drive.google.com/drive/folders/127Wf_bYfFh8VBowgpvfbxlNkM6Y93HTG" TargetMode="External"/><Relationship Id="rId37" Type="http://schemas.openxmlformats.org/officeDocument/2006/relationships/hyperlink" Target="https://drive.google.com/drive/folders/1E1cqDCu8UpqrqrTT5JbtIRNq1xz0zybn" TargetMode="External"/><Relationship Id="rId53" Type="http://schemas.openxmlformats.org/officeDocument/2006/relationships/hyperlink" Target="https://www.facebook.com/hocvancosuongmai/videos/974075561153835?idorvanity=795616745807158" TargetMode="External"/><Relationship Id="rId58" Type="http://schemas.openxmlformats.org/officeDocument/2006/relationships/hyperlink" Target="https://drive.google.com/drive/folders/1--zeMi1jcjnc95jhZpL20gfaPBTe97Tj" TargetMode="External"/><Relationship Id="rId74" Type="http://schemas.openxmlformats.org/officeDocument/2006/relationships/hyperlink" Target="https://www.facebook.com/795616745807158/videos/1076067703830832" TargetMode="External"/><Relationship Id="rId79" Type="http://schemas.openxmlformats.org/officeDocument/2006/relationships/hyperlink" Target="https://drive.google.com/drive/folders/1W_SUqhwz55Ez4WA_MliTF6EJa7KNuFQX" TargetMode="External"/><Relationship Id="rId102" Type="http://schemas.openxmlformats.org/officeDocument/2006/relationships/hyperlink" Target="https://www.canva.com/design/DAGbCUJvdSw/wxEcw0x88lQhq1DfxpvNPA/edit?referrer=presentations-landing-page" TargetMode="External"/><Relationship Id="rId123" Type="http://schemas.openxmlformats.org/officeDocument/2006/relationships/hyperlink" Target="https://www.facebook.com/795616745807158/videos/630198399953330?locale=vi_VN" TargetMode="External"/><Relationship Id="rId128" Type="http://schemas.openxmlformats.org/officeDocument/2006/relationships/hyperlink" Target="https://drive.google.com/drive/folders/1ZJRS3DCIaHvaLrNo-J5rQEUFLnAMofi3" TargetMode="External"/><Relationship Id="rId5" Type="http://schemas.openxmlformats.org/officeDocument/2006/relationships/hyperlink" Target="https://drive.google.com/drive/folders/1JEpYYQL6n8LbaHVV4AiZLau-FkmmiJBN" TargetMode="External"/><Relationship Id="rId90" Type="http://schemas.openxmlformats.org/officeDocument/2006/relationships/hyperlink" Target="https://fb.watch/wxjA-mXK_L/" TargetMode="External"/><Relationship Id="rId95" Type="http://schemas.openxmlformats.org/officeDocument/2006/relationships/hyperlink" Target="https://drive.google.com/drive/folders/1p_1nJGFtyEzUnboU_U2YcE0T1NquX_UA" TargetMode="External"/><Relationship Id="rId22" Type="http://schemas.openxmlformats.org/officeDocument/2006/relationships/hyperlink" Target="https://drive.google.com/drive/folders/19896eTEtrSafkt-hgVUTNghPUP4uVW-E" TargetMode="External"/><Relationship Id="rId27" Type="http://schemas.openxmlformats.org/officeDocument/2006/relationships/hyperlink" Target="https://www.facebook.com/795616745807158/videos/782539050480091" TargetMode="External"/><Relationship Id="rId43" Type="http://schemas.openxmlformats.org/officeDocument/2006/relationships/hyperlink" Target="https://drive.google.com/drive/folders/1x20iO3rrSW-SU_AbLCHbftZ9g9tKzxPz" TargetMode="External"/><Relationship Id="rId48" Type="http://schemas.openxmlformats.org/officeDocument/2006/relationships/hyperlink" Target="https://drive.google.com/drive/folders/1bFxcgP_dj8RYmjn_rY24vUuaId4wbNyx" TargetMode="External"/><Relationship Id="rId64" Type="http://schemas.openxmlformats.org/officeDocument/2006/relationships/hyperlink" Target="https://www.facebook.com/795616745807158/videos/8544039515681089" TargetMode="External"/><Relationship Id="rId69" Type="http://schemas.openxmlformats.org/officeDocument/2006/relationships/hyperlink" Target="https://drive.google.com/drive/folders/1HQ6YyvH-c7VxqaRVEcrrobbEk6KpALC5?ths=true" TargetMode="External"/><Relationship Id="rId113" Type="http://schemas.openxmlformats.org/officeDocument/2006/relationships/hyperlink" Target="https://docs.google.com/document/d/1gOQak8_hiywLLBCRClVpzC6f116K7Qru/edit?usp=sharing&amp;ouid=103508951962559946573&amp;rtpof=true&amp;sd=true" TargetMode="External"/><Relationship Id="rId118" Type="http://schemas.openxmlformats.org/officeDocument/2006/relationships/hyperlink" Target="https://www.facebook.com/795616745807158/videos/1767944723780588" TargetMode="External"/><Relationship Id="rId134" Type="http://schemas.openxmlformats.org/officeDocument/2006/relationships/hyperlink" Target="https://docs.google.com/document/d/18A_hW_J-7DdSoxciD5ZVhIuv-JHMWYlwZmb1VGB9kL8/edit?tab=t.0" TargetMode="External"/><Relationship Id="rId80" Type="http://schemas.openxmlformats.org/officeDocument/2006/relationships/hyperlink" Target="https://www.facebook.com/795616745807158/videos/1302188517796194" TargetMode="External"/><Relationship Id="rId85" Type="http://schemas.openxmlformats.org/officeDocument/2006/relationships/hyperlink" Target="https://drive.google.com/drive/folders/1askWNqgJEzvm5ZV9erOxwFm3IOZcAedJ" TargetMode="External"/><Relationship Id="rId12" Type="http://schemas.openxmlformats.org/officeDocument/2006/relationships/hyperlink" Target="https://www.facebook.com/hocvancosuongmai/videos/3206128002856133?idorvanity=795616745807158" TargetMode="External"/><Relationship Id="rId17" Type="http://schemas.openxmlformats.org/officeDocument/2006/relationships/hyperlink" Target="https://www.facebook.com/795616745807158/videos/945386290606883" TargetMode="External"/><Relationship Id="rId33" Type="http://schemas.openxmlformats.org/officeDocument/2006/relationships/hyperlink" Target="https://drive.google.com/file/d/1RJHI9ea6ejZyML8fngtImhvR8nHZd_A2/view?usp=drive_link" TargetMode="External"/><Relationship Id="rId38" Type="http://schemas.openxmlformats.org/officeDocument/2006/relationships/hyperlink" Target="https://www.facebook.com/795616745807158/videos/383918691423794" TargetMode="External"/><Relationship Id="rId59" Type="http://schemas.openxmlformats.org/officeDocument/2006/relationships/hyperlink" Target="https://www.facebook.com/share/v/154ev1aCQR/" TargetMode="External"/><Relationship Id="rId103" Type="http://schemas.openxmlformats.org/officeDocument/2006/relationships/hyperlink" Target="https://www.facebook.com/795616745807158/videos/604964481921402" TargetMode="External"/><Relationship Id="rId108" Type="http://schemas.openxmlformats.org/officeDocument/2006/relationships/hyperlink" Target="https://drive.google.com/drive/folders/1rctdcmk4dT359bdaQ8Gf6bUlsh1pOPG-" TargetMode="External"/><Relationship Id="rId124" Type="http://schemas.openxmlformats.org/officeDocument/2006/relationships/hyperlink" Target="https://drive.google.com/drive/folders/1MqfmnQxNFFczj06AdDGzmLgFfSTCWcYT" TargetMode="External"/><Relationship Id="rId129" Type="http://schemas.openxmlformats.org/officeDocument/2006/relationships/hyperlink" Target="https://www.facebook.com/795616745807158/videos/1749065232323699?locale=vi_VN" TargetMode="External"/><Relationship Id="rId54" Type="http://schemas.openxmlformats.org/officeDocument/2006/relationships/hyperlink" Target="https://www.facebook.com/795616745807158/videos/957277639730523" TargetMode="External"/><Relationship Id="rId70" Type="http://schemas.openxmlformats.org/officeDocument/2006/relationships/hyperlink" Target="https://www.facebook.com/795616745807158/videos/890926499813605" TargetMode="External"/><Relationship Id="rId75" Type="http://schemas.openxmlformats.org/officeDocument/2006/relationships/hyperlink" Target="https://drive.google.com/drive/folders/13kVIRZt0PyTp1rubGB1wuR176eFRPNRP" TargetMode="External"/><Relationship Id="rId91" Type="http://schemas.openxmlformats.org/officeDocument/2006/relationships/hyperlink" Target="https://docs.google.com/document/d/1DW4abujjT3kMuJ0mmxay3h6355dHCyq3cA1uRfx68mE/edit?usp=sharing" TargetMode="External"/><Relationship Id="rId96" Type="http://schemas.openxmlformats.org/officeDocument/2006/relationships/hyperlink" Target="https://www.facebook.com/795616745807158/videos/1066717438819607" TargetMode="External"/><Relationship Id="rId1" Type="http://schemas.openxmlformats.org/officeDocument/2006/relationships/hyperlink" Target="https://docs.google.com/document/d/1SAXqiPJqZwRTYO9zY9fpWlb0dmV-hjed4pPqh3RLsS4/edit?tab=t.0" TargetMode="External"/><Relationship Id="rId6" Type="http://schemas.openxmlformats.org/officeDocument/2006/relationships/hyperlink" Target="https://www.facebook.com/795616745807158/videos/983673993236878" TargetMode="External"/><Relationship Id="rId23" Type="http://schemas.openxmlformats.org/officeDocument/2006/relationships/hyperlink" Target="https://www.facebook.com/795616745807158/videos/2654472068057866" TargetMode="External"/><Relationship Id="rId28" Type="http://schemas.openxmlformats.org/officeDocument/2006/relationships/hyperlink" Target="https://drive.google.com/drive/folders/1WlT6U3UaQlaZsUDCjjblIyw-YNG_AklV" TargetMode="External"/><Relationship Id="rId49" Type="http://schemas.openxmlformats.org/officeDocument/2006/relationships/hyperlink" Target="https://www.facebook.com/795616745807158/videos/552450480573922" TargetMode="External"/><Relationship Id="rId114" Type="http://schemas.openxmlformats.org/officeDocument/2006/relationships/hyperlink" Target="https://www.facebook.com/795616745807158/videos/1555217918532185?locale=vi_VN" TargetMode="External"/><Relationship Id="rId119" Type="http://schemas.openxmlformats.org/officeDocument/2006/relationships/hyperlink" Target="https://drive.google.com/drive/folders/1flc_CcgyreObmr-lVtwvmJhG_f4Q4OsC" TargetMode="External"/><Relationship Id="rId44" Type="http://schemas.openxmlformats.org/officeDocument/2006/relationships/hyperlink" Target="https://www.facebook.com/795616745807158/videos/896732032353905" TargetMode="External"/><Relationship Id="rId60" Type="http://schemas.openxmlformats.org/officeDocument/2006/relationships/hyperlink" Target="https://drive.google.com/file/d/1o9ehVGl0scYHWUtO4AYtvMarMDxnVYJj/view?usp=drive_link" TargetMode="External"/><Relationship Id="rId65" Type="http://schemas.openxmlformats.org/officeDocument/2006/relationships/hyperlink" Target="https://drive.google.com/drive/folders/1iNrjSMr5HU7fxnIj2uKiprejRUq6gHMA" TargetMode="External"/><Relationship Id="rId81" Type="http://schemas.openxmlformats.org/officeDocument/2006/relationships/hyperlink" Target="https://drive.google.com/drive/folders/1lPwQQSzlWJgoE3uOXSfUoEpwbrMAl64q" TargetMode="External"/><Relationship Id="rId86" Type="http://schemas.openxmlformats.org/officeDocument/2006/relationships/hyperlink" Target="https://www.facebook.com/795616745807158/videos/2920659618093967?locale=vi_VN" TargetMode="External"/><Relationship Id="rId130" Type="http://schemas.openxmlformats.org/officeDocument/2006/relationships/hyperlink" Target="https://drive.google.com/drive/folders/1BwbLuYHCbxy1yizCfKphqWPv5LwGqXAM" TargetMode="External"/><Relationship Id="rId135" Type="http://schemas.openxmlformats.org/officeDocument/2006/relationships/hyperlink" Target="https://www.facebook.com/hocvancosuongmai/videos/1169615794569898?idorvanity=795616745807158" TargetMode="External"/><Relationship Id="rId13" Type="http://schemas.openxmlformats.org/officeDocument/2006/relationships/hyperlink" Target="https://www.facebook.com/hocvancosuongmai/videos/2793299770828778?idorvanity=795616745807158" TargetMode="External"/><Relationship Id="rId18" Type="http://schemas.openxmlformats.org/officeDocument/2006/relationships/hyperlink" Target="https://drive.google.com/drive/folders/11sLle9do4GsHbBTRM-SvPUtvskfULXbA" TargetMode="External"/><Relationship Id="rId39" Type="http://schemas.openxmlformats.org/officeDocument/2006/relationships/hyperlink" Target="https://drive.google.com/drive/folders/1VSwtksiAy7daaAw75uuaevNncM0zKDgL" TargetMode="External"/><Relationship Id="rId109" Type="http://schemas.openxmlformats.org/officeDocument/2006/relationships/hyperlink" Target="https://www.facebook.com/795616745807158/videos/1559656244668517?locale=vi_VN" TargetMode="External"/><Relationship Id="rId34" Type="http://schemas.openxmlformats.org/officeDocument/2006/relationships/hyperlink" Target="https://www.facebook.com/795616745807158/videos/1096827561896808" TargetMode="External"/><Relationship Id="rId50" Type="http://schemas.openxmlformats.org/officeDocument/2006/relationships/hyperlink" Target="https://drive.google.com/file/d/1XehJL-o2RcKrqWrKQzcbL3uOEmJcbgWX/view?usp=drive_link" TargetMode="External"/><Relationship Id="rId55" Type="http://schemas.openxmlformats.org/officeDocument/2006/relationships/hyperlink" Target="https://drive.google.com/drive/folders/14ukQnZrEcHgUh0_AtHPcAdEeRFj3X8b3" TargetMode="External"/><Relationship Id="rId76" Type="http://schemas.openxmlformats.org/officeDocument/2006/relationships/hyperlink" Target="https://docs.google.com/document/d/1uF6wGkkP1L-hdRQRJcg9CCOVEBtjDwSIx3zHD4y5Ccs/edit?tab=t.0" TargetMode="External"/><Relationship Id="rId97" Type="http://schemas.openxmlformats.org/officeDocument/2006/relationships/hyperlink" Target="https://drive.google.com/drive/folders/1V0pyDlOncfLtLUpV22meF3CscZI0ToMK" TargetMode="External"/><Relationship Id="rId104" Type="http://schemas.openxmlformats.org/officeDocument/2006/relationships/hyperlink" Target="https://drive.google.com/drive/folders/1BNt0YxqmcPG1G5JabKQ0IZtShS7STFDp" TargetMode="External"/><Relationship Id="rId120" Type="http://schemas.openxmlformats.org/officeDocument/2006/relationships/hyperlink" Target="https://www.facebook.com/795616745807158/videos/441976112233809?locale=vi_VN" TargetMode="External"/><Relationship Id="rId125" Type="http://schemas.openxmlformats.org/officeDocument/2006/relationships/hyperlink" Target="https://www.facebook.com/100015032417776/videos/1307982427150943/" TargetMode="External"/><Relationship Id="rId7" Type="http://schemas.openxmlformats.org/officeDocument/2006/relationships/hyperlink" Target="https://drive.google.com/drive/folders/1QUmrmhlPZkRi2dLHZRu7BJN_o8bf-5LK" TargetMode="External"/><Relationship Id="rId71" Type="http://schemas.openxmlformats.org/officeDocument/2006/relationships/hyperlink" Target="https://drive.google.com/drive/folders/1ZH3E1LNSCyNachRG2pIgGG6Q9-c-Vc9K" TargetMode="External"/><Relationship Id="rId92" Type="http://schemas.openxmlformats.org/officeDocument/2006/relationships/hyperlink" Target="https://www.facebook.com/795616745807158/videos/1323856938959566?locale=vi_VN" TargetMode="External"/><Relationship Id="rId2" Type="http://schemas.openxmlformats.org/officeDocument/2006/relationships/hyperlink" Target="https://drive.google.com/file/d/1ZIaHUCMff3O_2z-CNVhwrp1C6IrBHtxd/view?usp=drive_link" TargetMode="External"/><Relationship Id="rId29" Type="http://schemas.openxmlformats.org/officeDocument/2006/relationships/hyperlink" Target="https://www.facebook.com/795616745807158/videos/1482967103101475" TargetMode="External"/><Relationship Id="rId24" Type="http://schemas.openxmlformats.org/officeDocument/2006/relationships/hyperlink" Target="https://drive.google.com/drive/folders/1FwTXlnbi2p-7T8_YHqZBGi8lxouexvAq" TargetMode="External"/><Relationship Id="rId40" Type="http://schemas.openxmlformats.org/officeDocument/2006/relationships/hyperlink" Target="https://www.facebook.com/795616745807158/videos/831880582265893" TargetMode="External"/><Relationship Id="rId45" Type="http://schemas.openxmlformats.org/officeDocument/2006/relationships/hyperlink" Target="https://drive.google.com/drive/folders/1M659filRqbdmjp1XsAjekE5tY6MmcDgG" TargetMode="External"/><Relationship Id="rId66" Type="http://schemas.openxmlformats.org/officeDocument/2006/relationships/hyperlink" Target="https://www.facebook.com/share/v/1EK8BN5tYy/?mibextid=lOuIew" TargetMode="External"/><Relationship Id="rId87" Type="http://schemas.openxmlformats.org/officeDocument/2006/relationships/hyperlink" Target="https://drive.google.com/drive/folders/1WiQFy6ZH1AAOOgQySDOgq1vyUclyCdx6" TargetMode="External"/><Relationship Id="rId110" Type="http://schemas.openxmlformats.org/officeDocument/2006/relationships/hyperlink" Target="https://drive.google.com/drive/folders/1Ja7KPsgr_gz-iV60jnwQC0p-hzuik7Bz" TargetMode="External"/><Relationship Id="rId115" Type="http://schemas.openxmlformats.org/officeDocument/2006/relationships/hyperlink" Target="https://drive.google.com/drive/folders/18Gnn3nPlT4ZgmI5SjJeDlLGcUjfYwE9G" TargetMode="External"/><Relationship Id="rId131" Type="http://schemas.openxmlformats.org/officeDocument/2006/relationships/hyperlink" Target="https://drive.google.com/file/d/1sbZFmFAWi9boNktLqQNWawBSKO_gNPRE/view?usp=drive_link" TargetMode="External"/><Relationship Id="rId136" Type="http://schemas.openxmlformats.org/officeDocument/2006/relationships/hyperlink" Target="https://drive.google.com/drive/folders/1iAMpMaanBmY9HdYVotKG9NJxa4mqrquP" TargetMode="External"/><Relationship Id="rId61" Type="http://schemas.openxmlformats.org/officeDocument/2006/relationships/hyperlink" Target="https://www.facebook.com/795616745807158/videos/1083355819465578?locale=vi_VN" TargetMode="External"/><Relationship Id="rId82" Type="http://schemas.openxmlformats.org/officeDocument/2006/relationships/hyperlink" Target="https://www.facebook.com/795616745807158/videos/1276275810287811" TargetMode="External"/><Relationship Id="rId19" Type="http://schemas.openxmlformats.org/officeDocument/2006/relationships/hyperlink" Target="https://www.facebook.com/795616745807158/videos/1540096990246469" TargetMode="External"/><Relationship Id="rId14" Type="http://schemas.openxmlformats.org/officeDocument/2006/relationships/hyperlink" Target="https://drive.google.com/drive/folders/15qb8fITp8V31vUjWLeCSRWUyQgIid_FC?usp=sharing" TargetMode="External"/><Relationship Id="rId30" Type="http://schemas.openxmlformats.org/officeDocument/2006/relationships/hyperlink" Target="https://drive.google.com/drive/folders/1BjSMfX0QH-K-QCqZUkzkQ4zNxcPKruuj" TargetMode="External"/><Relationship Id="rId35" Type="http://schemas.openxmlformats.org/officeDocument/2006/relationships/hyperlink" Target="https://drive.google.com/drive/folders/1ZGgSrSEynERUXNoLHSi_9NBc8nq9rxGn?usp=drive_link" TargetMode="External"/><Relationship Id="rId56" Type="http://schemas.openxmlformats.org/officeDocument/2006/relationships/hyperlink" Target="https://www.facebook.com/teamhocvancosuongmai/videos/1035175408619195?idorvanity=795616745807158&amp;locale=vi_VN" TargetMode="External"/><Relationship Id="rId77" Type="http://schemas.openxmlformats.org/officeDocument/2006/relationships/hyperlink" Target="https://fb.watch/wEmx-s0Gzg/" TargetMode="External"/><Relationship Id="rId100" Type="http://schemas.openxmlformats.org/officeDocument/2006/relationships/hyperlink" Target="https://www.facebook.com/teamhocvancosuongmai/videos/883012203712102?idorvanity=795616745807158" TargetMode="External"/><Relationship Id="rId105" Type="http://schemas.openxmlformats.org/officeDocument/2006/relationships/hyperlink" Target="https://www.facebook.com/hocvancosuongmai/videos/955486592681022?idorvanity=795616745807158&amp;locale=vi_VN" TargetMode="External"/><Relationship Id="rId126" Type="http://schemas.openxmlformats.org/officeDocument/2006/relationships/hyperlink" Target="https://drive.google.com/file/d/14_ZeXvBj-6UfujOaOoc9D-vi2q6XyKZd/view?usp=drive_link" TargetMode="External"/><Relationship Id="rId8" Type="http://schemas.openxmlformats.org/officeDocument/2006/relationships/hyperlink" Target="https://www.facebook.com/795616745807158/videos/1585721982362728" TargetMode="External"/><Relationship Id="rId51" Type="http://schemas.openxmlformats.org/officeDocument/2006/relationships/hyperlink" Target="https://www.facebook.com/hocvancosuongmai/videos/541469791622189?idorvanity=795616745807158&amp;locale=vi_VN" TargetMode="External"/><Relationship Id="rId72" Type="http://schemas.openxmlformats.org/officeDocument/2006/relationships/hyperlink" Target="https://www.facebook.com/795616745807158/videos/2696440757202341?locale=vi_VN" TargetMode="External"/><Relationship Id="rId93" Type="http://schemas.openxmlformats.org/officeDocument/2006/relationships/hyperlink" Target="https://drive.google.com/drive/folders/1oJxu6hwY5FHapXh1u8Xse99mbsLht1Gc" TargetMode="External"/><Relationship Id="rId98" Type="http://schemas.openxmlformats.org/officeDocument/2006/relationships/hyperlink" Target="https://www.facebook.com/795616745807158/videos/910909674130585" TargetMode="External"/><Relationship Id="rId121" Type="http://schemas.openxmlformats.org/officeDocument/2006/relationships/hyperlink" Target="https://drive.google.com/drive/folders/1mQLX2XOVVaXiiWM-Wh-ReF80cv5yveyy?usp=drive_link" TargetMode="External"/><Relationship Id="rId3" Type="http://schemas.openxmlformats.org/officeDocument/2006/relationships/hyperlink" Target="https://www.facebook.com/hocvancosuongmai/videos/829373912176754?idorvanity=795616745807158&amp;locale=vi_VN" TargetMode="External"/><Relationship Id="rId25" Type="http://schemas.openxmlformats.org/officeDocument/2006/relationships/hyperlink" Target="https://www.facebook.com/795616745807158/videos/886157323392140" TargetMode="External"/><Relationship Id="rId46" Type="http://schemas.openxmlformats.org/officeDocument/2006/relationships/hyperlink" Target="https://www.facebook.com/teamhocvancosuongmai/videos/475218685519204?idorvanity=795616745807158&amp;locale=vi_VN" TargetMode="External"/><Relationship Id="rId67" Type="http://schemas.openxmlformats.org/officeDocument/2006/relationships/hyperlink" Target="https://drive.google.com/drive/folders/1MrzEX0T_Qub1uQ-ye3Z49T39-HvII1vY" TargetMode="External"/><Relationship Id="rId116" Type="http://schemas.openxmlformats.org/officeDocument/2006/relationships/hyperlink" Target="https://www.facebook.com/795616745807158/videos/637217755350026" TargetMode="External"/><Relationship Id="rId20" Type="http://schemas.openxmlformats.org/officeDocument/2006/relationships/hyperlink" Target="https://drive.google.com/drive/folders/1gV3RdYyMKdaknqWjtEWkoKotDL2LH0mN" TargetMode="External"/><Relationship Id="rId41" Type="http://schemas.openxmlformats.org/officeDocument/2006/relationships/hyperlink" Target="https://drive.google.com/drive/folders/1tRpsBtY5lO8mw6EgpGzB-07X2KMNR3fL" TargetMode="External"/><Relationship Id="rId62" Type="http://schemas.openxmlformats.org/officeDocument/2006/relationships/hyperlink" Target="https://drive.google.com/drive/folders/1uTRJblmC1rNBqOIpvyjPL-GX8C4nA4Ro" TargetMode="External"/><Relationship Id="rId83" Type="http://schemas.openxmlformats.org/officeDocument/2006/relationships/hyperlink" Target="https://drive.google.com/drive/folders/1dhJUfyNk5MpI_1LtLMrgsoP52Mw7UaTd" TargetMode="External"/><Relationship Id="rId88" Type="http://schemas.openxmlformats.org/officeDocument/2006/relationships/hyperlink" Target="https://www.facebook.com/795616745807158/videos/592062793402188?locale=vi_VN" TargetMode="External"/><Relationship Id="rId111" Type="http://schemas.openxmlformats.org/officeDocument/2006/relationships/hyperlink" Target="https://fb.watch/xgiBjET2E_/" TargetMode="External"/><Relationship Id="rId132" Type="http://schemas.openxmlformats.org/officeDocument/2006/relationships/hyperlink" Target="https://drive.google.com/file/d/1uEEUPMTAdlxzGiI8J9bNP7cXp6oxE8Xj/view?usp=sharing" TargetMode="External"/><Relationship Id="rId15" Type="http://schemas.openxmlformats.org/officeDocument/2006/relationships/hyperlink" Target="https://www.facebook.com/795616745807158/videos/435290012833839" TargetMode="External"/><Relationship Id="rId36" Type="http://schemas.openxmlformats.org/officeDocument/2006/relationships/hyperlink" Target="https://www.facebook.com/795616745807158/videos/829155826052298" TargetMode="External"/><Relationship Id="rId57" Type="http://schemas.openxmlformats.org/officeDocument/2006/relationships/hyperlink" Target="https://isach.info/story.php?story=buc_tranh__nguyen_minh_chau&amp;chapter=0000" TargetMode="External"/><Relationship Id="rId106" Type="http://schemas.openxmlformats.org/officeDocument/2006/relationships/hyperlink" Target="https://www.facebook.com/hocvancosuongmai/videos/1107786267758963?idorvanity=795616745807158&amp;locale=vi_VN" TargetMode="External"/><Relationship Id="rId127" Type="http://schemas.openxmlformats.org/officeDocument/2006/relationships/hyperlink" Target="https://www.facebook.com/795616745807158/videos/2104116246704512?locale=vi_VN" TargetMode="External"/><Relationship Id="rId10" Type="http://schemas.openxmlformats.org/officeDocument/2006/relationships/hyperlink" Target="https://www.facebook.com/795616745807158/videos/1466824214194025" TargetMode="External"/><Relationship Id="rId31" Type="http://schemas.openxmlformats.org/officeDocument/2006/relationships/hyperlink" Target="https://www.facebook.com/795616745807158/videos/493417776930565" TargetMode="External"/><Relationship Id="rId52" Type="http://schemas.openxmlformats.org/officeDocument/2006/relationships/hyperlink" Target="https://drive.google.com/drive/folders/1IOvr11j2H65zTWK8k4t-Fh8nKf4z8JX7" TargetMode="External"/><Relationship Id="rId73" Type="http://schemas.openxmlformats.org/officeDocument/2006/relationships/hyperlink" Target="https://drive.google.com/drive/folders/1EYrsU5WMPtGolzmInMQnqRnwOnGV-agh" TargetMode="External"/><Relationship Id="rId78" Type="http://schemas.openxmlformats.org/officeDocument/2006/relationships/hyperlink" Target="https://www.facebook.com/795616745807158/videos/481436774400561" TargetMode="External"/><Relationship Id="rId94" Type="http://schemas.openxmlformats.org/officeDocument/2006/relationships/hyperlink" Target="https://www.facebook.com/795616745807158/videos/9139609439416851?locale=vi_VN" TargetMode="External"/><Relationship Id="rId99" Type="http://schemas.openxmlformats.org/officeDocument/2006/relationships/hyperlink" Target="https://drive.google.com/drive/u/1/folders/1UiDUKW67tS4g_TOmCBtFwvIGRhUQelRf" TargetMode="External"/><Relationship Id="rId101" Type="http://schemas.openxmlformats.org/officeDocument/2006/relationships/hyperlink" Target="https://docs.google.com/document/d/1iqhSyw3JjGvyosDUX86yJabvjggE5ys-9oAo9cX38OA/edit?tab=t.0" TargetMode="External"/><Relationship Id="rId122" Type="http://schemas.openxmlformats.org/officeDocument/2006/relationships/hyperlink" Target="https://drive.google.com/file/d/1Q16RqXo-6HHrbUfKqivMawmG56prg2s0/view?usp=drive_link" TargetMode="External"/><Relationship Id="rId4" Type="http://schemas.openxmlformats.org/officeDocument/2006/relationships/hyperlink" Target="https://www.facebook.com/hocvancosuongmai/videos/2092104724520564?idorvanity=795616745807158" TargetMode="External"/><Relationship Id="rId9" Type="http://schemas.openxmlformats.org/officeDocument/2006/relationships/hyperlink" Target="https://drive.google.com/drive/folders/1G__jlLNKEKjUhw4RY-2IpnvnBd8EKwdR" TargetMode="External"/><Relationship Id="rId26" Type="http://schemas.openxmlformats.org/officeDocument/2006/relationships/hyperlink" Target="https://drive.google.com/drive/folders/1Mrz8HhPvqDsNzqbZqs3-KarlbvUMR0Km" TargetMode="External"/><Relationship Id="rId47" Type="http://schemas.openxmlformats.org/officeDocument/2006/relationships/hyperlink" Target="https://drive.google.com/drive/folders/11rY2rs3mjMu6BIYngueWhJQAqPPVTrix" TargetMode="External"/><Relationship Id="rId68" Type="http://schemas.openxmlformats.org/officeDocument/2006/relationships/hyperlink" Target="https://www.facebook.com/teamhocvancosuongmai/videos/1081073703138099?idorvanity=795616745807158" TargetMode="External"/><Relationship Id="rId89" Type="http://schemas.openxmlformats.org/officeDocument/2006/relationships/hyperlink" Target="https://drive.google.com/drive/folders/1lFCsx1J2GkQ_dEodyL0TV5NWiQ_tfjBn" TargetMode="External"/><Relationship Id="rId112" Type="http://schemas.openxmlformats.org/officeDocument/2006/relationships/hyperlink" Target="https://docs.google.com/document/d/11Sb6om72amW14YMwFV9fOacDO9mPisptqIh67gjqfHc/edit?usp=sharing" TargetMode="External"/><Relationship Id="rId133" Type="http://schemas.openxmlformats.org/officeDocument/2006/relationships/hyperlink" Target="https://www.facebook.com/share/v/1AMzWLimt2/"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fb.watch/uei44y5d8e/" TargetMode="External"/><Relationship Id="rId18" Type="http://schemas.openxmlformats.org/officeDocument/2006/relationships/hyperlink" Target="https://www.facebook.com/795616745807158/videos/552450480573922" TargetMode="External"/><Relationship Id="rId26" Type="http://schemas.openxmlformats.org/officeDocument/2006/relationships/hyperlink" Target="https://drive.google.com/drive/folders/1AEv3m2MHL6kOT5UKT5w-bwdgktMuxa8O?usp=sharing" TargetMode="External"/><Relationship Id="rId39" Type="http://schemas.openxmlformats.org/officeDocument/2006/relationships/hyperlink" Target="https://isach.info/story.php?story=nguoi_ngua_ngua_nguoi__nguyen_cong_hoan&amp;chapter=0000" TargetMode="External"/><Relationship Id="rId21" Type="http://schemas.openxmlformats.org/officeDocument/2006/relationships/hyperlink" Target="https://www.facebook.com/teamhocvancosuongmai/videos/1035175408619195?idorvanity=795616745807158&amp;locale=vi_VN" TargetMode="External"/><Relationship Id="rId34" Type="http://schemas.openxmlformats.org/officeDocument/2006/relationships/hyperlink" Target="https://drive.google.com/file/d/18u6ohtzqHUipKsiyj-aR6dLBzS2kNEJt/view" TargetMode="External"/><Relationship Id="rId42" Type="http://schemas.openxmlformats.org/officeDocument/2006/relationships/hyperlink" Target="https://docs.google.com/document/d/1egIZ6C3DKzocR35Ldosle6oehXi3YpMADynaPTKb7Ik/edit?usp=sharing" TargetMode="External"/><Relationship Id="rId47" Type="http://schemas.openxmlformats.org/officeDocument/2006/relationships/hyperlink" Target="https://www.facebook.com/795616745807158/videos/1310878076827282?locale=vi_VN" TargetMode="External"/><Relationship Id="rId7" Type="http://schemas.openxmlformats.org/officeDocument/2006/relationships/hyperlink" Target="https://drive.google.com/drive/folders/1ouWgjjINFX9H0xCBMwB1hv-KnurZfLa0?usp=drive_link" TargetMode="External"/><Relationship Id="rId2" Type="http://schemas.openxmlformats.org/officeDocument/2006/relationships/hyperlink" Target="https://drive.google.com/drive/folders/1LlNHQNUB01_Q7qHVvZLJv8MInRWKs9vH?usp=drive_link" TargetMode="External"/><Relationship Id="rId16" Type="http://schemas.openxmlformats.org/officeDocument/2006/relationships/hyperlink" Target="https://www.facebook.com/teamhocvancosuongmai/videos/557213030062559?idorvanity=795616745807158" TargetMode="External"/><Relationship Id="rId29" Type="http://schemas.openxmlformats.org/officeDocument/2006/relationships/hyperlink" Target="https://www.facebook.com/100018097751646/videos/1208502020450128/" TargetMode="External"/><Relationship Id="rId1" Type="http://schemas.openxmlformats.org/officeDocument/2006/relationships/hyperlink" Target="https://drive.google.com/drive/folders/1evtESMS_Sox2YFdrKk5Wmlk1mbnQzOKf" TargetMode="External"/><Relationship Id="rId6" Type="http://schemas.openxmlformats.org/officeDocument/2006/relationships/hyperlink" Target="https://drive.google.com/drive/folders/1FyifSdvfjOCOIYs02zhKynKN_TZ04ClE" TargetMode="External"/><Relationship Id="rId11" Type="http://schemas.openxmlformats.org/officeDocument/2006/relationships/hyperlink" Target="https://fb.watch/u8hLGplqEU/" TargetMode="External"/><Relationship Id="rId24" Type="http://schemas.openxmlformats.org/officeDocument/2006/relationships/hyperlink" Target="https://drive.google.com/drive/folders/1C6QPV1jHT8txp2Agjlm3DCVjmshLz6D7" TargetMode="External"/><Relationship Id="rId32" Type="http://schemas.openxmlformats.org/officeDocument/2006/relationships/hyperlink" Target="https://docs.google.com/document/d/1pDhOz8lup-jwJFg3c1Ab91MaTke6ohlX-ggy6l5W4uw/edit?tab=t.mtuou81wdnpo" TargetMode="External"/><Relationship Id="rId37" Type="http://schemas.openxmlformats.org/officeDocument/2006/relationships/hyperlink" Target="https://docs.google.com/document/d/1KSQ3eDedxl0NtgBCM-jDkikGpIaL5oH7poTyAkgo4Rk/edit?tab=t.0" TargetMode="External"/><Relationship Id="rId40" Type="http://schemas.openxmlformats.org/officeDocument/2006/relationships/hyperlink" Target="https://www.facebook.com/share/p/15NJrHnQbw/?mibextid=K35XfP" TargetMode="External"/><Relationship Id="rId45" Type="http://schemas.openxmlformats.org/officeDocument/2006/relationships/hyperlink" Target="https://drive.google.com/drive/folders/1-nSxtNKOrHBpwn-3-Nl2upIhyARFty6m" TargetMode="External"/><Relationship Id="rId5" Type="http://schemas.openxmlformats.org/officeDocument/2006/relationships/hyperlink" Target="https://drive.google.com/drive/folders/1kFum54utWrQnt7S6cr_4AZvxneh-GAjW" TargetMode="External"/><Relationship Id="rId15" Type="http://schemas.openxmlformats.org/officeDocument/2006/relationships/hyperlink" Target="https://www.facebook.com/hocvancosuongmai/videos/1585672932360330?idorvanity=795616745807158" TargetMode="External"/><Relationship Id="rId23" Type="http://schemas.openxmlformats.org/officeDocument/2006/relationships/hyperlink" Target="https://www.facebook.com/795616745807158/videos/1307617693581111" TargetMode="External"/><Relationship Id="rId28" Type="http://schemas.openxmlformats.org/officeDocument/2006/relationships/hyperlink" Target="https://drive.google.com/drive/folders/1-flimjfOEOLefFvFYMpMTGaTU7ngfZwo" TargetMode="External"/><Relationship Id="rId36" Type="http://schemas.openxmlformats.org/officeDocument/2006/relationships/hyperlink" Target="https://drive.google.com/file/d/1OZS28J2Gt0D25RfVpJrd2mph6qsibsCV/view" TargetMode="External"/><Relationship Id="rId10" Type="http://schemas.openxmlformats.org/officeDocument/2006/relationships/hyperlink" Target="https://drive.google.com/drive/folders/1NJaJNwavUN_S9O7BzZ0TbEe0r13xX9jh" TargetMode="External"/><Relationship Id="rId19" Type="http://schemas.openxmlformats.org/officeDocument/2006/relationships/hyperlink" Target="https://drive.google.com/file/d/1XehJL-o2RcKrqWrKQzcbL3uOEmJcbgWX/view?usp=drive_link" TargetMode="External"/><Relationship Id="rId31" Type="http://schemas.openxmlformats.org/officeDocument/2006/relationships/hyperlink" Target="https://fb.watch/wmLw89kPZi/" TargetMode="External"/><Relationship Id="rId44" Type="http://schemas.openxmlformats.org/officeDocument/2006/relationships/hyperlink" Target="https://www.facebook.com/795616745807158/videos/2119499968485329?locale=vi_VN" TargetMode="External"/><Relationship Id="rId4" Type="http://schemas.openxmlformats.org/officeDocument/2006/relationships/hyperlink" Target="https://drive.google.com/drive/folders/1yl-3ZiEYJ_h3WAs1-qjM7H7ny-sQaZsl?usp=drive_link" TargetMode="External"/><Relationship Id="rId9" Type="http://schemas.openxmlformats.org/officeDocument/2006/relationships/hyperlink" Target="https://drive.google.com/drive/folders/1Wd2xM8tEvV2S04dTCc6tEMxs7-aJotWj" TargetMode="External"/><Relationship Id="rId14" Type="http://schemas.openxmlformats.org/officeDocument/2006/relationships/hyperlink" Target="https://drive.google.com/drive/folders/1Am_XHAm69iHX6CRyr7jTtMmUrLv37LBq?usp=drive_link" TargetMode="External"/><Relationship Id="rId22" Type="http://schemas.openxmlformats.org/officeDocument/2006/relationships/hyperlink" Target="https://drive.google.com/drive/folders/1MZJkprHa3rqEzhwzjh1XTIbPKqK-uD3i" TargetMode="External"/><Relationship Id="rId27" Type="http://schemas.openxmlformats.org/officeDocument/2006/relationships/hyperlink" Target="https://www.facebook.com/795616745807158/videos/1074418551143423" TargetMode="External"/><Relationship Id="rId30" Type="http://schemas.openxmlformats.org/officeDocument/2006/relationships/hyperlink" Target="https://docs.google.com/document/d/1Twdgrs8ONvwOcIU-zvNH2JvnZdwcAzV_EFU6xXKn9g8/edit?usp=sharing" TargetMode="External"/><Relationship Id="rId35" Type="http://schemas.openxmlformats.org/officeDocument/2006/relationships/hyperlink" Target="https://docs.google.com/document/d/1u2pYRSelchOgn7VafeCiT85CKBsrspJNHWC5z1Gkdwo/edit?tab=t.0" TargetMode="External"/><Relationship Id="rId43" Type="http://schemas.openxmlformats.org/officeDocument/2006/relationships/hyperlink" Target="https://drive.google.com/file/d/1S0fLboquyfhjeJIVRVyOHDwVYja9o8S-/view" TargetMode="External"/><Relationship Id="rId48" Type="http://schemas.openxmlformats.org/officeDocument/2006/relationships/hyperlink" Target="https://drive.google.com/drive/folders/1noJz6lXmSTP9xCIcYMkFzViJardgfabx" TargetMode="External"/><Relationship Id="rId8" Type="http://schemas.openxmlformats.org/officeDocument/2006/relationships/hyperlink" Target="https://drive.google.com/drive/folders/10iuMiPvXIS3HTUTjVOQQoG-xdXLBtM35" TargetMode="External"/><Relationship Id="rId3" Type="http://schemas.openxmlformats.org/officeDocument/2006/relationships/hyperlink" Target="https://drive.google.com/drive/folders/1l6CLgXX98vpEcBLlFh-8rrE6BH0qPu85" TargetMode="External"/><Relationship Id="rId12" Type="http://schemas.openxmlformats.org/officeDocument/2006/relationships/hyperlink" Target="https://drive.google.com/drive/folders/1A_fvZpbOwqbKXagVKNqD2d1BNptkFSFy?usp=sharing" TargetMode="External"/><Relationship Id="rId17" Type="http://schemas.openxmlformats.org/officeDocument/2006/relationships/hyperlink" Target="https://drive.google.com/drive/folders/1hfhRGXMqXhkGB4VfcWDWCMgVqTiTVIrM" TargetMode="External"/><Relationship Id="rId25" Type="http://schemas.openxmlformats.org/officeDocument/2006/relationships/hyperlink" Target="https://www.facebook.com/teamhocvancosuongmai/videos/461911370343240?idorvanity=795616745807158" TargetMode="External"/><Relationship Id="rId33" Type="http://schemas.openxmlformats.org/officeDocument/2006/relationships/hyperlink" Target="https://drive.google.com/file/d/1ASlPfflrrWuVXSHC7aWZETaXCIt0XYFu/view" TargetMode="External"/><Relationship Id="rId38" Type="http://schemas.openxmlformats.org/officeDocument/2006/relationships/hyperlink" Target="https://www.facebook.com/795616745807158/videos/449476171296325" TargetMode="External"/><Relationship Id="rId46" Type="http://schemas.openxmlformats.org/officeDocument/2006/relationships/hyperlink" Target="https://drive.google.com/drive/folders/19Art_MHooX7VjXZuGZIi0g68BqDjFZCJ?usp=drive_link" TargetMode="External"/><Relationship Id="rId20" Type="http://schemas.openxmlformats.org/officeDocument/2006/relationships/hyperlink" Target="https://fb.watch/v3bOC8hpIw/" TargetMode="External"/><Relationship Id="rId41" Type="http://schemas.openxmlformats.org/officeDocument/2006/relationships/hyperlink" Target="https://docs.google.com/document/d/1dVelyWUgkIGozZUwevvPEHuqCwKyfjqk9KJ9eUyfBoA/edit?tab=t.0"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rive.google.com/drive/folders/1IqPEZljjRwEEIo-RncgveHxblu0HQzUP" TargetMode="External"/><Relationship Id="rId3" Type="http://schemas.openxmlformats.org/officeDocument/2006/relationships/hyperlink" Target="https://docs.google.com/document/d/1GOVoz6VtfAYHOlz8r5ltUxabPfCFR27tQU_eJD1U0hE/edit?tab=t.0" TargetMode="External"/><Relationship Id="rId7" Type="http://schemas.openxmlformats.org/officeDocument/2006/relationships/hyperlink" Target="https://drive.google.com/file/d/1RMbVr9XYLv4lAhU6l5fX5tVGE6oV5mIP/view?usp=drive_link" TargetMode="External"/><Relationship Id="rId2" Type="http://schemas.openxmlformats.org/officeDocument/2006/relationships/hyperlink" Target="https://docs.google.com/document/d/1fB3xNq2qE_gnrgmRMmG7gF85nCqLnnLnAooyYWdunkk/edit?tab=t.0" TargetMode="External"/><Relationship Id="rId1" Type="http://schemas.openxmlformats.org/officeDocument/2006/relationships/hyperlink" Target="https://drive.google.com/file/d/1gc_zPjNAqreAI7UIsbllGkgDf93OgjFc/view?usp=drive_link" TargetMode="External"/><Relationship Id="rId6" Type="http://schemas.openxmlformats.org/officeDocument/2006/relationships/hyperlink" Target="https://drive.google.com/drive/folders/1ogzaLKbL_z-0S7HOH9PJ8cBU7y0kCM6w?usp=drive_link" TargetMode="External"/><Relationship Id="rId5" Type="http://schemas.openxmlformats.org/officeDocument/2006/relationships/hyperlink" Target="https://drive.google.com/file/d/1p5Lh6xN3wInmJkQcy_-8NAWpYN3D8Ess/view?usp=drive_link" TargetMode="External"/><Relationship Id="rId10" Type="http://schemas.openxmlformats.org/officeDocument/2006/relationships/hyperlink" Target="https://drive.google.com/file/d/1LAaBw1Jea2nA_2cXxGmi1REnSHQODopR/view?usp=drive_link" TargetMode="External"/><Relationship Id="rId4" Type="http://schemas.openxmlformats.org/officeDocument/2006/relationships/hyperlink" Target="https://docs.google.com/document/d/1MGvYQN_DhBeGKLMLTrs-ZEsbCIKoWgjvRuq6D6_3k8g/edit?tab=t.0" TargetMode="External"/><Relationship Id="rId9" Type="http://schemas.openxmlformats.org/officeDocument/2006/relationships/hyperlink" Target="https://drive.google.com/file/d/1fb1tY5v4XQxqT2AE2T7poFJeAaRefu4M/view?usp=drive_li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11053"/>
  <sheetViews>
    <sheetView workbookViewId="0"/>
  </sheetViews>
  <sheetFormatPr defaultColWidth="12.61328125" defaultRowHeight="15.75" customHeight="1"/>
  <cols>
    <col min="1" max="1" width="18.4609375" customWidth="1"/>
    <col min="2" max="2" width="19.61328125" customWidth="1"/>
    <col min="4" max="4" width="18.3828125" customWidth="1"/>
  </cols>
  <sheetData>
    <row r="1" spans="1:11" ht="15.75" customHeight="1">
      <c r="A1" s="2" t="str">
        <f ca="1">IFERROR(__xludf.DUMMYFUNCTION("IMPORTRANGE(""https://docs.google.com/spreadsheets/d/1_GUDpSKz5y5WD-ktaJNkd-BfFjSQF4Jfo0nvdYg7ULU/edit?gid=1710889248#gid=1710889248"",""2k7 khóa Live!AF:AF"")"),"Mã vận đơn")</f>
        <v>Mã vận đơn</v>
      </c>
      <c r="B1" s="2" t="str">
        <f ca="1">IFERROR(__xludf.DUMMYFUNCTION("IMPORTRANGE(""https://docs.google.com/spreadsheets/d/1_GUDpSKz5y5WD-ktaJNkd-BfFjSQF4Jfo0nvdYg7ULU/edit?gid=1710889248#gid=1710889248"",""Sách NLXH 2024 trên web!F:F"")"),"Số điện thoại")</f>
        <v>Số điện thoại</v>
      </c>
      <c r="D1" s="2" t="str">
        <f ca="1">IFERROR(__xludf.DUMMYFUNCTION("IMPORTRANGE(""https://docs.google.com/spreadsheets/d/1_GUDpSKz5y5WD-ktaJNkd-BfFjSQF4Jfo0nvdYg7ULU/edit?gid=1710889248#gid=1710889248"",""Sách NLXH 2024 trên web!AR:AR"")"),"Mã vận đơn")</f>
        <v>Mã vận đơn</v>
      </c>
      <c r="E1" s="2" t="str">
        <f ca="1">IFERROR(__xludf.DUMMYFUNCTION("IMPORTRANGE(""https://docs.google.com/spreadsheets/d/1_GUDpSKz5y5WD-ktaJNkd-BfFjSQF4Jfo0nvdYg7ULU/edit?gid=1710889248#gid=1710889248"",""Sách CL 10/10 Đọc Hiểu trên web!F:F"")"),"Số điện thoại")</f>
        <v>Số điện thoại</v>
      </c>
      <c r="G1" s="2" t="str">
        <f ca="1">IFERROR(__xludf.DUMMYFUNCTION("IMPORTRANGE(""https://docs.google.com/spreadsheets/d/1_GUDpSKz5y5WD-ktaJNkd-BfFjSQF4Jfo0nvdYg7ULU/edit?gid=1710889248#gid=1710889248"",""Sách CL 10/10 Đọc Hiểu trên web!AR:AR"")"),"Mã vận đơn")</f>
        <v>Mã vận đơn</v>
      </c>
      <c r="I1" s="2" t="str">
        <f ca="1">IFERROR(__xludf.DUMMYFUNCTION("IMPORTRANGE(""https://docs.google.com/spreadsheets/d/1_GUDpSKz5y5WD-ktaJNkd-BfFjSQF4Jfo0nvdYg7ULU/edit?gid=1710889248#gid=1710889248"",""2k7 khóa Live!C:C"")"),"Họ và tên học sinh")</f>
        <v>Họ và tên học sinh</v>
      </c>
      <c r="J1" s="3" t="str">
        <f ca="1">IFERROR(__xludf.DUMMYFUNCTION("IMPORTRANGE(""https://docs.google.com/spreadsheets/d/1_GUDpSKz5y5WD-ktaJNkd-BfFjSQF4Jfo0nvdYg7ULU/edit?gid=1710889248#gid=1710889248"",""2k7 khóa Live!D:D"")"),"Số điện thoại")</f>
        <v>Số điện thoại</v>
      </c>
      <c r="K1" s="2" t="str">
        <f ca="1">IFERROR(__xludf.DUMMYFUNCTION("IMPORTRANGE(""https://docs.google.com/spreadsheets/d/1_GUDpSKz5y5WD-ktaJNkd-BfFjSQF4Jfo0nvdYg7ULU/edit?gid=1710889248#gid=1710889248"",""2k7 khóa Live!AF:AF"")"),"Mã vận đơn")</f>
        <v>Mã vận đơn</v>
      </c>
    </row>
    <row r="2" spans="1:11" ht="15.75" customHeight="1">
      <c r="A2" s="2" t="str">
        <f ca="1">IFERROR(__xludf.DUMMYFUNCTION("""COMPUTED_VALUE"""),"1743197708318")</f>
        <v>1743197708318</v>
      </c>
      <c r="B2" s="2">
        <f ca="1">IFERROR(__xludf.DUMMYFUNCTION("""COMPUTED_VALUE"""),343496938)</f>
        <v>343496938</v>
      </c>
      <c r="C2" s="2" t="str">
        <f t="array" ref="C2:C11053" ca="1">"0"&amp;B2:B11053</f>
        <v>0343496938</v>
      </c>
      <c r="D2" s="2" t="str">
        <f ca="1">IFERROR(__xludf.DUMMYFUNCTION("""COMPUTED_VALUE"""),"1754463871888")</f>
        <v>1754463871888</v>
      </c>
      <c r="E2" s="2">
        <f ca="1">IFERROR(__xludf.DUMMYFUNCTION("""COMPUTED_VALUE"""),982765931)</f>
        <v>982765931</v>
      </c>
      <c r="F2" s="2" t="str">
        <f t="array" ref="F2:F11053" ca="1">"0"&amp;E2:E11053</f>
        <v>0982765931</v>
      </c>
      <c r="G2" s="2" t="str">
        <f ca="1">IFERROR(__xludf.DUMMYFUNCTION("""COMPUTED_VALUE"""),"1756911317273")</f>
        <v>1756911317273</v>
      </c>
      <c r="I2" s="2" t="str">
        <f ca="1">IFERROR(__xludf.DUMMYFUNCTION("""COMPUTED_VALUE"""),"Dương Hồng Ngọc ")</f>
        <v xml:space="preserve">Dương Hồng Ngọc </v>
      </c>
      <c r="J2" s="3" t="str">
        <f ca="1">IFERROR(__xludf.DUMMYFUNCTION("""COMPUTED_VALUE"""),"0964274361")</f>
        <v>0964274361</v>
      </c>
      <c r="K2" s="2" t="str">
        <f ca="1">IFERROR(__xludf.DUMMYFUNCTION("""COMPUTED_VALUE"""),"1743197708318")</f>
        <v>1743197708318</v>
      </c>
    </row>
    <row r="3" spans="1:11" ht="15.75" customHeight="1">
      <c r="A3" s="2" t="str">
        <f ca="1">IFERROR(__xludf.DUMMYFUNCTION("""COMPUTED_VALUE"""),"1743197755912")</f>
        <v>1743197755912</v>
      </c>
      <c r="B3" s="2">
        <f ca="1">IFERROR(__xludf.DUMMYFUNCTION("""COMPUTED_VALUE"""),902324036)</f>
        <v>902324036</v>
      </c>
      <c r="C3" s="2" t="str">
        <f ca="1"/>
        <v>0902324036</v>
      </c>
      <c r="D3" s="2" t="str">
        <f ca="1">IFERROR(__xludf.DUMMYFUNCTION("""COMPUTED_VALUE"""),"1754463958137")</f>
        <v>1754463958137</v>
      </c>
      <c r="E3" s="2">
        <f ca="1">IFERROR(__xludf.DUMMYFUNCTION("""COMPUTED_VALUE"""),789534692)</f>
        <v>789534692</v>
      </c>
      <c r="F3" s="2" t="str">
        <f ca="1"/>
        <v>0789534692</v>
      </c>
      <c r="G3" s="2">
        <f ca="1">IFERROR(__xludf.DUMMYFUNCTION("""COMPUTED_VALUE"""),105648808621)</f>
        <v>105648808621</v>
      </c>
      <c r="I3" s="2" t="str">
        <f ca="1">IFERROR(__xludf.DUMMYFUNCTION("""COMPUTED_VALUE"""),"Hàn Quốc Thắng")</f>
        <v>Hàn Quốc Thắng</v>
      </c>
      <c r="J3" s="3" t="str">
        <f ca="1">IFERROR(__xludf.DUMMYFUNCTION("""COMPUTED_VALUE"""),"0336071631")</f>
        <v>0336071631</v>
      </c>
      <c r="K3" s="2" t="str">
        <f ca="1">IFERROR(__xludf.DUMMYFUNCTION("""COMPUTED_VALUE"""),"1743197755912")</f>
        <v>1743197755912</v>
      </c>
    </row>
    <row r="4" spans="1:11" ht="15.75" customHeight="1">
      <c r="A4" s="2" t="str">
        <f ca="1">IFERROR(__xludf.DUMMYFUNCTION("""COMPUTED_VALUE"""),"1743197807615")</f>
        <v>1743197807615</v>
      </c>
      <c r="B4" s="2">
        <f ca="1">IFERROR(__xludf.DUMMYFUNCTION("""COMPUTED_VALUE"""),399932589)</f>
        <v>399932589</v>
      </c>
      <c r="C4" s="2" t="str">
        <f ca="1"/>
        <v>0399932589</v>
      </c>
      <c r="D4" s="2" t="str">
        <f ca="1">IFERROR(__xludf.DUMMYFUNCTION("""COMPUTED_VALUE"""),"1754464014793")</f>
        <v>1754464014793</v>
      </c>
      <c r="E4" s="2">
        <f ca="1">IFERROR(__xludf.DUMMYFUNCTION("""COMPUTED_VALUE"""),333632182)</f>
        <v>333632182</v>
      </c>
      <c r="F4" s="2" t="str">
        <f ca="1"/>
        <v>0333632182</v>
      </c>
      <c r="G4" s="2" t="str">
        <f ca="1">IFERROR(__xludf.DUMMYFUNCTION("""COMPUTED_VALUE"""),"1756911360044")</f>
        <v>1756911360044</v>
      </c>
      <c r="I4" s="2" t="str">
        <f ca="1">IFERROR(__xludf.DUMMYFUNCTION("""COMPUTED_VALUE"""),"Lê Khánh Linh ")</f>
        <v xml:space="preserve">Lê Khánh Linh </v>
      </c>
      <c r="J4" s="3" t="str">
        <f ca="1">IFERROR(__xludf.DUMMYFUNCTION("""COMPUTED_VALUE"""),"0379832007")</f>
        <v>0379832007</v>
      </c>
      <c r="K4" s="2" t="str">
        <f ca="1">IFERROR(__xludf.DUMMYFUNCTION("""COMPUTED_VALUE"""),"1743197807615")</f>
        <v>1743197807615</v>
      </c>
    </row>
    <row r="5" spans="1:11" ht="15.75" customHeight="1">
      <c r="A5" s="2" t="str">
        <f ca="1">IFERROR(__xludf.DUMMYFUNCTION("""COMPUTED_VALUE"""),"1743197843326")</f>
        <v>1743197843326</v>
      </c>
      <c r="B5" s="2">
        <f ca="1">IFERROR(__xludf.DUMMYFUNCTION("""COMPUTED_VALUE"""),339228106)</f>
        <v>339228106</v>
      </c>
      <c r="C5" s="2" t="str">
        <f ca="1"/>
        <v>0339228106</v>
      </c>
      <c r="D5" s="2" t="str">
        <f ca="1">IFERROR(__xludf.DUMMYFUNCTION("""COMPUTED_VALUE"""),"1754464065395")</f>
        <v>1754464065395</v>
      </c>
      <c r="E5" s="2">
        <f ca="1">IFERROR(__xludf.DUMMYFUNCTION("""COMPUTED_VALUE"""),987706467)</f>
        <v>987706467</v>
      </c>
      <c r="F5" s="2" t="str">
        <f ca="1"/>
        <v>0987706467</v>
      </c>
      <c r="G5" s="2" t="str">
        <f ca="1">IFERROR(__xludf.DUMMYFUNCTION("""COMPUTED_VALUE"""),"1756911401803")</f>
        <v>1756911401803</v>
      </c>
      <c r="I5" s="2" t="str">
        <f ca="1">IFERROR(__xludf.DUMMYFUNCTION("""COMPUTED_VALUE"""),"TRẦN LÝ MINH THƯ")</f>
        <v>TRẦN LÝ MINH THƯ</v>
      </c>
      <c r="J5" s="3" t="str">
        <f ca="1">IFERROR(__xludf.DUMMYFUNCTION("""COMPUTED_VALUE"""),"0898998169")</f>
        <v>0898998169</v>
      </c>
      <c r="K5" s="2" t="str">
        <f ca="1">IFERROR(__xludf.DUMMYFUNCTION("""COMPUTED_VALUE"""),"1743197843326")</f>
        <v>1743197843326</v>
      </c>
    </row>
    <row r="6" spans="1:11" ht="15.75" customHeight="1">
      <c r="A6" s="2" t="str">
        <f ca="1">IFERROR(__xludf.DUMMYFUNCTION("""COMPUTED_VALUE"""),"1743197894154")</f>
        <v>1743197894154</v>
      </c>
      <c r="B6" s="2">
        <f ca="1">IFERROR(__xludf.DUMMYFUNCTION("""COMPUTED_VALUE"""),913803098)</f>
        <v>913803098</v>
      </c>
      <c r="C6" s="2" t="str">
        <f ca="1"/>
        <v>0913803098</v>
      </c>
      <c r="D6" s="2" t="str">
        <f ca="1">IFERROR(__xludf.DUMMYFUNCTION("""COMPUTED_VALUE"""),"1754464151130")</f>
        <v>1754464151130</v>
      </c>
      <c r="E6" s="2">
        <f ca="1">IFERROR(__xludf.DUMMYFUNCTION("""COMPUTED_VALUE"""),396675499)</f>
        <v>396675499</v>
      </c>
      <c r="F6" s="2" t="str">
        <f ca="1"/>
        <v>0396675499</v>
      </c>
      <c r="G6" s="2" t="str">
        <f ca="1">IFERROR(__xludf.DUMMYFUNCTION("""COMPUTED_VALUE"""),"1756911450593")</f>
        <v>1756911450593</v>
      </c>
      <c r="I6" s="2" t="str">
        <f ca="1">IFERROR(__xludf.DUMMYFUNCTION("""COMPUTED_VALUE"""),"K255349")</f>
        <v>K255349</v>
      </c>
      <c r="J6" s="3" t="str">
        <f ca="1">IFERROR(__xludf.DUMMYFUNCTION("""COMPUTED_VALUE"""),"0773959939")</f>
        <v>0773959939</v>
      </c>
      <c r="K6" s="2" t="str">
        <f ca="1">IFERROR(__xludf.DUMMYFUNCTION("""COMPUTED_VALUE"""),"1743197894154")</f>
        <v>1743197894154</v>
      </c>
    </row>
    <row r="7" spans="1:11" ht="15.75" customHeight="1">
      <c r="A7" s="2" t="str">
        <f ca="1">IFERROR(__xludf.DUMMYFUNCTION("""COMPUTED_VALUE"""),"1743197925242")</f>
        <v>1743197925242</v>
      </c>
      <c r="B7" s="2">
        <f ca="1">IFERROR(__xludf.DUMMYFUNCTION("""COMPUTED_VALUE"""),387696253)</f>
        <v>387696253</v>
      </c>
      <c r="C7" s="2" t="str">
        <f ca="1"/>
        <v>0387696253</v>
      </c>
      <c r="D7" s="2" t="str">
        <f ca="1">IFERROR(__xludf.DUMMYFUNCTION("""COMPUTED_VALUE"""),"1754464205090")</f>
        <v>1754464205090</v>
      </c>
      <c r="E7" s="2">
        <f ca="1">IFERROR(__xludf.DUMMYFUNCTION("""COMPUTED_VALUE"""),867963527)</f>
        <v>867963527</v>
      </c>
      <c r="F7" s="2" t="str">
        <f ca="1"/>
        <v>0867963527</v>
      </c>
      <c r="G7" s="2" t="str">
        <f ca="1">IFERROR(__xludf.DUMMYFUNCTION("""COMPUTED_VALUE"""),"1756911486634")</f>
        <v>1756911486634</v>
      </c>
      <c r="I7" s="2" t="str">
        <f ca="1">IFERROR(__xludf.DUMMYFUNCTION("""COMPUTED_VALUE"""),"Lê Thành Trọng")</f>
        <v>Lê Thành Trọng</v>
      </c>
      <c r="J7" s="3" t="str">
        <f ca="1">IFERROR(__xludf.DUMMYFUNCTION("""COMPUTED_VALUE"""),"0352238164")</f>
        <v>0352238164</v>
      </c>
      <c r="K7" s="2" t="str">
        <f ca="1">IFERROR(__xludf.DUMMYFUNCTION("""COMPUTED_VALUE"""),"1743197925242")</f>
        <v>1743197925242</v>
      </c>
    </row>
    <row r="8" spans="1:11" ht="15.75" customHeight="1">
      <c r="A8" s="2" t="str">
        <f ca="1">IFERROR(__xludf.DUMMYFUNCTION("""COMPUTED_VALUE"""),"1743197952879")</f>
        <v>1743197952879</v>
      </c>
      <c r="B8" s="2">
        <f ca="1">IFERROR(__xludf.DUMMYFUNCTION("""COMPUTED_VALUE"""),383858320)</f>
        <v>383858320</v>
      </c>
      <c r="C8" s="2" t="str">
        <f ca="1"/>
        <v>0383858320</v>
      </c>
      <c r="D8" s="2" t="str">
        <f ca="1">IFERROR(__xludf.DUMMYFUNCTION("""COMPUTED_VALUE"""),"1754464266669")</f>
        <v>1754464266669</v>
      </c>
      <c r="E8" s="2">
        <f ca="1">IFERROR(__xludf.DUMMYFUNCTION("""COMPUTED_VALUE"""),817538353)</f>
        <v>817538353</v>
      </c>
      <c r="F8" s="2" t="str">
        <f ca="1"/>
        <v>0817538353</v>
      </c>
      <c r="G8" s="2" t="str">
        <f ca="1">IFERROR(__xludf.DUMMYFUNCTION("""COMPUTED_VALUE"""),"1756911523037")</f>
        <v>1756911523037</v>
      </c>
      <c r="I8" s="2" t="str">
        <f ca="1">IFERROR(__xludf.DUMMYFUNCTION("""COMPUTED_VALUE"""),"Nguyễn Thị Phương")</f>
        <v>Nguyễn Thị Phương</v>
      </c>
      <c r="J8" s="3" t="str">
        <f ca="1">IFERROR(__xludf.DUMMYFUNCTION("""COMPUTED_VALUE"""),"0354730448")</f>
        <v>0354730448</v>
      </c>
      <c r="K8" s="2" t="str">
        <f ca="1">IFERROR(__xludf.DUMMYFUNCTION("""COMPUTED_VALUE"""),"1743197952879")</f>
        <v>1743197952879</v>
      </c>
    </row>
    <row r="9" spans="1:11" ht="15.75" customHeight="1">
      <c r="A9" s="2" t="str">
        <f ca="1">IFERROR(__xludf.DUMMYFUNCTION("""COMPUTED_VALUE"""),"1743197989162")</f>
        <v>1743197989162</v>
      </c>
      <c r="B9" s="2">
        <f ca="1">IFERROR(__xludf.DUMMYFUNCTION("""COMPUTED_VALUE"""),362528308)</f>
        <v>362528308</v>
      </c>
      <c r="C9" s="2" t="str">
        <f ca="1"/>
        <v>0362528308</v>
      </c>
      <c r="D9" s="2" t="str">
        <f ca="1">IFERROR(__xludf.DUMMYFUNCTION("""COMPUTED_VALUE"""),"1754464328287")</f>
        <v>1754464328287</v>
      </c>
      <c r="E9" s="2">
        <f ca="1">IFERROR(__xludf.DUMMYFUNCTION("""COMPUTED_VALUE"""),395655487)</f>
        <v>395655487</v>
      </c>
      <c r="F9" s="2" t="str">
        <f ca="1"/>
        <v>0395655487</v>
      </c>
      <c r="G9" s="2" t="str">
        <f ca="1">IFERROR(__xludf.DUMMYFUNCTION("""COMPUTED_VALUE"""),"1756911558534")</f>
        <v>1756911558534</v>
      </c>
      <c r="I9" s="2" t="str">
        <f ca="1">IFERROR(__xludf.DUMMYFUNCTION("""COMPUTED_VALUE"""),"Phạm Thị Minh Trâm")</f>
        <v>Phạm Thị Minh Trâm</v>
      </c>
      <c r="J9" s="3" t="str">
        <f ca="1">IFERROR(__xludf.DUMMYFUNCTION("""COMPUTED_VALUE"""),"0377946564")</f>
        <v>0377946564</v>
      </c>
      <c r="K9" s="2" t="str">
        <f ca="1">IFERROR(__xludf.DUMMYFUNCTION("""COMPUTED_VALUE"""),"1743197989162")</f>
        <v>1743197989162</v>
      </c>
    </row>
    <row r="10" spans="1:11" ht="15.75" customHeight="1">
      <c r="A10" s="2" t="str">
        <f ca="1">IFERROR(__xludf.DUMMYFUNCTION("""COMPUTED_VALUE"""),"1743198018812")</f>
        <v>1743198018812</v>
      </c>
      <c r="B10" s="2">
        <f ca="1">IFERROR(__xludf.DUMMYFUNCTION("""COMPUTED_VALUE"""),345235560)</f>
        <v>345235560</v>
      </c>
      <c r="C10" s="2" t="str">
        <f ca="1"/>
        <v>0345235560</v>
      </c>
      <c r="D10" s="2" t="str">
        <f ca="1">IFERROR(__xludf.DUMMYFUNCTION("""COMPUTED_VALUE"""),"1754464403081")</f>
        <v>1754464403081</v>
      </c>
      <c r="E10" s="2">
        <f ca="1">IFERROR(__xludf.DUMMYFUNCTION("""COMPUTED_VALUE"""),939121300)</f>
        <v>939121300</v>
      </c>
      <c r="F10" s="2" t="str">
        <f ca="1"/>
        <v>0939121300</v>
      </c>
      <c r="G10" s="2" t="str">
        <f ca="1">IFERROR(__xludf.DUMMYFUNCTION("""COMPUTED_VALUE"""),"1756911590880")</f>
        <v>1756911590880</v>
      </c>
      <c r="I10" s="2" t="str">
        <f ca="1">IFERROR(__xludf.DUMMYFUNCTION("""COMPUTED_VALUE"""),"Lê Thu Hiền")</f>
        <v>Lê Thu Hiền</v>
      </c>
      <c r="J10" s="3" t="str">
        <f ca="1">IFERROR(__xludf.DUMMYFUNCTION("""COMPUTED_VALUE"""),"0355824012")</f>
        <v>0355824012</v>
      </c>
      <c r="K10" s="2" t="str">
        <f ca="1">IFERROR(__xludf.DUMMYFUNCTION("""COMPUTED_VALUE"""),"1743198018812")</f>
        <v>1743198018812</v>
      </c>
    </row>
    <row r="11" spans="1:11" ht="15.75" customHeight="1">
      <c r="A11" s="2" t="str">
        <f ca="1">IFERROR(__xludf.DUMMYFUNCTION("""COMPUTED_VALUE"""),"1743198050226")</f>
        <v>1743198050226</v>
      </c>
      <c r="B11" s="2">
        <f ca="1">IFERROR(__xludf.DUMMYFUNCTION("""COMPUTED_VALUE"""),326982850)</f>
        <v>326982850</v>
      </c>
      <c r="C11" s="2" t="str">
        <f ca="1"/>
        <v>0326982850</v>
      </c>
      <c r="D11" s="2" t="str">
        <f ca="1">IFERROR(__xludf.DUMMYFUNCTION("""COMPUTED_VALUE"""),"1754464462443")</f>
        <v>1754464462443</v>
      </c>
      <c r="E11" s="2">
        <f ca="1">IFERROR(__xludf.DUMMYFUNCTION("""COMPUTED_VALUE"""),326781742)</f>
        <v>326781742</v>
      </c>
      <c r="F11" s="2" t="str">
        <f ca="1"/>
        <v>0326781742</v>
      </c>
      <c r="G11" s="2" t="str">
        <f ca="1">IFERROR(__xludf.DUMMYFUNCTION("""COMPUTED_VALUE"""),"1756911643176")</f>
        <v>1756911643176</v>
      </c>
      <c r="I11" s="2" t="str">
        <f ca="1">IFERROR(__xludf.DUMMYFUNCTION("""COMPUTED_VALUE"""),"Trần Việt Dương")</f>
        <v>Trần Việt Dương</v>
      </c>
      <c r="J11" s="3" t="str">
        <f ca="1">IFERROR(__xludf.DUMMYFUNCTION("""COMPUTED_VALUE"""),"0372615231")</f>
        <v>0372615231</v>
      </c>
      <c r="K11" s="2" t="str">
        <f ca="1">IFERROR(__xludf.DUMMYFUNCTION("""COMPUTED_VALUE"""),"1743198050226")</f>
        <v>1743198050226</v>
      </c>
    </row>
    <row r="12" spans="1:11" ht="15.75" customHeight="1">
      <c r="A12" s="2" t="str">
        <f ca="1">IFERROR(__xludf.DUMMYFUNCTION("""COMPUTED_VALUE"""),"1743198081080")</f>
        <v>1743198081080</v>
      </c>
      <c r="B12" s="2">
        <f ca="1">IFERROR(__xludf.DUMMYFUNCTION("""COMPUTED_VALUE"""),907883232)</f>
        <v>907883232</v>
      </c>
      <c r="C12" s="2" t="str">
        <f ca="1"/>
        <v>0907883232</v>
      </c>
      <c r="D12" s="2" t="str">
        <f ca="1">IFERROR(__xludf.DUMMYFUNCTION("""COMPUTED_VALUE"""),"1754464539202")</f>
        <v>1754464539202</v>
      </c>
      <c r="E12" s="2">
        <f ca="1">IFERROR(__xludf.DUMMYFUNCTION("""COMPUTED_VALUE"""),394977542)</f>
        <v>394977542</v>
      </c>
      <c r="F12" s="2" t="str">
        <f ca="1"/>
        <v>0394977542</v>
      </c>
      <c r="G12" s="2" t="str">
        <f ca="1">IFERROR(__xludf.DUMMYFUNCTION("""COMPUTED_VALUE"""),"1756911696624")</f>
        <v>1756911696624</v>
      </c>
      <c r="I12" s="2" t="str">
        <f ca="1">IFERROR(__xludf.DUMMYFUNCTION("""COMPUTED_VALUE"""),"Vũ Nhật Minh")</f>
        <v>Vũ Nhật Minh</v>
      </c>
      <c r="J12" s="3" t="str">
        <f ca="1">IFERROR(__xludf.DUMMYFUNCTION("""COMPUTED_VALUE"""),"0989201107")</f>
        <v>0989201107</v>
      </c>
      <c r="K12" s="2" t="str">
        <f ca="1">IFERROR(__xludf.DUMMYFUNCTION("""COMPUTED_VALUE"""),"1743198081080")</f>
        <v>1743198081080</v>
      </c>
    </row>
    <row r="13" spans="1:11" ht="15.75" customHeight="1">
      <c r="A13" s="2" t="str">
        <f ca="1">IFERROR(__xludf.DUMMYFUNCTION("""COMPUTED_VALUE"""),"1743198121017")</f>
        <v>1743198121017</v>
      </c>
      <c r="B13" s="2">
        <f ca="1">IFERROR(__xludf.DUMMYFUNCTION("""COMPUTED_VALUE"""),941800219)</f>
        <v>941800219</v>
      </c>
      <c r="C13" s="2" t="str">
        <f ca="1"/>
        <v>0941800219</v>
      </c>
      <c r="D13" s="2" t="str">
        <f ca="1">IFERROR(__xludf.DUMMYFUNCTION("""COMPUTED_VALUE"""),"1754464589835")</f>
        <v>1754464589835</v>
      </c>
      <c r="E13" s="2">
        <f ca="1">IFERROR(__xludf.DUMMYFUNCTION("""COMPUTED_VALUE"""),349768705)</f>
        <v>349768705</v>
      </c>
      <c r="F13" s="2" t="str">
        <f ca="1"/>
        <v>0349768705</v>
      </c>
      <c r="G13" s="2" t="str">
        <f ca="1">IFERROR(__xludf.DUMMYFUNCTION("""COMPUTED_VALUE"""),"1756911736679")</f>
        <v>1756911736679</v>
      </c>
      <c r="I13" s="2" t="str">
        <f ca="1">IFERROR(__xludf.DUMMYFUNCTION("""COMPUTED_VALUE"""),"Trần Diệu Linh")</f>
        <v>Trần Diệu Linh</v>
      </c>
      <c r="J13" s="3" t="str">
        <f ca="1">IFERROR(__xludf.DUMMYFUNCTION("""COMPUTED_VALUE"""),"0862898651")</f>
        <v>0862898651</v>
      </c>
      <c r="K13" s="2" t="str">
        <f ca="1">IFERROR(__xludf.DUMMYFUNCTION("""COMPUTED_VALUE"""),"1743198121017")</f>
        <v>1743198121017</v>
      </c>
    </row>
    <row r="14" spans="1:11" ht="15.75" customHeight="1">
      <c r="A14" s="2" t="str">
        <f ca="1">IFERROR(__xludf.DUMMYFUNCTION("""COMPUTED_VALUE"""),"1743198167305")</f>
        <v>1743198167305</v>
      </c>
      <c r="B14" s="2">
        <f ca="1">IFERROR(__xludf.DUMMYFUNCTION("""COMPUTED_VALUE"""),986337598)</f>
        <v>986337598</v>
      </c>
      <c r="C14" s="2" t="str">
        <f ca="1"/>
        <v>0986337598</v>
      </c>
      <c r="D14" s="2" t="str">
        <f ca="1">IFERROR(__xludf.DUMMYFUNCTION("""COMPUTED_VALUE"""),"1754464624033")</f>
        <v>1754464624033</v>
      </c>
      <c r="E14" s="2">
        <f ca="1">IFERROR(__xludf.DUMMYFUNCTION("""COMPUTED_VALUE"""),362089773)</f>
        <v>362089773</v>
      </c>
      <c r="F14" s="2" t="str">
        <f ca="1"/>
        <v>0362089773</v>
      </c>
      <c r="G14" s="2" t="str">
        <f ca="1">IFERROR(__xludf.DUMMYFUNCTION("""COMPUTED_VALUE"""),"1756911773614")</f>
        <v>1756911773614</v>
      </c>
      <c r="I14" s="2" t="str">
        <f ca="1">IFERROR(__xludf.DUMMYFUNCTION("""COMPUTED_VALUE"""),"Hoàng Thanh Thảo")</f>
        <v>Hoàng Thanh Thảo</v>
      </c>
      <c r="J14" s="3" t="str">
        <f ca="1">IFERROR(__xludf.DUMMYFUNCTION("""COMPUTED_VALUE"""),"0918436589")</f>
        <v>0918436589</v>
      </c>
      <c r="K14" s="2" t="str">
        <f ca="1">IFERROR(__xludf.DUMMYFUNCTION("""COMPUTED_VALUE"""),"1743198167305")</f>
        <v>1743198167305</v>
      </c>
    </row>
    <row r="15" spans="1:11" ht="15.75" customHeight="1">
      <c r="A15" s="2" t="str">
        <f ca="1">IFERROR(__xludf.DUMMYFUNCTION("""COMPUTED_VALUE"""),"1748265737406")</f>
        <v>1748265737406</v>
      </c>
      <c r="B15" s="2">
        <f ca="1">IFERROR(__xludf.DUMMYFUNCTION("""COMPUTED_VALUE"""),772297694)</f>
        <v>772297694</v>
      </c>
      <c r="C15" s="2" t="str">
        <f ca="1"/>
        <v>0772297694</v>
      </c>
      <c r="D15" s="2" t="str">
        <f ca="1">IFERROR(__xludf.DUMMYFUNCTION("""COMPUTED_VALUE"""),"1754464677002")</f>
        <v>1754464677002</v>
      </c>
      <c r="E15" s="2">
        <f ca="1">IFERROR(__xludf.DUMMYFUNCTION("""COMPUTED_VALUE"""),329923844)</f>
        <v>329923844</v>
      </c>
      <c r="F15" s="2" t="str">
        <f ca="1"/>
        <v>0329923844</v>
      </c>
      <c r="G15" s="2" t="str">
        <f ca="1">IFERROR(__xludf.DUMMYFUNCTION("""COMPUTED_VALUE"""),"1756911807663")</f>
        <v>1756911807663</v>
      </c>
      <c r="I15" s="2" t="str">
        <f ca="1">IFERROR(__xludf.DUMMYFUNCTION("""COMPUTED_VALUE"""),"nguyễn hữu thắng")</f>
        <v>nguyễn hữu thắng</v>
      </c>
      <c r="J15" s="2" t="str">
        <f ca="1">IFERROR(__xludf.DUMMYFUNCTION("""COMPUTED_VALUE"""),"08438281507")</f>
        <v>08438281507</v>
      </c>
      <c r="K15" s="2" t="str">
        <f ca="1">IFERROR(__xludf.DUMMYFUNCTION("""COMPUTED_VALUE"""),"1748265737406")</f>
        <v>1748265737406</v>
      </c>
    </row>
    <row r="16" spans="1:11" ht="15.75" customHeight="1">
      <c r="A16" s="2" t="str">
        <f ca="1">IFERROR(__xludf.DUMMYFUNCTION("""COMPUTED_VALUE"""),"1743198251763")</f>
        <v>1743198251763</v>
      </c>
      <c r="B16" s="2">
        <f ca="1">IFERROR(__xludf.DUMMYFUNCTION("""COMPUTED_VALUE"""),372481136)</f>
        <v>372481136</v>
      </c>
      <c r="C16" s="2" t="str">
        <f ca="1"/>
        <v>0372481136</v>
      </c>
      <c r="D16" s="2" t="str">
        <f ca="1">IFERROR(__xludf.DUMMYFUNCTION("""COMPUTED_VALUE"""),"1754464714654")</f>
        <v>1754464714654</v>
      </c>
      <c r="E16" s="2">
        <f ca="1">IFERROR(__xludf.DUMMYFUNCTION("""COMPUTED_VALUE"""),968929551)</f>
        <v>968929551</v>
      </c>
      <c r="F16" s="2" t="str">
        <f ca="1"/>
        <v>0968929551</v>
      </c>
      <c r="G16" s="2" t="str">
        <f ca="1">IFERROR(__xludf.DUMMYFUNCTION("""COMPUTED_VALUE"""),"1756911842647")</f>
        <v>1756911842647</v>
      </c>
      <c r="I16" s="2" t="str">
        <f ca="1">IFERROR(__xludf.DUMMYFUNCTION("""COMPUTED_VALUE"""),"Nguyễn Khánh An")</f>
        <v>Nguyễn Khánh An</v>
      </c>
      <c r="J16" s="3" t="str">
        <f ca="1">IFERROR(__xludf.DUMMYFUNCTION("""COMPUTED_VALUE"""),"0388203507")</f>
        <v>0388203507</v>
      </c>
      <c r="K16" s="2" t="str">
        <f ca="1">IFERROR(__xludf.DUMMYFUNCTION("""COMPUTED_VALUE"""),"1743198251763")</f>
        <v>1743198251763</v>
      </c>
    </row>
    <row r="17" spans="1:11" ht="15.75" customHeight="1">
      <c r="A17" s="2" t="str">
        <f ca="1">IFERROR(__xludf.DUMMYFUNCTION("""COMPUTED_VALUE"""),"1743198291105")</f>
        <v>1743198291105</v>
      </c>
      <c r="B17" s="2">
        <f ca="1">IFERROR(__xludf.DUMMYFUNCTION("""COMPUTED_VALUE"""),356866327)</f>
        <v>356866327</v>
      </c>
      <c r="C17" s="2" t="str">
        <f ca="1"/>
        <v>0356866327</v>
      </c>
      <c r="D17" s="2" t="str">
        <f ca="1">IFERROR(__xludf.DUMMYFUNCTION("""COMPUTED_VALUE"""),"1754464776169")</f>
        <v>1754464776169</v>
      </c>
      <c r="E17" s="2">
        <f ca="1">IFERROR(__xludf.DUMMYFUNCTION("""COMPUTED_VALUE"""),332718980)</f>
        <v>332718980</v>
      </c>
      <c r="F17" s="2" t="str">
        <f ca="1"/>
        <v>0332718980</v>
      </c>
      <c r="G17" s="2" t="str">
        <f ca="1">IFERROR(__xludf.DUMMYFUNCTION("""COMPUTED_VALUE"""),"1756911881027")</f>
        <v>1756911881027</v>
      </c>
      <c r="I17" s="2" t="str">
        <f ca="1">IFERROR(__xludf.DUMMYFUNCTION("""COMPUTED_VALUE"""),"Trần Quỳnh Chi")</f>
        <v>Trần Quỳnh Chi</v>
      </c>
      <c r="J17" s="3" t="str">
        <f ca="1">IFERROR(__xludf.DUMMYFUNCTION("""COMPUTED_VALUE"""),"0384277835")</f>
        <v>0384277835</v>
      </c>
      <c r="K17" s="2" t="str">
        <f ca="1">IFERROR(__xludf.DUMMYFUNCTION("""COMPUTED_VALUE"""),"1743198291105")</f>
        <v>1743198291105</v>
      </c>
    </row>
    <row r="18" spans="1:11" ht="15.75" customHeight="1">
      <c r="A18" s="2" t="str">
        <f ca="1">IFERROR(__xludf.DUMMYFUNCTION("""COMPUTED_VALUE"""),"1743198424554")</f>
        <v>1743198424554</v>
      </c>
      <c r="B18" s="2">
        <f ca="1">IFERROR(__xludf.DUMMYFUNCTION("""COMPUTED_VALUE"""),965771062)</f>
        <v>965771062</v>
      </c>
      <c r="C18" s="2" t="str">
        <f ca="1"/>
        <v>0965771062</v>
      </c>
      <c r="D18" s="2" t="str">
        <f ca="1">IFERROR(__xludf.DUMMYFUNCTION("""COMPUTED_VALUE"""),"1754464810257")</f>
        <v>1754464810257</v>
      </c>
      <c r="E18" s="2">
        <f ca="1">IFERROR(__xludf.DUMMYFUNCTION("""COMPUTED_VALUE"""),336502870)</f>
        <v>336502870</v>
      </c>
      <c r="F18" s="2" t="str">
        <f ca="1"/>
        <v>0336502870</v>
      </c>
      <c r="G18" s="2" t="str">
        <f ca="1">IFERROR(__xludf.DUMMYFUNCTION("""COMPUTED_VALUE"""),"1756911916181")</f>
        <v>1756911916181</v>
      </c>
      <c r="I18" s="2" t="str">
        <f ca="1">IFERROR(__xludf.DUMMYFUNCTION("""COMPUTED_VALUE"""),"Nguyễn Ngọc Minh Hiếu")</f>
        <v>Nguyễn Ngọc Minh Hiếu</v>
      </c>
      <c r="J18" s="3" t="str">
        <f ca="1">IFERROR(__xludf.DUMMYFUNCTION("""COMPUTED_VALUE"""),"0967928273")</f>
        <v>0967928273</v>
      </c>
      <c r="K18" s="2" t="str">
        <f ca="1">IFERROR(__xludf.DUMMYFUNCTION("""COMPUTED_VALUE"""),"1743198424554")</f>
        <v>1743198424554</v>
      </c>
    </row>
    <row r="19" spans="1:11" ht="15.75" customHeight="1">
      <c r="A19" s="2" t="str">
        <f ca="1">IFERROR(__xludf.DUMMYFUNCTION("""COMPUTED_VALUE"""),"1743198450993")</f>
        <v>1743198450993</v>
      </c>
      <c r="B19" s="2">
        <f ca="1">IFERROR(__xludf.DUMMYFUNCTION("""COMPUTED_VALUE"""),819599819)</f>
        <v>819599819</v>
      </c>
      <c r="C19" s="2" t="str">
        <f ca="1"/>
        <v>0819599819</v>
      </c>
      <c r="D19" s="2">
        <f ca="1">IFERROR(__xludf.DUMMYFUNCTION("""COMPUTED_VALUE"""),1755998431526)</f>
        <v>1755998431526</v>
      </c>
      <c r="E19" s="2">
        <f ca="1">IFERROR(__xludf.DUMMYFUNCTION("""COMPUTED_VALUE"""),375895845)</f>
        <v>375895845</v>
      </c>
      <c r="F19" s="2" t="str">
        <f ca="1"/>
        <v>0375895845</v>
      </c>
      <c r="G19" s="2" t="str">
        <f ca="1">IFERROR(__xludf.DUMMYFUNCTION("""COMPUTED_VALUE"""),"1756911961801")</f>
        <v>1756911961801</v>
      </c>
      <c r="I19" s="2" t="str">
        <f ca="1">IFERROR(__xludf.DUMMYFUNCTION("""COMPUTED_VALUE"""),"Lê Thanh Tâm")</f>
        <v>Lê Thanh Tâm</v>
      </c>
      <c r="J19" s="3" t="str">
        <f ca="1">IFERROR(__xludf.DUMMYFUNCTION("""COMPUTED_VALUE"""),"0972519385")</f>
        <v>0972519385</v>
      </c>
      <c r="K19" s="2" t="str">
        <f ca="1">IFERROR(__xludf.DUMMYFUNCTION("""COMPUTED_VALUE"""),"1743198450993")</f>
        <v>1743198450993</v>
      </c>
    </row>
    <row r="20" spans="1:11" ht="15.75" customHeight="1">
      <c r="A20" s="2" t="str">
        <f ca="1">IFERROR(__xludf.DUMMYFUNCTION("""COMPUTED_VALUE"""),"1738939699422")</f>
        <v>1738939699422</v>
      </c>
      <c r="B20" s="2">
        <f ca="1">IFERROR(__xludf.DUMMYFUNCTION("""COMPUTED_VALUE"""),817894588)</f>
        <v>817894588</v>
      </c>
      <c r="C20" s="2" t="str">
        <f ca="1"/>
        <v>0817894588</v>
      </c>
      <c r="D20" s="2" t="str">
        <f ca="1">IFERROR(__xludf.DUMMYFUNCTION("""COMPUTED_VALUE"""),"1754464848744")</f>
        <v>1754464848744</v>
      </c>
      <c r="E20" s="2">
        <f ca="1">IFERROR(__xludf.DUMMYFUNCTION("""COMPUTED_VALUE"""),345938288)</f>
        <v>345938288</v>
      </c>
      <c r="F20" s="2" t="str">
        <f ca="1"/>
        <v>0345938288</v>
      </c>
      <c r="G20" s="2" t="str">
        <f ca="1">IFERROR(__xludf.DUMMYFUNCTION("""COMPUTED_VALUE"""),"1756912007715")</f>
        <v>1756912007715</v>
      </c>
      <c r="I20" s="2" t="str">
        <f ca="1">IFERROR(__xludf.DUMMYFUNCTION("""COMPUTED_VALUE"""),"Nguyễn Trung Kiên")</f>
        <v>Nguyễn Trung Kiên</v>
      </c>
      <c r="J20" s="3" t="str">
        <f ca="1">IFERROR(__xludf.DUMMYFUNCTION("""COMPUTED_VALUE"""),"0839920007")</f>
        <v>0839920007</v>
      </c>
      <c r="K20" s="2" t="str">
        <f ca="1">IFERROR(__xludf.DUMMYFUNCTION("""COMPUTED_VALUE"""),"1738939699422")</f>
        <v>1738939699422</v>
      </c>
    </row>
    <row r="21" spans="1:11" ht="15.75" customHeight="1">
      <c r="A21" s="2" t="str">
        <f ca="1">IFERROR(__xludf.DUMMYFUNCTION("""COMPUTED_VALUE"""),"1743198483777")</f>
        <v>1743198483777</v>
      </c>
      <c r="B21" s="2">
        <f ca="1">IFERROR(__xludf.DUMMYFUNCTION("""COMPUTED_VALUE"""),768070107)</f>
        <v>768070107</v>
      </c>
      <c r="C21" s="2" t="str">
        <f ca="1"/>
        <v>0768070107</v>
      </c>
      <c r="D21" s="2" t="str">
        <f ca="1">IFERROR(__xludf.DUMMYFUNCTION("""COMPUTED_VALUE"""),"1754464882201")</f>
        <v>1754464882201</v>
      </c>
      <c r="E21" s="2">
        <f ca="1">IFERROR(__xludf.DUMMYFUNCTION("""COMPUTED_VALUE"""),345528776)</f>
        <v>345528776</v>
      </c>
      <c r="F21" s="2" t="str">
        <f ca="1"/>
        <v>0345528776</v>
      </c>
      <c r="G21" s="2" t="str">
        <f ca="1">IFERROR(__xludf.DUMMYFUNCTION("""COMPUTED_VALUE"""),"1756912247536")</f>
        <v>1756912247536</v>
      </c>
      <c r="I21" s="2" t="str">
        <f ca="1">IFERROR(__xludf.DUMMYFUNCTION("""COMPUTED_VALUE"""),"Lưu Vũ Huyền Trang ")</f>
        <v xml:space="preserve">Lưu Vũ Huyền Trang </v>
      </c>
      <c r="J21" s="3" t="str">
        <f ca="1">IFERROR(__xludf.DUMMYFUNCTION("""COMPUTED_VALUE"""),"0383189349")</f>
        <v>0383189349</v>
      </c>
      <c r="K21" s="2" t="str">
        <f ca="1">IFERROR(__xludf.DUMMYFUNCTION("""COMPUTED_VALUE"""),"1743198483777")</f>
        <v>1743198483777</v>
      </c>
    </row>
    <row r="22" spans="1:11" ht="15.75" customHeight="1">
      <c r="A22" s="2" t="str">
        <f ca="1">IFERROR(__xludf.DUMMYFUNCTION("""COMPUTED_VALUE"""),"1743198511026")</f>
        <v>1743198511026</v>
      </c>
      <c r="B22" s="2">
        <f ca="1">IFERROR(__xludf.DUMMYFUNCTION("""COMPUTED_VALUE"""),798049299)</f>
        <v>798049299</v>
      </c>
      <c r="C22" s="2" t="str">
        <f ca="1"/>
        <v>0798049299</v>
      </c>
      <c r="D22" s="2" t="str">
        <f ca="1">IFERROR(__xludf.DUMMYFUNCTION("""COMPUTED_VALUE"""),"1754464918631")</f>
        <v>1754464918631</v>
      </c>
      <c r="E22" s="2">
        <f ca="1">IFERROR(__xludf.DUMMYFUNCTION("""COMPUTED_VALUE"""),362528308)</f>
        <v>362528308</v>
      </c>
      <c r="F22" s="2" t="str">
        <f ca="1"/>
        <v>0362528308</v>
      </c>
      <c r="G22" s="2" t="str">
        <f ca="1">IFERROR(__xludf.DUMMYFUNCTION("""COMPUTED_VALUE"""),"1756912287136")</f>
        <v>1756912287136</v>
      </c>
      <c r="I22" s="2" t="str">
        <f ca="1">IFERROR(__xludf.DUMMYFUNCTION("""COMPUTED_VALUE"""),"Nguyễn Thanh Vân")</f>
        <v>Nguyễn Thanh Vân</v>
      </c>
      <c r="J22" s="3" t="str">
        <f ca="1">IFERROR(__xludf.DUMMYFUNCTION("""COMPUTED_VALUE"""),"0974818509")</f>
        <v>0974818509</v>
      </c>
      <c r="K22" s="2" t="str">
        <f ca="1">IFERROR(__xludf.DUMMYFUNCTION("""COMPUTED_VALUE"""),"1743198511026")</f>
        <v>1743198511026</v>
      </c>
    </row>
    <row r="23" spans="1:11" ht="15.75" customHeight="1">
      <c r="A23" s="2" t="str">
        <f ca="1">IFERROR(__xludf.DUMMYFUNCTION("""COMPUTED_VALUE"""),"1743198542434")</f>
        <v>1743198542434</v>
      </c>
      <c r="B23" s="2">
        <f ca="1">IFERROR(__xludf.DUMMYFUNCTION("""COMPUTED_VALUE"""),343486259)</f>
        <v>343486259</v>
      </c>
      <c r="C23" s="2" t="str">
        <f ca="1"/>
        <v>0343486259</v>
      </c>
      <c r="D23" s="2" t="str">
        <f ca="1">IFERROR(__xludf.DUMMYFUNCTION("""COMPUTED_VALUE"""),"1754464965856")</f>
        <v>1754464965856</v>
      </c>
      <c r="E23" s="2">
        <f ca="1">IFERROR(__xludf.DUMMYFUNCTION("""COMPUTED_VALUE"""),336162072)</f>
        <v>336162072</v>
      </c>
      <c r="F23" s="2" t="str">
        <f ca="1"/>
        <v>0336162072</v>
      </c>
      <c r="G23" s="2" t="str">
        <f ca="1">IFERROR(__xludf.DUMMYFUNCTION("""COMPUTED_VALUE"""),"1756928200445")</f>
        <v>1756928200445</v>
      </c>
      <c r="I23" s="2" t="str">
        <f ca="1">IFERROR(__xludf.DUMMYFUNCTION("""COMPUTED_VALUE"""),"Đặng Thị Mai Anh")</f>
        <v>Đặng Thị Mai Anh</v>
      </c>
      <c r="J23" s="3" t="str">
        <f ca="1">IFERROR(__xludf.DUMMYFUNCTION("""COMPUTED_VALUE"""),"0364908872")</f>
        <v>0364908872</v>
      </c>
      <c r="K23" s="2" t="str">
        <f ca="1">IFERROR(__xludf.DUMMYFUNCTION("""COMPUTED_VALUE"""),"1743198542434")</f>
        <v>1743198542434</v>
      </c>
    </row>
    <row r="24" spans="1:11" ht="15.75" customHeight="1">
      <c r="A24" s="2" t="str">
        <f ca="1">IFERROR(__xludf.DUMMYFUNCTION("""COMPUTED_VALUE"""),"1743198576436")</f>
        <v>1743198576436</v>
      </c>
      <c r="B24" s="2">
        <f ca="1">IFERROR(__xludf.DUMMYFUNCTION("""COMPUTED_VALUE"""),988844358)</f>
        <v>988844358</v>
      </c>
      <c r="C24" s="2" t="str">
        <f ca="1"/>
        <v>0988844358</v>
      </c>
      <c r="D24" s="2" t="str">
        <f ca="1">IFERROR(__xludf.DUMMYFUNCTION("""COMPUTED_VALUE"""),"1754465015326")</f>
        <v>1754465015326</v>
      </c>
      <c r="E24" s="2">
        <f ca="1">IFERROR(__xludf.DUMMYFUNCTION("""COMPUTED_VALUE"""),379826507)</f>
        <v>379826507</v>
      </c>
      <c r="F24" s="2" t="str">
        <f ca="1"/>
        <v>0379826507</v>
      </c>
      <c r="G24" s="2" t="str">
        <f ca="1">IFERROR(__xludf.DUMMYFUNCTION("""COMPUTED_VALUE"""),"1756912353349")</f>
        <v>1756912353349</v>
      </c>
      <c r="I24" s="2" t="str">
        <f ca="1">IFERROR(__xludf.DUMMYFUNCTION("""COMPUTED_VALUE"""),"Nguyễn Phương Trà ")</f>
        <v xml:space="preserve">Nguyễn Phương Trà </v>
      </c>
      <c r="J24" s="3" t="str">
        <f ca="1">IFERROR(__xludf.DUMMYFUNCTION("""COMPUTED_VALUE"""),"0334159576")</f>
        <v>0334159576</v>
      </c>
      <c r="K24" s="2" t="str">
        <f ca="1">IFERROR(__xludf.DUMMYFUNCTION("""COMPUTED_VALUE"""),"1743198576436")</f>
        <v>1743198576436</v>
      </c>
    </row>
    <row r="25" spans="1:11" ht="15.75" customHeight="1">
      <c r="A25" s="2" t="str">
        <f ca="1">IFERROR(__xludf.DUMMYFUNCTION("""COMPUTED_VALUE"""),"1743198604322")</f>
        <v>1743198604322</v>
      </c>
      <c r="B25" s="2">
        <f ca="1">IFERROR(__xludf.DUMMYFUNCTION("""COMPUTED_VALUE"""),817254935)</f>
        <v>817254935</v>
      </c>
      <c r="C25" s="2" t="str">
        <f ca="1"/>
        <v>0817254935</v>
      </c>
      <c r="D25" s="2" t="str">
        <f ca="1">IFERROR(__xludf.DUMMYFUNCTION("""COMPUTED_VALUE"""),"1754465058834")</f>
        <v>1754465058834</v>
      </c>
      <c r="E25" s="2">
        <f ca="1">IFERROR(__xludf.DUMMYFUNCTION("""COMPUTED_VALUE"""),852733986)</f>
        <v>852733986</v>
      </c>
      <c r="F25" s="2" t="str">
        <f ca="1"/>
        <v>0852733986</v>
      </c>
      <c r="G25" s="2" t="str">
        <f ca="1">IFERROR(__xludf.DUMMYFUNCTION("""COMPUTED_VALUE"""),"1756912394315")</f>
        <v>1756912394315</v>
      </c>
      <c r="I25" s="2" t="str">
        <f ca="1">IFERROR(__xludf.DUMMYFUNCTION("""COMPUTED_VALUE"""),"Bùi Cẩm Nhung")</f>
        <v>Bùi Cẩm Nhung</v>
      </c>
      <c r="J25" s="3" t="str">
        <f ca="1">IFERROR(__xludf.DUMMYFUNCTION("""COMPUTED_VALUE"""),"0889569564")</f>
        <v>0889569564</v>
      </c>
      <c r="K25" s="2" t="str">
        <f ca="1">IFERROR(__xludf.DUMMYFUNCTION("""COMPUTED_VALUE"""),"1743198604322")</f>
        <v>1743198604322</v>
      </c>
    </row>
    <row r="26" spans="1:11" ht="15.75" customHeight="1">
      <c r="A26" s="2" t="str">
        <f ca="1">IFERROR(__xludf.DUMMYFUNCTION("""COMPUTED_VALUE"""),"1743198635385")</f>
        <v>1743198635385</v>
      </c>
      <c r="B26" s="2">
        <f ca="1">IFERROR(__xludf.DUMMYFUNCTION("""COMPUTED_VALUE"""),976667254)</f>
        <v>976667254</v>
      </c>
      <c r="C26" s="2" t="str">
        <f ca="1"/>
        <v>0976667254</v>
      </c>
      <c r="D26" s="2" t="str">
        <f ca="1">IFERROR(__xludf.DUMMYFUNCTION("""COMPUTED_VALUE"""),"1754465098222")</f>
        <v>1754465098222</v>
      </c>
      <c r="E26" s="2">
        <f ca="1">IFERROR(__xludf.DUMMYFUNCTION("""COMPUTED_VALUE"""),399945883)</f>
        <v>399945883</v>
      </c>
      <c r="F26" s="2" t="str">
        <f ca="1"/>
        <v>0399945883</v>
      </c>
      <c r="G26" s="2" t="str">
        <f ca="1">IFERROR(__xludf.DUMMYFUNCTION("""COMPUTED_VALUE"""),"1756912427947")</f>
        <v>1756912427947</v>
      </c>
      <c r="I26" s="2" t="str">
        <f ca="1">IFERROR(__xludf.DUMMYFUNCTION("""COMPUTED_VALUE"""),"Vũ Thị Phương Thùy")</f>
        <v>Vũ Thị Phương Thùy</v>
      </c>
      <c r="J26" s="3" t="str">
        <f ca="1">IFERROR(__xludf.DUMMYFUNCTION("""COMPUTED_VALUE"""),"0379826507")</f>
        <v>0379826507</v>
      </c>
      <c r="K26" s="2" t="str">
        <f ca="1">IFERROR(__xludf.DUMMYFUNCTION("""COMPUTED_VALUE"""),"1743198635385")</f>
        <v>1743198635385</v>
      </c>
    </row>
    <row r="27" spans="1:11" ht="15.75" customHeight="1">
      <c r="A27" s="2" t="str">
        <f ca="1">IFERROR(__xludf.DUMMYFUNCTION("""COMPUTED_VALUE"""),"1743198661561")</f>
        <v>1743198661561</v>
      </c>
      <c r="B27" s="2">
        <f ca="1">IFERROR(__xludf.DUMMYFUNCTION("""COMPUTED_VALUE"""),366912690)</f>
        <v>366912690</v>
      </c>
      <c r="C27" s="2" t="str">
        <f ca="1"/>
        <v>0366912690</v>
      </c>
      <c r="D27" s="2" t="str">
        <f ca="1">IFERROR(__xludf.DUMMYFUNCTION("""COMPUTED_VALUE"""),"1754465151358")</f>
        <v>1754465151358</v>
      </c>
      <c r="E27" s="2">
        <f ca="1">IFERROR(__xludf.DUMMYFUNCTION("""COMPUTED_VALUE"""),941399242)</f>
        <v>941399242</v>
      </c>
      <c r="F27" s="2" t="str">
        <f ca="1"/>
        <v>0941399242</v>
      </c>
      <c r="G27" s="2" t="str">
        <f ca="1">IFERROR(__xludf.DUMMYFUNCTION("""COMPUTED_VALUE"""),"1756912468136")</f>
        <v>1756912468136</v>
      </c>
      <c r="I27" s="2" t="str">
        <f ca="1">IFERROR(__xludf.DUMMYFUNCTION("""COMPUTED_VALUE"""),"Nguyễn Yến Nhi")</f>
        <v>Nguyễn Yến Nhi</v>
      </c>
      <c r="J27" s="3" t="str">
        <f ca="1">IFERROR(__xludf.DUMMYFUNCTION("""COMPUTED_VALUE"""),"0334532339")</f>
        <v>0334532339</v>
      </c>
      <c r="K27" s="2" t="str">
        <f ca="1">IFERROR(__xludf.DUMMYFUNCTION("""COMPUTED_VALUE"""),"1743198661561")</f>
        <v>1743198661561</v>
      </c>
    </row>
    <row r="28" spans="1:11" ht="15.75" customHeight="1">
      <c r="A28" s="2" t="str">
        <f ca="1">IFERROR(__xludf.DUMMYFUNCTION("""COMPUTED_VALUE"""),"1743198692309")</f>
        <v>1743198692309</v>
      </c>
      <c r="B28" s="2">
        <f ca="1">IFERROR(__xludf.DUMMYFUNCTION("""COMPUTED_VALUE"""),846899447)</f>
        <v>846899447</v>
      </c>
      <c r="C28" s="2" t="str">
        <f ca="1"/>
        <v>0846899447</v>
      </c>
      <c r="D28" s="2" t="str">
        <f ca="1">IFERROR(__xludf.DUMMYFUNCTION("""COMPUTED_VALUE"""),"1754465193320")</f>
        <v>1754465193320</v>
      </c>
      <c r="E28" s="2">
        <f ca="1">IFERROR(__xludf.DUMMYFUNCTION("""COMPUTED_VALUE"""),973013641)</f>
        <v>973013641</v>
      </c>
      <c r="F28" s="2" t="str">
        <f ca="1"/>
        <v>0973013641</v>
      </c>
      <c r="G28" s="2" t="str">
        <f ca="1">IFERROR(__xludf.DUMMYFUNCTION("""COMPUTED_VALUE"""),"1756912503137")</f>
        <v>1756912503137</v>
      </c>
      <c r="I28" s="2" t="str">
        <f ca="1">IFERROR(__xludf.DUMMYFUNCTION("""COMPUTED_VALUE"""),"Trần Dương Bảo Châu")</f>
        <v>Trần Dương Bảo Châu</v>
      </c>
      <c r="J28" s="3" t="str">
        <f ca="1">IFERROR(__xludf.DUMMYFUNCTION("""COMPUTED_VALUE"""),"0817528279")</f>
        <v>0817528279</v>
      </c>
      <c r="K28" s="2" t="str">
        <f ca="1">IFERROR(__xludf.DUMMYFUNCTION("""COMPUTED_VALUE"""),"1743198692309")</f>
        <v>1743198692309</v>
      </c>
    </row>
    <row r="29" spans="1:11" ht="15.75" customHeight="1">
      <c r="A29" s="2" t="str">
        <f ca="1">IFERROR(__xludf.DUMMYFUNCTION("""COMPUTED_VALUE"""),"1743198732088")</f>
        <v>1743198732088</v>
      </c>
      <c r="B29" s="2">
        <f ca="1">IFERROR(__xludf.DUMMYFUNCTION("""COMPUTED_VALUE"""),788070643)</f>
        <v>788070643</v>
      </c>
      <c r="C29" s="2" t="str">
        <f ca="1"/>
        <v>0788070643</v>
      </c>
      <c r="D29" s="2" t="str">
        <f ca="1">IFERROR(__xludf.DUMMYFUNCTION("""COMPUTED_VALUE"""),"1754465243503")</f>
        <v>1754465243503</v>
      </c>
      <c r="E29" s="2">
        <f ca="1">IFERROR(__xludf.DUMMYFUNCTION("""COMPUTED_VALUE"""),386859462)</f>
        <v>386859462</v>
      </c>
      <c r="F29" s="2" t="str">
        <f ca="1"/>
        <v>0386859462</v>
      </c>
      <c r="G29" s="2" t="str">
        <f ca="1">IFERROR(__xludf.DUMMYFUNCTION("""COMPUTED_VALUE"""),"1756912541309")</f>
        <v>1756912541309</v>
      </c>
      <c r="I29" s="2" t="str">
        <f ca="1">IFERROR(__xludf.DUMMYFUNCTION("""COMPUTED_VALUE"""),"Nguyễn Thị Trà My")</f>
        <v>Nguyễn Thị Trà My</v>
      </c>
      <c r="J29" s="3" t="str">
        <f ca="1">IFERROR(__xludf.DUMMYFUNCTION("""COMPUTED_VALUE"""),"0989246867")</f>
        <v>0989246867</v>
      </c>
      <c r="K29" s="2" t="str">
        <f ca="1">IFERROR(__xludf.DUMMYFUNCTION("""COMPUTED_VALUE"""),"1743198732088")</f>
        <v>1743198732088</v>
      </c>
    </row>
    <row r="30" spans="1:11" ht="15.75" customHeight="1">
      <c r="A30" s="2" t="str">
        <f ca="1">IFERROR(__xludf.DUMMYFUNCTION("""COMPUTED_VALUE"""),"1743198761457")</f>
        <v>1743198761457</v>
      </c>
      <c r="B30" s="2">
        <f ca="1">IFERROR(__xludf.DUMMYFUNCTION("""COMPUTED_VALUE"""),705935247)</f>
        <v>705935247</v>
      </c>
      <c r="C30" s="2" t="str">
        <f ca="1"/>
        <v>0705935247</v>
      </c>
      <c r="D30" s="2">
        <f ca="1">IFERROR(__xludf.DUMMYFUNCTION("""COMPUTED_VALUE"""),1755998476231)</f>
        <v>1755998476231</v>
      </c>
      <c r="E30" s="2">
        <f ca="1">IFERROR(__xludf.DUMMYFUNCTION("""COMPUTED_VALUE"""),393506066)</f>
        <v>393506066</v>
      </c>
      <c r="F30" s="2" t="str">
        <f ca="1"/>
        <v>0393506066</v>
      </c>
      <c r="G30" s="2" t="str">
        <f ca="1">IFERROR(__xludf.DUMMYFUNCTION("""COMPUTED_VALUE"""),"1756912588088")</f>
        <v>1756912588088</v>
      </c>
      <c r="I30" s="2" t="str">
        <f ca="1">IFERROR(__xludf.DUMMYFUNCTION("""COMPUTED_VALUE"""),"Trần Hương Giang ")</f>
        <v xml:space="preserve">Trần Hương Giang </v>
      </c>
      <c r="J30" s="3" t="str">
        <f ca="1">IFERROR(__xludf.DUMMYFUNCTION("""COMPUTED_VALUE"""),"0903320715")</f>
        <v>0903320715</v>
      </c>
      <c r="K30" s="2" t="str">
        <f ca="1">IFERROR(__xludf.DUMMYFUNCTION("""COMPUTED_VALUE"""),"1743198761457")</f>
        <v>1743198761457</v>
      </c>
    </row>
    <row r="31" spans="1:11" ht="15.75" customHeight="1">
      <c r="A31" s="2" t="str">
        <f ca="1">IFERROR(__xludf.DUMMYFUNCTION("""COMPUTED_VALUE"""),"1743198791289")</f>
        <v>1743198791289</v>
      </c>
      <c r="B31" s="2">
        <f ca="1">IFERROR(__xludf.DUMMYFUNCTION("""COMPUTED_VALUE"""),325677629)</f>
        <v>325677629</v>
      </c>
      <c r="C31" s="2" t="str">
        <f ca="1"/>
        <v>0325677629</v>
      </c>
      <c r="D31" s="2" t="str">
        <f ca="1">IFERROR(__xludf.DUMMYFUNCTION("""COMPUTED_VALUE"""),"1754465285184")</f>
        <v>1754465285184</v>
      </c>
      <c r="E31" s="2">
        <f ca="1">IFERROR(__xludf.DUMMYFUNCTION("""COMPUTED_VALUE"""),842639877)</f>
        <v>842639877</v>
      </c>
      <c r="F31" s="2" t="str">
        <f ca="1"/>
        <v>0842639877</v>
      </c>
      <c r="G31" s="2" t="str">
        <f ca="1">IFERROR(__xludf.DUMMYFUNCTION("""COMPUTED_VALUE"""),"1756912636399")</f>
        <v>1756912636399</v>
      </c>
      <c r="I31" s="2" t="str">
        <f ca="1">IFERROR(__xludf.DUMMYFUNCTION("""COMPUTED_VALUE"""),"Đinh Ngọc Bảo Khanh")</f>
        <v>Đinh Ngọc Bảo Khanh</v>
      </c>
      <c r="J31" s="3" t="str">
        <f ca="1">IFERROR(__xludf.DUMMYFUNCTION("""COMPUTED_VALUE"""),"0352285146")</f>
        <v>0352285146</v>
      </c>
      <c r="K31" s="2" t="str">
        <f ca="1">IFERROR(__xludf.DUMMYFUNCTION("""COMPUTED_VALUE"""),"1743198791289")</f>
        <v>1743198791289</v>
      </c>
    </row>
    <row r="32" spans="1:11" ht="15.75" customHeight="1">
      <c r="A32" s="2" t="str">
        <f ca="1">IFERROR(__xludf.DUMMYFUNCTION("""COMPUTED_VALUE"""),"1743198827951")</f>
        <v>1743198827951</v>
      </c>
      <c r="B32" s="2">
        <f ca="1">IFERROR(__xludf.DUMMYFUNCTION("""COMPUTED_VALUE"""),357913677)</f>
        <v>357913677</v>
      </c>
      <c r="C32" s="2" t="str">
        <f ca="1"/>
        <v>0357913677</v>
      </c>
      <c r="D32" s="2" t="str">
        <f ca="1">IFERROR(__xludf.DUMMYFUNCTION("""COMPUTED_VALUE"""),"1754465337707")</f>
        <v>1754465337707</v>
      </c>
      <c r="E32" s="2">
        <f ca="1">IFERROR(__xludf.DUMMYFUNCTION("""COMPUTED_VALUE"""),946460398)</f>
        <v>946460398</v>
      </c>
      <c r="F32" s="2" t="str">
        <f ca="1"/>
        <v>0946460398</v>
      </c>
      <c r="G32" s="2" t="str">
        <f ca="1">IFERROR(__xludf.DUMMYFUNCTION("""COMPUTED_VALUE"""),"1756912672669")</f>
        <v>1756912672669</v>
      </c>
      <c r="I32" s="2" t="str">
        <f ca="1">IFERROR(__xludf.DUMMYFUNCTION("""COMPUTED_VALUE"""),"Bùi Thị Thuỳ Dương")</f>
        <v>Bùi Thị Thuỳ Dương</v>
      </c>
      <c r="J32" s="3" t="str">
        <f ca="1">IFERROR(__xludf.DUMMYFUNCTION("""COMPUTED_VALUE"""),"0852821668")</f>
        <v>0852821668</v>
      </c>
      <c r="K32" s="2" t="str">
        <f ca="1">IFERROR(__xludf.DUMMYFUNCTION("""COMPUTED_VALUE"""),"1743198827951")</f>
        <v>1743198827951</v>
      </c>
    </row>
    <row r="33" spans="1:11" ht="15.75" customHeight="1">
      <c r="A33" s="2" t="str">
        <f ca="1">IFERROR(__xludf.DUMMYFUNCTION("""COMPUTED_VALUE"""),"1743198861425")</f>
        <v>1743198861425</v>
      </c>
      <c r="B33" s="2">
        <f ca="1">IFERROR(__xludf.DUMMYFUNCTION("""COMPUTED_VALUE"""),862312788)</f>
        <v>862312788</v>
      </c>
      <c r="C33" s="2" t="str">
        <f ca="1"/>
        <v>0862312788</v>
      </c>
      <c r="D33" s="2" t="str">
        <f ca="1">IFERROR(__xludf.DUMMYFUNCTION("""COMPUTED_VALUE"""),"1754465385017")</f>
        <v>1754465385017</v>
      </c>
      <c r="E33" s="2">
        <f ca="1">IFERROR(__xludf.DUMMYFUNCTION("""COMPUTED_VALUE"""),912694110)</f>
        <v>912694110</v>
      </c>
      <c r="F33" s="2" t="str">
        <f ca="1"/>
        <v>0912694110</v>
      </c>
      <c r="G33" s="2" t="str">
        <f ca="1">IFERROR(__xludf.DUMMYFUNCTION("""COMPUTED_VALUE"""),"1756912912602")</f>
        <v>1756912912602</v>
      </c>
      <c r="I33" s="2" t="str">
        <f ca="1">IFERROR(__xludf.DUMMYFUNCTION("""COMPUTED_VALUE"""),"Nguyễn Lan Anh")</f>
        <v>Nguyễn Lan Anh</v>
      </c>
      <c r="J33" s="3" t="str">
        <f ca="1">IFERROR(__xludf.DUMMYFUNCTION("""COMPUTED_VALUE"""),"0367567466")</f>
        <v>0367567466</v>
      </c>
      <c r="K33" s="2" t="str">
        <f ca="1">IFERROR(__xludf.DUMMYFUNCTION("""COMPUTED_VALUE"""),"1743198861425")</f>
        <v>1743198861425</v>
      </c>
    </row>
    <row r="34" spans="1:11" ht="15.75" customHeight="1">
      <c r="A34" s="2" t="str">
        <f ca="1">IFERROR(__xludf.DUMMYFUNCTION("""COMPUTED_VALUE"""),"1743198892443")</f>
        <v>1743198892443</v>
      </c>
      <c r="B34" s="2">
        <f ca="1">IFERROR(__xludf.DUMMYFUNCTION("""COMPUTED_VALUE"""),912398531)</f>
        <v>912398531</v>
      </c>
      <c r="C34" s="2" t="str">
        <f ca="1"/>
        <v>0912398531</v>
      </c>
      <c r="D34" s="2" t="str">
        <f ca="1">IFERROR(__xludf.DUMMYFUNCTION("""COMPUTED_VALUE"""),"1754465427602")</f>
        <v>1754465427602</v>
      </c>
      <c r="E34" s="2">
        <f ca="1">IFERROR(__xludf.DUMMYFUNCTION("""COMPUTED_VALUE"""),968059297)</f>
        <v>968059297</v>
      </c>
      <c r="F34" s="2" t="str">
        <f ca="1"/>
        <v>0968059297</v>
      </c>
      <c r="G34" s="2" t="str">
        <f ca="1">IFERROR(__xludf.DUMMYFUNCTION("""COMPUTED_VALUE"""),"1756912955161")</f>
        <v>1756912955161</v>
      </c>
      <c r="I34" s="2" t="str">
        <f ca="1">IFERROR(__xludf.DUMMYFUNCTION("""COMPUTED_VALUE"""),"Trần Diệu Châu")</f>
        <v>Trần Diệu Châu</v>
      </c>
      <c r="J34" s="3" t="str">
        <f ca="1">IFERROR(__xludf.DUMMYFUNCTION("""COMPUTED_VALUE"""),"0986731511")</f>
        <v>0986731511</v>
      </c>
      <c r="K34" s="2" t="str">
        <f ca="1">IFERROR(__xludf.DUMMYFUNCTION("""COMPUTED_VALUE"""),"1743198892443")</f>
        <v>1743198892443</v>
      </c>
    </row>
    <row r="35" spans="1:11" ht="15.75" customHeight="1">
      <c r="A35" s="2" t="str">
        <f ca="1">IFERROR(__xludf.DUMMYFUNCTION("""COMPUTED_VALUE"""),"1743198926404")</f>
        <v>1743198926404</v>
      </c>
      <c r="B35" s="2">
        <f ca="1">IFERROR(__xludf.DUMMYFUNCTION("""COMPUTED_VALUE"""),329600734)</f>
        <v>329600734</v>
      </c>
      <c r="C35" s="2" t="str">
        <f ca="1"/>
        <v>0329600734</v>
      </c>
      <c r="D35" s="2" t="str">
        <f ca="1">IFERROR(__xludf.DUMMYFUNCTION("""COMPUTED_VALUE"""),"1754465479803")</f>
        <v>1754465479803</v>
      </c>
      <c r="E35" s="2">
        <f ca="1">IFERROR(__xludf.DUMMYFUNCTION("""COMPUTED_VALUE"""),936673565)</f>
        <v>936673565</v>
      </c>
      <c r="F35" s="2" t="str">
        <f ca="1"/>
        <v>0936673565</v>
      </c>
      <c r="G35" s="2" t="str">
        <f ca="1">IFERROR(__xludf.DUMMYFUNCTION("""COMPUTED_VALUE"""),"1756913004538")</f>
        <v>1756913004538</v>
      </c>
      <c r="I35" s="2" t="str">
        <f ca="1">IFERROR(__xludf.DUMMYFUNCTION("""COMPUTED_VALUE"""),"Võ Thị Anh Thư")</f>
        <v>Võ Thị Anh Thư</v>
      </c>
      <c r="J35" s="3" t="str">
        <f ca="1">IFERROR(__xludf.DUMMYFUNCTION("""COMPUTED_VALUE"""),"0835755179")</f>
        <v>0835755179</v>
      </c>
      <c r="K35" s="2" t="str">
        <f ca="1">IFERROR(__xludf.DUMMYFUNCTION("""COMPUTED_VALUE"""),"1743198926404")</f>
        <v>1743198926404</v>
      </c>
    </row>
    <row r="36" spans="1:11" ht="15.75" customHeight="1">
      <c r="A36" s="2" t="str">
        <f ca="1">IFERROR(__xludf.DUMMYFUNCTION("""COMPUTED_VALUE"""),"1743198958083")</f>
        <v>1743198958083</v>
      </c>
      <c r="B36" s="2">
        <f ca="1">IFERROR(__xludf.DUMMYFUNCTION("""COMPUTED_VALUE"""),889569564)</f>
        <v>889569564</v>
      </c>
      <c r="C36" s="2" t="str">
        <f ca="1"/>
        <v>0889569564</v>
      </c>
      <c r="D36" s="2" t="str">
        <f ca="1">IFERROR(__xludf.DUMMYFUNCTION("""COMPUTED_VALUE"""),"1754465516928")</f>
        <v>1754465516928</v>
      </c>
      <c r="E36" s="2">
        <f ca="1">IFERROR(__xludf.DUMMYFUNCTION("""COMPUTED_VALUE"""),325677629)</f>
        <v>325677629</v>
      </c>
      <c r="F36" s="2" t="str">
        <f ca="1"/>
        <v>0325677629</v>
      </c>
      <c r="G36" s="2" t="str">
        <f ca="1">IFERROR(__xludf.DUMMYFUNCTION("""COMPUTED_VALUE"""),"1756913043638")</f>
        <v>1756913043638</v>
      </c>
      <c r="I36" s="2" t="str">
        <f ca="1">IFERROR(__xludf.DUMMYFUNCTION("""COMPUTED_VALUE"""),"Nguyễn Bảo Anh Thư")</f>
        <v>Nguyễn Bảo Anh Thư</v>
      </c>
      <c r="J36" s="3" t="str">
        <f ca="1">IFERROR(__xludf.DUMMYFUNCTION("""COMPUTED_VALUE"""),"0983045558")</f>
        <v>0983045558</v>
      </c>
      <c r="K36" s="2" t="str">
        <f ca="1">IFERROR(__xludf.DUMMYFUNCTION("""COMPUTED_VALUE"""),"1743198958083")</f>
        <v>1743198958083</v>
      </c>
    </row>
    <row r="37" spans="1:11" ht="15.75" customHeight="1">
      <c r="A37" s="2" t="str">
        <f ca="1">IFERROR(__xludf.DUMMYFUNCTION("""COMPUTED_VALUE"""),"1743198983671")</f>
        <v>1743198983671</v>
      </c>
      <c r="B37" s="2">
        <f ca="1">IFERROR(__xludf.DUMMYFUNCTION("""COMPUTED_VALUE"""),988658363)</f>
        <v>988658363</v>
      </c>
      <c r="C37" s="2" t="str">
        <f ca="1"/>
        <v>0988658363</v>
      </c>
      <c r="D37" s="2" t="str">
        <f ca="1">IFERROR(__xludf.DUMMYFUNCTION("""COMPUTED_VALUE"""),"1754465548078")</f>
        <v>1754465548078</v>
      </c>
      <c r="E37" s="2">
        <f ca="1">IFERROR(__xludf.DUMMYFUNCTION("""COMPUTED_VALUE"""),974741593)</f>
        <v>974741593</v>
      </c>
      <c r="F37" s="2" t="str">
        <f ca="1"/>
        <v>0974741593</v>
      </c>
      <c r="G37" s="2" t="str">
        <f ca="1">IFERROR(__xludf.DUMMYFUNCTION("""COMPUTED_VALUE"""),"1756913100000")</f>
        <v>1756913100000</v>
      </c>
      <c r="I37" s="2" t="str">
        <f ca="1">IFERROR(__xludf.DUMMYFUNCTION("""COMPUTED_VALUE"""),"Nguyễn Hoàng Minh Thư")</f>
        <v>Nguyễn Hoàng Minh Thư</v>
      </c>
      <c r="J37" s="3" t="str">
        <f ca="1">IFERROR(__xludf.DUMMYFUNCTION("""COMPUTED_VALUE"""),"0336779445")</f>
        <v>0336779445</v>
      </c>
      <c r="K37" s="2" t="str">
        <f ca="1">IFERROR(__xludf.DUMMYFUNCTION("""COMPUTED_VALUE"""),"1743198983671")</f>
        <v>1743198983671</v>
      </c>
    </row>
    <row r="38" spans="1:11" ht="15.75" customHeight="1">
      <c r="A38" s="2" t="str">
        <f ca="1">IFERROR(__xludf.DUMMYFUNCTION("""COMPUTED_VALUE"""),"1743199009195")</f>
        <v>1743199009195</v>
      </c>
      <c r="B38" s="2">
        <f ca="1">IFERROR(__xludf.DUMMYFUNCTION("""COMPUTED_VALUE"""),869321330)</f>
        <v>869321330</v>
      </c>
      <c r="C38" s="2" t="str">
        <f ca="1"/>
        <v>0869321330</v>
      </c>
      <c r="D38" s="2" t="str">
        <f ca="1">IFERROR(__xludf.DUMMYFUNCTION("""COMPUTED_VALUE"""),"1754465586363")</f>
        <v>1754465586363</v>
      </c>
      <c r="E38" s="2">
        <f ca="1">IFERROR(__xludf.DUMMYFUNCTION("""COMPUTED_VALUE"""),829267978)</f>
        <v>829267978</v>
      </c>
      <c r="F38" s="2" t="str">
        <f ca="1"/>
        <v>0829267978</v>
      </c>
      <c r="G38" s="2" t="str">
        <f ca="1">IFERROR(__xludf.DUMMYFUNCTION("""COMPUTED_VALUE"""),"1756913149760")</f>
        <v>1756913149760</v>
      </c>
      <c r="I38" s="2" t="str">
        <f ca="1">IFERROR(__xludf.DUMMYFUNCTION("""COMPUTED_VALUE"""),"Đặng Thúy Ngân")</f>
        <v>Đặng Thúy Ngân</v>
      </c>
      <c r="J38" s="3" t="str">
        <f ca="1">IFERROR(__xludf.DUMMYFUNCTION("""COMPUTED_VALUE"""),"0865226307")</f>
        <v>0865226307</v>
      </c>
      <c r="K38" s="2" t="str">
        <f ca="1">IFERROR(__xludf.DUMMYFUNCTION("""COMPUTED_VALUE"""),"1743199009195")</f>
        <v>1743199009195</v>
      </c>
    </row>
    <row r="39" spans="1:11" ht="15.75" customHeight="1">
      <c r="A39" s="2" t="str">
        <f ca="1">IFERROR(__xludf.DUMMYFUNCTION("""COMPUTED_VALUE"""),"1743199032127")</f>
        <v>1743199032127</v>
      </c>
      <c r="B39" s="2">
        <f ca="1">IFERROR(__xludf.DUMMYFUNCTION("""COMPUTED_VALUE"""),377032378)</f>
        <v>377032378</v>
      </c>
      <c r="C39" s="2" t="str">
        <f ca="1"/>
        <v>0377032378</v>
      </c>
      <c r="D39" s="2">
        <f ca="1">IFERROR(__xludf.DUMMYFUNCTION("""COMPUTED_VALUE"""),1755998506749)</f>
        <v>1755998506749</v>
      </c>
      <c r="E39" s="2">
        <f ca="1">IFERROR(__xludf.DUMMYFUNCTION("""COMPUTED_VALUE"""),964883494)</f>
        <v>964883494</v>
      </c>
      <c r="F39" s="2" t="str">
        <f ca="1"/>
        <v>0964883494</v>
      </c>
      <c r="G39" s="2" t="str">
        <f ca="1">IFERROR(__xludf.DUMMYFUNCTION("""COMPUTED_VALUE"""),"1756913188330")</f>
        <v>1756913188330</v>
      </c>
      <c r="I39" s="2" t="str">
        <f ca="1">IFERROR(__xludf.DUMMYFUNCTION("""COMPUTED_VALUE"""),"NGUYỄN PHƯỢNG HIỀN")</f>
        <v>NGUYỄN PHƯỢNG HIỀN</v>
      </c>
      <c r="J39" s="3" t="str">
        <f ca="1">IFERROR(__xludf.DUMMYFUNCTION("""COMPUTED_VALUE"""),"0374496218")</f>
        <v>0374496218</v>
      </c>
      <c r="K39" s="2" t="str">
        <f ca="1">IFERROR(__xludf.DUMMYFUNCTION("""COMPUTED_VALUE"""),"1743199032127")</f>
        <v>1743199032127</v>
      </c>
    </row>
    <row r="40" spans="1:11" ht="12.45">
      <c r="A40" s="2" t="str">
        <f ca="1">IFERROR(__xludf.DUMMYFUNCTION("""COMPUTED_VALUE"""),"1743199060610")</f>
        <v>1743199060610</v>
      </c>
      <c r="B40" s="2">
        <f ca="1">IFERROR(__xludf.DUMMYFUNCTION("""COMPUTED_VALUE"""),865782725)</f>
        <v>865782725</v>
      </c>
      <c r="C40" s="2" t="str">
        <f ca="1"/>
        <v>0865782725</v>
      </c>
      <c r="D40" s="2" t="str">
        <f ca="1">IFERROR(__xludf.DUMMYFUNCTION("""COMPUTED_VALUE"""),"1754465695285")</f>
        <v>1754465695285</v>
      </c>
      <c r="E40" s="2">
        <f ca="1">IFERROR(__xludf.DUMMYFUNCTION("""COMPUTED_VALUE"""),984540297)</f>
        <v>984540297</v>
      </c>
      <c r="F40" s="2" t="str">
        <f ca="1"/>
        <v>0984540297</v>
      </c>
      <c r="G40" s="2" t="str">
        <f ca="1">IFERROR(__xludf.DUMMYFUNCTION("""COMPUTED_VALUE"""),"1756913232308")</f>
        <v>1756913232308</v>
      </c>
      <c r="I40" s="2" t="str">
        <f ca="1">IFERROR(__xludf.DUMMYFUNCTION("""COMPUTED_VALUE"""),"Nguyễn Vân Mai")</f>
        <v>Nguyễn Vân Mai</v>
      </c>
      <c r="J40" s="3" t="str">
        <f ca="1">IFERROR(__xludf.DUMMYFUNCTION("""COMPUTED_VALUE"""),"0962070307")</f>
        <v>0962070307</v>
      </c>
      <c r="K40" s="2" t="str">
        <f ca="1">IFERROR(__xludf.DUMMYFUNCTION("""COMPUTED_VALUE"""),"1743199060610")</f>
        <v>1743199060610</v>
      </c>
    </row>
    <row r="41" spans="1:11" ht="12.45">
      <c r="A41" s="2" t="str">
        <f ca="1">IFERROR(__xludf.DUMMYFUNCTION("""COMPUTED_VALUE"""),"1743199081515")</f>
        <v>1743199081515</v>
      </c>
      <c r="B41" s="2">
        <f ca="1">IFERROR(__xludf.DUMMYFUNCTION("""COMPUTED_VALUE"""),378704888)</f>
        <v>378704888</v>
      </c>
      <c r="C41" s="2" t="str">
        <f ca="1"/>
        <v>0378704888</v>
      </c>
      <c r="D41" s="2" t="str">
        <f ca="1">IFERROR(__xludf.DUMMYFUNCTION("""COMPUTED_VALUE"""),"1754465776685")</f>
        <v>1754465776685</v>
      </c>
      <c r="E41" s="2">
        <f ca="1">IFERROR(__xludf.DUMMYFUNCTION("""COMPUTED_VALUE"""),364600691)</f>
        <v>364600691</v>
      </c>
      <c r="F41" s="2" t="str">
        <f ca="1"/>
        <v>0364600691</v>
      </c>
      <c r="G41" s="2" t="str">
        <f ca="1">IFERROR(__xludf.DUMMYFUNCTION("""COMPUTED_VALUE"""),"1756913276388")</f>
        <v>1756913276388</v>
      </c>
      <c r="I41" s="2" t="str">
        <f ca="1">IFERROR(__xludf.DUMMYFUNCTION("""COMPUTED_VALUE"""),"NGUYỄN PHƯƠNG LINH")</f>
        <v>NGUYỄN PHƯƠNG LINH</v>
      </c>
      <c r="J41" s="3" t="str">
        <f ca="1">IFERROR(__xludf.DUMMYFUNCTION("""COMPUTED_VALUE"""),"0981712137")</f>
        <v>0981712137</v>
      </c>
      <c r="K41" s="2" t="str">
        <f ca="1">IFERROR(__xludf.DUMMYFUNCTION("""COMPUTED_VALUE"""),"1743199081515")</f>
        <v>1743199081515</v>
      </c>
    </row>
    <row r="42" spans="1:11" ht="12.45">
      <c r="A42" s="2" t="str">
        <f ca="1">IFERROR(__xludf.DUMMYFUNCTION("""COMPUTED_VALUE"""),"1743199105217")</f>
        <v>1743199105217</v>
      </c>
      <c r="B42" s="2">
        <f ca="1">IFERROR(__xludf.DUMMYFUNCTION("""COMPUTED_VALUE"""),358850599)</f>
        <v>358850599</v>
      </c>
      <c r="C42" s="2" t="str">
        <f ca="1"/>
        <v>0358850599</v>
      </c>
      <c r="D42" s="2" t="str">
        <f ca="1">IFERROR(__xludf.DUMMYFUNCTION("""COMPUTED_VALUE"""),"1754465821663")</f>
        <v>1754465821663</v>
      </c>
      <c r="E42" s="2">
        <f ca="1">IFERROR(__xludf.DUMMYFUNCTION("""COMPUTED_VALUE"""),939012310)</f>
        <v>939012310</v>
      </c>
      <c r="F42" s="2" t="str">
        <f ca="1"/>
        <v>0939012310</v>
      </c>
      <c r="G42" s="2" t="str">
        <f ca="1">IFERROR(__xludf.DUMMYFUNCTION("""COMPUTED_VALUE"""),"1756913315545")</f>
        <v>1756913315545</v>
      </c>
      <c r="I42" s="2" t="str">
        <f ca="1">IFERROR(__xludf.DUMMYFUNCTION("""COMPUTED_VALUE"""),"Nguyễn Đức Thành")</f>
        <v>Nguyễn Đức Thành</v>
      </c>
      <c r="J42" s="3" t="str">
        <f ca="1">IFERROR(__xludf.DUMMYFUNCTION("""COMPUTED_VALUE"""),"0968701167")</f>
        <v>0968701167</v>
      </c>
      <c r="K42" s="2" t="str">
        <f ca="1">IFERROR(__xludf.DUMMYFUNCTION("""COMPUTED_VALUE"""),"1743199105217")</f>
        <v>1743199105217</v>
      </c>
    </row>
    <row r="43" spans="1:11" ht="12.45">
      <c r="A43" s="2" t="str">
        <f ca="1">IFERROR(__xludf.DUMMYFUNCTION("""COMPUTED_VALUE"""),"1743199131487")</f>
        <v>1743199131487</v>
      </c>
      <c r="B43" s="2">
        <f ca="1">IFERROR(__xludf.DUMMYFUNCTION("""COMPUTED_VALUE"""),365478481)</f>
        <v>365478481</v>
      </c>
      <c r="C43" s="2" t="str">
        <f ca="1"/>
        <v>0365478481</v>
      </c>
      <c r="D43" s="2" t="str">
        <f ca="1">IFERROR(__xludf.DUMMYFUNCTION("""COMPUTED_VALUE"""),"1754465879460")</f>
        <v>1754465879460</v>
      </c>
      <c r="E43" s="2">
        <f ca="1">IFERROR(__xludf.DUMMYFUNCTION("""COMPUTED_VALUE"""),904560308)</f>
        <v>904560308</v>
      </c>
      <c r="F43" s="2" t="str">
        <f ca="1"/>
        <v>0904560308</v>
      </c>
      <c r="G43" s="2" t="str">
        <f ca="1">IFERROR(__xludf.DUMMYFUNCTION("""COMPUTED_VALUE"""),"1756913352638")</f>
        <v>1756913352638</v>
      </c>
      <c r="I43" s="2" t="str">
        <f ca="1">IFERROR(__xludf.DUMMYFUNCTION("""COMPUTED_VALUE"""),"Vũ Đặng Kim Ngân")</f>
        <v>Vũ Đặng Kim Ngân</v>
      </c>
      <c r="J43" s="3" t="str">
        <f ca="1">IFERROR(__xludf.DUMMYFUNCTION("""COMPUTED_VALUE"""),"0378353011")</f>
        <v>0378353011</v>
      </c>
      <c r="K43" s="2" t="str">
        <f ca="1">IFERROR(__xludf.DUMMYFUNCTION("""COMPUTED_VALUE"""),"1743199131487")</f>
        <v>1743199131487</v>
      </c>
    </row>
    <row r="44" spans="1:11" ht="12.45">
      <c r="A44" s="2" t="str">
        <f ca="1">IFERROR(__xludf.DUMMYFUNCTION("""COMPUTED_VALUE"""),"1743199155942")</f>
        <v>1743199155942</v>
      </c>
      <c r="B44" s="2">
        <f ca="1">IFERROR(__xludf.DUMMYFUNCTION("""COMPUTED_VALUE"""),372852168)</f>
        <v>372852168</v>
      </c>
      <c r="C44" s="2" t="str">
        <f ca="1"/>
        <v>0372852168</v>
      </c>
      <c r="D44" s="2" t="str">
        <f ca="1">IFERROR(__xludf.DUMMYFUNCTION("""COMPUTED_VALUE"""),"1754465937348")</f>
        <v>1754465937348</v>
      </c>
      <c r="E44" s="2">
        <f ca="1">IFERROR(__xludf.DUMMYFUNCTION("""COMPUTED_VALUE"""),368308687)</f>
        <v>368308687</v>
      </c>
      <c r="F44" s="2" t="str">
        <f ca="1"/>
        <v>0368308687</v>
      </c>
      <c r="G44" s="2" t="str">
        <f ca="1">IFERROR(__xludf.DUMMYFUNCTION("""COMPUTED_VALUE"""),"1756913391622")</f>
        <v>1756913391622</v>
      </c>
      <c r="I44" s="2" t="str">
        <f ca="1">IFERROR(__xludf.DUMMYFUNCTION("""COMPUTED_VALUE"""),"Trần Thu Trang")</f>
        <v>Trần Thu Trang</v>
      </c>
      <c r="J44" s="3" t="str">
        <f ca="1">IFERROR(__xludf.DUMMYFUNCTION("""COMPUTED_VALUE"""),"0337434921")</f>
        <v>0337434921</v>
      </c>
      <c r="K44" s="2" t="str">
        <f ca="1">IFERROR(__xludf.DUMMYFUNCTION("""COMPUTED_VALUE"""),"1743199155942")</f>
        <v>1743199155942</v>
      </c>
    </row>
    <row r="45" spans="1:11" ht="12.45">
      <c r="A45" s="2" t="str">
        <f ca="1">IFERROR(__xludf.DUMMYFUNCTION("""COMPUTED_VALUE"""),"1743199186581")</f>
        <v>1743199186581</v>
      </c>
      <c r="B45" s="2">
        <f ca="1">IFERROR(__xludf.DUMMYFUNCTION("""COMPUTED_VALUE"""),932530068)</f>
        <v>932530068</v>
      </c>
      <c r="C45" s="2" t="str">
        <f ca="1"/>
        <v>0932530068</v>
      </c>
      <c r="D45" s="2" t="str">
        <f ca="1">IFERROR(__xludf.DUMMYFUNCTION("""COMPUTED_VALUE"""),"1754465984278")</f>
        <v>1754465984278</v>
      </c>
      <c r="E45" s="2">
        <f ca="1">IFERROR(__xludf.DUMMYFUNCTION("""COMPUTED_VALUE"""),364716538)</f>
        <v>364716538</v>
      </c>
      <c r="F45" s="2" t="str">
        <f ca="1"/>
        <v>0364716538</v>
      </c>
      <c r="G45" s="2">
        <f ca="1">IFERROR(__xludf.DUMMYFUNCTION("""COMPUTED_VALUE"""),105648808824)</f>
        <v>105648808824</v>
      </c>
      <c r="I45" s="2" t="str">
        <f ca="1">IFERROR(__xludf.DUMMYFUNCTION("""COMPUTED_VALUE"""),"Phạm Phương Thảo")</f>
        <v>Phạm Phương Thảo</v>
      </c>
      <c r="J45" s="3" t="str">
        <f ca="1">IFERROR(__xludf.DUMMYFUNCTION("""COMPUTED_VALUE"""),"0364019391")</f>
        <v>0364019391</v>
      </c>
      <c r="K45" s="2" t="str">
        <f ca="1">IFERROR(__xludf.DUMMYFUNCTION("""COMPUTED_VALUE"""),"1743199186581")</f>
        <v>1743199186581</v>
      </c>
    </row>
    <row r="46" spans="1:11" ht="12.45">
      <c r="A46" s="2" t="str">
        <f ca="1">IFERROR(__xludf.DUMMYFUNCTION("""COMPUTED_VALUE"""),"1743199225511")</f>
        <v>1743199225511</v>
      </c>
      <c r="B46" s="2">
        <f ca="1">IFERROR(__xludf.DUMMYFUNCTION("""COMPUTED_VALUE"""),868909207)</f>
        <v>868909207</v>
      </c>
      <c r="C46" s="2" t="str">
        <f ca="1"/>
        <v>0868909207</v>
      </c>
      <c r="D46" s="2" t="str">
        <f ca="1">IFERROR(__xludf.DUMMYFUNCTION("""COMPUTED_VALUE"""),"1754466032115")</f>
        <v>1754466032115</v>
      </c>
      <c r="E46" s="2">
        <f ca="1">IFERROR(__xludf.DUMMYFUNCTION("""COMPUTED_VALUE"""),988054626)</f>
        <v>988054626</v>
      </c>
      <c r="F46" s="2" t="str">
        <f ca="1"/>
        <v>0988054626</v>
      </c>
      <c r="G46" s="2" t="str">
        <f ca="1">IFERROR(__xludf.DUMMYFUNCTION("""COMPUTED_VALUE"""),"1756913434061")</f>
        <v>1756913434061</v>
      </c>
      <c r="I46" s="2" t="str">
        <f ca="1">IFERROR(__xludf.DUMMYFUNCTION("""COMPUTED_VALUE"""),"Trần Thị Huyền Trang ")</f>
        <v xml:space="preserve">Trần Thị Huyền Trang </v>
      </c>
      <c r="J46" s="3" t="str">
        <f ca="1">IFERROR(__xludf.DUMMYFUNCTION("""COMPUTED_VALUE"""),"0387764175")</f>
        <v>0387764175</v>
      </c>
      <c r="K46" s="2" t="str">
        <f ca="1">IFERROR(__xludf.DUMMYFUNCTION("""COMPUTED_VALUE"""),"1743199225511")</f>
        <v>1743199225511</v>
      </c>
    </row>
    <row r="47" spans="1:11" ht="12.45">
      <c r="A47" s="2" t="str">
        <f ca="1">IFERROR(__xludf.DUMMYFUNCTION("""COMPUTED_VALUE"""),"1743199254829")</f>
        <v>1743199254829</v>
      </c>
      <c r="B47" s="2">
        <f ca="1">IFERROR(__xludf.DUMMYFUNCTION("""COMPUTED_VALUE"""),399783301)</f>
        <v>399783301</v>
      </c>
      <c r="C47" s="2" t="str">
        <f ca="1"/>
        <v>0399783301</v>
      </c>
      <c r="D47" s="2" t="str">
        <f ca="1">IFERROR(__xludf.DUMMYFUNCTION("""COMPUTED_VALUE"""),"1754466077375")</f>
        <v>1754466077375</v>
      </c>
      <c r="E47" s="2">
        <f ca="1">IFERROR(__xludf.DUMMYFUNCTION("""COMPUTED_VALUE"""),962383207)</f>
        <v>962383207</v>
      </c>
      <c r="F47" s="2" t="str">
        <f ca="1"/>
        <v>0962383207</v>
      </c>
      <c r="G47" s="2" t="str">
        <f ca="1">IFERROR(__xludf.DUMMYFUNCTION("""COMPUTED_VALUE"""),"1756913465901")</f>
        <v>1756913465901</v>
      </c>
      <c r="I47" s="2" t="str">
        <f ca="1">IFERROR(__xludf.DUMMYFUNCTION("""COMPUTED_VALUE"""),"Lưu Vũ Ngọc Linh")</f>
        <v>Lưu Vũ Ngọc Linh</v>
      </c>
      <c r="J47" s="3" t="str">
        <f ca="1">IFERROR(__xludf.DUMMYFUNCTION("""COMPUTED_VALUE"""),"0333663926")</f>
        <v>0333663926</v>
      </c>
      <c r="K47" s="2" t="str">
        <f ca="1">IFERROR(__xludf.DUMMYFUNCTION("""COMPUTED_VALUE"""),"1743199254829")</f>
        <v>1743199254829</v>
      </c>
    </row>
    <row r="48" spans="1:11" ht="12.45">
      <c r="A48" s="2" t="str">
        <f ca="1">IFERROR(__xludf.DUMMYFUNCTION("""COMPUTED_VALUE"""),"1743199284883")</f>
        <v>1743199284883</v>
      </c>
      <c r="B48" s="2">
        <f ca="1">IFERROR(__xludf.DUMMYFUNCTION("""COMPUTED_VALUE"""),338893165)</f>
        <v>338893165</v>
      </c>
      <c r="C48" s="2" t="str">
        <f ca="1"/>
        <v>0338893165</v>
      </c>
      <c r="D48" s="2" t="str">
        <f ca="1">IFERROR(__xludf.DUMMYFUNCTION("""COMPUTED_VALUE"""),"1754466140303")</f>
        <v>1754466140303</v>
      </c>
      <c r="E48" s="2">
        <f ca="1">IFERROR(__xludf.DUMMYFUNCTION("""COMPUTED_VALUE"""),372381742)</f>
        <v>372381742</v>
      </c>
      <c r="F48" s="2" t="str">
        <f ca="1"/>
        <v>0372381742</v>
      </c>
      <c r="G48" s="2">
        <f ca="1">IFERROR(__xludf.DUMMYFUNCTION("""COMPUTED_VALUE"""),105556054826)</f>
        <v>105556054826</v>
      </c>
      <c r="I48" s="2" t="str">
        <f ca="1">IFERROR(__xludf.DUMMYFUNCTION("""COMPUTED_VALUE"""),"Hoàng Vũ Hạ")</f>
        <v>Hoàng Vũ Hạ</v>
      </c>
      <c r="J48" s="3" t="str">
        <f ca="1">IFERROR(__xludf.DUMMYFUNCTION("""COMPUTED_VALUE"""),"0788530625")</f>
        <v>0788530625</v>
      </c>
      <c r="K48" s="2" t="str">
        <f ca="1">IFERROR(__xludf.DUMMYFUNCTION("""COMPUTED_VALUE"""),"1743199284883")</f>
        <v>1743199284883</v>
      </c>
    </row>
    <row r="49" spans="1:11" ht="12.45">
      <c r="A49" s="2" t="str">
        <f ca="1">IFERROR(__xludf.DUMMYFUNCTION("""COMPUTED_VALUE"""),"1743199318205")</f>
        <v>1743199318205</v>
      </c>
      <c r="B49" s="2">
        <f ca="1">IFERROR(__xludf.DUMMYFUNCTION("""COMPUTED_VALUE"""),921058270)</f>
        <v>921058270</v>
      </c>
      <c r="C49" s="2" t="str">
        <f ca="1"/>
        <v>0921058270</v>
      </c>
      <c r="D49" s="2" t="str">
        <f ca="1">IFERROR(__xludf.DUMMYFUNCTION("""COMPUTED_VALUE"""),"1754466177842")</f>
        <v>1754466177842</v>
      </c>
      <c r="E49" s="2">
        <f ca="1">IFERROR(__xludf.DUMMYFUNCTION("""COMPUTED_VALUE"""),374717221)</f>
        <v>374717221</v>
      </c>
      <c r="F49" s="2" t="str">
        <f ca="1"/>
        <v>0374717221</v>
      </c>
      <c r="G49" s="2" t="str">
        <f ca="1">IFERROR(__xludf.DUMMYFUNCTION("""COMPUTED_VALUE"""),"1756913506549")</f>
        <v>1756913506549</v>
      </c>
      <c r="I49" s="2" t="str">
        <f ca="1">IFERROR(__xludf.DUMMYFUNCTION("""COMPUTED_VALUE"""),"Huỳnh Thị Quỳnh Như")</f>
        <v>Huỳnh Thị Quỳnh Như</v>
      </c>
      <c r="J49" s="3" t="str">
        <f ca="1">IFERROR(__xludf.DUMMYFUNCTION("""COMPUTED_VALUE"""),"0942409598")</f>
        <v>0942409598</v>
      </c>
      <c r="K49" s="2" t="str">
        <f ca="1">IFERROR(__xludf.DUMMYFUNCTION("""COMPUTED_VALUE"""),"1743199318205")</f>
        <v>1743199318205</v>
      </c>
    </row>
    <row r="50" spans="1:11" ht="12.45">
      <c r="A50" s="2" t="str">
        <f ca="1">IFERROR(__xludf.DUMMYFUNCTION("""COMPUTED_VALUE"""),"1743199346275")</f>
        <v>1743199346275</v>
      </c>
      <c r="B50" s="2">
        <f ca="1">IFERROR(__xludf.DUMMYFUNCTION("""COMPUTED_VALUE"""),849672576)</f>
        <v>849672576</v>
      </c>
      <c r="C50" s="2" t="str">
        <f ca="1"/>
        <v>0849672576</v>
      </c>
      <c r="D50" s="2" t="str">
        <f ca="1">IFERROR(__xludf.DUMMYFUNCTION("""COMPUTED_VALUE"""),"1754466205353")</f>
        <v>1754466205353</v>
      </c>
      <c r="E50" s="2">
        <f ca="1">IFERROR(__xludf.DUMMYFUNCTION("""COMPUTED_VALUE"""),345269899)</f>
        <v>345269899</v>
      </c>
      <c r="F50" s="2" t="str">
        <f ca="1"/>
        <v>0345269899</v>
      </c>
      <c r="G50" s="2" t="str">
        <f ca="1">IFERROR(__xludf.DUMMYFUNCTION("""COMPUTED_VALUE"""),"1756913543267")</f>
        <v>1756913543267</v>
      </c>
      <c r="I50" s="2" t="str">
        <f ca="1">IFERROR(__xludf.DUMMYFUNCTION("""COMPUTED_VALUE"""),"Ngô Hương Giang")</f>
        <v>Ngô Hương Giang</v>
      </c>
      <c r="J50" s="3" t="str">
        <f ca="1">IFERROR(__xludf.DUMMYFUNCTION("""COMPUTED_VALUE"""),"0365329916")</f>
        <v>0365329916</v>
      </c>
      <c r="K50" s="2" t="str">
        <f ca="1">IFERROR(__xludf.DUMMYFUNCTION("""COMPUTED_VALUE"""),"1743199346275")</f>
        <v>1743199346275</v>
      </c>
    </row>
    <row r="51" spans="1:11" ht="12.45">
      <c r="A51" s="2" t="str">
        <f ca="1">IFERROR(__xludf.DUMMYFUNCTION("""COMPUTED_VALUE"""),"1743199376474")</f>
        <v>1743199376474</v>
      </c>
      <c r="B51" s="2">
        <f ca="1">IFERROR(__xludf.DUMMYFUNCTION("""COMPUTED_VALUE"""),349664727)</f>
        <v>349664727</v>
      </c>
      <c r="C51" s="2" t="str">
        <f ca="1"/>
        <v>0349664727</v>
      </c>
      <c r="D51" s="2" t="str">
        <f ca="1">IFERROR(__xludf.DUMMYFUNCTION("""COMPUTED_VALUE"""),"1754466247027")</f>
        <v>1754466247027</v>
      </c>
      <c r="E51" s="2">
        <f ca="1">IFERROR(__xludf.DUMMYFUNCTION("""COMPUTED_VALUE"""),342515230)</f>
        <v>342515230</v>
      </c>
      <c r="F51" s="2" t="str">
        <f ca="1"/>
        <v>0342515230</v>
      </c>
      <c r="G51" s="2" t="str">
        <f ca="1">IFERROR(__xludf.DUMMYFUNCTION("""COMPUTED_VALUE"""),"1756913578007")</f>
        <v>1756913578007</v>
      </c>
      <c r="I51" s="2" t="str">
        <f ca="1">IFERROR(__xludf.DUMMYFUNCTION("""COMPUTED_VALUE"""),"Vũ Lê Xuân Nhi")</f>
        <v>Vũ Lê Xuân Nhi</v>
      </c>
      <c r="J51" s="3" t="str">
        <f ca="1">IFERROR(__xludf.DUMMYFUNCTION("""COMPUTED_VALUE"""),"0989709525")</f>
        <v>0989709525</v>
      </c>
      <c r="K51" s="2" t="str">
        <f ca="1">IFERROR(__xludf.DUMMYFUNCTION("""COMPUTED_VALUE"""),"1743199376474")</f>
        <v>1743199376474</v>
      </c>
    </row>
    <row r="52" spans="1:11" ht="12.45">
      <c r="A52" s="2" t="str">
        <f ca="1">IFERROR(__xludf.DUMMYFUNCTION("""COMPUTED_VALUE"""),"1743199400380")</f>
        <v>1743199400380</v>
      </c>
      <c r="B52" s="2">
        <f ca="1">IFERROR(__xludf.DUMMYFUNCTION("""COMPUTED_VALUE"""),376066673)</f>
        <v>376066673</v>
      </c>
      <c r="C52" s="2" t="str">
        <f ca="1"/>
        <v>0376066673</v>
      </c>
      <c r="D52" s="2" t="str">
        <f ca="1">IFERROR(__xludf.DUMMYFUNCTION("""COMPUTED_VALUE"""),"1754466274402")</f>
        <v>1754466274402</v>
      </c>
      <c r="E52" s="2">
        <f ca="1">IFERROR(__xludf.DUMMYFUNCTION("""COMPUTED_VALUE"""),787680357)</f>
        <v>787680357</v>
      </c>
      <c r="F52" s="2" t="str">
        <f ca="1"/>
        <v>0787680357</v>
      </c>
      <c r="G52" s="2" t="str">
        <f ca="1">IFERROR(__xludf.DUMMYFUNCTION("""COMPUTED_VALUE"""),"1756913620421")</f>
        <v>1756913620421</v>
      </c>
      <c r="I52" s="2" t="str">
        <f ca="1">IFERROR(__xludf.DUMMYFUNCTION("""COMPUTED_VALUE"""),"Nguyễn Ngọc Anh")</f>
        <v>Nguyễn Ngọc Anh</v>
      </c>
      <c r="J52" s="3" t="str">
        <f ca="1">IFERROR(__xludf.DUMMYFUNCTION("""COMPUTED_VALUE"""),"0383350963")</f>
        <v>0383350963</v>
      </c>
      <c r="K52" s="2" t="str">
        <f ca="1">IFERROR(__xludf.DUMMYFUNCTION("""COMPUTED_VALUE"""),"1743199400380")</f>
        <v>1743199400380</v>
      </c>
    </row>
    <row r="53" spans="1:11" ht="12.45">
      <c r="A53" s="2" t="str">
        <f ca="1">IFERROR(__xludf.DUMMYFUNCTION("""COMPUTED_VALUE"""),"1744613884888")</f>
        <v>1744613884888</v>
      </c>
      <c r="B53" s="2">
        <f ca="1">IFERROR(__xludf.DUMMYFUNCTION("""COMPUTED_VALUE"""),986156436)</f>
        <v>986156436</v>
      </c>
      <c r="C53" s="2" t="str">
        <f ca="1"/>
        <v>0986156436</v>
      </c>
      <c r="D53" s="2" t="str">
        <f ca="1">IFERROR(__xludf.DUMMYFUNCTION("""COMPUTED_VALUE"""),"1754466303776")</f>
        <v>1754466303776</v>
      </c>
      <c r="E53" s="2">
        <f ca="1">IFERROR(__xludf.DUMMYFUNCTION("""COMPUTED_VALUE"""),964964122)</f>
        <v>964964122</v>
      </c>
      <c r="F53" s="2" t="str">
        <f ca="1"/>
        <v>0964964122</v>
      </c>
      <c r="G53" s="2" t="str">
        <f ca="1">IFERROR(__xludf.DUMMYFUNCTION("""COMPUTED_VALUE"""),"1756913660790")</f>
        <v>1756913660790</v>
      </c>
      <c r="I53" s="2" t="str">
        <f ca="1">IFERROR(__xludf.DUMMYFUNCTION("""COMPUTED_VALUE"""),"Nguyễn Thị Tú Uyên ")</f>
        <v xml:space="preserve">Nguyễn Thị Tú Uyên </v>
      </c>
      <c r="J53" s="3" t="str">
        <f ca="1">IFERROR(__xludf.DUMMYFUNCTION("""COMPUTED_VALUE"""),"0344830207")</f>
        <v>0344830207</v>
      </c>
      <c r="K53" s="2" t="str">
        <f ca="1">IFERROR(__xludf.DUMMYFUNCTION("""COMPUTED_VALUE"""),"1744613884888")</f>
        <v>1744613884888</v>
      </c>
    </row>
    <row r="54" spans="1:11" ht="12.45">
      <c r="A54" s="2" t="str">
        <f ca="1">IFERROR(__xludf.DUMMYFUNCTION("""COMPUTED_VALUE"""),"1744613965616")</f>
        <v>1744613965616</v>
      </c>
      <c r="B54" s="2">
        <f ca="1">IFERROR(__xludf.DUMMYFUNCTION("""COMPUTED_VALUE"""),946455765)</f>
        <v>946455765</v>
      </c>
      <c r="C54" s="2" t="str">
        <f ca="1"/>
        <v>0946455765</v>
      </c>
      <c r="D54" s="2" t="str">
        <f ca="1">IFERROR(__xludf.DUMMYFUNCTION("""COMPUTED_VALUE"""),"1754466337299")</f>
        <v>1754466337299</v>
      </c>
      <c r="E54" s="2">
        <f ca="1">IFERROR(__xludf.DUMMYFUNCTION("""COMPUTED_VALUE"""),368112973)</f>
        <v>368112973</v>
      </c>
      <c r="F54" s="2" t="str">
        <f ca="1"/>
        <v>0368112973</v>
      </c>
      <c r="G54" s="2" t="str">
        <f ca="1">IFERROR(__xludf.DUMMYFUNCTION("""COMPUTED_VALUE"""),"1756913706367")</f>
        <v>1756913706367</v>
      </c>
      <c r="I54" s="2" t="str">
        <f ca="1">IFERROR(__xludf.DUMMYFUNCTION("""COMPUTED_VALUE"""),"Trần Thị Ánh Ngọc")</f>
        <v>Trần Thị Ánh Ngọc</v>
      </c>
      <c r="J54" s="3" t="str">
        <f ca="1">IFERROR(__xludf.DUMMYFUNCTION("""COMPUTED_VALUE"""),"0783248377")</f>
        <v>0783248377</v>
      </c>
      <c r="K54" s="2" t="str">
        <f ca="1">IFERROR(__xludf.DUMMYFUNCTION("""COMPUTED_VALUE"""),"1744613965616")</f>
        <v>1744613965616</v>
      </c>
    </row>
    <row r="55" spans="1:11" ht="12.45">
      <c r="A55" s="2" t="str">
        <f ca="1">IFERROR(__xludf.DUMMYFUNCTION("""COMPUTED_VALUE"""),"1744614015692")</f>
        <v>1744614015692</v>
      </c>
      <c r="B55" s="2">
        <f ca="1">IFERROR(__xludf.DUMMYFUNCTION("""COMPUTED_VALUE"""),975015439)</f>
        <v>975015439</v>
      </c>
      <c r="C55" s="2" t="str">
        <f ca="1"/>
        <v>0975015439</v>
      </c>
      <c r="D55" s="2" t="str">
        <f ca="1">IFERROR(__xludf.DUMMYFUNCTION("""COMPUTED_VALUE"""),"1754466372621")</f>
        <v>1754466372621</v>
      </c>
      <c r="E55" s="2">
        <f ca="1">IFERROR(__xludf.DUMMYFUNCTION("""COMPUTED_VALUE"""),973169272)</f>
        <v>973169272</v>
      </c>
      <c r="F55" s="2" t="str">
        <f ca="1"/>
        <v>0973169272</v>
      </c>
      <c r="G55" s="2" t="str">
        <f ca="1">IFERROR(__xludf.DUMMYFUNCTION("""COMPUTED_VALUE"""),"1756913740332")</f>
        <v>1756913740332</v>
      </c>
      <c r="I55" s="2" t="str">
        <f ca="1">IFERROR(__xludf.DUMMYFUNCTION("""COMPUTED_VALUE"""),"Hoàng Thị Tố Uyên")</f>
        <v>Hoàng Thị Tố Uyên</v>
      </c>
      <c r="J55" s="3" t="str">
        <f ca="1">IFERROR(__xludf.DUMMYFUNCTION("""COMPUTED_VALUE"""),"0974131370")</f>
        <v>0974131370</v>
      </c>
      <c r="K55" s="2" t="str">
        <f ca="1">IFERROR(__xludf.DUMMYFUNCTION("""COMPUTED_VALUE"""),"1744614015692")</f>
        <v>1744614015692</v>
      </c>
    </row>
    <row r="56" spans="1:11" ht="12.45">
      <c r="A56" s="2" t="str">
        <f ca="1">IFERROR(__xludf.DUMMYFUNCTION("""COMPUTED_VALUE"""),"1744614058357")</f>
        <v>1744614058357</v>
      </c>
      <c r="B56" s="2">
        <f ca="1">IFERROR(__xludf.DUMMYFUNCTION("""COMPUTED_VALUE"""),879947111)</f>
        <v>879947111</v>
      </c>
      <c r="C56" s="2" t="str">
        <f ca="1"/>
        <v>0879947111</v>
      </c>
      <c r="D56" s="2" t="str">
        <f ca="1">IFERROR(__xludf.DUMMYFUNCTION("""COMPUTED_VALUE"""),"1754466410195")</f>
        <v>1754466410195</v>
      </c>
      <c r="E56" s="2">
        <f ca="1">IFERROR(__xludf.DUMMYFUNCTION("""COMPUTED_VALUE"""),329379552)</f>
        <v>329379552</v>
      </c>
      <c r="F56" s="2" t="str">
        <f ca="1"/>
        <v>0329379552</v>
      </c>
      <c r="G56" s="2" t="str">
        <f ca="1">IFERROR(__xludf.DUMMYFUNCTION("""COMPUTED_VALUE"""),"1756913773738")</f>
        <v>1756913773738</v>
      </c>
      <c r="I56" s="2" t="str">
        <f ca="1">IFERROR(__xludf.DUMMYFUNCTION("""COMPUTED_VALUE"""),"Nguyễn minh triệu")</f>
        <v>Nguyễn minh triệu</v>
      </c>
      <c r="J56" s="3" t="str">
        <f ca="1">IFERROR(__xludf.DUMMYFUNCTION("""COMPUTED_VALUE"""),"0338817883")</f>
        <v>0338817883</v>
      </c>
      <c r="K56" s="2" t="str">
        <f ca="1">IFERROR(__xludf.DUMMYFUNCTION("""COMPUTED_VALUE"""),"1744614058357")</f>
        <v>1744614058357</v>
      </c>
    </row>
    <row r="57" spans="1:11" ht="12.45">
      <c r="A57" s="2" t="str">
        <f ca="1">IFERROR(__xludf.DUMMYFUNCTION("""COMPUTED_VALUE"""),"1744614116040")</f>
        <v>1744614116040</v>
      </c>
      <c r="B57" s="2">
        <f ca="1">IFERROR(__xludf.DUMMYFUNCTION("""COMPUTED_VALUE"""),855155182)</f>
        <v>855155182</v>
      </c>
      <c r="C57" s="2" t="str">
        <f ca="1"/>
        <v>0855155182</v>
      </c>
      <c r="D57" s="2" t="str">
        <f ca="1">IFERROR(__xludf.DUMMYFUNCTION("""COMPUTED_VALUE"""),"1754466441217")</f>
        <v>1754466441217</v>
      </c>
      <c r="E57" s="2">
        <f ca="1">IFERROR(__xludf.DUMMYFUNCTION("""COMPUTED_VALUE"""),397193655)</f>
        <v>397193655</v>
      </c>
      <c r="F57" s="2" t="str">
        <f ca="1"/>
        <v>0397193655</v>
      </c>
      <c r="G57" s="2" t="str">
        <f ca="1">IFERROR(__xludf.DUMMYFUNCTION("""COMPUTED_VALUE"""),"1756913801630")</f>
        <v>1756913801630</v>
      </c>
      <c r="I57" s="2" t="str">
        <f ca="1">IFERROR(__xludf.DUMMYFUNCTION("""COMPUTED_VALUE"""),"Hồ Lê Na")</f>
        <v>Hồ Lê Na</v>
      </c>
      <c r="J57" s="3" t="str">
        <f ca="1">IFERROR(__xludf.DUMMYFUNCTION("""COMPUTED_VALUE"""),"0866153781")</f>
        <v>0866153781</v>
      </c>
      <c r="K57" s="2" t="str">
        <f ca="1">IFERROR(__xludf.DUMMYFUNCTION("""COMPUTED_VALUE"""),"1744614116040")</f>
        <v>1744614116040</v>
      </c>
    </row>
    <row r="58" spans="1:11" ht="12.45">
      <c r="A58" s="2" t="str">
        <f ca="1">IFERROR(__xludf.DUMMYFUNCTION("""COMPUTED_VALUE"""),"1744614155216")</f>
        <v>1744614155216</v>
      </c>
      <c r="B58" s="2">
        <f ca="1">IFERROR(__xludf.DUMMYFUNCTION("""COMPUTED_VALUE"""),398272087)</f>
        <v>398272087</v>
      </c>
      <c r="C58" s="2" t="str">
        <f ca="1"/>
        <v>0398272087</v>
      </c>
      <c r="D58" s="2" t="str">
        <f ca="1">IFERROR(__xludf.DUMMYFUNCTION("""COMPUTED_VALUE"""),"1754466476459")</f>
        <v>1754466476459</v>
      </c>
      <c r="E58" s="2">
        <f ca="1">IFERROR(__xludf.DUMMYFUNCTION("""COMPUTED_VALUE"""),865119193)</f>
        <v>865119193</v>
      </c>
      <c r="F58" s="2" t="str">
        <f ca="1"/>
        <v>0865119193</v>
      </c>
      <c r="G58" s="2" t="str">
        <f ca="1">IFERROR(__xludf.DUMMYFUNCTION("""COMPUTED_VALUE"""),"1756913832910")</f>
        <v>1756913832910</v>
      </c>
      <c r="I58" s="2" t="str">
        <f ca="1">IFERROR(__xludf.DUMMYFUNCTION("""COMPUTED_VALUE"""),"Đào Hạnh Nhi")</f>
        <v>Đào Hạnh Nhi</v>
      </c>
      <c r="J58" s="3" t="str">
        <f ca="1">IFERROR(__xludf.DUMMYFUNCTION("""COMPUTED_VALUE"""),"0866085898")</f>
        <v>0866085898</v>
      </c>
      <c r="K58" s="2" t="str">
        <f ca="1">IFERROR(__xludf.DUMMYFUNCTION("""COMPUTED_VALUE"""),"1744614155216")</f>
        <v>1744614155216</v>
      </c>
    </row>
    <row r="59" spans="1:11" ht="12.45">
      <c r="A59" s="2" t="str">
        <f ca="1">IFERROR(__xludf.DUMMYFUNCTION("""COMPUTED_VALUE"""),"1744614200451")</f>
        <v>1744614200451</v>
      </c>
      <c r="B59" s="2">
        <f ca="1">IFERROR(__xludf.DUMMYFUNCTION("""COMPUTED_VALUE"""),947213659)</f>
        <v>947213659</v>
      </c>
      <c r="C59" s="2" t="str">
        <f ca="1"/>
        <v>0947213659</v>
      </c>
      <c r="D59" s="2" t="str">
        <f ca="1">IFERROR(__xludf.DUMMYFUNCTION("""COMPUTED_VALUE"""),"1754466507328")</f>
        <v>1754466507328</v>
      </c>
      <c r="E59" s="2">
        <f ca="1">IFERROR(__xludf.DUMMYFUNCTION("""COMPUTED_VALUE"""),398057719)</f>
        <v>398057719</v>
      </c>
      <c r="F59" s="2" t="str">
        <f ca="1"/>
        <v>0398057719</v>
      </c>
      <c r="G59" s="2" t="str">
        <f ca="1">IFERROR(__xludf.DUMMYFUNCTION("""COMPUTED_VALUE"""),"1756913891263")</f>
        <v>1756913891263</v>
      </c>
      <c r="I59" s="2" t="str">
        <f ca="1">IFERROR(__xludf.DUMMYFUNCTION("""COMPUTED_VALUE"""),"Nguyễn Duy Đức")</f>
        <v>Nguyễn Duy Đức</v>
      </c>
      <c r="J59" s="3" t="str">
        <f ca="1">IFERROR(__xludf.DUMMYFUNCTION("""COMPUTED_VALUE"""),"0779323630")</f>
        <v>0779323630</v>
      </c>
      <c r="K59" s="2" t="str">
        <f ca="1">IFERROR(__xludf.DUMMYFUNCTION("""COMPUTED_VALUE"""),"1744614200451")</f>
        <v>1744614200451</v>
      </c>
    </row>
    <row r="60" spans="1:11" ht="12.45">
      <c r="A60" s="2" t="str">
        <f ca="1">IFERROR(__xludf.DUMMYFUNCTION("""COMPUTED_VALUE"""),"1744614277208")</f>
        <v>1744614277208</v>
      </c>
      <c r="B60" s="2">
        <f ca="1">IFERROR(__xludf.DUMMYFUNCTION("""COMPUTED_VALUE"""),983889334)</f>
        <v>983889334</v>
      </c>
      <c r="C60" s="2" t="str">
        <f ca="1"/>
        <v>0983889334</v>
      </c>
      <c r="D60" s="2" t="str">
        <f ca="1">IFERROR(__xludf.DUMMYFUNCTION("""COMPUTED_VALUE"""),"1754466548007")</f>
        <v>1754466548007</v>
      </c>
      <c r="E60" s="2">
        <f ca="1">IFERROR(__xludf.DUMMYFUNCTION("""COMPUTED_VALUE"""),975021757)</f>
        <v>975021757</v>
      </c>
      <c r="F60" s="2" t="str">
        <f ca="1"/>
        <v>0975021757</v>
      </c>
      <c r="G60" s="2" t="str">
        <f ca="1">IFERROR(__xludf.DUMMYFUNCTION("""COMPUTED_VALUE"""),"1756913936407")</f>
        <v>1756913936407</v>
      </c>
      <c r="I60" s="2" t="str">
        <f ca="1">IFERROR(__xludf.DUMMYFUNCTION("""COMPUTED_VALUE"""),"Tạ nguyệt ánh ")</f>
        <v xml:space="preserve">Tạ nguyệt ánh </v>
      </c>
      <c r="J60" s="3" t="str">
        <f ca="1">IFERROR(__xludf.DUMMYFUNCTION("""COMPUTED_VALUE"""),"0974177156")</f>
        <v>0974177156</v>
      </c>
      <c r="K60" s="2" t="str">
        <f ca="1">IFERROR(__xludf.DUMMYFUNCTION("""COMPUTED_VALUE"""),"1744614277208")</f>
        <v>1744614277208</v>
      </c>
    </row>
    <row r="61" spans="1:11" ht="12.45">
      <c r="A61" s="2" t="str">
        <f ca="1">IFERROR(__xludf.DUMMYFUNCTION("""COMPUTED_VALUE"""),"1744614334166")</f>
        <v>1744614334166</v>
      </c>
      <c r="B61" s="2">
        <f ca="1">IFERROR(__xludf.DUMMYFUNCTION("""COMPUTED_VALUE"""),906082069)</f>
        <v>906082069</v>
      </c>
      <c r="C61" s="2" t="str">
        <f ca="1"/>
        <v>0906082069</v>
      </c>
      <c r="D61" s="2" t="str">
        <f ca="1">IFERROR(__xludf.DUMMYFUNCTION("""COMPUTED_VALUE"""),"1754466578896")</f>
        <v>1754466578896</v>
      </c>
      <c r="E61" s="2">
        <f ca="1">IFERROR(__xludf.DUMMYFUNCTION("""COMPUTED_VALUE"""),988443247)</f>
        <v>988443247</v>
      </c>
      <c r="F61" s="2" t="str">
        <f ca="1"/>
        <v>0988443247</v>
      </c>
      <c r="G61" s="2" t="str">
        <f ca="1">IFERROR(__xludf.DUMMYFUNCTION("""COMPUTED_VALUE"""),"1756913971724")</f>
        <v>1756913971724</v>
      </c>
      <c r="I61" s="2" t="str">
        <f ca="1">IFERROR(__xludf.DUMMYFUNCTION("""COMPUTED_VALUE"""),"Lê Diệp Anh Thư")</f>
        <v>Lê Diệp Anh Thư</v>
      </c>
      <c r="J61" s="3" t="str">
        <f ca="1">IFERROR(__xludf.DUMMYFUNCTION("""COMPUTED_VALUE"""),"0825111779")</f>
        <v>0825111779</v>
      </c>
      <c r="K61" s="2" t="str">
        <f ca="1">IFERROR(__xludf.DUMMYFUNCTION("""COMPUTED_VALUE"""),"1744614334166")</f>
        <v>1744614334166</v>
      </c>
    </row>
    <row r="62" spans="1:11" ht="12.45">
      <c r="A62" s="2" t="str">
        <f ca="1">IFERROR(__xludf.DUMMYFUNCTION("""COMPUTED_VALUE"""),"1744614379179")</f>
        <v>1744614379179</v>
      </c>
      <c r="B62" s="2">
        <f ca="1">IFERROR(__xludf.DUMMYFUNCTION("""COMPUTED_VALUE"""),977480308)</f>
        <v>977480308</v>
      </c>
      <c r="C62" s="2" t="str">
        <f ca="1"/>
        <v>0977480308</v>
      </c>
      <c r="D62" s="2" t="str">
        <f ca="1">IFERROR(__xludf.DUMMYFUNCTION("""COMPUTED_VALUE"""),"1754466622662")</f>
        <v>1754466622662</v>
      </c>
      <c r="E62" s="2">
        <f ca="1">IFERROR(__xludf.DUMMYFUNCTION("""COMPUTED_VALUE"""),344423611)</f>
        <v>344423611</v>
      </c>
      <c r="F62" s="2" t="str">
        <f ca="1"/>
        <v>0344423611</v>
      </c>
      <c r="G62" s="2" t="str">
        <f ca="1">IFERROR(__xludf.DUMMYFUNCTION("""COMPUTED_VALUE"""),"1756914004468")</f>
        <v>1756914004468</v>
      </c>
      <c r="I62" s="2" t="str">
        <f ca="1">IFERROR(__xludf.DUMMYFUNCTION("""COMPUTED_VALUE"""),"Thái Thị Ánh Tuyết ")</f>
        <v xml:space="preserve">Thái Thị Ánh Tuyết </v>
      </c>
      <c r="J62" s="3" t="str">
        <f ca="1">IFERROR(__xludf.DUMMYFUNCTION("""COMPUTED_VALUE"""),"0344721015")</f>
        <v>0344721015</v>
      </c>
      <c r="K62" s="2" t="str">
        <f ca="1">IFERROR(__xludf.DUMMYFUNCTION("""COMPUTED_VALUE"""),"1744614379179")</f>
        <v>1744614379179</v>
      </c>
    </row>
    <row r="63" spans="1:11" ht="12.45">
      <c r="A63" s="2" t="str">
        <f ca="1">IFERROR(__xludf.DUMMYFUNCTION("""COMPUTED_VALUE"""),"1744614434062")</f>
        <v>1744614434062</v>
      </c>
      <c r="B63" s="2">
        <f ca="1">IFERROR(__xludf.DUMMYFUNCTION("""COMPUTED_VALUE"""),982384788)</f>
        <v>982384788</v>
      </c>
      <c r="C63" s="2" t="str">
        <f ca="1"/>
        <v>0982384788</v>
      </c>
      <c r="D63" s="2" t="str">
        <f ca="1">IFERROR(__xludf.DUMMYFUNCTION("""COMPUTED_VALUE"""),"1754466651177")</f>
        <v>1754466651177</v>
      </c>
      <c r="E63" s="2">
        <f ca="1">IFERROR(__xludf.DUMMYFUNCTION("""COMPUTED_VALUE"""),349097703)</f>
        <v>349097703</v>
      </c>
      <c r="F63" s="2" t="str">
        <f ca="1"/>
        <v>0349097703</v>
      </c>
      <c r="G63" s="2" t="str">
        <f ca="1">IFERROR(__xludf.DUMMYFUNCTION("""COMPUTED_VALUE"""),"1756914043094")</f>
        <v>1756914043094</v>
      </c>
      <c r="I63" s="2" t="str">
        <f ca="1">IFERROR(__xludf.DUMMYFUNCTION("""COMPUTED_VALUE"""),"Nguyễn Thị Kim Anh")</f>
        <v>Nguyễn Thị Kim Anh</v>
      </c>
      <c r="J63" s="3" t="str">
        <f ca="1">IFERROR(__xludf.DUMMYFUNCTION("""COMPUTED_VALUE"""),"0794065646")</f>
        <v>0794065646</v>
      </c>
      <c r="K63" s="2" t="str">
        <f ca="1">IFERROR(__xludf.DUMMYFUNCTION("""COMPUTED_VALUE"""),"1744614434062")</f>
        <v>1744614434062</v>
      </c>
    </row>
    <row r="64" spans="1:11" ht="12.45">
      <c r="A64" s="2" t="str">
        <f ca="1">IFERROR(__xludf.DUMMYFUNCTION("""COMPUTED_VALUE"""),"1744614477051")</f>
        <v>1744614477051</v>
      </c>
      <c r="B64" s="2">
        <f ca="1">IFERROR(__xludf.DUMMYFUNCTION("""COMPUTED_VALUE"""),374042007)</f>
        <v>374042007</v>
      </c>
      <c r="C64" s="2" t="str">
        <f ca="1"/>
        <v>0374042007</v>
      </c>
      <c r="D64" s="2" t="str">
        <f ca="1">IFERROR(__xludf.DUMMYFUNCTION("""COMPUTED_VALUE"""),"1754466682658")</f>
        <v>1754466682658</v>
      </c>
      <c r="E64" s="2">
        <f ca="1">IFERROR(__xludf.DUMMYFUNCTION("""COMPUTED_VALUE"""),778588827)</f>
        <v>778588827</v>
      </c>
      <c r="F64" s="2" t="str">
        <f ca="1"/>
        <v>0778588827</v>
      </c>
      <c r="G64" s="2" t="str">
        <f ca="1">IFERROR(__xludf.DUMMYFUNCTION("""COMPUTED_VALUE"""),"1756914085728")</f>
        <v>1756914085728</v>
      </c>
      <c r="I64" s="2" t="str">
        <f ca="1">IFERROR(__xludf.DUMMYFUNCTION("""COMPUTED_VALUE"""),"Nguyễn Thị Thanh Thuý")</f>
        <v>Nguyễn Thị Thanh Thuý</v>
      </c>
      <c r="J64" s="3" t="str">
        <f ca="1">IFERROR(__xludf.DUMMYFUNCTION("""COMPUTED_VALUE"""),"0355837169")</f>
        <v>0355837169</v>
      </c>
      <c r="K64" s="2" t="str">
        <f ca="1">IFERROR(__xludf.DUMMYFUNCTION("""COMPUTED_VALUE"""),"1744614477051")</f>
        <v>1744614477051</v>
      </c>
    </row>
    <row r="65" spans="1:11" ht="12.45">
      <c r="A65" s="2" t="str">
        <f ca="1">IFERROR(__xludf.DUMMYFUNCTION("""COMPUTED_VALUE"""),"1744614524148")</f>
        <v>1744614524148</v>
      </c>
      <c r="B65" s="2">
        <f ca="1">IFERROR(__xludf.DUMMYFUNCTION("""COMPUTED_VALUE"""),329159919)</f>
        <v>329159919</v>
      </c>
      <c r="C65" s="2" t="str">
        <f ca="1"/>
        <v>0329159919</v>
      </c>
      <c r="D65" s="2" t="str">
        <f ca="1">IFERROR(__xludf.DUMMYFUNCTION("""COMPUTED_VALUE"""),"1754466721396")</f>
        <v>1754466721396</v>
      </c>
      <c r="E65" s="2">
        <f ca="1">IFERROR(__xludf.DUMMYFUNCTION("""COMPUTED_VALUE"""),819201542)</f>
        <v>819201542</v>
      </c>
      <c r="F65" s="2" t="str">
        <f ca="1"/>
        <v>0819201542</v>
      </c>
      <c r="G65" s="2" t="str">
        <f ca="1">IFERROR(__xludf.DUMMYFUNCTION("""COMPUTED_VALUE"""),"1756914124383")</f>
        <v>1756914124383</v>
      </c>
      <c r="I65" s="2" t="str">
        <f ca="1">IFERROR(__xludf.DUMMYFUNCTION("""COMPUTED_VALUE"""),"Nguyễn Thị Thanh Hoài")</f>
        <v>Nguyễn Thị Thanh Hoài</v>
      </c>
      <c r="J65" s="3" t="str">
        <f ca="1">IFERROR(__xludf.DUMMYFUNCTION("""COMPUTED_VALUE"""),"0336254917")</f>
        <v>0336254917</v>
      </c>
      <c r="K65" s="2" t="str">
        <f ca="1">IFERROR(__xludf.DUMMYFUNCTION("""COMPUTED_VALUE"""),"1744614524148")</f>
        <v>1744614524148</v>
      </c>
    </row>
    <row r="66" spans="1:11" ht="12.45">
      <c r="A66" s="2" t="str">
        <f ca="1">IFERROR(__xludf.DUMMYFUNCTION("""COMPUTED_VALUE"""),"1738939750836")</f>
        <v>1738939750836</v>
      </c>
      <c r="B66" s="2">
        <f ca="1">IFERROR(__xludf.DUMMYFUNCTION("""COMPUTED_VALUE"""),902271251)</f>
        <v>902271251</v>
      </c>
      <c r="C66" s="2" t="str">
        <f ca="1"/>
        <v>0902271251</v>
      </c>
      <c r="D66" s="2" t="str">
        <f ca="1">IFERROR(__xludf.DUMMYFUNCTION("""COMPUTED_VALUE"""),"1754466759931")</f>
        <v>1754466759931</v>
      </c>
      <c r="E66" s="2">
        <f ca="1">IFERROR(__xludf.DUMMYFUNCTION("""COMPUTED_VALUE"""),981706632)</f>
        <v>981706632</v>
      </c>
      <c r="F66" s="2" t="str">
        <f ca="1"/>
        <v>0981706632</v>
      </c>
      <c r="G66" s="2" t="str">
        <f ca="1">IFERROR(__xludf.DUMMYFUNCTION("""COMPUTED_VALUE"""),"1756914163284")</f>
        <v>1756914163284</v>
      </c>
      <c r="I66" s="2" t="str">
        <f ca="1">IFERROR(__xludf.DUMMYFUNCTION("""COMPUTED_VALUE"""),"Phạm Thị Thuỳ Linh")</f>
        <v>Phạm Thị Thuỳ Linh</v>
      </c>
      <c r="J66" s="3" t="str">
        <f ca="1">IFERROR(__xludf.DUMMYFUNCTION("""COMPUTED_VALUE"""),"0372504672")</f>
        <v>0372504672</v>
      </c>
      <c r="K66" s="2" t="str">
        <f ca="1">IFERROR(__xludf.DUMMYFUNCTION("""COMPUTED_VALUE"""),"1738939750836")</f>
        <v>1738939750836</v>
      </c>
    </row>
    <row r="67" spans="1:11" ht="12.45">
      <c r="A67" s="2" t="str">
        <f ca="1">IFERROR(__xludf.DUMMYFUNCTION("""COMPUTED_VALUE"""),"1744614562266")</f>
        <v>1744614562266</v>
      </c>
      <c r="B67" s="2">
        <f ca="1">IFERROR(__xludf.DUMMYFUNCTION("""COMPUTED_VALUE"""),797169639)</f>
        <v>797169639</v>
      </c>
      <c r="C67" s="2" t="str">
        <f ca="1"/>
        <v>0797169639</v>
      </c>
      <c r="D67" s="2" t="str">
        <f ca="1">IFERROR(__xludf.DUMMYFUNCTION("""COMPUTED_VALUE"""),"1754466805090")</f>
        <v>1754466805090</v>
      </c>
      <c r="E67" s="2">
        <f ca="1">IFERROR(__xludf.DUMMYFUNCTION("""COMPUTED_VALUE"""),374180407)</f>
        <v>374180407</v>
      </c>
      <c r="F67" s="2" t="str">
        <f ca="1"/>
        <v>0374180407</v>
      </c>
      <c r="G67" s="2" t="str">
        <f ca="1">IFERROR(__xludf.DUMMYFUNCTION("""COMPUTED_VALUE"""),"1756914203715")</f>
        <v>1756914203715</v>
      </c>
      <c r="I67" s="2" t="str">
        <f ca="1">IFERROR(__xludf.DUMMYFUNCTION("""COMPUTED_VALUE"""),"Hoàng thị lan anh ")</f>
        <v xml:space="preserve">Hoàng thị lan anh </v>
      </c>
      <c r="J67" s="3" t="str">
        <f ca="1">IFERROR(__xludf.DUMMYFUNCTION("""COMPUTED_VALUE"""),"0373067803")</f>
        <v>0373067803</v>
      </c>
      <c r="K67" s="2" t="str">
        <f ca="1">IFERROR(__xludf.DUMMYFUNCTION("""COMPUTED_VALUE"""),"1744614562266")</f>
        <v>1744614562266</v>
      </c>
    </row>
    <row r="68" spans="1:11" ht="12.45">
      <c r="A68" s="2" t="str">
        <f ca="1">IFERROR(__xludf.DUMMYFUNCTION("""COMPUTED_VALUE"""),"1744614611399")</f>
        <v>1744614611399</v>
      </c>
      <c r="B68" s="2">
        <f ca="1">IFERROR(__xludf.DUMMYFUNCTION("""COMPUTED_VALUE"""),963689451)</f>
        <v>963689451</v>
      </c>
      <c r="C68" s="2" t="str">
        <f ca="1"/>
        <v>0963689451</v>
      </c>
      <c r="D68" s="2" t="str">
        <f ca="1">IFERROR(__xludf.DUMMYFUNCTION("""COMPUTED_VALUE"""),"1754466853156")</f>
        <v>1754466853156</v>
      </c>
      <c r="E68" s="2">
        <f ca="1">IFERROR(__xludf.DUMMYFUNCTION("""COMPUTED_VALUE"""),914860416)</f>
        <v>914860416</v>
      </c>
      <c r="F68" s="2" t="str">
        <f ca="1"/>
        <v>0914860416</v>
      </c>
      <c r="G68" s="2" t="str">
        <f ca="1">IFERROR(__xludf.DUMMYFUNCTION("""COMPUTED_VALUE"""),"1756914245177")</f>
        <v>1756914245177</v>
      </c>
      <c r="I68" s="2" t="str">
        <f ca="1">IFERROR(__xludf.DUMMYFUNCTION("""COMPUTED_VALUE"""),"Nguyễn Bảo Trang")</f>
        <v>Nguyễn Bảo Trang</v>
      </c>
      <c r="J68" s="3" t="str">
        <f ca="1">IFERROR(__xludf.DUMMYFUNCTION("""COMPUTED_VALUE"""),"0968908474")</f>
        <v>0968908474</v>
      </c>
      <c r="K68" s="2" t="str">
        <f ca="1">IFERROR(__xludf.DUMMYFUNCTION("""COMPUTED_VALUE"""),"1744614611399")</f>
        <v>1744614611399</v>
      </c>
    </row>
    <row r="69" spans="1:11" ht="12.45">
      <c r="A69" s="2" t="str">
        <f ca="1">IFERROR(__xludf.DUMMYFUNCTION("""COMPUTED_VALUE"""),"1744614644157")</f>
        <v>1744614644157</v>
      </c>
      <c r="B69" s="2">
        <f ca="1">IFERROR(__xludf.DUMMYFUNCTION("""COMPUTED_VALUE"""),942067867)</f>
        <v>942067867</v>
      </c>
      <c r="C69" s="2" t="str">
        <f ca="1"/>
        <v>0942067867</v>
      </c>
      <c r="D69" s="2" t="str">
        <f ca="1">IFERROR(__xludf.DUMMYFUNCTION("""COMPUTED_VALUE"""),"1754466889809")</f>
        <v>1754466889809</v>
      </c>
      <c r="E69" s="2">
        <f ca="1">IFERROR(__xludf.DUMMYFUNCTION("""COMPUTED_VALUE"""),382870868)</f>
        <v>382870868</v>
      </c>
      <c r="F69" s="2" t="str">
        <f ca="1"/>
        <v>0382870868</v>
      </c>
      <c r="G69" s="2" t="str">
        <f ca="1">IFERROR(__xludf.DUMMYFUNCTION("""COMPUTED_VALUE"""),"1756914279902")</f>
        <v>1756914279902</v>
      </c>
      <c r="I69" s="2" t="str">
        <f ca="1">IFERROR(__xludf.DUMMYFUNCTION("""COMPUTED_VALUE"""),"Hoàng Thành Nam")</f>
        <v>Hoàng Thành Nam</v>
      </c>
      <c r="J69" s="3" t="str">
        <f ca="1">IFERROR(__xludf.DUMMYFUNCTION("""COMPUTED_VALUE"""),"0332846667")</f>
        <v>0332846667</v>
      </c>
      <c r="K69" s="2" t="str">
        <f ca="1">IFERROR(__xludf.DUMMYFUNCTION("""COMPUTED_VALUE"""),"1744614644157")</f>
        <v>1744614644157</v>
      </c>
    </row>
    <row r="70" spans="1:11" ht="12.45">
      <c r="A70" s="2" t="str">
        <f ca="1">IFERROR(__xludf.DUMMYFUNCTION("""COMPUTED_VALUE"""),"1744614690454")</f>
        <v>1744614690454</v>
      </c>
      <c r="B70" s="2">
        <f ca="1">IFERROR(__xludf.DUMMYFUNCTION("""COMPUTED_VALUE"""),325047122)</f>
        <v>325047122</v>
      </c>
      <c r="C70" s="2" t="str">
        <f ca="1"/>
        <v>0325047122</v>
      </c>
      <c r="D70" s="2" t="str">
        <f ca="1">IFERROR(__xludf.DUMMYFUNCTION("""COMPUTED_VALUE"""),"1754466935922")</f>
        <v>1754466935922</v>
      </c>
      <c r="E70" s="2">
        <f ca="1">IFERROR(__xludf.DUMMYFUNCTION("""COMPUTED_VALUE"""),392005531)</f>
        <v>392005531</v>
      </c>
      <c r="F70" s="2" t="str">
        <f ca="1"/>
        <v>0392005531</v>
      </c>
      <c r="G70" s="2" t="str">
        <f ca="1">IFERROR(__xludf.DUMMYFUNCTION("""COMPUTED_VALUE"""),"1756914313851")</f>
        <v>1756914313851</v>
      </c>
      <c r="I70" s="2" t="str">
        <f ca="1">IFERROR(__xludf.DUMMYFUNCTION("""COMPUTED_VALUE"""),"Hà Quỳnh Trang")</f>
        <v>Hà Quỳnh Trang</v>
      </c>
      <c r="J70" s="3" t="str">
        <f ca="1">IFERROR(__xludf.DUMMYFUNCTION("""COMPUTED_VALUE"""),"0987122976")</f>
        <v>0987122976</v>
      </c>
      <c r="K70" s="2" t="str">
        <f ca="1">IFERROR(__xludf.DUMMYFUNCTION("""COMPUTED_VALUE"""),"1744614690454")</f>
        <v>1744614690454</v>
      </c>
    </row>
    <row r="71" spans="1:11" ht="12.45">
      <c r="A71" s="2" t="str">
        <f ca="1">IFERROR(__xludf.DUMMYFUNCTION("""COMPUTED_VALUE"""),"1744614729316")</f>
        <v>1744614729316</v>
      </c>
      <c r="B71" s="2">
        <f ca="1">IFERROR(__xludf.DUMMYFUNCTION("""COMPUTED_VALUE"""),342787348)</f>
        <v>342787348</v>
      </c>
      <c r="C71" s="2" t="str">
        <f ca="1"/>
        <v>0342787348</v>
      </c>
      <c r="D71" s="2" t="str">
        <f ca="1">IFERROR(__xludf.DUMMYFUNCTION("""COMPUTED_VALUE"""),"1754466971097")</f>
        <v>1754466971097</v>
      </c>
      <c r="E71" s="2">
        <f ca="1">IFERROR(__xludf.DUMMYFUNCTION("""COMPUTED_VALUE"""),359015229)</f>
        <v>359015229</v>
      </c>
      <c r="F71" s="2" t="str">
        <f ca="1"/>
        <v>0359015229</v>
      </c>
      <c r="G71" s="2" t="str">
        <f ca="1">IFERROR(__xludf.DUMMYFUNCTION("""COMPUTED_VALUE"""),"1756914398767")</f>
        <v>1756914398767</v>
      </c>
      <c r="I71" s="2" t="str">
        <f ca="1">IFERROR(__xludf.DUMMYFUNCTION("""COMPUTED_VALUE"""),"Nguyễn Hồng Minh")</f>
        <v>Nguyễn Hồng Minh</v>
      </c>
      <c r="J71" s="3" t="str">
        <f ca="1">IFERROR(__xludf.DUMMYFUNCTION("""COMPUTED_VALUE"""),"0988844358")</f>
        <v>0988844358</v>
      </c>
      <c r="K71" s="2" t="str">
        <f ca="1">IFERROR(__xludf.DUMMYFUNCTION("""COMPUTED_VALUE"""),"1744614729316")</f>
        <v>1744614729316</v>
      </c>
    </row>
    <row r="72" spans="1:11" ht="12.45">
      <c r="A72" s="2" t="str">
        <f ca="1">IFERROR(__xludf.DUMMYFUNCTION("""COMPUTED_VALUE"""),"1744614768767")</f>
        <v>1744614768767</v>
      </c>
      <c r="B72" s="2">
        <f ca="1">IFERROR(__xludf.DUMMYFUNCTION("""COMPUTED_VALUE"""),397835490)</f>
        <v>397835490</v>
      </c>
      <c r="C72" s="2" t="str">
        <f ca="1"/>
        <v>0397835490</v>
      </c>
      <c r="D72" s="2" t="str">
        <f ca="1">IFERROR(__xludf.DUMMYFUNCTION("""COMPUTED_VALUE"""),"1754467011634")</f>
        <v>1754467011634</v>
      </c>
      <c r="E72" s="2">
        <f ca="1">IFERROR(__xludf.DUMMYFUNCTION("""COMPUTED_VALUE"""),397114624)</f>
        <v>397114624</v>
      </c>
      <c r="F72" s="2" t="str">
        <f ca="1"/>
        <v>0397114624</v>
      </c>
      <c r="G72" s="2" t="str">
        <f ca="1">IFERROR(__xludf.DUMMYFUNCTION("""COMPUTED_VALUE"""),"1756914446061")</f>
        <v>1756914446061</v>
      </c>
      <c r="I72" s="2" t="str">
        <f ca="1">IFERROR(__xludf.DUMMYFUNCTION("""COMPUTED_VALUE"""),"Nguyễn Trung Nguyên ")</f>
        <v xml:space="preserve">Nguyễn Trung Nguyên </v>
      </c>
      <c r="J72" s="3" t="str">
        <f ca="1">IFERROR(__xludf.DUMMYFUNCTION("""COMPUTED_VALUE"""),"0794509697")</f>
        <v>0794509697</v>
      </c>
      <c r="K72" s="2" t="str">
        <f ca="1">IFERROR(__xludf.DUMMYFUNCTION("""COMPUTED_VALUE"""),"1744614768767")</f>
        <v>1744614768767</v>
      </c>
    </row>
    <row r="73" spans="1:11" ht="12.45">
      <c r="A73" s="2" t="str">
        <f ca="1">IFERROR(__xludf.DUMMYFUNCTION("""COMPUTED_VALUE"""),"1744614803987")</f>
        <v>1744614803987</v>
      </c>
      <c r="B73" s="2">
        <f ca="1">IFERROR(__xludf.DUMMYFUNCTION("""COMPUTED_VALUE"""),963859952)</f>
        <v>963859952</v>
      </c>
      <c r="C73" s="2" t="str">
        <f ca="1"/>
        <v>0963859952</v>
      </c>
      <c r="D73" s="2" t="str">
        <f ca="1">IFERROR(__xludf.DUMMYFUNCTION("""COMPUTED_VALUE"""),"1754467072782")</f>
        <v>1754467072782</v>
      </c>
      <c r="E73" s="2">
        <f ca="1">IFERROR(__xludf.DUMMYFUNCTION("""COMPUTED_VALUE"""),354132043)</f>
        <v>354132043</v>
      </c>
      <c r="F73" s="2" t="str">
        <f ca="1"/>
        <v>0354132043</v>
      </c>
      <c r="G73" s="2">
        <f ca="1">IFERROR(__xludf.DUMMYFUNCTION("""COMPUTED_VALUE"""),105648808938)</f>
        <v>105648808938</v>
      </c>
      <c r="I73" s="2" t="str">
        <f ca="1">IFERROR(__xludf.DUMMYFUNCTION("""COMPUTED_VALUE"""),"Nguyễn Hoàng Anh Thư")</f>
        <v>Nguyễn Hoàng Anh Thư</v>
      </c>
      <c r="J73" s="3" t="str">
        <f ca="1">IFERROR(__xludf.DUMMYFUNCTION("""COMPUTED_VALUE"""),"0945697559")</f>
        <v>0945697559</v>
      </c>
      <c r="K73" s="2" t="str">
        <f ca="1">IFERROR(__xludf.DUMMYFUNCTION("""COMPUTED_VALUE"""),"1744614803987")</f>
        <v>1744614803987</v>
      </c>
    </row>
    <row r="74" spans="1:11" ht="12.45">
      <c r="A74" s="2" t="str">
        <f ca="1">IFERROR(__xludf.DUMMYFUNCTION("""COMPUTED_VALUE"""),"1740941767857")</f>
        <v>1740941767857</v>
      </c>
      <c r="B74" s="2">
        <f ca="1">IFERROR(__xludf.DUMMYFUNCTION("""COMPUTED_VALUE"""),384669652)</f>
        <v>384669652</v>
      </c>
      <c r="C74" s="2" t="str">
        <f ca="1"/>
        <v>0384669652</v>
      </c>
      <c r="D74" s="2" t="str">
        <f ca="1">IFERROR(__xludf.DUMMYFUNCTION("""COMPUTED_VALUE"""),"1754467111562")</f>
        <v>1754467111562</v>
      </c>
      <c r="E74" s="2">
        <f ca="1">IFERROR(__xludf.DUMMYFUNCTION("""COMPUTED_VALUE"""),363035847)</f>
        <v>363035847</v>
      </c>
      <c r="F74" s="2" t="str">
        <f ca="1"/>
        <v>0363035847</v>
      </c>
      <c r="G74" s="2" t="str">
        <f ca="1">IFERROR(__xludf.DUMMYFUNCTION("""COMPUTED_VALUE"""),"1756914485363")</f>
        <v>1756914485363</v>
      </c>
      <c r="I74" s="2" t="str">
        <f ca="1">IFERROR(__xludf.DUMMYFUNCTION("""COMPUTED_VALUE"""),"Nguyễn Thị Thu Hà")</f>
        <v>Nguyễn Thị Thu Hà</v>
      </c>
      <c r="J74" s="3" t="str">
        <f ca="1">IFERROR(__xludf.DUMMYFUNCTION("""COMPUTED_VALUE"""),"0395266256")</f>
        <v>0395266256</v>
      </c>
      <c r="K74" s="2" t="str">
        <f ca="1">IFERROR(__xludf.DUMMYFUNCTION("""COMPUTED_VALUE"""),"1740941767857")</f>
        <v>1740941767857</v>
      </c>
    </row>
    <row r="75" spans="1:11" ht="12.45">
      <c r="A75" s="2" t="str">
        <f ca="1">IFERROR(__xludf.DUMMYFUNCTION("""COMPUTED_VALUE"""),"1744614837833")</f>
        <v>1744614837833</v>
      </c>
      <c r="B75" s="2">
        <f ca="1">IFERROR(__xludf.DUMMYFUNCTION("""COMPUTED_VALUE"""),987668039)</f>
        <v>987668039</v>
      </c>
      <c r="C75" s="2" t="str">
        <f ca="1"/>
        <v>0987668039</v>
      </c>
      <c r="D75" s="2" t="str">
        <f ca="1">IFERROR(__xludf.DUMMYFUNCTION("""COMPUTED_VALUE"""),"1754467146922")</f>
        <v>1754467146922</v>
      </c>
      <c r="E75" s="2">
        <f ca="1">IFERROR(__xludf.DUMMYFUNCTION("""COMPUTED_VALUE"""),844694974)</f>
        <v>844694974</v>
      </c>
      <c r="F75" s="2" t="str">
        <f ca="1"/>
        <v>0844694974</v>
      </c>
      <c r="G75" s="2" t="str">
        <f ca="1">IFERROR(__xludf.DUMMYFUNCTION("""COMPUTED_VALUE"""),"1756914527663")</f>
        <v>1756914527663</v>
      </c>
      <c r="I75" s="2" t="str">
        <f ca="1">IFERROR(__xludf.DUMMYFUNCTION("""COMPUTED_VALUE"""),"Lê Văn Điềm ")</f>
        <v xml:space="preserve">Lê Văn Điềm </v>
      </c>
      <c r="J75" s="3" t="str">
        <f ca="1">IFERROR(__xludf.DUMMYFUNCTION("""COMPUTED_VALUE"""),"0334194529")</f>
        <v>0334194529</v>
      </c>
      <c r="K75" s="2" t="str">
        <f ca="1">IFERROR(__xludf.DUMMYFUNCTION("""COMPUTED_VALUE"""),"1744614837833")</f>
        <v>1744614837833</v>
      </c>
    </row>
    <row r="76" spans="1:11" ht="12.45">
      <c r="A76" s="2" t="str">
        <f ca="1">IFERROR(__xludf.DUMMYFUNCTION("""COMPUTED_VALUE"""),"1744614877264")</f>
        <v>1744614877264</v>
      </c>
      <c r="B76" s="2">
        <f ca="1">IFERROR(__xludf.DUMMYFUNCTION("""COMPUTED_VALUE"""),977317532)</f>
        <v>977317532</v>
      </c>
      <c r="C76" s="2" t="str">
        <f ca="1"/>
        <v>0977317532</v>
      </c>
      <c r="D76" s="2" t="str">
        <f ca="1">IFERROR(__xludf.DUMMYFUNCTION("""COMPUTED_VALUE"""),"1754467174088")</f>
        <v>1754467174088</v>
      </c>
      <c r="E76" s="2">
        <f ca="1">IFERROR(__xludf.DUMMYFUNCTION("""COMPUTED_VALUE"""),368484396)</f>
        <v>368484396</v>
      </c>
      <c r="F76" s="2" t="str">
        <f ca="1"/>
        <v>0368484396</v>
      </c>
      <c r="G76" s="2" t="str">
        <f ca="1">IFERROR(__xludf.DUMMYFUNCTION("""COMPUTED_VALUE"""),"1756914567330")</f>
        <v>1756914567330</v>
      </c>
      <c r="I76" s="2" t="str">
        <f ca="1">IFERROR(__xludf.DUMMYFUNCTION("""COMPUTED_VALUE"""),"Triệu Thị Tố Uyên ")</f>
        <v xml:space="preserve">Triệu Thị Tố Uyên </v>
      </c>
      <c r="J76" s="3" t="str">
        <f ca="1">IFERROR(__xludf.DUMMYFUNCTION("""COMPUTED_VALUE"""),"0359295217")</f>
        <v>0359295217</v>
      </c>
      <c r="K76" s="2" t="str">
        <f ca="1">IFERROR(__xludf.DUMMYFUNCTION("""COMPUTED_VALUE"""),"1744614877264")</f>
        <v>1744614877264</v>
      </c>
    </row>
    <row r="77" spans="1:11" ht="12.45">
      <c r="A77" s="2" t="str">
        <f ca="1">IFERROR(__xludf.DUMMYFUNCTION("""COMPUTED_VALUE"""),"1744614925963")</f>
        <v>1744614925963</v>
      </c>
      <c r="B77" s="2">
        <f ca="1">IFERROR(__xludf.DUMMYFUNCTION("""COMPUTED_VALUE"""),376801938)</f>
        <v>376801938</v>
      </c>
      <c r="C77" s="2" t="str">
        <f ca="1"/>
        <v>0376801938</v>
      </c>
      <c r="D77" s="2" t="str">
        <f ca="1">IFERROR(__xludf.DUMMYFUNCTION("""COMPUTED_VALUE"""),"1754467246814")</f>
        <v>1754467246814</v>
      </c>
      <c r="E77" s="2">
        <f ca="1">IFERROR(__xludf.DUMMYFUNCTION("""COMPUTED_VALUE"""),849122389)</f>
        <v>849122389</v>
      </c>
      <c r="F77" s="2" t="str">
        <f ca="1"/>
        <v>0849122389</v>
      </c>
      <c r="G77" s="2" t="str">
        <f ca="1">IFERROR(__xludf.DUMMYFUNCTION("""COMPUTED_VALUE"""),"1756914628529")</f>
        <v>1756914628529</v>
      </c>
      <c r="I77" s="2" t="str">
        <f ca="1">IFERROR(__xludf.DUMMYFUNCTION("""COMPUTED_VALUE"""),"Nguyễn Thị Thẩm Linh")</f>
        <v>Nguyễn Thị Thẩm Linh</v>
      </c>
      <c r="J77" s="3" t="str">
        <f ca="1">IFERROR(__xludf.DUMMYFUNCTION("""COMPUTED_VALUE"""),"0355741905")</f>
        <v>0355741905</v>
      </c>
      <c r="K77" s="2" t="str">
        <f ca="1">IFERROR(__xludf.DUMMYFUNCTION("""COMPUTED_VALUE"""),"1744614925963")</f>
        <v>1744614925963</v>
      </c>
    </row>
    <row r="78" spans="1:11" ht="12.45">
      <c r="A78" s="2" t="str">
        <f ca="1">IFERROR(__xludf.DUMMYFUNCTION("""COMPUTED_VALUE"""),"1744614985807")</f>
        <v>1744614985807</v>
      </c>
      <c r="B78" s="2">
        <f ca="1">IFERROR(__xludf.DUMMYFUNCTION("""COMPUTED_VALUE"""),346601807)</f>
        <v>346601807</v>
      </c>
      <c r="C78" s="2" t="str">
        <f ca="1"/>
        <v>0346601807</v>
      </c>
      <c r="D78" s="2" t="str">
        <f ca="1">IFERROR(__xludf.DUMMYFUNCTION("""COMPUTED_VALUE"""),"1754467309010")</f>
        <v>1754467309010</v>
      </c>
      <c r="E78" s="2">
        <f ca="1">IFERROR(__xludf.DUMMYFUNCTION("""COMPUTED_VALUE"""),395239848)</f>
        <v>395239848</v>
      </c>
      <c r="F78" s="2" t="str">
        <f ca="1"/>
        <v>0395239848</v>
      </c>
      <c r="G78" s="2" t="str">
        <f ca="1">IFERROR(__xludf.DUMMYFUNCTION("""COMPUTED_VALUE"""),"1756914665499")</f>
        <v>1756914665499</v>
      </c>
      <c r="I78" s="2" t="str">
        <f ca="1">IFERROR(__xludf.DUMMYFUNCTION("""COMPUTED_VALUE"""),"Phạm Hoàng Long")</f>
        <v>Phạm Hoàng Long</v>
      </c>
      <c r="J78" s="3" t="str">
        <f ca="1">IFERROR(__xludf.DUMMYFUNCTION("""COMPUTED_VALUE"""),"0935083155")</f>
        <v>0935083155</v>
      </c>
      <c r="K78" s="2" t="str">
        <f ca="1">IFERROR(__xludf.DUMMYFUNCTION("""COMPUTED_VALUE"""),"1744614985807")</f>
        <v>1744614985807</v>
      </c>
    </row>
    <row r="79" spans="1:11" ht="12.45">
      <c r="A79" s="2" t="str">
        <f ca="1">IFERROR(__xludf.DUMMYFUNCTION("""COMPUTED_VALUE"""),"1744615023589")</f>
        <v>1744615023589</v>
      </c>
      <c r="B79" s="2">
        <f ca="1">IFERROR(__xludf.DUMMYFUNCTION("""COMPUTED_VALUE"""),972083210)</f>
        <v>972083210</v>
      </c>
      <c r="C79" s="2" t="str">
        <f ca="1"/>
        <v>0972083210</v>
      </c>
      <c r="D79" s="2" t="str">
        <f ca="1">IFERROR(__xludf.DUMMYFUNCTION("""COMPUTED_VALUE"""),"1754467353133")</f>
        <v>1754467353133</v>
      </c>
      <c r="E79" s="2">
        <f ca="1">IFERROR(__xludf.DUMMYFUNCTION("""COMPUTED_VALUE"""),586980244)</f>
        <v>586980244</v>
      </c>
      <c r="F79" s="2" t="str">
        <f ca="1"/>
        <v>0586980244</v>
      </c>
      <c r="G79" s="2" t="str">
        <f ca="1">IFERROR(__xludf.DUMMYFUNCTION("""COMPUTED_VALUE"""),"1756914699438")</f>
        <v>1756914699438</v>
      </c>
      <c r="I79" s="2" t="str">
        <f ca="1">IFERROR(__xludf.DUMMYFUNCTION("""COMPUTED_VALUE"""),"Vũ Phương Anh ")</f>
        <v xml:space="preserve">Vũ Phương Anh </v>
      </c>
      <c r="J79" s="3" t="str">
        <f ca="1">IFERROR(__xludf.DUMMYFUNCTION("""COMPUTED_VALUE"""),"0374501207")</f>
        <v>0374501207</v>
      </c>
      <c r="K79" s="2" t="str">
        <f ca="1">IFERROR(__xludf.DUMMYFUNCTION("""COMPUTED_VALUE"""),"1744615023589")</f>
        <v>1744615023589</v>
      </c>
    </row>
    <row r="80" spans="1:11" ht="12.45">
      <c r="A80" s="2" t="str">
        <f ca="1">IFERROR(__xludf.DUMMYFUNCTION("""COMPUTED_VALUE"""),"1744615099693")</f>
        <v>1744615099693</v>
      </c>
      <c r="B80" s="2">
        <f ca="1">IFERROR(__xludf.DUMMYFUNCTION("""COMPUTED_VALUE"""),961646287)</f>
        <v>961646287</v>
      </c>
      <c r="C80" s="2" t="str">
        <f ca="1"/>
        <v>0961646287</v>
      </c>
      <c r="D80" s="2" t="str">
        <f ca="1">IFERROR(__xludf.DUMMYFUNCTION("""COMPUTED_VALUE"""),"1754467398942")</f>
        <v>1754467398942</v>
      </c>
      <c r="E80" s="2">
        <f ca="1">IFERROR(__xludf.DUMMYFUNCTION("""COMPUTED_VALUE"""),336589773)</f>
        <v>336589773</v>
      </c>
      <c r="F80" s="2" t="str">
        <f ca="1"/>
        <v>0336589773</v>
      </c>
      <c r="G80" s="2" t="str">
        <f ca="1">IFERROR(__xludf.DUMMYFUNCTION("""COMPUTED_VALUE"""),"1756914753683")</f>
        <v>1756914753683</v>
      </c>
      <c r="I80" s="2" t="str">
        <f ca="1">IFERROR(__xludf.DUMMYFUNCTION("""COMPUTED_VALUE"""),"Phan Nữ Hằng Vân")</f>
        <v>Phan Nữ Hằng Vân</v>
      </c>
      <c r="J80" s="3" t="str">
        <f ca="1">IFERROR(__xludf.DUMMYFUNCTION("""COMPUTED_VALUE"""),"0364348265")</f>
        <v>0364348265</v>
      </c>
      <c r="K80" s="2" t="str">
        <f ca="1">IFERROR(__xludf.DUMMYFUNCTION("""COMPUTED_VALUE"""),"1744615099693")</f>
        <v>1744615099693</v>
      </c>
    </row>
    <row r="81" spans="1:11" ht="12.45">
      <c r="A81" s="2" t="str">
        <f ca="1">IFERROR(__xludf.DUMMYFUNCTION("""COMPUTED_VALUE"""),"1744615140735")</f>
        <v>1744615140735</v>
      </c>
      <c r="B81" s="2">
        <f ca="1">IFERROR(__xludf.DUMMYFUNCTION("""COMPUTED_VALUE"""),345614180)</f>
        <v>345614180</v>
      </c>
      <c r="C81" s="2" t="str">
        <f ca="1"/>
        <v>0345614180</v>
      </c>
      <c r="D81" s="2" t="str">
        <f ca="1">IFERROR(__xludf.DUMMYFUNCTION("""COMPUTED_VALUE"""),"1754467435429")</f>
        <v>1754467435429</v>
      </c>
      <c r="E81" s="2">
        <f ca="1">IFERROR(__xludf.DUMMYFUNCTION("""COMPUTED_VALUE"""),869250348)</f>
        <v>869250348</v>
      </c>
      <c r="F81" s="2" t="str">
        <f ca="1"/>
        <v>0869250348</v>
      </c>
      <c r="G81" s="2" t="str">
        <f ca="1">IFERROR(__xludf.DUMMYFUNCTION("""COMPUTED_VALUE"""),"1756914790186")</f>
        <v>1756914790186</v>
      </c>
      <c r="I81" s="2" t="str">
        <f ca="1">IFERROR(__xludf.DUMMYFUNCTION("""COMPUTED_VALUE"""),"Phạm Đào Phúc Nhiên")</f>
        <v>Phạm Đào Phúc Nhiên</v>
      </c>
      <c r="J81" s="3" t="str">
        <f ca="1">IFERROR(__xludf.DUMMYFUNCTION("""COMPUTED_VALUE"""),"0337476042")</f>
        <v>0337476042</v>
      </c>
      <c r="K81" s="2" t="str">
        <f ca="1">IFERROR(__xludf.DUMMYFUNCTION("""COMPUTED_VALUE"""),"1744615140735")</f>
        <v>1744615140735</v>
      </c>
    </row>
    <row r="82" spans="1:11" ht="12.45">
      <c r="A82" s="2" t="str">
        <f ca="1">IFERROR(__xludf.DUMMYFUNCTION("""COMPUTED_VALUE"""),"1744615195048")</f>
        <v>1744615195048</v>
      </c>
      <c r="B82" s="2">
        <f ca="1">IFERROR(__xludf.DUMMYFUNCTION("""COMPUTED_VALUE"""),934465565)</f>
        <v>934465565</v>
      </c>
      <c r="C82" s="2" t="str">
        <f ca="1"/>
        <v>0934465565</v>
      </c>
      <c r="D82" s="2" t="str">
        <f ca="1">IFERROR(__xludf.DUMMYFUNCTION("""COMPUTED_VALUE"""),"1754467489797")</f>
        <v>1754467489797</v>
      </c>
      <c r="E82" s="2">
        <f ca="1">IFERROR(__xludf.DUMMYFUNCTION("""COMPUTED_VALUE"""),819292007)</f>
        <v>819292007</v>
      </c>
      <c r="F82" s="2" t="str">
        <f ca="1"/>
        <v>0819292007</v>
      </c>
      <c r="G82" s="2" t="str">
        <f ca="1">IFERROR(__xludf.DUMMYFUNCTION("""COMPUTED_VALUE"""),"1756914831232")</f>
        <v>1756914831232</v>
      </c>
      <c r="I82" s="2" t="str">
        <f ca="1">IFERROR(__xludf.DUMMYFUNCTION("""COMPUTED_VALUE"""),"Nguyễn Mạnh Cường")</f>
        <v>Nguyễn Mạnh Cường</v>
      </c>
      <c r="J82" s="3" t="str">
        <f ca="1">IFERROR(__xludf.DUMMYFUNCTION("""COMPUTED_VALUE"""),"0968625650")</f>
        <v>0968625650</v>
      </c>
      <c r="K82" s="2" t="str">
        <f ca="1">IFERROR(__xludf.DUMMYFUNCTION("""COMPUTED_VALUE"""),"1744615195048")</f>
        <v>1744615195048</v>
      </c>
    </row>
    <row r="83" spans="1:11" ht="12.45">
      <c r="A83" s="2" t="str">
        <f ca="1">IFERROR(__xludf.DUMMYFUNCTION("""COMPUTED_VALUE"""),"1744615232120")</f>
        <v>1744615232120</v>
      </c>
      <c r="B83" s="2">
        <f ca="1">IFERROR(__xludf.DUMMYFUNCTION("""COMPUTED_VALUE"""),971798048)</f>
        <v>971798048</v>
      </c>
      <c r="C83" s="2" t="str">
        <f ca="1"/>
        <v>0971798048</v>
      </c>
      <c r="D83" s="2" t="str">
        <f ca="1">IFERROR(__xludf.DUMMYFUNCTION("""COMPUTED_VALUE"""),"1754467532884")</f>
        <v>1754467532884</v>
      </c>
      <c r="E83" s="2">
        <f ca="1">IFERROR(__xludf.DUMMYFUNCTION("""COMPUTED_VALUE"""),378025956)</f>
        <v>378025956</v>
      </c>
      <c r="F83" s="2" t="str">
        <f ca="1"/>
        <v>0378025956</v>
      </c>
      <c r="G83" s="2" t="str">
        <f ca="1">IFERROR(__xludf.DUMMYFUNCTION("""COMPUTED_VALUE"""),"1756915079442")</f>
        <v>1756915079442</v>
      </c>
      <c r="I83" s="2" t="str">
        <f ca="1">IFERROR(__xludf.DUMMYFUNCTION("""COMPUTED_VALUE"""),"Nguyễn Thị Mỹ Duyên")</f>
        <v>Nguyễn Thị Mỹ Duyên</v>
      </c>
      <c r="J83" s="3" t="str">
        <f ca="1">IFERROR(__xludf.DUMMYFUNCTION("""COMPUTED_VALUE"""),"0962707451")</f>
        <v>0962707451</v>
      </c>
      <c r="K83" s="2" t="str">
        <f ca="1">IFERROR(__xludf.DUMMYFUNCTION("""COMPUTED_VALUE"""),"1744615232120")</f>
        <v>1744615232120</v>
      </c>
    </row>
    <row r="84" spans="1:11" ht="12.45">
      <c r="A84" s="2" t="str">
        <f ca="1">IFERROR(__xludf.DUMMYFUNCTION("""COMPUTED_VALUE"""),"1744615266760")</f>
        <v>1744615266760</v>
      </c>
      <c r="B84" s="2">
        <f ca="1">IFERROR(__xludf.DUMMYFUNCTION("""COMPUTED_VALUE"""),859012054)</f>
        <v>859012054</v>
      </c>
      <c r="C84" s="2" t="str">
        <f ca="1"/>
        <v>0859012054</v>
      </c>
      <c r="D84" s="2" t="str">
        <f ca="1">IFERROR(__xludf.DUMMYFUNCTION("""COMPUTED_VALUE"""),"1754467579727")</f>
        <v>1754467579727</v>
      </c>
      <c r="E84" s="2">
        <f ca="1">IFERROR(__xludf.DUMMYFUNCTION("""COMPUTED_VALUE"""),948810958)</f>
        <v>948810958</v>
      </c>
      <c r="F84" s="2" t="str">
        <f ca="1"/>
        <v>0948810958</v>
      </c>
      <c r="G84" s="2" t="str">
        <f ca="1">IFERROR(__xludf.DUMMYFUNCTION("""COMPUTED_VALUE"""),"1756915113424")</f>
        <v>1756915113424</v>
      </c>
      <c r="I84" s="2" t="str">
        <f ca="1">IFERROR(__xludf.DUMMYFUNCTION("""COMPUTED_VALUE"""),"Trần Thúy Hằng ")</f>
        <v xml:space="preserve">Trần Thúy Hằng </v>
      </c>
      <c r="J84" s="3" t="str">
        <f ca="1">IFERROR(__xludf.DUMMYFUNCTION("""COMPUTED_VALUE"""),"0779290887")</f>
        <v>0779290887</v>
      </c>
      <c r="K84" s="2" t="str">
        <f ca="1">IFERROR(__xludf.DUMMYFUNCTION("""COMPUTED_VALUE"""),"1744615266760")</f>
        <v>1744615266760</v>
      </c>
    </row>
    <row r="85" spans="1:11" ht="12.45">
      <c r="A85" s="2" t="str">
        <f ca="1">IFERROR(__xludf.DUMMYFUNCTION("""COMPUTED_VALUE"""),"1744615302393")</f>
        <v>1744615302393</v>
      </c>
      <c r="B85" s="2">
        <f ca="1">IFERROR(__xludf.DUMMYFUNCTION("""COMPUTED_VALUE"""),948606725)</f>
        <v>948606725</v>
      </c>
      <c r="C85" s="2" t="str">
        <f ca="1"/>
        <v>0948606725</v>
      </c>
      <c r="D85" s="2" t="str">
        <f ca="1">IFERROR(__xludf.DUMMYFUNCTION("""COMPUTED_VALUE"""),"1754467629317")</f>
        <v>1754467629317</v>
      </c>
      <c r="E85" s="2">
        <f ca="1">IFERROR(__xludf.DUMMYFUNCTION("""COMPUTED_VALUE"""),347172181)</f>
        <v>347172181</v>
      </c>
      <c r="F85" s="2" t="str">
        <f ca="1"/>
        <v>0347172181</v>
      </c>
      <c r="G85" s="2" t="str">
        <f ca="1">IFERROR(__xludf.DUMMYFUNCTION("""COMPUTED_VALUE"""),"1756915146367")</f>
        <v>1756915146367</v>
      </c>
      <c r="I85" s="2" t="str">
        <f ca="1">IFERROR(__xludf.DUMMYFUNCTION("""COMPUTED_VALUE"""),"Nguyễn Minh Phương")</f>
        <v>Nguyễn Minh Phương</v>
      </c>
      <c r="J85" s="3" t="str">
        <f ca="1">IFERROR(__xludf.DUMMYFUNCTION("""COMPUTED_VALUE"""),"0362446097")</f>
        <v>0362446097</v>
      </c>
      <c r="K85" s="2" t="str">
        <f ca="1">IFERROR(__xludf.DUMMYFUNCTION("""COMPUTED_VALUE"""),"1744615302393")</f>
        <v>1744615302393</v>
      </c>
    </row>
    <row r="86" spans="1:11" ht="12.45">
      <c r="A86" s="2" t="str">
        <f ca="1">IFERROR(__xludf.DUMMYFUNCTION("""COMPUTED_VALUE"""),"1744615339110")</f>
        <v>1744615339110</v>
      </c>
      <c r="B86" s="2">
        <f ca="1">IFERROR(__xludf.DUMMYFUNCTION("""COMPUTED_VALUE"""),974295146)</f>
        <v>974295146</v>
      </c>
      <c r="C86" s="2" t="str">
        <f ca="1"/>
        <v>0974295146</v>
      </c>
      <c r="D86" s="2" t="str">
        <f ca="1">IFERROR(__xludf.DUMMYFUNCTION("""COMPUTED_VALUE"""),"1754467664348")</f>
        <v>1754467664348</v>
      </c>
      <c r="E86" s="2">
        <f ca="1">IFERROR(__xludf.DUMMYFUNCTION("""COMPUTED_VALUE"""),865117148)</f>
        <v>865117148</v>
      </c>
      <c r="F86" s="2" t="str">
        <f ca="1"/>
        <v>0865117148</v>
      </c>
      <c r="G86" s="2" t="str">
        <f ca="1">IFERROR(__xludf.DUMMYFUNCTION("""COMPUTED_VALUE"""),"1757022358962")</f>
        <v>1757022358962</v>
      </c>
      <c r="I86" s="2" t="str">
        <f ca="1">IFERROR(__xludf.DUMMYFUNCTION("""COMPUTED_VALUE"""),"Hoàng Thiên Hương")</f>
        <v>Hoàng Thiên Hương</v>
      </c>
      <c r="J86" s="3" t="str">
        <f ca="1">IFERROR(__xludf.DUMMYFUNCTION("""COMPUTED_VALUE"""),"0337296269")</f>
        <v>0337296269</v>
      </c>
      <c r="K86" s="2" t="str">
        <f ca="1">IFERROR(__xludf.DUMMYFUNCTION("""COMPUTED_VALUE"""),"1744615339110")</f>
        <v>1744615339110</v>
      </c>
    </row>
    <row r="87" spans="1:11" ht="12.45">
      <c r="A87" s="2" t="str">
        <f ca="1">IFERROR(__xludf.DUMMYFUNCTION("""COMPUTED_VALUE"""),"1744615380059")</f>
        <v>1744615380059</v>
      </c>
      <c r="B87" s="2">
        <f ca="1">IFERROR(__xludf.DUMMYFUNCTION("""COMPUTED_VALUE"""),849173339)</f>
        <v>849173339</v>
      </c>
      <c r="C87" s="2" t="str">
        <f ca="1"/>
        <v>0849173339</v>
      </c>
      <c r="D87" s="2" t="str">
        <f ca="1">IFERROR(__xludf.DUMMYFUNCTION("""COMPUTED_VALUE"""),"1754467727837")</f>
        <v>1754467727837</v>
      </c>
      <c r="E87" s="2">
        <f ca="1">IFERROR(__xludf.DUMMYFUNCTION("""COMPUTED_VALUE"""),823595982)</f>
        <v>823595982</v>
      </c>
      <c r="F87" s="2" t="str">
        <f ca="1"/>
        <v>0823595982</v>
      </c>
      <c r="G87" s="2" t="str">
        <f ca="1">IFERROR(__xludf.DUMMYFUNCTION("""COMPUTED_VALUE"""),"1756915193997")</f>
        <v>1756915193997</v>
      </c>
      <c r="I87" s="2" t="str">
        <f ca="1">IFERROR(__xludf.DUMMYFUNCTION("""COMPUTED_VALUE"""),"Trương Thanh Bảo Ngọc")</f>
        <v>Trương Thanh Bảo Ngọc</v>
      </c>
      <c r="J87" s="3" t="str">
        <f ca="1">IFERROR(__xludf.DUMMYFUNCTION("""COMPUTED_VALUE"""),"0943371106")</f>
        <v>0943371106</v>
      </c>
      <c r="K87" s="2" t="str">
        <f ca="1">IFERROR(__xludf.DUMMYFUNCTION("""COMPUTED_VALUE"""),"1744615380059")</f>
        <v>1744615380059</v>
      </c>
    </row>
    <row r="88" spans="1:11" ht="12.45">
      <c r="A88" s="2" t="str">
        <f ca="1">IFERROR(__xludf.DUMMYFUNCTION("""COMPUTED_VALUE"""),"1744615428164")</f>
        <v>1744615428164</v>
      </c>
      <c r="B88" s="2">
        <f ca="1">IFERROR(__xludf.DUMMYFUNCTION("""COMPUTED_VALUE"""),359227888)</f>
        <v>359227888</v>
      </c>
      <c r="C88" s="2" t="str">
        <f ca="1"/>
        <v>0359227888</v>
      </c>
      <c r="D88" s="2" t="str">
        <f ca="1">IFERROR(__xludf.DUMMYFUNCTION("""COMPUTED_VALUE"""),"1754467775088")</f>
        <v>1754467775088</v>
      </c>
      <c r="E88" s="2">
        <f ca="1">IFERROR(__xludf.DUMMYFUNCTION("""COMPUTED_VALUE"""),334746074)</f>
        <v>334746074</v>
      </c>
      <c r="F88" s="2" t="str">
        <f ca="1"/>
        <v>0334746074</v>
      </c>
      <c r="G88" s="2" t="str">
        <f ca="1">IFERROR(__xludf.DUMMYFUNCTION("""COMPUTED_VALUE"""),"1756915242166")</f>
        <v>1756915242166</v>
      </c>
      <c r="I88" s="2" t="str">
        <f ca="1">IFERROR(__xludf.DUMMYFUNCTION("""COMPUTED_VALUE"""),"Trần Lê Nhật Ngân")</f>
        <v>Trần Lê Nhật Ngân</v>
      </c>
      <c r="J88" s="3" t="str">
        <f ca="1">IFERROR(__xludf.DUMMYFUNCTION("""COMPUTED_VALUE"""),"0343047607")</f>
        <v>0343047607</v>
      </c>
      <c r="K88" s="2" t="str">
        <f ca="1">IFERROR(__xludf.DUMMYFUNCTION("""COMPUTED_VALUE"""),"1744615428164")</f>
        <v>1744615428164</v>
      </c>
    </row>
    <row r="89" spans="1:11" ht="12.45">
      <c r="A89" s="2" t="str">
        <f ca="1">IFERROR(__xludf.DUMMYFUNCTION("""COMPUTED_VALUE"""),"1744615471214")</f>
        <v>1744615471214</v>
      </c>
      <c r="B89" s="2">
        <f ca="1">IFERROR(__xludf.DUMMYFUNCTION("""COMPUTED_VALUE"""),974356786)</f>
        <v>974356786</v>
      </c>
      <c r="C89" s="2" t="str">
        <f ca="1"/>
        <v>0974356786</v>
      </c>
      <c r="D89" s="2" t="str">
        <f ca="1">IFERROR(__xludf.DUMMYFUNCTION("""COMPUTED_VALUE"""),"1754467810556")</f>
        <v>1754467810556</v>
      </c>
      <c r="E89" s="2">
        <f ca="1">IFERROR(__xludf.DUMMYFUNCTION("""COMPUTED_VALUE"""),362358341)</f>
        <v>362358341</v>
      </c>
      <c r="F89" s="2" t="str">
        <f ca="1"/>
        <v>0362358341</v>
      </c>
      <c r="G89" s="2" t="str">
        <f ca="1">IFERROR(__xludf.DUMMYFUNCTION("""COMPUTED_VALUE"""),"1756915275795")</f>
        <v>1756915275795</v>
      </c>
      <c r="I89" s="2" t="str">
        <f ca="1">IFERROR(__xludf.DUMMYFUNCTION("""COMPUTED_VALUE"""),"Nguyễn Hà Phương")</f>
        <v>Nguyễn Hà Phương</v>
      </c>
      <c r="J89" s="3" t="str">
        <f ca="1">IFERROR(__xludf.DUMMYFUNCTION("""COMPUTED_VALUE"""),"0982322882")</f>
        <v>0982322882</v>
      </c>
      <c r="K89" s="2" t="str">
        <f ca="1">IFERROR(__xludf.DUMMYFUNCTION("""COMPUTED_VALUE"""),"1744615471214")</f>
        <v>1744615471214</v>
      </c>
    </row>
    <row r="90" spans="1:11" ht="12.45">
      <c r="A90" s="2" t="str">
        <f ca="1">IFERROR(__xludf.DUMMYFUNCTION("""COMPUTED_VALUE"""),"1744615513427")</f>
        <v>1744615513427</v>
      </c>
      <c r="B90" s="2">
        <f ca="1">IFERROR(__xludf.DUMMYFUNCTION("""COMPUTED_VALUE"""),968620048)</f>
        <v>968620048</v>
      </c>
      <c r="C90" s="2" t="str">
        <f ca="1"/>
        <v>0968620048</v>
      </c>
      <c r="D90" s="2" t="str">
        <f ca="1">IFERROR(__xludf.DUMMYFUNCTION("""COMPUTED_VALUE"""),"1754467856523")</f>
        <v>1754467856523</v>
      </c>
      <c r="E90" s="2">
        <f ca="1">IFERROR(__xludf.DUMMYFUNCTION("""COMPUTED_VALUE"""),327686847)</f>
        <v>327686847</v>
      </c>
      <c r="F90" s="2" t="str">
        <f ca="1"/>
        <v>0327686847</v>
      </c>
      <c r="G90" s="2" t="str">
        <f ca="1">IFERROR(__xludf.DUMMYFUNCTION("""COMPUTED_VALUE"""),"1756915311075")</f>
        <v>1756915311075</v>
      </c>
      <c r="I90" s="2" t="str">
        <f ca="1">IFERROR(__xludf.DUMMYFUNCTION("""COMPUTED_VALUE"""),"LÊ NGUYỄN MINH TRANG")</f>
        <v>LÊ NGUYỄN MINH TRANG</v>
      </c>
      <c r="J90" s="3" t="str">
        <f ca="1">IFERROR(__xludf.DUMMYFUNCTION("""COMPUTED_VALUE"""),"0394512407")</f>
        <v>0394512407</v>
      </c>
      <c r="K90" s="2" t="str">
        <f ca="1">IFERROR(__xludf.DUMMYFUNCTION("""COMPUTED_VALUE"""),"1744615513427")</f>
        <v>1744615513427</v>
      </c>
    </row>
    <row r="91" spans="1:11" ht="12.45">
      <c r="A91" s="2" t="str">
        <f ca="1">IFERROR(__xludf.DUMMYFUNCTION("""COMPUTED_VALUE"""),"1744615546423")</f>
        <v>1744615546423</v>
      </c>
      <c r="B91" s="2">
        <f ca="1">IFERROR(__xludf.DUMMYFUNCTION("""COMPUTED_VALUE"""),877761104)</f>
        <v>877761104</v>
      </c>
      <c r="C91" s="2" t="str">
        <f ca="1"/>
        <v>0877761104</v>
      </c>
      <c r="D91" s="2" t="str">
        <f ca="1">IFERROR(__xludf.DUMMYFUNCTION("""COMPUTED_VALUE"""),"1754467905830")</f>
        <v>1754467905830</v>
      </c>
      <c r="E91" s="2">
        <f ca="1">IFERROR(__xludf.DUMMYFUNCTION("""COMPUTED_VALUE"""),972697524)</f>
        <v>972697524</v>
      </c>
      <c r="F91" s="2" t="str">
        <f ca="1"/>
        <v>0972697524</v>
      </c>
      <c r="G91" s="2" t="str">
        <f ca="1">IFERROR(__xludf.DUMMYFUNCTION("""COMPUTED_VALUE"""),"1756915362910")</f>
        <v>1756915362910</v>
      </c>
      <c r="I91" s="2" t="str">
        <f ca="1">IFERROR(__xludf.DUMMYFUNCTION("""COMPUTED_VALUE"""),"Tạ Thị Bình ")</f>
        <v xml:space="preserve">Tạ Thị Bình </v>
      </c>
      <c r="J91" s="3" t="str">
        <f ca="1">IFERROR(__xludf.DUMMYFUNCTION("""COMPUTED_VALUE"""),"0968010158")</f>
        <v>0968010158</v>
      </c>
      <c r="K91" s="2" t="str">
        <f ca="1">IFERROR(__xludf.DUMMYFUNCTION("""COMPUTED_VALUE"""),"1744615546423")</f>
        <v>1744615546423</v>
      </c>
    </row>
    <row r="92" spans="1:11" ht="12.45">
      <c r="A92" s="2" t="str">
        <f ca="1">IFERROR(__xludf.DUMMYFUNCTION("""COMPUTED_VALUE"""),"1744615592566")</f>
        <v>1744615592566</v>
      </c>
      <c r="B92" s="2">
        <f ca="1">IFERROR(__xludf.DUMMYFUNCTION("""COMPUTED_VALUE"""),978127663)</f>
        <v>978127663</v>
      </c>
      <c r="C92" s="2" t="str">
        <f ca="1"/>
        <v>0978127663</v>
      </c>
      <c r="D92" s="2" t="str">
        <f ca="1">IFERROR(__xludf.DUMMYFUNCTION("""COMPUTED_VALUE"""),"1754467946142")</f>
        <v>1754467946142</v>
      </c>
      <c r="E92" s="2">
        <f ca="1">IFERROR(__xludf.DUMMYFUNCTION("""COMPUTED_VALUE"""),963689451)</f>
        <v>963689451</v>
      </c>
      <c r="F92" s="2" t="str">
        <f ca="1"/>
        <v>0963689451</v>
      </c>
      <c r="G92" s="2" t="str">
        <f ca="1">IFERROR(__xludf.DUMMYFUNCTION("""COMPUTED_VALUE"""),"1756915400909")</f>
        <v>1756915400909</v>
      </c>
      <c r="I92" s="2" t="str">
        <f ca="1">IFERROR(__xludf.DUMMYFUNCTION("""COMPUTED_VALUE"""),"Lâm Thị Bảo Trân ")</f>
        <v xml:space="preserve">Lâm Thị Bảo Trân </v>
      </c>
      <c r="J92" s="3" t="str">
        <f ca="1">IFERROR(__xludf.DUMMYFUNCTION("""COMPUTED_VALUE"""),"0367382031")</f>
        <v>0367382031</v>
      </c>
      <c r="K92" s="2" t="str">
        <f ca="1">IFERROR(__xludf.DUMMYFUNCTION("""COMPUTED_VALUE"""),"1744615592566")</f>
        <v>1744615592566</v>
      </c>
    </row>
    <row r="93" spans="1:11" ht="12.45">
      <c r="A93" s="2" t="str">
        <f ca="1">IFERROR(__xludf.DUMMYFUNCTION("""COMPUTED_VALUE"""),"1744615644354")</f>
        <v>1744615644354</v>
      </c>
      <c r="B93" s="2">
        <f ca="1">IFERROR(__xludf.DUMMYFUNCTION("""COMPUTED_VALUE"""),916095398)</f>
        <v>916095398</v>
      </c>
      <c r="C93" s="2" t="str">
        <f ca="1"/>
        <v>0916095398</v>
      </c>
      <c r="D93" s="2" t="str">
        <f ca="1">IFERROR(__xludf.DUMMYFUNCTION("""COMPUTED_VALUE"""),"1754467993021")</f>
        <v>1754467993021</v>
      </c>
      <c r="E93" s="2">
        <f ca="1">IFERROR(__xludf.DUMMYFUNCTION("""COMPUTED_VALUE"""),342382679)</f>
        <v>342382679</v>
      </c>
      <c r="F93" s="2" t="str">
        <f ca="1"/>
        <v>0342382679</v>
      </c>
      <c r="G93" s="2" t="str">
        <f ca="1">IFERROR(__xludf.DUMMYFUNCTION("""COMPUTED_VALUE"""),"1756915439431")</f>
        <v>1756915439431</v>
      </c>
      <c r="I93" s="2" t="str">
        <f ca="1">IFERROR(__xludf.DUMMYFUNCTION("""COMPUTED_VALUE"""),"Bùi Quang Thành")</f>
        <v>Bùi Quang Thành</v>
      </c>
      <c r="J93" s="3" t="str">
        <f ca="1">IFERROR(__xludf.DUMMYFUNCTION("""COMPUTED_VALUE"""),"0384224595")</f>
        <v>0384224595</v>
      </c>
      <c r="K93" s="2" t="str">
        <f ca="1">IFERROR(__xludf.DUMMYFUNCTION("""COMPUTED_VALUE"""),"1744615644354")</f>
        <v>1744615644354</v>
      </c>
    </row>
    <row r="94" spans="1:11" ht="12.45">
      <c r="A94" s="2" t="str">
        <f ca="1">IFERROR(__xludf.DUMMYFUNCTION("""COMPUTED_VALUE"""),"1744615686628")</f>
        <v>1744615686628</v>
      </c>
      <c r="B94" s="2">
        <f ca="1">IFERROR(__xludf.DUMMYFUNCTION("""COMPUTED_VALUE"""),385447708)</f>
        <v>385447708</v>
      </c>
      <c r="C94" s="2" t="str">
        <f ca="1"/>
        <v>0385447708</v>
      </c>
      <c r="D94" s="2" t="str">
        <f ca="1">IFERROR(__xludf.DUMMYFUNCTION("""COMPUTED_VALUE"""),"1754468040103")</f>
        <v>1754468040103</v>
      </c>
      <c r="E94" s="2">
        <f ca="1">IFERROR(__xludf.DUMMYFUNCTION("""COMPUTED_VALUE"""),946455765)</f>
        <v>946455765</v>
      </c>
      <c r="F94" s="2" t="str">
        <f ca="1"/>
        <v>0946455765</v>
      </c>
      <c r="G94" s="2" t="str">
        <f ca="1">IFERROR(__xludf.DUMMYFUNCTION("""COMPUTED_VALUE"""),"1756915485463")</f>
        <v>1756915485463</v>
      </c>
      <c r="I94" s="2" t="str">
        <f ca="1">IFERROR(__xludf.DUMMYFUNCTION("""COMPUTED_VALUE"""),"Nguyễn Thị Thuý Nga")</f>
        <v>Nguyễn Thị Thuý Nga</v>
      </c>
      <c r="J94" s="3" t="str">
        <f ca="1">IFERROR(__xludf.DUMMYFUNCTION("""COMPUTED_VALUE"""),"0365331073")</f>
        <v>0365331073</v>
      </c>
      <c r="K94" s="2" t="str">
        <f ca="1">IFERROR(__xludf.DUMMYFUNCTION("""COMPUTED_VALUE"""),"1744615686628")</f>
        <v>1744615686628</v>
      </c>
    </row>
    <row r="95" spans="1:11" ht="12.45">
      <c r="A95" s="2" t="str">
        <f ca="1">IFERROR(__xludf.DUMMYFUNCTION("""COMPUTED_VALUE"""),"1744615788232")</f>
        <v>1744615788232</v>
      </c>
      <c r="B95" s="2">
        <f ca="1">IFERROR(__xludf.DUMMYFUNCTION("""COMPUTED_VALUE"""),904491585)</f>
        <v>904491585</v>
      </c>
      <c r="C95" s="2" t="str">
        <f ca="1"/>
        <v>0904491585</v>
      </c>
      <c r="D95" s="2" t="str">
        <f ca="1">IFERROR(__xludf.DUMMYFUNCTION("""COMPUTED_VALUE"""),"1754468081020")</f>
        <v>1754468081020</v>
      </c>
      <c r="E95" s="2">
        <f ca="1">IFERROR(__xludf.DUMMYFUNCTION("""COMPUTED_VALUE"""),385929389)</f>
        <v>385929389</v>
      </c>
      <c r="F95" s="2" t="str">
        <f ca="1"/>
        <v>0385929389</v>
      </c>
      <c r="G95" s="2" t="str">
        <f ca="1">IFERROR(__xludf.DUMMYFUNCTION("""COMPUTED_VALUE"""),"1756915517586")</f>
        <v>1756915517586</v>
      </c>
      <c r="I95" s="2" t="str">
        <f ca="1">IFERROR(__xludf.DUMMYFUNCTION("""COMPUTED_VALUE"""),"Nguyễn Tùng Dương")</f>
        <v>Nguyễn Tùng Dương</v>
      </c>
      <c r="J95" s="3" t="str">
        <f ca="1">IFERROR(__xludf.DUMMYFUNCTION("""COMPUTED_VALUE"""),"0849309709")</f>
        <v>0849309709</v>
      </c>
      <c r="K95" s="2" t="str">
        <f ca="1">IFERROR(__xludf.DUMMYFUNCTION("""COMPUTED_VALUE"""),"1744615788232")</f>
        <v>1744615788232</v>
      </c>
    </row>
    <row r="96" spans="1:11" ht="12.45">
      <c r="A96" s="2" t="str">
        <f ca="1">IFERROR(__xludf.DUMMYFUNCTION("""COMPUTED_VALUE"""),"1744615829586")</f>
        <v>1744615829586</v>
      </c>
      <c r="B96" s="2">
        <f ca="1">IFERROR(__xludf.DUMMYFUNCTION("""COMPUTED_VALUE"""),708050797)</f>
        <v>708050797</v>
      </c>
      <c r="C96" s="2" t="str">
        <f ca="1"/>
        <v>0708050797</v>
      </c>
      <c r="D96" s="2" t="str">
        <f ca="1">IFERROR(__xludf.DUMMYFUNCTION("""COMPUTED_VALUE"""),"1754468128427")</f>
        <v>1754468128427</v>
      </c>
      <c r="E96" s="2">
        <f ca="1">IFERROR(__xludf.DUMMYFUNCTION("""COMPUTED_VALUE"""),357016285)</f>
        <v>357016285</v>
      </c>
      <c r="F96" s="2" t="str">
        <f ca="1"/>
        <v>0357016285</v>
      </c>
      <c r="G96" s="2" t="str">
        <f ca="1">IFERROR(__xludf.DUMMYFUNCTION("""COMPUTED_VALUE"""),"1756915556141")</f>
        <v>1756915556141</v>
      </c>
      <c r="I96" s="2" t="str">
        <f ca="1">IFERROR(__xludf.DUMMYFUNCTION("""COMPUTED_VALUE"""),"Trần Hà Trang")</f>
        <v>Trần Hà Trang</v>
      </c>
      <c r="J96" s="3" t="str">
        <f ca="1">IFERROR(__xludf.DUMMYFUNCTION("""COMPUTED_VALUE"""),"0354538340")</f>
        <v>0354538340</v>
      </c>
      <c r="K96" s="2" t="str">
        <f ca="1">IFERROR(__xludf.DUMMYFUNCTION("""COMPUTED_VALUE"""),"1744615829586")</f>
        <v>1744615829586</v>
      </c>
    </row>
    <row r="97" spans="1:11" ht="12.45">
      <c r="A97" s="2" t="str">
        <f ca="1">IFERROR(__xludf.DUMMYFUNCTION("""COMPUTED_VALUE"""),"1744615870390")</f>
        <v>1744615870390</v>
      </c>
      <c r="B97" s="2">
        <f ca="1">IFERROR(__xludf.DUMMYFUNCTION("""COMPUTED_VALUE"""),704484118)</f>
        <v>704484118</v>
      </c>
      <c r="C97" s="2" t="str">
        <f ca="1"/>
        <v>0704484118</v>
      </c>
      <c r="D97" s="2" t="str">
        <f ca="1">IFERROR(__xludf.DUMMYFUNCTION("""COMPUTED_VALUE"""),"1754468167357")</f>
        <v>1754468167357</v>
      </c>
      <c r="E97" s="2">
        <f ca="1">IFERROR(__xludf.DUMMYFUNCTION("""COMPUTED_VALUE"""),326862150)</f>
        <v>326862150</v>
      </c>
      <c r="F97" s="2" t="str">
        <f ca="1"/>
        <v>0326862150</v>
      </c>
      <c r="G97" s="2" t="str">
        <f ca="1">IFERROR(__xludf.DUMMYFUNCTION("""COMPUTED_VALUE"""),"1756915598325")</f>
        <v>1756915598325</v>
      </c>
      <c r="I97" s="2" t="str">
        <f ca="1">IFERROR(__xludf.DUMMYFUNCTION("""COMPUTED_VALUE"""),"Nguyễn Đặng Hà Vy")</f>
        <v>Nguyễn Đặng Hà Vy</v>
      </c>
      <c r="J97" s="3" t="str">
        <f ca="1">IFERROR(__xludf.DUMMYFUNCTION("""COMPUTED_VALUE"""),"0344138382")</f>
        <v>0344138382</v>
      </c>
      <c r="K97" s="2" t="str">
        <f ca="1">IFERROR(__xludf.DUMMYFUNCTION("""COMPUTED_VALUE"""),"1744615870390")</f>
        <v>1744615870390</v>
      </c>
    </row>
    <row r="98" spans="1:11" ht="12.45">
      <c r="A98" s="2" t="str">
        <f ca="1">IFERROR(__xludf.DUMMYFUNCTION("""COMPUTED_VALUE"""),"1744615909000")</f>
        <v>1744615909000</v>
      </c>
      <c r="B98" s="2">
        <f ca="1">IFERROR(__xludf.DUMMYFUNCTION("""COMPUTED_VALUE"""),812814575)</f>
        <v>812814575</v>
      </c>
      <c r="C98" s="2" t="str">
        <f ca="1"/>
        <v>0812814575</v>
      </c>
      <c r="D98" s="2" t="str">
        <f ca="1">IFERROR(__xludf.DUMMYFUNCTION("""COMPUTED_VALUE"""),"1754468203103")</f>
        <v>1754468203103</v>
      </c>
      <c r="E98" s="2">
        <f ca="1">IFERROR(__xludf.DUMMYFUNCTION("""COMPUTED_VALUE"""),813705006)</f>
        <v>813705006</v>
      </c>
      <c r="F98" s="2" t="str">
        <f ca="1"/>
        <v>0813705006</v>
      </c>
      <c r="G98" s="2" t="str">
        <f ca="1">IFERROR(__xludf.DUMMYFUNCTION("""COMPUTED_VALUE"""),"1756915639353")</f>
        <v>1756915639353</v>
      </c>
      <c r="I98" s="2" t="str">
        <f ca="1">IFERROR(__xludf.DUMMYFUNCTION("""COMPUTED_VALUE"""),"Nguyễn Bảo Nhi")</f>
        <v>Nguyễn Bảo Nhi</v>
      </c>
      <c r="J98" s="3" t="str">
        <f ca="1">IFERROR(__xludf.DUMMYFUNCTION("""COMPUTED_VALUE"""),"0778128063")</f>
        <v>0778128063</v>
      </c>
      <c r="K98" s="2" t="str">
        <f ca="1">IFERROR(__xludf.DUMMYFUNCTION("""COMPUTED_VALUE"""),"1744615909000")</f>
        <v>1744615909000</v>
      </c>
    </row>
    <row r="99" spans="1:11" ht="12.45">
      <c r="A99" s="2" t="str">
        <f ca="1">IFERROR(__xludf.DUMMYFUNCTION("""COMPUTED_VALUE"""),"1744615957916")</f>
        <v>1744615957916</v>
      </c>
      <c r="B99" s="2">
        <f ca="1">IFERROR(__xludf.DUMMYFUNCTION("""COMPUTED_VALUE"""),919704883)</f>
        <v>919704883</v>
      </c>
      <c r="C99" s="2" t="str">
        <f ca="1"/>
        <v>0919704883</v>
      </c>
      <c r="D99" s="2" t="str">
        <f ca="1">IFERROR(__xludf.DUMMYFUNCTION("""COMPUTED_VALUE"""),"1754468279453")</f>
        <v>1754468279453</v>
      </c>
      <c r="E99" s="2">
        <f ca="1">IFERROR(__xludf.DUMMYFUNCTION("""COMPUTED_VALUE"""),368780375)</f>
        <v>368780375</v>
      </c>
      <c r="F99" s="2" t="str">
        <f ca="1"/>
        <v>0368780375</v>
      </c>
      <c r="G99" s="2" t="str">
        <f ca="1">IFERROR(__xludf.DUMMYFUNCTION("""COMPUTED_VALUE"""),"1756915692620")</f>
        <v>1756915692620</v>
      </c>
      <c r="I99" s="2" t="str">
        <f ca="1">IFERROR(__xludf.DUMMYFUNCTION("""COMPUTED_VALUE"""),"Sùng thị mai")</f>
        <v>Sùng thị mai</v>
      </c>
      <c r="J99" s="3" t="str">
        <f ca="1">IFERROR(__xludf.DUMMYFUNCTION("""COMPUTED_VALUE"""),"0356273207")</f>
        <v>0356273207</v>
      </c>
      <c r="K99" s="2" t="str">
        <f ca="1">IFERROR(__xludf.DUMMYFUNCTION("""COMPUTED_VALUE"""),"1744615957916")</f>
        <v>1744615957916</v>
      </c>
    </row>
    <row r="100" spans="1:11" ht="12.45">
      <c r="A100" s="2" t="str">
        <f ca="1">IFERROR(__xludf.DUMMYFUNCTION("""COMPUTED_VALUE"""),"1744615998150")</f>
        <v>1744615998150</v>
      </c>
      <c r="B100" s="2">
        <f ca="1">IFERROR(__xludf.DUMMYFUNCTION("""COMPUTED_VALUE"""),379116999)</f>
        <v>379116999</v>
      </c>
      <c r="C100" s="2" t="str">
        <f ca="1"/>
        <v>0379116999</v>
      </c>
      <c r="D100" s="2" t="str">
        <f ca="1">IFERROR(__xludf.DUMMYFUNCTION("""COMPUTED_VALUE"""),"1754468322102")</f>
        <v>1754468322102</v>
      </c>
      <c r="E100" s="2">
        <f ca="1">IFERROR(__xludf.DUMMYFUNCTION("""COMPUTED_VALUE"""),834282979)</f>
        <v>834282979</v>
      </c>
      <c r="F100" s="2" t="str">
        <f ca="1"/>
        <v>0834282979</v>
      </c>
      <c r="G100" s="2" t="str">
        <f ca="1">IFERROR(__xludf.DUMMYFUNCTION("""COMPUTED_VALUE"""),"1756915730187")</f>
        <v>1756915730187</v>
      </c>
      <c r="I100" s="2" t="str">
        <f ca="1">IFERROR(__xludf.DUMMYFUNCTION("""COMPUTED_VALUE"""),"Lưu Trinh Nguyên Thy")</f>
        <v>Lưu Trinh Nguyên Thy</v>
      </c>
      <c r="J100" s="3" t="str">
        <f ca="1">IFERROR(__xludf.DUMMYFUNCTION("""COMPUTED_VALUE"""),"0833060107")</f>
        <v>0833060107</v>
      </c>
      <c r="K100" s="2" t="str">
        <f ca="1">IFERROR(__xludf.DUMMYFUNCTION("""COMPUTED_VALUE"""),"1744615998150")</f>
        <v>1744615998150</v>
      </c>
    </row>
    <row r="101" spans="1:11" ht="12.45">
      <c r="A101" s="2" t="str">
        <f ca="1">IFERROR(__xludf.DUMMYFUNCTION("""COMPUTED_VALUE"""),"1744616055010")</f>
        <v>1744616055010</v>
      </c>
      <c r="B101" s="2">
        <f ca="1">IFERROR(__xludf.DUMMYFUNCTION("""COMPUTED_VALUE"""),708509064)</f>
        <v>708509064</v>
      </c>
      <c r="C101" s="2" t="str">
        <f ca="1"/>
        <v>0708509064</v>
      </c>
      <c r="D101" s="2" t="str">
        <f ca="1">IFERROR(__xludf.DUMMYFUNCTION("""COMPUTED_VALUE"""),"1754468360154")</f>
        <v>1754468360154</v>
      </c>
      <c r="E101" s="2">
        <f ca="1">IFERROR(__xludf.DUMMYFUNCTION("""COMPUTED_VALUE"""),839920007)</f>
        <v>839920007</v>
      </c>
      <c r="F101" s="2" t="str">
        <f ca="1"/>
        <v>0839920007</v>
      </c>
      <c r="G101" s="2" t="str">
        <f ca="1">IFERROR(__xludf.DUMMYFUNCTION("""COMPUTED_VALUE"""),"1756915776009")</f>
        <v>1756915776009</v>
      </c>
      <c r="I101" s="2" t="str">
        <f ca="1">IFERROR(__xludf.DUMMYFUNCTION("""COMPUTED_VALUE"""),"Trần Ngọc Anh")</f>
        <v>Trần Ngọc Anh</v>
      </c>
      <c r="J101" s="3" t="str">
        <f ca="1">IFERROR(__xludf.DUMMYFUNCTION("""COMPUTED_VALUE"""),"0325288162")</f>
        <v>0325288162</v>
      </c>
      <c r="K101" s="2" t="str">
        <f ca="1">IFERROR(__xludf.DUMMYFUNCTION("""COMPUTED_VALUE"""),"1744616055010")</f>
        <v>1744616055010</v>
      </c>
    </row>
    <row r="102" spans="1:11" ht="12.45">
      <c r="A102" s="2" t="str">
        <f ca="1">IFERROR(__xludf.DUMMYFUNCTION("""COMPUTED_VALUE"""),"1744616095187")</f>
        <v>1744616095187</v>
      </c>
      <c r="B102" s="2">
        <f ca="1">IFERROR(__xludf.DUMMYFUNCTION("""COMPUTED_VALUE"""),334006907)</f>
        <v>334006907</v>
      </c>
      <c r="C102" s="2" t="str">
        <f ca="1"/>
        <v>0334006907</v>
      </c>
      <c r="D102" s="2" t="str">
        <f ca="1">IFERROR(__xludf.DUMMYFUNCTION("""COMPUTED_VALUE"""),"1754468389262")</f>
        <v>1754468389262</v>
      </c>
      <c r="E102" s="2">
        <f ca="1">IFERROR(__xludf.DUMMYFUNCTION("""COMPUTED_VALUE"""),862828756)</f>
        <v>862828756</v>
      </c>
      <c r="F102" s="2" t="str">
        <f ca="1"/>
        <v>0862828756</v>
      </c>
      <c r="G102" s="2" t="str">
        <f ca="1">IFERROR(__xludf.DUMMYFUNCTION("""COMPUTED_VALUE"""),"1756915823970")</f>
        <v>1756915823970</v>
      </c>
      <c r="I102" s="2" t="str">
        <f ca="1">IFERROR(__xludf.DUMMYFUNCTION("""COMPUTED_VALUE"""),"Lương Minh Ngọc")</f>
        <v>Lương Minh Ngọc</v>
      </c>
      <c r="J102" s="3" t="str">
        <f ca="1">IFERROR(__xludf.DUMMYFUNCTION("""COMPUTED_VALUE"""),"0766210807")</f>
        <v>0766210807</v>
      </c>
      <c r="K102" s="2" t="str">
        <f ca="1">IFERROR(__xludf.DUMMYFUNCTION("""COMPUTED_VALUE"""),"1744616095187")</f>
        <v>1744616095187</v>
      </c>
    </row>
    <row r="103" spans="1:11" ht="12.45">
      <c r="A103" s="2" t="str">
        <f ca="1">IFERROR(__xludf.DUMMYFUNCTION("""COMPUTED_VALUE"""),"1744616148160")</f>
        <v>1744616148160</v>
      </c>
      <c r="B103" s="2">
        <f ca="1">IFERROR(__xludf.DUMMYFUNCTION("""COMPUTED_VALUE"""),965933522)</f>
        <v>965933522</v>
      </c>
      <c r="C103" s="2" t="str">
        <f ca="1"/>
        <v>0965933522</v>
      </c>
      <c r="D103" s="2" t="str">
        <f ca="1">IFERROR(__xludf.DUMMYFUNCTION("""COMPUTED_VALUE"""),"1754468437574")</f>
        <v>1754468437574</v>
      </c>
      <c r="E103" s="2">
        <f ca="1">IFERROR(__xludf.DUMMYFUNCTION("""COMPUTED_VALUE"""),866499860)</f>
        <v>866499860</v>
      </c>
      <c r="F103" s="2" t="str">
        <f ca="1"/>
        <v>0866499860</v>
      </c>
      <c r="G103" s="2" t="str">
        <f ca="1">IFERROR(__xludf.DUMMYFUNCTION("""COMPUTED_VALUE"""),"1756915858912")</f>
        <v>1756915858912</v>
      </c>
      <c r="I103" s="2" t="str">
        <f ca="1">IFERROR(__xludf.DUMMYFUNCTION("""COMPUTED_VALUE"""),"Nguyễn Thị Hải Yến")</f>
        <v>Nguyễn Thị Hải Yến</v>
      </c>
      <c r="J103" s="3" t="str">
        <f ca="1">IFERROR(__xludf.DUMMYFUNCTION("""COMPUTED_VALUE"""),"0362418962")</f>
        <v>0362418962</v>
      </c>
      <c r="K103" s="2" t="str">
        <f ca="1">IFERROR(__xludf.DUMMYFUNCTION("""COMPUTED_VALUE"""),"1744616148160")</f>
        <v>1744616148160</v>
      </c>
    </row>
    <row r="104" spans="1:11" ht="12.45">
      <c r="A104" s="2" t="str">
        <f ca="1">IFERROR(__xludf.DUMMYFUNCTION("""COMPUTED_VALUE"""),"1744616186120")</f>
        <v>1744616186120</v>
      </c>
      <c r="B104" s="2">
        <f ca="1">IFERROR(__xludf.DUMMYFUNCTION("""COMPUTED_VALUE"""),853665556)</f>
        <v>853665556</v>
      </c>
      <c r="C104" s="2" t="str">
        <f ca="1"/>
        <v>0853665556</v>
      </c>
      <c r="D104" s="2" t="str">
        <f ca="1">IFERROR(__xludf.DUMMYFUNCTION("""COMPUTED_VALUE"""),"1754468479276")</f>
        <v>1754468479276</v>
      </c>
      <c r="E104" s="2">
        <f ca="1">IFERROR(__xludf.DUMMYFUNCTION("""COMPUTED_VALUE"""),387696253)</f>
        <v>387696253</v>
      </c>
      <c r="F104" s="2" t="str">
        <f ca="1"/>
        <v>0387696253</v>
      </c>
      <c r="G104" s="2" t="str">
        <f ca="1">IFERROR(__xludf.DUMMYFUNCTION("""COMPUTED_VALUE"""),"1756915897835")</f>
        <v>1756915897835</v>
      </c>
      <c r="I104" s="2" t="str">
        <f ca="1">IFERROR(__xludf.DUMMYFUNCTION("""COMPUTED_VALUE"""),"Mạc Quỳnh Anh")</f>
        <v>Mạc Quỳnh Anh</v>
      </c>
      <c r="J104" s="3" t="str">
        <f ca="1">IFERROR(__xludf.DUMMYFUNCTION("""COMPUTED_VALUE"""),"0838506632")</f>
        <v>0838506632</v>
      </c>
      <c r="K104" s="2" t="str">
        <f ca="1">IFERROR(__xludf.DUMMYFUNCTION("""COMPUTED_VALUE"""),"1744616186120")</f>
        <v>1744616186120</v>
      </c>
    </row>
    <row r="105" spans="1:11" ht="12.45">
      <c r="A105" s="2" t="str">
        <f ca="1">IFERROR(__xludf.DUMMYFUNCTION("""COMPUTED_VALUE"""),"1745130499584")</f>
        <v>1745130499584</v>
      </c>
      <c r="B105" s="2">
        <f ca="1">IFERROR(__xludf.DUMMYFUNCTION("""COMPUTED_VALUE"""),962070307)</f>
        <v>962070307</v>
      </c>
      <c r="C105" s="2" t="str">
        <f ca="1"/>
        <v>0962070307</v>
      </c>
      <c r="D105" s="2" t="str">
        <f ca="1">IFERROR(__xludf.DUMMYFUNCTION("""COMPUTED_VALUE"""),"1754650878655")</f>
        <v>1754650878655</v>
      </c>
      <c r="E105" s="2">
        <f ca="1">IFERROR(__xludf.DUMMYFUNCTION("""COMPUTED_VALUE"""),941014511)</f>
        <v>941014511</v>
      </c>
      <c r="F105" s="2" t="str">
        <f ca="1"/>
        <v>0941014511</v>
      </c>
      <c r="G105" s="2" t="str">
        <f ca="1">IFERROR(__xludf.DUMMYFUNCTION("""COMPUTED_VALUE"""),"1756915941856")</f>
        <v>1756915941856</v>
      </c>
      <c r="I105" s="2" t="str">
        <f ca="1">IFERROR(__xludf.DUMMYFUNCTION("""COMPUTED_VALUE"""),"Cao Đặng Vân Anh")</f>
        <v>Cao Đặng Vân Anh</v>
      </c>
      <c r="J105" s="3" t="str">
        <f ca="1">IFERROR(__xludf.DUMMYFUNCTION("""COMPUTED_VALUE"""),"0866118494")</f>
        <v>0866118494</v>
      </c>
      <c r="K105" s="2" t="str">
        <f ca="1">IFERROR(__xludf.DUMMYFUNCTION("""COMPUTED_VALUE"""),"1745130499584")</f>
        <v>1745130499584</v>
      </c>
    </row>
    <row r="106" spans="1:11" ht="12.45">
      <c r="A106" s="2" t="str">
        <f ca="1">IFERROR(__xludf.DUMMYFUNCTION("""COMPUTED_VALUE"""),"1745130558624")</f>
        <v>1745130558624</v>
      </c>
      <c r="B106" s="2">
        <f ca="1">IFERROR(__xludf.DUMMYFUNCTION("""COMPUTED_VALUE"""),867460194)</f>
        <v>867460194</v>
      </c>
      <c r="C106" s="2" t="str">
        <f ca="1"/>
        <v>0867460194</v>
      </c>
      <c r="D106" s="2" t="str">
        <f ca="1">IFERROR(__xludf.DUMMYFUNCTION("""COMPUTED_VALUE"""),"1754650909872")</f>
        <v>1754650909872</v>
      </c>
      <c r="E106" s="2">
        <f ca="1">IFERROR(__xludf.DUMMYFUNCTION("""COMPUTED_VALUE"""),333531772)</f>
        <v>333531772</v>
      </c>
      <c r="F106" s="2" t="str">
        <f ca="1"/>
        <v>0333531772</v>
      </c>
      <c r="G106" s="2" t="str">
        <f ca="1">IFERROR(__xludf.DUMMYFUNCTION("""COMPUTED_VALUE"""),"105635804837")</f>
        <v>105635804837</v>
      </c>
      <c r="I106" s="2" t="str">
        <f ca="1">IFERROR(__xludf.DUMMYFUNCTION("""COMPUTED_VALUE"""),"Hoàng Thị Thanh Tuyền")</f>
        <v>Hoàng Thị Thanh Tuyền</v>
      </c>
      <c r="J106" s="3" t="str">
        <f ca="1">IFERROR(__xludf.DUMMYFUNCTION("""COMPUTED_VALUE"""),"0394109627")</f>
        <v>0394109627</v>
      </c>
      <c r="K106" s="2" t="str">
        <f ca="1">IFERROR(__xludf.DUMMYFUNCTION("""COMPUTED_VALUE"""),"1745130558624")</f>
        <v>1745130558624</v>
      </c>
    </row>
    <row r="107" spans="1:11" ht="12.45">
      <c r="A107" s="2" t="str">
        <f ca="1">IFERROR(__xludf.DUMMYFUNCTION("""COMPUTED_VALUE"""),"1745130599740")</f>
        <v>1745130599740</v>
      </c>
      <c r="B107" s="2">
        <f ca="1">IFERROR(__xludf.DUMMYFUNCTION("""COMPUTED_VALUE"""),932500169)</f>
        <v>932500169</v>
      </c>
      <c r="C107" s="2" t="str">
        <f ca="1"/>
        <v>0932500169</v>
      </c>
      <c r="D107" s="2" t="str">
        <f ca="1">IFERROR(__xludf.DUMMYFUNCTION("""COMPUTED_VALUE"""),"1754650943878")</f>
        <v>1754650943878</v>
      </c>
      <c r="E107" s="2">
        <f ca="1">IFERROR(__xludf.DUMMYFUNCTION("""COMPUTED_VALUE"""),966560366)</f>
        <v>966560366</v>
      </c>
      <c r="F107" s="2" t="str">
        <f ca="1"/>
        <v>0966560366</v>
      </c>
      <c r="G107" s="2" t="str">
        <f ca="1">IFERROR(__xludf.DUMMYFUNCTION("""COMPUTED_VALUE"""),"105635805030")</f>
        <v>105635805030</v>
      </c>
      <c r="I107" s="2" t="str">
        <f ca="1">IFERROR(__xludf.DUMMYFUNCTION("""COMPUTED_VALUE"""),"Tô Hải Kiều Mi")</f>
        <v>Tô Hải Kiều Mi</v>
      </c>
      <c r="J107" s="3" t="str">
        <f ca="1">IFERROR(__xludf.DUMMYFUNCTION("""COMPUTED_VALUE"""),"0335579887")</f>
        <v>0335579887</v>
      </c>
      <c r="K107" s="2" t="str">
        <f ca="1">IFERROR(__xludf.DUMMYFUNCTION("""COMPUTED_VALUE"""),"1745130599740")</f>
        <v>1745130599740</v>
      </c>
    </row>
    <row r="108" spans="1:11" ht="12.45">
      <c r="A108" s="2" t="str">
        <f ca="1">IFERROR(__xludf.DUMMYFUNCTION("""COMPUTED_VALUE"""),"1745130647664")</f>
        <v>1745130647664</v>
      </c>
      <c r="B108" s="2">
        <f ca="1">IFERROR(__xludf.DUMMYFUNCTION("""COMPUTED_VALUE"""),326175682)</f>
        <v>326175682</v>
      </c>
      <c r="C108" s="2" t="str">
        <f ca="1"/>
        <v>0326175682</v>
      </c>
      <c r="D108" s="2" t="str">
        <f ca="1">IFERROR(__xludf.DUMMYFUNCTION("""COMPUTED_VALUE"""),"1754650989338")</f>
        <v>1754650989338</v>
      </c>
      <c r="E108" s="2">
        <f ca="1">IFERROR(__xludf.DUMMYFUNCTION("""COMPUTED_VALUE"""),901934033)</f>
        <v>901934033</v>
      </c>
      <c r="F108" s="2" t="str">
        <f ca="1"/>
        <v>0901934033</v>
      </c>
      <c r="G108" s="2" t="str">
        <f ca="1">IFERROR(__xludf.DUMMYFUNCTION("""COMPUTED_VALUE"""),"105635805115")</f>
        <v>105635805115</v>
      </c>
      <c r="I108" s="2" t="str">
        <f ca="1">IFERROR(__xludf.DUMMYFUNCTION("""COMPUTED_VALUE"""),"Nguyễn Thị Mai Linh")</f>
        <v>Nguyễn Thị Mai Linh</v>
      </c>
      <c r="J108" s="3" t="str">
        <f ca="1">IFERROR(__xludf.DUMMYFUNCTION("""COMPUTED_VALUE"""),"0886631757")</f>
        <v>0886631757</v>
      </c>
      <c r="K108" s="2" t="str">
        <f ca="1">IFERROR(__xludf.DUMMYFUNCTION("""COMPUTED_VALUE"""),"1745130647664")</f>
        <v>1745130647664</v>
      </c>
    </row>
    <row r="109" spans="1:11" ht="12.45">
      <c r="A109" s="2" t="str">
        <f ca="1">IFERROR(__xludf.DUMMYFUNCTION("""COMPUTED_VALUE"""),"1745130681572")</f>
        <v>1745130681572</v>
      </c>
      <c r="B109" s="2">
        <f ca="1">IFERROR(__xludf.DUMMYFUNCTION("""COMPUTED_VALUE"""),969019458)</f>
        <v>969019458</v>
      </c>
      <c r="C109" s="2" t="str">
        <f ca="1"/>
        <v>0969019458</v>
      </c>
      <c r="D109" s="2" t="str">
        <f ca="1">IFERROR(__xludf.DUMMYFUNCTION("""COMPUTED_VALUE"""),"1754651023602")</f>
        <v>1754651023602</v>
      </c>
      <c r="E109" s="2">
        <f ca="1">IFERROR(__xludf.DUMMYFUNCTION("""COMPUTED_VALUE"""),326081606)</f>
        <v>326081606</v>
      </c>
      <c r="F109" s="2" t="str">
        <f ca="1"/>
        <v>0326081606</v>
      </c>
      <c r="G109" s="2" t="str">
        <f ca="1">IFERROR(__xludf.DUMMYFUNCTION("""COMPUTED_VALUE"""),"105635805215")</f>
        <v>105635805215</v>
      </c>
      <c r="I109" s="2" t="str">
        <f ca="1">IFERROR(__xludf.DUMMYFUNCTION("""COMPUTED_VALUE"""),"Lê Thị Minh Phương")</f>
        <v>Lê Thị Minh Phương</v>
      </c>
      <c r="J109" s="3" t="str">
        <f ca="1">IFERROR(__xludf.DUMMYFUNCTION("""COMPUTED_VALUE"""),"0362511030")</f>
        <v>0362511030</v>
      </c>
      <c r="K109" s="2" t="str">
        <f ca="1">IFERROR(__xludf.DUMMYFUNCTION("""COMPUTED_VALUE"""),"1745130681572")</f>
        <v>1745130681572</v>
      </c>
    </row>
    <row r="110" spans="1:11" ht="12.45">
      <c r="A110" s="2" t="str">
        <f ca="1">IFERROR(__xludf.DUMMYFUNCTION("""COMPUTED_VALUE"""),"1745130717544")</f>
        <v>1745130717544</v>
      </c>
      <c r="B110" s="2">
        <f ca="1">IFERROR(__xludf.DUMMYFUNCTION("""COMPUTED_VALUE"""),943526826)</f>
        <v>943526826</v>
      </c>
      <c r="C110" s="2" t="str">
        <f ca="1"/>
        <v>0943526826</v>
      </c>
      <c r="D110" s="2" t="str">
        <f ca="1">IFERROR(__xludf.DUMMYFUNCTION("""COMPUTED_VALUE"""),"1754651068851")</f>
        <v>1754651068851</v>
      </c>
      <c r="E110" s="2">
        <f ca="1">IFERROR(__xludf.DUMMYFUNCTION("""COMPUTED_VALUE"""),348083079)</f>
        <v>348083079</v>
      </c>
      <c r="F110" s="2" t="str">
        <f ca="1"/>
        <v>0348083079</v>
      </c>
      <c r="G110" s="2" t="str">
        <f ca="1">IFERROR(__xludf.DUMMYFUNCTION("""COMPUTED_VALUE"""),"105635805394")</f>
        <v>105635805394</v>
      </c>
      <c r="I110" s="2" t="str">
        <f ca="1">IFERROR(__xludf.DUMMYFUNCTION("""COMPUTED_VALUE"""),"Lê Ngọc Gia Hân")</f>
        <v>Lê Ngọc Gia Hân</v>
      </c>
      <c r="J110" s="3" t="str">
        <f ca="1">IFERROR(__xludf.DUMMYFUNCTION("""COMPUTED_VALUE"""),"0399148575")</f>
        <v>0399148575</v>
      </c>
      <c r="K110" s="2" t="str">
        <f ca="1">IFERROR(__xludf.DUMMYFUNCTION("""COMPUTED_VALUE"""),"1745130717544")</f>
        <v>1745130717544</v>
      </c>
    </row>
    <row r="111" spans="1:11" ht="12.45">
      <c r="A111" s="2" t="str">
        <f ca="1">IFERROR(__xludf.DUMMYFUNCTION("""COMPUTED_VALUE"""),"1745130752112")</f>
        <v>1745130752112</v>
      </c>
      <c r="B111" s="2">
        <f ca="1">IFERROR(__xludf.DUMMYFUNCTION("""COMPUTED_VALUE"""),868553893)</f>
        <v>868553893</v>
      </c>
      <c r="C111" s="2" t="str">
        <f ca="1"/>
        <v>0868553893</v>
      </c>
      <c r="D111" s="2" t="str">
        <f ca="1">IFERROR(__xludf.DUMMYFUNCTION("""COMPUTED_VALUE"""),"1754651172281")</f>
        <v>1754651172281</v>
      </c>
      <c r="E111" s="2">
        <f ca="1">IFERROR(__xludf.DUMMYFUNCTION("""COMPUTED_VALUE"""),867840637)</f>
        <v>867840637</v>
      </c>
      <c r="F111" s="2" t="str">
        <f ca="1"/>
        <v>0867840637</v>
      </c>
      <c r="G111" s="2">
        <f ca="1">IFERROR(__xludf.DUMMYFUNCTION("""COMPUTED_VALUE"""),105554503655)</f>
        <v>105554503655</v>
      </c>
      <c r="I111" s="2" t="str">
        <f ca="1">IFERROR(__xludf.DUMMYFUNCTION("""COMPUTED_VALUE"""),"Nguyễn Phúc Bình")</f>
        <v>Nguyễn Phúc Bình</v>
      </c>
      <c r="J111" s="3" t="str">
        <f ca="1">IFERROR(__xludf.DUMMYFUNCTION("""COMPUTED_VALUE"""),"0966017316")</f>
        <v>0966017316</v>
      </c>
      <c r="K111" s="2" t="str">
        <f ca="1">IFERROR(__xludf.DUMMYFUNCTION("""COMPUTED_VALUE"""),"1745130752112")</f>
        <v>1745130752112</v>
      </c>
    </row>
    <row r="112" spans="1:11" ht="12.45">
      <c r="A112" s="2" t="str">
        <f ca="1">IFERROR(__xludf.DUMMYFUNCTION("""COMPUTED_VALUE"""),"1745130787307")</f>
        <v>1745130787307</v>
      </c>
      <c r="B112" s="2">
        <f ca="1">IFERROR(__xludf.DUMMYFUNCTION("""COMPUTED_VALUE"""),358698807)</f>
        <v>358698807</v>
      </c>
      <c r="C112" s="2" t="str">
        <f ca="1"/>
        <v>0358698807</v>
      </c>
      <c r="D112" s="2" t="str">
        <f ca="1">IFERROR(__xludf.DUMMYFUNCTION("""COMPUTED_VALUE"""),"1754651211484")</f>
        <v>1754651211484</v>
      </c>
      <c r="E112" s="2">
        <f ca="1">IFERROR(__xludf.DUMMYFUNCTION("""COMPUTED_VALUE"""),969881630)</f>
        <v>969881630</v>
      </c>
      <c r="F112" s="2" t="str">
        <f ca="1"/>
        <v>0969881630</v>
      </c>
      <c r="G112" s="2" t="str">
        <f ca="1">IFERROR(__xludf.DUMMYFUNCTION("""COMPUTED_VALUE"""),"105635805522")</f>
        <v>105635805522</v>
      </c>
      <c r="I112" s="2" t="str">
        <f ca="1">IFERROR(__xludf.DUMMYFUNCTION("""COMPUTED_VALUE"""),"Nguyễn Thị Nga ")</f>
        <v xml:space="preserve">Nguyễn Thị Nga </v>
      </c>
      <c r="J112" s="3" t="str">
        <f ca="1">IFERROR(__xludf.DUMMYFUNCTION("""COMPUTED_VALUE"""),"0384535866")</f>
        <v>0384535866</v>
      </c>
      <c r="K112" s="2" t="str">
        <f ca="1">IFERROR(__xludf.DUMMYFUNCTION("""COMPUTED_VALUE"""),"1745130787307")</f>
        <v>1745130787307</v>
      </c>
    </row>
    <row r="113" spans="1:11" ht="12.45">
      <c r="A113" s="2" t="str">
        <f ca="1">IFERROR(__xludf.DUMMYFUNCTION("""COMPUTED_VALUE"""),"1745130827374")</f>
        <v>1745130827374</v>
      </c>
      <c r="B113" s="2">
        <f ca="1">IFERROR(__xludf.DUMMYFUNCTION("""COMPUTED_VALUE"""),369538713)</f>
        <v>369538713</v>
      </c>
      <c r="C113" s="2" t="str">
        <f ca="1"/>
        <v>0369538713</v>
      </c>
      <c r="D113" s="2" t="str">
        <f ca="1">IFERROR(__xludf.DUMMYFUNCTION("""COMPUTED_VALUE"""),"1754651252749")</f>
        <v>1754651252749</v>
      </c>
      <c r="E113" s="2">
        <f ca="1">IFERROR(__xludf.DUMMYFUNCTION("""COMPUTED_VALUE"""),779882800)</f>
        <v>779882800</v>
      </c>
      <c r="F113" s="2" t="str">
        <f ca="1"/>
        <v>0779882800</v>
      </c>
      <c r="G113" s="2" t="str">
        <f ca="1">IFERROR(__xludf.DUMMYFUNCTION("""COMPUTED_VALUE"""),"105635805638")</f>
        <v>105635805638</v>
      </c>
      <c r="I113" s="2" t="str">
        <f ca="1">IFERROR(__xludf.DUMMYFUNCTION("""COMPUTED_VALUE"""),"Nguyễn Võ Nhật Quyên")</f>
        <v>Nguyễn Võ Nhật Quyên</v>
      </c>
      <c r="J113" s="3" t="str">
        <f ca="1">IFERROR(__xludf.DUMMYFUNCTION("""COMPUTED_VALUE"""),"0346277159")</f>
        <v>0346277159</v>
      </c>
      <c r="K113" s="2" t="str">
        <f ca="1">IFERROR(__xludf.DUMMYFUNCTION("""COMPUTED_VALUE"""),"1745130827374")</f>
        <v>1745130827374</v>
      </c>
    </row>
    <row r="114" spans="1:11" ht="12.45">
      <c r="A114" s="2" t="str">
        <f ca="1">IFERROR(__xludf.DUMMYFUNCTION("""COMPUTED_VALUE"""),"1745130878329")</f>
        <v>1745130878329</v>
      </c>
      <c r="B114" s="2">
        <f ca="1">IFERROR(__xludf.DUMMYFUNCTION("""COMPUTED_VALUE"""),373847788)</f>
        <v>373847788</v>
      </c>
      <c r="C114" s="2" t="str">
        <f ca="1"/>
        <v>0373847788</v>
      </c>
      <c r="D114" s="2" t="str">
        <f ca="1">IFERROR(__xludf.DUMMYFUNCTION("""COMPUTED_VALUE"""),"1754651280721")</f>
        <v>1754651280721</v>
      </c>
      <c r="E114" s="2">
        <f ca="1">IFERROR(__xludf.DUMMYFUNCTION("""COMPUTED_VALUE"""),983323096)</f>
        <v>983323096</v>
      </c>
      <c r="F114" s="2" t="str">
        <f ca="1"/>
        <v>0983323096</v>
      </c>
      <c r="G114" s="2" t="str">
        <f ca="1">IFERROR(__xludf.DUMMYFUNCTION("""COMPUTED_VALUE"""),"105635805756")</f>
        <v>105635805756</v>
      </c>
      <c r="I114" s="2" t="str">
        <f ca="1">IFERROR(__xludf.DUMMYFUNCTION("""COMPUTED_VALUE"""),"Võ Ngọc Bảo Trân")</f>
        <v>Võ Ngọc Bảo Trân</v>
      </c>
      <c r="J114" s="3" t="str">
        <f ca="1">IFERROR(__xludf.DUMMYFUNCTION("""COMPUTED_VALUE"""),"0947709206")</f>
        <v>0947709206</v>
      </c>
      <c r="K114" s="2" t="str">
        <f ca="1">IFERROR(__xludf.DUMMYFUNCTION("""COMPUTED_VALUE"""),"1745130878329")</f>
        <v>1745130878329</v>
      </c>
    </row>
    <row r="115" spans="1:11" ht="12.45">
      <c r="A115" s="2" t="str">
        <f ca="1">IFERROR(__xludf.DUMMYFUNCTION("""COMPUTED_VALUE"""),"1745130923499")</f>
        <v>1745130923499</v>
      </c>
      <c r="B115" s="2">
        <f ca="1">IFERROR(__xludf.DUMMYFUNCTION("""COMPUTED_VALUE"""),982420018)</f>
        <v>982420018</v>
      </c>
      <c r="C115" s="2" t="str">
        <f ca="1"/>
        <v>0982420018</v>
      </c>
      <c r="D115" s="2" t="str">
        <f ca="1">IFERROR(__xludf.DUMMYFUNCTION("""COMPUTED_VALUE"""),"1754651307887")</f>
        <v>1754651307887</v>
      </c>
      <c r="E115" s="2">
        <f ca="1">IFERROR(__xludf.DUMMYFUNCTION("""COMPUTED_VALUE"""),363859018)</f>
        <v>363859018</v>
      </c>
      <c r="F115" s="2" t="str">
        <f ca="1"/>
        <v>0363859018</v>
      </c>
      <c r="G115" s="2" t="str">
        <f ca="1">IFERROR(__xludf.DUMMYFUNCTION("""COMPUTED_VALUE"""),"105635805856")</f>
        <v>105635805856</v>
      </c>
      <c r="I115" s="2" t="str">
        <f ca="1">IFERROR(__xludf.DUMMYFUNCTION("""COMPUTED_VALUE"""),"Nguyễn Phương Thảo ")</f>
        <v xml:space="preserve">Nguyễn Phương Thảo </v>
      </c>
      <c r="J115" s="3" t="str">
        <f ca="1">IFERROR(__xludf.DUMMYFUNCTION("""COMPUTED_VALUE"""),"0984991835")</f>
        <v>0984991835</v>
      </c>
      <c r="K115" s="2" t="str">
        <f ca="1">IFERROR(__xludf.DUMMYFUNCTION("""COMPUTED_VALUE"""),"1745130923499")</f>
        <v>1745130923499</v>
      </c>
    </row>
    <row r="116" spans="1:11" ht="12.45">
      <c r="A116" s="2" t="str">
        <f ca="1">IFERROR(__xludf.DUMMYFUNCTION("""COMPUTED_VALUE"""),"1745130953721")</f>
        <v>1745130953721</v>
      </c>
      <c r="B116" s="2">
        <f ca="1">IFERROR(__xludf.DUMMYFUNCTION("""COMPUTED_VALUE"""),823789207)</f>
        <v>823789207</v>
      </c>
      <c r="C116" s="2" t="str">
        <f ca="1"/>
        <v>0823789207</v>
      </c>
      <c r="D116" s="2">
        <f ca="1">IFERROR(__xludf.DUMMYFUNCTION("""COMPUTED_VALUE"""),1755998540771)</f>
        <v>1755998540771</v>
      </c>
      <c r="E116" s="2">
        <f ca="1">IFERROR(__xludf.DUMMYFUNCTION("""COMPUTED_VALUE"""),346748996)</f>
        <v>346748996</v>
      </c>
      <c r="F116" s="2" t="str">
        <f ca="1"/>
        <v>0346748996</v>
      </c>
      <c r="G116" s="2" t="str">
        <f ca="1">IFERROR(__xludf.DUMMYFUNCTION("""COMPUTED_VALUE"""),"105635805915")</f>
        <v>105635805915</v>
      </c>
      <c r="I116" s="2" t="str">
        <f ca="1">IFERROR(__xludf.DUMMYFUNCTION("""COMPUTED_VALUE"""),"Trần Mỹ Dung")</f>
        <v>Trần Mỹ Dung</v>
      </c>
      <c r="J116" s="3" t="str">
        <f ca="1">IFERROR(__xludf.DUMMYFUNCTION("""COMPUTED_VALUE"""),"0365279532")</f>
        <v>0365279532</v>
      </c>
      <c r="K116" s="2" t="str">
        <f ca="1">IFERROR(__xludf.DUMMYFUNCTION("""COMPUTED_VALUE"""),"1745130953721")</f>
        <v>1745130953721</v>
      </c>
    </row>
    <row r="117" spans="1:11" ht="12.45">
      <c r="A117" s="2" t="str">
        <f ca="1">IFERROR(__xludf.DUMMYFUNCTION("""COMPUTED_VALUE"""),"1745130999052")</f>
        <v>1745130999052</v>
      </c>
      <c r="B117" s="2">
        <f ca="1">IFERROR(__xludf.DUMMYFUNCTION("""COMPUTED_VALUE"""),968507007)</f>
        <v>968507007</v>
      </c>
      <c r="C117" s="2" t="str">
        <f ca="1"/>
        <v>0968507007</v>
      </c>
      <c r="D117" s="2" t="str">
        <f ca="1">IFERROR(__xludf.DUMMYFUNCTION("""COMPUTED_VALUE"""),"1754651339559")</f>
        <v>1754651339559</v>
      </c>
      <c r="E117" s="2">
        <f ca="1">IFERROR(__xludf.DUMMYFUNCTION("""COMPUTED_VALUE"""),365557675)</f>
        <v>365557675</v>
      </c>
      <c r="F117" s="2" t="str">
        <f ca="1"/>
        <v>0365557675</v>
      </c>
      <c r="G117" s="2" t="str">
        <f ca="1">IFERROR(__xludf.DUMMYFUNCTION("""COMPUTED_VALUE"""),"105635806072")</f>
        <v>105635806072</v>
      </c>
      <c r="I117" s="2" t="str">
        <f ca="1">IFERROR(__xludf.DUMMYFUNCTION("""COMPUTED_VALUE"""),"Nguyễn Thị Mỹ Duyên ")</f>
        <v xml:space="preserve">Nguyễn Thị Mỹ Duyên </v>
      </c>
      <c r="J117" s="3" t="str">
        <f ca="1">IFERROR(__xludf.DUMMYFUNCTION("""COMPUTED_VALUE"""),"0866057612")</f>
        <v>0866057612</v>
      </c>
      <c r="K117" s="2" t="str">
        <f ca="1">IFERROR(__xludf.DUMMYFUNCTION("""COMPUTED_VALUE"""),"1745130999052")</f>
        <v>1745130999052</v>
      </c>
    </row>
    <row r="118" spans="1:11" ht="12.45">
      <c r="A118" s="2" t="str">
        <f ca="1">IFERROR(__xludf.DUMMYFUNCTION("""COMPUTED_VALUE"""),"1745131044605")</f>
        <v>1745131044605</v>
      </c>
      <c r="B118" s="2">
        <f ca="1">IFERROR(__xludf.DUMMYFUNCTION("""COMPUTED_VALUE"""),332109582)</f>
        <v>332109582</v>
      </c>
      <c r="C118" s="2" t="str">
        <f ca="1"/>
        <v>0332109582</v>
      </c>
      <c r="D118" s="2" t="str">
        <f ca="1">IFERROR(__xludf.DUMMYFUNCTION("""COMPUTED_VALUE"""),"1754651404364")</f>
        <v>1754651404364</v>
      </c>
      <c r="E118" s="2">
        <f ca="1">IFERROR(__xludf.DUMMYFUNCTION("""COMPUTED_VALUE"""),358850599)</f>
        <v>358850599</v>
      </c>
      <c r="F118" s="2" t="str">
        <f ca="1"/>
        <v>0358850599</v>
      </c>
      <c r="G118" s="2" t="str">
        <f ca="1">IFERROR(__xludf.DUMMYFUNCTION("""COMPUTED_VALUE"""),"105635806188")</f>
        <v>105635806188</v>
      </c>
      <c r="I118" s="2" t="str">
        <f ca="1">IFERROR(__xludf.DUMMYFUNCTION("""COMPUTED_VALUE"""),"Nguyễn Minh Chuyên ")</f>
        <v xml:space="preserve">Nguyễn Minh Chuyên </v>
      </c>
      <c r="J118" s="3" t="str">
        <f ca="1">IFERROR(__xludf.DUMMYFUNCTION("""COMPUTED_VALUE"""),"0879708297")</f>
        <v>0879708297</v>
      </c>
      <c r="K118" s="2" t="str">
        <f ca="1">IFERROR(__xludf.DUMMYFUNCTION("""COMPUTED_VALUE"""),"1745131044605")</f>
        <v>1745131044605</v>
      </c>
    </row>
    <row r="119" spans="1:11" ht="12.45">
      <c r="A119" s="2" t="str">
        <f ca="1">IFERROR(__xludf.DUMMYFUNCTION("""COMPUTED_VALUE"""),"1745131104760")</f>
        <v>1745131104760</v>
      </c>
      <c r="B119" s="2">
        <f ca="1">IFERROR(__xludf.DUMMYFUNCTION("""COMPUTED_VALUE"""),948310738)</f>
        <v>948310738</v>
      </c>
      <c r="C119" s="2" t="str">
        <f ca="1"/>
        <v>0948310738</v>
      </c>
      <c r="D119" s="2" t="str">
        <f ca="1">IFERROR(__xludf.DUMMYFUNCTION("""COMPUTED_VALUE"""),"1754651447290")</f>
        <v>1754651447290</v>
      </c>
      <c r="E119" s="2">
        <f ca="1">IFERROR(__xludf.DUMMYFUNCTION("""COMPUTED_VALUE"""),399466158)</f>
        <v>399466158</v>
      </c>
      <c r="F119" s="2" t="str">
        <f ca="1"/>
        <v>0399466158</v>
      </c>
      <c r="G119" s="2" t="str">
        <f ca="1">IFERROR(__xludf.DUMMYFUNCTION("""COMPUTED_VALUE"""),"105635806222")</f>
        <v>105635806222</v>
      </c>
      <c r="I119" s="2" t="str">
        <f ca="1">IFERROR(__xludf.DUMMYFUNCTION("""COMPUTED_VALUE"""),"Đỗ Gia Hân")</f>
        <v>Đỗ Gia Hân</v>
      </c>
      <c r="J119" s="3" t="str">
        <f ca="1">IFERROR(__xludf.DUMMYFUNCTION("""COMPUTED_VALUE"""),"0393927928")</f>
        <v>0393927928</v>
      </c>
      <c r="K119" s="2" t="str">
        <f ca="1">IFERROR(__xludf.DUMMYFUNCTION("""COMPUTED_VALUE"""),"1745131104760")</f>
        <v>1745131104760</v>
      </c>
    </row>
    <row r="120" spans="1:11" ht="12.45">
      <c r="A120" s="2" t="str">
        <f ca="1">IFERROR(__xludf.DUMMYFUNCTION("""COMPUTED_VALUE"""),"1745131137413")</f>
        <v>1745131137413</v>
      </c>
      <c r="B120" s="2">
        <f ca="1">IFERROR(__xludf.DUMMYFUNCTION("""COMPUTED_VALUE"""),837070281)</f>
        <v>837070281</v>
      </c>
      <c r="C120" s="2" t="str">
        <f ca="1"/>
        <v>0837070281</v>
      </c>
      <c r="D120" s="2" t="str">
        <f ca="1">IFERROR(__xludf.DUMMYFUNCTION("""COMPUTED_VALUE"""),"1754651502482")</f>
        <v>1754651502482</v>
      </c>
      <c r="E120" s="2">
        <f ca="1">IFERROR(__xludf.DUMMYFUNCTION("""COMPUTED_VALUE"""),354797082)</f>
        <v>354797082</v>
      </c>
      <c r="F120" s="2" t="str">
        <f ca="1"/>
        <v>0354797082</v>
      </c>
      <c r="G120" s="2" t="str">
        <f ca="1">IFERROR(__xludf.DUMMYFUNCTION("""COMPUTED_VALUE"""),"105635806312")</f>
        <v>105635806312</v>
      </c>
      <c r="I120" s="2" t="str">
        <f ca="1">IFERROR(__xludf.DUMMYFUNCTION("""COMPUTED_VALUE"""),"Ứng Phương Thuý")</f>
        <v>Ứng Phương Thuý</v>
      </c>
      <c r="J120" s="3" t="str">
        <f ca="1">IFERROR(__xludf.DUMMYFUNCTION("""COMPUTED_VALUE"""),"0357301968")</f>
        <v>0357301968</v>
      </c>
      <c r="K120" s="2" t="str">
        <f ca="1">IFERROR(__xludf.DUMMYFUNCTION("""COMPUTED_VALUE"""),"1745131137413")</f>
        <v>1745131137413</v>
      </c>
    </row>
    <row r="121" spans="1:11" ht="12.45">
      <c r="A121" s="2" t="str">
        <f ca="1">IFERROR(__xludf.DUMMYFUNCTION("""COMPUTED_VALUE"""),"1745131191647")</f>
        <v>1745131191647</v>
      </c>
      <c r="B121" s="2">
        <f ca="1">IFERROR(__xludf.DUMMYFUNCTION("""COMPUTED_VALUE"""),339237914)</f>
        <v>339237914</v>
      </c>
      <c r="C121" s="2" t="str">
        <f ca="1"/>
        <v>0339237914</v>
      </c>
      <c r="D121" s="2" t="str">
        <f ca="1">IFERROR(__xludf.DUMMYFUNCTION("""COMPUTED_VALUE"""),"1754651531926")</f>
        <v>1754651531926</v>
      </c>
      <c r="E121" s="2">
        <f ca="1">IFERROR(__xludf.DUMMYFUNCTION("""COMPUTED_VALUE"""),373242456)</f>
        <v>373242456</v>
      </c>
      <c r="F121" s="2" t="str">
        <f ca="1"/>
        <v>0373242456</v>
      </c>
      <c r="G121" s="2" t="str">
        <f ca="1">IFERROR(__xludf.DUMMYFUNCTION("""COMPUTED_VALUE"""),"105635806461")</f>
        <v>105635806461</v>
      </c>
      <c r="I121" s="2" t="str">
        <f ca="1">IFERROR(__xludf.DUMMYFUNCTION("""COMPUTED_VALUE"""),"Giao Minh Thanh ")</f>
        <v xml:space="preserve">Giao Minh Thanh </v>
      </c>
      <c r="J121" s="3" t="str">
        <f ca="1">IFERROR(__xludf.DUMMYFUNCTION("""COMPUTED_VALUE"""),"0326878924")</f>
        <v>0326878924</v>
      </c>
      <c r="K121" s="2" t="str">
        <f ca="1">IFERROR(__xludf.DUMMYFUNCTION("""COMPUTED_VALUE"""),"1745131191647")</f>
        <v>1745131191647</v>
      </c>
    </row>
    <row r="122" spans="1:11" ht="12.45">
      <c r="A122" s="2" t="str">
        <f ca="1">IFERROR(__xludf.DUMMYFUNCTION("""COMPUTED_VALUE"""),"1745131227251")</f>
        <v>1745131227251</v>
      </c>
      <c r="B122" s="2">
        <f ca="1">IFERROR(__xludf.DUMMYFUNCTION("""COMPUTED_VALUE"""),985339392)</f>
        <v>985339392</v>
      </c>
      <c r="C122" s="2" t="str">
        <f ca="1"/>
        <v>0985339392</v>
      </c>
      <c r="D122" s="2" t="str">
        <f ca="1">IFERROR(__xludf.DUMMYFUNCTION("""COMPUTED_VALUE"""),"1754651564655")</f>
        <v>1754651564655</v>
      </c>
      <c r="E122" s="2">
        <f ca="1">IFERROR(__xludf.DUMMYFUNCTION("""COMPUTED_VALUE"""),946443287)</f>
        <v>946443287</v>
      </c>
      <c r="F122" s="2" t="str">
        <f ca="1"/>
        <v>0946443287</v>
      </c>
      <c r="G122" s="2" t="str">
        <f ca="1">IFERROR(__xludf.DUMMYFUNCTION("""COMPUTED_VALUE"""),"105635806554")</f>
        <v>105635806554</v>
      </c>
      <c r="I122" s="2" t="str">
        <f ca="1">IFERROR(__xludf.DUMMYFUNCTION("""COMPUTED_VALUE"""),"Bùi Vũ Hồng Nhung")</f>
        <v>Bùi Vũ Hồng Nhung</v>
      </c>
      <c r="J122" s="3" t="str">
        <f ca="1">IFERROR(__xludf.DUMMYFUNCTION("""COMPUTED_VALUE"""),"0764928373")</f>
        <v>0764928373</v>
      </c>
      <c r="K122" s="2" t="str">
        <f ca="1">IFERROR(__xludf.DUMMYFUNCTION("""COMPUTED_VALUE"""),"1745131227251")</f>
        <v>1745131227251</v>
      </c>
    </row>
    <row r="123" spans="1:11" ht="12.45">
      <c r="A123" s="2" t="str">
        <f ca="1">IFERROR(__xludf.DUMMYFUNCTION("""COMPUTED_VALUE"""),"1745131266592")</f>
        <v>1745131266592</v>
      </c>
      <c r="B123" s="2">
        <f ca="1">IFERROR(__xludf.DUMMYFUNCTION("""COMPUTED_VALUE"""),392695386)</f>
        <v>392695386</v>
      </c>
      <c r="C123" s="2" t="str">
        <f ca="1"/>
        <v>0392695386</v>
      </c>
      <c r="D123" s="2" t="str">
        <f ca="1">IFERROR(__xludf.DUMMYFUNCTION("""COMPUTED_VALUE"""),"1754651587973")</f>
        <v>1754651587973</v>
      </c>
      <c r="E123" s="2">
        <f ca="1">IFERROR(__xludf.DUMMYFUNCTION("""COMPUTED_VALUE"""),702605819)</f>
        <v>702605819</v>
      </c>
      <c r="F123" s="2" t="str">
        <f ca="1"/>
        <v>0702605819</v>
      </c>
      <c r="G123" s="2" t="str">
        <f ca="1">IFERROR(__xludf.DUMMYFUNCTION("""COMPUTED_VALUE"""),"105635806660")</f>
        <v>105635806660</v>
      </c>
      <c r="I123" s="2" t="str">
        <f ca="1">IFERROR(__xludf.DUMMYFUNCTION("""COMPUTED_VALUE"""),"Nguyễn Thị Tuyền")</f>
        <v>Nguyễn Thị Tuyền</v>
      </c>
      <c r="J123" s="3" t="str">
        <f ca="1">IFERROR(__xludf.DUMMYFUNCTION("""COMPUTED_VALUE"""),"0354707244")</f>
        <v>0354707244</v>
      </c>
      <c r="K123" s="2" t="str">
        <f ca="1">IFERROR(__xludf.DUMMYFUNCTION("""COMPUTED_VALUE"""),"1745131266592")</f>
        <v>1745131266592</v>
      </c>
    </row>
    <row r="124" spans="1:11" ht="12.45">
      <c r="A124" s="2" t="str">
        <f ca="1">IFERROR(__xludf.DUMMYFUNCTION("""COMPUTED_VALUE"""),"1745131308290")</f>
        <v>1745131308290</v>
      </c>
      <c r="B124" s="2">
        <f ca="1">IFERROR(__xludf.DUMMYFUNCTION("""COMPUTED_VALUE"""),967492546)</f>
        <v>967492546</v>
      </c>
      <c r="C124" s="2" t="str">
        <f ca="1"/>
        <v>0967492546</v>
      </c>
      <c r="D124" s="2" t="str">
        <f ca="1">IFERROR(__xludf.DUMMYFUNCTION("""COMPUTED_VALUE"""),"1754651620457")</f>
        <v>1754651620457</v>
      </c>
      <c r="E124" s="2">
        <f ca="1">IFERROR(__xludf.DUMMYFUNCTION("""COMPUTED_VALUE"""),399783301)</f>
        <v>399783301</v>
      </c>
      <c r="F124" s="2" t="str">
        <f ca="1"/>
        <v>0399783301</v>
      </c>
      <c r="G124" s="2" t="str">
        <f ca="1">IFERROR(__xludf.DUMMYFUNCTION("""COMPUTED_VALUE"""),"105635806724")</f>
        <v>105635806724</v>
      </c>
      <c r="I124" s="2" t="str">
        <f ca="1">IFERROR(__xludf.DUMMYFUNCTION("""COMPUTED_VALUE"""),"Huỳnh Minh Vy")</f>
        <v>Huỳnh Minh Vy</v>
      </c>
      <c r="J124" s="3" t="str">
        <f ca="1">IFERROR(__xludf.DUMMYFUNCTION("""COMPUTED_VALUE"""),"0388976064")</f>
        <v>0388976064</v>
      </c>
      <c r="K124" s="2" t="str">
        <f ca="1">IFERROR(__xludf.DUMMYFUNCTION("""COMPUTED_VALUE"""),"1745131308290")</f>
        <v>1745131308290</v>
      </c>
    </row>
    <row r="125" spans="1:11" ht="12.45">
      <c r="A125" s="2" t="str">
        <f ca="1">IFERROR(__xludf.DUMMYFUNCTION("""COMPUTED_VALUE"""),"1745131344965")</f>
        <v>1745131344965</v>
      </c>
      <c r="B125" s="2">
        <f ca="1">IFERROR(__xludf.DUMMYFUNCTION("""COMPUTED_VALUE"""),913411422)</f>
        <v>913411422</v>
      </c>
      <c r="C125" s="2" t="str">
        <f ca="1"/>
        <v>0913411422</v>
      </c>
      <c r="D125" s="2" t="str">
        <f ca="1">IFERROR(__xludf.DUMMYFUNCTION("""COMPUTED_VALUE"""),"1754651649060")</f>
        <v>1754651649060</v>
      </c>
      <c r="E125" s="2">
        <f ca="1">IFERROR(__xludf.DUMMYFUNCTION("""COMPUTED_VALUE"""),949254486)</f>
        <v>949254486</v>
      </c>
      <c r="F125" s="2" t="str">
        <f ca="1"/>
        <v>0949254486</v>
      </c>
      <c r="G125" s="2" t="str">
        <f ca="1">IFERROR(__xludf.DUMMYFUNCTION("""COMPUTED_VALUE"""),"105635806983")</f>
        <v>105635806983</v>
      </c>
      <c r="I125" s="2" t="str">
        <f ca="1">IFERROR(__xludf.DUMMYFUNCTION("""COMPUTED_VALUE"""),"Hoàng Ngọc Mai")</f>
        <v>Hoàng Ngọc Mai</v>
      </c>
      <c r="J125" s="3" t="str">
        <f ca="1">IFERROR(__xludf.DUMMYFUNCTION("""COMPUTED_VALUE"""),"0829527778")</f>
        <v>0829527778</v>
      </c>
      <c r="K125" s="2" t="str">
        <f ca="1">IFERROR(__xludf.DUMMYFUNCTION("""COMPUTED_VALUE"""),"1745131344965")</f>
        <v>1745131344965</v>
      </c>
    </row>
    <row r="126" spans="1:11" ht="12.45">
      <c r="A126" s="2" t="str">
        <f ca="1">IFERROR(__xludf.DUMMYFUNCTION("""COMPUTED_VALUE"""),"1745131383707")</f>
        <v>1745131383707</v>
      </c>
      <c r="B126" s="2">
        <f ca="1">IFERROR(__xludf.DUMMYFUNCTION("""COMPUTED_VALUE"""),967116207)</f>
        <v>967116207</v>
      </c>
      <c r="C126" s="2" t="str">
        <f ca="1"/>
        <v>0967116207</v>
      </c>
      <c r="D126" s="2" t="str">
        <f ca="1">IFERROR(__xludf.DUMMYFUNCTION("""COMPUTED_VALUE"""),"1754651678135")</f>
        <v>1754651678135</v>
      </c>
      <c r="E126" s="2">
        <f ca="1">IFERROR(__xludf.DUMMYFUNCTION("""COMPUTED_VALUE"""),915295422)</f>
        <v>915295422</v>
      </c>
      <c r="F126" s="2" t="str">
        <f ca="1"/>
        <v>0915295422</v>
      </c>
      <c r="G126" s="2" t="str">
        <f ca="1">IFERROR(__xludf.DUMMYFUNCTION("""COMPUTED_VALUE"""),"105635807026")</f>
        <v>105635807026</v>
      </c>
      <c r="I126" s="2" t="str">
        <f ca="1">IFERROR(__xludf.DUMMYFUNCTION("""COMPUTED_VALUE"""),"Lê Trần Thục Vy ")</f>
        <v xml:space="preserve">Lê Trần Thục Vy </v>
      </c>
      <c r="J126" s="3" t="str">
        <f ca="1">IFERROR(__xludf.DUMMYFUNCTION("""COMPUTED_VALUE"""),"0969473022")</f>
        <v>0969473022</v>
      </c>
      <c r="K126" s="2" t="str">
        <f ca="1">IFERROR(__xludf.DUMMYFUNCTION("""COMPUTED_VALUE"""),"1745131383707")</f>
        <v>1745131383707</v>
      </c>
    </row>
    <row r="127" spans="1:11" ht="12.45">
      <c r="A127" s="2" t="str">
        <f ca="1">IFERROR(__xludf.DUMMYFUNCTION("""COMPUTED_VALUE"""),"1745131429732")</f>
        <v>1745131429732</v>
      </c>
      <c r="B127" s="2">
        <f ca="1">IFERROR(__xludf.DUMMYFUNCTION("""COMPUTED_VALUE"""),373480933)</f>
        <v>373480933</v>
      </c>
      <c r="C127" s="2" t="str">
        <f ca="1"/>
        <v>0373480933</v>
      </c>
      <c r="D127" s="2" t="str">
        <f ca="1">IFERROR(__xludf.DUMMYFUNCTION("""COMPUTED_VALUE"""),"1754651716001")</f>
        <v>1754651716001</v>
      </c>
      <c r="E127" s="2">
        <f ca="1">IFERROR(__xludf.DUMMYFUNCTION("""COMPUTED_VALUE"""),357158495)</f>
        <v>357158495</v>
      </c>
      <c r="F127" s="2" t="str">
        <f ca="1"/>
        <v>0357158495</v>
      </c>
      <c r="G127" s="2" t="str">
        <f ca="1">IFERROR(__xludf.DUMMYFUNCTION("""COMPUTED_VALUE"""),"105635807147")</f>
        <v>105635807147</v>
      </c>
      <c r="I127" s="2" t="str">
        <f ca="1">IFERROR(__xludf.DUMMYFUNCTION("""COMPUTED_VALUE"""),"Nguyễn Lê Bảo Hiền ")</f>
        <v xml:space="preserve">Nguyễn Lê Bảo Hiền </v>
      </c>
      <c r="J127" s="3" t="str">
        <f ca="1">IFERROR(__xludf.DUMMYFUNCTION("""COMPUTED_VALUE"""),"0703262434")</f>
        <v>0703262434</v>
      </c>
      <c r="K127" s="2" t="str">
        <f ca="1">IFERROR(__xludf.DUMMYFUNCTION("""COMPUTED_VALUE"""),"1745131429732")</f>
        <v>1745131429732</v>
      </c>
    </row>
    <row r="128" spans="1:11" ht="12.45">
      <c r="A128" s="2" t="str">
        <f ca="1">IFERROR(__xludf.DUMMYFUNCTION("""COMPUTED_VALUE"""),"1745131471798")</f>
        <v>1745131471798</v>
      </c>
      <c r="B128" s="2">
        <f ca="1">IFERROR(__xludf.DUMMYFUNCTION("""COMPUTED_VALUE"""),374017137)</f>
        <v>374017137</v>
      </c>
      <c r="C128" s="2" t="str">
        <f ca="1"/>
        <v>0374017137</v>
      </c>
      <c r="D128" s="2" t="str">
        <f ca="1">IFERROR(__xludf.DUMMYFUNCTION("""COMPUTED_VALUE"""),"1754651744187")</f>
        <v>1754651744187</v>
      </c>
      <c r="E128" s="2">
        <f ca="1">IFERROR(__xludf.DUMMYFUNCTION("""COMPUTED_VALUE"""),902001951)</f>
        <v>902001951</v>
      </c>
      <c r="F128" s="2" t="str">
        <f ca="1"/>
        <v>0902001951</v>
      </c>
      <c r="G128" s="2" t="str">
        <f ca="1">IFERROR(__xludf.DUMMYFUNCTION("""COMPUTED_VALUE"""),"105635807292")</f>
        <v>105635807292</v>
      </c>
      <c r="I128" s="2" t="str">
        <f ca="1">IFERROR(__xludf.DUMMYFUNCTION("""COMPUTED_VALUE"""),"Lê thị Phương Anh")</f>
        <v>Lê thị Phương Anh</v>
      </c>
      <c r="J128" s="3" t="str">
        <f ca="1">IFERROR(__xludf.DUMMYFUNCTION("""COMPUTED_VALUE"""),"0392906999")</f>
        <v>0392906999</v>
      </c>
      <c r="K128" s="2" t="str">
        <f ca="1">IFERROR(__xludf.DUMMYFUNCTION("""COMPUTED_VALUE"""),"1745131471798")</f>
        <v>1745131471798</v>
      </c>
    </row>
    <row r="129" spans="1:11" ht="12.45">
      <c r="A129" s="2" t="str">
        <f ca="1">IFERROR(__xludf.DUMMYFUNCTION("""COMPUTED_VALUE"""),"Không giao sách")</f>
        <v>Không giao sách</v>
      </c>
      <c r="B129" s="2">
        <f ca="1">IFERROR(__xludf.DUMMYFUNCTION("""COMPUTED_VALUE"""),964324454)</f>
        <v>964324454</v>
      </c>
      <c r="C129" s="2" t="str">
        <f ca="1"/>
        <v>0964324454</v>
      </c>
      <c r="D129" s="2" t="str">
        <f ca="1">IFERROR(__xludf.DUMMYFUNCTION("""COMPUTED_VALUE"""),"1754651774519")</f>
        <v>1754651774519</v>
      </c>
      <c r="E129" s="2">
        <f ca="1">IFERROR(__xludf.DUMMYFUNCTION("""COMPUTED_VALUE"""),565711859)</f>
        <v>565711859</v>
      </c>
      <c r="F129" s="2" t="str">
        <f ca="1"/>
        <v>0565711859</v>
      </c>
      <c r="G129" s="2" t="str">
        <f ca="1">IFERROR(__xludf.DUMMYFUNCTION("""COMPUTED_VALUE"""),"105635807389")</f>
        <v>105635807389</v>
      </c>
      <c r="I129" s="2" t="str">
        <f ca="1">IFERROR(__xludf.DUMMYFUNCTION("""COMPUTED_VALUE"""),"Đỗ Thị Dung")</f>
        <v>Đỗ Thị Dung</v>
      </c>
      <c r="J129" s="3" t="str">
        <f ca="1">IFERROR(__xludf.DUMMYFUNCTION("""COMPUTED_VALUE"""),"0342030399")</f>
        <v>0342030399</v>
      </c>
      <c r="K129" s="2" t="str">
        <f ca="1">IFERROR(__xludf.DUMMYFUNCTION("""COMPUTED_VALUE"""),"Không giao sách")</f>
        <v>Không giao sách</v>
      </c>
    </row>
    <row r="130" spans="1:11" ht="12.45">
      <c r="A130" s="2" t="str">
        <f ca="1">IFERROR(__xludf.DUMMYFUNCTION("""COMPUTED_VALUE"""),"1745131511882")</f>
        <v>1745131511882</v>
      </c>
      <c r="B130" s="2">
        <f ca="1">IFERROR(__xludf.DUMMYFUNCTION("""COMPUTED_VALUE"""),866453588)</f>
        <v>866453588</v>
      </c>
      <c r="C130" s="2" t="str">
        <f ca="1"/>
        <v>0866453588</v>
      </c>
      <c r="D130" s="2" t="str">
        <f ca="1">IFERROR(__xludf.DUMMYFUNCTION("""COMPUTED_VALUE"""),"1754651802973")</f>
        <v>1754651802973</v>
      </c>
      <c r="E130" s="2">
        <f ca="1">IFERROR(__xludf.DUMMYFUNCTION("""COMPUTED_VALUE"""),944036060)</f>
        <v>944036060</v>
      </c>
      <c r="F130" s="2" t="str">
        <f ca="1"/>
        <v>0944036060</v>
      </c>
      <c r="G130" s="2" t="str">
        <f ca="1">IFERROR(__xludf.DUMMYFUNCTION("""COMPUTED_VALUE"""),"105635807468")</f>
        <v>105635807468</v>
      </c>
      <c r="I130" s="2" t="str">
        <f ca="1">IFERROR(__xludf.DUMMYFUNCTION("""COMPUTED_VALUE"""),"Đào Ngọc Quỳnh Anh")</f>
        <v>Đào Ngọc Quỳnh Anh</v>
      </c>
      <c r="J130" s="3" t="str">
        <f ca="1">IFERROR(__xludf.DUMMYFUNCTION("""COMPUTED_VALUE"""),"0845500081")</f>
        <v>0845500081</v>
      </c>
      <c r="K130" s="2" t="str">
        <f ca="1">IFERROR(__xludf.DUMMYFUNCTION("""COMPUTED_VALUE"""),"1745131511882")</f>
        <v>1745131511882</v>
      </c>
    </row>
    <row r="131" spans="1:11" ht="12.45">
      <c r="A131" s="2" t="str">
        <f ca="1">IFERROR(__xludf.DUMMYFUNCTION("""COMPUTED_VALUE"""),"1745131545020")</f>
        <v>1745131545020</v>
      </c>
      <c r="B131" s="2">
        <f ca="1">IFERROR(__xludf.DUMMYFUNCTION("""COMPUTED_VALUE"""),983902600)</f>
        <v>983902600</v>
      </c>
      <c r="C131" s="2" t="str">
        <f ca="1"/>
        <v>0983902600</v>
      </c>
      <c r="D131" s="2" t="str">
        <f ca="1">IFERROR(__xludf.DUMMYFUNCTION("""COMPUTED_VALUE"""),"1754651827713")</f>
        <v>1754651827713</v>
      </c>
      <c r="E131" s="2">
        <f ca="1">IFERROR(__xludf.DUMMYFUNCTION("""COMPUTED_VALUE"""),869545647)</f>
        <v>869545647</v>
      </c>
      <c r="F131" s="2" t="str">
        <f ca="1"/>
        <v>0869545647</v>
      </c>
      <c r="G131" s="2" t="str">
        <f ca="1">IFERROR(__xludf.DUMMYFUNCTION("""COMPUTED_VALUE"""),"105635807659")</f>
        <v>105635807659</v>
      </c>
      <c r="I131" s="2" t="str">
        <f ca="1">IFERROR(__xludf.DUMMYFUNCTION("""COMPUTED_VALUE"""),"Nghiêm An An")</f>
        <v>Nghiêm An An</v>
      </c>
      <c r="J131" s="3" t="str">
        <f ca="1">IFERROR(__xludf.DUMMYFUNCTION("""COMPUTED_VALUE"""),"0348937856")</f>
        <v>0348937856</v>
      </c>
      <c r="K131" s="2" t="str">
        <f ca="1">IFERROR(__xludf.DUMMYFUNCTION("""COMPUTED_VALUE"""),"1745131545020")</f>
        <v>1745131545020</v>
      </c>
    </row>
    <row r="132" spans="1:11" ht="12.45">
      <c r="A132" s="2" t="str">
        <f ca="1">IFERROR(__xludf.DUMMYFUNCTION("""COMPUTED_VALUE"""),"1745131583989")</f>
        <v>1745131583989</v>
      </c>
      <c r="B132" s="2">
        <f ca="1">IFERROR(__xludf.DUMMYFUNCTION("""COMPUTED_VALUE"""),972194607)</f>
        <v>972194607</v>
      </c>
      <c r="C132" s="2" t="str">
        <f ca="1"/>
        <v>0972194607</v>
      </c>
      <c r="D132" s="2" t="str">
        <f ca="1">IFERROR(__xludf.DUMMYFUNCTION("""COMPUTED_VALUE"""),"1754651862529")</f>
        <v>1754651862529</v>
      </c>
      <c r="E132" s="2">
        <f ca="1">IFERROR(__xludf.DUMMYFUNCTION("""COMPUTED_VALUE"""),377330847)</f>
        <v>377330847</v>
      </c>
      <c r="F132" s="2" t="str">
        <f ca="1"/>
        <v>0377330847</v>
      </c>
      <c r="G132" s="2" t="str">
        <f ca="1">IFERROR(__xludf.DUMMYFUNCTION("""COMPUTED_VALUE"""),"105635807829")</f>
        <v>105635807829</v>
      </c>
      <c r="I132" s="2" t="str">
        <f ca="1">IFERROR(__xludf.DUMMYFUNCTION("""COMPUTED_VALUE"""),"Phạm Thanh Trúc ")</f>
        <v xml:space="preserve">Phạm Thanh Trúc </v>
      </c>
      <c r="J132" s="3" t="str">
        <f ca="1">IFERROR(__xludf.DUMMYFUNCTION("""COMPUTED_VALUE"""),"0356361499")</f>
        <v>0356361499</v>
      </c>
      <c r="K132" s="2" t="str">
        <f ca="1">IFERROR(__xludf.DUMMYFUNCTION("""COMPUTED_VALUE"""),"1745131583989")</f>
        <v>1745131583989</v>
      </c>
    </row>
    <row r="133" spans="1:11" ht="12.45">
      <c r="A133" s="2" t="str">
        <f ca="1">IFERROR(__xludf.DUMMYFUNCTION("""COMPUTED_VALUE"""),"1745131627208")</f>
        <v>1745131627208</v>
      </c>
      <c r="B133" s="2">
        <f ca="1">IFERROR(__xludf.DUMMYFUNCTION("""COMPUTED_VALUE"""),788383863)</f>
        <v>788383863</v>
      </c>
      <c r="C133" s="2" t="str">
        <f ca="1"/>
        <v>0788383863</v>
      </c>
      <c r="D133" s="2" t="str">
        <f ca="1">IFERROR(__xludf.DUMMYFUNCTION("""COMPUTED_VALUE"""),"1754651897633")</f>
        <v>1754651897633</v>
      </c>
      <c r="E133" s="2">
        <f ca="1">IFERROR(__xludf.DUMMYFUNCTION("""COMPUTED_VALUE"""),812734989)</f>
        <v>812734989</v>
      </c>
      <c r="F133" s="2" t="str">
        <f ca="1"/>
        <v>0812734989</v>
      </c>
      <c r="G133" s="2" t="str">
        <f ca="1">IFERROR(__xludf.DUMMYFUNCTION("""COMPUTED_VALUE"""),"105635808024")</f>
        <v>105635808024</v>
      </c>
      <c r="I133" s="2" t="str">
        <f ca="1">IFERROR(__xludf.DUMMYFUNCTION("""COMPUTED_VALUE"""),"Phạm Thị Yến Hoa")</f>
        <v>Phạm Thị Yến Hoa</v>
      </c>
      <c r="J133" s="3" t="str">
        <f ca="1">IFERROR(__xludf.DUMMYFUNCTION("""COMPUTED_VALUE"""),"0338761904")</f>
        <v>0338761904</v>
      </c>
      <c r="K133" s="2" t="str">
        <f ca="1">IFERROR(__xludf.DUMMYFUNCTION("""COMPUTED_VALUE"""),"1745131627208")</f>
        <v>1745131627208</v>
      </c>
    </row>
    <row r="134" spans="1:11" ht="12.45">
      <c r="A134" s="2" t="str">
        <f ca="1">IFERROR(__xludf.DUMMYFUNCTION("""COMPUTED_VALUE"""),"1738939802368")</f>
        <v>1738939802368</v>
      </c>
      <c r="B134" s="2">
        <f ca="1">IFERROR(__xludf.DUMMYFUNCTION("""COMPUTED_VALUE"""),974953425)</f>
        <v>974953425</v>
      </c>
      <c r="C134" s="2" t="str">
        <f ca="1"/>
        <v>0974953425</v>
      </c>
      <c r="D134" s="2" t="str">
        <f ca="1">IFERROR(__xludf.DUMMYFUNCTION("""COMPUTED_VALUE"""),"1754651947253")</f>
        <v>1754651947253</v>
      </c>
      <c r="E134" s="2">
        <f ca="1">IFERROR(__xludf.DUMMYFUNCTION("""COMPUTED_VALUE"""),354351900)</f>
        <v>354351900</v>
      </c>
      <c r="F134" s="2" t="str">
        <f ca="1"/>
        <v>0354351900</v>
      </c>
      <c r="G134" s="2" t="str">
        <f ca="1">IFERROR(__xludf.DUMMYFUNCTION("""COMPUTED_VALUE"""),"105635808124")</f>
        <v>105635808124</v>
      </c>
      <c r="I134" s="2" t="str">
        <f ca="1">IFERROR(__xludf.DUMMYFUNCTION("""COMPUTED_VALUE"""),"Nguyễn Thùy Trang ")</f>
        <v xml:space="preserve">Nguyễn Thùy Trang </v>
      </c>
      <c r="J134" s="3" t="str">
        <f ca="1">IFERROR(__xludf.DUMMYFUNCTION("""COMPUTED_VALUE"""),"0329394875")</f>
        <v>0329394875</v>
      </c>
      <c r="K134" s="2" t="str">
        <f ca="1">IFERROR(__xludf.DUMMYFUNCTION("""COMPUTED_VALUE"""),"1738939802368")</f>
        <v>1738939802368</v>
      </c>
    </row>
    <row r="135" spans="1:11" ht="12.45">
      <c r="A135" s="2" t="str">
        <f ca="1">IFERROR(__xludf.DUMMYFUNCTION("""COMPUTED_VALUE"""),"1745131667747")</f>
        <v>1745131667747</v>
      </c>
      <c r="B135" s="2">
        <f ca="1">IFERROR(__xludf.DUMMYFUNCTION("""COMPUTED_VALUE"""),334069296)</f>
        <v>334069296</v>
      </c>
      <c r="C135" s="2" t="str">
        <f ca="1"/>
        <v>0334069296</v>
      </c>
      <c r="D135" s="2" t="str">
        <f ca="1">IFERROR(__xludf.DUMMYFUNCTION("""COMPUTED_VALUE"""),"1754652008064")</f>
        <v>1754652008064</v>
      </c>
      <c r="E135" s="2">
        <f ca="1">IFERROR(__xludf.DUMMYFUNCTION("""COMPUTED_VALUE"""),359284043)</f>
        <v>359284043</v>
      </c>
      <c r="F135" s="2" t="str">
        <f ca="1"/>
        <v>0359284043</v>
      </c>
      <c r="G135" s="2" t="str">
        <f ca="1">IFERROR(__xludf.DUMMYFUNCTION("""COMPUTED_VALUE"""),"105635808293")</f>
        <v>105635808293</v>
      </c>
      <c r="I135" s="2" t="str">
        <f ca="1">IFERROR(__xludf.DUMMYFUNCTION("""COMPUTED_VALUE"""),"Nguyễn Thị Minh Thư")</f>
        <v>Nguyễn Thị Minh Thư</v>
      </c>
      <c r="J135" s="3" t="str">
        <f ca="1">IFERROR(__xludf.DUMMYFUNCTION("""COMPUTED_VALUE"""),"0857805979")</f>
        <v>0857805979</v>
      </c>
      <c r="K135" s="2" t="str">
        <f ca="1">IFERROR(__xludf.DUMMYFUNCTION("""COMPUTED_VALUE"""),"1745131667747")</f>
        <v>1745131667747</v>
      </c>
    </row>
    <row r="136" spans="1:11" ht="12.45">
      <c r="A136" s="2" t="str">
        <f ca="1">IFERROR(__xludf.DUMMYFUNCTION("""COMPUTED_VALUE"""),"1745131726466")</f>
        <v>1745131726466</v>
      </c>
      <c r="B136" s="2">
        <f ca="1">IFERROR(__xludf.DUMMYFUNCTION("""COMPUTED_VALUE"""),766840017)</f>
        <v>766840017</v>
      </c>
      <c r="C136" s="2" t="str">
        <f ca="1"/>
        <v>0766840017</v>
      </c>
      <c r="D136" s="2" t="str">
        <f ca="1">IFERROR(__xludf.DUMMYFUNCTION("""COMPUTED_VALUE"""),"1754690972665")</f>
        <v>1754690972665</v>
      </c>
      <c r="E136" s="2">
        <f ca="1">IFERROR(__xludf.DUMMYFUNCTION("""COMPUTED_VALUE"""),904095163)</f>
        <v>904095163</v>
      </c>
      <c r="F136" s="2" t="str">
        <f ca="1"/>
        <v>0904095163</v>
      </c>
      <c r="G136" s="2" t="str">
        <f ca="1">IFERROR(__xludf.DUMMYFUNCTION("""COMPUTED_VALUE"""),"105635808394")</f>
        <v>105635808394</v>
      </c>
      <c r="I136" s="2" t="str">
        <f ca="1">IFERROR(__xludf.DUMMYFUNCTION("""COMPUTED_VALUE"""),"Ngô Hoàng Yến")</f>
        <v>Ngô Hoàng Yến</v>
      </c>
      <c r="J136" s="3" t="str">
        <f ca="1">IFERROR(__xludf.DUMMYFUNCTION("""COMPUTED_VALUE"""),"0336111309")</f>
        <v>0336111309</v>
      </c>
      <c r="K136" s="2" t="str">
        <f ca="1">IFERROR(__xludf.DUMMYFUNCTION("""COMPUTED_VALUE"""),"1745131726466")</f>
        <v>1745131726466</v>
      </c>
    </row>
    <row r="137" spans="1:11" ht="12.45">
      <c r="A137" s="2" t="str">
        <f ca="1">IFERROR(__xludf.DUMMYFUNCTION("""COMPUTED_VALUE"""),"1745131767978")</f>
        <v>1745131767978</v>
      </c>
      <c r="B137" s="2">
        <f ca="1">IFERROR(__xludf.DUMMYFUNCTION("""COMPUTED_VALUE"""),945338699)</f>
        <v>945338699</v>
      </c>
      <c r="C137" s="2" t="str">
        <f ca="1"/>
        <v>0945338699</v>
      </c>
      <c r="D137" s="2" t="str">
        <f ca="1">IFERROR(__xludf.DUMMYFUNCTION("""COMPUTED_VALUE"""),"1754652050713")</f>
        <v>1754652050713</v>
      </c>
      <c r="E137" s="2">
        <f ca="1">IFERROR(__xludf.DUMMYFUNCTION("""COMPUTED_VALUE"""),345843151)</f>
        <v>345843151</v>
      </c>
      <c r="F137" s="2" t="str">
        <f ca="1"/>
        <v>0345843151</v>
      </c>
      <c r="G137" s="2" t="str">
        <f ca="1">IFERROR(__xludf.DUMMYFUNCTION("""COMPUTED_VALUE"""),"105635808480")</f>
        <v>105635808480</v>
      </c>
      <c r="I137" s="2" t="str">
        <f ca="1">IFERROR(__xludf.DUMMYFUNCTION("""COMPUTED_VALUE"""),"Nguyễn Quỳnh Chi")</f>
        <v>Nguyễn Quỳnh Chi</v>
      </c>
      <c r="J137" s="3" t="str">
        <f ca="1">IFERROR(__xludf.DUMMYFUNCTION("""COMPUTED_VALUE"""),"0961980933")</f>
        <v>0961980933</v>
      </c>
      <c r="K137" s="2" t="str">
        <f ca="1">IFERROR(__xludf.DUMMYFUNCTION("""COMPUTED_VALUE"""),"1745131767978")</f>
        <v>1745131767978</v>
      </c>
    </row>
    <row r="138" spans="1:11" ht="12.45">
      <c r="A138" s="2" t="str">
        <f ca="1">IFERROR(__xludf.DUMMYFUNCTION("""COMPUTED_VALUE"""),"1745131810164")</f>
        <v>1745131810164</v>
      </c>
      <c r="B138" s="2">
        <f ca="1">IFERROR(__xludf.DUMMYFUNCTION("""COMPUTED_VALUE"""),366366941)</f>
        <v>366366941</v>
      </c>
      <c r="C138" s="2" t="str">
        <f ca="1"/>
        <v>0366366941</v>
      </c>
      <c r="D138" s="2" t="str">
        <f ca="1">IFERROR(__xludf.DUMMYFUNCTION("""COMPUTED_VALUE"""),"1754652082695")</f>
        <v>1754652082695</v>
      </c>
      <c r="E138" s="2">
        <f ca="1">IFERROR(__xludf.DUMMYFUNCTION("""COMPUTED_VALUE"""),368115759)</f>
        <v>368115759</v>
      </c>
      <c r="F138" s="2" t="str">
        <f ca="1"/>
        <v>0368115759</v>
      </c>
      <c r="G138" s="2" t="str">
        <f ca="1">IFERROR(__xludf.DUMMYFUNCTION("""COMPUTED_VALUE"""),"105635808550")</f>
        <v>105635808550</v>
      </c>
      <c r="I138" s="2" t="str">
        <f ca="1">IFERROR(__xludf.DUMMYFUNCTION("""COMPUTED_VALUE"""),"Phan Đình Quí")</f>
        <v>Phan Đình Quí</v>
      </c>
      <c r="J138" s="3" t="str">
        <f ca="1">IFERROR(__xludf.DUMMYFUNCTION("""COMPUTED_VALUE"""),"0373043312")</f>
        <v>0373043312</v>
      </c>
      <c r="K138" s="2" t="str">
        <f ca="1">IFERROR(__xludf.DUMMYFUNCTION("""COMPUTED_VALUE"""),"1745131810164")</f>
        <v>1745131810164</v>
      </c>
    </row>
    <row r="139" spans="1:11" ht="12.45">
      <c r="A139" s="2" t="str">
        <f ca="1">IFERROR(__xludf.DUMMYFUNCTION("""COMPUTED_VALUE"""),"1745131860151")</f>
        <v>1745131860151</v>
      </c>
      <c r="B139" s="2">
        <f ca="1">IFERROR(__xludf.DUMMYFUNCTION("""COMPUTED_VALUE"""),789176610)</f>
        <v>789176610</v>
      </c>
      <c r="C139" s="2" t="str">
        <f ca="1"/>
        <v>0789176610</v>
      </c>
      <c r="D139" s="2">
        <f ca="1">IFERROR(__xludf.DUMMYFUNCTION("""COMPUTED_VALUE"""),1755998575430)</f>
        <v>1755998575430</v>
      </c>
      <c r="E139" s="2">
        <f ca="1">IFERROR(__xludf.DUMMYFUNCTION("""COMPUTED_VALUE"""),949988026)</f>
        <v>949988026</v>
      </c>
      <c r="F139" s="2" t="str">
        <f ca="1"/>
        <v>0949988026</v>
      </c>
      <c r="G139" s="2" t="str">
        <f ca="1">IFERROR(__xludf.DUMMYFUNCTION("""COMPUTED_VALUE"""),"105635808632")</f>
        <v>105635808632</v>
      </c>
      <c r="I139" s="2" t="str">
        <f ca="1">IFERROR(__xludf.DUMMYFUNCTION("""COMPUTED_VALUE"""),"Diệu Linh")</f>
        <v>Diệu Linh</v>
      </c>
      <c r="J139" s="3" t="str">
        <f ca="1">IFERROR(__xludf.DUMMYFUNCTION("""COMPUTED_VALUE"""),"0382684489")</f>
        <v>0382684489</v>
      </c>
      <c r="K139" s="2" t="str">
        <f ca="1">IFERROR(__xludf.DUMMYFUNCTION("""COMPUTED_VALUE"""),"1745131860151")</f>
        <v>1745131860151</v>
      </c>
    </row>
    <row r="140" spans="1:11" ht="12.45">
      <c r="A140" s="2" t="str">
        <f ca="1">IFERROR(__xludf.DUMMYFUNCTION("""COMPUTED_VALUE"""),"1738939834848")</f>
        <v>1738939834848</v>
      </c>
      <c r="B140" s="2">
        <f ca="1">IFERROR(__xludf.DUMMYFUNCTION("""COMPUTED_VALUE"""),337493587)</f>
        <v>337493587</v>
      </c>
      <c r="C140" s="2" t="str">
        <f ca="1"/>
        <v>0337493587</v>
      </c>
      <c r="D140" s="2" t="str">
        <f ca="1">IFERROR(__xludf.DUMMYFUNCTION("""COMPUTED_VALUE"""),"1754652123328")</f>
        <v>1754652123328</v>
      </c>
      <c r="E140" s="2">
        <f ca="1">IFERROR(__xludf.DUMMYFUNCTION("""COMPUTED_VALUE"""),934942623)</f>
        <v>934942623</v>
      </c>
      <c r="F140" s="2" t="str">
        <f ca="1"/>
        <v>0934942623</v>
      </c>
      <c r="G140" s="2" t="str">
        <f ca="1">IFERROR(__xludf.DUMMYFUNCTION("""COMPUTED_VALUE"""),"105635808777")</f>
        <v>105635808777</v>
      </c>
      <c r="I140" s="2" t="str">
        <f ca="1">IFERROR(__xludf.DUMMYFUNCTION("""COMPUTED_VALUE"""),"Nguyễn Duy Thái")</f>
        <v>Nguyễn Duy Thái</v>
      </c>
      <c r="J140" s="3" t="str">
        <f ca="1">IFERROR(__xludf.DUMMYFUNCTION("""COMPUTED_VALUE"""),"0923141231")</f>
        <v>0923141231</v>
      </c>
      <c r="K140" s="2" t="str">
        <f ca="1">IFERROR(__xludf.DUMMYFUNCTION("""COMPUTED_VALUE"""),"1738939834848")</f>
        <v>1738939834848</v>
      </c>
    </row>
    <row r="141" spans="1:11" ht="12.45">
      <c r="A141" s="2" t="str">
        <f ca="1">IFERROR(__xludf.DUMMYFUNCTION("""COMPUTED_VALUE"""),"1745131908599")</f>
        <v>1745131908599</v>
      </c>
      <c r="B141" s="2">
        <f ca="1">IFERROR(__xludf.DUMMYFUNCTION("""COMPUTED_VALUE"""),385726945)</f>
        <v>385726945</v>
      </c>
      <c r="C141" s="2" t="str">
        <f ca="1"/>
        <v>0385726945</v>
      </c>
      <c r="D141" s="2" t="str">
        <f ca="1">IFERROR(__xludf.DUMMYFUNCTION("""COMPUTED_VALUE"""),"1754652164294")</f>
        <v>1754652164294</v>
      </c>
      <c r="E141" s="2">
        <f ca="1">IFERROR(__xludf.DUMMYFUNCTION("""COMPUTED_VALUE"""),779290887)</f>
        <v>779290887</v>
      </c>
      <c r="F141" s="2" t="str">
        <f ca="1"/>
        <v>0779290887</v>
      </c>
      <c r="G141" s="2" t="str">
        <f ca="1">IFERROR(__xludf.DUMMYFUNCTION("""COMPUTED_VALUE"""),"105635808974")</f>
        <v>105635808974</v>
      </c>
      <c r="I141" s="2" t="str">
        <f ca="1">IFERROR(__xludf.DUMMYFUNCTION("""COMPUTED_VALUE"""),"Nguyễn Vi Hoàng Dung")</f>
        <v>Nguyễn Vi Hoàng Dung</v>
      </c>
      <c r="J141" s="3" t="str">
        <f ca="1">IFERROR(__xludf.DUMMYFUNCTION("""COMPUTED_VALUE"""),"0364187418")</f>
        <v>0364187418</v>
      </c>
      <c r="K141" s="2" t="str">
        <f ca="1">IFERROR(__xludf.DUMMYFUNCTION("""COMPUTED_VALUE"""),"1745131908599")</f>
        <v>1745131908599</v>
      </c>
    </row>
    <row r="142" spans="1:11" ht="12.45">
      <c r="A142" s="2" t="str">
        <f ca="1">IFERROR(__xludf.DUMMYFUNCTION("""COMPUTED_VALUE"""),"1745131957652")</f>
        <v>1745131957652</v>
      </c>
      <c r="B142" s="2">
        <f ca="1">IFERROR(__xludf.DUMMYFUNCTION("""COMPUTED_VALUE"""),979887161)</f>
        <v>979887161</v>
      </c>
      <c r="C142" s="2" t="str">
        <f ca="1"/>
        <v>0979887161</v>
      </c>
      <c r="D142" s="2" t="str">
        <f ca="1">IFERROR(__xludf.DUMMYFUNCTION("""COMPUTED_VALUE"""),"1754652204459")</f>
        <v>1754652204459</v>
      </c>
      <c r="E142" s="2">
        <f ca="1">IFERROR(__xludf.DUMMYFUNCTION("""COMPUTED_VALUE"""),702826035)</f>
        <v>702826035</v>
      </c>
      <c r="F142" s="2" t="str">
        <f ca="1"/>
        <v>0702826035</v>
      </c>
      <c r="G142" s="2">
        <f ca="1">IFERROR(__xludf.DUMMYFUNCTION("""COMPUTED_VALUE"""),105648809042)</f>
        <v>105648809042</v>
      </c>
      <c r="I142" s="2" t="str">
        <f ca="1">IFERROR(__xludf.DUMMYFUNCTION("""COMPUTED_VALUE"""),"Đặng Hà Liễu")</f>
        <v>Đặng Hà Liễu</v>
      </c>
      <c r="J142" s="3" t="str">
        <f ca="1">IFERROR(__xludf.DUMMYFUNCTION("""COMPUTED_VALUE"""),"0365229225")</f>
        <v>0365229225</v>
      </c>
      <c r="K142" s="2" t="str">
        <f ca="1">IFERROR(__xludf.DUMMYFUNCTION("""COMPUTED_VALUE"""),"1745131957652")</f>
        <v>1745131957652</v>
      </c>
    </row>
    <row r="143" spans="1:11" ht="12.45">
      <c r="A143" s="2" t="str">
        <f ca="1">IFERROR(__xludf.DUMMYFUNCTION("""COMPUTED_VALUE"""),"1745131994565")</f>
        <v>1745131994565</v>
      </c>
      <c r="B143" s="2">
        <f ca="1">IFERROR(__xludf.DUMMYFUNCTION("""COMPUTED_VALUE"""),374614987)</f>
        <v>374614987</v>
      </c>
      <c r="C143" s="2" t="str">
        <f ca="1"/>
        <v>0374614987</v>
      </c>
      <c r="D143" s="2" t="str">
        <f ca="1">IFERROR(__xludf.DUMMYFUNCTION("""COMPUTED_VALUE"""),"1754652267882")</f>
        <v>1754652267882</v>
      </c>
      <c r="E143" s="2">
        <f ca="1">IFERROR(__xludf.DUMMYFUNCTION("""COMPUTED_VALUE"""),774262829)</f>
        <v>774262829</v>
      </c>
      <c r="F143" s="2" t="str">
        <f ca="1"/>
        <v>0774262829</v>
      </c>
      <c r="G143" s="2" t="str">
        <f ca="1">IFERROR(__xludf.DUMMYFUNCTION("""COMPUTED_VALUE"""),"105635809182")</f>
        <v>105635809182</v>
      </c>
      <c r="I143" s="2" t="str">
        <f ca="1">IFERROR(__xludf.DUMMYFUNCTION("""COMPUTED_VALUE"""),"Nguyễn Ngọc Vy ")</f>
        <v xml:space="preserve">Nguyễn Ngọc Vy </v>
      </c>
      <c r="J143" s="3" t="str">
        <f ca="1">IFERROR(__xludf.DUMMYFUNCTION("""COMPUTED_VALUE"""),"0382469635")</f>
        <v>0382469635</v>
      </c>
      <c r="K143" s="2" t="str">
        <f ca="1">IFERROR(__xludf.DUMMYFUNCTION("""COMPUTED_VALUE"""),"1745131994565")</f>
        <v>1745131994565</v>
      </c>
    </row>
    <row r="144" spans="1:11" ht="12.45">
      <c r="A144" s="2" t="str">
        <f ca="1">IFERROR(__xludf.DUMMYFUNCTION("""COMPUTED_VALUE"""),"1745132047599")</f>
        <v>1745132047599</v>
      </c>
      <c r="B144" s="2">
        <f ca="1">IFERROR(__xludf.DUMMYFUNCTION("""COMPUTED_VALUE"""),379665782)</f>
        <v>379665782</v>
      </c>
      <c r="C144" s="2" t="str">
        <f ca="1"/>
        <v>0379665782</v>
      </c>
      <c r="D144" s="2" t="str">
        <f ca="1">IFERROR(__xludf.DUMMYFUNCTION("""COMPUTED_VALUE"""),"1754652319861")</f>
        <v>1754652319861</v>
      </c>
      <c r="E144" s="2">
        <f ca="1">IFERROR(__xludf.DUMMYFUNCTION("""COMPUTED_VALUE"""),386645280)</f>
        <v>386645280</v>
      </c>
      <c r="F144" s="2" t="str">
        <f ca="1"/>
        <v>0386645280</v>
      </c>
      <c r="G144" s="2" t="str">
        <f ca="1">IFERROR(__xludf.DUMMYFUNCTION("""COMPUTED_VALUE"""),"105635809258")</f>
        <v>105635809258</v>
      </c>
      <c r="I144" s="2" t="str">
        <f ca="1">IFERROR(__xludf.DUMMYFUNCTION("""COMPUTED_VALUE"""),"Đỗ Sơn Thái Thụy")</f>
        <v>Đỗ Sơn Thái Thụy</v>
      </c>
      <c r="J144" s="3" t="str">
        <f ca="1">IFERROR(__xludf.DUMMYFUNCTION("""COMPUTED_VALUE"""),"0705411349")</f>
        <v>0705411349</v>
      </c>
      <c r="K144" s="2" t="str">
        <f ca="1">IFERROR(__xludf.DUMMYFUNCTION("""COMPUTED_VALUE"""),"1745132047599")</f>
        <v>1745132047599</v>
      </c>
    </row>
    <row r="145" spans="1:11" ht="12.45">
      <c r="A145" s="2" t="str">
        <f ca="1">IFERROR(__xludf.DUMMYFUNCTION("""COMPUTED_VALUE"""),"1745132098837")</f>
        <v>1745132098837</v>
      </c>
      <c r="B145" s="2">
        <f ca="1">IFERROR(__xludf.DUMMYFUNCTION("""COMPUTED_VALUE"""),766681368)</f>
        <v>766681368</v>
      </c>
      <c r="C145" s="2" t="str">
        <f ca="1"/>
        <v>0766681368</v>
      </c>
      <c r="D145" s="2">
        <f ca="1">IFERROR(__xludf.DUMMYFUNCTION("""COMPUTED_VALUE"""),1755998603810)</f>
        <v>1755998603810</v>
      </c>
      <c r="E145" s="2">
        <f ca="1">IFERROR(__xludf.DUMMYFUNCTION("""COMPUTED_VALUE"""),907883232)</f>
        <v>907883232</v>
      </c>
      <c r="F145" s="2" t="str">
        <f ca="1"/>
        <v>0907883232</v>
      </c>
      <c r="G145" s="2" t="str">
        <f ca="1">IFERROR(__xludf.DUMMYFUNCTION("""COMPUTED_VALUE"""),"105635809339")</f>
        <v>105635809339</v>
      </c>
      <c r="I145" s="2" t="str">
        <f ca="1">IFERROR(__xludf.DUMMYFUNCTION("""COMPUTED_VALUE"""),"Đỗ Thị Kiều Anh")</f>
        <v>Đỗ Thị Kiều Anh</v>
      </c>
      <c r="J145" s="3" t="str">
        <f ca="1">IFERROR(__xludf.DUMMYFUNCTION("""COMPUTED_VALUE"""),"0389152107")</f>
        <v>0389152107</v>
      </c>
      <c r="K145" s="2" t="str">
        <f ca="1">IFERROR(__xludf.DUMMYFUNCTION("""COMPUTED_VALUE"""),"1745132098837")</f>
        <v>1745132098837</v>
      </c>
    </row>
    <row r="146" spans="1:11" ht="12.45">
      <c r="A146" s="2" t="str">
        <f ca="1">IFERROR(__xludf.DUMMYFUNCTION("""COMPUTED_VALUE"""),"1745132159858")</f>
        <v>1745132159858</v>
      </c>
      <c r="B146" s="2">
        <f ca="1">IFERROR(__xludf.DUMMYFUNCTION("""COMPUTED_VALUE"""),775565068)</f>
        <v>775565068</v>
      </c>
      <c r="C146" s="2" t="str">
        <f ca="1"/>
        <v>0775565068</v>
      </c>
      <c r="D146" s="2" t="str">
        <f ca="1">IFERROR(__xludf.DUMMYFUNCTION("""COMPUTED_VALUE"""),"1754652354003")</f>
        <v>1754652354003</v>
      </c>
      <c r="E146" s="2">
        <f ca="1">IFERROR(__xludf.DUMMYFUNCTION("""COMPUTED_VALUE"""),982368761)</f>
        <v>982368761</v>
      </c>
      <c r="F146" s="2" t="str">
        <f ca="1"/>
        <v>0982368761</v>
      </c>
      <c r="G146" s="2" t="str">
        <f ca="1">IFERROR(__xludf.DUMMYFUNCTION("""COMPUTED_VALUE"""),"105635809414")</f>
        <v>105635809414</v>
      </c>
      <c r="I146" s="2" t="str">
        <f ca="1">IFERROR(__xludf.DUMMYFUNCTION("""COMPUTED_VALUE"""),"Nguyễn Thị Diệu Huyền")</f>
        <v>Nguyễn Thị Diệu Huyền</v>
      </c>
      <c r="J146" s="3" t="str">
        <f ca="1">IFERROR(__xludf.DUMMYFUNCTION("""COMPUTED_VALUE"""),"0901375745")</f>
        <v>0901375745</v>
      </c>
      <c r="K146" s="2" t="str">
        <f ca="1">IFERROR(__xludf.DUMMYFUNCTION("""COMPUTED_VALUE"""),"1745132159858")</f>
        <v>1745132159858</v>
      </c>
    </row>
    <row r="147" spans="1:11" ht="12.45">
      <c r="A147" s="2" t="str">
        <f ca="1">IFERROR(__xludf.DUMMYFUNCTION("""COMPUTED_VALUE"""),"1745132196173")</f>
        <v>1745132196173</v>
      </c>
      <c r="B147" s="2">
        <f ca="1">IFERROR(__xludf.DUMMYFUNCTION("""COMPUTED_VALUE"""),968614284)</f>
        <v>968614284</v>
      </c>
      <c r="C147" s="2" t="str">
        <f ca="1"/>
        <v>0968614284</v>
      </c>
      <c r="D147" s="2" t="str">
        <f ca="1">IFERROR(__xludf.DUMMYFUNCTION("""COMPUTED_VALUE"""),"1754652407151")</f>
        <v>1754652407151</v>
      </c>
      <c r="E147" s="2">
        <f ca="1">IFERROR(__xludf.DUMMYFUNCTION("""COMPUTED_VALUE"""),846506464)</f>
        <v>846506464</v>
      </c>
      <c r="F147" s="2" t="str">
        <f ca="1"/>
        <v>0846506464</v>
      </c>
      <c r="G147" s="2" t="str">
        <f ca="1">IFERROR(__xludf.DUMMYFUNCTION("""COMPUTED_VALUE"""),"105635809578")</f>
        <v>105635809578</v>
      </c>
      <c r="I147" s="2" t="str">
        <f ca="1">IFERROR(__xludf.DUMMYFUNCTION("""COMPUTED_VALUE"""),"Phạm Thanh Vy")</f>
        <v>Phạm Thanh Vy</v>
      </c>
      <c r="J147" s="3" t="str">
        <f ca="1">IFERROR(__xludf.DUMMYFUNCTION("""COMPUTED_VALUE"""),"0396691554")</f>
        <v>0396691554</v>
      </c>
      <c r="K147" s="2" t="str">
        <f ca="1">IFERROR(__xludf.DUMMYFUNCTION("""COMPUTED_VALUE"""),"1745132196173")</f>
        <v>1745132196173</v>
      </c>
    </row>
    <row r="148" spans="1:11" ht="12.45">
      <c r="A148" s="2" t="str">
        <f ca="1">IFERROR(__xludf.DUMMYFUNCTION("""COMPUTED_VALUE"""),"1745132236540")</f>
        <v>1745132236540</v>
      </c>
      <c r="B148" s="2">
        <f ca="1">IFERROR(__xludf.DUMMYFUNCTION("""COMPUTED_VALUE"""),825899932)</f>
        <v>825899932</v>
      </c>
      <c r="C148" s="2" t="str">
        <f ca="1"/>
        <v>0825899932</v>
      </c>
      <c r="D148" s="2" t="str">
        <f ca="1">IFERROR(__xludf.DUMMYFUNCTION("""COMPUTED_VALUE"""),"1754652473902")</f>
        <v>1754652473902</v>
      </c>
      <c r="E148" s="2">
        <f ca="1">IFERROR(__xludf.DUMMYFUNCTION("""COMPUTED_VALUE"""),915158758)</f>
        <v>915158758</v>
      </c>
      <c r="F148" s="2" t="str">
        <f ca="1"/>
        <v>0915158758</v>
      </c>
      <c r="G148" s="2" t="str">
        <f ca="1">IFERROR(__xludf.DUMMYFUNCTION("""COMPUTED_VALUE"""),"105635809632")</f>
        <v>105635809632</v>
      </c>
      <c r="I148" s="2" t="str">
        <f ca="1">IFERROR(__xludf.DUMMYFUNCTION("""COMPUTED_VALUE"""),"Bạch Thị Hương Lan ")</f>
        <v xml:space="preserve">Bạch Thị Hương Lan </v>
      </c>
      <c r="J148" s="3" t="str">
        <f ca="1">IFERROR(__xludf.DUMMYFUNCTION("""COMPUTED_VALUE"""),"0369674876")</f>
        <v>0369674876</v>
      </c>
      <c r="K148" s="2" t="str">
        <f ca="1">IFERROR(__xludf.DUMMYFUNCTION("""COMPUTED_VALUE"""),"1745132236540")</f>
        <v>1745132236540</v>
      </c>
    </row>
    <row r="149" spans="1:11" ht="12.45">
      <c r="A149" s="2" t="str">
        <f ca="1">IFERROR(__xludf.DUMMYFUNCTION("""COMPUTED_VALUE"""),"1745132288824")</f>
        <v>1745132288824</v>
      </c>
      <c r="B149" s="2">
        <f ca="1">IFERROR(__xludf.DUMMYFUNCTION("""COMPUTED_VALUE"""),363392007)</f>
        <v>363392007</v>
      </c>
      <c r="C149" s="2" t="str">
        <f ca="1"/>
        <v>0363392007</v>
      </c>
      <c r="D149" s="2" t="str">
        <f ca="1">IFERROR(__xludf.DUMMYFUNCTION("""COMPUTED_VALUE"""),"1754652506758")</f>
        <v>1754652506758</v>
      </c>
      <c r="E149" s="2">
        <f ca="1">IFERROR(__xludf.DUMMYFUNCTION("""COMPUTED_VALUE"""),943526826)</f>
        <v>943526826</v>
      </c>
      <c r="F149" s="2" t="str">
        <f ca="1"/>
        <v>0943526826</v>
      </c>
      <c r="G149" s="2" t="str">
        <f ca="1">IFERROR(__xludf.DUMMYFUNCTION("""COMPUTED_VALUE"""),"105635809713")</f>
        <v>105635809713</v>
      </c>
      <c r="I149" s="2" t="str">
        <f ca="1">IFERROR(__xludf.DUMMYFUNCTION("""COMPUTED_VALUE"""),"Mạc Minh Châu")</f>
        <v>Mạc Minh Châu</v>
      </c>
      <c r="J149" s="3" t="str">
        <f ca="1">IFERROR(__xludf.DUMMYFUNCTION("""COMPUTED_VALUE"""),"0819535099")</f>
        <v>0819535099</v>
      </c>
      <c r="K149" s="2" t="str">
        <f ca="1">IFERROR(__xludf.DUMMYFUNCTION("""COMPUTED_VALUE"""),"1745132288824")</f>
        <v>1745132288824</v>
      </c>
    </row>
    <row r="150" spans="1:11" ht="12.45">
      <c r="A150" s="2" t="str">
        <f ca="1">IFERROR(__xludf.DUMMYFUNCTION("""COMPUTED_VALUE"""),"1745132327167")</f>
        <v>1745132327167</v>
      </c>
      <c r="B150" s="2">
        <f ca="1">IFERROR(__xludf.DUMMYFUNCTION("""COMPUTED_VALUE"""),961827756)</f>
        <v>961827756</v>
      </c>
      <c r="C150" s="2" t="str">
        <f ca="1"/>
        <v>0961827756</v>
      </c>
      <c r="D150" s="2" t="str">
        <f ca="1">IFERROR(__xludf.DUMMYFUNCTION("""COMPUTED_VALUE"""),"1754652537277")</f>
        <v>1754652537277</v>
      </c>
      <c r="E150" s="2">
        <f ca="1">IFERROR(__xludf.DUMMYFUNCTION("""COMPUTED_VALUE"""),383858320)</f>
        <v>383858320</v>
      </c>
      <c r="F150" s="2" t="str">
        <f ca="1"/>
        <v>0383858320</v>
      </c>
      <c r="G150" s="2" t="str">
        <f ca="1">IFERROR(__xludf.DUMMYFUNCTION("""COMPUTED_VALUE"""),"105635809847")</f>
        <v>105635809847</v>
      </c>
      <c r="I150" s="2" t="str">
        <f ca="1">IFERROR(__xludf.DUMMYFUNCTION("""COMPUTED_VALUE"""),"Kiều Mai Anh")</f>
        <v>Kiều Mai Anh</v>
      </c>
      <c r="J150" s="3" t="str">
        <f ca="1">IFERROR(__xludf.DUMMYFUNCTION("""COMPUTED_VALUE"""),"0375695307")</f>
        <v>0375695307</v>
      </c>
      <c r="K150" s="2" t="str">
        <f ca="1">IFERROR(__xludf.DUMMYFUNCTION("""COMPUTED_VALUE"""),"1745132327167")</f>
        <v>1745132327167</v>
      </c>
    </row>
    <row r="151" spans="1:11" ht="12.45">
      <c r="A151" s="2" t="str">
        <f ca="1">IFERROR(__xludf.DUMMYFUNCTION("""COMPUTED_VALUE"""),"1744768353763")</f>
        <v>1744768353763</v>
      </c>
      <c r="B151" s="2">
        <f ca="1">IFERROR(__xludf.DUMMYFUNCTION("""COMPUTED_VALUE"""),946033798)</f>
        <v>946033798</v>
      </c>
      <c r="C151" s="2" t="str">
        <f ca="1"/>
        <v>0946033798</v>
      </c>
      <c r="D151" s="2" t="str">
        <f ca="1">IFERROR(__xludf.DUMMYFUNCTION("""COMPUTED_VALUE"""),"1754652568475")</f>
        <v>1754652568475</v>
      </c>
      <c r="E151" s="2">
        <f ca="1">IFERROR(__xludf.DUMMYFUNCTION("""COMPUTED_VALUE"""),376037258)</f>
        <v>376037258</v>
      </c>
      <c r="F151" s="2" t="str">
        <f ca="1"/>
        <v>0376037258</v>
      </c>
      <c r="G151" s="2" t="str">
        <f ca="1">IFERROR(__xludf.DUMMYFUNCTION("""COMPUTED_VALUE"""),"105635809958")</f>
        <v>105635809958</v>
      </c>
      <c r="I151" s="3" t="str">
        <f ca="1">IFERROR(__xludf.DUMMYFUNCTION("""COMPUTED_VALUE"""),"Yến Vy")</f>
        <v>Yến Vy</v>
      </c>
      <c r="J151" s="3" t="str">
        <f ca="1">IFERROR(__xludf.DUMMYFUNCTION("""COMPUTED_VALUE"""),"0988953129")</f>
        <v>0988953129</v>
      </c>
      <c r="K151" s="2" t="str">
        <f ca="1">IFERROR(__xludf.DUMMYFUNCTION("""COMPUTED_VALUE"""),"1744768353763")</f>
        <v>1744768353763</v>
      </c>
    </row>
    <row r="152" spans="1:11" ht="12.45">
      <c r="A152" s="2" t="str">
        <f ca="1">IFERROR(__xludf.DUMMYFUNCTION("""COMPUTED_VALUE"""),"1738939878084")</f>
        <v>1738939878084</v>
      </c>
      <c r="B152" s="2">
        <f ca="1">IFERROR(__xludf.DUMMYFUNCTION("""COMPUTED_VALUE"""),899428156)</f>
        <v>899428156</v>
      </c>
      <c r="C152" s="2" t="str">
        <f ca="1"/>
        <v>0899428156</v>
      </c>
      <c r="D152" s="2" t="str">
        <f ca="1">IFERROR(__xludf.DUMMYFUNCTION("""COMPUTED_VALUE"""),"1754652616713")</f>
        <v>1754652616713</v>
      </c>
      <c r="E152" s="2">
        <f ca="1">IFERROR(__xludf.DUMMYFUNCTION("""COMPUTED_VALUE"""),355827767)</f>
        <v>355827767</v>
      </c>
      <c r="F152" s="2" t="str">
        <f ca="1"/>
        <v>0355827767</v>
      </c>
      <c r="G152" s="2" t="str">
        <f ca="1">IFERROR(__xludf.DUMMYFUNCTION("""COMPUTED_VALUE"""),"105635810093")</f>
        <v>105635810093</v>
      </c>
      <c r="I152" s="2" t="str">
        <f ca="1">IFERROR(__xludf.DUMMYFUNCTION("""COMPUTED_VALUE"""),"Nguyễn Hà Anh")</f>
        <v>Nguyễn Hà Anh</v>
      </c>
      <c r="J152" s="3" t="str">
        <f ca="1">IFERROR(__xludf.DUMMYFUNCTION("""COMPUTED_VALUE"""),"0353481562")</f>
        <v>0353481562</v>
      </c>
      <c r="K152" s="2" t="str">
        <f ca="1">IFERROR(__xludf.DUMMYFUNCTION("""COMPUTED_VALUE"""),"1738939878084")</f>
        <v>1738939878084</v>
      </c>
    </row>
    <row r="153" spans="1:11" ht="12.45">
      <c r="A153" s="2" t="str">
        <f ca="1">IFERROR(__xludf.DUMMYFUNCTION("""COMPUTED_VALUE"""),"1745132384617")</f>
        <v>1745132384617</v>
      </c>
      <c r="B153" s="2">
        <f ca="1">IFERROR(__xludf.DUMMYFUNCTION("""COMPUTED_VALUE"""),707635419)</f>
        <v>707635419</v>
      </c>
      <c r="C153" s="2" t="str">
        <f ca="1"/>
        <v>0707635419</v>
      </c>
      <c r="D153" s="2" t="str">
        <f ca="1">IFERROR(__xludf.DUMMYFUNCTION("""COMPUTED_VALUE"""),"1754652652496")</f>
        <v>1754652652496</v>
      </c>
      <c r="E153" s="2">
        <f ca="1">IFERROR(__xludf.DUMMYFUNCTION("""COMPUTED_VALUE"""),368051530)</f>
        <v>368051530</v>
      </c>
      <c r="F153" s="2" t="str">
        <f ca="1"/>
        <v>0368051530</v>
      </c>
      <c r="G153" s="2" t="str">
        <f ca="1">IFERROR(__xludf.DUMMYFUNCTION("""COMPUTED_VALUE"""),"105635810165")</f>
        <v>105635810165</v>
      </c>
      <c r="I153" s="2" t="str">
        <f ca="1">IFERROR(__xludf.DUMMYFUNCTION("""COMPUTED_VALUE"""),"Khoa")</f>
        <v>Khoa</v>
      </c>
      <c r="J153" s="3" t="str">
        <f ca="1">IFERROR(__xludf.DUMMYFUNCTION("""COMPUTED_VALUE"""),"0865937985")</f>
        <v>0865937985</v>
      </c>
      <c r="K153" s="2" t="str">
        <f ca="1">IFERROR(__xludf.DUMMYFUNCTION("""COMPUTED_VALUE"""),"1745132384617")</f>
        <v>1745132384617</v>
      </c>
    </row>
    <row r="154" spans="1:11" ht="12.45">
      <c r="A154" s="2" t="str">
        <f ca="1">IFERROR(__xludf.DUMMYFUNCTION("""COMPUTED_VALUE"""),"1745132428990")</f>
        <v>1745132428990</v>
      </c>
      <c r="B154" s="2">
        <f ca="1">IFERROR(__xludf.DUMMYFUNCTION("""COMPUTED_VALUE"""),359290142)</f>
        <v>359290142</v>
      </c>
      <c r="C154" s="2" t="str">
        <f ca="1"/>
        <v>0359290142</v>
      </c>
      <c r="D154" s="2" t="str">
        <f ca="1">IFERROR(__xludf.DUMMYFUNCTION("""COMPUTED_VALUE"""),"1754652687213")</f>
        <v>1754652687213</v>
      </c>
      <c r="E154" s="2">
        <f ca="1">IFERROR(__xludf.DUMMYFUNCTION("""COMPUTED_VALUE"""),387958993)</f>
        <v>387958993</v>
      </c>
      <c r="F154" s="2" t="str">
        <f ca="1"/>
        <v>0387958993</v>
      </c>
      <c r="G154" s="2" t="str">
        <f ca="1">IFERROR(__xludf.DUMMYFUNCTION("""COMPUTED_VALUE"""),"105635810225")</f>
        <v>105635810225</v>
      </c>
      <c r="I154" s="2" t="str">
        <f ca="1">IFERROR(__xludf.DUMMYFUNCTION("""COMPUTED_VALUE"""),"Mai Phương Thêu")</f>
        <v>Mai Phương Thêu</v>
      </c>
      <c r="J154" s="3" t="str">
        <f ca="1">IFERROR(__xludf.DUMMYFUNCTION("""COMPUTED_VALUE"""),"0984213461")</f>
        <v>0984213461</v>
      </c>
      <c r="K154" s="2" t="str">
        <f ca="1">IFERROR(__xludf.DUMMYFUNCTION("""COMPUTED_VALUE"""),"1745132428990")</f>
        <v>1745132428990</v>
      </c>
    </row>
    <row r="155" spans="1:11" ht="12.45">
      <c r="A155" s="2" t="str">
        <f ca="1">IFERROR(__xludf.DUMMYFUNCTION("""COMPUTED_VALUE"""),"1738939921198")</f>
        <v>1738939921198</v>
      </c>
      <c r="B155" s="2">
        <f ca="1">IFERROR(__xludf.DUMMYFUNCTION("""COMPUTED_VALUE"""),384033705)</f>
        <v>384033705</v>
      </c>
      <c r="C155" s="2" t="str">
        <f ca="1"/>
        <v>0384033705</v>
      </c>
      <c r="D155" s="2" t="str">
        <f ca="1">IFERROR(__xludf.DUMMYFUNCTION("""COMPUTED_VALUE"""),"1760832680120")</f>
        <v>1760832680120</v>
      </c>
      <c r="E155" s="2">
        <f ca="1">IFERROR(__xludf.DUMMYFUNCTION("""COMPUTED_VALUE"""),943289207)</f>
        <v>943289207</v>
      </c>
      <c r="F155" s="2" t="str">
        <f ca="1"/>
        <v>0943289207</v>
      </c>
      <c r="G155" s="2" t="str">
        <f ca="1">IFERROR(__xludf.DUMMYFUNCTION("""COMPUTED_VALUE"""),"105635810943")</f>
        <v>105635810943</v>
      </c>
      <c r="I155" s="2" t="str">
        <f ca="1">IFERROR(__xludf.DUMMYFUNCTION("""COMPUTED_VALUE"""),"Phạm Ngân Hà")</f>
        <v>Phạm Ngân Hà</v>
      </c>
      <c r="J155" s="3" t="str">
        <f ca="1">IFERROR(__xludf.DUMMYFUNCTION("""COMPUTED_VALUE"""),"0358096170")</f>
        <v>0358096170</v>
      </c>
      <c r="K155" s="2" t="str">
        <f ca="1">IFERROR(__xludf.DUMMYFUNCTION("""COMPUTED_VALUE"""),"1738939921198")</f>
        <v>1738939921198</v>
      </c>
    </row>
    <row r="156" spans="1:11" ht="12.45">
      <c r="A156" s="2" t="str">
        <f ca="1">IFERROR(__xludf.DUMMYFUNCTION("""COMPUTED_VALUE"""),"1745132478607")</f>
        <v>1745132478607</v>
      </c>
      <c r="B156" s="2">
        <f ca="1">IFERROR(__xludf.DUMMYFUNCTION("""COMPUTED_VALUE"""),382870868)</f>
        <v>382870868</v>
      </c>
      <c r="C156" s="2" t="str">
        <f ca="1"/>
        <v>0382870868</v>
      </c>
      <c r="D156" s="2" t="str">
        <f ca="1">IFERROR(__xludf.DUMMYFUNCTION("""COMPUTED_VALUE"""),"1754652715867")</f>
        <v>1754652715867</v>
      </c>
      <c r="E156" s="2">
        <f ca="1">IFERROR(__xludf.DUMMYFUNCTION("""COMPUTED_VALUE"""),703311008)</f>
        <v>703311008</v>
      </c>
      <c r="F156" s="2" t="str">
        <f ca="1"/>
        <v>0703311008</v>
      </c>
      <c r="G156" s="2" t="str">
        <f ca="1">IFERROR(__xludf.DUMMYFUNCTION("""COMPUTED_VALUE"""),"105635810452")</f>
        <v>105635810452</v>
      </c>
      <c r="I156" s="2" t="str">
        <f ca="1">IFERROR(__xludf.DUMMYFUNCTION("""COMPUTED_VALUE"""),"Đỗ Lê Uyển Nhi")</f>
        <v>Đỗ Lê Uyển Nhi</v>
      </c>
      <c r="J156" s="3" t="str">
        <f ca="1">IFERROR(__xludf.DUMMYFUNCTION("""COMPUTED_VALUE"""),"0968417307")</f>
        <v>0968417307</v>
      </c>
      <c r="K156" s="2" t="str">
        <f ca="1">IFERROR(__xludf.DUMMYFUNCTION("""COMPUTED_VALUE"""),"1745132478607")</f>
        <v>1745132478607</v>
      </c>
    </row>
    <row r="157" spans="1:11" ht="12.45">
      <c r="A157" s="2" t="str">
        <f ca="1">IFERROR(__xludf.DUMMYFUNCTION("""COMPUTED_VALUE"""),"1745132521297")</f>
        <v>1745132521297</v>
      </c>
      <c r="B157" s="2">
        <f ca="1">IFERROR(__xludf.DUMMYFUNCTION("""COMPUTED_VALUE"""),909718707)</f>
        <v>909718707</v>
      </c>
      <c r="C157" s="2" t="str">
        <f ca="1"/>
        <v>0909718707</v>
      </c>
      <c r="D157" s="2" t="str">
        <f ca="1">IFERROR(__xludf.DUMMYFUNCTION("""COMPUTED_VALUE"""),"1754652757932")</f>
        <v>1754652757932</v>
      </c>
      <c r="E157" s="2">
        <f ca="1">IFERROR(__xludf.DUMMYFUNCTION("""COMPUTED_VALUE"""),977075759)</f>
        <v>977075759</v>
      </c>
      <c r="F157" s="2" t="str">
        <f ca="1"/>
        <v>0977075759</v>
      </c>
      <c r="G157" s="2" t="str">
        <f ca="1">IFERROR(__xludf.DUMMYFUNCTION("""COMPUTED_VALUE"""),"105635810541")</f>
        <v>105635810541</v>
      </c>
      <c r="I157" s="2" t="str">
        <f ca="1">IFERROR(__xludf.DUMMYFUNCTION("""COMPUTED_VALUE"""),"Nguyễn Ngọc Thục Linh")</f>
        <v>Nguyễn Ngọc Thục Linh</v>
      </c>
      <c r="J157" s="3" t="str">
        <f ca="1">IFERROR(__xludf.DUMMYFUNCTION("""COMPUTED_VALUE"""),"0833259255")</f>
        <v>0833259255</v>
      </c>
      <c r="K157" s="2" t="str">
        <f ca="1">IFERROR(__xludf.DUMMYFUNCTION("""COMPUTED_VALUE"""),"1745132521297")</f>
        <v>1745132521297</v>
      </c>
    </row>
    <row r="158" spans="1:11" ht="12.45">
      <c r="A158" s="2" t="str">
        <f ca="1">IFERROR(__xludf.DUMMYFUNCTION("""COMPUTED_VALUE"""),"1745132551885")</f>
        <v>1745132551885</v>
      </c>
      <c r="B158" s="2">
        <f ca="1">IFERROR(__xludf.DUMMYFUNCTION("""COMPUTED_VALUE"""),866890786)</f>
        <v>866890786</v>
      </c>
      <c r="C158" s="2" t="str">
        <f ca="1"/>
        <v>0866890786</v>
      </c>
      <c r="D158" s="2" t="str">
        <f ca="1">IFERROR(__xludf.DUMMYFUNCTION("""COMPUTED_VALUE"""),"1754652784355")</f>
        <v>1754652784355</v>
      </c>
      <c r="E158" s="2">
        <f ca="1">IFERROR(__xludf.DUMMYFUNCTION("""COMPUTED_VALUE"""),384726045)</f>
        <v>384726045</v>
      </c>
      <c r="F158" s="2" t="str">
        <f ca="1"/>
        <v>0384726045</v>
      </c>
      <c r="G158" s="2" t="str">
        <f ca="1">IFERROR(__xludf.DUMMYFUNCTION("""COMPUTED_VALUE"""),"105635810667")</f>
        <v>105635810667</v>
      </c>
      <c r="I158" s="2" t="str">
        <f ca="1">IFERROR(__xludf.DUMMYFUNCTION("""COMPUTED_VALUE"""),"Nguyễn Khánh Chi ")</f>
        <v xml:space="preserve">Nguyễn Khánh Chi </v>
      </c>
      <c r="J158" s="3" t="str">
        <f ca="1">IFERROR(__xludf.DUMMYFUNCTION("""COMPUTED_VALUE"""),"0329561007")</f>
        <v>0329561007</v>
      </c>
      <c r="K158" s="2" t="str">
        <f ca="1">IFERROR(__xludf.DUMMYFUNCTION("""COMPUTED_VALUE"""),"1745132551885")</f>
        <v>1745132551885</v>
      </c>
    </row>
    <row r="159" spans="1:11" ht="12.45">
      <c r="A159" s="2" t="str">
        <f ca="1">IFERROR(__xludf.DUMMYFUNCTION("""COMPUTED_VALUE"""),"1745132594870")</f>
        <v>1745132594870</v>
      </c>
      <c r="B159" s="2">
        <f ca="1">IFERROR(__xludf.DUMMYFUNCTION("""COMPUTED_VALUE"""),364917630)</f>
        <v>364917630</v>
      </c>
      <c r="C159" s="2" t="str">
        <f ca="1"/>
        <v>0364917630</v>
      </c>
      <c r="D159" s="2" t="str">
        <f ca="1">IFERROR(__xludf.DUMMYFUNCTION("""COMPUTED_VALUE"""),"1754652822165")</f>
        <v>1754652822165</v>
      </c>
      <c r="E159" s="2">
        <f ca="1">IFERROR(__xludf.DUMMYFUNCTION("""COMPUTED_VALUE"""),837836828)</f>
        <v>837836828</v>
      </c>
      <c r="F159" s="2" t="str">
        <f ca="1"/>
        <v>0837836828</v>
      </c>
      <c r="G159" s="2" t="str">
        <f ca="1">IFERROR(__xludf.DUMMYFUNCTION("""COMPUTED_VALUE"""),"105635810713")</f>
        <v>105635810713</v>
      </c>
      <c r="I159" s="2" t="str">
        <f ca="1">IFERROR(__xludf.DUMMYFUNCTION("""COMPUTED_VALUE"""),"CHU KIỀU LINH")</f>
        <v>CHU KIỀU LINH</v>
      </c>
      <c r="J159" s="3" t="str">
        <f ca="1">IFERROR(__xludf.DUMMYFUNCTION("""COMPUTED_VALUE"""),"0384544003")</f>
        <v>0384544003</v>
      </c>
      <c r="K159" s="2" t="str">
        <f ca="1">IFERROR(__xludf.DUMMYFUNCTION("""COMPUTED_VALUE"""),"1745132594870")</f>
        <v>1745132594870</v>
      </c>
    </row>
    <row r="160" spans="1:11" ht="12.45">
      <c r="A160" s="2" t="str">
        <f ca="1">IFERROR(__xludf.DUMMYFUNCTION("""COMPUTED_VALUE"""),"1745132638707")</f>
        <v>1745132638707</v>
      </c>
      <c r="B160" s="2">
        <f ca="1">IFERROR(__xludf.DUMMYFUNCTION("""COMPUTED_VALUE"""),384414750)</f>
        <v>384414750</v>
      </c>
      <c r="C160" s="2" t="str">
        <f ca="1"/>
        <v>0384414750</v>
      </c>
      <c r="D160" s="2" t="str">
        <f ca="1">IFERROR(__xludf.DUMMYFUNCTION("""COMPUTED_VALUE"""),"1754652862446")</f>
        <v>1754652862446</v>
      </c>
      <c r="E160" s="2">
        <f ca="1">IFERROR(__xludf.DUMMYFUNCTION("""COMPUTED_VALUE"""),879317597)</f>
        <v>879317597</v>
      </c>
      <c r="F160" s="2" t="str">
        <f ca="1"/>
        <v>0879317597</v>
      </c>
      <c r="G160" s="2" t="str">
        <f ca="1">IFERROR(__xludf.DUMMYFUNCTION("""COMPUTED_VALUE"""),"105635810898")</f>
        <v>105635810898</v>
      </c>
      <c r="I160" s="2" t="str">
        <f ca="1">IFERROR(__xludf.DUMMYFUNCTION("""COMPUTED_VALUE"""),"Huỳnh Gia Mẫn")</f>
        <v>Huỳnh Gia Mẫn</v>
      </c>
      <c r="J160" s="3" t="str">
        <f ca="1">IFERROR(__xludf.DUMMYFUNCTION("""COMPUTED_VALUE"""),"0917360225")</f>
        <v>0917360225</v>
      </c>
      <c r="K160" s="2" t="str">
        <f ca="1">IFERROR(__xludf.DUMMYFUNCTION("""COMPUTED_VALUE"""),"1745132638707")</f>
        <v>1745132638707</v>
      </c>
    </row>
    <row r="161" spans="1:11" ht="12.45">
      <c r="A161" s="2" t="str">
        <f ca="1">IFERROR(__xludf.DUMMYFUNCTION("""COMPUTED_VALUE"""),"1745376642337")</f>
        <v>1745376642337</v>
      </c>
      <c r="B161" s="2">
        <f ca="1">IFERROR(__xludf.DUMMYFUNCTION("""COMPUTED_VALUE"""),903991798)</f>
        <v>903991798</v>
      </c>
      <c r="C161" s="2" t="str">
        <f ca="1"/>
        <v>0903991798</v>
      </c>
      <c r="D161" s="2" t="str">
        <f ca="1">IFERROR(__xludf.DUMMYFUNCTION("""COMPUTED_VALUE"""),"1754652893040")</f>
        <v>1754652893040</v>
      </c>
      <c r="E161" s="2">
        <f ca="1">IFERROR(__xludf.DUMMYFUNCTION("""COMPUTED_VALUE"""),943289207)</f>
        <v>943289207</v>
      </c>
      <c r="F161" s="2" t="str">
        <f ca="1"/>
        <v>0943289207</v>
      </c>
      <c r="G161" s="2" t="str">
        <f ca="1">IFERROR(__xludf.DUMMYFUNCTION("""COMPUTED_VALUE"""),"105635810943")</f>
        <v>105635810943</v>
      </c>
      <c r="I161" s="2" t="str">
        <f ca="1">IFERROR(__xludf.DUMMYFUNCTION("""COMPUTED_VALUE"""),"Trịnh Khánh Ngọc")</f>
        <v>Trịnh Khánh Ngọc</v>
      </c>
      <c r="J161" s="3" t="str">
        <f ca="1">IFERROR(__xludf.DUMMYFUNCTION("""COMPUTED_VALUE"""),"0949150407")</f>
        <v>0949150407</v>
      </c>
      <c r="K161" s="2" t="str">
        <f ca="1">IFERROR(__xludf.DUMMYFUNCTION("""COMPUTED_VALUE"""),"1745376642337")</f>
        <v>1745376642337</v>
      </c>
    </row>
    <row r="162" spans="1:11" ht="12.45">
      <c r="A162" s="2" t="str">
        <f ca="1">IFERROR(__xludf.DUMMYFUNCTION("""COMPUTED_VALUE"""),"1745376705551")</f>
        <v>1745376705551</v>
      </c>
      <c r="B162" s="2">
        <f ca="1">IFERROR(__xludf.DUMMYFUNCTION("""COMPUTED_VALUE"""),976773231)</f>
        <v>976773231</v>
      </c>
      <c r="C162" s="2" t="str">
        <f ca="1"/>
        <v>0976773231</v>
      </c>
      <c r="D162" s="2" t="str">
        <f ca="1">IFERROR(__xludf.DUMMYFUNCTION("""COMPUTED_VALUE"""),"1754652927170")</f>
        <v>1754652927170</v>
      </c>
      <c r="E162" s="2">
        <f ca="1">IFERROR(__xludf.DUMMYFUNCTION("""COMPUTED_VALUE"""),567686388)</f>
        <v>567686388</v>
      </c>
      <c r="F162" s="2" t="str">
        <f ca="1"/>
        <v>0567686388</v>
      </c>
      <c r="G162" s="2" t="str">
        <f ca="1">IFERROR(__xludf.DUMMYFUNCTION("""COMPUTED_VALUE"""),"105635811162")</f>
        <v>105635811162</v>
      </c>
      <c r="I162" s="2" t="str">
        <f ca="1">IFERROR(__xludf.DUMMYFUNCTION("""COMPUTED_VALUE"""),"Trần Thị Tuyết Nhi")</f>
        <v>Trần Thị Tuyết Nhi</v>
      </c>
      <c r="J162" s="3" t="str">
        <f ca="1">IFERROR(__xludf.DUMMYFUNCTION("""COMPUTED_VALUE"""),"0793504320")</f>
        <v>0793504320</v>
      </c>
      <c r="K162" s="2" t="str">
        <f ca="1">IFERROR(__xludf.DUMMYFUNCTION("""COMPUTED_VALUE"""),"1745376705551")</f>
        <v>1745376705551</v>
      </c>
    </row>
    <row r="163" spans="1:11" ht="12.45">
      <c r="A163" s="2" t="str">
        <f ca="1">IFERROR(__xludf.DUMMYFUNCTION("""COMPUTED_VALUE"""),"1745376747204")</f>
        <v>1745376747204</v>
      </c>
      <c r="B163" s="2">
        <f ca="1">IFERROR(__xludf.DUMMYFUNCTION("""COMPUTED_VALUE"""),979135490)</f>
        <v>979135490</v>
      </c>
      <c r="C163" s="2" t="str">
        <f ca="1"/>
        <v>0979135490</v>
      </c>
      <c r="D163" s="2" t="str">
        <f ca="1">IFERROR(__xludf.DUMMYFUNCTION("""COMPUTED_VALUE"""),"1754652951766")</f>
        <v>1754652951766</v>
      </c>
      <c r="E163" s="2">
        <f ca="1">IFERROR(__xludf.DUMMYFUNCTION("""COMPUTED_VALUE"""),909325144)</f>
        <v>909325144</v>
      </c>
      <c r="F163" s="2" t="str">
        <f ca="1"/>
        <v>0909325144</v>
      </c>
      <c r="G163" s="2" t="str">
        <f ca="1">IFERROR(__xludf.DUMMYFUNCTION("""COMPUTED_VALUE"""),"105635811283")</f>
        <v>105635811283</v>
      </c>
      <c r="I163" s="2" t="str">
        <f ca="1">IFERROR(__xludf.DUMMYFUNCTION("""COMPUTED_VALUE"""),"Nguyen Thi Nhu Hoa")</f>
        <v>Nguyen Thi Nhu Hoa</v>
      </c>
      <c r="J163" s="3" t="str">
        <f ca="1">IFERROR(__xludf.DUMMYFUNCTION("""COMPUTED_VALUE"""),"0823197374")</f>
        <v>0823197374</v>
      </c>
      <c r="K163" s="2" t="str">
        <f ca="1">IFERROR(__xludf.DUMMYFUNCTION("""COMPUTED_VALUE"""),"1745376747204")</f>
        <v>1745376747204</v>
      </c>
    </row>
    <row r="164" spans="1:11" ht="12.45">
      <c r="A164" s="2" t="str">
        <f ca="1">IFERROR(__xludf.DUMMYFUNCTION("""COMPUTED_VALUE"""),"1745376786752")</f>
        <v>1745376786752</v>
      </c>
      <c r="B164" s="2">
        <f ca="1">IFERROR(__xludf.DUMMYFUNCTION("""COMPUTED_VALUE"""),329138388)</f>
        <v>329138388</v>
      </c>
      <c r="C164" s="2" t="str">
        <f ca="1"/>
        <v>0329138388</v>
      </c>
      <c r="D164" s="2" t="str">
        <f ca="1">IFERROR(__xludf.DUMMYFUNCTION("""COMPUTED_VALUE"""),"1754652974399")</f>
        <v>1754652974399</v>
      </c>
      <c r="E164" s="2">
        <f ca="1">IFERROR(__xludf.DUMMYFUNCTION("""COMPUTED_VALUE"""),345599099)</f>
        <v>345599099</v>
      </c>
      <c r="F164" s="2" t="str">
        <f ca="1"/>
        <v>0345599099</v>
      </c>
      <c r="G164" s="2" t="str">
        <f ca="1">IFERROR(__xludf.DUMMYFUNCTION("""COMPUTED_VALUE"""),"105635811370")</f>
        <v>105635811370</v>
      </c>
      <c r="I164" s="2" t="str">
        <f ca="1">IFERROR(__xludf.DUMMYFUNCTION("""COMPUTED_VALUE"""),"Lý Ngọc Liên ")</f>
        <v xml:space="preserve">Lý Ngọc Liên </v>
      </c>
      <c r="J164" s="3" t="str">
        <f ca="1">IFERROR(__xludf.DUMMYFUNCTION("""COMPUTED_VALUE"""),"0941756542")</f>
        <v>0941756542</v>
      </c>
      <c r="K164" s="2" t="str">
        <f ca="1">IFERROR(__xludf.DUMMYFUNCTION("""COMPUTED_VALUE"""),"1745376786752")</f>
        <v>1745376786752</v>
      </c>
    </row>
    <row r="165" spans="1:11" ht="12.45">
      <c r="A165" s="2" t="str">
        <f ca="1">IFERROR(__xludf.DUMMYFUNCTION("""COMPUTED_VALUE"""),"1745376829597")</f>
        <v>1745376829597</v>
      </c>
      <c r="B165" s="2">
        <f ca="1">IFERROR(__xludf.DUMMYFUNCTION("""COMPUTED_VALUE"""),971250407)</f>
        <v>971250407</v>
      </c>
      <c r="C165" s="2" t="str">
        <f ca="1"/>
        <v>0971250407</v>
      </c>
      <c r="D165" s="2" t="str">
        <f ca="1">IFERROR(__xludf.DUMMYFUNCTION("""COMPUTED_VALUE"""),"1754653002412")</f>
        <v>1754653002412</v>
      </c>
      <c r="E165" s="2">
        <f ca="1">IFERROR(__xludf.DUMMYFUNCTION("""COMPUTED_VALUE"""),356988456)</f>
        <v>356988456</v>
      </c>
      <c r="F165" s="2" t="str">
        <f ca="1"/>
        <v>0356988456</v>
      </c>
      <c r="G165" s="2" t="str">
        <f ca="1">IFERROR(__xludf.DUMMYFUNCTION("""COMPUTED_VALUE"""),"105635811488")</f>
        <v>105635811488</v>
      </c>
      <c r="I165" s="2" t="str">
        <f ca="1">IFERROR(__xludf.DUMMYFUNCTION("""COMPUTED_VALUE"""),"Nguyễn Hoàng Tâm Như")</f>
        <v>Nguyễn Hoàng Tâm Như</v>
      </c>
      <c r="J165" s="3" t="str">
        <f ca="1">IFERROR(__xludf.DUMMYFUNCTION("""COMPUTED_VALUE"""),"0986443957")</f>
        <v>0986443957</v>
      </c>
      <c r="K165" s="2" t="str">
        <f ca="1">IFERROR(__xludf.DUMMYFUNCTION("""COMPUTED_VALUE"""),"1745376829597")</f>
        <v>1745376829597</v>
      </c>
    </row>
    <row r="166" spans="1:11" ht="12.45">
      <c r="A166" s="2" t="str">
        <f ca="1">IFERROR(__xludf.DUMMYFUNCTION("""COMPUTED_VALUE"""),"1745376860249")</f>
        <v>1745376860249</v>
      </c>
      <c r="B166" s="2">
        <f ca="1">IFERROR(__xludf.DUMMYFUNCTION("""COMPUTED_VALUE"""),907939046)</f>
        <v>907939046</v>
      </c>
      <c r="C166" s="2" t="str">
        <f ca="1"/>
        <v>0907939046</v>
      </c>
      <c r="D166" s="2" t="str">
        <f ca="1">IFERROR(__xludf.DUMMYFUNCTION("""COMPUTED_VALUE"""),"1754653029873")</f>
        <v>1754653029873</v>
      </c>
      <c r="E166" s="2">
        <f ca="1">IFERROR(__xludf.DUMMYFUNCTION("""COMPUTED_VALUE"""),865188517)</f>
        <v>865188517</v>
      </c>
      <c r="F166" s="2" t="str">
        <f ca="1"/>
        <v>0865188517</v>
      </c>
      <c r="G166" s="2" t="str">
        <f ca="1">IFERROR(__xludf.DUMMYFUNCTION("""COMPUTED_VALUE"""),"105635811512")</f>
        <v>105635811512</v>
      </c>
      <c r="I166" s="2" t="str">
        <f ca="1">IFERROR(__xludf.DUMMYFUNCTION("""COMPUTED_VALUE"""),"Châu Ngọc Phụng ")</f>
        <v xml:space="preserve">Châu Ngọc Phụng </v>
      </c>
      <c r="J166" s="3" t="str">
        <f ca="1">IFERROR(__xludf.DUMMYFUNCTION("""COMPUTED_VALUE"""),"0966112234")</f>
        <v>0966112234</v>
      </c>
      <c r="K166" s="2" t="str">
        <f ca="1">IFERROR(__xludf.DUMMYFUNCTION("""COMPUTED_VALUE"""),"1745376860249")</f>
        <v>1745376860249</v>
      </c>
    </row>
    <row r="167" spans="1:11" ht="12.45">
      <c r="A167" s="2" t="str">
        <f ca="1">IFERROR(__xludf.DUMMYFUNCTION("""COMPUTED_VALUE"""),"1738939956978")</f>
        <v>1738939956978</v>
      </c>
      <c r="B167" s="2">
        <f ca="1">IFERROR(__xludf.DUMMYFUNCTION("""COMPUTED_VALUE"""),921796825)</f>
        <v>921796825</v>
      </c>
      <c r="C167" s="2" t="str">
        <f ca="1"/>
        <v>0921796825</v>
      </c>
      <c r="D167" s="2" t="str">
        <f ca="1">IFERROR(__xludf.DUMMYFUNCTION("""COMPUTED_VALUE"""),"1754653058398")</f>
        <v>1754653058398</v>
      </c>
      <c r="E167" s="2">
        <f ca="1">IFERROR(__xludf.DUMMYFUNCTION("""COMPUTED_VALUE"""),839623938)</f>
        <v>839623938</v>
      </c>
      <c r="F167" s="2" t="str">
        <f ca="1"/>
        <v>0839623938</v>
      </c>
      <c r="G167" s="2" t="str">
        <f ca="1">IFERROR(__xludf.DUMMYFUNCTION("""COMPUTED_VALUE"""),"105635811628")</f>
        <v>105635811628</v>
      </c>
      <c r="I167" s="2" t="str">
        <f ca="1">IFERROR(__xludf.DUMMYFUNCTION("""COMPUTED_VALUE"""),"Chu Thị Hà Ly ")</f>
        <v xml:space="preserve">Chu Thị Hà Ly </v>
      </c>
      <c r="J167" s="3" t="str">
        <f ca="1">IFERROR(__xludf.DUMMYFUNCTION("""COMPUTED_VALUE"""),"0984826087")</f>
        <v>0984826087</v>
      </c>
      <c r="K167" s="2" t="str">
        <f ca="1">IFERROR(__xludf.DUMMYFUNCTION("""COMPUTED_VALUE"""),"1738939956978")</f>
        <v>1738939956978</v>
      </c>
    </row>
    <row r="168" spans="1:11" ht="12.45">
      <c r="A168" s="2" t="str">
        <f ca="1">IFERROR(__xludf.DUMMYFUNCTION("""COMPUTED_VALUE"""),"1745376890397")</f>
        <v>1745376890397</v>
      </c>
      <c r="B168" s="2">
        <f ca="1">IFERROR(__xludf.DUMMYFUNCTION("""COMPUTED_VALUE"""),373929497)</f>
        <v>373929497</v>
      </c>
      <c r="C168" s="2" t="str">
        <f ca="1"/>
        <v>0373929497</v>
      </c>
      <c r="D168" s="2" t="str">
        <f ca="1">IFERROR(__xludf.DUMMYFUNCTION("""COMPUTED_VALUE"""),"1754653088123")</f>
        <v>1754653088123</v>
      </c>
      <c r="E168" s="2">
        <f ca="1">IFERROR(__xludf.DUMMYFUNCTION("""COMPUTED_VALUE"""),963756177)</f>
        <v>963756177</v>
      </c>
      <c r="F168" s="2" t="str">
        <f ca="1"/>
        <v>0963756177</v>
      </c>
      <c r="G168" s="2" t="str">
        <f ca="1">IFERROR(__xludf.DUMMYFUNCTION("""COMPUTED_VALUE"""),"105635811796")</f>
        <v>105635811796</v>
      </c>
      <c r="I168" s="2" t="str">
        <f ca="1">IFERROR(__xludf.DUMMYFUNCTION("""COMPUTED_VALUE"""),"Danh Thanh")</f>
        <v>Danh Thanh</v>
      </c>
      <c r="J168" s="3" t="str">
        <f ca="1">IFERROR(__xludf.DUMMYFUNCTION("""COMPUTED_VALUE"""),"0816563881")</f>
        <v>0816563881</v>
      </c>
      <c r="K168" s="2" t="str">
        <f ca="1">IFERROR(__xludf.DUMMYFUNCTION("""COMPUTED_VALUE"""),"1745376890397")</f>
        <v>1745376890397</v>
      </c>
    </row>
    <row r="169" spans="1:11" ht="12.45">
      <c r="A169" s="2" t="str">
        <f ca="1">IFERROR(__xludf.DUMMYFUNCTION("""COMPUTED_VALUE"""),"1745376917297")</f>
        <v>1745376917297</v>
      </c>
      <c r="B169" s="2">
        <f ca="1">IFERROR(__xludf.DUMMYFUNCTION("""COMPUTED_VALUE"""),982016683)</f>
        <v>982016683</v>
      </c>
      <c r="C169" s="2" t="str">
        <f ca="1"/>
        <v>0982016683</v>
      </c>
      <c r="D169" s="2" t="str">
        <f ca="1">IFERROR(__xludf.DUMMYFUNCTION("""COMPUTED_VALUE"""),"1754653117606")</f>
        <v>1754653117606</v>
      </c>
      <c r="E169" s="2">
        <f ca="1">IFERROR(__xludf.DUMMYFUNCTION("""COMPUTED_VALUE"""),353884297)</f>
        <v>353884297</v>
      </c>
      <c r="F169" s="2" t="str">
        <f ca="1"/>
        <v>0353884297</v>
      </c>
      <c r="G169" s="2" t="str">
        <f ca="1">IFERROR(__xludf.DUMMYFUNCTION("""COMPUTED_VALUE"""),"105635811866")</f>
        <v>105635811866</v>
      </c>
      <c r="I169" s="2" t="str">
        <f ca="1">IFERROR(__xludf.DUMMYFUNCTION("""COMPUTED_VALUE"""),"Trần Hà My")</f>
        <v>Trần Hà My</v>
      </c>
      <c r="J169" s="3" t="str">
        <f ca="1">IFERROR(__xludf.DUMMYFUNCTION("""COMPUTED_VALUE"""),"0912923768")</f>
        <v>0912923768</v>
      </c>
      <c r="K169" s="2" t="str">
        <f ca="1">IFERROR(__xludf.DUMMYFUNCTION("""COMPUTED_VALUE"""),"1745376917297")</f>
        <v>1745376917297</v>
      </c>
    </row>
    <row r="170" spans="1:11" ht="12.45">
      <c r="A170" s="2" t="str">
        <f ca="1">IFERROR(__xludf.DUMMYFUNCTION("""COMPUTED_VALUE"""),"1745376947388")</f>
        <v>1745376947388</v>
      </c>
      <c r="B170" s="2">
        <f ca="1">IFERROR(__xludf.DUMMYFUNCTION("""COMPUTED_VALUE"""),396447366)</f>
        <v>396447366</v>
      </c>
      <c r="C170" s="2" t="str">
        <f ca="1"/>
        <v>0396447366</v>
      </c>
      <c r="D170" s="2" t="str">
        <f ca="1">IFERROR(__xludf.DUMMYFUNCTION("""COMPUTED_VALUE"""),"1754653151339")</f>
        <v>1754653151339</v>
      </c>
      <c r="E170" s="2">
        <f ca="1">IFERROR(__xludf.DUMMYFUNCTION("""COMPUTED_VALUE"""),349685355)</f>
        <v>349685355</v>
      </c>
      <c r="F170" s="2" t="str">
        <f ca="1"/>
        <v>0349685355</v>
      </c>
      <c r="G170" s="2" t="str">
        <f ca="1">IFERROR(__xludf.DUMMYFUNCTION("""COMPUTED_VALUE"""),"105635812068")</f>
        <v>105635812068</v>
      </c>
      <c r="I170" s="2" t="str">
        <f ca="1">IFERROR(__xludf.DUMMYFUNCTION("""COMPUTED_VALUE"""),"Nguyễn Thị Hồng Gấm ")</f>
        <v xml:space="preserve">Nguyễn Thị Hồng Gấm </v>
      </c>
      <c r="J170" s="3" t="str">
        <f ca="1">IFERROR(__xludf.DUMMYFUNCTION("""COMPUTED_VALUE"""),"0774406681")</f>
        <v>0774406681</v>
      </c>
      <c r="K170" s="2" t="str">
        <f ca="1">IFERROR(__xludf.DUMMYFUNCTION("""COMPUTED_VALUE"""),"1745376947388")</f>
        <v>1745376947388</v>
      </c>
    </row>
    <row r="171" spans="1:11" ht="12.45">
      <c r="A171" s="2" t="str">
        <f ca="1">IFERROR(__xludf.DUMMYFUNCTION("""COMPUTED_VALUE"""),"1745376984428")</f>
        <v>1745376984428</v>
      </c>
      <c r="B171" s="2">
        <f ca="1">IFERROR(__xludf.DUMMYFUNCTION("""COMPUTED_VALUE"""),978628198)</f>
        <v>978628198</v>
      </c>
      <c r="C171" s="2" t="str">
        <f ca="1"/>
        <v>0978628198</v>
      </c>
      <c r="D171" s="2" t="str">
        <f ca="1">IFERROR(__xludf.DUMMYFUNCTION("""COMPUTED_VALUE"""),"1754653181036")</f>
        <v>1754653181036</v>
      </c>
      <c r="E171" s="2">
        <f ca="1">IFERROR(__xludf.DUMMYFUNCTION("""COMPUTED_VALUE"""),961126005)</f>
        <v>961126005</v>
      </c>
      <c r="F171" s="2" t="str">
        <f ca="1"/>
        <v>0961126005</v>
      </c>
      <c r="G171" s="2">
        <f ca="1">IFERROR(__xludf.DUMMYFUNCTION("""COMPUTED_VALUE"""),105556054247)</f>
        <v>105556054247</v>
      </c>
      <c r="I171" s="2" t="str">
        <f ca="1">IFERROR(__xludf.DUMMYFUNCTION("""COMPUTED_VALUE"""),"Nguyễn Trúc Linh")</f>
        <v>Nguyễn Trúc Linh</v>
      </c>
      <c r="J171" s="3" t="str">
        <f ca="1">IFERROR(__xludf.DUMMYFUNCTION("""COMPUTED_VALUE"""),"0376384496")</f>
        <v>0376384496</v>
      </c>
      <c r="K171" s="2" t="str">
        <f ca="1">IFERROR(__xludf.DUMMYFUNCTION("""COMPUTED_VALUE"""),"1745376984428")</f>
        <v>1745376984428</v>
      </c>
    </row>
    <row r="172" spans="1:11" ht="12.45">
      <c r="A172" s="2" t="str">
        <f ca="1">IFERROR(__xludf.DUMMYFUNCTION("""COMPUTED_VALUE"""),"1745377016566")</f>
        <v>1745377016566</v>
      </c>
      <c r="B172" s="2">
        <f ca="1">IFERROR(__xludf.DUMMYFUNCTION("""COMPUTED_VALUE"""),914307116)</f>
        <v>914307116</v>
      </c>
      <c r="C172" s="2" t="str">
        <f ca="1"/>
        <v>0914307116</v>
      </c>
      <c r="D172" s="2" t="str">
        <f ca="1">IFERROR(__xludf.DUMMYFUNCTION("""COMPUTED_VALUE"""),"1754653215035")</f>
        <v>1754653215035</v>
      </c>
      <c r="E172" s="2">
        <f ca="1">IFERROR(__xludf.DUMMYFUNCTION("""COMPUTED_VALUE"""),775402740)</f>
        <v>775402740</v>
      </c>
      <c r="F172" s="2" t="str">
        <f ca="1"/>
        <v>0775402740</v>
      </c>
      <c r="G172" s="2" t="str">
        <f ca="1">IFERROR(__xludf.DUMMYFUNCTION("""COMPUTED_VALUE"""),"105635812136")</f>
        <v>105635812136</v>
      </c>
      <c r="I172" s="2" t="str">
        <f ca="1">IFERROR(__xludf.DUMMYFUNCTION("""COMPUTED_VALUE"""),"Đặng Thị Ngọc Lan")</f>
        <v>Đặng Thị Ngọc Lan</v>
      </c>
      <c r="J172" s="3" t="str">
        <f ca="1">IFERROR(__xludf.DUMMYFUNCTION("""COMPUTED_VALUE"""),"0348695216")</f>
        <v>0348695216</v>
      </c>
      <c r="K172" s="2" t="str">
        <f ca="1">IFERROR(__xludf.DUMMYFUNCTION("""COMPUTED_VALUE"""),"1745377016566")</f>
        <v>1745377016566</v>
      </c>
    </row>
    <row r="173" spans="1:11" ht="12.45">
      <c r="A173" s="2" t="str">
        <f ca="1">IFERROR(__xludf.DUMMYFUNCTION("""COMPUTED_VALUE"""),"1745377048776")</f>
        <v>1745377048776</v>
      </c>
      <c r="B173" s="2">
        <f ca="1">IFERROR(__xludf.DUMMYFUNCTION("""COMPUTED_VALUE"""),399574876)</f>
        <v>399574876</v>
      </c>
      <c r="C173" s="2" t="str">
        <f ca="1"/>
        <v>0399574876</v>
      </c>
      <c r="D173" s="2" t="str">
        <f ca="1">IFERROR(__xludf.DUMMYFUNCTION("""COMPUTED_VALUE"""),"1754653239456")</f>
        <v>1754653239456</v>
      </c>
      <c r="E173" s="2">
        <f ca="1">IFERROR(__xludf.DUMMYFUNCTION("""COMPUTED_VALUE"""),862769905)</f>
        <v>862769905</v>
      </c>
      <c r="F173" s="2" t="str">
        <f ca="1"/>
        <v>0862769905</v>
      </c>
      <c r="G173" s="2" t="str">
        <f ca="1">IFERROR(__xludf.DUMMYFUNCTION("""COMPUTED_VALUE"""),"105635812257")</f>
        <v>105635812257</v>
      </c>
      <c r="I173" s="2" t="str">
        <f ca="1">IFERROR(__xludf.DUMMYFUNCTION("""COMPUTED_VALUE"""),"Nguyễn Thị Ngát")</f>
        <v>Nguyễn Thị Ngát</v>
      </c>
      <c r="J173" s="3" t="str">
        <f ca="1">IFERROR(__xludf.DUMMYFUNCTION("""COMPUTED_VALUE"""),"0332330385")</f>
        <v>0332330385</v>
      </c>
      <c r="K173" s="2" t="str">
        <f ca="1">IFERROR(__xludf.DUMMYFUNCTION("""COMPUTED_VALUE"""),"1745377048776")</f>
        <v>1745377048776</v>
      </c>
    </row>
    <row r="174" spans="1:11" ht="12.45">
      <c r="A174" s="2" t="str">
        <f ca="1">IFERROR(__xludf.DUMMYFUNCTION("""COMPUTED_VALUE"""),"1745377083482")</f>
        <v>1745377083482</v>
      </c>
      <c r="B174" s="2">
        <f ca="1">IFERROR(__xludf.DUMMYFUNCTION("""COMPUTED_VALUE"""),336603758)</f>
        <v>336603758</v>
      </c>
      <c r="C174" s="2" t="str">
        <f ca="1"/>
        <v>0336603758</v>
      </c>
      <c r="D174" s="2" t="str">
        <f ca="1">IFERROR(__xludf.DUMMYFUNCTION("""COMPUTED_VALUE"""),"1754653281856")</f>
        <v>1754653281856</v>
      </c>
      <c r="E174" s="2">
        <f ca="1">IFERROR(__xludf.DUMMYFUNCTION("""COMPUTED_VALUE"""),967447288)</f>
        <v>967447288</v>
      </c>
      <c r="F174" s="2" t="str">
        <f ca="1"/>
        <v>0967447288</v>
      </c>
      <c r="G174" s="2" t="str">
        <f ca="1">IFERROR(__xludf.DUMMYFUNCTION("""COMPUTED_VALUE"""),"105635812447")</f>
        <v>105635812447</v>
      </c>
      <c r="I174" s="2" t="str">
        <f ca="1">IFERROR(__xludf.DUMMYFUNCTION("""COMPUTED_VALUE"""),"Nguyễn Quỳnh Anh")</f>
        <v>Nguyễn Quỳnh Anh</v>
      </c>
      <c r="J174" s="3" t="str">
        <f ca="1">IFERROR(__xludf.DUMMYFUNCTION("""COMPUTED_VALUE"""),"0337289665")</f>
        <v>0337289665</v>
      </c>
      <c r="K174" s="2" t="str">
        <f ca="1">IFERROR(__xludf.DUMMYFUNCTION("""COMPUTED_VALUE"""),"1745377083482")</f>
        <v>1745377083482</v>
      </c>
    </row>
    <row r="175" spans="1:11" ht="12.45">
      <c r="A175" s="2" t="str">
        <f ca="1">IFERROR(__xludf.DUMMYFUNCTION("""COMPUTED_VALUE"""),"1745377110206")</f>
        <v>1745377110206</v>
      </c>
      <c r="B175" s="2">
        <f ca="1">IFERROR(__xludf.DUMMYFUNCTION("""COMPUTED_VALUE"""),916235435)</f>
        <v>916235435</v>
      </c>
      <c r="C175" s="2" t="str">
        <f ca="1"/>
        <v>0916235435</v>
      </c>
      <c r="D175" s="2" t="str">
        <f ca="1">IFERROR(__xludf.DUMMYFUNCTION("""COMPUTED_VALUE"""),"1754653316936")</f>
        <v>1754653316936</v>
      </c>
      <c r="E175" s="2">
        <f ca="1">IFERROR(__xludf.DUMMYFUNCTION("""COMPUTED_VALUE"""),385536635)</f>
        <v>385536635</v>
      </c>
      <c r="F175" s="2" t="str">
        <f ca="1"/>
        <v>0385536635</v>
      </c>
      <c r="G175" s="2" t="str">
        <f ca="1">IFERROR(__xludf.DUMMYFUNCTION("""COMPUTED_VALUE"""),"105635812585")</f>
        <v>105635812585</v>
      </c>
      <c r="I175" s="2" t="str">
        <f ca="1">IFERROR(__xludf.DUMMYFUNCTION("""COMPUTED_VALUE"""),"Phạm Tuyết Hoa")</f>
        <v>Phạm Tuyết Hoa</v>
      </c>
      <c r="J175" s="3" t="str">
        <f ca="1">IFERROR(__xludf.DUMMYFUNCTION("""COMPUTED_VALUE"""),"0969255665")</f>
        <v>0969255665</v>
      </c>
      <c r="K175" s="2" t="str">
        <f ca="1">IFERROR(__xludf.DUMMYFUNCTION("""COMPUTED_VALUE"""),"1745377110206")</f>
        <v>1745377110206</v>
      </c>
    </row>
    <row r="176" spans="1:11" ht="12.45">
      <c r="A176" s="2" t="str">
        <f ca="1">IFERROR(__xludf.DUMMYFUNCTION("""COMPUTED_VALUE"""),"1745377142823")</f>
        <v>1745377142823</v>
      </c>
      <c r="B176" s="2">
        <f ca="1">IFERROR(__xludf.DUMMYFUNCTION("""COMPUTED_VALUE"""),362865207)</f>
        <v>362865207</v>
      </c>
      <c r="C176" s="2" t="str">
        <f ca="1"/>
        <v>0362865207</v>
      </c>
      <c r="D176" s="2" t="str">
        <f ca="1">IFERROR(__xludf.DUMMYFUNCTION("""COMPUTED_VALUE"""),"1754653347915")</f>
        <v>1754653347915</v>
      </c>
      <c r="E176" s="2">
        <f ca="1">IFERROR(__xludf.DUMMYFUNCTION("""COMPUTED_VALUE"""),789400555)</f>
        <v>789400555</v>
      </c>
      <c r="F176" s="2" t="str">
        <f ca="1"/>
        <v>0789400555</v>
      </c>
      <c r="G176" s="2" t="str">
        <f ca="1">IFERROR(__xludf.DUMMYFUNCTION("""COMPUTED_VALUE"""),"105635812644")</f>
        <v>105635812644</v>
      </c>
      <c r="I176" s="2" t="str">
        <f ca="1">IFERROR(__xludf.DUMMYFUNCTION("""COMPUTED_VALUE"""),"Nguyễn Trần Uyên Nhi")</f>
        <v>Nguyễn Trần Uyên Nhi</v>
      </c>
      <c r="J176" s="3" t="str">
        <f ca="1">IFERROR(__xludf.DUMMYFUNCTION("""COMPUTED_VALUE"""),"0394694607")</f>
        <v>0394694607</v>
      </c>
      <c r="K176" s="2" t="str">
        <f ca="1">IFERROR(__xludf.DUMMYFUNCTION("""COMPUTED_VALUE"""),"1745377142823")</f>
        <v>1745377142823</v>
      </c>
    </row>
    <row r="177" spans="1:11" ht="12.45">
      <c r="A177" s="2" t="str">
        <f ca="1">IFERROR(__xludf.DUMMYFUNCTION("""COMPUTED_VALUE"""),"1745377227181")</f>
        <v>1745377227181</v>
      </c>
      <c r="B177" s="2">
        <f ca="1">IFERROR(__xludf.DUMMYFUNCTION("""COMPUTED_VALUE"""),868393938)</f>
        <v>868393938</v>
      </c>
      <c r="C177" s="2" t="str">
        <f ca="1"/>
        <v>0868393938</v>
      </c>
      <c r="D177" s="2" t="str">
        <f ca="1">IFERROR(__xludf.DUMMYFUNCTION("""COMPUTED_VALUE"""),"1754653380883")</f>
        <v>1754653380883</v>
      </c>
      <c r="E177" s="2">
        <f ca="1">IFERROR(__xludf.DUMMYFUNCTION("""COMPUTED_VALUE"""),971362798)</f>
        <v>971362798</v>
      </c>
      <c r="F177" s="2" t="str">
        <f ca="1"/>
        <v>0971362798</v>
      </c>
      <c r="G177" s="2" t="str">
        <f ca="1">IFERROR(__xludf.DUMMYFUNCTION("""COMPUTED_VALUE"""),"105635812753")</f>
        <v>105635812753</v>
      </c>
      <c r="I177" s="2" t="str">
        <f ca="1">IFERROR(__xludf.DUMMYFUNCTION("""COMPUTED_VALUE"""),"Lê Hải Minh")</f>
        <v>Lê Hải Minh</v>
      </c>
      <c r="J177" s="3" t="str">
        <f ca="1">IFERROR(__xludf.DUMMYFUNCTION("""COMPUTED_VALUE"""),"0973009479")</f>
        <v>0973009479</v>
      </c>
      <c r="K177" s="2" t="str">
        <f ca="1">IFERROR(__xludf.DUMMYFUNCTION("""COMPUTED_VALUE"""),"1745377227181")</f>
        <v>1745377227181</v>
      </c>
    </row>
    <row r="178" spans="1:11" ht="12.45">
      <c r="A178" s="2" t="str">
        <f ca="1">IFERROR(__xludf.DUMMYFUNCTION("""COMPUTED_VALUE"""),"1745377275601")</f>
        <v>1745377275601</v>
      </c>
      <c r="B178" s="2">
        <f ca="1">IFERROR(__xludf.DUMMYFUNCTION("""COMPUTED_VALUE"""),946609364)</f>
        <v>946609364</v>
      </c>
      <c r="C178" s="2" t="str">
        <f ca="1"/>
        <v>0946609364</v>
      </c>
      <c r="D178" s="2" t="str">
        <f ca="1">IFERROR(__xludf.DUMMYFUNCTION("""COMPUTED_VALUE"""),"1754653421954")</f>
        <v>1754653421954</v>
      </c>
      <c r="E178" s="2">
        <f ca="1">IFERROR(__xludf.DUMMYFUNCTION("""COMPUTED_VALUE"""),982511768)</f>
        <v>982511768</v>
      </c>
      <c r="F178" s="2" t="str">
        <f ca="1"/>
        <v>0982511768</v>
      </c>
      <c r="G178" s="2" t="str">
        <f ca="1">IFERROR(__xludf.DUMMYFUNCTION("""COMPUTED_VALUE"""),"105635812875")</f>
        <v>105635812875</v>
      </c>
      <c r="I178" s="2" t="str">
        <f ca="1">IFERROR(__xludf.DUMMYFUNCTION("""COMPUTED_VALUE"""),"Nguyễn Thị Diễm Quỳnh")</f>
        <v>Nguyễn Thị Diễm Quỳnh</v>
      </c>
      <c r="J178" s="3" t="str">
        <f ca="1">IFERROR(__xludf.DUMMYFUNCTION("""COMPUTED_VALUE"""),"0367817207")</f>
        <v>0367817207</v>
      </c>
      <c r="K178" s="2" t="str">
        <f ca="1">IFERROR(__xludf.DUMMYFUNCTION("""COMPUTED_VALUE"""),"1745377275601")</f>
        <v>1745377275601</v>
      </c>
    </row>
    <row r="179" spans="1:11" ht="12.45">
      <c r="A179" s="2" t="str">
        <f ca="1">IFERROR(__xludf.DUMMYFUNCTION("""COMPUTED_VALUE"""),"1745377312821")</f>
        <v>1745377312821</v>
      </c>
      <c r="B179" s="2">
        <f ca="1">IFERROR(__xludf.DUMMYFUNCTION("""COMPUTED_VALUE"""),345327585)</f>
        <v>345327585</v>
      </c>
      <c r="C179" s="2" t="str">
        <f ca="1"/>
        <v>0345327585</v>
      </c>
      <c r="D179" s="2" t="str">
        <f ca="1">IFERROR(__xludf.DUMMYFUNCTION("""COMPUTED_VALUE"""),"1754653462773")</f>
        <v>1754653462773</v>
      </c>
      <c r="E179" s="2">
        <f ca="1">IFERROR(__xludf.DUMMYFUNCTION("""COMPUTED_VALUE"""),373788042)</f>
        <v>373788042</v>
      </c>
      <c r="F179" s="2" t="str">
        <f ca="1"/>
        <v>0373788042</v>
      </c>
      <c r="G179" s="2" t="str">
        <f ca="1">IFERROR(__xludf.DUMMYFUNCTION("""COMPUTED_VALUE"""),"105635812937")</f>
        <v>105635812937</v>
      </c>
      <c r="I179" s="2" t="str">
        <f ca="1">IFERROR(__xludf.DUMMYFUNCTION("""COMPUTED_VALUE"""),"Nguyễn Minh Trí")</f>
        <v>Nguyễn Minh Trí</v>
      </c>
      <c r="J179" s="3" t="str">
        <f ca="1">IFERROR(__xludf.DUMMYFUNCTION("""COMPUTED_VALUE"""),"0961902024")</f>
        <v>0961902024</v>
      </c>
      <c r="K179" s="2" t="str">
        <f ca="1">IFERROR(__xludf.DUMMYFUNCTION("""COMPUTED_VALUE"""),"1745377312821")</f>
        <v>1745377312821</v>
      </c>
    </row>
    <row r="180" spans="1:11" ht="12.45">
      <c r="A180" s="2" t="str">
        <f ca="1">IFERROR(__xludf.DUMMYFUNCTION("""COMPUTED_VALUE"""),"1745377346394")</f>
        <v>1745377346394</v>
      </c>
      <c r="B180" s="2">
        <f ca="1">IFERROR(__xludf.DUMMYFUNCTION("""COMPUTED_VALUE"""),394784847)</f>
        <v>394784847</v>
      </c>
      <c r="C180" s="2" t="str">
        <f ca="1"/>
        <v>0394784847</v>
      </c>
      <c r="D180" s="2" t="str">
        <f ca="1">IFERROR(__xludf.DUMMYFUNCTION("""COMPUTED_VALUE"""),"1754653510717")</f>
        <v>1754653510717</v>
      </c>
      <c r="E180" s="2">
        <f ca="1">IFERROR(__xludf.DUMMYFUNCTION("""COMPUTED_VALUE"""),972810799)</f>
        <v>972810799</v>
      </c>
      <c r="F180" s="2" t="str">
        <f ca="1"/>
        <v>0972810799</v>
      </c>
      <c r="G180" s="2" t="str">
        <f ca="1">IFERROR(__xludf.DUMMYFUNCTION("""COMPUTED_VALUE"""),"105635813091")</f>
        <v>105635813091</v>
      </c>
      <c r="I180" s="2" t="str">
        <f ca="1">IFERROR(__xludf.DUMMYFUNCTION("""COMPUTED_VALUE"""),"Đào Thị Hằng")</f>
        <v>Đào Thị Hằng</v>
      </c>
      <c r="J180" s="3" t="str">
        <f ca="1">IFERROR(__xludf.DUMMYFUNCTION("""COMPUTED_VALUE"""),"0325418384")</f>
        <v>0325418384</v>
      </c>
      <c r="K180" s="2" t="str">
        <f ca="1">IFERROR(__xludf.DUMMYFUNCTION("""COMPUTED_VALUE"""),"1745377346394")</f>
        <v>1745377346394</v>
      </c>
    </row>
    <row r="181" spans="1:11" ht="12.45">
      <c r="A181" s="2" t="str">
        <f ca="1">IFERROR(__xludf.DUMMYFUNCTION("""COMPUTED_VALUE"""),"1745377380605")</f>
        <v>1745377380605</v>
      </c>
      <c r="B181" s="2">
        <f ca="1">IFERROR(__xludf.DUMMYFUNCTION("""COMPUTED_VALUE"""),965307856)</f>
        <v>965307856</v>
      </c>
      <c r="C181" s="2" t="str">
        <f ca="1"/>
        <v>0965307856</v>
      </c>
      <c r="D181" s="2" t="str">
        <f ca="1">IFERROR(__xludf.DUMMYFUNCTION("""COMPUTED_VALUE"""),"1754653569041")</f>
        <v>1754653569041</v>
      </c>
      <c r="E181" s="2">
        <f ca="1">IFERROR(__xludf.DUMMYFUNCTION("""COMPUTED_VALUE"""),817254935)</f>
        <v>817254935</v>
      </c>
      <c r="F181" s="2" t="str">
        <f ca="1"/>
        <v>0817254935</v>
      </c>
      <c r="G181" s="2" t="str">
        <f ca="1">IFERROR(__xludf.DUMMYFUNCTION("""COMPUTED_VALUE"""),"105635813173")</f>
        <v>105635813173</v>
      </c>
      <c r="I181" s="2" t="str">
        <f ca="1">IFERROR(__xludf.DUMMYFUNCTION("""COMPUTED_VALUE"""),"Dương Hải Uyên")</f>
        <v>Dương Hải Uyên</v>
      </c>
      <c r="J181" s="3" t="str">
        <f ca="1">IFERROR(__xludf.DUMMYFUNCTION("""COMPUTED_VALUE"""),"0798691555")</f>
        <v>0798691555</v>
      </c>
      <c r="K181" s="2" t="str">
        <f ca="1">IFERROR(__xludf.DUMMYFUNCTION("""COMPUTED_VALUE"""),"1745377380605")</f>
        <v>1745377380605</v>
      </c>
    </row>
    <row r="182" spans="1:11" ht="12.45">
      <c r="A182" s="2" t="str">
        <f ca="1">IFERROR(__xludf.DUMMYFUNCTION("""COMPUTED_VALUE"""),"1745377410666")</f>
        <v>1745377410666</v>
      </c>
      <c r="B182" s="2">
        <f ca="1">IFERROR(__xludf.DUMMYFUNCTION("""COMPUTED_VALUE"""),937177328)</f>
        <v>937177328</v>
      </c>
      <c r="C182" s="2" t="str">
        <f ca="1"/>
        <v>0937177328</v>
      </c>
      <c r="D182" s="2" t="str">
        <f ca="1">IFERROR(__xludf.DUMMYFUNCTION("""COMPUTED_VALUE"""),"1754653782015")</f>
        <v>1754653782015</v>
      </c>
      <c r="E182" s="2">
        <f ca="1">IFERROR(__xludf.DUMMYFUNCTION("""COMPUTED_VALUE"""),345857709)</f>
        <v>345857709</v>
      </c>
      <c r="F182" s="2" t="str">
        <f ca="1"/>
        <v>0345857709</v>
      </c>
      <c r="G182" s="2" t="str">
        <f ca="1">IFERROR(__xludf.DUMMYFUNCTION("""COMPUTED_VALUE"""),"105635813254")</f>
        <v>105635813254</v>
      </c>
      <c r="I182" s="2" t="str">
        <f ca="1">IFERROR(__xludf.DUMMYFUNCTION("""COMPUTED_VALUE"""),"Nguyễn Thị Thúy Ngọc")</f>
        <v>Nguyễn Thị Thúy Ngọc</v>
      </c>
      <c r="J182" s="3" t="str">
        <f ca="1">IFERROR(__xludf.DUMMYFUNCTION("""COMPUTED_VALUE"""),"0389848624")</f>
        <v>0389848624</v>
      </c>
      <c r="K182" s="2" t="str">
        <f ca="1">IFERROR(__xludf.DUMMYFUNCTION("""COMPUTED_VALUE"""),"1745377410666")</f>
        <v>1745377410666</v>
      </c>
    </row>
    <row r="183" spans="1:11" ht="12.45">
      <c r="A183" s="2" t="str">
        <f ca="1">IFERROR(__xludf.DUMMYFUNCTION("""COMPUTED_VALUE"""),"1745377434367")</f>
        <v>1745377434367</v>
      </c>
      <c r="B183" s="2">
        <f ca="1">IFERROR(__xludf.DUMMYFUNCTION("""COMPUTED_VALUE"""),812734989)</f>
        <v>812734989</v>
      </c>
      <c r="C183" s="2" t="str">
        <f ca="1"/>
        <v>0812734989</v>
      </c>
      <c r="D183" s="2" t="str">
        <f ca="1">IFERROR(__xludf.DUMMYFUNCTION("""COMPUTED_VALUE"""),"1754653656706")</f>
        <v>1754653656706</v>
      </c>
      <c r="E183" s="2">
        <f ca="1">IFERROR(__xludf.DUMMYFUNCTION("""COMPUTED_VALUE"""),934365623)</f>
        <v>934365623</v>
      </c>
      <c r="F183" s="2" t="str">
        <f ca="1"/>
        <v>0934365623</v>
      </c>
      <c r="G183" s="2" t="str">
        <f ca="1">IFERROR(__xludf.DUMMYFUNCTION("""COMPUTED_VALUE"""),"105635813332")</f>
        <v>105635813332</v>
      </c>
      <c r="I183" s="2" t="str">
        <f ca="1">IFERROR(__xludf.DUMMYFUNCTION("""COMPUTED_VALUE"""),"Bùi Mai Trang")</f>
        <v>Bùi Mai Trang</v>
      </c>
      <c r="J183" s="3" t="str">
        <f ca="1">IFERROR(__xludf.DUMMYFUNCTION("""COMPUTED_VALUE"""),"0862799144")</f>
        <v>0862799144</v>
      </c>
      <c r="K183" s="2" t="str">
        <f ca="1">IFERROR(__xludf.DUMMYFUNCTION("""COMPUTED_VALUE"""),"1745377434367")</f>
        <v>1745377434367</v>
      </c>
    </row>
    <row r="184" spans="1:11" ht="12.45">
      <c r="A184" s="2" t="str">
        <f ca="1">IFERROR(__xludf.DUMMYFUNCTION("""COMPUTED_VALUE"""),"1745377472305")</f>
        <v>1745377472305</v>
      </c>
      <c r="B184" s="2">
        <f ca="1">IFERROR(__xludf.DUMMYFUNCTION("""COMPUTED_VALUE"""),987979666)</f>
        <v>987979666</v>
      </c>
      <c r="C184" s="2" t="str">
        <f ca="1"/>
        <v>0987979666</v>
      </c>
      <c r="D184" s="2" t="str">
        <f ca="1">IFERROR(__xludf.DUMMYFUNCTION("""COMPUTED_VALUE"""),"1754653697161")</f>
        <v>1754653697161</v>
      </c>
      <c r="E184" s="2">
        <f ca="1">IFERROR(__xludf.DUMMYFUNCTION("""COMPUTED_VALUE"""),944593269)</f>
        <v>944593269</v>
      </c>
      <c r="F184" s="2" t="str">
        <f ca="1"/>
        <v>0944593269</v>
      </c>
      <c r="G184" s="2" t="str">
        <f ca="1">IFERROR(__xludf.DUMMYFUNCTION("""COMPUTED_VALUE"""),"105635813544")</f>
        <v>105635813544</v>
      </c>
      <c r="I184" s="2" t="str">
        <f ca="1">IFERROR(__xludf.DUMMYFUNCTION("""COMPUTED_VALUE"""),"Nguyễn Thị Huyền")</f>
        <v>Nguyễn Thị Huyền</v>
      </c>
      <c r="J184" s="3" t="str">
        <f ca="1">IFERROR(__xludf.DUMMYFUNCTION("""COMPUTED_VALUE"""),"0359052030")</f>
        <v>0359052030</v>
      </c>
      <c r="K184" s="2" t="str">
        <f ca="1">IFERROR(__xludf.DUMMYFUNCTION("""COMPUTED_VALUE"""),"1745377472305")</f>
        <v>1745377472305</v>
      </c>
    </row>
    <row r="185" spans="1:11" ht="12.45">
      <c r="A185" s="2" t="str">
        <f ca="1">IFERROR(__xludf.DUMMYFUNCTION("""COMPUTED_VALUE"""),"1745377509528")</f>
        <v>1745377509528</v>
      </c>
      <c r="B185" s="2">
        <f ca="1">IFERROR(__xludf.DUMMYFUNCTION("""COMPUTED_VALUE"""),869596144)</f>
        <v>869596144</v>
      </c>
      <c r="C185" s="2" t="str">
        <f ca="1"/>
        <v>0869596144</v>
      </c>
      <c r="D185" s="2" t="str">
        <f ca="1">IFERROR(__xludf.DUMMYFUNCTION("""COMPUTED_VALUE"""),"1754653736980")</f>
        <v>1754653736980</v>
      </c>
      <c r="E185" s="2">
        <f ca="1">IFERROR(__xludf.DUMMYFUNCTION("""COMPUTED_VALUE"""),865136377)</f>
        <v>865136377</v>
      </c>
      <c r="F185" s="2" t="str">
        <f ca="1"/>
        <v>0865136377</v>
      </c>
      <c r="G185" s="2" t="str">
        <f ca="1">IFERROR(__xludf.DUMMYFUNCTION("""COMPUTED_VALUE"""),"105635813652")</f>
        <v>105635813652</v>
      </c>
      <c r="I185" s="2" t="str">
        <f ca="1">IFERROR(__xludf.DUMMYFUNCTION("""COMPUTED_VALUE"""),"Đào Lê Thu Trang")</f>
        <v>Đào Lê Thu Trang</v>
      </c>
      <c r="J185" s="3" t="str">
        <f ca="1">IFERROR(__xludf.DUMMYFUNCTION("""COMPUTED_VALUE"""),"0328536415")</f>
        <v>0328536415</v>
      </c>
      <c r="K185" s="2" t="str">
        <f ca="1">IFERROR(__xludf.DUMMYFUNCTION("""COMPUTED_VALUE"""),"1745377509528")</f>
        <v>1745377509528</v>
      </c>
    </row>
    <row r="186" spans="1:11" ht="12.45">
      <c r="A186" s="2" t="str">
        <f ca="1">IFERROR(__xludf.DUMMYFUNCTION("""COMPUTED_VALUE"""),"1745377538195")</f>
        <v>1745377538195</v>
      </c>
      <c r="B186" s="2">
        <f ca="1">IFERROR(__xludf.DUMMYFUNCTION("""COMPUTED_VALUE"""),937177328)</f>
        <v>937177328</v>
      </c>
      <c r="C186" s="2" t="str">
        <f ca="1"/>
        <v>0937177328</v>
      </c>
      <c r="D186" s="2">
        <f ca="1">IFERROR(__xludf.DUMMYFUNCTION("""COMPUTED_VALUE"""),1754653617366)</f>
        <v>1754653617366</v>
      </c>
      <c r="E186" s="2">
        <f ca="1">IFERROR(__xludf.DUMMYFUNCTION("""COMPUTED_VALUE"""),865311240)</f>
        <v>865311240</v>
      </c>
      <c r="F186" s="2" t="str">
        <f ca="1"/>
        <v>0865311240</v>
      </c>
      <c r="G186" s="2" t="str">
        <f ca="1">IFERROR(__xludf.DUMMYFUNCTION("""COMPUTED_VALUE"""),"105635813823")</f>
        <v>105635813823</v>
      </c>
      <c r="I186" s="2" t="str">
        <f ca="1">IFERROR(__xludf.DUMMYFUNCTION("""COMPUTED_VALUE"""),"Nguyễn Nguyệt Ánh")</f>
        <v>Nguyễn Nguyệt Ánh</v>
      </c>
      <c r="J186" s="3" t="str">
        <f ca="1">IFERROR(__xludf.DUMMYFUNCTION("""COMPUTED_VALUE"""),"0392245995")</f>
        <v>0392245995</v>
      </c>
      <c r="K186" s="2" t="str">
        <f ca="1">IFERROR(__xludf.DUMMYFUNCTION("""COMPUTED_VALUE"""),"1745377538195")</f>
        <v>1745377538195</v>
      </c>
    </row>
    <row r="187" spans="1:11" ht="12.45">
      <c r="A187" s="2" t="str">
        <f ca="1">IFERROR(__xludf.DUMMYFUNCTION("""COMPUTED_VALUE"""),"1745377581012")</f>
        <v>1745377581012</v>
      </c>
      <c r="B187" s="2">
        <f ca="1">IFERROR(__xludf.DUMMYFUNCTION("""COMPUTED_VALUE"""),366527226)</f>
        <v>366527226</v>
      </c>
      <c r="C187" s="2" t="str">
        <f ca="1"/>
        <v>0366527226</v>
      </c>
      <c r="D187" s="2" t="str">
        <f ca="1">IFERROR(__xludf.DUMMYFUNCTION("""COMPUTED_VALUE"""),"1754653813021")</f>
        <v>1754653813021</v>
      </c>
      <c r="E187" s="2">
        <f ca="1">IFERROR(__xludf.DUMMYFUNCTION("""COMPUTED_VALUE"""),886048545)</f>
        <v>886048545</v>
      </c>
      <c r="F187" s="2" t="str">
        <f ca="1"/>
        <v>0886048545</v>
      </c>
      <c r="G187" s="2" t="str">
        <f ca="1">IFERROR(__xludf.DUMMYFUNCTION("""COMPUTED_VALUE"""),"105635814040")</f>
        <v>105635814040</v>
      </c>
      <c r="I187" s="2" t="str">
        <f ca="1">IFERROR(__xludf.DUMMYFUNCTION("""COMPUTED_VALUE"""),"Nguyễn Ngọc Ánh")</f>
        <v>Nguyễn Ngọc Ánh</v>
      </c>
      <c r="J187" s="3" t="str">
        <f ca="1">IFERROR(__xludf.DUMMYFUNCTION("""COMPUTED_VALUE"""),"0384669652")</f>
        <v>0384669652</v>
      </c>
      <c r="K187" s="2" t="str">
        <f ca="1">IFERROR(__xludf.DUMMYFUNCTION("""COMPUTED_VALUE"""),"1745377581012")</f>
        <v>1745377581012</v>
      </c>
    </row>
    <row r="188" spans="1:11" ht="12.45">
      <c r="A188" s="2" t="str">
        <f ca="1">IFERROR(__xludf.DUMMYFUNCTION("""COMPUTED_VALUE"""),"1745377607583")</f>
        <v>1745377607583</v>
      </c>
      <c r="B188" s="2">
        <f ca="1">IFERROR(__xludf.DUMMYFUNCTION("""COMPUTED_VALUE"""),967588457)</f>
        <v>967588457</v>
      </c>
      <c r="C188" s="2" t="str">
        <f ca="1"/>
        <v>0967588457</v>
      </c>
      <c r="D188" s="2" t="str">
        <f ca="1">IFERROR(__xludf.DUMMYFUNCTION("""COMPUTED_VALUE"""),"1754653856397")</f>
        <v>1754653856397</v>
      </c>
      <c r="E188" s="2">
        <f ca="1">IFERROR(__xludf.DUMMYFUNCTION("""COMPUTED_VALUE"""),326005358)</f>
        <v>326005358</v>
      </c>
      <c r="F188" s="2" t="str">
        <f ca="1"/>
        <v>0326005358</v>
      </c>
      <c r="G188" s="2" t="str">
        <f ca="1">IFERROR(__xludf.DUMMYFUNCTION("""COMPUTED_VALUE"""),"105635814274")</f>
        <v>105635814274</v>
      </c>
      <c r="I188" s="2" t="str">
        <f ca="1">IFERROR(__xludf.DUMMYFUNCTION("""COMPUTED_VALUE"""),"Nguyễn Mỹ Duyên")</f>
        <v>Nguyễn Mỹ Duyên</v>
      </c>
      <c r="J188" s="3" t="str">
        <f ca="1">IFERROR(__xludf.DUMMYFUNCTION("""COMPUTED_VALUE"""),"0378736657")</f>
        <v>0378736657</v>
      </c>
      <c r="K188" s="2" t="str">
        <f ca="1">IFERROR(__xludf.DUMMYFUNCTION("""COMPUTED_VALUE"""),"1745377607583")</f>
        <v>1745377607583</v>
      </c>
    </row>
    <row r="189" spans="1:11" ht="12.45">
      <c r="A189" s="2" t="str">
        <f ca="1">IFERROR(__xludf.DUMMYFUNCTION("""COMPUTED_VALUE"""),"Không giao sách")</f>
        <v>Không giao sách</v>
      </c>
      <c r="B189" s="2">
        <f ca="1">IFERROR(__xludf.DUMMYFUNCTION("""COMPUTED_VALUE"""),815025528)</f>
        <v>815025528</v>
      </c>
      <c r="C189" s="2" t="str">
        <f ca="1"/>
        <v>0815025528</v>
      </c>
      <c r="D189" s="2" t="str">
        <f ca="1">IFERROR(__xludf.DUMMYFUNCTION("""COMPUTED_VALUE"""),"1754653916662")</f>
        <v>1754653916662</v>
      </c>
      <c r="E189" s="2">
        <f ca="1">IFERROR(__xludf.DUMMYFUNCTION("""COMPUTED_VALUE"""),345287823)</f>
        <v>345287823</v>
      </c>
      <c r="F189" s="2" t="str">
        <f ca="1"/>
        <v>0345287823</v>
      </c>
      <c r="G189" s="2" t="str">
        <f ca="1">IFERROR(__xludf.DUMMYFUNCTION("""COMPUTED_VALUE"""),"105635814355")</f>
        <v>105635814355</v>
      </c>
      <c r="I189" s="2" t="str">
        <f ca="1">IFERROR(__xludf.DUMMYFUNCTION("""COMPUTED_VALUE"""),"Lăng Gia Vy")</f>
        <v>Lăng Gia Vy</v>
      </c>
      <c r="J189" s="3" t="str">
        <f ca="1">IFERROR(__xludf.DUMMYFUNCTION("""COMPUTED_VALUE"""),"0818658700")</f>
        <v>0818658700</v>
      </c>
      <c r="K189" s="2" t="str">
        <f ca="1">IFERROR(__xludf.DUMMYFUNCTION("""COMPUTED_VALUE"""),"Không giao sách")</f>
        <v>Không giao sách</v>
      </c>
    </row>
    <row r="190" spans="1:11" ht="12.45">
      <c r="A190" s="2" t="str">
        <f ca="1">IFERROR(__xludf.DUMMYFUNCTION("""COMPUTED_VALUE"""),"1745377699652")</f>
        <v>1745377699652</v>
      </c>
      <c r="B190" s="2">
        <f ca="1">IFERROR(__xludf.DUMMYFUNCTION("""COMPUTED_VALUE"""),987801473)</f>
        <v>987801473</v>
      </c>
      <c r="C190" s="2" t="str">
        <f ca="1"/>
        <v>0987801473</v>
      </c>
      <c r="D190" s="2" t="str">
        <f ca="1">IFERROR(__xludf.DUMMYFUNCTION("""COMPUTED_VALUE"""),"1754653952540")</f>
        <v>1754653952540</v>
      </c>
      <c r="E190" s="2">
        <f ca="1">IFERROR(__xludf.DUMMYFUNCTION("""COMPUTED_VALUE"""),369702885)</f>
        <v>369702885</v>
      </c>
      <c r="F190" s="2" t="str">
        <f ca="1"/>
        <v>0369702885</v>
      </c>
      <c r="G190" s="2" t="str">
        <f ca="1">IFERROR(__xludf.DUMMYFUNCTION("""COMPUTED_VALUE"""),"105635814495")</f>
        <v>105635814495</v>
      </c>
      <c r="I190" s="2" t="str">
        <f ca="1">IFERROR(__xludf.DUMMYFUNCTION("""COMPUTED_VALUE"""),"Nguyễn Ngọc Thiên Kim")</f>
        <v>Nguyễn Ngọc Thiên Kim</v>
      </c>
      <c r="J190" s="3" t="str">
        <f ca="1">IFERROR(__xludf.DUMMYFUNCTION("""COMPUTED_VALUE"""),"0839773123")</f>
        <v>0839773123</v>
      </c>
      <c r="K190" s="2" t="str">
        <f ca="1">IFERROR(__xludf.DUMMYFUNCTION("""COMPUTED_VALUE"""),"1745377699652")</f>
        <v>1745377699652</v>
      </c>
    </row>
    <row r="191" spans="1:11" ht="12.45">
      <c r="A191" s="2" t="str">
        <f ca="1">IFERROR(__xludf.DUMMYFUNCTION("""COMPUTED_VALUE"""),"1745377746920")</f>
        <v>1745377746920</v>
      </c>
      <c r="B191" s="2">
        <f ca="1">IFERROR(__xludf.DUMMYFUNCTION("""COMPUTED_VALUE"""),399625584)</f>
        <v>399625584</v>
      </c>
      <c r="C191" s="2" t="str">
        <f ca="1"/>
        <v>0399625584</v>
      </c>
      <c r="D191" s="2" t="str">
        <f ca="1">IFERROR(__xludf.DUMMYFUNCTION("""COMPUTED_VALUE"""),"1754654020916")</f>
        <v>1754654020916</v>
      </c>
      <c r="E191" s="2">
        <f ca="1">IFERROR(__xludf.DUMMYFUNCTION("""COMPUTED_VALUE"""),382006039)</f>
        <v>382006039</v>
      </c>
      <c r="F191" s="2" t="str">
        <f ca="1"/>
        <v>0382006039</v>
      </c>
      <c r="G191" s="2" t="str">
        <f ca="1">IFERROR(__xludf.DUMMYFUNCTION("""COMPUTED_VALUE"""),"105635814541")</f>
        <v>105635814541</v>
      </c>
      <c r="I191" s="2" t="str">
        <f ca="1">IFERROR(__xludf.DUMMYFUNCTION("""COMPUTED_VALUE"""),"Đào Thu Trang")</f>
        <v>Đào Thu Trang</v>
      </c>
      <c r="J191" s="3" t="str">
        <f ca="1">IFERROR(__xludf.DUMMYFUNCTION("""COMPUTED_VALUE"""),"0327294819")</f>
        <v>0327294819</v>
      </c>
      <c r="K191" s="2" t="str">
        <f ca="1">IFERROR(__xludf.DUMMYFUNCTION("""COMPUTED_VALUE"""),"1745377746920")</f>
        <v>1745377746920</v>
      </c>
    </row>
    <row r="192" spans="1:11" ht="12.45">
      <c r="A192" s="2" t="str">
        <f ca="1">IFERROR(__xludf.DUMMYFUNCTION("""COMPUTED_VALUE"""),"1745377778192")</f>
        <v>1745377778192</v>
      </c>
      <c r="B192" s="2">
        <f ca="1">IFERROR(__xludf.DUMMYFUNCTION("""COMPUTED_VALUE"""),333328225)</f>
        <v>333328225</v>
      </c>
      <c r="C192" s="2" t="str">
        <f ca="1"/>
        <v>0333328225</v>
      </c>
      <c r="D192" s="2" t="str">
        <f ca="1">IFERROR(__xludf.DUMMYFUNCTION("""COMPUTED_VALUE"""),"1754654063489")</f>
        <v>1754654063489</v>
      </c>
      <c r="E192" s="2">
        <f ca="1">IFERROR(__xludf.DUMMYFUNCTION("""COMPUTED_VALUE"""),917144616)</f>
        <v>917144616</v>
      </c>
      <c r="F192" s="2" t="str">
        <f ca="1"/>
        <v>0917144616</v>
      </c>
      <c r="G192" s="2" t="str">
        <f ca="1">IFERROR(__xludf.DUMMYFUNCTION("""COMPUTED_VALUE"""),"105635814646")</f>
        <v>105635814646</v>
      </c>
      <c r="I192" s="2" t="str">
        <f ca="1">IFERROR(__xludf.DUMMYFUNCTION("""COMPUTED_VALUE"""),"Chử Gia Hân")</f>
        <v>Chử Gia Hân</v>
      </c>
      <c r="J192" s="3" t="str">
        <f ca="1">IFERROR(__xludf.DUMMYFUNCTION("""COMPUTED_VALUE"""),"0911034717")</f>
        <v>0911034717</v>
      </c>
      <c r="K192" s="2" t="str">
        <f ca="1">IFERROR(__xludf.DUMMYFUNCTION("""COMPUTED_VALUE"""),"1745377778192")</f>
        <v>1745377778192</v>
      </c>
    </row>
    <row r="193" spans="1:11" ht="12.45">
      <c r="A193" s="2" t="str">
        <f ca="1">IFERROR(__xludf.DUMMYFUNCTION("""COMPUTED_VALUE"""),"1745377822753")</f>
        <v>1745377822753</v>
      </c>
      <c r="B193" s="2">
        <f ca="1">IFERROR(__xludf.DUMMYFUNCTION("""COMPUTED_VALUE"""),395593299)</f>
        <v>395593299</v>
      </c>
      <c r="C193" s="2" t="str">
        <f ca="1"/>
        <v>0395593299</v>
      </c>
      <c r="D193" s="2" t="str">
        <f ca="1">IFERROR(__xludf.DUMMYFUNCTION("""COMPUTED_VALUE"""),"1754654154376")</f>
        <v>1754654154376</v>
      </c>
      <c r="E193" s="2">
        <f ca="1">IFERROR(__xludf.DUMMYFUNCTION("""COMPUTED_VALUE"""),333026456)</f>
        <v>333026456</v>
      </c>
      <c r="F193" s="2" t="str">
        <f ca="1"/>
        <v>0333026456</v>
      </c>
      <c r="G193" s="2" t="str">
        <f ca="1">IFERROR(__xludf.DUMMYFUNCTION("""COMPUTED_VALUE"""),"105635814789")</f>
        <v>105635814789</v>
      </c>
      <c r="I193" s="2" t="str">
        <f ca="1">IFERROR(__xludf.DUMMYFUNCTION("""COMPUTED_VALUE"""),"Cao Đức Phát")</f>
        <v>Cao Đức Phát</v>
      </c>
      <c r="J193" s="3" t="str">
        <f ca="1">IFERROR(__xludf.DUMMYFUNCTION("""COMPUTED_VALUE"""),"0945821132")</f>
        <v>0945821132</v>
      </c>
      <c r="K193" s="2" t="str">
        <f ca="1">IFERROR(__xludf.DUMMYFUNCTION("""COMPUTED_VALUE"""),"1745377822753")</f>
        <v>1745377822753</v>
      </c>
    </row>
    <row r="194" spans="1:11" ht="12.45">
      <c r="A194" s="2" t="str">
        <f ca="1">IFERROR(__xludf.DUMMYFUNCTION("""COMPUTED_VALUE"""),"1745377879517")</f>
        <v>1745377879517</v>
      </c>
      <c r="B194" s="2">
        <f ca="1">IFERROR(__xludf.DUMMYFUNCTION("""COMPUTED_VALUE"""),349543244)</f>
        <v>349543244</v>
      </c>
      <c r="C194" s="2" t="str">
        <f ca="1"/>
        <v>0349543244</v>
      </c>
      <c r="D194" s="2" t="str">
        <f ca="1">IFERROR(__xludf.DUMMYFUNCTION("""COMPUTED_VALUE"""),"1754654185065")</f>
        <v>1754654185065</v>
      </c>
      <c r="E194" s="2">
        <f ca="1">IFERROR(__xludf.DUMMYFUNCTION("""COMPUTED_VALUE"""),378704888)</f>
        <v>378704888</v>
      </c>
      <c r="F194" s="2" t="str">
        <f ca="1"/>
        <v>0378704888</v>
      </c>
      <c r="G194" s="2" t="str">
        <f ca="1">IFERROR(__xludf.DUMMYFUNCTION("""COMPUTED_VALUE"""),"105635814866")</f>
        <v>105635814866</v>
      </c>
      <c r="I194" s="2" t="str">
        <f ca="1">IFERROR(__xludf.DUMMYFUNCTION("""COMPUTED_VALUE"""),"Đỗ Thị Linh")</f>
        <v>Đỗ Thị Linh</v>
      </c>
      <c r="J194" s="3" t="str">
        <f ca="1">IFERROR(__xludf.DUMMYFUNCTION("""COMPUTED_VALUE"""),"0973633464")</f>
        <v>0973633464</v>
      </c>
      <c r="K194" s="2" t="str">
        <f ca="1">IFERROR(__xludf.DUMMYFUNCTION("""COMPUTED_VALUE"""),"1745377879517")</f>
        <v>1745377879517</v>
      </c>
    </row>
    <row r="195" spans="1:11" ht="12.45">
      <c r="A195" s="2" t="str">
        <f ca="1">IFERROR(__xludf.DUMMYFUNCTION("""COMPUTED_VALUE"""),"1745377915888")</f>
        <v>1745377915888</v>
      </c>
      <c r="B195" s="2">
        <f ca="1">IFERROR(__xludf.DUMMYFUNCTION("""COMPUTED_VALUE"""),842003592)</f>
        <v>842003592</v>
      </c>
      <c r="C195" s="2" t="str">
        <f ca="1"/>
        <v>0842003592</v>
      </c>
      <c r="D195" s="2" t="str">
        <f ca="1">IFERROR(__xludf.DUMMYFUNCTION("""COMPUTED_VALUE"""),"1754654211763")</f>
        <v>1754654211763</v>
      </c>
      <c r="E195" s="2">
        <f ca="1">IFERROR(__xludf.DUMMYFUNCTION("""COMPUTED_VALUE"""),901294474)</f>
        <v>901294474</v>
      </c>
      <c r="F195" s="2" t="str">
        <f ca="1"/>
        <v>0901294474</v>
      </c>
      <c r="G195" s="2" t="str">
        <f ca="1">IFERROR(__xludf.DUMMYFUNCTION("""COMPUTED_VALUE"""),"105635814932")</f>
        <v>105635814932</v>
      </c>
      <c r="I195" s="2" t="str">
        <f ca="1">IFERROR(__xludf.DUMMYFUNCTION("""COMPUTED_VALUE"""),"Nguyễn Thị Thu Thảo")</f>
        <v>Nguyễn Thị Thu Thảo</v>
      </c>
      <c r="J195" s="3" t="str">
        <f ca="1">IFERROR(__xludf.DUMMYFUNCTION("""COMPUTED_VALUE"""),"0938025156")</f>
        <v>0938025156</v>
      </c>
      <c r="K195" s="2" t="str">
        <f ca="1">IFERROR(__xludf.DUMMYFUNCTION("""COMPUTED_VALUE"""),"1745377915888")</f>
        <v>1745377915888</v>
      </c>
    </row>
    <row r="196" spans="1:11" ht="12.45">
      <c r="A196" s="2" t="str">
        <f ca="1">IFERROR(__xludf.DUMMYFUNCTION("""COMPUTED_VALUE"""),"1738939999728")</f>
        <v>1738939999728</v>
      </c>
      <c r="B196" s="2">
        <f ca="1">IFERROR(__xludf.DUMMYFUNCTION("""COMPUTED_VALUE"""),977126223)</f>
        <v>977126223</v>
      </c>
      <c r="C196" s="2" t="str">
        <f ca="1"/>
        <v>0977126223</v>
      </c>
      <c r="D196" s="2" t="str">
        <f ca="1">IFERROR(__xludf.DUMMYFUNCTION("""COMPUTED_VALUE"""),"1754654240584")</f>
        <v>1754654240584</v>
      </c>
      <c r="E196" s="2">
        <f ca="1">IFERROR(__xludf.DUMMYFUNCTION("""COMPUTED_VALUE"""),972554116)</f>
        <v>972554116</v>
      </c>
      <c r="F196" s="2" t="str">
        <f ca="1"/>
        <v>0972554116</v>
      </c>
      <c r="G196" s="2" t="str">
        <f ca="1">IFERROR(__xludf.DUMMYFUNCTION("""COMPUTED_VALUE"""),"105635815138")</f>
        <v>105635815138</v>
      </c>
      <c r="I196" s="2" t="str">
        <f ca="1">IFERROR(__xludf.DUMMYFUNCTION("""COMPUTED_VALUE"""),"Nguyễn Thùy Linh")</f>
        <v>Nguyễn Thùy Linh</v>
      </c>
      <c r="J196" s="3" t="str">
        <f ca="1">IFERROR(__xludf.DUMMYFUNCTION("""COMPUTED_VALUE"""),"0829130028")</f>
        <v>0829130028</v>
      </c>
      <c r="K196" s="2" t="str">
        <f ca="1">IFERROR(__xludf.DUMMYFUNCTION("""COMPUTED_VALUE"""),"1738939999728")</f>
        <v>1738939999728</v>
      </c>
    </row>
    <row r="197" spans="1:11" ht="12.45">
      <c r="A197" s="2" t="str">
        <f ca="1">IFERROR(__xludf.DUMMYFUNCTION("""COMPUTED_VALUE"""),"Không giao sách")</f>
        <v>Không giao sách</v>
      </c>
      <c r="B197" s="2">
        <f ca="1">IFERROR(__xludf.DUMMYFUNCTION("""COMPUTED_VALUE"""),357668425)</f>
        <v>357668425</v>
      </c>
      <c r="C197" s="2" t="str">
        <f ca="1"/>
        <v>0357668425</v>
      </c>
      <c r="D197" s="2" t="str">
        <f ca="1">IFERROR(__xludf.DUMMYFUNCTION("""COMPUTED_VALUE"""),"1754654266715")</f>
        <v>1754654266715</v>
      </c>
      <c r="E197" s="2">
        <f ca="1">IFERROR(__xludf.DUMMYFUNCTION("""COMPUTED_VALUE"""),345948350)</f>
        <v>345948350</v>
      </c>
      <c r="F197" s="2" t="str">
        <f ca="1"/>
        <v>0345948350</v>
      </c>
      <c r="G197" s="2" t="str">
        <f ca="1">IFERROR(__xludf.DUMMYFUNCTION("""COMPUTED_VALUE"""),"105635815291")</f>
        <v>105635815291</v>
      </c>
      <c r="I197" s="2" t="str">
        <f ca="1">IFERROR(__xludf.DUMMYFUNCTION("""COMPUTED_VALUE"""),"Nguyễn Ngọc Trâm Anh")</f>
        <v>Nguyễn Ngọc Trâm Anh</v>
      </c>
      <c r="J197" s="3" t="str">
        <f ca="1">IFERROR(__xludf.DUMMYFUNCTION("""COMPUTED_VALUE"""),"0372342628")</f>
        <v>0372342628</v>
      </c>
      <c r="K197" s="2" t="str">
        <f ca="1">IFERROR(__xludf.DUMMYFUNCTION("""COMPUTED_VALUE"""),"Không giao sách")</f>
        <v>Không giao sách</v>
      </c>
    </row>
    <row r="198" spans="1:11" ht="12.45">
      <c r="A198" s="2" t="str">
        <f ca="1">IFERROR(__xludf.DUMMYFUNCTION("""COMPUTED_VALUE"""),"1745377950289")</f>
        <v>1745377950289</v>
      </c>
      <c r="B198" s="2">
        <f ca="1">IFERROR(__xludf.DUMMYFUNCTION("""COMPUTED_VALUE"""),988394654)</f>
        <v>988394654</v>
      </c>
      <c r="C198" s="2" t="str">
        <f ca="1"/>
        <v>0988394654</v>
      </c>
      <c r="D198" s="2" t="str">
        <f ca="1">IFERROR(__xludf.DUMMYFUNCTION("""COMPUTED_VALUE"""),"1754654295564")</f>
        <v>1754654295564</v>
      </c>
      <c r="E198" s="2">
        <f ca="1">IFERROR(__xludf.DUMMYFUNCTION("""COMPUTED_VALUE"""),911504950)</f>
        <v>911504950</v>
      </c>
      <c r="F198" s="2" t="str">
        <f ca="1"/>
        <v>0911504950</v>
      </c>
      <c r="G198" s="2" t="str">
        <f ca="1">IFERROR(__xludf.DUMMYFUNCTION("""COMPUTED_VALUE"""),"105635815366")</f>
        <v>105635815366</v>
      </c>
      <c r="I198" s="2" t="str">
        <f ca="1">IFERROR(__xludf.DUMMYFUNCTION("""COMPUTED_VALUE"""),"Nguyễn Thiên Thư")</f>
        <v>Nguyễn Thiên Thư</v>
      </c>
      <c r="J198" s="3" t="str">
        <f ca="1">IFERROR(__xludf.DUMMYFUNCTION("""COMPUTED_VALUE"""),"0901044007")</f>
        <v>0901044007</v>
      </c>
      <c r="K198" s="2" t="str">
        <f ca="1">IFERROR(__xludf.DUMMYFUNCTION("""COMPUTED_VALUE"""),"1745377950289")</f>
        <v>1745377950289</v>
      </c>
    </row>
    <row r="199" spans="1:11" ht="12.45">
      <c r="A199" s="2" t="str">
        <f ca="1">IFERROR(__xludf.DUMMYFUNCTION("""COMPUTED_VALUE"""),"1745377977504")</f>
        <v>1745377977504</v>
      </c>
      <c r="B199" s="2">
        <f ca="1">IFERROR(__xludf.DUMMYFUNCTION("""COMPUTED_VALUE"""),867963527)</f>
        <v>867963527</v>
      </c>
      <c r="C199" s="2" t="str">
        <f ca="1"/>
        <v>0867963527</v>
      </c>
      <c r="D199" s="2" t="str">
        <f ca="1">IFERROR(__xludf.DUMMYFUNCTION("""COMPUTED_VALUE"""),"1754654360433")</f>
        <v>1754654360433</v>
      </c>
      <c r="E199" s="2">
        <f ca="1">IFERROR(__xludf.DUMMYFUNCTION("""COMPUTED_VALUE"""),868858824)</f>
        <v>868858824</v>
      </c>
      <c r="F199" s="2" t="str">
        <f ca="1"/>
        <v>0868858824</v>
      </c>
      <c r="G199" s="2" t="str">
        <f ca="1">IFERROR(__xludf.DUMMYFUNCTION("""COMPUTED_VALUE"""),"105635815485")</f>
        <v>105635815485</v>
      </c>
      <c r="I199" s="2" t="str">
        <f ca="1">IFERROR(__xludf.DUMMYFUNCTION("""COMPUTED_VALUE"""),"Nguyễn Chí Quang")</f>
        <v>Nguyễn Chí Quang</v>
      </c>
      <c r="J199" s="3" t="str">
        <f ca="1">IFERROR(__xludf.DUMMYFUNCTION("""COMPUTED_VALUE"""),"0858186895")</f>
        <v>0858186895</v>
      </c>
      <c r="K199" s="2" t="str">
        <f ca="1">IFERROR(__xludf.DUMMYFUNCTION("""COMPUTED_VALUE"""),"1745377977504")</f>
        <v>1745377977504</v>
      </c>
    </row>
    <row r="200" spans="1:11" ht="12.45">
      <c r="A200" s="2" t="str">
        <f ca="1">IFERROR(__xludf.DUMMYFUNCTION("""COMPUTED_VALUE"""),"1745378008527")</f>
        <v>1745378008527</v>
      </c>
      <c r="B200" s="2">
        <f ca="1">IFERROR(__xludf.DUMMYFUNCTION("""COMPUTED_VALUE"""),337649776)</f>
        <v>337649776</v>
      </c>
      <c r="C200" s="2" t="str">
        <f ca="1"/>
        <v>0337649776</v>
      </c>
      <c r="D200" s="2" t="str">
        <f ca="1">IFERROR(__xludf.DUMMYFUNCTION("""COMPUTED_VALUE"""),"1760832753227")</f>
        <v>1760832753227</v>
      </c>
      <c r="E200" s="2">
        <f ca="1">IFERROR(__xludf.DUMMYFUNCTION("""COMPUTED_VALUE"""),332675609)</f>
        <v>332675609</v>
      </c>
      <c r="F200" s="2" t="str">
        <f ca="1"/>
        <v>0332675609</v>
      </c>
      <c r="G200" s="2" t="str">
        <f ca="1">IFERROR(__xludf.DUMMYFUNCTION("""COMPUTED_VALUE"""),"105635815581")</f>
        <v>105635815581</v>
      </c>
      <c r="I200" s="2" t="str">
        <f ca="1">IFERROR(__xludf.DUMMYFUNCTION("""COMPUTED_VALUE"""),"Đào Bảo Ngân ")</f>
        <v xml:space="preserve">Đào Bảo Ngân </v>
      </c>
      <c r="J200" s="3" t="str">
        <f ca="1">IFERROR(__xludf.DUMMYFUNCTION("""COMPUTED_VALUE"""),"0372212642")</f>
        <v>0372212642</v>
      </c>
      <c r="K200" s="2" t="str">
        <f ca="1">IFERROR(__xludf.DUMMYFUNCTION("""COMPUTED_VALUE"""),"1745378008527")</f>
        <v>1745378008527</v>
      </c>
    </row>
    <row r="201" spans="1:11" ht="12.45">
      <c r="A201" s="2" t="str">
        <f ca="1">IFERROR(__xludf.DUMMYFUNCTION("""COMPUTED_VALUE"""),"1745378055983")</f>
        <v>1745378055983</v>
      </c>
      <c r="B201" s="2">
        <f ca="1">IFERROR(__xludf.DUMMYFUNCTION("""COMPUTED_VALUE"""),944041785)</f>
        <v>944041785</v>
      </c>
      <c r="C201" s="2" t="str">
        <f ca="1"/>
        <v>0944041785</v>
      </c>
      <c r="D201" s="2" t="str">
        <f ca="1">IFERROR(__xludf.DUMMYFUNCTION("""COMPUTED_VALUE"""),"1754654397556")</f>
        <v>1754654397556</v>
      </c>
      <c r="E201" s="2">
        <f ca="1">IFERROR(__xludf.DUMMYFUNCTION("""COMPUTED_VALUE"""),945833101)</f>
        <v>945833101</v>
      </c>
      <c r="F201" s="2" t="str">
        <f ca="1"/>
        <v>0945833101</v>
      </c>
      <c r="G201" s="2" t="str">
        <f ca="1">IFERROR(__xludf.DUMMYFUNCTION("""COMPUTED_VALUE"""),"105635815672")</f>
        <v>105635815672</v>
      </c>
      <c r="I201" s="2" t="str">
        <f ca="1">IFERROR(__xludf.DUMMYFUNCTION("""COMPUTED_VALUE"""),"Trần Thu Phương")</f>
        <v>Trần Thu Phương</v>
      </c>
      <c r="J201" s="2" t="str">
        <f ca="1">IFERROR(__xludf.DUMMYFUNCTION("""COMPUTED_VALUE"""),"0389410881")</f>
        <v>0389410881</v>
      </c>
      <c r="K201" s="2" t="str">
        <f ca="1">IFERROR(__xludf.DUMMYFUNCTION("""COMPUTED_VALUE"""),"1745378055983")</f>
        <v>1745378055983</v>
      </c>
    </row>
    <row r="202" spans="1:11" ht="12.45">
      <c r="A202" s="2" t="str">
        <f ca="1">IFERROR(__xludf.DUMMYFUNCTION("""COMPUTED_VALUE"""),"1745378091995")</f>
        <v>1745378091995</v>
      </c>
      <c r="B202" s="2">
        <f ca="1">IFERROR(__xludf.DUMMYFUNCTION("""COMPUTED_VALUE"""),898646448)</f>
        <v>898646448</v>
      </c>
      <c r="C202" s="2" t="str">
        <f ca="1"/>
        <v>0898646448</v>
      </c>
      <c r="D202" s="2" t="str">
        <f ca="1">IFERROR(__xludf.DUMMYFUNCTION("""COMPUTED_VALUE"""),"1754654435754")</f>
        <v>1754654435754</v>
      </c>
      <c r="E202" s="2">
        <f ca="1">IFERROR(__xludf.DUMMYFUNCTION("""COMPUTED_VALUE"""),393558626)</f>
        <v>393558626</v>
      </c>
      <c r="F202" s="2" t="str">
        <f ca="1"/>
        <v>0393558626</v>
      </c>
      <c r="G202" s="2" t="str">
        <f ca="1">IFERROR(__xludf.DUMMYFUNCTION("""COMPUTED_VALUE"""),"105635815721")</f>
        <v>105635815721</v>
      </c>
      <c r="I202" s="2" t="str">
        <f ca="1">IFERROR(__xludf.DUMMYFUNCTION("""COMPUTED_VALUE"""),"Trần Quế Ngọc ")</f>
        <v xml:space="preserve">Trần Quế Ngọc </v>
      </c>
      <c r="J202" s="2" t="str">
        <f ca="1">IFERROR(__xludf.DUMMYFUNCTION("""COMPUTED_VALUE"""),"0365075582")</f>
        <v>0365075582</v>
      </c>
      <c r="K202" s="2" t="str">
        <f ca="1">IFERROR(__xludf.DUMMYFUNCTION("""COMPUTED_VALUE"""),"1745378091995")</f>
        <v>1745378091995</v>
      </c>
    </row>
    <row r="203" spans="1:11" ht="12.45">
      <c r="A203" s="2" t="str">
        <f ca="1">IFERROR(__xludf.DUMMYFUNCTION("""COMPUTED_VALUE"""),"1745378123857")</f>
        <v>1745378123857</v>
      </c>
      <c r="B203" s="2">
        <f ca="1">IFERROR(__xludf.DUMMYFUNCTION("""COMPUTED_VALUE"""),345525781)</f>
        <v>345525781</v>
      </c>
      <c r="C203" s="2" t="str">
        <f ca="1"/>
        <v>0345525781</v>
      </c>
      <c r="D203" s="2" t="str">
        <f ca="1">IFERROR(__xludf.DUMMYFUNCTION("""COMPUTED_VALUE"""),"1754654466679")</f>
        <v>1754654466679</v>
      </c>
      <c r="E203" s="2">
        <f ca="1">IFERROR(__xludf.DUMMYFUNCTION("""COMPUTED_VALUE"""),794871706)</f>
        <v>794871706</v>
      </c>
      <c r="F203" s="2" t="str">
        <f ca="1"/>
        <v>0794871706</v>
      </c>
      <c r="G203" s="2" t="str">
        <f ca="1">IFERROR(__xludf.DUMMYFUNCTION("""COMPUTED_VALUE"""),"105635815872")</f>
        <v>105635815872</v>
      </c>
      <c r="I203" s="2" t="str">
        <f ca="1">IFERROR(__xludf.DUMMYFUNCTION("""COMPUTED_VALUE"""),"Nguyễn Thị Thanh Trúc")</f>
        <v>Nguyễn Thị Thanh Trúc</v>
      </c>
      <c r="J203" s="2" t="str">
        <f ca="1">IFERROR(__xludf.DUMMYFUNCTION("""COMPUTED_VALUE"""),"0372759013")</f>
        <v>0372759013</v>
      </c>
      <c r="K203" s="2" t="str">
        <f ca="1">IFERROR(__xludf.DUMMYFUNCTION("""COMPUTED_VALUE"""),"1745378123857")</f>
        <v>1745378123857</v>
      </c>
    </row>
    <row r="204" spans="1:11" ht="12.45">
      <c r="A204" s="2" t="str">
        <f ca="1">IFERROR(__xludf.DUMMYFUNCTION("""COMPUTED_VALUE"""),"1745378152850")</f>
        <v>1745378152850</v>
      </c>
      <c r="B204" s="2">
        <f ca="1">IFERROR(__xludf.DUMMYFUNCTION("""COMPUTED_VALUE"""),335493576)</f>
        <v>335493576</v>
      </c>
      <c r="C204" s="2" t="str">
        <f ca="1"/>
        <v>0335493576</v>
      </c>
      <c r="D204" s="2" t="str">
        <f ca="1">IFERROR(__xludf.DUMMYFUNCTION("""COMPUTED_VALUE"""),"1754654493028")</f>
        <v>1754654493028</v>
      </c>
      <c r="E204" s="2">
        <f ca="1">IFERROR(__xludf.DUMMYFUNCTION("""COMPUTED_VALUE"""),966112234)</f>
        <v>966112234</v>
      </c>
      <c r="F204" s="2" t="str">
        <f ca="1"/>
        <v>0966112234</v>
      </c>
      <c r="G204" s="2" t="str">
        <f ca="1">IFERROR(__xludf.DUMMYFUNCTION("""COMPUTED_VALUE"""),"105635816049")</f>
        <v>105635816049</v>
      </c>
      <c r="I204" s="2" t="str">
        <f ca="1">IFERROR(__xludf.DUMMYFUNCTION("""COMPUTED_VALUE"""),"Nguyễn Thị Thu Hương")</f>
        <v>Nguyễn Thị Thu Hương</v>
      </c>
      <c r="J204" s="2" t="str">
        <f ca="1">IFERROR(__xludf.DUMMYFUNCTION("""COMPUTED_VALUE"""),"0961073416")</f>
        <v>0961073416</v>
      </c>
      <c r="K204" s="2" t="str">
        <f ca="1">IFERROR(__xludf.DUMMYFUNCTION("""COMPUTED_VALUE"""),"1745378152850")</f>
        <v>1745378152850</v>
      </c>
    </row>
    <row r="205" spans="1:11" ht="12.45">
      <c r="A205" s="2" t="str">
        <f ca="1">IFERROR(__xludf.DUMMYFUNCTION("""COMPUTED_VALUE"""),"1745378177225")</f>
        <v>1745378177225</v>
      </c>
      <c r="B205" s="2">
        <f ca="1">IFERROR(__xludf.DUMMYFUNCTION("""COMPUTED_VALUE"""),983761701)</f>
        <v>983761701</v>
      </c>
      <c r="C205" s="2" t="str">
        <f ca="1"/>
        <v>0983761701</v>
      </c>
      <c r="D205" s="2" t="str">
        <f ca="1">IFERROR(__xludf.DUMMYFUNCTION("""COMPUTED_VALUE"""),"1754654519681")</f>
        <v>1754654519681</v>
      </c>
      <c r="E205" s="2">
        <f ca="1">IFERROR(__xludf.DUMMYFUNCTION("""COMPUTED_VALUE"""),376156906)</f>
        <v>376156906</v>
      </c>
      <c r="F205" s="2" t="str">
        <f ca="1"/>
        <v>0376156906</v>
      </c>
      <c r="G205" s="2" t="str">
        <f ca="1">IFERROR(__xludf.DUMMYFUNCTION("""COMPUTED_VALUE"""),"105635816182")</f>
        <v>105635816182</v>
      </c>
      <c r="I205" s="2" t="str">
        <f ca="1">IFERROR(__xludf.DUMMYFUNCTION("""COMPUTED_VALUE"""),"Đỗ Nguyễn Như Anh")</f>
        <v>Đỗ Nguyễn Như Anh</v>
      </c>
      <c r="J205" s="2" t="str">
        <f ca="1">IFERROR(__xludf.DUMMYFUNCTION("""COMPUTED_VALUE"""),"0399802019")</f>
        <v>0399802019</v>
      </c>
      <c r="K205" s="2" t="str">
        <f ca="1">IFERROR(__xludf.DUMMYFUNCTION("""COMPUTED_VALUE"""),"1745378177225")</f>
        <v>1745378177225</v>
      </c>
    </row>
    <row r="206" spans="1:11" ht="12.45">
      <c r="A206" s="2" t="str">
        <f ca="1">IFERROR(__xludf.DUMMYFUNCTION("""COMPUTED_VALUE"""),"1745378205805")</f>
        <v>1745378205805</v>
      </c>
      <c r="B206" s="2">
        <f ca="1">IFERROR(__xludf.DUMMYFUNCTION("""COMPUTED_VALUE"""),978748196)</f>
        <v>978748196</v>
      </c>
      <c r="C206" s="2" t="str">
        <f ca="1"/>
        <v>0978748196</v>
      </c>
      <c r="D206" s="2" t="str">
        <f ca="1">IFERROR(__xludf.DUMMYFUNCTION("""COMPUTED_VALUE"""),"1754654544447")</f>
        <v>1754654544447</v>
      </c>
      <c r="E206" s="2">
        <f ca="1">IFERROR(__xludf.DUMMYFUNCTION("""COMPUTED_VALUE"""),985274033)</f>
        <v>985274033</v>
      </c>
      <c r="F206" s="2" t="str">
        <f ca="1"/>
        <v>0985274033</v>
      </c>
      <c r="G206" s="2" t="str">
        <f ca="1">IFERROR(__xludf.DUMMYFUNCTION("""COMPUTED_VALUE"""),"105635816340")</f>
        <v>105635816340</v>
      </c>
      <c r="I206" s="2" t="str">
        <f ca="1">IFERROR(__xludf.DUMMYFUNCTION("""COMPUTED_VALUE"""),"Trần Anh Vũ ")</f>
        <v xml:space="preserve">Trần Anh Vũ </v>
      </c>
      <c r="J206" s="2" t="str">
        <f ca="1">IFERROR(__xludf.DUMMYFUNCTION("""COMPUTED_VALUE"""),"0378940401")</f>
        <v>0378940401</v>
      </c>
      <c r="K206" s="2" t="str">
        <f ca="1">IFERROR(__xludf.DUMMYFUNCTION("""COMPUTED_VALUE"""),"1745378205805")</f>
        <v>1745378205805</v>
      </c>
    </row>
    <row r="207" spans="1:11" ht="12.45">
      <c r="A207" s="2" t="str">
        <f ca="1">IFERROR(__xludf.DUMMYFUNCTION("""COMPUTED_VALUE"""),"1745378245325")</f>
        <v>1745378245325</v>
      </c>
      <c r="B207" s="2">
        <f ca="1">IFERROR(__xludf.DUMMYFUNCTION("""COMPUTED_VALUE"""),367067054)</f>
        <v>367067054</v>
      </c>
      <c r="C207" s="2" t="str">
        <f ca="1"/>
        <v>0367067054</v>
      </c>
      <c r="D207" s="2" t="str">
        <f ca="1">IFERROR(__xludf.DUMMYFUNCTION("""COMPUTED_VALUE"""),"1754654583070")</f>
        <v>1754654583070</v>
      </c>
      <c r="E207" s="2">
        <f ca="1">IFERROR(__xludf.DUMMYFUNCTION("""COMPUTED_VALUE"""),941577455)</f>
        <v>941577455</v>
      </c>
      <c r="F207" s="2" t="str">
        <f ca="1"/>
        <v>0941577455</v>
      </c>
      <c r="G207" s="2" t="str">
        <f ca="1">IFERROR(__xludf.DUMMYFUNCTION("""COMPUTED_VALUE"""),"105635816476")</f>
        <v>105635816476</v>
      </c>
      <c r="I207" s="2" t="str">
        <f ca="1">IFERROR(__xludf.DUMMYFUNCTION("""COMPUTED_VALUE"""),"Nguyễn Thị lan anh ")</f>
        <v xml:space="preserve">Nguyễn Thị lan anh </v>
      </c>
      <c r="J207" s="2" t="str">
        <f ca="1">IFERROR(__xludf.DUMMYFUNCTION("""COMPUTED_VALUE"""),"0866041255")</f>
        <v>0866041255</v>
      </c>
      <c r="K207" s="2" t="str">
        <f ca="1">IFERROR(__xludf.DUMMYFUNCTION("""COMPUTED_VALUE"""),"1745378245325")</f>
        <v>1745378245325</v>
      </c>
    </row>
    <row r="208" spans="1:11" ht="12.45">
      <c r="A208" s="2" t="str">
        <f ca="1">IFERROR(__xludf.DUMMYFUNCTION("""COMPUTED_VALUE"""),"1745378275373")</f>
        <v>1745378275373</v>
      </c>
      <c r="B208" s="2">
        <f ca="1">IFERROR(__xludf.DUMMYFUNCTION("""COMPUTED_VALUE"""),971003651)</f>
        <v>971003651</v>
      </c>
      <c r="C208" s="2" t="str">
        <f ca="1"/>
        <v>0971003651</v>
      </c>
      <c r="D208" s="2" t="str">
        <f ca="1">IFERROR(__xludf.DUMMYFUNCTION("""COMPUTED_VALUE"""),"1754654618161")</f>
        <v>1754654618161</v>
      </c>
      <c r="E208" s="2">
        <f ca="1">IFERROR(__xludf.DUMMYFUNCTION("""COMPUTED_VALUE"""),348739663)</f>
        <v>348739663</v>
      </c>
      <c r="F208" s="2" t="str">
        <f ca="1"/>
        <v>0348739663</v>
      </c>
      <c r="G208" s="2" t="str">
        <f ca="1">IFERROR(__xludf.DUMMYFUNCTION("""COMPUTED_VALUE"""),"105635816536")</f>
        <v>105635816536</v>
      </c>
      <c r="I208" s="2" t="str">
        <f ca="1">IFERROR(__xludf.DUMMYFUNCTION("""COMPUTED_VALUE"""),"Võ Anh Tuyên")</f>
        <v>Võ Anh Tuyên</v>
      </c>
      <c r="J208" s="2" t="str">
        <f ca="1">IFERROR(__xludf.DUMMYFUNCTION("""COMPUTED_VALUE"""),"0763297023")</f>
        <v>0763297023</v>
      </c>
      <c r="K208" s="2" t="str">
        <f ca="1">IFERROR(__xludf.DUMMYFUNCTION("""COMPUTED_VALUE"""),"1745378275373")</f>
        <v>1745378275373</v>
      </c>
    </row>
    <row r="209" spans="1:11" ht="12.45">
      <c r="A209" s="2" t="str">
        <f ca="1">IFERROR(__xludf.DUMMYFUNCTION("""COMPUTED_VALUE"""),"1745378302428")</f>
        <v>1745378302428</v>
      </c>
      <c r="B209" s="2">
        <f ca="1">IFERROR(__xludf.DUMMYFUNCTION("""COMPUTED_VALUE"""),842341919)</f>
        <v>842341919</v>
      </c>
      <c r="C209" s="2" t="str">
        <f ca="1"/>
        <v>0842341919</v>
      </c>
      <c r="D209" s="2" t="str">
        <f ca="1">IFERROR(__xludf.DUMMYFUNCTION("""COMPUTED_VALUE"""),"1754654661423")</f>
        <v>1754654661423</v>
      </c>
      <c r="E209" s="2">
        <f ca="1">IFERROR(__xludf.DUMMYFUNCTION("""COMPUTED_VALUE"""),347062046)</f>
        <v>347062046</v>
      </c>
      <c r="F209" s="2" t="str">
        <f ca="1"/>
        <v>0347062046</v>
      </c>
      <c r="G209" s="2" t="str">
        <f ca="1">IFERROR(__xludf.DUMMYFUNCTION("""COMPUTED_VALUE"""),"105634648196")</f>
        <v>105634648196</v>
      </c>
      <c r="I209" s="2" t="str">
        <f ca="1">IFERROR(__xludf.DUMMYFUNCTION("""COMPUTED_VALUE"""),"Nguyễn Thị Tâm")</f>
        <v>Nguyễn Thị Tâm</v>
      </c>
      <c r="J209" s="2" t="str">
        <f ca="1">IFERROR(__xludf.DUMMYFUNCTION("""COMPUTED_VALUE"""),"0334285122")</f>
        <v>0334285122</v>
      </c>
      <c r="K209" s="2" t="str">
        <f ca="1">IFERROR(__xludf.DUMMYFUNCTION("""COMPUTED_VALUE"""),"1745378302428")</f>
        <v>1745378302428</v>
      </c>
    </row>
    <row r="210" spans="1:11" ht="12.45">
      <c r="A210" s="2" t="str">
        <f ca="1">IFERROR(__xludf.DUMMYFUNCTION("""COMPUTED_VALUE"""),"1745378332139")</f>
        <v>1745378332139</v>
      </c>
      <c r="B210" s="2">
        <f ca="1">IFERROR(__xludf.DUMMYFUNCTION("""COMPUTED_VALUE"""),335770027)</f>
        <v>335770027</v>
      </c>
      <c r="C210" s="2" t="str">
        <f ca="1"/>
        <v>0335770027</v>
      </c>
      <c r="D210" s="2" t="str">
        <f ca="1">IFERROR(__xludf.DUMMYFUNCTION("""COMPUTED_VALUE"""),"1755580923610")</f>
        <v>1755580923610</v>
      </c>
      <c r="E210" s="2">
        <f ca="1">IFERROR(__xludf.DUMMYFUNCTION("""COMPUTED_VALUE"""),369674876)</f>
        <v>369674876</v>
      </c>
      <c r="F210" s="2" t="str">
        <f ca="1"/>
        <v>0369674876</v>
      </c>
      <c r="G210" s="2" t="str">
        <f ca="1">IFERROR(__xludf.DUMMYFUNCTION("""COMPUTED_VALUE"""),"105634648249")</f>
        <v>105634648249</v>
      </c>
      <c r="I210" s="2" t="str">
        <f ca="1">IFERROR(__xludf.DUMMYFUNCTION("""COMPUTED_VALUE"""),"Nguyễn Ly Na")</f>
        <v>Nguyễn Ly Na</v>
      </c>
      <c r="J210" s="2" t="str">
        <f ca="1">IFERROR(__xludf.DUMMYFUNCTION("""COMPUTED_VALUE"""),"0789496952")</f>
        <v>0789496952</v>
      </c>
      <c r="K210" s="2" t="str">
        <f ca="1">IFERROR(__xludf.DUMMYFUNCTION("""COMPUTED_VALUE"""),"1745378332139")</f>
        <v>1745378332139</v>
      </c>
    </row>
    <row r="211" spans="1:11" ht="12.45">
      <c r="A211" s="2" t="str">
        <f ca="1">IFERROR(__xludf.DUMMYFUNCTION("""COMPUTED_VALUE"""),"1745378369359")</f>
        <v>1745378369359</v>
      </c>
      <c r="B211" s="2">
        <f ca="1">IFERROR(__xludf.DUMMYFUNCTION("""COMPUTED_VALUE"""),862331912)</f>
        <v>862331912</v>
      </c>
      <c r="C211" s="2" t="str">
        <f ca="1"/>
        <v>0862331912</v>
      </c>
      <c r="D211" s="2" t="str">
        <f ca="1">IFERROR(__xludf.DUMMYFUNCTION("""COMPUTED_VALUE"""),"1755580957949")</f>
        <v>1755580957949</v>
      </c>
      <c r="E211" s="2">
        <f ca="1">IFERROR(__xludf.DUMMYFUNCTION("""COMPUTED_VALUE"""),815807715)</f>
        <v>815807715</v>
      </c>
      <c r="F211" s="2" t="str">
        <f ca="1"/>
        <v>0815807715</v>
      </c>
      <c r="G211" s="2" t="str">
        <f ca="1">IFERROR(__xludf.DUMMYFUNCTION("""COMPUTED_VALUE"""),"105634648385")</f>
        <v>105634648385</v>
      </c>
      <c r="I211" s="2" t="str">
        <f ca="1">IFERROR(__xludf.DUMMYFUNCTION("""COMPUTED_VALUE"""),"Phùng Phương Thảo")</f>
        <v>Phùng Phương Thảo</v>
      </c>
      <c r="J211" s="2" t="str">
        <f ca="1">IFERROR(__xludf.DUMMYFUNCTION("""COMPUTED_VALUE"""),"0365892656")</f>
        <v>0365892656</v>
      </c>
      <c r="K211" s="2" t="str">
        <f ca="1">IFERROR(__xludf.DUMMYFUNCTION("""COMPUTED_VALUE"""),"1745378369359")</f>
        <v>1745378369359</v>
      </c>
    </row>
    <row r="212" spans="1:11" ht="12.45">
      <c r="A212" s="2" t="str">
        <f ca="1">IFERROR(__xludf.DUMMYFUNCTION("""COMPUTED_VALUE"""),"1745378402015")</f>
        <v>1745378402015</v>
      </c>
      <c r="B212" s="2">
        <f ca="1">IFERROR(__xludf.DUMMYFUNCTION("""COMPUTED_VALUE"""),346230025)</f>
        <v>346230025</v>
      </c>
      <c r="C212" s="2" t="str">
        <f ca="1"/>
        <v>0346230025</v>
      </c>
      <c r="D212" s="2" t="str">
        <f ca="1">IFERROR(__xludf.DUMMYFUNCTION("""COMPUTED_VALUE"""),"1755580998242")</f>
        <v>1755580998242</v>
      </c>
      <c r="E212" s="2">
        <f ca="1">IFERROR(__xludf.DUMMYFUNCTION("""COMPUTED_VALUE"""),869069680)</f>
        <v>869069680</v>
      </c>
      <c r="F212" s="2" t="str">
        <f ca="1"/>
        <v>0869069680</v>
      </c>
      <c r="G212" s="2" t="str">
        <f ca="1">IFERROR(__xludf.DUMMYFUNCTION("""COMPUTED_VALUE"""),"105634648435")</f>
        <v>105634648435</v>
      </c>
      <c r="I212" s="2" t="str">
        <f ca="1">IFERROR(__xludf.DUMMYFUNCTION("""COMPUTED_VALUE"""),"Lương Nam Duyên")</f>
        <v>Lương Nam Duyên</v>
      </c>
      <c r="J212" s="2" t="str">
        <f ca="1">IFERROR(__xludf.DUMMYFUNCTION("""COMPUTED_VALUE"""),"0899855860")</f>
        <v>0899855860</v>
      </c>
      <c r="K212" s="2" t="str">
        <f ca="1">IFERROR(__xludf.DUMMYFUNCTION("""COMPUTED_VALUE"""),"1745378402015")</f>
        <v>1745378402015</v>
      </c>
    </row>
    <row r="213" spans="1:11" ht="12.45">
      <c r="A213" s="2" t="str">
        <f ca="1">IFERROR(__xludf.DUMMYFUNCTION("""COMPUTED_VALUE"""),"1745378432869")</f>
        <v>1745378432869</v>
      </c>
      <c r="B213" s="2">
        <f ca="1">IFERROR(__xludf.DUMMYFUNCTION("""COMPUTED_VALUE"""),355234874)</f>
        <v>355234874</v>
      </c>
      <c r="C213" s="2" t="str">
        <f ca="1"/>
        <v>0355234874</v>
      </c>
      <c r="D213" s="2" t="str">
        <f ca="1">IFERROR(__xludf.DUMMYFUNCTION("""COMPUTED_VALUE"""),"1755581039982")</f>
        <v>1755581039982</v>
      </c>
      <c r="E213" s="3" t="str">
        <f ca="1">IFERROR(__xludf.DUMMYFUNCTION("""COMPUTED_VALUE"""),"388163585")</f>
        <v>388163585</v>
      </c>
      <c r="F213" s="2" t="str">
        <f ca="1"/>
        <v>0388163585</v>
      </c>
      <c r="G213" s="2" t="str">
        <f ca="1">IFERROR(__xludf.DUMMYFUNCTION("""COMPUTED_VALUE"""),"105634648553")</f>
        <v>105634648553</v>
      </c>
      <c r="I213" s="2" t="str">
        <f ca="1">IFERROR(__xludf.DUMMYFUNCTION("""COMPUTED_VALUE"""),"Dương Quỳnh Anh")</f>
        <v>Dương Quỳnh Anh</v>
      </c>
      <c r="J213" s="2" t="str">
        <f ca="1">IFERROR(__xludf.DUMMYFUNCTION("""COMPUTED_VALUE"""),"0362068248")</f>
        <v>0362068248</v>
      </c>
      <c r="K213" s="2" t="str">
        <f ca="1">IFERROR(__xludf.DUMMYFUNCTION("""COMPUTED_VALUE"""),"1745378432869")</f>
        <v>1745378432869</v>
      </c>
    </row>
    <row r="214" spans="1:11" ht="12.45">
      <c r="A214" s="2" t="str">
        <f ca="1">IFERROR(__xludf.DUMMYFUNCTION("""COMPUTED_VALUE"""),"1745378461653")</f>
        <v>1745378461653</v>
      </c>
      <c r="B214" s="2">
        <f ca="1">IFERROR(__xludf.DUMMYFUNCTION("""COMPUTED_VALUE"""),357346693)</f>
        <v>357346693</v>
      </c>
      <c r="C214" s="2" t="str">
        <f ca="1"/>
        <v>0357346693</v>
      </c>
      <c r="D214" s="2" t="str">
        <f ca="1">IFERROR(__xludf.DUMMYFUNCTION("""COMPUTED_VALUE"""),"1755581077783")</f>
        <v>1755581077783</v>
      </c>
      <c r="E214" s="2">
        <f ca="1">IFERROR(__xludf.DUMMYFUNCTION("""COMPUTED_VALUE"""),877912080)</f>
        <v>877912080</v>
      </c>
      <c r="F214" s="2" t="str">
        <f ca="1"/>
        <v>0877912080</v>
      </c>
      <c r="G214" s="2" t="str">
        <f ca="1">IFERROR(__xludf.DUMMYFUNCTION("""COMPUTED_VALUE"""),"105634648749")</f>
        <v>105634648749</v>
      </c>
      <c r="I214" s="2" t="str">
        <f ca="1">IFERROR(__xludf.DUMMYFUNCTION("""COMPUTED_VALUE"""),"phạm thị ngọc bích")</f>
        <v>phạm thị ngọc bích</v>
      </c>
      <c r="J214" s="2" t="str">
        <f ca="1">IFERROR(__xludf.DUMMYFUNCTION("""COMPUTED_VALUE"""),"0326065057")</f>
        <v>0326065057</v>
      </c>
      <c r="K214" s="2" t="str">
        <f ca="1">IFERROR(__xludf.DUMMYFUNCTION("""COMPUTED_VALUE"""),"1745378461653")</f>
        <v>1745378461653</v>
      </c>
    </row>
    <row r="215" spans="1:11" ht="12.45">
      <c r="A215" s="2" t="str">
        <f ca="1">IFERROR(__xludf.DUMMYFUNCTION("""COMPUTED_VALUE"""),"1746012800456")</f>
        <v>1746012800456</v>
      </c>
      <c r="B215" s="2">
        <f ca="1">IFERROR(__xludf.DUMMYFUNCTION("""COMPUTED_VALUE"""),932542898)</f>
        <v>932542898</v>
      </c>
      <c r="C215" s="2" t="str">
        <f ca="1"/>
        <v>0932542898</v>
      </c>
      <c r="D215" s="2" t="str">
        <f ca="1">IFERROR(__xludf.DUMMYFUNCTION("""COMPUTED_VALUE"""),"1755581111804")</f>
        <v>1755581111804</v>
      </c>
      <c r="E215" s="2">
        <f ca="1">IFERROR(__xludf.DUMMYFUNCTION("""COMPUTED_VALUE"""),865987856)</f>
        <v>865987856</v>
      </c>
      <c r="F215" s="2" t="str">
        <f ca="1"/>
        <v>0865987856</v>
      </c>
      <c r="G215" s="2" t="str">
        <f ca="1">IFERROR(__xludf.DUMMYFUNCTION("""COMPUTED_VALUE"""),"105634648917")</f>
        <v>105634648917</v>
      </c>
      <c r="I215" s="2" t="str">
        <f ca="1">IFERROR(__xludf.DUMMYFUNCTION("""COMPUTED_VALUE"""),"Phạm Ngọc Phúc")</f>
        <v>Phạm Ngọc Phúc</v>
      </c>
      <c r="J215" s="2" t="str">
        <f ca="1">IFERROR(__xludf.DUMMYFUNCTION("""COMPUTED_VALUE"""),"0343496938")</f>
        <v>0343496938</v>
      </c>
      <c r="K215" s="2" t="str">
        <f ca="1">IFERROR(__xludf.DUMMYFUNCTION("""COMPUTED_VALUE"""),"1746012800456")</f>
        <v>1746012800456</v>
      </c>
    </row>
    <row r="216" spans="1:11" ht="12.45">
      <c r="A216" s="2" t="str">
        <f ca="1">IFERROR(__xludf.DUMMYFUNCTION("""COMPUTED_VALUE"""),"1746012874504")</f>
        <v>1746012874504</v>
      </c>
      <c r="B216" s="2">
        <f ca="1">IFERROR(__xludf.DUMMYFUNCTION("""COMPUTED_VALUE"""),833085967)</f>
        <v>833085967</v>
      </c>
      <c r="C216" s="2" t="str">
        <f ca="1"/>
        <v>0833085967</v>
      </c>
      <c r="D216" s="2" t="str">
        <f ca="1">IFERROR(__xludf.DUMMYFUNCTION("""COMPUTED_VALUE"""),"1755581141209")</f>
        <v>1755581141209</v>
      </c>
      <c r="E216" s="2">
        <f ca="1">IFERROR(__xludf.DUMMYFUNCTION("""COMPUTED_VALUE"""),395222799)</f>
        <v>395222799</v>
      </c>
      <c r="F216" s="2" t="str">
        <f ca="1"/>
        <v>0395222799</v>
      </c>
      <c r="G216" s="2" t="str">
        <f ca="1">IFERROR(__xludf.DUMMYFUNCTION("""COMPUTED_VALUE"""),"105634649126")</f>
        <v>105634649126</v>
      </c>
      <c r="I216" s="2" t="str">
        <f ca="1">IFERROR(__xludf.DUMMYFUNCTION("""COMPUTED_VALUE"""),"Trần Ngọc Linh")</f>
        <v>Trần Ngọc Linh</v>
      </c>
      <c r="J216" s="2" t="str">
        <f ca="1">IFERROR(__xludf.DUMMYFUNCTION("""COMPUTED_VALUE"""),"0965769125")</f>
        <v>0965769125</v>
      </c>
      <c r="K216" s="2" t="str">
        <f ca="1">IFERROR(__xludf.DUMMYFUNCTION("""COMPUTED_VALUE"""),"1746012874504")</f>
        <v>1746012874504</v>
      </c>
    </row>
    <row r="217" spans="1:11" ht="12.45">
      <c r="A217" s="2" t="str">
        <f ca="1">IFERROR(__xludf.DUMMYFUNCTION("""COMPUTED_VALUE"""),"1746012915245")</f>
        <v>1746012915245</v>
      </c>
      <c r="B217" s="2">
        <f ca="1">IFERROR(__xludf.DUMMYFUNCTION("""COMPUTED_VALUE"""),375060029)</f>
        <v>375060029</v>
      </c>
      <c r="C217" s="2" t="str">
        <f ca="1"/>
        <v>0375060029</v>
      </c>
      <c r="D217" s="2" t="str">
        <f ca="1">IFERROR(__xludf.DUMMYFUNCTION("""COMPUTED_VALUE"""),"1755581175748")</f>
        <v>1755581175748</v>
      </c>
      <c r="E217" s="2">
        <f ca="1">IFERROR(__xludf.DUMMYFUNCTION("""COMPUTED_VALUE"""),975959032)</f>
        <v>975959032</v>
      </c>
      <c r="F217" s="2" t="str">
        <f ca="1"/>
        <v>0975959032</v>
      </c>
      <c r="G217" s="2" t="str">
        <f ca="1">IFERROR(__xludf.DUMMYFUNCTION("""COMPUTED_VALUE"""),"105634649293")</f>
        <v>105634649293</v>
      </c>
      <c r="I217" s="2" t="str">
        <f ca="1">IFERROR(__xludf.DUMMYFUNCTION("""COMPUTED_VALUE"""),"Mã Hoàng Mai ")</f>
        <v xml:space="preserve">Mã Hoàng Mai </v>
      </c>
      <c r="J217" s="2" t="str">
        <f ca="1">IFERROR(__xludf.DUMMYFUNCTION("""COMPUTED_VALUE"""),"0822901939")</f>
        <v>0822901939</v>
      </c>
      <c r="K217" s="2" t="str">
        <f ca="1">IFERROR(__xludf.DUMMYFUNCTION("""COMPUTED_VALUE"""),"1746012915245")</f>
        <v>1746012915245</v>
      </c>
    </row>
    <row r="218" spans="1:11" ht="12.45">
      <c r="A218" s="2" t="str">
        <f ca="1">IFERROR(__xludf.DUMMYFUNCTION("""COMPUTED_VALUE"""),"1746012945415")</f>
        <v>1746012945415</v>
      </c>
      <c r="B218" s="2">
        <f ca="1">IFERROR(__xludf.DUMMYFUNCTION("""COMPUTED_VALUE"""),983650729)</f>
        <v>983650729</v>
      </c>
      <c r="C218" s="2" t="str">
        <f ca="1"/>
        <v>0983650729</v>
      </c>
      <c r="D218" s="2" t="str">
        <f ca="1">IFERROR(__xludf.DUMMYFUNCTION("""COMPUTED_VALUE"""),"1755581212022")</f>
        <v>1755581212022</v>
      </c>
      <c r="E218" s="2">
        <f ca="1">IFERROR(__xludf.DUMMYFUNCTION("""COMPUTED_VALUE"""),942676006)</f>
        <v>942676006</v>
      </c>
      <c r="F218" s="2" t="str">
        <f ca="1"/>
        <v>0942676006</v>
      </c>
      <c r="G218" s="2" t="str">
        <f ca="1">IFERROR(__xludf.DUMMYFUNCTION("""COMPUTED_VALUE"""),"105634649398")</f>
        <v>105634649398</v>
      </c>
      <c r="I218" s="2" t="str">
        <f ca="1">IFERROR(__xludf.DUMMYFUNCTION("""COMPUTED_VALUE"""),"Hoàng Mai Hương")</f>
        <v>Hoàng Mai Hương</v>
      </c>
      <c r="J218" s="2" t="str">
        <f ca="1">IFERROR(__xludf.DUMMYFUNCTION("""COMPUTED_VALUE"""),"0862582930")</f>
        <v>0862582930</v>
      </c>
      <c r="K218" s="2" t="str">
        <f ca="1">IFERROR(__xludf.DUMMYFUNCTION("""COMPUTED_VALUE"""),"1746012945415")</f>
        <v>1746012945415</v>
      </c>
    </row>
    <row r="219" spans="1:11" ht="12.45">
      <c r="A219" s="2" t="str">
        <f ca="1">IFERROR(__xludf.DUMMYFUNCTION("""COMPUTED_VALUE"""),"1746012988379")</f>
        <v>1746012988379</v>
      </c>
      <c r="B219" s="2">
        <f ca="1">IFERROR(__xludf.DUMMYFUNCTION("""COMPUTED_VALUE"""),373234320)</f>
        <v>373234320</v>
      </c>
      <c r="C219" s="2" t="str">
        <f ca="1"/>
        <v>0373234320</v>
      </c>
      <c r="D219" s="2" t="str">
        <f ca="1">IFERROR(__xludf.DUMMYFUNCTION("""COMPUTED_VALUE"""),"1755581249756")</f>
        <v>1755581249756</v>
      </c>
      <c r="E219" s="2">
        <f ca="1">IFERROR(__xludf.DUMMYFUNCTION("""COMPUTED_VALUE"""),357668425)</f>
        <v>357668425</v>
      </c>
      <c r="F219" s="2" t="str">
        <f ca="1"/>
        <v>0357668425</v>
      </c>
      <c r="G219" s="2" t="str">
        <f ca="1">IFERROR(__xludf.DUMMYFUNCTION("""COMPUTED_VALUE"""),"105634649540")</f>
        <v>105634649540</v>
      </c>
      <c r="I219" s="2" t="str">
        <f ca="1">IFERROR(__xludf.DUMMYFUNCTION("""COMPUTED_VALUE"""),"Lê Thị Như Ý")</f>
        <v>Lê Thị Như Ý</v>
      </c>
      <c r="J219" s="2" t="str">
        <f ca="1">IFERROR(__xludf.DUMMYFUNCTION("""COMPUTED_VALUE"""),"0338717467")</f>
        <v>0338717467</v>
      </c>
      <c r="K219" s="2" t="str">
        <f ca="1">IFERROR(__xludf.DUMMYFUNCTION("""COMPUTED_VALUE"""),"1746012988379")</f>
        <v>1746012988379</v>
      </c>
    </row>
    <row r="220" spans="1:11" ht="12.45">
      <c r="A220" s="2" t="str">
        <f ca="1">IFERROR(__xludf.DUMMYFUNCTION("""COMPUTED_VALUE"""),"1746013035438")</f>
        <v>1746013035438</v>
      </c>
      <c r="B220" s="2">
        <f ca="1">IFERROR(__xludf.DUMMYFUNCTION("""COMPUTED_VALUE"""),399891695)</f>
        <v>399891695</v>
      </c>
      <c r="C220" s="2" t="str">
        <f ca="1"/>
        <v>0399891695</v>
      </c>
      <c r="D220" s="2" t="str">
        <f ca="1">IFERROR(__xludf.DUMMYFUNCTION("""COMPUTED_VALUE"""),"1760832801189")</f>
        <v>1760832801189</v>
      </c>
      <c r="E220" s="2">
        <f ca="1">IFERROR(__xludf.DUMMYFUNCTION("""COMPUTED_VALUE"""),325078169)</f>
        <v>325078169</v>
      </c>
      <c r="F220" s="2" t="str">
        <f ca="1"/>
        <v>0325078169</v>
      </c>
      <c r="G220" s="2" t="str">
        <f ca="1">IFERROR(__xludf.DUMMYFUNCTION("""COMPUTED_VALUE"""),"105634649732")</f>
        <v>105634649732</v>
      </c>
      <c r="I220" s="2" t="str">
        <f ca="1">IFERROR(__xludf.DUMMYFUNCTION("""COMPUTED_VALUE"""),"Lư Huỳnh Trâm Anh")</f>
        <v>Lư Huỳnh Trâm Anh</v>
      </c>
      <c r="J220" s="2" t="str">
        <f ca="1">IFERROR(__xludf.DUMMYFUNCTION("""COMPUTED_VALUE"""),"0329943712")</f>
        <v>0329943712</v>
      </c>
      <c r="K220" s="2" t="str">
        <f ca="1">IFERROR(__xludf.DUMMYFUNCTION("""COMPUTED_VALUE"""),"1746013035438")</f>
        <v>1746013035438</v>
      </c>
    </row>
    <row r="221" spans="1:11" ht="12.45">
      <c r="A221" s="2" t="str">
        <f ca="1">IFERROR(__xludf.DUMMYFUNCTION("""COMPUTED_VALUE"""),"1746013085857")</f>
        <v>1746013085857</v>
      </c>
      <c r="B221" s="2">
        <f ca="1">IFERROR(__xludf.DUMMYFUNCTION("""COMPUTED_VALUE"""),393969600)</f>
        <v>393969600</v>
      </c>
      <c r="C221" s="2" t="str">
        <f ca="1"/>
        <v>0393969600</v>
      </c>
      <c r="D221" s="2" t="str">
        <f ca="1">IFERROR(__xludf.DUMMYFUNCTION("""COMPUTED_VALUE"""),"1755581332644")</f>
        <v>1755581332644</v>
      </c>
      <c r="E221" s="2">
        <f ca="1">IFERROR(__xludf.DUMMYFUNCTION("""COMPUTED_VALUE"""),348340240)</f>
        <v>348340240</v>
      </c>
      <c r="F221" s="2" t="str">
        <f ca="1"/>
        <v>0348340240</v>
      </c>
      <c r="G221" s="2" t="str">
        <f ca="1">IFERROR(__xludf.DUMMYFUNCTION("""COMPUTED_VALUE"""),"105634650040")</f>
        <v>105634650040</v>
      </c>
      <c r="I221" s="2" t="str">
        <f ca="1">IFERROR(__xludf.DUMMYFUNCTION("""COMPUTED_VALUE"""),"Nguyễn Thị Ngọc Ánh ")</f>
        <v xml:space="preserve">Nguyễn Thị Ngọc Ánh </v>
      </c>
      <c r="J221" s="2" t="str">
        <f ca="1">IFERROR(__xludf.DUMMYFUNCTION("""COMPUTED_VALUE"""),"0348239113")</f>
        <v>0348239113</v>
      </c>
      <c r="K221" s="2" t="str">
        <f ca="1">IFERROR(__xludf.DUMMYFUNCTION("""COMPUTED_VALUE"""),"1746013085857")</f>
        <v>1746013085857</v>
      </c>
    </row>
    <row r="222" spans="1:11" ht="12.45">
      <c r="A222" s="2" t="str">
        <f ca="1">IFERROR(__xludf.DUMMYFUNCTION("""COMPUTED_VALUE"""),"1746013157572")</f>
        <v>1746013157572</v>
      </c>
      <c r="B222" s="2">
        <f ca="1">IFERROR(__xludf.DUMMYFUNCTION("""COMPUTED_VALUE"""),394357109)</f>
        <v>394357109</v>
      </c>
      <c r="C222" s="2" t="str">
        <f ca="1"/>
        <v>0394357109</v>
      </c>
      <c r="D222" s="2" t="str">
        <f ca="1">IFERROR(__xludf.DUMMYFUNCTION("""COMPUTED_VALUE"""),"1755581379502")</f>
        <v>1755581379502</v>
      </c>
      <c r="E222" s="2">
        <f ca="1">IFERROR(__xludf.DUMMYFUNCTION("""COMPUTED_VALUE"""),984418083)</f>
        <v>984418083</v>
      </c>
      <c r="F222" s="2" t="str">
        <f ca="1"/>
        <v>0984418083</v>
      </c>
      <c r="G222" s="2" t="str">
        <f ca="1">IFERROR(__xludf.DUMMYFUNCTION("""COMPUTED_VALUE"""),"105636913864")</f>
        <v>105636913864</v>
      </c>
      <c r="I222" s="2" t="str">
        <f ca="1">IFERROR(__xludf.DUMMYFUNCTION("""COMPUTED_VALUE"""),"Nguyễn Lê Vân Anh")</f>
        <v>Nguyễn Lê Vân Anh</v>
      </c>
      <c r="J222" s="2" t="str">
        <f ca="1">IFERROR(__xludf.DUMMYFUNCTION("""COMPUTED_VALUE"""),"0774880434")</f>
        <v>0774880434</v>
      </c>
      <c r="K222" s="2" t="str">
        <f ca="1">IFERROR(__xludf.DUMMYFUNCTION("""COMPUTED_VALUE"""),"1746013157572")</f>
        <v>1746013157572</v>
      </c>
    </row>
    <row r="223" spans="1:11" ht="12.45">
      <c r="A223" s="2" t="str">
        <f ca="1">IFERROR(__xludf.DUMMYFUNCTION("""COMPUTED_VALUE"""),"1746013196815")</f>
        <v>1746013196815</v>
      </c>
      <c r="B223" s="2">
        <f ca="1">IFERROR(__xludf.DUMMYFUNCTION("""COMPUTED_VALUE"""),377347219)</f>
        <v>377347219</v>
      </c>
      <c r="C223" s="2" t="str">
        <f ca="1"/>
        <v>0377347219</v>
      </c>
      <c r="D223" s="2" t="str">
        <f ca="1">IFERROR(__xludf.DUMMYFUNCTION("""COMPUTED_VALUE"""),"1755581434071")</f>
        <v>1755581434071</v>
      </c>
      <c r="E223" s="2">
        <f ca="1">IFERROR(__xludf.DUMMYFUNCTION("""COMPUTED_VALUE"""),971250407)</f>
        <v>971250407</v>
      </c>
      <c r="F223" s="2" t="str">
        <f ca="1"/>
        <v>0971250407</v>
      </c>
      <c r="G223" s="2" t="str">
        <f ca="1">IFERROR(__xludf.DUMMYFUNCTION("""COMPUTED_VALUE"""),"105634650354")</f>
        <v>105634650354</v>
      </c>
      <c r="I223" s="2" t="str">
        <f ca="1">IFERROR(__xludf.DUMMYFUNCTION("""COMPUTED_VALUE"""),"Nguyễn Hoàng Trọng ")</f>
        <v xml:space="preserve">Nguyễn Hoàng Trọng </v>
      </c>
      <c r="J223" s="2" t="str">
        <f ca="1">IFERROR(__xludf.DUMMYFUNCTION("""COMPUTED_VALUE"""),"0934823087")</f>
        <v>0934823087</v>
      </c>
      <c r="K223" s="2" t="str">
        <f ca="1">IFERROR(__xludf.DUMMYFUNCTION("""COMPUTED_VALUE"""),"1746013196815")</f>
        <v>1746013196815</v>
      </c>
    </row>
    <row r="224" spans="1:11" ht="12.45">
      <c r="A224" s="2" t="str">
        <f ca="1">IFERROR(__xludf.DUMMYFUNCTION("""COMPUTED_VALUE"""),"1746013235302")</f>
        <v>1746013235302</v>
      </c>
      <c r="B224" s="2">
        <f ca="1">IFERROR(__xludf.DUMMYFUNCTION("""COMPUTED_VALUE"""),345190317)</f>
        <v>345190317</v>
      </c>
      <c r="C224" s="2" t="str">
        <f ca="1"/>
        <v>0345190317</v>
      </c>
      <c r="D224" s="2" t="str">
        <f ca="1">IFERROR(__xludf.DUMMYFUNCTION("""COMPUTED_VALUE"""),"1755581487164")</f>
        <v>1755581487164</v>
      </c>
      <c r="E224" s="2">
        <f ca="1">IFERROR(__xludf.DUMMYFUNCTION("""COMPUTED_VALUE"""),372773942)</f>
        <v>372773942</v>
      </c>
      <c r="F224" s="2" t="str">
        <f ca="1"/>
        <v>0372773942</v>
      </c>
      <c r="G224" s="2" t="str">
        <f ca="1">IFERROR(__xludf.DUMMYFUNCTION("""COMPUTED_VALUE"""),"105634650569")</f>
        <v>105634650569</v>
      </c>
      <c r="I224" s="2" t="str">
        <f ca="1">IFERROR(__xludf.DUMMYFUNCTION("""COMPUTED_VALUE"""),"Phan Đinh Minh An")</f>
        <v>Phan Đinh Minh An</v>
      </c>
      <c r="J224" s="2" t="str">
        <f ca="1">IFERROR(__xludf.DUMMYFUNCTION("""COMPUTED_VALUE"""),"0917695691")</f>
        <v>0917695691</v>
      </c>
      <c r="K224" s="2" t="str">
        <f ca="1">IFERROR(__xludf.DUMMYFUNCTION("""COMPUTED_VALUE"""),"1746013235302")</f>
        <v>1746013235302</v>
      </c>
    </row>
    <row r="225" spans="1:11" ht="12.45">
      <c r="A225" s="2" t="str">
        <f ca="1">IFERROR(__xludf.DUMMYFUNCTION("""COMPUTED_VALUE"""),"1746013278705")</f>
        <v>1746013278705</v>
      </c>
      <c r="B225" s="2">
        <f ca="1">IFERROR(__xludf.DUMMYFUNCTION("""COMPUTED_VALUE"""),336350690)</f>
        <v>336350690</v>
      </c>
      <c r="C225" s="2" t="str">
        <f ca="1"/>
        <v>0336350690</v>
      </c>
      <c r="D225" s="2" t="str">
        <f ca="1">IFERROR(__xludf.DUMMYFUNCTION("""COMPUTED_VALUE"""),"1755581527663")</f>
        <v>1755581527663</v>
      </c>
      <c r="E225" s="2">
        <f ca="1">IFERROR(__xludf.DUMMYFUNCTION("""COMPUTED_VALUE"""),364135589)</f>
        <v>364135589</v>
      </c>
      <c r="F225" s="2" t="str">
        <f ca="1"/>
        <v>0364135589</v>
      </c>
      <c r="G225" s="2" t="str">
        <f ca="1">IFERROR(__xludf.DUMMYFUNCTION("""COMPUTED_VALUE"""),"105634650735")</f>
        <v>105634650735</v>
      </c>
      <c r="I225" s="2" t="str">
        <f ca="1">IFERROR(__xludf.DUMMYFUNCTION("""COMPUTED_VALUE"""),"Nguyễn Ngọc Anh Thư")</f>
        <v>Nguyễn Ngọc Anh Thư</v>
      </c>
      <c r="J225" s="2" t="str">
        <f ca="1">IFERROR(__xludf.DUMMYFUNCTION("""COMPUTED_VALUE"""),"0817479536")</f>
        <v>0817479536</v>
      </c>
      <c r="K225" s="2" t="str">
        <f ca="1">IFERROR(__xludf.DUMMYFUNCTION("""COMPUTED_VALUE"""),"1746013278705")</f>
        <v>1746013278705</v>
      </c>
    </row>
    <row r="226" spans="1:11" ht="12.45">
      <c r="A226" s="2" t="str">
        <f ca="1">IFERROR(__xludf.DUMMYFUNCTION("""COMPUTED_VALUE"""),"1746013313463")</f>
        <v>1746013313463</v>
      </c>
      <c r="B226" s="2">
        <f ca="1">IFERROR(__xludf.DUMMYFUNCTION("""COMPUTED_VALUE"""),965186748)</f>
        <v>965186748</v>
      </c>
      <c r="C226" s="2" t="str">
        <f ca="1"/>
        <v>0965186748</v>
      </c>
      <c r="D226" s="2" t="str">
        <f ca="1">IFERROR(__xludf.DUMMYFUNCTION("""COMPUTED_VALUE"""),"1755581567476")</f>
        <v>1755581567476</v>
      </c>
      <c r="E226" s="2">
        <f ca="1">IFERROR(__xludf.DUMMYFUNCTION("""COMPUTED_VALUE"""),942844458)</f>
        <v>942844458</v>
      </c>
      <c r="F226" s="2" t="str">
        <f ca="1"/>
        <v>0942844458</v>
      </c>
      <c r="G226" s="2" t="str">
        <f ca="1">IFERROR(__xludf.DUMMYFUNCTION("""COMPUTED_VALUE"""),"105634650879")</f>
        <v>105634650879</v>
      </c>
      <c r="I226" s="2" t="str">
        <f ca="1">IFERROR(__xludf.DUMMYFUNCTION("""COMPUTED_VALUE"""),"Nguyễn Ngọc Diệp")</f>
        <v>Nguyễn Ngọc Diệp</v>
      </c>
      <c r="J226" s="2" t="str">
        <f ca="1">IFERROR(__xludf.DUMMYFUNCTION("""COMPUTED_VALUE"""),"0943365256")</f>
        <v>0943365256</v>
      </c>
      <c r="K226" s="2" t="str">
        <f ca="1">IFERROR(__xludf.DUMMYFUNCTION("""COMPUTED_VALUE"""),"1746013313463")</f>
        <v>1746013313463</v>
      </c>
    </row>
    <row r="227" spans="1:11" ht="12.45">
      <c r="A227" s="2" t="str">
        <f ca="1">IFERROR(__xludf.DUMMYFUNCTION("""COMPUTED_VALUE"""),"1746013341724")</f>
        <v>1746013341724</v>
      </c>
      <c r="B227" s="2">
        <f ca="1">IFERROR(__xludf.DUMMYFUNCTION("""COMPUTED_VALUE"""),985161616)</f>
        <v>985161616</v>
      </c>
      <c r="C227" s="2" t="str">
        <f ca="1"/>
        <v>0985161616</v>
      </c>
      <c r="D227" s="2" t="str">
        <f ca="1">IFERROR(__xludf.DUMMYFUNCTION("""COMPUTED_VALUE"""),"1755581608929")</f>
        <v>1755581608929</v>
      </c>
      <c r="E227" s="2">
        <f ca="1">IFERROR(__xludf.DUMMYFUNCTION("""COMPUTED_VALUE"""),389084360)</f>
        <v>389084360</v>
      </c>
      <c r="F227" s="2" t="str">
        <f ca="1"/>
        <v>0389084360</v>
      </c>
      <c r="G227" s="2" t="str">
        <f ca="1">IFERROR(__xludf.DUMMYFUNCTION("""COMPUTED_VALUE"""),"105634651075")</f>
        <v>105634651075</v>
      </c>
      <c r="I227" s="2" t="str">
        <f ca="1">IFERROR(__xludf.DUMMYFUNCTION("""COMPUTED_VALUE"""),"Lưu Khánh Linh ")</f>
        <v xml:space="preserve">Lưu Khánh Linh </v>
      </c>
      <c r="J227" s="2" t="str">
        <f ca="1">IFERROR(__xludf.DUMMYFUNCTION("""COMPUTED_VALUE"""),"0902155867")</f>
        <v>0902155867</v>
      </c>
      <c r="K227" s="2" t="str">
        <f ca="1">IFERROR(__xludf.DUMMYFUNCTION("""COMPUTED_VALUE"""),"1746013341724")</f>
        <v>1746013341724</v>
      </c>
    </row>
    <row r="228" spans="1:11" ht="12.45">
      <c r="A228" s="2" t="str">
        <f ca="1">IFERROR(__xludf.DUMMYFUNCTION("""COMPUTED_VALUE"""),"1746013402623")</f>
        <v>1746013402623</v>
      </c>
      <c r="B228" s="2">
        <f ca="1">IFERROR(__xludf.DUMMYFUNCTION("""COMPUTED_VALUE"""),914364219)</f>
        <v>914364219</v>
      </c>
      <c r="C228" s="2" t="str">
        <f ca="1"/>
        <v>0914364219</v>
      </c>
      <c r="D228" s="2" t="str">
        <f ca="1">IFERROR(__xludf.DUMMYFUNCTION("""COMPUTED_VALUE"""),"1755581651022")</f>
        <v>1755581651022</v>
      </c>
      <c r="E228" s="2">
        <f ca="1">IFERROR(__xludf.DUMMYFUNCTION("""COMPUTED_VALUE"""),827315364)</f>
        <v>827315364</v>
      </c>
      <c r="F228" s="2" t="str">
        <f ca="1"/>
        <v>0827315364</v>
      </c>
      <c r="G228" s="2" t="str">
        <f ca="1">IFERROR(__xludf.DUMMYFUNCTION("""COMPUTED_VALUE"""),"105634651169")</f>
        <v>105634651169</v>
      </c>
      <c r="I228" s="2" t="str">
        <f ca="1">IFERROR(__xludf.DUMMYFUNCTION("""COMPUTED_VALUE"""),"NGUYỄN THẠCH THẢO")</f>
        <v>NGUYỄN THẠCH THẢO</v>
      </c>
      <c r="J228" s="2" t="str">
        <f ca="1">IFERROR(__xludf.DUMMYFUNCTION("""COMPUTED_VALUE"""),"0363783254")</f>
        <v>0363783254</v>
      </c>
      <c r="K228" s="2" t="str">
        <f ca="1">IFERROR(__xludf.DUMMYFUNCTION("""COMPUTED_VALUE"""),"1746013402623")</f>
        <v>1746013402623</v>
      </c>
    </row>
    <row r="229" spans="1:11" ht="12.45">
      <c r="A229" s="2" t="str">
        <f ca="1">IFERROR(__xludf.DUMMYFUNCTION("""COMPUTED_VALUE"""),"1746013448539")</f>
        <v>1746013448539</v>
      </c>
      <c r="B229" s="2">
        <f ca="1">IFERROR(__xludf.DUMMYFUNCTION("""COMPUTED_VALUE"""),359459065)</f>
        <v>359459065</v>
      </c>
      <c r="C229" s="2" t="str">
        <f ca="1"/>
        <v>0359459065</v>
      </c>
      <c r="D229" s="2" t="str">
        <f ca="1">IFERROR(__xludf.DUMMYFUNCTION("""COMPUTED_VALUE"""),"1755581710148")</f>
        <v>1755581710148</v>
      </c>
      <c r="E229" s="2">
        <f ca="1">IFERROR(__xludf.DUMMYFUNCTION("""COMPUTED_VALUE"""),358629008)</f>
        <v>358629008</v>
      </c>
      <c r="F229" s="2" t="str">
        <f ca="1"/>
        <v>0358629008</v>
      </c>
      <c r="G229" s="2" t="str">
        <f ca="1">IFERROR(__xludf.DUMMYFUNCTION("""COMPUTED_VALUE"""),"105634651211")</f>
        <v>105634651211</v>
      </c>
      <c r="I229" s="2" t="str">
        <f ca="1">IFERROR(__xludf.DUMMYFUNCTION("""COMPUTED_VALUE"""),"NGUYỄN HẬU")</f>
        <v>NGUYỄN HẬU</v>
      </c>
      <c r="J229" s="2" t="str">
        <f ca="1">IFERROR(__xludf.DUMMYFUNCTION("""COMPUTED_VALUE"""),"0702616131")</f>
        <v>0702616131</v>
      </c>
      <c r="K229" s="2" t="str">
        <f ca="1">IFERROR(__xludf.DUMMYFUNCTION("""COMPUTED_VALUE"""),"1746013448539")</f>
        <v>1746013448539</v>
      </c>
    </row>
    <row r="230" spans="1:11" ht="12.45">
      <c r="A230" s="2" t="str">
        <f ca="1">IFERROR(__xludf.DUMMYFUNCTION("""COMPUTED_VALUE"""),"1746013496362")</f>
        <v>1746013496362</v>
      </c>
      <c r="B230" s="2">
        <f ca="1">IFERROR(__xludf.DUMMYFUNCTION("""COMPUTED_VALUE"""),976294620)</f>
        <v>976294620</v>
      </c>
      <c r="C230" s="2" t="str">
        <f ca="1"/>
        <v>0976294620</v>
      </c>
      <c r="D230" s="2" t="str">
        <f ca="1">IFERROR(__xludf.DUMMYFUNCTION("""COMPUTED_VALUE"""),"1755581785492")</f>
        <v>1755581785492</v>
      </c>
      <c r="E230" s="2">
        <f ca="1">IFERROR(__xludf.DUMMYFUNCTION("""COMPUTED_VALUE"""),339901687)</f>
        <v>339901687</v>
      </c>
      <c r="F230" s="2" t="str">
        <f ca="1"/>
        <v>0339901687</v>
      </c>
      <c r="G230" s="2" t="str">
        <f ca="1">IFERROR(__xludf.DUMMYFUNCTION("""COMPUTED_VALUE"""),"105634651367")</f>
        <v>105634651367</v>
      </c>
      <c r="I230" s="2" t="str">
        <f ca="1">IFERROR(__xludf.DUMMYFUNCTION("""COMPUTED_VALUE"""),"Giang Tấn Thịnh")</f>
        <v>Giang Tấn Thịnh</v>
      </c>
      <c r="J230" s="2" t="str">
        <f ca="1">IFERROR(__xludf.DUMMYFUNCTION("""COMPUTED_VALUE"""),"0359696681")</f>
        <v>0359696681</v>
      </c>
      <c r="K230" s="2" t="str">
        <f ca="1">IFERROR(__xludf.DUMMYFUNCTION("""COMPUTED_VALUE"""),"1746013496362")</f>
        <v>1746013496362</v>
      </c>
    </row>
    <row r="231" spans="1:11" ht="12.45">
      <c r="A231" s="2" t="str">
        <f ca="1">IFERROR(__xludf.DUMMYFUNCTION("""COMPUTED_VALUE"""),"1746013575058")</f>
        <v>1746013575058</v>
      </c>
      <c r="B231" s="2">
        <f ca="1">IFERROR(__xludf.DUMMYFUNCTION("""COMPUTED_VALUE"""),375964116)</f>
        <v>375964116</v>
      </c>
      <c r="C231" s="2" t="str">
        <f ca="1"/>
        <v>0375964116</v>
      </c>
      <c r="D231" s="2" t="str">
        <f ca="1">IFERROR(__xludf.DUMMYFUNCTION("""COMPUTED_VALUE"""),"1755581847052")</f>
        <v>1755581847052</v>
      </c>
      <c r="E231" s="2">
        <f ca="1">IFERROR(__xludf.DUMMYFUNCTION("""COMPUTED_VALUE"""),899085500)</f>
        <v>899085500</v>
      </c>
      <c r="F231" s="2" t="str">
        <f ca="1"/>
        <v>0899085500</v>
      </c>
      <c r="G231" s="2" t="str">
        <f ca="1">IFERROR(__xludf.DUMMYFUNCTION("""COMPUTED_VALUE"""),"105634651434")</f>
        <v>105634651434</v>
      </c>
      <c r="I231" s="2" t="str">
        <f ca="1">IFERROR(__xludf.DUMMYFUNCTION("""COMPUTED_VALUE"""),"Bùi Thu Nhung")</f>
        <v>Bùi Thu Nhung</v>
      </c>
      <c r="J231" s="2" t="str">
        <f ca="1">IFERROR(__xludf.DUMMYFUNCTION("""COMPUTED_VALUE"""),"0702975808")</f>
        <v>0702975808</v>
      </c>
      <c r="K231" s="2" t="str">
        <f ca="1">IFERROR(__xludf.DUMMYFUNCTION("""COMPUTED_VALUE"""),"1746013575058")</f>
        <v>1746013575058</v>
      </c>
    </row>
    <row r="232" spans="1:11" ht="12.45">
      <c r="A232" s="2" t="str">
        <f ca="1">IFERROR(__xludf.DUMMYFUNCTION("""COMPUTED_VALUE"""),"1746013650824")</f>
        <v>1746013650824</v>
      </c>
      <c r="B232" s="2">
        <f ca="1">IFERROR(__xludf.DUMMYFUNCTION("""COMPUTED_VALUE"""),868268388)</f>
        <v>868268388</v>
      </c>
      <c r="C232" s="2" t="str">
        <f ca="1"/>
        <v>0868268388</v>
      </c>
      <c r="D232" s="2" t="str">
        <f ca="1">IFERROR(__xludf.DUMMYFUNCTION("""COMPUTED_VALUE"""),"1755581889092")</f>
        <v>1755581889092</v>
      </c>
      <c r="E232" s="2">
        <f ca="1">IFERROR(__xludf.DUMMYFUNCTION("""COMPUTED_VALUE"""),379982510)</f>
        <v>379982510</v>
      </c>
      <c r="F232" s="2" t="str">
        <f ca="1"/>
        <v>0379982510</v>
      </c>
      <c r="G232" s="2">
        <f ca="1">IFERROR(__xludf.DUMMYFUNCTION("""COMPUTED_VALUE"""),105556054357)</f>
        <v>105556054357</v>
      </c>
      <c r="I232" s="2" t="str">
        <f ca="1">IFERROR(__xludf.DUMMYFUNCTION("""COMPUTED_VALUE"""),"Lê anh thư")</f>
        <v>Lê anh thư</v>
      </c>
      <c r="J232" s="2" t="str">
        <f ca="1">IFERROR(__xludf.DUMMYFUNCTION("""COMPUTED_VALUE"""),"0949439153")</f>
        <v>0949439153</v>
      </c>
      <c r="K232" s="2" t="str">
        <f ca="1">IFERROR(__xludf.DUMMYFUNCTION("""COMPUTED_VALUE"""),"1746013650824")</f>
        <v>1746013650824</v>
      </c>
    </row>
    <row r="233" spans="1:11" ht="12.45">
      <c r="A233" s="2" t="str">
        <f ca="1">IFERROR(__xludf.DUMMYFUNCTION("""COMPUTED_VALUE"""),"1746013695050")</f>
        <v>1746013695050</v>
      </c>
      <c r="B233" s="2">
        <f ca="1">IFERROR(__xludf.DUMMYFUNCTION("""COMPUTED_VALUE"""),879317597)</f>
        <v>879317597</v>
      </c>
      <c r="C233" s="2" t="str">
        <f ca="1"/>
        <v>0879317597</v>
      </c>
      <c r="D233" s="2" t="str">
        <f ca="1">IFERROR(__xludf.DUMMYFUNCTION("""COMPUTED_VALUE"""),"1755581976041")</f>
        <v>1755581976041</v>
      </c>
      <c r="E233" s="2">
        <f ca="1">IFERROR(__xludf.DUMMYFUNCTION("""COMPUTED_VALUE"""),374159982)</f>
        <v>374159982</v>
      </c>
      <c r="F233" s="2" t="str">
        <f ca="1"/>
        <v>0374159982</v>
      </c>
      <c r="G233" s="2" t="str">
        <f ca="1">IFERROR(__xludf.DUMMYFUNCTION("""COMPUTED_VALUE"""),"105634651596")</f>
        <v>105634651596</v>
      </c>
      <c r="I233" s="2" t="str">
        <f ca="1">IFERROR(__xludf.DUMMYFUNCTION("""COMPUTED_VALUE"""),"Trần Anh Kiệt")</f>
        <v>Trần Anh Kiệt</v>
      </c>
      <c r="J233" s="2" t="str">
        <f ca="1">IFERROR(__xludf.DUMMYFUNCTION("""COMPUTED_VALUE"""),"0853170311")</f>
        <v>0853170311</v>
      </c>
      <c r="K233" s="2" t="str">
        <f ca="1">IFERROR(__xludf.DUMMYFUNCTION("""COMPUTED_VALUE"""),"1746013695050")</f>
        <v>1746013695050</v>
      </c>
    </row>
    <row r="234" spans="1:11" ht="12.45">
      <c r="A234" s="2" t="str">
        <f ca="1">IFERROR(__xludf.DUMMYFUNCTION("""COMPUTED_VALUE"""),"1746013740606")</f>
        <v>1746013740606</v>
      </c>
      <c r="B234" s="2">
        <f ca="1">IFERROR(__xludf.DUMMYFUNCTION("""COMPUTED_VALUE"""),356451306)</f>
        <v>356451306</v>
      </c>
      <c r="C234" s="2" t="str">
        <f ca="1"/>
        <v>0356451306</v>
      </c>
      <c r="D234" s="2" t="str">
        <f ca="1">IFERROR(__xludf.DUMMYFUNCTION("""COMPUTED_VALUE"""),"1755582039039")</f>
        <v>1755582039039</v>
      </c>
      <c r="E234" s="2">
        <f ca="1">IFERROR(__xludf.DUMMYFUNCTION("""COMPUTED_VALUE"""),975743015)</f>
        <v>975743015</v>
      </c>
      <c r="F234" s="2" t="str">
        <f ca="1"/>
        <v>0975743015</v>
      </c>
      <c r="G234" s="2" t="str">
        <f ca="1">IFERROR(__xludf.DUMMYFUNCTION("""COMPUTED_VALUE"""),"105634651660")</f>
        <v>105634651660</v>
      </c>
      <c r="I234" s="2" t="str">
        <f ca="1">IFERROR(__xludf.DUMMYFUNCTION("""COMPUTED_VALUE"""),"Lê Mai Vy")</f>
        <v>Lê Mai Vy</v>
      </c>
      <c r="J234" s="2" t="str">
        <f ca="1">IFERROR(__xludf.DUMMYFUNCTION("""COMPUTED_VALUE"""),"0917864312")</f>
        <v>0917864312</v>
      </c>
      <c r="K234" s="2" t="str">
        <f ca="1">IFERROR(__xludf.DUMMYFUNCTION("""COMPUTED_VALUE"""),"1746013740606")</f>
        <v>1746013740606</v>
      </c>
    </row>
    <row r="235" spans="1:11" ht="12.45">
      <c r="A235" s="2" t="str">
        <f ca="1">IFERROR(__xludf.DUMMYFUNCTION("""COMPUTED_VALUE"""),"1746013794853")</f>
        <v>1746013794853</v>
      </c>
      <c r="B235" s="2">
        <f ca="1">IFERROR(__xludf.DUMMYFUNCTION("""COMPUTED_VALUE"""),964367230)</f>
        <v>964367230</v>
      </c>
      <c r="C235" s="2" t="str">
        <f ca="1"/>
        <v>0964367230</v>
      </c>
      <c r="D235" s="2" t="str">
        <f ca="1">IFERROR(__xludf.DUMMYFUNCTION("""COMPUTED_VALUE"""),"1755582092179")</f>
        <v>1755582092179</v>
      </c>
      <c r="E235" s="2">
        <f ca="1">IFERROR(__xludf.DUMMYFUNCTION("""COMPUTED_VALUE"""),938530791)</f>
        <v>938530791</v>
      </c>
      <c r="F235" s="2" t="str">
        <f ca="1"/>
        <v>0938530791</v>
      </c>
      <c r="G235" s="2" t="str">
        <f ca="1">IFERROR(__xludf.DUMMYFUNCTION("""COMPUTED_VALUE"""),"105634651727")</f>
        <v>105634651727</v>
      </c>
      <c r="I235" s="2" t="str">
        <f ca="1">IFERROR(__xludf.DUMMYFUNCTION("""COMPUTED_VALUE"""),"Hà Hải Anh")</f>
        <v>Hà Hải Anh</v>
      </c>
      <c r="J235" s="2" t="str">
        <f ca="1">IFERROR(__xludf.DUMMYFUNCTION("""COMPUTED_VALUE"""),"0869677736")</f>
        <v>0869677736</v>
      </c>
      <c r="K235" s="2" t="str">
        <f ca="1">IFERROR(__xludf.DUMMYFUNCTION("""COMPUTED_VALUE"""),"1746013794853")</f>
        <v>1746013794853</v>
      </c>
    </row>
    <row r="236" spans="1:11" ht="12.45">
      <c r="A236" s="2" t="str">
        <f ca="1">IFERROR(__xludf.DUMMYFUNCTION("""COMPUTED_VALUE"""),"1746013909342")</f>
        <v>1746013909342</v>
      </c>
      <c r="B236" s="2">
        <f ca="1">IFERROR(__xludf.DUMMYFUNCTION("""COMPUTED_VALUE"""),947328073)</f>
        <v>947328073</v>
      </c>
      <c r="C236" s="2" t="str">
        <f ca="1"/>
        <v>0947328073</v>
      </c>
      <c r="D236" s="2" t="str">
        <f ca="1">IFERROR(__xludf.DUMMYFUNCTION("""COMPUTED_VALUE"""),"1755582171644")</f>
        <v>1755582171644</v>
      </c>
      <c r="E236" s="2">
        <f ca="1">IFERROR(__xludf.DUMMYFUNCTION("""COMPUTED_VALUE"""),363039338)</f>
        <v>363039338</v>
      </c>
      <c r="F236" s="2" t="str">
        <f ca="1"/>
        <v>0363039338</v>
      </c>
      <c r="G236" s="2" t="str">
        <f ca="1">IFERROR(__xludf.DUMMYFUNCTION("""COMPUTED_VALUE"""),"105634651862")</f>
        <v>105634651862</v>
      </c>
      <c r="I236" s="2" t="str">
        <f ca="1">IFERROR(__xludf.DUMMYFUNCTION("""COMPUTED_VALUE"""),"Đỗ Thị Thảo")</f>
        <v>Đỗ Thị Thảo</v>
      </c>
      <c r="J236" s="2" t="str">
        <f ca="1">IFERROR(__xludf.DUMMYFUNCTION("""COMPUTED_VALUE"""),"0962010244")</f>
        <v>0962010244</v>
      </c>
      <c r="K236" s="2" t="str">
        <f ca="1">IFERROR(__xludf.DUMMYFUNCTION("""COMPUTED_VALUE"""),"1746013909342")</f>
        <v>1746013909342</v>
      </c>
    </row>
    <row r="237" spans="1:11" ht="12.45">
      <c r="A237" s="2" t="str">
        <f ca="1">IFERROR(__xludf.DUMMYFUNCTION("""COMPUTED_VALUE"""),"1746013948198")</f>
        <v>1746013948198</v>
      </c>
      <c r="B237" s="2">
        <f ca="1">IFERROR(__xludf.DUMMYFUNCTION("""COMPUTED_VALUE"""),327201065)</f>
        <v>327201065</v>
      </c>
      <c r="C237" s="2" t="str">
        <f ca="1"/>
        <v>0327201065</v>
      </c>
      <c r="D237" s="2" t="str">
        <f ca="1">IFERROR(__xludf.DUMMYFUNCTION("""COMPUTED_VALUE"""),"1755582212177")</f>
        <v>1755582212177</v>
      </c>
      <c r="E237" s="2">
        <f ca="1">IFERROR(__xludf.DUMMYFUNCTION("""COMPUTED_VALUE"""),965933522)</f>
        <v>965933522</v>
      </c>
      <c r="F237" s="2" t="str">
        <f ca="1"/>
        <v>0965933522</v>
      </c>
      <c r="G237" s="2" t="str">
        <f ca="1">IFERROR(__xludf.DUMMYFUNCTION("""COMPUTED_VALUE"""),"105634651927")</f>
        <v>105634651927</v>
      </c>
      <c r="I237" s="2" t="str">
        <f ca="1">IFERROR(__xludf.DUMMYFUNCTION("""COMPUTED_VALUE"""),"Lê Phương Huyền ")</f>
        <v xml:space="preserve">Lê Phương Huyền </v>
      </c>
      <c r="J237" s="2" t="str">
        <f ca="1">IFERROR(__xludf.DUMMYFUNCTION("""COMPUTED_VALUE"""),"0974602414")</f>
        <v>0974602414</v>
      </c>
      <c r="K237" s="2" t="str">
        <f ca="1">IFERROR(__xludf.DUMMYFUNCTION("""COMPUTED_VALUE"""),"1746013948198")</f>
        <v>1746013948198</v>
      </c>
    </row>
    <row r="238" spans="1:11" ht="12.45">
      <c r="A238" s="2" t="str">
        <f ca="1">IFERROR(__xludf.DUMMYFUNCTION("""COMPUTED_VALUE"""),"1738940034558")</f>
        <v>1738940034558</v>
      </c>
      <c r="B238" s="2">
        <f ca="1">IFERROR(__xludf.DUMMYFUNCTION("""COMPUTED_VALUE"""),336814583)</f>
        <v>336814583</v>
      </c>
      <c r="C238" s="2" t="str">
        <f ca="1"/>
        <v>0336814583</v>
      </c>
      <c r="D238" s="2" t="str">
        <f ca="1">IFERROR(__xludf.DUMMYFUNCTION("""COMPUTED_VALUE"""),"1755582316784")</f>
        <v>1755582316784</v>
      </c>
      <c r="E238" s="2">
        <f ca="1">IFERROR(__xludf.DUMMYFUNCTION("""COMPUTED_VALUE"""),356287129)</f>
        <v>356287129</v>
      </c>
      <c r="F238" s="2" t="str">
        <f ca="1"/>
        <v>0356287129</v>
      </c>
      <c r="G238" s="2" t="str">
        <f ca="1">IFERROR(__xludf.DUMMYFUNCTION("""COMPUTED_VALUE"""),"105634652035")</f>
        <v>105634652035</v>
      </c>
      <c r="I238" s="2" t="str">
        <f ca="1">IFERROR(__xludf.DUMMYFUNCTION("""COMPUTED_VALUE"""),"Vũ Văn Tuấn")</f>
        <v>Vũ Văn Tuấn</v>
      </c>
      <c r="J238" s="2" t="str">
        <f ca="1">IFERROR(__xludf.DUMMYFUNCTION("""COMPUTED_VALUE"""),"0392005531")</f>
        <v>0392005531</v>
      </c>
      <c r="K238" s="2" t="str">
        <f ca="1">IFERROR(__xludf.DUMMYFUNCTION("""COMPUTED_VALUE"""),"1738940034558")</f>
        <v>1738940034558</v>
      </c>
    </row>
    <row r="239" spans="1:11" ht="12.45">
      <c r="A239" s="2" t="str">
        <f ca="1">IFERROR(__xludf.DUMMYFUNCTION("""COMPUTED_VALUE"""),"1746013995267")</f>
        <v>1746013995267</v>
      </c>
      <c r="B239" s="2">
        <f ca="1">IFERROR(__xludf.DUMMYFUNCTION("""COMPUTED_VALUE"""),975406993)</f>
        <v>975406993</v>
      </c>
      <c r="C239" s="2" t="str">
        <f ca="1"/>
        <v>0975406993</v>
      </c>
      <c r="D239" s="2" t="str">
        <f ca="1">IFERROR(__xludf.DUMMYFUNCTION("""COMPUTED_VALUE"""),"1755582358529")</f>
        <v>1755582358529</v>
      </c>
      <c r="E239" s="2">
        <f ca="1">IFERROR(__xludf.DUMMYFUNCTION("""COMPUTED_VALUE"""),865785007)</f>
        <v>865785007</v>
      </c>
      <c r="F239" s="2" t="str">
        <f ca="1"/>
        <v>0865785007</v>
      </c>
      <c r="G239" s="2" t="str">
        <f ca="1">IFERROR(__xludf.DUMMYFUNCTION("""COMPUTED_VALUE"""),"105634652223")</f>
        <v>105634652223</v>
      </c>
      <c r="I239" s="2" t="str">
        <f ca="1">IFERROR(__xludf.DUMMYFUNCTION("""COMPUTED_VALUE"""),"Ngô Thị Thuý Hằng")</f>
        <v>Ngô Thị Thuý Hằng</v>
      </c>
      <c r="J239" s="2" t="str">
        <f ca="1">IFERROR(__xludf.DUMMYFUNCTION("""COMPUTED_VALUE"""),"0816623679")</f>
        <v>0816623679</v>
      </c>
      <c r="K239" s="2" t="str">
        <f ca="1">IFERROR(__xludf.DUMMYFUNCTION("""COMPUTED_VALUE"""),"1746013995267")</f>
        <v>1746013995267</v>
      </c>
    </row>
    <row r="240" spans="1:11" ht="12.45">
      <c r="A240" s="2" t="str">
        <f ca="1">IFERROR(__xludf.DUMMYFUNCTION("""COMPUTED_VALUE"""),"1746014042745")</f>
        <v>1746014042745</v>
      </c>
      <c r="B240" s="2">
        <f ca="1">IFERROR(__xludf.DUMMYFUNCTION("""COMPUTED_VALUE"""),345876780)</f>
        <v>345876780</v>
      </c>
      <c r="C240" s="2" t="str">
        <f ca="1"/>
        <v>0345876780</v>
      </c>
      <c r="D240" s="2" t="str">
        <f ca="1">IFERROR(__xludf.DUMMYFUNCTION("""COMPUTED_VALUE"""),"1755582398114")</f>
        <v>1755582398114</v>
      </c>
      <c r="E240" s="2">
        <f ca="1">IFERROR(__xludf.DUMMYFUNCTION("""COMPUTED_VALUE"""),337499947)</f>
        <v>337499947</v>
      </c>
      <c r="F240" s="2" t="str">
        <f ca="1"/>
        <v>0337499947</v>
      </c>
      <c r="G240" s="2" t="str">
        <f ca="1">IFERROR(__xludf.DUMMYFUNCTION("""COMPUTED_VALUE"""),"105634652337")</f>
        <v>105634652337</v>
      </c>
      <c r="I240" s="2" t="str">
        <f ca="1">IFERROR(__xludf.DUMMYFUNCTION("""COMPUTED_VALUE"""),"Nguyễn Phương Linh ")</f>
        <v xml:space="preserve">Nguyễn Phương Linh </v>
      </c>
      <c r="J240" s="2" t="str">
        <f ca="1">IFERROR(__xludf.DUMMYFUNCTION("""COMPUTED_VALUE"""),"0564464646")</f>
        <v>0564464646</v>
      </c>
      <c r="K240" s="2" t="str">
        <f ca="1">IFERROR(__xludf.DUMMYFUNCTION("""COMPUTED_VALUE"""),"1746014042745")</f>
        <v>1746014042745</v>
      </c>
    </row>
    <row r="241" spans="1:11" ht="12.45">
      <c r="A241" s="2" t="str">
        <f ca="1">IFERROR(__xludf.DUMMYFUNCTION("""COMPUTED_VALUE"""),"1746014076398")</f>
        <v>1746014076398</v>
      </c>
      <c r="B241" s="2">
        <f ca="1">IFERROR(__xludf.DUMMYFUNCTION("""COMPUTED_VALUE"""),373601193)</f>
        <v>373601193</v>
      </c>
      <c r="C241" s="2" t="str">
        <f ca="1"/>
        <v>0373601193</v>
      </c>
      <c r="D241" s="2" t="str">
        <f ca="1">IFERROR(__xludf.DUMMYFUNCTION("""COMPUTED_VALUE"""),"1755582444827")</f>
        <v>1755582444827</v>
      </c>
      <c r="E241" s="2">
        <f ca="1">IFERROR(__xludf.DUMMYFUNCTION("""COMPUTED_VALUE"""),372337563)</f>
        <v>372337563</v>
      </c>
      <c r="F241" s="2" t="str">
        <f ca="1"/>
        <v>0372337563</v>
      </c>
      <c r="G241" s="2" t="str">
        <f ca="1">IFERROR(__xludf.DUMMYFUNCTION("""COMPUTED_VALUE"""),"105634652417")</f>
        <v>105634652417</v>
      </c>
      <c r="I241" s="2" t="str">
        <f ca="1">IFERROR(__xludf.DUMMYFUNCTION("""COMPUTED_VALUE"""),"Đỗ Quỳnh Anh")</f>
        <v>Đỗ Quỳnh Anh</v>
      </c>
      <c r="J241" s="2" t="str">
        <f ca="1">IFERROR(__xludf.DUMMYFUNCTION("""COMPUTED_VALUE"""),"0337788138")</f>
        <v>0337788138</v>
      </c>
      <c r="K241" s="2" t="str">
        <f ca="1">IFERROR(__xludf.DUMMYFUNCTION("""COMPUTED_VALUE"""),"1746014076398")</f>
        <v>1746014076398</v>
      </c>
    </row>
    <row r="242" spans="1:11" ht="12.45">
      <c r="A242" s="2" t="str">
        <f ca="1">IFERROR(__xludf.DUMMYFUNCTION("""COMPUTED_VALUE"""),"1746014116559")</f>
        <v>1746014116559</v>
      </c>
      <c r="B242" s="2">
        <f ca="1">IFERROR(__xludf.DUMMYFUNCTION("""COMPUTED_VALUE"""),982734572)</f>
        <v>982734572</v>
      </c>
      <c r="C242" s="2" t="str">
        <f ca="1"/>
        <v>0982734572</v>
      </c>
      <c r="D242" s="2" t="str">
        <f ca="1">IFERROR(__xludf.DUMMYFUNCTION("""COMPUTED_VALUE"""),"1755582488718")</f>
        <v>1755582488718</v>
      </c>
      <c r="E242" s="2">
        <f ca="1">IFERROR(__xludf.DUMMYFUNCTION("""COMPUTED_VALUE"""),327501105)</f>
        <v>327501105</v>
      </c>
      <c r="F242" s="2" t="str">
        <f ca="1"/>
        <v>0327501105</v>
      </c>
      <c r="G242" s="2" t="str">
        <f ca="1">IFERROR(__xludf.DUMMYFUNCTION("""COMPUTED_VALUE"""),"105634652523")</f>
        <v>105634652523</v>
      </c>
      <c r="I242" s="2" t="str">
        <f ca="1">IFERROR(__xludf.DUMMYFUNCTION("""COMPUTED_VALUE"""),"Lê Quỳnh Anh")</f>
        <v>Lê Quỳnh Anh</v>
      </c>
      <c r="J242" s="2" t="str">
        <f ca="1">IFERROR(__xludf.DUMMYFUNCTION("""COMPUTED_VALUE"""),"0388083816")</f>
        <v>0388083816</v>
      </c>
      <c r="K242" s="2" t="str">
        <f ca="1">IFERROR(__xludf.DUMMYFUNCTION("""COMPUTED_VALUE"""),"1746014116559")</f>
        <v>1746014116559</v>
      </c>
    </row>
    <row r="243" spans="1:11" ht="12.45">
      <c r="A243" s="2" t="str">
        <f ca="1">IFERROR(__xludf.DUMMYFUNCTION("""COMPUTED_VALUE"""),"1746014155659")</f>
        <v>1746014155659</v>
      </c>
      <c r="B243" s="2">
        <f ca="1">IFERROR(__xludf.DUMMYFUNCTION("""COMPUTED_VALUE"""),344694185)</f>
        <v>344694185</v>
      </c>
      <c r="C243" s="2" t="str">
        <f ca="1"/>
        <v>0344694185</v>
      </c>
      <c r="D243" s="2" t="str">
        <f ca="1">IFERROR(__xludf.DUMMYFUNCTION("""COMPUTED_VALUE"""),"1755582543107")</f>
        <v>1755582543107</v>
      </c>
      <c r="E243" s="2">
        <f ca="1">IFERROR(__xludf.DUMMYFUNCTION("""COMPUTED_VALUE"""),372025289)</f>
        <v>372025289</v>
      </c>
      <c r="F243" s="2" t="str">
        <f ca="1"/>
        <v>0372025289</v>
      </c>
      <c r="G243" s="2" t="str">
        <f ca="1">IFERROR(__xludf.DUMMYFUNCTION("""COMPUTED_VALUE"""),"105634652675")</f>
        <v>105634652675</v>
      </c>
      <c r="I243" s="2" t="str">
        <f ca="1">IFERROR(__xludf.DUMMYFUNCTION("""COMPUTED_VALUE"""),"Phạm Thị Thảo")</f>
        <v>Phạm Thị Thảo</v>
      </c>
      <c r="J243" s="2" t="str">
        <f ca="1">IFERROR(__xludf.DUMMYFUNCTION("""COMPUTED_VALUE"""),"0396568207")</f>
        <v>0396568207</v>
      </c>
      <c r="K243" s="2" t="str">
        <f ca="1">IFERROR(__xludf.DUMMYFUNCTION("""COMPUTED_VALUE"""),"1746014155659")</f>
        <v>1746014155659</v>
      </c>
    </row>
    <row r="244" spans="1:11" ht="12.45">
      <c r="A244" s="2" t="str">
        <f ca="1">IFERROR(__xludf.DUMMYFUNCTION("""COMPUTED_VALUE"""),"1746014189071")</f>
        <v>1746014189071</v>
      </c>
      <c r="B244" s="2">
        <f ca="1">IFERROR(__xludf.DUMMYFUNCTION("""COMPUTED_VALUE"""),941181228)</f>
        <v>941181228</v>
      </c>
      <c r="C244" s="2" t="str">
        <f ca="1"/>
        <v>0941181228</v>
      </c>
      <c r="D244" s="2" t="str">
        <f ca="1">IFERROR(__xludf.DUMMYFUNCTION("""COMPUTED_VALUE"""),"1755582590905")</f>
        <v>1755582590905</v>
      </c>
      <c r="E244" s="2">
        <f ca="1">IFERROR(__xludf.DUMMYFUNCTION("""COMPUTED_VALUE"""),787794536)</f>
        <v>787794536</v>
      </c>
      <c r="F244" s="2" t="str">
        <f ca="1"/>
        <v>0787794536</v>
      </c>
      <c r="G244" s="2" t="str">
        <f ca="1">IFERROR(__xludf.DUMMYFUNCTION("""COMPUTED_VALUE"""),"105634652913")</f>
        <v>105634652913</v>
      </c>
      <c r="I244" s="2" t="str">
        <f ca="1">IFERROR(__xludf.DUMMYFUNCTION("""COMPUTED_VALUE"""),"Hà Vũ Bảo Anh")</f>
        <v>Hà Vũ Bảo Anh</v>
      </c>
      <c r="J244" s="2" t="str">
        <f ca="1">IFERROR(__xludf.DUMMYFUNCTION("""COMPUTED_VALUE"""),"0779568599")</f>
        <v>0779568599</v>
      </c>
      <c r="K244" s="2" t="str">
        <f ca="1">IFERROR(__xludf.DUMMYFUNCTION("""COMPUTED_VALUE"""),"1746014189071")</f>
        <v>1746014189071</v>
      </c>
    </row>
    <row r="245" spans="1:11" ht="12.45">
      <c r="A245" s="2" t="str">
        <f ca="1">IFERROR(__xludf.DUMMYFUNCTION("""COMPUTED_VALUE"""),"1746014236722")</f>
        <v>1746014236722</v>
      </c>
      <c r="B245" s="2">
        <f ca="1">IFERROR(__xludf.DUMMYFUNCTION("""COMPUTED_VALUE"""),349253695)</f>
        <v>349253695</v>
      </c>
      <c r="C245" s="2" t="str">
        <f ca="1"/>
        <v>0349253695</v>
      </c>
      <c r="D245" s="2" t="str">
        <f ca="1">IFERROR(__xludf.DUMMYFUNCTION("""COMPUTED_VALUE"""),"1755582636669")</f>
        <v>1755582636669</v>
      </c>
      <c r="E245" s="2">
        <f ca="1">IFERROR(__xludf.DUMMYFUNCTION("""COMPUTED_VALUE"""),388334887)</f>
        <v>388334887</v>
      </c>
      <c r="F245" s="2" t="str">
        <f ca="1"/>
        <v>0388334887</v>
      </c>
      <c r="G245" s="2" t="str">
        <f ca="1">IFERROR(__xludf.DUMMYFUNCTION("""COMPUTED_VALUE"""),"105634653092")</f>
        <v>105634653092</v>
      </c>
      <c r="I245" s="2" t="str">
        <f ca="1">IFERROR(__xludf.DUMMYFUNCTION("""COMPUTED_VALUE"""),"Lê Võ Ngọc Trâm")</f>
        <v>Lê Võ Ngọc Trâm</v>
      </c>
      <c r="J245" s="2" t="str">
        <f ca="1">IFERROR(__xludf.DUMMYFUNCTION("""COMPUTED_VALUE"""),"0948264904")</f>
        <v>0948264904</v>
      </c>
      <c r="K245" s="2" t="str">
        <f ca="1">IFERROR(__xludf.DUMMYFUNCTION("""COMPUTED_VALUE"""),"1746014236722")</f>
        <v>1746014236722</v>
      </c>
    </row>
    <row r="246" spans="1:11" ht="12.45">
      <c r="A246" s="2" t="str">
        <f ca="1">IFERROR(__xludf.DUMMYFUNCTION("""COMPUTED_VALUE"""),"1746014268263")</f>
        <v>1746014268263</v>
      </c>
      <c r="B246" s="2">
        <f ca="1">IFERROR(__xludf.DUMMYFUNCTION("""COMPUTED_VALUE"""),354160048)</f>
        <v>354160048</v>
      </c>
      <c r="C246" s="2" t="str">
        <f ca="1"/>
        <v>0354160048</v>
      </c>
      <c r="D246" s="2" t="str">
        <f ca="1">IFERROR(__xludf.DUMMYFUNCTION("""COMPUTED_VALUE"""),"1755582704148")</f>
        <v>1755582704148</v>
      </c>
      <c r="E246" s="2">
        <f ca="1">IFERROR(__xludf.DUMMYFUNCTION("""COMPUTED_VALUE"""),769844776)</f>
        <v>769844776</v>
      </c>
      <c r="F246" s="2" t="str">
        <f ca="1"/>
        <v>0769844776</v>
      </c>
      <c r="G246" s="2" t="str">
        <f ca="1">IFERROR(__xludf.DUMMYFUNCTION("""COMPUTED_VALUE"""),"105634653170")</f>
        <v>105634653170</v>
      </c>
      <c r="I246" s="2" t="str">
        <f ca="1">IFERROR(__xludf.DUMMYFUNCTION("""COMPUTED_VALUE"""),"Nguyễn Duy Anh")</f>
        <v>Nguyễn Duy Anh</v>
      </c>
      <c r="J246" s="2" t="str">
        <f ca="1">IFERROR(__xludf.DUMMYFUNCTION("""COMPUTED_VALUE"""),"0833308485")</f>
        <v>0833308485</v>
      </c>
      <c r="K246" s="2" t="str">
        <f ca="1">IFERROR(__xludf.DUMMYFUNCTION("""COMPUTED_VALUE"""),"1746014268263")</f>
        <v>1746014268263</v>
      </c>
    </row>
    <row r="247" spans="1:11" ht="12.45">
      <c r="A247" s="2" t="str">
        <f ca="1">IFERROR(__xludf.DUMMYFUNCTION("""COMPUTED_VALUE"""),"1746014309897")</f>
        <v>1746014309897</v>
      </c>
      <c r="B247" s="2">
        <f ca="1">IFERROR(__xludf.DUMMYFUNCTION("""COMPUTED_VALUE"""),813193678)</f>
        <v>813193678</v>
      </c>
      <c r="C247" s="2" t="str">
        <f ca="1"/>
        <v>0813193678</v>
      </c>
      <c r="D247" s="2" t="str">
        <f ca="1">IFERROR(__xludf.DUMMYFUNCTION("""COMPUTED_VALUE"""),"1755582748916")</f>
        <v>1755582748916</v>
      </c>
      <c r="E247" s="2">
        <f ca="1">IFERROR(__xludf.DUMMYFUNCTION("""COMPUTED_VALUE"""),877761104)</f>
        <v>877761104</v>
      </c>
      <c r="F247" s="2" t="str">
        <f ca="1"/>
        <v>0877761104</v>
      </c>
      <c r="G247" s="2" t="str">
        <f ca="1">IFERROR(__xludf.DUMMYFUNCTION("""COMPUTED_VALUE"""),"105634653268")</f>
        <v>105634653268</v>
      </c>
      <c r="I247" s="2" t="str">
        <f ca="1">IFERROR(__xludf.DUMMYFUNCTION("""COMPUTED_VALUE"""),"Nguyễn Thị Kiều Trang ")</f>
        <v xml:space="preserve">Nguyễn Thị Kiều Trang </v>
      </c>
      <c r="J247" s="2" t="str">
        <f ca="1">IFERROR(__xludf.DUMMYFUNCTION("""COMPUTED_VALUE"""),"0966262185")</f>
        <v>0966262185</v>
      </c>
      <c r="K247" s="2" t="str">
        <f ca="1">IFERROR(__xludf.DUMMYFUNCTION("""COMPUTED_VALUE"""),"1746014309897")</f>
        <v>1746014309897</v>
      </c>
    </row>
    <row r="248" spans="1:11" ht="12.45">
      <c r="A248" s="2" t="str">
        <f ca="1">IFERROR(__xludf.DUMMYFUNCTION("""COMPUTED_VALUE"""),"1746014360128")</f>
        <v>1746014360128</v>
      </c>
      <c r="B248" s="2">
        <f ca="1">IFERROR(__xludf.DUMMYFUNCTION("""COMPUTED_VALUE"""),903128792)</f>
        <v>903128792</v>
      </c>
      <c r="C248" s="2" t="str">
        <f ca="1"/>
        <v>0903128792</v>
      </c>
      <c r="D248" s="2" t="str">
        <f ca="1">IFERROR(__xludf.DUMMYFUNCTION("""COMPUTED_VALUE"""),"1755582790813")</f>
        <v>1755582790813</v>
      </c>
      <c r="E248" s="2">
        <f ca="1">IFERROR(__xludf.DUMMYFUNCTION("""COMPUTED_VALUE"""),824626623)</f>
        <v>824626623</v>
      </c>
      <c r="F248" s="2" t="str">
        <f ca="1"/>
        <v>0824626623</v>
      </c>
      <c r="G248" s="2" t="str">
        <f ca="1">IFERROR(__xludf.DUMMYFUNCTION("""COMPUTED_VALUE"""),"105634653341")</f>
        <v>105634653341</v>
      </c>
      <c r="I248" s="2" t="str">
        <f ca="1">IFERROR(__xludf.DUMMYFUNCTION("""COMPUTED_VALUE"""),"Nguyễn Thị Uyên Nhi")</f>
        <v>Nguyễn Thị Uyên Nhi</v>
      </c>
      <c r="J248" s="2" t="str">
        <f ca="1">IFERROR(__xludf.DUMMYFUNCTION("""COMPUTED_VALUE"""),"0962234207")</f>
        <v>0962234207</v>
      </c>
      <c r="K248" s="2" t="str">
        <f ca="1">IFERROR(__xludf.DUMMYFUNCTION("""COMPUTED_VALUE"""),"1746014360128")</f>
        <v>1746014360128</v>
      </c>
    </row>
    <row r="249" spans="1:11" ht="12.45">
      <c r="A249" s="2" t="str">
        <f ca="1">IFERROR(__xludf.DUMMYFUNCTION("""COMPUTED_VALUE"""),"1746014408402")</f>
        <v>1746014408402</v>
      </c>
      <c r="B249" s="2">
        <f ca="1">IFERROR(__xludf.DUMMYFUNCTION("""COMPUTED_VALUE"""),918368969)</f>
        <v>918368969</v>
      </c>
      <c r="C249" s="2" t="str">
        <f ca="1"/>
        <v>0918368969</v>
      </c>
      <c r="D249" s="2" t="str">
        <f ca="1">IFERROR(__xludf.DUMMYFUNCTION("""COMPUTED_VALUE"""),"1755582818149")</f>
        <v>1755582818149</v>
      </c>
      <c r="E249" s="2">
        <f ca="1">IFERROR(__xludf.DUMMYFUNCTION("""COMPUTED_VALUE"""),856737696)</f>
        <v>856737696</v>
      </c>
      <c r="F249" s="2" t="str">
        <f ca="1"/>
        <v>0856737696</v>
      </c>
      <c r="G249" s="2" t="str">
        <f ca="1">IFERROR(__xludf.DUMMYFUNCTION("""COMPUTED_VALUE"""),"105634653446")</f>
        <v>105634653446</v>
      </c>
      <c r="I249" s="2" t="str">
        <f ca="1">IFERROR(__xludf.DUMMYFUNCTION("""COMPUTED_VALUE"""),"Nguyễn Thị Lan Anh")</f>
        <v>Nguyễn Thị Lan Anh</v>
      </c>
      <c r="J249" s="2" t="str">
        <f ca="1">IFERROR(__xludf.DUMMYFUNCTION("""COMPUTED_VALUE"""),"0337023260")</f>
        <v>0337023260</v>
      </c>
      <c r="K249" s="2" t="str">
        <f ca="1">IFERROR(__xludf.DUMMYFUNCTION("""COMPUTED_VALUE"""),"1746014408402")</f>
        <v>1746014408402</v>
      </c>
    </row>
    <row r="250" spans="1:11" ht="12.45">
      <c r="A250" s="2" t="str">
        <f ca="1">IFERROR(__xludf.DUMMYFUNCTION("""COMPUTED_VALUE"""),"1746014465236")</f>
        <v>1746014465236</v>
      </c>
      <c r="B250" s="2">
        <f ca="1">IFERROR(__xludf.DUMMYFUNCTION("""COMPUTED_VALUE"""),376156906)</f>
        <v>376156906</v>
      </c>
      <c r="C250" s="2" t="str">
        <f ca="1"/>
        <v>0376156906</v>
      </c>
      <c r="D250" s="2" t="str">
        <f ca="1">IFERROR(__xludf.DUMMYFUNCTION("""COMPUTED_VALUE"""),"1755582863575")</f>
        <v>1755582863575</v>
      </c>
      <c r="E250" s="2">
        <f ca="1">IFERROR(__xludf.DUMMYFUNCTION("""COMPUTED_VALUE"""),898214097)</f>
        <v>898214097</v>
      </c>
      <c r="F250" s="2" t="str">
        <f ca="1"/>
        <v>0898214097</v>
      </c>
      <c r="G250" s="2" t="str">
        <f ca="1">IFERROR(__xludf.DUMMYFUNCTION("""COMPUTED_VALUE"""),"105634653587")</f>
        <v>105634653587</v>
      </c>
      <c r="I250" s="2" t="str">
        <f ca="1">IFERROR(__xludf.DUMMYFUNCTION("""COMPUTED_VALUE"""),"Trương Quỳnh Như")</f>
        <v>Trương Quỳnh Như</v>
      </c>
      <c r="J250" s="2" t="str">
        <f ca="1">IFERROR(__xludf.DUMMYFUNCTION("""COMPUTED_VALUE"""),"0394430183")</f>
        <v>0394430183</v>
      </c>
      <c r="K250" s="2" t="str">
        <f ca="1">IFERROR(__xludf.DUMMYFUNCTION("""COMPUTED_VALUE"""),"1746014465236")</f>
        <v>1746014465236</v>
      </c>
    </row>
    <row r="251" spans="1:11" ht="12.45">
      <c r="A251" s="2" t="str">
        <f ca="1">IFERROR(__xludf.DUMMYFUNCTION("""COMPUTED_VALUE"""),"1746014513982")</f>
        <v>1746014513982</v>
      </c>
      <c r="B251" s="2">
        <f ca="1">IFERROR(__xludf.DUMMYFUNCTION("""COMPUTED_VALUE"""),846015127)</f>
        <v>846015127</v>
      </c>
      <c r="C251" s="2" t="str">
        <f ca="1"/>
        <v>0846015127</v>
      </c>
      <c r="D251" s="2" t="str">
        <f ca="1">IFERROR(__xludf.DUMMYFUNCTION("""COMPUTED_VALUE"""),"1755582907914")</f>
        <v>1755582907914</v>
      </c>
      <c r="E251" s="2">
        <f ca="1">IFERROR(__xludf.DUMMYFUNCTION("""COMPUTED_VALUE"""),866905125)</f>
        <v>866905125</v>
      </c>
      <c r="F251" s="2" t="str">
        <f ca="1"/>
        <v>0866905125</v>
      </c>
      <c r="G251" s="2" t="str">
        <f ca="1">IFERROR(__xludf.DUMMYFUNCTION("""COMPUTED_VALUE"""),"105634653651")</f>
        <v>105634653651</v>
      </c>
      <c r="I251" s="2" t="str">
        <f ca="1">IFERROR(__xludf.DUMMYFUNCTION("""COMPUTED_VALUE"""),"Phạm Trường Lâm")</f>
        <v>Phạm Trường Lâm</v>
      </c>
      <c r="J251" s="2" t="str">
        <f ca="1">IFERROR(__xludf.DUMMYFUNCTION("""COMPUTED_VALUE"""),"0974163605")</f>
        <v>0974163605</v>
      </c>
      <c r="K251" s="2" t="str">
        <f ca="1">IFERROR(__xludf.DUMMYFUNCTION("""COMPUTED_VALUE"""),"1746014513982")</f>
        <v>1746014513982</v>
      </c>
    </row>
    <row r="252" spans="1:11" ht="12.45">
      <c r="A252" s="2" t="str">
        <f ca="1">IFERROR(__xludf.DUMMYFUNCTION("""COMPUTED_VALUE"""),"1746014549032")</f>
        <v>1746014549032</v>
      </c>
      <c r="B252" s="2">
        <f ca="1">IFERROR(__xludf.DUMMYFUNCTION("""COMPUTED_VALUE"""),862141529)</f>
        <v>862141529</v>
      </c>
      <c r="C252" s="2" t="str">
        <f ca="1"/>
        <v>0862141529</v>
      </c>
      <c r="D252" s="2" t="str">
        <f ca="1">IFERROR(__xludf.DUMMYFUNCTION("""COMPUTED_VALUE"""),"1755582975586")</f>
        <v>1755582975586</v>
      </c>
      <c r="E252" s="2">
        <f ca="1">IFERROR(__xludf.DUMMYFUNCTION("""COMPUTED_VALUE"""),835060163)</f>
        <v>835060163</v>
      </c>
      <c r="F252" s="2" t="str">
        <f ca="1"/>
        <v>0835060163</v>
      </c>
      <c r="G252" s="2" t="str">
        <f ca="1">IFERROR(__xludf.DUMMYFUNCTION("""COMPUTED_VALUE"""),"105634653852")</f>
        <v>105634653852</v>
      </c>
      <c r="I252" s="2" t="str">
        <f ca="1">IFERROR(__xludf.DUMMYFUNCTION("""COMPUTED_VALUE"""),"Nguyễn Phương Linh ")</f>
        <v xml:space="preserve">Nguyễn Phương Linh </v>
      </c>
      <c r="J252" s="2" t="str">
        <f ca="1">IFERROR(__xludf.DUMMYFUNCTION("""COMPUTED_VALUE"""),"0396863982")</f>
        <v>0396863982</v>
      </c>
      <c r="K252" s="2" t="str">
        <f ca="1">IFERROR(__xludf.DUMMYFUNCTION("""COMPUTED_VALUE"""),"1746014549032")</f>
        <v>1746014549032</v>
      </c>
    </row>
    <row r="253" spans="1:11" ht="12.45">
      <c r="A253" s="2" t="str">
        <f ca="1">IFERROR(__xludf.DUMMYFUNCTION("""COMPUTED_VALUE"""),"1746014584029")</f>
        <v>1746014584029</v>
      </c>
      <c r="B253" s="2">
        <f ca="1">IFERROR(__xludf.DUMMYFUNCTION("""COMPUTED_VALUE"""),934020806)</f>
        <v>934020806</v>
      </c>
      <c r="C253" s="2" t="str">
        <f ca="1"/>
        <v>0934020806</v>
      </c>
      <c r="D253" s="2" t="str">
        <f ca="1">IFERROR(__xludf.DUMMYFUNCTION("""COMPUTED_VALUE"""),"1755583015354")</f>
        <v>1755583015354</v>
      </c>
      <c r="E253" s="2">
        <f ca="1">IFERROR(__xludf.DUMMYFUNCTION("""COMPUTED_VALUE"""),395616983)</f>
        <v>395616983</v>
      </c>
      <c r="F253" s="2" t="str">
        <f ca="1"/>
        <v>0395616983</v>
      </c>
      <c r="G253" s="2" t="str">
        <f ca="1">IFERROR(__xludf.DUMMYFUNCTION("""COMPUTED_VALUE"""),"105634653952")</f>
        <v>105634653952</v>
      </c>
      <c r="I253" s="2" t="str">
        <f ca="1">IFERROR(__xludf.DUMMYFUNCTION("""COMPUTED_VALUE"""),"Vũ Thị Ngọc Ánh")</f>
        <v>Vũ Thị Ngọc Ánh</v>
      </c>
      <c r="J253" s="2" t="str">
        <f ca="1">IFERROR(__xludf.DUMMYFUNCTION("""COMPUTED_VALUE"""),"0375007824")</f>
        <v>0375007824</v>
      </c>
      <c r="K253" s="2" t="str">
        <f ca="1">IFERROR(__xludf.DUMMYFUNCTION("""COMPUTED_VALUE"""),"1746014584029")</f>
        <v>1746014584029</v>
      </c>
    </row>
    <row r="254" spans="1:11" ht="12.45">
      <c r="A254" s="2" t="str">
        <f ca="1">IFERROR(__xludf.DUMMYFUNCTION("""COMPUTED_VALUE"""),"1746014621052")</f>
        <v>1746014621052</v>
      </c>
      <c r="B254" s="2">
        <f ca="1">IFERROR(__xludf.DUMMYFUNCTION("""COMPUTED_VALUE"""),911950016)</f>
        <v>911950016</v>
      </c>
      <c r="C254" s="2" t="str">
        <f ca="1"/>
        <v>0911950016</v>
      </c>
      <c r="D254" s="2" t="str">
        <f ca="1">IFERROR(__xludf.DUMMYFUNCTION("""COMPUTED_VALUE"""),"1755583083916")</f>
        <v>1755583083916</v>
      </c>
      <c r="E254" s="2">
        <f ca="1">IFERROR(__xludf.DUMMYFUNCTION("""COMPUTED_VALUE"""),372852168)</f>
        <v>372852168</v>
      </c>
      <c r="F254" s="2" t="str">
        <f ca="1"/>
        <v>0372852168</v>
      </c>
      <c r="G254" s="2" t="str">
        <f ca="1">IFERROR(__xludf.DUMMYFUNCTION("""COMPUTED_VALUE"""),"105634654080")</f>
        <v>105634654080</v>
      </c>
      <c r="I254" s="2" t="str">
        <f ca="1">IFERROR(__xludf.DUMMYFUNCTION("""COMPUTED_VALUE"""),"Nguyễn Vũ Ngân")</f>
        <v>Nguyễn Vũ Ngân</v>
      </c>
      <c r="J254" s="2" t="str">
        <f ca="1">IFERROR(__xludf.DUMMYFUNCTION("""COMPUTED_VALUE"""),"0328814885")</f>
        <v>0328814885</v>
      </c>
      <c r="K254" s="2" t="str">
        <f ca="1">IFERROR(__xludf.DUMMYFUNCTION("""COMPUTED_VALUE"""),"1746014621052")</f>
        <v>1746014621052</v>
      </c>
    </row>
    <row r="255" spans="1:11" ht="12.45">
      <c r="A255" s="2" t="str">
        <f ca="1">IFERROR(__xludf.DUMMYFUNCTION("""COMPUTED_VALUE"""),"1746014655534")</f>
        <v>1746014655534</v>
      </c>
      <c r="B255" s="2">
        <f ca="1">IFERROR(__xludf.DUMMYFUNCTION("""COMPUTED_VALUE"""),374072752)</f>
        <v>374072752</v>
      </c>
      <c r="C255" s="2" t="str">
        <f ca="1"/>
        <v>0374072752</v>
      </c>
      <c r="D255" s="2" t="str">
        <f ca="1">IFERROR(__xludf.DUMMYFUNCTION("""COMPUTED_VALUE"""),"1755583132268")</f>
        <v>1755583132268</v>
      </c>
      <c r="E255" s="2">
        <f ca="1">IFERROR(__xludf.DUMMYFUNCTION("""COMPUTED_VALUE"""),949814887)</f>
        <v>949814887</v>
      </c>
      <c r="F255" s="2" t="str">
        <f ca="1"/>
        <v>0949814887</v>
      </c>
      <c r="G255" s="2" t="str">
        <f ca="1">IFERROR(__xludf.DUMMYFUNCTION("""COMPUTED_VALUE"""),"105634654257")</f>
        <v>105634654257</v>
      </c>
      <c r="I255" s="2" t="str">
        <f ca="1">IFERROR(__xludf.DUMMYFUNCTION("""COMPUTED_VALUE"""),"Nguyễn Hồng Trà My")</f>
        <v>Nguyễn Hồng Trà My</v>
      </c>
      <c r="J255" s="2" t="str">
        <f ca="1">IFERROR(__xludf.DUMMYFUNCTION("""COMPUTED_VALUE"""),"0963117665")</f>
        <v>0963117665</v>
      </c>
      <c r="K255" s="2" t="str">
        <f ca="1">IFERROR(__xludf.DUMMYFUNCTION("""COMPUTED_VALUE"""),"1746014655534")</f>
        <v>1746014655534</v>
      </c>
    </row>
    <row r="256" spans="1:11" ht="12.45">
      <c r="A256" s="2" t="str">
        <f ca="1">IFERROR(__xludf.DUMMYFUNCTION("""COMPUTED_VALUE"""),"1746014715388")</f>
        <v>1746014715388</v>
      </c>
      <c r="B256" s="2">
        <f ca="1">IFERROR(__xludf.DUMMYFUNCTION("""COMPUTED_VALUE"""),869198606)</f>
        <v>869198606</v>
      </c>
      <c r="C256" s="2" t="str">
        <f ca="1"/>
        <v>0869198606</v>
      </c>
      <c r="D256" s="2" t="str">
        <f ca="1">IFERROR(__xludf.DUMMYFUNCTION("""COMPUTED_VALUE"""),"1755583196636")</f>
        <v>1755583196636</v>
      </c>
      <c r="E256" s="2">
        <f ca="1">IFERROR(__xludf.DUMMYFUNCTION("""COMPUTED_VALUE"""),767625063)</f>
        <v>767625063</v>
      </c>
      <c r="F256" s="2" t="str">
        <f ca="1"/>
        <v>0767625063</v>
      </c>
      <c r="G256" s="2" t="str">
        <f ca="1">IFERROR(__xludf.DUMMYFUNCTION("""COMPUTED_VALUE"""),"105634654315")</f>
        <v>105634654315</v>
      </c>
      <c r="I256" s="2" t="str">
        <f ca="1">IFERROR(__xludf.DUMMYFUNCTION("""COMPUTED_VALUE"""),"Nguyễn Thị Thuỳ Dương")</f>
        <v>Nguyễn Thị Thuỳ Dương</v>
      </c>
      <c r="J256" s="2" t="str">
        <f ca="1">IFERROR(__xludf.DUMMYFUNCTION("""COMPUTED_VALUE"""),"0389705813")</f>
        <v>0389705813</v>
      </c>
      <c r="K256" s="2" t="str">
        <f ca="1">IFERROR(__xludf.DUMMYFUNCTION("""COMPUTED_VALUE"""),"1746014715388")</f>
        <v>1746014715388</v>
      </c>
    </row>
    <row r="257" spans="1:11" ht="12.45">
      <c r="A257" s="2" t="str">
        <f ca="1">IFERROR(__xludf.DUMMYFUNCTION("""COMPUTED_VALUE"""),"1746014783557")</f>
        <v>1746014783557</v>
      </c>
      <c r="B257" s="2">
        <f ca="1">IFERROR(__xludf.DUMMYFUNCTION("""COMPUTED_VALUE"""),976148745)</f>
        <v>976148745</v>
      </c>
      <c r="C257" s="2" t="str">
        <f ca="1"/>
        <v>0976148745</v>
      </c>
      <c r="D257" s="2" t="str">
        <f ca="1">IFERROR(__xludf.DUMMYFUNCTION("""COMPUTED_VALUE"""),"1755583256439")</f>
        <v>1755583256439</v>
      </c>
      <c r="E257" s="2">
        <f ca="1">IFERROR(__xludf.DUMMYFUNCTION("""COMPUTED_VALUE"""),984861981)</f>
        <v>984861981</v>
      </c>
      <c r="F257" s="2" t="str">
        <f ca="1"/>
        <v>0984861981</v>
      </c>
      <c r="G257" s="2" t="str">
        <f ca="1">IFERROR(__xludf.DUMMYFUNCTION("""COMPUTED_VALUE"""),"105634654540")</f>
        <v>105634654540</v>
      </c>
      <c r="I257" s="2" t="str">
        <f ca="1">IFERROR(__xludf.DUMMYFUNCTION("""COMPUTED_VALUE"""),"Chu Hồng Quyên")</f>
        <v>Chu Hồng Quyên</v>
      </c>
      <c r="J257" s="2" t="str">
        <f ca="1">IFERROR(__xludf.DUMMYFUNCTION("""COMPUTED_VALUE"""),"0985974506")</f>
        <v>0985974506</v>
      </c>
      <c r="K257" s="2" t="str">
        <f ca="1">IFERROR(__xludf.DUMMYFUNCTION("""COMPUTED_VALUE"""),"1746014783557")</f>
        <v>1746014783557</v>
      </c>
    </row>
    <row r="258" spans="1:11" ht="12.45">
      <c r="A258" s="2" t="str">
        <f ca="1">IFERROR(__xludf.DUMMYFUNCTION("""COMPUTED_VALUE"""),"1746014851715")</f>
        <v>1746014851715</v>
      </c>
      <c r="B258" s="2">
        <f ca="1">IFERROR(__xludf.DUMMYFUNCTION("""COMPUTED_VALUE"""),833577048)</f>
        <v>833577048</v>
      </c>
      <c r="C258" s="2" t="str">
        <f ca="1"/>
        <v>0833577048</v>
      </c>
      <c r="D258" s="2" t="str">
        <f ca="1">IFERROR(__xludf.DUMMYFUNCTION("""COMPUTED_VALUE"""),"1755583288704")</f>
        <v>1755583288704</v>
      </c>
      <c r="E258" s="2">
        <f ca="1">IFERROR(__xludf.DUMMYFUNCTION("""COMPUTED_VALUE"""),329628757)</f>
        <v>329628757</v>
      </c>
      <c r="F258" s="2" t="str">
        <f ca="1"/>
        <v>0329628757</v>
      </c>
      <c r="G258" s="2">
        <f ca="1">IFERROR(__xludf.DUMMYFUNCTION("""COMPUTED_VALUE"""),105556054421)</f>
        <v>105556054421</v>
      </c>
      <c r="I258" s="2" t="str">
        <f ca="1">IFERROR(__xludf.DUMMYFUNCTION("""COMPUTED_VALUE"""),"Võ Hà Giang")</f>
        <v>Võ Hà Giang</v>
      </c>
      <c r="J258" s="2" t="str">
        <f ca="1">IFERROR(__xludf.DUMMYFUNCTION("""COMPUTED_VALUE"""),"0912829072")</f>
        <v>0912829072</v>
      </c>
      <c r="K258" s="2" t="str">
        <f ca="1">IFERROR(__xludf.DUMMYFUNCTION("""COMPUTED_VALUE"""),"1746014851715")</f>
        <v>1746014851715</v>
      </c>
    </row>
    <row r="259" spans="1:11" ht="12.45">
      <c r="A259" s="2" t="str">
        <f ca="1">IFERROR(__xludf.DUMMYFUNCTION("""COMPUTED_VALUE"""),"1746014920966")</f>
        <v>1746014920966</v>
      </c>
      <c r="B259" s="2">
        <f ca="1">IFERROR(__xludf.DUMMYFUNCTION("""COMPUTED_VALUE"""),975518308)</f>
        <v>975518308</v>
      </c>
      <c r="C259" s="2" t="str">
        <f ca="1"/>
        <v>0975518308</v>
      </c>
      <c r="D259" s="2" t="str">
        <f ca="1">IFERROR(__xludf.DUMMYFUNCTION("""COMPUTED_VALUE"""),"1755583321386")</f>
        <v>1755583321386</v>
      </c>
      <c r="E259" s="2">
        <f ca="1">IFERROR(__xludf.DUMMYFUNCTION("""COMPUTED_VALUE"""),854012511)</f>
        <v>854012511</v>
      </c>
      <c r="F259" s="2" t="str">
        <f ca="1"/>
        <v>0854012511</v>
      </c>
      <c r="G259" s="2" t="str">
        <f ca="1">IFERROR(__xludf.DUMMYFUNCTION("""COMPUTED_VALUE"""),"105634654677")</f>
        <v>105634654677</v>
      </c>
      <c r="I259" s="2" t="str">
        <f ca="1">IFERROR(__xludf.DUMMYFUNCTION("""COMPUTED_VALUE"""),"Nguyễn Bình An")</f>
        <v>Nguyễn Bình An</v>
      </c>
      <c r="J259" s="2" t="str">
        <f ca="1">IFERROR(__xludf.DUMMYFUNCTION("""COMPUTED_VALUE"""),"0377513008")</f>
        <v>0377513008</v>
      </c>
      <c r="K259" s="2" t="str">
        <f ca="1">IFERROR(__xludf.DUMMYFUNCTION("""COMPUTED_VALUE"""),"1746014920966")</f>
        <v>1746014920966</v>
      </c>
    </row>
    <row r="260" spans="1:11" ht="12.45">
      <c r="A260" s="2" t="str">
        <f ca="1">IFERROR(__xludf.DUMMYFUNCTION("""COMPUTED_VALUE"""),"1746014956619")</f>
        <v>1746014956619</v>
      </c>
      <c r="B260" s="2">
        <f ca="1">IFERROR(__xludf.DUMMYFUNCTION("""COMPUTED_VALUE"""),976390730)</f>
        <v>976390730</v>
      </c>
      <c r="C260" s="2" t="str">
        <f ca="1"/>
        <v>0976390730</v>
      </c>
      <c r="D260" s="2" t="str">
        <f ca="1">IFERROR(__xludf.DUMMYFUNCTION("""COMPUTED_VALUE"""),"1755583360589")</f>
        <v>1755583360589</v>
      </c>
      <c r="E260" s="2">
        <f ca="1">IFERROR(__xludf.DUMMYFUNCTION("""COMPUTED_VALUE"""),382734669)</f>
        <v>382734669</v>
      </c>
      <c r="F260" s="2" t="str">
        <f ca="1"/>
        <v>0382734669</v>
      </c>
      <c r="G260" s="2" t="str">
        <f ca="1">IFERROR(__xludf.DUMMYFUNCTION("""COMPUTED_VALUE"""),"105634654746")</f>
        <v>105634654746</v>
      </c>
      <c r="I260" s="2" t="str">
        <f ca="1">IFERROR(__xludf.DUMMYFUNCTION("""COMPUTED_VALUE"""),"Đặng Thảo Chi")</f>
        <v>Đặng Thảo Chi</v>
      </c>
      <c r="J260" s="2" t="str">
        <f ca="1">IFERROR(__xludf.DUMMYFUNCTION("""COMPUTED_VALUE"""),"0359069374")</f>
        <v>0359069374</v>
      </c>
      <c r="K260" s="2" t="str">
        <f ca="1">IFERROR(__xludf.DUMMYFUNCTION("""COMPUTED_VALUE"""),"1746014956619")</f>
        <v>1746014956619</v>
      </c>
    </row>
    <row r="261" spans="1:11" ht="12.45">
      <c r="A261" s="2" t="str">
        <f ca="1">IFERROR(__xludf.DUMMYFUNCTION("""COMPUTED_VALUE"""),"1746015000578")</f>
        <v>1746015000578</v>
      </c>
      <c r="B261" s="2">
        <f ca="1">IFERROR(__xludf.DUMMYFUNCTION("""COMPUTED_VALUE"""),347341258)</f>
        <v>347341258</v>
      </c>
      <c r="C261" s="2" t="str">
        <f ca="1"/>
        <v>0347341258</v>
      </c>
      <c r="D261" s="2" t="str">
        <f ca="1">IFERROR(__xludf.DUMMYFUNCTION("""COMPUTED_VALUE"""),"1755583401529")</f>
        <v>1755583401529</v>
      </c>
      <c r="E261" s="2">
        <f ca="1">IFERROR(__xludf.DUMMYFUNCTION("""COMPUTED_VALUE"""),823011435)</f>
        <v>823011435</v>
      </c>
      <c r="F261" s="2" t="str">
        <f ca="1"/>
        <v>0823011435</v>
      </c>
      <c r="G261" s="2" t="str">
        <f ca="1">IFERROR(__xludf.DUMMYFUNCTION("""COMPUTED_VALUE"""),"105634654883")</f>
        <v>105634654883</v>
      </c>
      <c r="I261" s="2" t="str">
        <f ca="1">IFERROR(__xludf.DUMMYFUNCTION("""COMPUTED_VALUE"""),"Nguyễn Ngọc Anh")</f>
        <v>Nguyễn Ngọc Anh</v>
      </c>
      <c r="J261" s="2" t="str">
        <f ca="1">IFERROR(__xludf.DUMMYFUNCTION("""COMPUTED_VALUE"""),"0372173356")</f>
        <v>0372173356</v>
      </c>
      <c r="K261" s="2" t="str">
        <f ca="1">IFERROR(__xludf.DUMMYFUNCTION("""COMPUTED_VALUE"""),"1746015000578")</f>
        <v>1746015000578</v>
      </c>
    </row>
    <row r="262" spans="1:11" ht="12.45">
      <c r="A262" s="2" t="str">
        <f ca="1">IFERROR(__xludf.DUMMYFUNCTION("""COMPUTED_VALUE"""),"1746015051646")</f>
        <v>1746015051646</v>
      </c>
      <c r="B262" s="2">
        <f ca="1">IFERROR(__xludf.DUMMYFUNCTION("""COMPUTED_VALUE"""),988204203)</f>
        <v>988204203</v>
      </c>
      <c r="C262" s="2" t="str">
        <f ca="1"/>
        <v>0988204203</v>
      </c>
      <c r="D262" s="2" t="str">
        <f ca="1">IFERROR(__xludf.DUMMYFUNCTION("""COMPUTED_VALUE"""),"1755583432733")</f>
        <v>1755583432733</v>
      </c>
      <c r="E262" s="2">
        <f ca="1">IFERROR(__xludf.DUMMYFUNCTION("""COMPUTED_VALUE"""),354660120)</f>
        <v>354660120</v>
      </c>
      <c r="F262" s="2" t="str">
        <f ca="1"/>
        <v>0354660120</v>
      </c>
      <c r="G262" s="2" t="str">
        <f ca="1">IFERROR(__xludf.DUMMYFUNCTION("""COMPUTED_VALUE"""),"105634654976")</f>
        <v>105634654976</v>
      </c>
      <c r="I262" s="2" t="str">
        <f ca="1">IFERROR(__xludf.DUMMYFUNCTION("""COMPUTED_VALUE"""),"Nguyễn Thị Hương")</f>
        <v>Nguyễn Thị Hương</v>
      </c>
      <c r="J262" s="2" t="str">
        <f ca="1">IFERROR(__xludf.DUMMYFUNCTION("""COMPUTED_VALUE"""),"0396510940")</f>
        <v>0396510940</v>
      </c>
      <c r="K262" s="2" t="str">
        <f ca="1">IFERROR(__xludf.DUMMYFUNCTION("""COMPUTED_VALUE"""),"1746015051646")</f>
        <v>1746015051646</v>
      </c>
    </row>
    <row r="263" spans="1:11" ht="12.45">
      <c r="A263" s="2" t="str">
        <f ca="1">IFERROR(__xludf.DUMMYFUNCTION("""COMPUTED_VALUE"""),"1746015092526")</f>
        <v>1746015092526</v>
      </c>
      <c r="B263" s="2">
        <f ca="1">IFERROR(__xludf.DUMMYFUNCTION("""COMPUTED_VALUE"""),916199595)</f>
        <v>916199595</v>
      </c>
      <c r="C263" s="2" t="str">
        <f ca="1"/>
        <v>0916199595</v>
      </c>
      <c r="D263" s="2" t="str">
        <f ca="1">IFERROR(__xludf.DUMMYFUNCTION("""COMPUTED_VALUE"""),"1755583473821")</f>
        <v>1755583473821</v>
      </c>
      <c r="E263" s="2">
        <f ca="1">IFERROR(__xludf.DUMMYFUNCTION("""COMPUTED_VALUE"""),336424644)</f>
        <v>336424644</v>
      </c>
      <c r="F263" s="2" t="str">
        <f ca="1"/>
        <v>0336424644</v>
      </c>
      <c r="G263" s="2" t="str">
        <f ca="1">IFERROR(__xludf.DUMMYFUNCTION("""COMPUTED_VALUE"""),"105634655147")</f>
        <v>105634655147</v>
      </c>
      <c r="I263" s="2" t="str">
        <f ca="1">IFERROR(__xludf.DUMMYFUNCTION("""COMPUTED_VALUE"""),"Trần Iêu Jin ")</f>
        <v xml:space="preserve">Trần Iêu Jin </v>
      </c>
      <c r="J263" s="2" t="str">
        <f ca="1">IFERROR(__xludf.DUMMYFUNCTION("""COMPUTED_VALUE"""),"0947073072")</f>
        <v>0947073072</v>
      </c>
      <c r="K263" s="2" t="str">
        <f ca="1">IFERROR(__xludf.DUMMYFUNCTION("""COMPUTED_VALUE"""),"1746015092526")</f>
        <v>1746015092526</v>
      </c>
    </row>
    <row r="264" spans="1:11" ht="12.45">
      <c r="A264" s="2" t="str">
        <f ca="1">IFERROR(__xludf.DUMMYFUNCTION("""COMPUTED_VALUE"""),"1746015134428")</f>
        <v>1746015134428</v>
      </c>
      <c r="B264" s="2">
        <f ca="1">IFERROR(__xludf.DUMMYFUNCTION("""COMPUTED_VALUE"""),964730278)</f>
        <v>964730278</v>
      </c>
      <c r="C264" s="2" t="str">
        <f ca="1"/>
        <v>0964730278</v>
      </c>
      <c r="D264" s="2" t="str">
        <f ca="1">IFERROR(__xludf.DUMMYFUNCTION("""COMPUTED_VALUE"""),"1755583517500")</f>
        <v>1755583517500</v>
      </c>
      <c r="E264" s="2">
        <f ca="1">IFERROR(__xludf.DUMMYFUNCTION("""COMPUTED_VALUE"""),394256809)</f>
        <v>394256809</v>
      </c>
      <c r="F264" s="2" t="str">
        <f ca="1"/>
        <v>0394256809</v>
      </c>
      <c r="G264" s="2" t="str">
        <f ca="1">IFERROR(__xludf.DUMMYFUNCTION("""COMPUTED_VALUE"""),"105634655327")</f>
        <v>105634655327</v>
      </c>
      <c r="I264" s="2" t="str">
        <f ca="1">IFERROR(__xludf.DUMMYFUNCTION("""COMPUTED_VALUE"""),"Nguyễn Trần Kim Ngân ")</f>
        <v xml:space="preserve">Nguyễn Trần Kim Ngân </v>
      </c>
      <c r="J264" s="2" t="str">
        <f ca="1">IFERROR(__xludf.DUMMYFUNCTION("""COMPUTED_VALUE"""),"0389811140")</f>
        <v>0389811140</v>
      </c>
      <c r="K264" s="2" t="str">
        <f ca="1">IFERROR(__xludf.DUMMYFUNCTION("""COMPUTED_VALUE"""),"1746015134428")</f>
        <v>1746015134428</v>
      </c>
    </row>
    <row r="265" spans="1:11" ht="12.45">
      <c r="A265" s="2" t="str">
        <f ca="1">IFERROR(__xludf.DUMMYFUNCTION("""COMPUTED_VALUE"""),"1746015176706")</f>
        <v>1746015176706</v>
      </c>
      <c r="B265" s="2">
        <f ca="1">IFERROR(__xludf.DUMMYFUNCTION("""COMPUTED_VALUE"""),963671530)</f>
        <v>963671530</v>
      </c>
      <c r="C265" s="2" t="str">
        <f ca="1"/>
        <v>0963671530</v>
      </c>
      <c r="D265" s="2" t="str">
        <f ca="1">IFERROR(__xludf.DUMMYFUNCTION("""COMPUTED_VALUE"""),"1755583567118")</f>
        <v>1755583567118</v>
      </c>
      <c r="E265" s="2">
        <f ca="1">IFERROR(__xludf.DUMMYFUNCTION("""COMPUTED_VALUE"""),328801188)</f>
        <v>328801188</v>
      </c>
      <c r="F265" s="2" t="str">
        <f ca="1"/>
        <v>0328801188</v>
      </c>
      <c r="G265" s="2" t="str">
        <f ca="1">IFERROR(__xludf.DUMMYFUNCTION("""COMPUTED_VALUE"""),"105634655482")</f>
        <v>105634655482</v>
      </c>
      <c r="I265" s="2" t="str">
        <f ca="1">IFERROR(__xludf.DUMMYFUNCTION("""COMPUTED_VALUE"""),"Nguyễn Thành Vinh")</f>
        <v>Nguyễn Thành Vinh</v>
      </c>
      <c r="J265" s="2" t="str">
        <f ca="1">IFERROR(__xludf.DUMMYFUNCTION("""COMPUTED_VALUE"""),"0868256021")</f>
        <v>0868256021</v>
      </c>
      <c r="K265" s="2" t="str">
        <f ca="1">IFERROR(__xludf.DUMMYFUNCTION("""COMPUTED_VALUE"""),"1746015176706")</f>
        <v>1746015176706</v>
      </c>
    </row>
    <row r="266" spans="1:11" ht="12.45">
      <c r="A266" s="2" t="str">
        <f ca="1">IFERROR(__xludf.DUMMYFUNCTION("""COMPUTED_VALUE"""),"1746615271802")</f>
        <v>1746615271802</v>
      </c>
      <c r="B266" s="2">
        <f ca="1">IFERROR(__xludf.DUMMYFUNCTION("""COMPUTED_VALUE"""),382466194)</f>
        <v>382466194</v>
      </c>
      <c r="C266" s="2" t="str">
        <f ca="1"/>
        <v>0382466194</v>
      </c>
      <c r="D266" s="2" t="str">
        <f ca="1">IFERROR(__xludf.DUMMYFUNCTION("""COMPUTED_VALUE"""),"1755583623583")</f>
        <v>1755583623583</v>
      </c>
      <c r="E266" s="2">
        <f ca="1">IFERROR(__xludf.DUMMYFUNCTION("""COMPUTED_VALUE"""),766826151)</f>
        <v>766826151</v>
      </c>
      <c r="F266" s="2" t="str">
        <f ca="1"/>
        <v>0766826151</v>
      </c>
      <c r="G266" s="2" t="str">
        <f ca="1">IFERROR(__xludf.DUMMYFUNCTION("""COMPUTED_VALUE"""),"105634655628")</f>
        <v>105634655628</v>
      </c>
      <c r="I266" s="2" t="str">
        <f ca="1">IFERROR(__xludf.DUMMYFUNCTION("""COMPUTED_VALUE"""),"Nguyễn Huyền Trang")</f>
        <v>Nguyễn Huyền Trang</v>
      </c>
      <c r="J266" s="2" t="str">
        <f ca="1">IFERROR(__xludf.DUMMYFUNCTION("""COMPUTED_VALUE"""),"0337024675")</f>
        <v>0337024675</v>
      </c>
      <c r="K266" s="2" t="str">
        <f ca="1">IFERROR(__xludf.DUMMYFUNCTION("""COMPUTED_VALUE"""),"1746615271802")</f>
        <v>1746615271802</v>
      </c>
    </row>
    <row r="267" spans="1:11" ht="12.45">
      <c r="A267" s="2" t="str">
        <f ca="1">IFERROR(__xludf.DUMMYFUNCTION("""COMPUTED_VALUE"""),"1746615322779")</f>
        <v>1746615322779</v>
      </c>
      <c r="B267" s="2">
        <f ca="1">IFERROR(__xludf.DUMMYFUNCTION("""COMPUTED_VALUE"""),963037947)</f>
        <v>963037947</v>
      </c>
      <c r="C267" s="2" t="str">
        <f ca="1"/>
        <v>0963037947</v>
      </c>
      <c r="D267" s="2" t="str">
        <f ca="1">IFERROR(__xludf.DUMMYFUNCTION("""COMPUTED_VALUE"""),"1755583665299")</f>
        <v>1755583665299</v>
      </c>
      <c r="E267" s="2">
        <f ca="1">IFERROR(__xludf.DUMMYFUNCTION("""COMPUTED_VALUE"""),373929497)</f>
        <v>373929497</v>
      </c>
      <c r="F267" s="2" t="str">
        <f ca="1"/>
        <v>0373929497</v>
      </c>
      <c r="G267" s="2" t="str">
        <f ca="1">IFERROR(__xludf.DUMMYFUNCTION("""COMPUTED_VALUE"""),"105634655738")</f>
        <v>105634655738</v>
      </c>
      <c r="I267" s="2" t="str">
        <f ca="1">IFERROR(__xludf.DUMMYFUNCTION("""COMPUTED_VALUE"""),"Vũ Thị Thuỳ Trang ")</f>
        <v xml:space="preserve">Vũ Thị Thuỳ Trang </v>
      </c>
      <c r="J267" s="2" t="str">
        <f ca="1">IFERROR(__xludf.DUMMYFUNCTION("""COMPUTED_VALUE"""),"0392378526")</f>
        <v>0392378526</v>
      </c>
      <c r="K267" s="2" t="str">
        <f ca="1">IFERROR(__xludf.DUMMYFUNCTION("""COMPUTED_VALUE"""),"1746615322779")</f>
        <v>1746615322779</v>
      </c>
    </row>
    <row r="268" spans="1:11" ht="12.45">
      <c r="A268" s="2" t="str">
        <f ca="1">IFERROR(__xludf.DUMMYFUNCTION("""COMPUTED_VALUE"""),"1746615359588")</f>
        <v>1746615359588</v>
      </c>
      <c r="B268" s="2">
        <f ca="1">IFERROR(__xludf.DUMMYFUNCTION("""COMPUTED_VALUE"""),392963427)</f>
        <v>392963427</v>
      </c>
      <c r="C268" s="2" t="str">
        <f ca="1"/>
        <v>0392963427</v>
      </c>
      <c r="D268" s="2" t="str">
        <f ca="1">IFERROR(__xludf.DUMMYFUNCTION("""COMPUTED_VALUE"""),"1755583709961")</f>
        <v>1755583709961</v>
      </c>
      <c r="E268" s="2">
        <f ca="1">IFERROR(__xludf.DUMMYFUNCTION("""COMPUTED_VALUE"""),867062523)</f>
        <v>867062523</v>
      </c>
      <c r="F268" s="2" t="str">
        <f ca="1"/>
        <v>0867062523</v>
      </c>
      <c r="G268" s="2" t="str">
        <f ca="1">IFERROR(__xludf.DUMMYFUNCTION("""COMPUTED_VALUE"""),"105634655883")</f>
        <v>105634655883</v>
      </c>
      <c r="I268" s="2" t="str">
        <f ca="1">IFERROR(__xludf.DUMMYFUNCTION("""COMPUTED_VALUE"""),"Trương Phương Anh")</f>
        <v>Trương Phương Anh</v>
      </c>
      <c r="J268" s="2" t="str">
        <f ca="1">IFERROR(__xludf.DUMMYFUNCTION("""COMPUTED_VALUE"""),"0839695568")</f>
        <v>0839695568</v>
      </c>
      <c r="K268" s="2" t="str">
        <f ca="1">IFERROR(__xludf.DUMMYFUNCTION("""COMPUTED_VALUE"""),"1746615359588")</f>
        <v>1746615359588</v>
      </c>
    </row>
    <row r="269" spans="1:11" ht="12.45">
      <c r="A269" s="2" t="str">
        <f ca="1">IFERROR(__xludf.DUMMYFUNCTION("""COMPUTED_VALUE"""),"1746615402744")</f>
        <v>1746615402744</v>
      </c>
      <c r="B269" s="2">
        <f ca="1">IFERROR(__xludf.DUMMYFUNCTION("""COMPUTED_VALUE"""),325442146)</f>
        <v>325442146</v>
      </c>
      <c r="C269" s="2" t="str">
        <f ca="1"/>
        <v>0325442146</v>
      </c>
      <c r="D269" s="2" t="str">
        <f ca="1">IFERROR(__xludf.DUMMYFUNCTION("""COMPUTED_VALUE"""),"1755583764784")</f>
        <v>1755583764784</v>
      </c>
      <c r="E269" s="2">
        <f ca="1">IFERROR(__xludf.DUMMYFUNCTION("""COMPUTED_VALUE"""),813791563)</f>
        <v>813791563</v>
      </c>
      <c r="F269" s="2" t="str">
        <f ca="1"/>
        <v>0813791563</v>
      </c>
      <c r="G269" s="2" t="str">
        <f ca="1">IFERROR(__xludf.DUMMYFUNCTION("""COMPUTED_VALUE"""),"105634655932")</f>
        <v>105634655932</v>
      </c>
      <c r="I269" s="2" t="str">
        <f ca="1">IFERROR(__xludf.DUMMYFUNCTION("""COMPUTED_VALUE"""),"Trần Lê Anh Đào")</f>
        <v>Trần Lê Anh Đào</v>
      </c>
      <c r="J269" s="2" t="str">
        <f ca="1">IFERROR(__xludf.DUMMYFUNCTION("""COMPUTED_VALUE"""),"0868501396")</f>
        <v>0868501396</v>
      </c>
      <c r="K269" s="2" t="str">
        <f ca="1">IFERROR(__xludf.DUMMYFUNCTION("""COMPUTED_VALUE"""),"1746615402744")</f>
        <v>1746615402744</v>
      </c>
    </row>
    <row r="270" spans="1:11" ht="12.45">
      <c r="A270" s="2" t="str">
        <f ca="1">IFERROR(__xludf.DUMMYFUNCTION("""COMPUTED_VALUE"""),"1746615438096")</f>
        <v>1746615438096</v>
      </c>
      <c r="B270" s="2">
        <f ca="1">IFERROR(__xludf.DUMMYFUNCTION("""COMPUTED_VALUE"""),382509415)</f>
        <v>382509415</v>
      </c>
      <c r="C270" s="2" t="str">
        <f ca="1"/>
        <v>0382509415</v>
      </c>
      <c r="D270" s="2" t="str">
        <f ca="1">IFERROR(__xludf.DUMMYFUNCTION("""COMPUTED_VALUE"""),"1755581284090")</f>
        <v>1755581284090</v>
      </c>
      <c r="E270" s="2">
        <f ca="1">IFERROR(__xludf.DUMMYFUNCTION("""COMPUTED_VALUE"""),382678208)</f>
        <v>382678208</v>
      </c>
      <c r="F270" s="2" t="str">
        <f ca="1"/>
        <v>0382678208</v>
      </c>
      <c r="G270" s="2" t="str">
        <f ca="1">IFERROR(__xludf.DUMMYFUNCTION("""COMPUTED_VALUE"""),"105634656096")</f>
        <v>105634656096</v>
      </c>
      <c r="I270" s="2" t="str">
        <f ca="1">IFERROR(__xludf.DUMMYFUNCTION("""COMPUTED_VALUE"""),"Nguyễn Trần Khánh Linh")</f>
        <v>Nguyễn Trần Khánh Linh</v>
      </c>
      <c r="J270" s="2" t="str">
        <f ca="1">IFERROR(__xludf.DUMMYFUNCTION("""COMPUTED_VALUE"""),"0862250240")</f>
        <v>0862250240</v>
      </c>
      <c r="K270" s="2" t="str">
        <f ca="1">IFERROR(__xludf.DUMMYFUNCTION("""COMPUTED_VALUE"""),"1746615438096")</f>
        <v>1746615438096</v>
      </c>
    </row>
    <row r="271" spans="1:11" ht="12.45">
      <c r="A271" s="2" t="str">
        <f ca="1">IFERROR(__xludf.DUMMYFUNCTION("""COMPUTED_VALUE"""),"1746615473106")</f>
        <v>1746615473106</v>
      </c>
      <c r="B271" s="2">
        <f ca="1">IFERROR(__xludf.DUMMYFUNCTION("""COMPUTED_VALUE"""),966509444)</f>
        <v>966509444</v>
      </c>
      <c r="C271" s="2" t="str">
        <f ca="1"/>
        <v>0966509444</v>
      </c>
      <c r="D271" s="2" t="str">
        <f ca="1">IFERROR(__xludf.DUMMYFUNCTION("""COMPUTED_VALUE"""),"1760832865024")</f>
        <v>1760832865024</v>
      </c>
      <c r="E271" s="2">
        <f ca="1">IFERROR(__xludf.DUMMYFUNCTION("""COMPUTED_VALUE"""),389033960)</f>
        <v>389033960</v>
      </c>
      <c r="F271" s="2" t="str">
        <f ca="1"/>
        <v>0389033960</v>
      </c>
      <c r="G271" s="2" t="str">
        <f ca="1">IFERROR(__xludf.DUMMYFUNCTION("""COMPUTED_VALUE"""),"105634656134")</f>
        <v>105634656134</v>
      </c>
      <c r="I271" s="2" t="str">
        <f ca="1">IFERROR(__xludf.DUMMYFUNCTION("""COMPUTED_VALUE"""),"Trần Bảo Ngọc")</f>
        <v>Trần Bảo Ngọc</v>
      </c>
      <c r="J271" s="2" t="str">
        <f ca="1">IFERROR(__xludf.DUMMYFUNCTION("""COMPUTED_VALUE"""),"0903113914")</f>
        <v>0903113914</v>
      </c>
      <c r="K271" s="2" t="str">
        <f ca="1">IFERROR(__xludf.DUMMYFUNCTION("""COMPUTED_VALUE"""),"1746615473106")</f>
        <v>1746615473106</v>
      </c>
    </row>
    <row r="272" spans="1:11" ht="12.45">
      <c r="A272" s="2" t="str">
        <f ca="1">IFERROR(__xludf.DUMMYFUNCTION("""COMPUTED_VALUE"""),"1746615508665")</f>
        <v>1746615508665</v>
      </c>
      <c r="B272" s="2">
        <f ca="1">IFERROR(__xludf.DUMMYFUNCTION("""COMPUTED_VALUE"""),338112209)</f>
        <v>338112209</v>
      </c>
      <c r="C272" s="2" t="str">
        <f ca="1"/>
        <v>0338112209</v>
      </c>
      <c r="D272" s="2" t="str">
        <f ca="1">IFERROR(__xludf.DUMMYFUNCTION("""COMPUTED_VALUE"""),"1760832913350")</f>
        <v>1760832913350</v>
      </c>
      <c r="E272" s="2">
        <f ca="1">IFERROR(__xludf.DUMMYFUNCTION("""COMPUTED_VALUE"""),987613998)</f>
        <v>987613998</v>
      </c>
      <c r="F272" s="2" t="str">
        <f ca="1"/>
        <v>0987613998</v>
      </c>
      <c r="G272" s="2">
        <f ca="1">IFERROR(__xludf.DUMMYFUNCTION("""COMPUTED_VALUE"""),105648809271)</f>
        <v>105648809271</v>
      </c>
      <c r="I272" s="2" t="str">
        <f ca="1">IFERROR(__xludf.DUMMYFUNCTION("""COMPUTED_VALUE"""),"Đào Thanh Thúy")</f>
        <v>Đào Thanh Thúy</v>
      </c>
      <c r="J272" s="2" t="str">
        <f ca="1">IFERROR(__xludf.DUMMYFUNCTION("""COMPUTED_VALUE"""),"0346001642")</f>
        <v>0346001642</v>
      </c>
      <c r="K272" s="2" t="str">
        <f ca="1">IFERROR(__xludf.DUMMYFUNCTION("""COMPUTED_VALUE"""),"1746615508665")</f>
        <v>1746615508665</v>
      </c>
    </row>
    <row r="273" spans="1:11" ht="12.45">
      <c r="A273" s="2" t="str">
        <f ca="1">IFERROR(__xludf.DUMMYFUNCTION("""COMPUTED_VALUE"""),"1746615543402")</f>
        <v>1746615543402</v>
      </c>
      <c r="B273" s="2">
        <f ca="1">IFERROR(__xludf.DUMMYFUNCTION("""COMPUTED_VALUE"""),364705824)</f>
        <v>364705824</v>
      </c>
      <c r="C273" s="2" t="str">
        <f ca="1"/>
        <v>0364705824</v>
      </c>
      <c r="D273" s="2" t="str">
        <f ca="1">IFERROR(__xludf.DUMMYFUNCTION("""COMPUTED_VALUE"""),"1760832956886")</f>
        <v>1760832956886</v>
      </c>
      <c r="E273" s="2">
        <f ca="1">IFERROR(__xludf.DUMMYFUNCTION("""COMPUTED_VALUE"""),393080616)</f>
        <v>393080616</v>
      </c>
      <c r="F273" s="2" t="str">
        <f ca="1"/>
        <v>0393080616</v>
      </c>
      <c r="G273" s="2" t="str">
        <f ca="1">IFERROR(__xludf.DUMMYFUNCTION("""COMPUTED_VALUE"""),"105634656383")</f>
        <v>105634656383</v>
      </c>
      <c r="I273" s="2" t="str">
        <f ca="1">IFERROR(__xludf.DUMMYFUNCTION("""COMPUTED_VALUE"""),"Hồ Nhật Quỳnh ")</f>
        <v xml:space="preserve">Hồ Nhật Quỳnh </v>
      </c>
      <c r="J273" s="2" t="str">
        <f ca="1">IFERROR(__xludf.DUMMYFUNCTION("""COMPUTED_VALUE"""),"0917040859")</f>
        <v>0917040859</v>
      </c>
      <c r="K273" s="2" t="str">
        <f ca="1">IFERROR(__xludf.DUMMYFUNCTION("""COMPUTED_VALUE"""),"1746615543402")</f>
        <v>1746615543402</v>
      </c>
    </row>
    <row r="274" spans="1:11" ht="12.45">
      <c r="A274" s="2" t="str">
        <f ca="1">IFERROR(__xludf.DUMMYFUNCTION("""COMPUTED_VALUE"""),"1746615585093")</f>
        <v>1746615585093</v>
      </c>
      <c r="B274" s="2">
        <f ca="1">IFERROR(__xludf.DUMMYFUNCTION("""COMPUTED_VALUE"""),394941130)</f>
        <v>394941130</v>
      </c>
      <c r="C274" s="2" t="str">
        <f ca="1"/>
        <v>0394941130</v>
      </c>
      <c r="D274" s="2" t="str">
        <f ca="1">IFERROR(__xludf.DUMMYFUNCTION("""COMPUTED_VALUE"""),"1760833006668")</f>
        <v>1760833006668</v>
      </c>
      <c r="E274" s="2">
        <f ca="1">IFERROR(__xludf.DUMMYFUNCTION("""COMPUTED_VALUE"""),969867972)</f>
        <v>969867972</v>
      </c>
      <c r="F274" s="2" t="str">
        <f ca="1"/>
        <v>0969867972</v>
      </c>
      <c r="G274" s="2" t="str">
        <f ca="1">IFERROR(__xludf.DUMMYFUNCTION("""COMPUTED_VALUE"""),"105634656421")</f>
        <v>105634656421</v>
      </c>
      <c r="I274" s="2" t="str">
        <f ca="1">IFERROR(__xludf.DUMMYFUNCTION("""COMPUTED_VALUE"""),"Trương Ngô Hà My")</f>
        <v>Trương Ngô Hà My</v>
      </c>
      <c r="J274" s="2" t="str">
        <f ca="1">IFERROR(__xludf.DUMMYFUNCTION("""COMPUTED_VALUE"""),"0375491530")</f>
        <v>0375491530</v>
      </c>
      <c r="K274" s="2" t="str">
        <f ca="1">IFERROR(__xludf.DUMMYFUNCTION("""COMPUTED_VALUE"""),"1746615585093")</f>
        <v>1746615585093</v>
      </c>
    </row>
    <row r="275" spans="1:11" ht="12.45">
      <c r="A275" s="2" t="str">
        <f ca="1">IFERROR(__xludf.DUMMYFUNCTION("""COMPUTED_VALUE"""),"1746615619639")</f>
        <v>1746615619639</v>
      </c>
      <c r="B275" s="2">
        <f ca="1">IFERROR(__xludf.DUMMYFUNCTION("""COMPUTED_VALUE"""),769955126)</f>
        <v>769955126</v>
      </c>
      <c r="C275" s="2" t="str">
        <f ca="1"/>
        <v>0769955126</v>
      </c>
      <c r="D275" s="2" t="str">
        <f ca="1">IFERROR(__xludf.DUMMYFUNCTION("""COMPUTED_VALUE"""),"1760833090259")</f>
        <v>1760833090259</v>
      </c>
      <c r="E275" s="2">
        <f ca="1">IFERROR(__xludf.DUMMYFUNCTION("""COMPUTED_VALUE"""),344041958)</f>
        <v>344041958</v>
      </c>
      <c r="F275" s="2" t="str">
        <f ca="1"/>
        <v>0344041958</v>
      </c>
      <c r="G275" s="2" t="str">
        <f ca="1">IFERROR(__xludf.DUMMYFUNCTION("""COMPUTED_VALUE"""),"105634656516")</f>
        <v>105634656516</v>
      </c>
      <c r="I275" s="2" t="str">
        <f ca="1">IFERROR(__xludf.DUMMYFUNCTION("""COMPUTED_VALUE"""),"Nguyễn Thị Lan Anh")</f>
        <v>Nguyễn Thị Lan Anh</v>
      </c>
      <c r="J275" s="2" t="str">
        <f ca="1">IFERROR(__xludf.DUMMYFUNCTION("""COMPUTED_VALUE"""),"0344853765")</f>
        <v>0344853765</v>
      </c>
      <c r="K275" s="2" t="str">
        <f ca="1">IFERROR(__xludf.DUMMYFUNCTION("""COMPUTED_VALUE"""),"1746615619639")</f>
        <v>1746615619639</v>
      </c>
    </row>
    <row r="276" spans="1:11" ht="12.45">
      <c r="A276" s="2" t="str">
        <f ca="1">IFERROR(__xludf.DUMMYFUNCTION("""COMPUTED_VALUE"""),"1746615653965")</f>
        <v>1746615653965</v>
      </c>
      <c r="B276" s="2">
        <f ca="1">IFERROR(__xludf.DUMMYFUNCTION("""COMPUTED_VALUE"""),981192033)</f>
        <v>981192033</v>
      </c>
      <c r="C276" s="2" t="str">
        <f ca="1"/>
        <v>0981192033</v>
      </c>
      <c r="D276" s="2" t="str">
        <f ca="1">IFERROR(__xludf.DUMMYFUNCTION("""COMPUTED_VALUE"""),"1760833190929")</f>
        <v>1760833190929</v>
      </c>
      <c r="E276" s="2">
        <f ca="1">IFERROR(__xludf.DUMMYFUNCTION("""COMPUTED_VALUE"""),944739928)</f>
        <v>944739928</v>
      </c>
      <c r="F276" s="2" t="str">
        <f ca="1"/>
        <v>0944739928</v>
      </c>
      <c r="G276" s="2" t="str">
        <f ca="1">IFERROR(__xludf.DUMMYFUNCTION("""COMPUTED_VALUE"""),"105634656626")</f>
        <v>105634656626</v>
      </c>
      <c r="I276" s="2" t="str">
        <f ca="1">IFERROR(__xludf.DUMMYFUNCTION("""COMPUTED_VALUE"""),"Nguyễn Lương Thu Ngân")</f>
        <v>Nguyễn Lương Thu Ngân</v>
      </c>
      <c r="J276" s="2" t="str">
        <f ca="1">IFERROR(__xludf.DUMMYFUNCTION("""COMPUTED_VALUE"""),"0977781212")</f>
        <v>0977781212</v>
      </c>
      <c r="K276" s="2" t="str">
        <f ca="1">IFERROR(__xludf.DUMMYFUNCTION("""COMPUTED_VALUE"""),"1746615653965")</f>
        <v>1746615653965</v>
      </c>
    </row>
    <row r="277" spans="1:11" ht="12.45">
      <c r="A277" s="2" t="str">
        <f ca="1">IFERROR(__xludf.DUMMYFUNCTION("""COMPUTED_VALUE"""),"1746615690431")</f>
        <v>1746615690431</v>
      </c>
      <c r="B277" s="2">
        <f ca="1">IFERROR(__xludf.DUMMYFUNCTION("""COMPUTED_VALUE"""),336506009)</f>
        <v>336506009</v>
      </c>
      <c r="C277" s="2" t="str">
        <f ca="1"/>
        <v>0336506009</v>
      </c>
      <c r="D277" s="2" t="str">
        <f ca="1">IFERROR(__xludf.DUMMYFUNCTION("""COMPUTED_VALUE"""),"1760833311631")</f>
        <v>1760833311631</v>
      </c>
      <c r="E277" s="2">
        <f ca="1">IFERROR(__xludf.DUMMYFUNCTION("""COMPUTED_VALUE"""),706412202)</f>
        <v>706412202</v>
      </c>
      <c r="F277" s="2" t="str">
        <f ca="1"/>
        <v>0706412202</v>
      </c>
      <c r="G277" s="2" t="str">
        <f ca="1">IFERROR(__xludf.DUMMYFUNCTION("""COMPUTED_VALUE"""),"105634656721")</f>
        <v>105634656721</v>
      </c>
      <c r="I277" s="2" t="str">
        <f ca="1">IFERROR(__xludf.DUMMYFUNCTION("""COMPUTED_VALUE"""),"Tran minh anh ")</f>
        <v xml:space="preserve">Tran minh anh </v>
      </c>
      <c r="J277" s="2" t="str">
        <f ca="1">IFERROR(__xludf.DUMMYFUNCTION("""COMPUTED_VALUE"""),"0378953798")</f>
        <v>0378953798</v>
      </c>
      <c r="K277" s="2" t="str">
        <f ca="1">IFERROR(__xludf.DUMMYFUNCTION("""COMPUTED_VALUE"""),"1746615690431")</f>
        <v>1746615690431</v>
      </c>
    </row>
    <row r="278" spans="1:11" ht="12.45">
      <c r="A278" s="2" t="str">
        <f ca="1">IFERROR(__xludf.DUMMYFUNCTION("""COMPUTED_VALUE"""),"1746615719085")</f>
        <v>1746615719085</v>
      </c>
      <c r="B278" s="2">
        <f ca="1">IFERROR(__xludf.DUMMYFUNCTION("""COMPUTED_VALUE"""),918641886)</f>
        <v>918641886</v>
      </c>
      <c r="C278" s="2" t="str">
        <f ca="1"/>
        <v>0918641886</v>
      </c>
      <c r="D278" s="2" t="str">
        <f ca="1">IFERROR(__xludf.DUMMYFUNCTION("""COMPUTED_VALUE"""),"1760833481231")</f>
        <v>1760833481231</v>
      </c>
      <c r="E278" s="2">
        <f ca="1">IFERROR(__xludf.DUMMYFUNCTION("""COMPUTED_VALUE"""),389119267)</f>
        <v>389119267</v>
      </c>
      <c r="F278" s="2" t="str">
        <f ca="1"/>
        <v>0389119267</v>
      </c>
      <c r="G278" s="2" t="str">
        <f ca="1">IFERROR(__xludf.DUMMYFUNCTION("""COMPUTED_VALUE"""),"105634656850")</f>
        <v>105634656850</v>
      </c>
      <c r="I278" s="2" t="str">
        <f ca="1">IFERROR(__xludf.DUMMYFUNCTION("""COMPUTED_VALUE"""),"Nguyễn Thảo Nhi")</f>
        <v>Nguyễn Thảo Nhi</v>
      </c>
      <c r="J278" s="2" t="str">
        <f ca="1">IFERROR(__xludf.DUMMYFUNCTION("""COMPUTED_VALUE"""),"0369237673")</f>
        <v>0369237673</v>
      </c>
      <c r="K278" s="2" t="str">
        <f ca="1">IFERROR(__xludf.DUMMYFUNCTION("""COMPUTED_VALUE"""),"1746615719085")</f>
        <v>1746615719085</v>
      </c>
    </row>
    <row r="279" spans="1:11" ht="12.45">
      <c r="A279" s="2" t="str">
        <f ca="1">IFERROR(__xludf.DUMMYFUNCTION("""COMPUTED_VALUE"""),"1746615758293")</f>
        <v>1746615758293</v>
      </c>
      <c r="B279" s="2">
        <f ca="1">IFERROR(__xludf.DUMMYFUNCTION("""COMPUTED_VALUE"""),373019874)</f>
        <v>373019874</v>
      </c>
      <c r="C279" s="2" t="str">
        <f ca="1"/>
        <v>0373019874</v>
      </c>
      <c r="D279" s="2" t="str">
        <f ca="1">IFERROR(__xludf.DUMMYFUNCTION("""COMPUTED_VALUE"""),"1760833577926")</f>
        <v>1760833577926</v>
      </c>
      <c r="E279" s="2">
        <f ca="1">IFERROR(__xludf.DUMMYFUNCTION("""COMPUTED_VALUE"""),982828469)</f>
        <v>982828469</v>
      </c>
      <c r="F279" s="2" t="str">
        <f ca="1"/>
        <v>0982828469</v>
      </c>
      <c r="G279" s="2" t="str">
        <f ca="1">IFERROR(__xludf.DUMMYFUNCTION("""COMPUTED_VALUE"""),"105634656944")</f>
        <v>105634656944</v>
      </c>
      <c r="I279" s="2" t="str">
        <f ca="1">IFERROR(__xludf.DUMMYFUNCTION("""COMPUTED_VALUE"""),"Nguyễn Thiên Kim ")</f>
        <v xml:space="preserve">Nguyễn Thiên Kim </v>
      </c>
      <c r="J279" s="2" t="str">
        <f ca="1">IFERROR(__xludf.DUMMYFUNCTION("""COMPUTED_VALUE"""),"0906746559")</f>
        <v>0906746559</v>
      </c>
      <c r="K279" s="2" t="str">
        <f ca="1">IFERROR(__xludf.DUMMYFUNCTION("""COMPUTED_VALUE"""),"1746615758293")</f>
        <v>1746615758293</v>
      </c>
    </row>
    <row r="280" spans="1:11" ht="12.45">
      <c r="A280" s="2" t="str">
        <f ca="1">IFERROR(__xludf.DUMMYFUNCTION("""COMPUTED_VALUE"""),"1746615788522")</f>
        <v>1746615788522</v>
      </c>
      <c r="B280" s="2">
        <f ca="1">IFERROR(__xludf.DUMMYFUNCTION("""COMPUTED_VALUE"""),902582428)</f>
        <v>902582428</v>
      </c>
      <c r="C280" s="2" t="str">
        <f ca="1"/>
        <v>0902582428</v>
      </c>
      <c r="D280" s="2" t="str">
        <f ca="1">IFERROR(__xludf.DUMMYFUNCTION("""COMPUTED_VALUE"""),"1760833656421")</f>
        <v>1760833656421</v>
      </c>
      <c r="E280" s="2">
        <f ca="1">IFERROR(__xludf.DUMMYFUNCTION("""COMPUTED_VALUE"""),345131398)</f>
        <v>345131398</v>
      </c>
      <c r="F280" s="2" t="str">
        <f ca="1"/>
        <v>0345131398</v>
      </c>
      <c r="G280" s="2" t="str">
        <f ca="1">IFERROR(__xludf.DUMMYFUNCTION("""COMPUTED_VALUE"""),"105634657156")</f>
        <v>105634657156</v>
      </c>
      <c r="I280" s="2" t="str">
        <f ca="1">IFERROR(__xludf.DUMMYFUNCTION("""COMPUTED_VALUE"""),"Nguyễn Thu Uyên")</f>
        <v>Nguyễn Thu Uyên</v>
      </c>
      <c r="J280" s="3" t="str">
        <f ca="1">IFERROR(__xludf.DUMMYFUNCTION("""COMPUTED_VALUE"""),"0922703278")</f>
        <v>0922703278</v>
      </c>
      <c r="K280" s="2" t="str">
        <f ca="1">IFERROR(__xludf.DUMMYFUNCTION("""COMPUTED_VALUE"""),"1746615788522")</f>
        <v>1746615788522</v>
      </c>
    </row>
    <row r="281" spans="1:11" ht="12.45">
      <c r="A281" s="2" t="str">
        <f ca="1">IFERROR(__xludf.DUMMYFUNCTION("""COMPUTED_VALUE"""),"1746615820719")</f>
        <v>1746615820719</v>
      </c>
      <c r="B281" s="2">
        <f ca="1">IFERROR(__xludf.DUMMYFUNCTION("""COMPUTED_VALUE"""),364095748)</f>
        <v>364095748</v>
      </c>
      <c r="C281" s="2" t="str">
        <f ca="1"/>
        <v>0364095748</v>
      </c>
      <c r="D281" s="2" t="str">
        <f ca="1">IFERROR(__xludf.DUMMYFUNCTION("""COMPUTED_VALUE"""),"1760833729290")</f>
        <v>1760833729290</v>
      </c>
      <c r="E281" s="2">
        <f ca="1">IFERROR(__xludf.DUMMYFUNCTION("""COMPUTED_VALUE"""),818680006)</f>
        <v>818680006</v>
      </c>
      <c r="F281" s="2" t="str">
        <f ca="1"/>
        <v>0818680006</v>
      </c>
      <c r="G281" s="2" t="str">
        <f ca="1">IFERROR(__xludf.DUMMYFUNCTION("""COMPUTED_VALUE"""),"105634657239")</f>
        <v>105634657239</v>
      </c>
      <c r="I281" s="2" t="str">
        <f ca="1">IFERROR(__xludf.DUMMYFUNCTION("""COMPUTED_VALUE"""),"Nguyễn Thu Quỳnh ")</f>
        <v xml:space="preserve">Nguyễn Thu Quỳnh </v>
      </c>
      <c r="J281" s="2" t="str">
        <f ca="1">IFERROR(__xludf.DUMMYFUNCTION("""COMPUTED_VALUE"""),"0768577836")</f>
        <v>0768577836</v>
      </c>
      <c r="K281" s="2" t="str">
        <f ca="1">IFERROR(__xludf.DUMMYFUNCTION("""COMPUTED_VALUE"""),"1746615820719")</f>
        <v>1746615820719</v>
      </c>
    </row>
    <row r="282" spans="1:11" ht="12.45">
      <c r="A282" s="2" t="str">
        <f ca="1">IFERROR(__xludf.DUMMYFUNCTION("""COMPUTED_VALUE"""),"1746615853016")</f>
        <v>1746615853016</v>
      </c>
      <c r="B282" s="2">
        <f ca="1">IFERROR(__xludf.DUMMYFUNCTION("""COMPUTED_VALUE"""),356963775)</f>
        <v>356963775</v>
      </c>
      <c r="C282" s="2" t="str">
        <f ca="1"/>
        <v>0356963775</v>
      </c>
      <c r="D282" s="2" t="str">
        <f ca="1">IFERROR(__xludf.DUMMYFUNCTION("""COMPUTED_VALUE"""),"1760833842859")</f>
        <v>1760833842859</v>
      </c>
      <c r="E282" s="2">
        <f ca="1">IFERROR(__xludf.DUMMYFUNCTION("""COMPUTED_VALUE"""),835212107)</f>
        <v>835212107</v>
      </c>
      <c r="F282" s="2" t="str">
        <f ca="1"/>
        <v>0835212107</v>
      </c>
      <c r="G282" s="2" t="str">
        <f ca="1">IFERROR(__xludf.DUMMYFUNCTION("""COMPUTED_VALUE"""),"105634657433")</f>
        <v>105634657433</v>
      </c>
      <c r="I282" s="2" t="str">
        <f ca="1">IFERROR(__xludf.DUMMYFUNCTION("""COMPUTED_VALUE"""),"Nguyễn Hồng")</f>
        <v>Nguyễn Hồng</v>
      </c>
      <c r="J282" s="2" t="str">
        <f ca="1">IFERROR(__xludf.DUMMYFUNCTION("""COMPUTED_VALUE"""),"0901931876")</f>
        <v>0901931876</v>
      </c>
      <c r="K282" s="2" t="str">
        <f ca="1">IFERROR(__xludf.DUMMYFUNCTION("""COMPUTED_VALUE"""),"1746615853016")</f>
        <v>1746615853016</v>
      </c>
    </row>
    <row r="283" spans="1:11" ht="12.45">
      <c r="A283" s="2" t="str">
        <f ca="1">IFERROR(__xludf.DUMMYFUNCTION("""COMPUTED_VALUE"""),"1746615895320")</f>
        <v>1746615895320</v>
      </c>
      <c r="B283" s="2">
        <f ca="1">IFERROR(__xludf.DUMMYFUNCTION("""COMPUTED_VALUE"""),799297239)</f>
        <v>799297239</v>
      </c>
      <c r="C283" s="2" t="str">
        <f ca="1"/>
        <v>0799297239</v>
      </c>
      <c r="D283" s="2" t="str">
        <f ca="1">IFERROR(__xludf.DUMMYFUNCTION("""COMPUTED_VALUE"""),"1760833925201")</f>
        <v>1760833925201</v>
      </c>
      <c r="E283" s="2">
        <f ca="1">IFERROR(__xludf.DUMMYFUNCTION("""COMPUTED_VALUE"""),345237398)</f>
        <v>345237398</v>
      </c>
      <c r="F283" s="2" t="str">
        <f ca="1"/>
        <v>0345237398</v>
      </c>
      <c r="G283" s="2">
        <f ca="1">IFERROR(__xludf.DUMMYFUNCTION("""COMPUTED_VALUE"""),105556054953)</f>
        <v>105556054953</v>
      </c>
      <c r="I283" s="2" t="str">
        <f ca="1">IFERROR(__xludf.DUMMYFUNCTION("""COMPUTED_VALUE"""),"Nguyễn Thị Ngọc Hân ")</f>
        <v xml:space="preserve">Nguyễn Thị Ngọc Hân </v>
      </c>
      <c r="J283" s="2" t="str">
        <f ca="1">IFERROR(__xludf.DUMMYFUNCTION("""COMPUTED_VALUE"""),"0356499049")</f>
        <v>0356499049</v>
      </c>
      <c r="K283" s="2" t="str">
        <f ca="1">IFERROR(__xludf.DUMMYFUNCTION("""COMPUTED_VALUE"""),"1746615895320")</f>
        <v>1746615895320</v>
      </c>
    </row>
    <row r="284" spans="1:11" ht="12.45">
      <c r="A284" s="2" t="str">
        <f ca="1">IFERROR(__xludf.DUMMYFUNCTION("""COMPUTED_VALUE"""),"1746615938087")</f>
        <v>1746615938087</v>
      </c>
      <c r="B284" s="2">
        <f ca="1">IFERROR(__xludf.DUMMYFUNCTION("""COMPUTED_VALUE"""),868032536)</f>
        <v>868032536</v>
      </c>
      <c r="C284" s="2" t="str">
        <f ca="1"/>
        <v>0868032536</v>
      </c>
      <c r="D284" s="2" t="str">
        <f ca="1">IFERROR(__xludf.DUMMYFUNCTION("""COMPUTED_VALUE"""),"1760833985701")</f>
        <v>1760833985701</v>
      </c>
      <c r="E284" s="2">
        <f ca="1">IFERROR(__xludf.DUMMYFUNCTION("""COMPUTED_VALUE"""),898275789)</f>
        <v>898275789</v>
      </c>
      <c r="F284" s="2" t="str">
        <f ca="1"/>
        <v>0898275789</v>
      </c>
      <c r="G284" s="2" t="str">
        <f ca="1">IFERROR(__xludf.DUMMYFUNCTION("""COMPUTED_VALUE"""),"105634657593")</f>
        <v>105634657593</v>
      </c>
      <c r="I284" s="2" t="str">
        <f ca="1">IFERROR(__xludf.DUMMYFUNCTION("""COMPUTED_VALUE"""),"Trần Gia Linh")</f>
        <v>Trần Gia Linh</v>
      </c>
      <c r="J284" s="2" t="str">
        <f ca="1">IFERROR(__xludf.DUMMYFUNCTION("""COMPUTED_VALUE"""),"0343150407")</f>
        <v>0343150407</v>
      </c>
      <c r="K284" s="2" t="str">
        <f ca="1">IFERROR(__xludf.DUMMYFUNCTION("""COMPUTED_VALUE"""),"1746615938087")</f>
        <v>1746615938087</v>
      </c>
    </row>
    <row r="285" spans="1:11" ht="12.45">
      <c r="A285" s="2" t="str">
        <f ca="1">IFERROR(__xludf.DUMMYFUNCTION("""COMPUTED_VALUE"""),"1746615981391")</f>
        <v>1746615981391</v>
      </c>
      <c r="B285" s="2">
        <f ca="1">IFERROR(__xludf.DUMMYFUNCTION("""COMPUTED_VALUE"""),393937522)</f>
        <v>393937522</v>
      </c>
      <c r="C285" s="2" t="str">
        <f ca="1"/>
        <v>0393937522</v>
      </c>
      <c r="D285" s="2" t="str">
        <f ca="1">IFERROR(__xludf.DUMMYFUNCTION("""COMPUTED_VALUE"""),"1760834038805")</f>
        <v>1760834038805</v>
      </c>
      <c r="E285" s="2">
        <f ca="1">IFERROR(__xludf.DUMMYFUNCTION("""COMPUTED_VALUE"""),904851388)</f>
        <v>904851388</v>
      </c>
      <c r="F285" s="2" t="str">
        <f ca="1"/>
        <v>0904851388</v>
      </c>
      <c r="G285" s="2" t="str">
        <f ca="1">IFERROR(__xludf.DUMMYFUNCTION("""COMPUTED_VALUE"""),"105634657625")</f>
        <v>105634657625</v>
      </c>
      <c r="I285" s="2" t="str">
        <f ca="1">IFERROR(__xludf.DUMMYFUNCTION("""COMPUTED_VALUE"""),"Ngô Phương Anh")</f>
        <v>Ngô Phương Anh</v>
      </c>
      <c r="J285" s="2" t="str">
        <f ca="1">IFERROR(__xludf.DUMMYFUNCTION("""COMPUTED_VALUE"""),"0973598191")</f>
        <v>0973598191</v>
      </c>
      <c r="K285" s="2" t="str">
        <f ca="1">IFERROR(__xludf.DUMMYFUNCTION("""COMPUTED_VALUE"""),"1746615981391")</f>
        <v>1746615981391</v>
      </c>
    </row>
    <row r="286" spans="1:11" ht="12.45">
      <c r="A286" s="2" t="str">
        <f ca="1">IFERROR(__xludf.DUMMYFUNCTION("""COMPUTED_VALUE"""),"1746616035010")</f>
        <v>1746616035010</v>
      </c>
      <c r="B286" s="2">
        <f ca="1">IFERROR(__xludf.DUMMYFUNCTION("""COMPUTED_VALUE"""),823761125)</f>
        <v>823761125</v>
      </c>
      <c r="C286" s="2" t="str">
        <f ca="1"/>
        <v>0823761125</v>
      </c>
      <c r="D286" s="2" t="str">
        <f ca="1">IFERROR(__xludf.DUMMYFUNCTION("""COMPUTED_VALUE"""),"1760834099890")</f>
        <v>1760834099890</v>
      </c>
      <c r="E286" s="2">
        <f ca="1">IFERROR(__xludf.DUMMYFUNCTION("""COMPUTED_VALUE"""),385415238)</f>
        <v>385415238</v>
      </c>
      <c r="F286" s="2" t="str">
        <f ca="1"/>
        <v>0385415238</v>
      </c>
      <c r="G286" s="2" t="str">
        <f ca="1">IFERROR(__xludf.DUMMYFUNCTION("""COMPUTED_VALUE"""),"105634657774")</f>
        <v>105634657774</v>
      </c>
      <c r="I286" s="2" t="str">
        <f ca="1">IFERROR(__xludf.DUMMYFUNCTION("""COMPUTED_VALUE"""),"Bùi Ngọc Bích ")</f>
        <v xml:space="preserve">Bùi Ngọc Bích </v>
      </c>
      <c r="J286" s="2" t="str">
        <f ca="1">IFERROR(__xludf.DUMMYFUNCTION("""COMPUTED_VALUE"""),"0886571878")</f>
        <v>0886571878</v>
      </c>
      <c r="K286" s="2" t="str">
        <f ca="1">IFERROR(__xludf.DUMMYFUNCTION("""COMPUTED_VALUE"""),"1746616035010")</f>
        <v>1746616035010</v>
      </c>
    </row>
    <row r="287" spans="1:11" ht="12.45">
      <c r="A287" s="2" t="str">
        <f ca="1">IFERROR(__xludf.DUMMYFUNCTION("""COMPUTED_VALUE"""),"1746616074823")</f>
        <v>1746616074823</v>
      </c>
      <c r="B287" s="2">
        <f ca="1">IFERROR(__xludf.DUMMYFUNCTION("""COMPUTED_VALUE"""),968083076)</f>
        <v>968083076</v>
      </c>
      <c r="C287" s="2" t="str">
        <f ca="1"/>
        <v>0968083076</v>
      </c>
      <c r="D287" s="2" t="str">
        <f ca="1">IFERROR(__xludf.DUMMYFUNCTION("""COMPUTED_VALUE"""),"1760834204844")</f>
        <v>1760834204844</v>
      </c>
      <c r="E287" s="2">
        <f ca="1">IFERROR(__xludf.DUMMYFUNCTION("""COMPUTED_VALUE"""),376801938)</f>
        <v>376801938</v>
      </c>
      <c r="F287" s="2" t="str">
        <f ca="1"/>
        <v>0376801938</v>
      </c>
      <c r="G287" s="2" t="str">
        <f ca="1">IFERROR(__xludf.DUMMYFUNCTION("""COMPUTED_VALUE"""),"105634657817")</f>
        <v>105634657817</v>
      </c>
      <c r="I287" s="2" t="str">
        <f ca="1">IFERROR(__xludf.DUMMYFUNCTION("""COMPUTED_VALUE"""),"Nông Thị Thuỳ Vân")</f>
        <v>Nông Thị Thuỳ Vân</v>
      </c>
      <c r="J287" s="2" t="str">
        <f ca="1">IFERROR(__xludf.DUMMYFUNCTION("""COMPUTED_VALUE"""),"0347685418")</f>
        <v>0347685418</v>
      </c>
      <c r="K287" s="2" t="str">
        <f ca="1">IFERROR(__xludf.DUMMYFUNCTION("""COMPUTED_VALUE"""),"1746616074823")</f>
        <v>1746616074823</v>
      </c>
    </row>
    <row r="288" spans="1:11" ht="12.45">
      <c r="A288" s="2" t="str">
        <f ca="1">IFERROR(__xludf.DUMMYFUNCTION("""COMPUTED_VALUE"""),"1746616130011")</f>
        <v>1746616130011</v>
      </c>
      <c r="B288" s="2">
        <f ca="1">IFERROR(__xludf.DUMMYFUNCTION("""COMPUTED_VALUE"""),976847101)</f>
        <v>976847101</v>
      </c>
      <c r="C288" s="2" t="str">
        <f ca="1"/>
        <v>0976847101</v>
      </c>
      <c r="D288" s="2" t="str">
        <f ca="1">IFERROR(__xludf.DUMMYFUNCTION("""COMPUTED_VALUE"""),"1760834344119")</f>
        <v>1760834344119</v>
      </c>
      <c r="E288" s="2">
        <f ca="1">IFERROR(__xludf.DUMMYFUNCTION("""COMPUTED_VALUE"""),915218090)</f>
        <v>915218090</v>
      </c>
      <c r="F288" s="2" t="str">
        <f ca="1"/>
        <v>0915218090</v>
      </c>
      <c r="G288" s="2" t="str">
        <f ca="1">IFERROR(__xludf.DUMMYFUNCTION("""COMPUTED_VALUE"""),"105634657983")</f>
        <v>105634657983</v>
      </c>
      <c r="I288" s="2" t="str">
        <f ca="1">IFERROR(__xludf.DUMMYFUNCTION("""COMPUTED_VALUE"""),"Lê Thị Hương Giang ")</f>
        <v xml:space="preserve">Lê Thị Hương Giang </v>
      </c>
      <c r="J288" s="2" t="str">
        <f ca="1">IFERROR(__xludf.DUMMYFUNCTION("""COMPUTED_VALUE"""),"0856811195")</f>
        <v>0856811195</v>
      </c>
      <c r="K288" s="2" t="str">
        <f ca="1">IFERROR(__xludf.DUMMYFUNCTION("""COMPUTED_VALUE"""),"1746616130011")</f>
        <v>1746616130011</v>
      </c>
    </row>
    <row r="289" spans="1:11" ht="12.45">
      <c r="A289" s="2" t="str">
        <f ca="1">IFERROR(__xludf.DUMMYFUNCTION("""COMPUTED_VALUE"""),"1746616179667")</f>
        <v>1746616179667</v>
      </c>
      <c r="B289" s="2">
        <f ca="1">IFERROR(__xludf.DUMMYFUNCTION("""COMPUTED_VALUE"""),981306515)</f>
        <v>981306515</v>
      </c>
      <c r="C289" s="2" t="str">
        <f ca="1"/>
        <v>0981306515</v>
      </c>
      <c r="D289" s="2" t="str">
        <f ca="1">IFERROR(__xludf.DUMMYFUNCTION("""COMPUTED_VALUE"""),"1760834426191")</f>
        <v>1760834426191</v>
      </c>
      <c r="E289" s="2">
        <f ca="1">IFERROR(__xludf.DUMMYFUNCTION("""COMPUTED_VALUE"""),973130849)</f>
        <v>973130849</v>
      </c>
      <c r="F289" s="2" t="str">
        <f ca="1"/>
        <v>0973130849</v>
      </c>
      <c r="G289" s="2" t="str">
        <f ca="1">IFERROR(__xludf.DUMMYFUNCTION("""COMPUTED_VALUE"""),"105634658077")</f>
        <v>105634658077</v>
      </c>
      <c r="I289" s="2" t="str">
        <f ca="1">IFERROR(__xludf.DUMMYFUNCTION("""COMPUTED_VALUE"""),"NGUYỄN THUÝ HẰNG")</f>
        <v>NGUYỄN THUÝ HẰNG</v>
      </c>
      <c r="J289" s="2" t="str">
        <f ca="1">IFERROR(__xludf.DUMMYFUNCTION("""COMPUTED_VALUE"""),"0916627738")</f>
        <v>0916627738</v>
      </c>
      <c r="K289" s="2" t="str">
        <f ca="1">IFERROR(__xludf.DUMMYFUNCTION("""COMPUTED_VALUE"""),"1746616179667")</f>
        <v>1746616179667</v>
      </c>
    </row>
    <row r="290" spans="1:11" ht="12.45">
      <c r="A290" s="2" t="str">
        <f ca="1">IFERROR(__xludf.DUMMYFUNCTION("""COMPUTED_VALUE"""),"1746616219588")</f>
        <v>1746616219588</v>
      </c>
      <c r="B290" s="2">
        <f ca="1">IFERROR(__xludf.DUMMYFUNCTION("""COMPUTED_VALUE"""),333372179)</f>
        <v>333372179</v>
      </c>
      <c r="C290" s="2" t="str">
        <f ca="1"/>
        <v>0333372179</v>
      </c>
      <c r="D290" s="2" t="str">
        <f ca="1">IFERROR(__xludf.DUMMYFUNCTION("""COMPUTED_VALUE"""),"1760834502946")</f>
        <v>1760834502946</v>
      </c>
      <c r="E290" s="2">
        <f ca="1">IFERROR(__xludf.DUMMYFUNCTION("""COMPUTED_VALUE"""),979979563)</f>
        <v>979979563</v>
      </c>
      <c r="F290" s="2" t="str">
        <f ca="1"/>
        <v>0979979563</v>
      </c>
      <c r="G290" s="2" t="str">
        <f ca="1">IFERROR(__xludf.DUMMYFUNCTION("""COMPUTED_VALUE"""),"105634658158")</f>
        <v>105634658158</v>
      </c>
      <c r="I290" s="2" t="str">
        <f ca="1">IFERROR(__xludf.DUMMYFUNCTION("""COMPUTED_VALUE"""),"Lê Thiên Lam")</f>
        <v>Lê Thiên Lam</v>
      </c>
      <c r="J290" s="2" t="str">
        <f ca="1">IFERROR(__xludf.DUMMYFUNCTION("""COMPUTED_VALUE"""),"0376672762")</f>
        <v>0376672762</v>
      </c>
      <c r="K290" s="2" t="str">
        <f ca="1">IFERROR(__xludf.DUMMYFUNCTION("""COMPUTED_VALUE"""),"1746616219588")</f>
        <v>1746616219588</v>
      </c>
    </row>
    <row r="291" spans="1:11" ht="12.45">
      <c r="A291" s="2" t="str">
        <f ca="1">IFERROR(__xludf.DUMMYFUNCTION("""COMPUTED_VALUE"""),"1746616252327")</f>
        <v>1746616252327</v>
      </c>
      <c r="B291" s="2">
        <f ca="1">IFERROR(__xludf.DUMMYFUNCTION("""COMPUTED_VALUE"""),346227556)</f>
        <v>346227556</v>
      </c>
      <c r="C291" s="2" t="str">
        <f ca="1"/>
        <v>0346227556</v>
      </c>
      <c r="D291" s="2" t="str">
        <f ca="1">IFERROR(__xludf.DUMMYFUNCTION("""COMPUTED_VALUE"""),"1760834599467")</f>
        <v>1760834599467</v>
      </c>
      <c r="E291" s="2">
        <f ca="1">IFERROR(__xludf.DUMMYFUNCTION("""COMPUTED_VALUE"""),862128358)</f>
        <v>862128358</v>
      </c>
      <c r="F291" s="2" t="str">
        <f ca="1"/>
        <v>0862128358</v>
      </c>
      <c r="G291" s="2" t="str">
        <f ca="1">IFERROR(__xludf.DUMMYFUNCTION("""COMPUTED_VALUE"""),"105634658244")</f>
        <v>105634658244</v>
      </c>
      <c r="I291" s="2" t="str">
        <f ca="1">IFERROR(__xludf.DUMMYFUNCTION("""COMPUTED_VALUE"""),"Đỗ Nguyễn Thảo Trang")</f>
        <v>Đỗ Nguyễn Thảo Trang</v>
      </c>
      <c r="J291" s="2" t="str">
        <f ca="1">IFERROR(__xludf.DUMMYFUNCTION("""COMPUTED_VALUE"""),"0908228967")</f>
        <v>0908228967</v>
      </c>
      <c r="K291" s="2" t="str">
        <f ca="1">IFERROR(__xludf.DUMMYFUNCTION("""COMPUTED_VALUE"""),"1746616252327")</f>
        <v>1746616252327</v>
      </c>
    </row>
    <row r="292" spans="1:11" ht="12.45">
      <c r="A292" s="2" t="str">
        <f ca="1">IFERROR(__xludf.DUMMYFUNCTION("""COMPUTED_VALUE"""),"1746616290709")</f>
        <v>1746616290709</v>
      </c>
      <c r="B292" s="2">
        <f ca="1">IFERROR(__xludf.DUMMYFUNCTION("""COMPUTED_VALUE"""),339169603)</f>
        <v>339169603</v>
      </c>
      <c r="C292" s="2" t="str">
        <f ca="1"/>
        <v>0339169603</v>
      </c>
      <c r="D292" s="2" t="str">
        <f ca="1">IFERROR(__xludf.DUMMYFUNCTION("""COMPUTED_VALUE"""),"1760834651446")</f>
        <v>1760834651446</v>
      </c>
      <c r="E292" s="2">
        <f ca="1">IFERROR(__xludf.DUMMYFUNCTION("""COMPUTED_VALUE"""),898220587)</f>
        <v>898220587</v>
      </c>
      <c r="F292" s="2" t="str">
        <f ca="1"/>
        <v>0898220587</v>
      </c>
      <c r="G292" s="2">
        <f ca="1">IFERROR(__xludf.DUMMYFUNCTION("""COMPUTED_VALUE"""),105648809330)</f>
        <v>105648809330</v>
      </c>
      <c r="I292" s="2" t="str">
        <f ca="1">IFERROR(__xludf.DUMMYFUNCTION("""COMPUTED_VALUE"""),"LÊ THỊ PHƯƠNG LOAN")</f>
        <v>LÊ THỊ PHƯƠNG LOAN</v>
      </c>
      <c r="J292" s="2" t="str">
        <f ca="1">IFERROR(__xludf.DUMMYFUNCTION("""COMPUTED_VALUE"""),"0987350164")</f>
        <v>0987350164</v>
      </c>
      <c r="K292" s="2" t="str">
        <f ca="1">IFERROR(__xludf.DUMMYFUNCTION("""COMPUTED_VALUE"""),"1746616290709")</f>
        <v>1746616290709</v>
      </c>
    </row>
    <row r="293" spans="1:11" ht="12.45">
      <c r="A293" s="2" t="str">
        <f ca="1">IFERROR(__xludf.DUMMYFUNCTION("""COMPUTED_VALUE"""),"1746616324383")</f>
        <v>1746616324383</v>
      </c>
      <c r="B293" s="2">
        <f ca="1">IFERROR(__xludf.DUMMYFUNCTION("""COMPUTED_VALUE"""),332675609)</f>
        <v>332675609</v>
      </c>
      <c r="C293" s="2" t="str">
        <f ca="1"/>
        <v>0332675609</v>
      </c>
      <c r="D293" s="2" t="str">
        <f ca="1">IFERROR(__xludf.DUMMYFUNCTION("""COMPUTED_VALUE"""),"1760834711558")</f>
        <v>1760834711558</v>
      </c>
      <c r="E293" s="2">
        <f ca="1">IFERROR(__xludf.DUMMYFUNCTION("""COMPUTED_VALUE"""),367070443)</f>
        <v>367070443</v>
      </c>
      <c r="F293" s="2" t="str">
        <f ca="1"/>
        <v>0367070443</v>
      </c>
      <c r="G293" s="2" t="str">
        <f ca="1">IFERROR(__xludf.DUMMYFUNCTION("""COMPUTED_VALUE"""),"105634658394")</f>
        <v>105634658394</v>
      </c>
      <c r="I293" s="2" t="str">
        <f ca="1">IFERROR(__xludf.DUMMYFUNCTION("""COMPUTED_VALUE"""),"Nguyễn Thị Ngọc Linh")</f>
        <v>Nguyễn Thị Ngọc Linh</v>
      </c>
      <c r="J293" s="2" t="str">
        <f ca="1">IFERROR(__xludf.DUMMYFUNCTION("""COMPUTED_VALUE"""),"0865721681")</f>
        <v>0865721681</v>
      </c>
      <c r="K293" s="2" t="str">
        <f ca="1">IFERROR(__xludf.DUMMYFUNCTION("""COMPUTED_VALUE"""),"1746616324383")</f>
        <v>1746616324383</v>
      </c>
    </row>
    <row r="294" spans="1:11" ht="12.45">
      <c r="A294" s="2" t="str">
        <f ca="1">IFERROR(__xludf.DUMMYFUNCTION("""COMPUTED_VALUE"""),"1746616350730")</f>
        <v>1746616350730</v>
      </c>
      <c r="B294" s="2">
        <f ca="1">IFERROR(__xludf.DUMMYFUNCTION("""COMPUTED_VALUE"""),988137040)</f>
        <v>988137040</v>
      </c>
      <c r="C294" s="2" t="str">
        <f ca="1"/>
        <v>0988137040</v>
      </c>
      <c r="D294" s="2" t="str">
        <f ca="1">IFERROR(__xludf.DUMMYFUNCTION("""COMPUTED_VALUE"""),"1760834790249")</f>
        <v>1760834790249</v>
      </c>
      <c r="E294" s="2">
        <f ca="1">IFERROR(__xludf.DUMMYFUNCTION("""COMPUTED_VALUE"""),905838102)</f>
        <v>905838102</v>
      </c>
      <c r="F294" s="2" t="str">
        <f ca="1"/>
        <v>0905838102</v>
      </c>
      <c r="G294" s="2" t="str">
        <f ca="1">IFERROR(__xludf.DUMMYFUNCTION("""COMPUTED_VALUE"""),"105634658492")</f>
        <v>105634658492</v>
      </c>
      <c r="I294" s="2" t="str">
        <f ca="1">IFERROR(__xludf.DUMMYFUNCTION("""COMPUTED_VALUE"""),"Nguyễn Huyền Linh")</f>
        <v>Nguyễn Huyền Linh</v>
      </c>
      <c r="J294" s="2" t="str">
        <f ca="1">IFERROR(__xludf.DUMMYFUNCTION("""COMPUTED_VALUE"""),"0974174472")</f>
        <v>0974174472</v>
      </c>
      <c r="K294" s="2" t="str">
        <f ca="1">IFERROR(__xludf.DUMMYFUNCTION("""COMPUTED_VALUE"""),"1746616350730")</f>
        <v>1746616350730</v>
      </c>
    </row>
    <row r="295" spans="1:11" ht="12.45">
      <c r="A295" s="2" t="str">
        <f ca="1">IFERROR(__xludf.DUMMYFUNCTION("""COMPUTED_VALUE"""),"1746616385975")</f>
        <v>1746616385975</v>
      </c>
      <c r="B295" s="2">
        <f ca="1">IFERROR(__xludf.DUMMYFUNCTION("""COMPUTED_VALUE"""),984741112)</f>
        <v>984741112</v>
      </c>
      <c r="C295" s="2" t="str">
        <f ca="1"/>
        <v>0984741112</v>
      </c>
      <c r="D295" s="2" t="str">
        <f ca="1">IFERROR(__xludf.DUMMYFUNCTION("""COMPUTED_VALUE"""),"1760834871025")</f>
        <v>1760834871025</v>
      </c>
      <c r="E295" s="2">
        <f ca="1">IFERROR(__xludf.DUMMYFUNCTION("""COMPUTED_VALUE"""),343060167)</f>
        <v>343060167</v>
      </c>
      <c r="F295" s="2" t="str">
        <f ca="1"/>
        <v>0343060167</v>
      </c>
      <c r="G295" s="2" t="str">
        <f ca="1">IFERROR(__xludf.DUMMYFUNCTION("""COMPUTED_VALUE"""),"105634658520")</f>
        <v>105634658520</v>
      </c>
      <c r="I295" s="2" t="str">
        <f ca="1">IFERROR(__xludf.DUMMYFUNCTION("""COMPUTED_VALUE"""),"Võ Thị Anh Thi")</f>
        <v>Võ Thị Anh Thi</v>
      </c>
      <c r="J295" s="2" t="str">
        <f ca="1">IFERROR(__xludf.DUMMYFUNCTION("""COMPUTED_VALUE"""),"0327100529")</f>
        <v>0327100529</v>
      </c>
      <c r="K295" s="2" t="str">
        <f ca="1">IFERROR(__xludf.DUMMYFUNCTION("""COMPUTED_VALUE"""),"1746616385975")</f>
        <v>1746616385975</v>
      </c>
    </row>
    <row r="296" spans="1:11" ht="12.45">
      <c r="A296" s="2" t="str">
        <f ca="1">IFERROR(__xludf.DUMMYFUNCTION("""COMPUTED_VALUE"""),"1746616422120")</f>
        <v>1746616422120</v>
      </c>
      <c r="B296" s="2">
        <f ca="1">IFERROR(__xludf.DUMMYFUNCTION("""COMPUTED_VALUE"""),963011248)</f>
        <v>963011248</v>
      </c>
      <c r="C296" s="2" t="str">
        <f ca="1"/>
        <v>0963011248</v>
      </c>
      <c r="D296" s="2" t="str">
        <f ca="1">IFERROR(__xludf.DUMMYFUNCTION("""COMPUTED_VALUE"""),"1760834984126")</f>
        <v>1760834984126</v>
      </c>
      <c r="E296" s="2">
        <f ca="1">IFERROR(__xludf.DUMMYFUNCTION("""COMPUTED_VALUE"""),394151312)</f>
        <v>394151312</v>
      </c>
      <c r="F296" s="2" t="str">
        <f ca="1"/>
        <v>0394151312</v>
      </c>
      <c r="G296" s="2">
        <f ca="1">IFERROR(__xludf.DUMMYFUNCTION("""COMPUTED_VALUE"""),105648809427)</f>
        <v>105648809427</v>
      </c>
      <c r="I296" s="2" t="str">
        <f ca="1">IFERROR(__xludf.DUMMYFUNCTION("""COMPUTED_VALUE"""),"Phạm Thị Tường Vân ")</f>
        <v xml:space="preserve">Phạm Thị Tường Vân </v>
      </c>
      <c r="J296" s="2" t="str">
        <f ca="1">IFERROR(__xludf.DUMMYFUNCTION("""COMPUTED_VALUE"""),"0975665221")</f>
        <v>0975665221</v>
      </c>
      <c r="K296" s="2" t="str">
        <f ca="1">IFERROR(__xludf.DUMMYFUNCTION("""COMPUTED_VALUE"""),"1746616422120")</f>
        <v>1746616422120</v>
      </c>
    </row>
    <row r="297" spans="1:11" ht="12.45">
      <c r="A297" s="2" t="str">
        <f ca="1">IFERROR(__xludf.DUMMYFUNCTION("""COMPUTED_VALUE"""),"1746616454527")</f>
        <v>1746616454527</v>
      </c>
      <c r="B297" s="2">
        <f ca="1">IFERROR(__xludf.DUMMYFUNCTION("""COMPUTED_VALUE"""),344072486)</f>
        <v>344072486</v>
      </c>
      <c r="C297" s="2" t="str">
        <f ca="1"/>
        <v>0344072486</v>
      </c>
      <c r="D297" s="2" t="str">
        <f ca="1">IFERROR(__xludf.DUMMYFUNCTION("""COMPUTED_VALUE"""),"1760835066751")</f>
        <v>1760835066751</v>
      </c>
      <c r="E297" s="2">
        <f ca="1">IFERROR(__xludf.DUMMYFUNCTION("""COMPUTED_VALUE"""),916591477)</f>
        <v>916591477</v>
      </c>
      <c r="F297" s="2" t="str">
        <f ca="1"/>
        <v>0916591477</v>
      </c>
      <c r="G297" s="2" t="str">
        <f ca="1">IFERROR(__xludf.DUMMYFUNCTION("""COMPUTED_VALUE"""),"105634658676")</f>
        <v>105634658676</v>
      </c>
      <c r="I297" s="2" t="str">
        <f ca="1">IFERROR(__xludf.DUMMYFUNCTION("""COMPUTED_VALUE"""),"Mai Huỳnh Đồng Giao ")</f>
        <v xml:space="preserve">Mai Huỳnh Đồng Giao </v>
      </c>
      <c r="J297" s="2" t="str">
        <f ca="1">IFERROR(__xludf.DUMMYFUNCTION("""COMPUTED_VALUE"""),"0793617907")</f>
        <v>0793617907</v>
      </c>
      <c r="K297" s="2" t="str">
        <f ca="1">IFERROR(__xludf.DUMMYFUNCTION("""COMPUTED_VALUE"""),"1746616454527")</f>
        <v>1746616454527</v>
      </c>
    </row>
    <row r="298" spans="1:11" ht="12.45">
      <c r="A298" s="2" t="str">
        <f ca="1">IFERROR(__xludf.DUMMYFUNCTION("""COMPUTED_VALUE"""),"1746616486006")</f>
        <v>1746616486006</v>
      </c>
      <c r="B298" s="2">
        <f ca="1">IFERROR(__xludf.DUMMYFUNCTION("""COMPUTED_VALUE"""),376913989)</f>
        <v>376913989</v>
      </c>
      <c r="C298" s="2" t="str">
        <f ca="1"/>
        <v>0376913989</v>
      </c>
      <c r="D298" s="2" t="str">
        <f ca="1">IFERROR(__xludf.DUMMYFUNCTION("""COMPUTED_VALUE"""),"1760835106284")</f>
        <v>1760835106284</v>
      </c>
      <c r="E298" s="2">
        <f ca="1">IFERROR(__xludf.DUMMYFUNCTION("""COMPUTED_VALUE"""),325370899)</f>
        <v>325370899</v>
      </c>
      <c r="F298" s="2" t="str">
        <f ca="1"/>
        <v>0325370899</v>
      </c>
      <c r="G298" s="2" t="str">
        <f ca="1">IFERROR(__xludf.DUMMYFUNCTION("""COMPUTED_VALUE"""),"105634658777")</f>
        <v>105634658777</v>
      </c>
      <c r="I298" s="2" t="str">
        <f ca="1">IFERROR(__xludf.DUMMYFUNCTION("""COMPUTED_VALUE"""),"Nguyễn Ngọc Thảo My")</f>
        <v>Nguyễn Ngọc Thảo My</v>
      </c>
      <c r="J298" s="2" t="str">
        <f ca="1">IFERROR(__xludf.DUMMYFUNCTION("""COMPUTED_VALUE"""),"0938530791")</f>
        <v>0938530791</v>
      </c>
      <c r="K298" s="2" t="str">
        <f ca="1">IFERROR(__xludf.DUMMYFUNCTION("""COMPUTED_VALUE"""),"1746616486006")</f>
        <v>1746616486006</v>
      </c>
    </row>
    <row r="299" spans="1:11" ht="12.45">
      <c r="A299" s="2" t="str">
        <f ca="1">IFERROR(__xludf.DUMMYFUNCTION("""COMPUTED_VALUE"""),"1746616511863")</f>
        <v>1746616511863</v>
      </c>
      <c r="B299" s="2">
        <f ca="1">IFERROR(__xludf.DUMMYFUNCTION("""COMPUTED_VALUE"""),845787875)</f>
        <v>845787875</v>
      </c>
      <c r="C299" s="2" t="str">
        <f ca="1"/>
        <v>0845787875</v>
      </c>
      <c r="D299" s="2" t="str">
        <f ca="1">IFERROR(__xludf.DUMMYFUNCTION("""COMPUTED_VALUE"""),"1760835232931")</f>
        <v>1760835232931</v>
      </c>
      <c r="E299" s="2">
        <f ca="1">IFERROR(__xludf.DUMMYFUNCTION("""COMPUTED_VALUE"""),849110607)</f>
        <v>849110607</v>
      </c>
      <c r="F299" s="2" t="str">
        <f ca="1"/>
        <v>0849110607</v>
      </c>
      <c r="G299" s="2" t="str">
        <f ca="1">IFERROR(__xludf.DUMMYFUNCTION("""COMPUTED_VALUE"""),"105634659060")</f>
        <v>105634659060</v>
      </c>
      <c r="I299" s="2" t="str">
        <f ca="1">IFERROR(__xludf.DUMMYFUNCTION("""COMPUTED_VALUE"""),"Nguyễn Ngọc Ánh")</f>
        <v>Nguyễn Ngọc Ánh</v>
      </c>
      <c r="J299" s="2" t="str">
        <f ca="1">IFERROR(__xludf.DUMMYFUNCTION("""COMPUTED_VALUE"""),"0969890065")</f>
        <v>0969890065</v>
      </c>
      <c r="K299" s="2" t="str">
        <f ca="1">IFERROR(__xludf.DUMMYFUNCTION("""COMPUTED_VALUE"""),"1746616511863")</f>
        <v>1746616511863</v>
      </c>
    </row>
    <row r="300" spans="1:11" ht="12.45">
      <c r="A300" s="2" t="str">
        <f ca="1">IFERROR(__xludf.DUMMYFUNCTION("""COMPUTED_VALUE"""),"1746616542186")</f>
        <v>1746616542186</v>
      </c>
      <c r="B300" s="2">
        <f ca="1">IFERROR(__xludf.DUMMYFUNCTION("""COMPUTED_VALUE"""),387305740)</f>
        <v>387305740</v>
      </c>
      <c r="C300" s="2" t="str">
        <f ca="1"/>
        <v>0387305740</v>
      </c>
      <c r="D300" s="2" t="str">
        <f ca="1">IFERROR(__xludf.DUMMYFUNCTION("""COMPUTED_VALUE"""),"1760835322378")</f>
        <v>1760835322378</v>
      </c>
      <c r="E300" s="2">
        <f ca="1">IFERROR(__xludf.DUMMYFUNCTION("""COMPUTED_VALUE"""),961916884)</f>
        <v>961916884</v>
      </c>
      <c r="F300" s="2" t="str">
        <f ca="1"/>
        <v>0961916884</v>
      </c>
      <c r="G300" s="2" t="str">
        <f ca="1">IFERROR(__xludf.DUMMYFUNCTION("""COMPUTED_VALUE"""),"105634659113")</f>
        <v>105634659113</v>
      </c>
      <c r="I300" s="2" t="str">
        <f ca="1">IFERROR(__xludf.DUMMYFUNCTION("""COMPUTED_VALUE"""),"Tống Thị Ánh Như ")</f>
        <v xml:space="preserve">Tống Thị Ánh Như </v>
      </c>
      <c r="J300" s="2" t="str">
        <f ca="1">IFERROR(__xludf.DUMMYFUNCTION("""COMPUTED_VALUE"""),"0378579470")</f>
        <v>0378579470</v>
      </c>
      <c r="K300" s="2" t="str">
        <f ca="1">IFERROR(__xludf.DUMMYFUNCTION("""COMPUTED_VALUE"""),"1746616542186")</f>
        <v>1746616542186</v>
      </c>
    </row>
    <row r="301" spans="1:11" ht="12.45">
      <c r="A301" s="2" t="str">
        <f ca="1">IFERROR(__xludf.DUMMYFUNCTION("""COMPUTED_VALUE"""),"1746616575206")</f>
        <v>1746616575206</v>
      </c>
      <c r="B301" s="2">
        <f ca="1">IFERROR(__xludf.DUMMYFUNCTION("""COMPUTED_VALUE"""),342574179)</f>
        <v>342574179</v>
      </c>
      <c r="C301" s="2" t="str">
        <f ca="1"/>
        <v>0342574179</v>
      </c>
      <c r="D301" s="2" t="str">
        <f ca="1">IFERROR(__xludf.DUMMYFUNCTION("""COMPUTED_VALUE"""),"1760835417632")</f>
        <v>1760835417632</v>
      </c>
      <c r="E301" s="2">
        <f ca="1">IFERROR(__xludf.DUMMYFUNCTION("""COMPUTED_VALUE"""),337046050)</f>
        <v>337046050</v>
      </c>
      <c r="F301" s="2" t="str">
        <f ca="1"/>
        <v>0337046050</v>
      </c>
      <c r="G301" s="2" t="str">
        <f ca="1">IFERROR(__xludf.DUMMYFUNCTION("""COMPUTED_VALUE"""),"105634659276")</f>
        <v>105634659276</v>
      </c>
      <c r="I301" s="2" t="str">
        <f ca="1">IFERROR(__xludf.DUMMYFUNCTION("""COMPUTED_VALUE"""),"Bùi Minh Hương")</f>
        <v>Bùi Minh Hương</v>
      </c>
      <c r="J301" s="2" t="str">
        <f ca="1">IFERROR(__xludf.DUMMYFUNCTION("""COMPUTED_VALUE"""),"0364824844")</f>
        <v>0364824844</v>
      </c>
      <c r="K301" s="2" t="str">
        <f ca="1">IFERROR(__xludf.DUMMYFUNCTION("""COMPUTED_VALUE"""),"1746616575206")</f>
        <v>1746616575206</v>
      </c>
    </row>
    <row r="302" spans="1:11" ht="12.45">
      <c r="A302" s="2" t="str">
        <f ca="1">IFERROR(__xludf.DUMMYFUNCTION("""COMPUTED_VALUE"""),"1746616608446")</f>
        <v>1746616608446</v>
      </c>
      <c r="B302" s="2">
        <f ca="1">IFERROR(__xludf.DUMMYFUNCTION("""COMPUTED_VALUE"""),353962985)</f>
        <v>353962985</v>
      </c>
      <c r="C302" s="2" t="str">
        <f ca="1"/>
        <v>0353962985</v>
      </c>
      <c r="D302" s="2" t="str">
        <f ca="1">IFERROR(__xludf.DUMMYFUNCTION("""COMPUTED_VALUE"""),"1760835519956")</f>
        <v>1760835519956</v>
      </c>
      <c r="E302" s="2">
        <f ca="1">IFERROR(__xludf.DUMMYFUNCTION("""COMPUTED_VALUE"""),366513397)</f>
        <v>366513397</v>
      </c>
      <c r="F302" s="2" t="str">
        <f ca="1"/>
        <v>0366513397</v>
      </c>
      <c r="G302" s="2" t="str">
        <f ca="1">IFERROR(__xludf.DUMMYFUNCTION("""COMPUTED_VALUE"""),"105634659391")</f>
        <v>105634659391</v>
      </c>
      <c r="I302" s="2" t="str">
        <f ca="1">IFERROR(__xludf.DUMMYFUNCTION("""COMPUTED_VALUE"""),"Trương Thị Nghi Dung ")</f>
        <v xml:space="preserve">Trương Thị Nghi Dung </v>
      </c>
      <c r="J302" s="2" t="str">
        <f ca="1">IFERROR(__xludf.DUMMYFUNCTION("""COMPUTED_VALUE"""),"0914187292")</f>
        <v>0914187292</v>
      </c>
      <c r="K302" s="2" t="str">
        <f ca="1">IFERROR(__xludf.DUMMYFUNCTION("""COMPUTED_VALUE"""),"1746616608446")</f>
        <v>1746616608446</v>
      </c>
    </row>
    <row r="303" spans="1:11" ht="12.45">
      <c r="A303" s="2" t="str">
        <f ca="1">IFERROR(__xludf.DUMMYFUNCTION("""COMPUTED_VALUE"""),"1746616632463")</f>
        <v>1746616632463</v>
      </c>
      <c r="B303" s="2">
        <f ca="1">IFERROR(__xludf.DUMMYFUNCTION("""COMPUTED_VALUE"""),962138567)</f>
        <v>962138567</v>
      </c>
      <c r="C303" s="2" t="str">
        <f ca="1"/>
        <v>0962138567</v>
      </c>
      <c r="D303" s="2">
        <f ca="1">IFERROR(__xludf.DUMMYFUNCTION("""COMPUTED_VALUE"""),1755998640812)</f>
        <v>1755998640812</v>
      </c>
      <c r="E303" s="2">
        <f ca="1">IFERROR(__xludf.DUMMYFUNCTION("""COMPUTED_VALUE"""),964997491)</f>
        <v>964997491</v>
      </c>
      <c r="F303" s="2" t="str">
        <f ca="1"/>
        <v>0964997491</v>
      </c>
      <c r="G303" s="2" t="str">
        <f ca="1">IFERROR(__xludf.DUMMYFUNCTION("""COMPUTED_VALUE"""),"105634659546")</f>
        <v>105634659546</v>
      </c>
      <c r="I303" s="2" t="str">
        <f ca="1">IFERROR(__xludf.DUMMYFUNCTION("""COMPUTED_VALUE"""),"Nguyễn Thị Hương Giang")</f>
        <v>Nguyễn Thị Hương Giang</v>
      </c>
      <c r="J303" s="2" t="str">
        <f ca="1">IFERROR(__xludf.DUMMYFUNCTION("""COMPUTED_VALUE"""),"0963103962")</f>
        <v>0963103962</v>
      </c>
      <c r="K303" s="2" t="str">
        <f ca="1">IFERROR(__xludf.DUMMYFUNCTION("""COMPUTED_VALUE"""),"1746616632463")</f>
        <v>1746616632463</v>
      </c>
    </row>
    <row r="304" spans="1:11" ht="12.45">
      <c r="A304" s="2" t="str">
        <f ca="1">IFERROR(__xludf.DUMMYFUNCTION("""COMPUTED_VALUE"""),"1746616658795")</f>
        <v>1746616658795</v>
      </c>
      <c r="B304" s="2">
        <f ca="1">IFERROR(__xludf.DUMMYFUNCTION("""COMPUTED_VALUE"""),349188458)</f>
        <v>349188458</v>
      </c>
      <c r="C304" s="2" t="str">
        <f ca="1"/>
        <v>0349188458</v>
      </c>
      <c r="D304" s="2" t="str">
        <f ca="1">IFERROR(__xludf.DUMMYFUNCTION("""COMPUTED_VALUE"""),"1760835649217")</f>
        <v>1760835649217</v>
      </c>
      <c r="E304" s="2">
        <f ca="1">IFERROR(__xludf.DUMMYFUNCTION("""COMPUTED_VALUE"""),973034077)</f>
        <v>973034077</v>
      </c>
      <c r="F304" s="2" t="str">
        <f ca="1"/>
        <v>0973034077</v>
      </c>
      <c r="G304" s="2" t="str">
        <f ca="1">IFERROR(__xludf.DUMMYFUNCTION("""COMPUTED_VALUE"""),"105634659639")</f>
        <v>105634659639</v>
      </c>
      <c r="I304" s="2" t="str">
        <f ca="1">IFERROR(__xludf.DUMMYFUNCTION("""COMPUTED_VALUE"""),"Đoàn Thị Hương Giang")</f>
        <v>Đoàn Thị Hương Giang</v>
      </c>
      <c r="J304" s="2" t="str">
        <f ca="1">IFERROR(__xludf.DUMMYFUNCTION("""COMPUTED_VALUE"""),"0941218109")</f>
        <v>0941218109</v>
      </c>
      <c r="K304" s="2" t="str">
        <f ca="1">IFERROR(__xludf.DUMMYFUNCTION("""COMPUTED_VALUE"""),"1746616658795")</f>
        <v>1746616658795</v>
      </c>
    </row>
    <row r="305" spans="1:11" ht="12.45">
      <c r="A305" s="2" t="str">
        <f ca="1">IFERROR(__xludf.DUMMYFUNCTION("""COMPUTED_VALUE"""),"1746616692314")</f>
        <v>1746616692314</v>
      </c>
      <c r="B305" s="2">
        <f ca="1">IFERROR(__xludf.DUMMYFUNCTION("""COMPUTED_VALUE"""),987506610)</f>
        <v>987506610</v>
      </c>
      <c r="C305" s="2" t="str">
        <f ca="1"/>
        <v>0987506610</v>
      </c>
      <c r="D305" s="2" t="str">
        <f ca="1">IFERROR(__xludf.DUMMYFUNCTION("""COMPUTED_VALUE"""),"1760835744093")</f>
        <v>1760835744093</v>
      </c>
      <c r="E305" s="2">
        <f ca="1">IFERROR(__xludf.DUMMYFUNCTION("""COMPUTED_VALUE"""),386439627)</f>
        <v>386439627</v>
      </c>
      <c r="F305" s="2" t="str">
        <f ca="1"/>
        <v>0386439627</v>
      </c>
      <c r="G305" s="2" t="str">
        <f ca="1">IFERROR(__xludf.DUMMYFUNCTION("""COMPUTED_VALUE"""),"105634659726")</f>
        <v>105634659726</v>
      </c>
      <c r="I305" s="2" t="str">
        <f ca="1">IFERROR(__xludf.DUMMYFUNCTION("""COMPUTED_VALUE"""),"Lê Minh Ngọc Thy")</f>
        <v>Lê Minh Ngọc Thy</v>
      </c>
      <c r="J305" s="2" t="str">
        <f ca="1">IFERROR(__xludf.DUMMYFUNCTION("""COMPUTED_VALUE"""),"0842042209")</f>
        <v>0842042209</v>
      </c>
      <c r="K305" s="2" t="str">
        <f ca="1">IFERROR(__xludf.DUMMYFUNCTION("""COMPUTED_VALUE"""),"1746616692314")</f>
        <v>1746616692314</v>
      </c>
    </row>
    <row r="306" spans="1:11" ht="12.45">
      <c r="A306" s="2" t="str">
        <f ca="1">IFERROR(__xludf.DUMMYFUNCTION("""COMPUTED_VALUE"""),"1746616719402")</f>
        <v>1746616719402</v>
      </c>
      <c r="B306" s="2">
        <f ca="1">IFERROR(__xludf.DUMMYFUNCTION("""COMPUTED_VALUE"""),817025441)</f>
        <v>817025441</v>
      </c>
      <c r="C306" s="2" t="str">
        <f ca="1"/>
        <v>0817025441</v>
      </c>
      <c r="D306" s="2" t="str">
        <f ca="1">IFERROR(__xludf.DUMMYFUNCTION("""COMPUTED_VALUE"""),"1760835802933")</f>
        <v>1760835802933</v>
      </c>
      <c r="E306" s="2">
        <f ca="1">IFERROR(__xludf.DUMMYFUNCTION("""COMPUTED_VALUE"""),928316386)</f>
        <v>928316386</v>
      </c>
      <c r="F306" s="2" t="str">
        <f ca="1"/>
        <v>0928316386</v>
      </c>
      <c r="G306" s="2" t="str">
        <f ca="1">IFERROR(__xludf.DUMMYFUNCTION("""COMPUTED_VALUE"""),"105634659979")</f>
        <v>105634659979</v>
      </c>
      <c r="I306" s="2" t="str">
        <f ca="1">IFERROR(__xludf.DUMMYFUNCTION("""COMPUTED_VALUE"""),"Nguyễn Ngọc Trang")</f>
        <v>Nguyễn Ngọc Trang</v>
      </c>
      <c r="J306" s="2" t="str">
        <f ca="1">IFERROR(__xludf.DUMMYFUNCTION("""COMPUTED_VALUE"""),"0967314375")</f>
        <v>0967314375</v>
      </c>
      <c r="K306" s="2" t="str">
        <f ca="1">IFERROR(__xludf.DUMMYFUNCTION("""COMPUTED_VALUE"""),"1746616719402")</f>
        <v>1746616719402</v>
      </c>
    </row>
    <row r="307" spans="1:11" ht="12.45">
      <c r="A307" s="2" t="str">
        <f ca="1">IFERROR(__xludf.DUMMYFUNCTION("""COMPUTED_VALUE"""),"1746616749444")</f>
        <v>1746616749444</v>
      </c>
      <c r="B307" s="2">
        <f ca="1">IFERROR(__xludf.DUMMYFUNCTION("""COMPUTED_VALUE"""),916800638)</f>
        <v>916800638</v>
      </c>
      <c r="C307" s="2" t="str">
        <f ca="1"/>
        <v>0916800638</v>
      </c>
      <c r="D307" s="2" t="str">
        <f ca="1">IFERROR(__xludf.DUMMYFUNCTION("""COMPUTED_VALUE"""),"1760835890007")</f>
        <v>1760835890007</v>
      </c>
      <c r="E307" s="2">
        <f ca="1">IFERROR(__xludf.DUMMYFUNCTION("""COMPUTED_VALUE"""),355519672)</f>
        <v>355519672</v>
      </c>
      <c r="F307" s="2" t="str">
        <f ca="1"/>
        <v>0355519672</v>
      </c>
      <c r="G307" s="2" t="str">
        <f ca="1">IFERROR(__xludf.DUMMYFUNCTION("""COMPUTED_VALUE"""),"105634660182")</f>
        <v>105634660182</v>
      </c>
      <c r="I307" s="2" t="str">
        <f ca="1">IFERROR(__xludf.DUMMYFUNCTION("""COMPUTED_VALUE"""),"Bạc Thị Vân")</f>
        <v>Bạc Thị Vân</v>
      </c>
      <c r="J307" s="2" t="str">
        <f ca="1">IFERROR(__xludf.DUMMYFUNCTION("""COMPUTED_VALUE"""),"0362076587")</f>
        <v>0362076587</v>
      </c>
      <c r="K307" s="2" t="str">
        <f ca="1">IFERROR(__xludf.DUMMYFUNCTION("""COMPUTED_VALUE"""),"1746616749444")</f>
        <v>1746616749444</v>
      </c>
    </row>
    <row r="308" spans="1:11" ht="12.45">
      <c r="A308" s="2" t="str">
        <f ca="1">IFERROR(__xludf.DUMMYFUNCTION("""COMPUTED_VALUE"""),"1746616777932")</f>
        <v>1746616777932</v>
      </c>
      <c r="B308" s="2">
        <f ca="1">IFERROR(__xludf.DUMMYFUNCTION("""COMPUTED_VALUE"""),966845561)</f>
        <v>966845561</v>
      </c>
      <c r="C308" s="2" t="str">
        <f ca="1"/>
        <v>0966845561</v>
      </c>
      <c r="D308" s="2" t="str">
        <f ca="1">IFERROR(__xludf.DUMMYFUNCTION("""COMPUTED_VALUE"""),"1760835967013")</f>
        <v>1760835967013</v>
      </c>
      <c r="E308" s="2">
        <f ca="1">IFERROR(__xludf.DUMMYFUNCTION("""COMPUTED_VALUE"""),357650149)</f>
        <v>357650149</v>
      </c>
      <c r="F308" s="2" t="str">
        <f ca="1"/>
        <v>0357650149</v>
      </c>
      <c r="G308" s="2" t="str">
        <f ca="1">IFERROR(__xludf.DUMMYFUNCTION("""COMPUTED_VALUE"""),"105634660270")</f>
        <v>105634660270</v>
      </c>
      <c r="I308" s="2" t="str">
        <f ca="1">IFERROR(__xludf.DUMMYFUNCTION("""COMPUTED_VALUE"""),"Quách Thị Thu Giang ")</f>
        <v xml:space="preserve">Quách Thị Thu Giang </v>
      </c>
      <c r="J308" s="2" t="str">
        <f ca="1">IFERROR(__xludf.DUMMYFUNCTION("""COMPUTED_VALUE"""),"0335183394")</f>
        <v>0335183394</v>
      </c>
      <c r="K308" s="2" t="str">
        <f ca="1">IFERROR(__xludf.DUMMYFUNCTION("""COMPUTED_VALUE"""),"1746616777932")</f>
        <v>1746616777932</v>
      </c>
    </row>
    <row r="309" spans="1:11" ht="12.45">
      <c r="A309" s="2" t="str">
        <f ca="1">IFERROR(__xludf.DUMMYFUNCTION("""COMPUTED_VALUE"""),"1746616810373")</f>
        <v>1746616810373</v>
      </c>
      <c r="B309" s="2">
        <f ca="1">IFERROR(__xludf.DUMMYFUNCTION("""COMPUTED_VALUE"""),368667075)</f>
        <v>368667075</v>
      </c>
      <c r="C309" s="2" t="str">
        <f ca="1"/>
        <v>0368667075</v>
      </c>
      <c r="D309" s="2" t="str">
        <f ca="1">IFERROR(__xludf.DUMMYFUNCTION("""COMPUTED_VALUE"""),"1760836049131")</f>
        <v>1760836049131</v>
      </c>
      <c r="E309" s="2">
        <f ca="1">IFERROR(__xludf.DUMMYFUNCTION("""COMPUTED_VALUE"""),816678095)</f>
        <v>816678095</v>
      </c>
      <c r="F309" s="2" t="str">
        <f ca="1"/>
        <v>0816678095</v>
      </c>
      <c r="G309" s="2" t="str">
        <f ca="1">IFERROR(__xludf.DUMMYFUNCTION("""COMPUTED_VALUE"""),"105634660482")</f>
        <v>105634660482</v>
      </c>
      <c r="I309" s="2" t="str">
        <f ca="1">IFERROR(__xludf.DUMMYFUNCTION("""COMPUTED_VALUE"""),"Bùi Thị Mai Hoà")</f>
        <v>Bùi Thị Mai Hoà</v>
      </c>
      <c r="J309" s="2" t="str">
        <f ca="1">IFERROR(__xludf.DUMMYFUNCTION("""COMPUTED_VALUE"""),"0833877434")</f>
        <v>0833877434</v>
      </c>
      <c r="K309" s="2" t="str">
        <f ca="1">IFERROR(__xludf.DUMMYFUNCTION("""COMPUTED_VALUE"""),"1746616810373")</f>
        <v>1746616810373</v>
      </c>
    </row>
    <row r="310" spans="1:11" ht="12.45">
      <c r="A310" s="2" t="str">
        <f ca="1">IFERROR(__xludf.DUMMYFUNCTION("""COMPUTED_VALUE"""),"1746616849804")</f>
        <v>1746616849804</v>
      </c>
      <c r="B310" s="2">
        <f ca="1">IFERROR(__xludf.DUMMYFUNCTION("""COMPUTED_VALUE"""),869545647)</f>
        <v>869545647</v>
      </c>
      <c r="C310" s="2" t="str">
        <f ca="1"/>
        <v>0869545647</v>
      </c>
      <c r="D310" s="2" t="str">
        <f ca="1">IFERROR(__xludf.DUMMYFUNCTION("""COMPUTED_VALUE"""),"1760836096913")</f>
        <v>1760836096913</v>
      </c>
      <c r="E310" s="2">
        <f ca="1">IFERROR(__xludf.DUMMYFUNCTION("""COMPUTED_VALUE"""),865196786)</f>
        <v>865196786</v>
      </c>
      <c r="F310" s="2" t="str">
        <f ca="1"/>
        <v>0865196786</v>
      </c>
      <c r="G310" s="2" t="str">
        <f ca="1">IFERROR(__xludf.DUMMYFUNCTION("""COMPUTED_VALUE"""),"105634660590")</f>
        <v>105634660590</v>
      </c>
      <c r="I310" s="2" t="str">
        <f ca="1">IFERROR(__xludf.DUMMYFUNCTION("""COMPUTED_VALUE"""),"Lê Nguyễn Quỳnh Nga")</f>
        <v>Lê Nguyễn Quỳnh Nga</v>
      </c>
      <c r="J310" s="2" t="str">
        <f ca="1">IFERROR(__xludf.DUMMYFUNCTION("""COMPUTED_VALUE"""),"0901937330")</f>
        <v>0901937330</v>
      </c>
      <c r="K310" s="2" t="str">
        <f ca="1">IFERROR(__xludf.DUMMYFUNCTION("""COMPUTED_VALUE"""),"1746616849804")</f>
        <v>1746616849804</v>
      </c>
    </row>
    <row r="311" spans="1:11" ht="12.45">
      <c r="A311" s="2" t="str">
        <f ca="1">IFERROR(__xludf.DUMMYFUNCTION("""COMPUTED_VALUE"""),"1746616900006")</f>
        <v>1746616900006</v>
      </c>
      <c r="B311" s="2">
        <f ca="1">IFERROR(__xludf.DUMMYFUNCTION("""COMPUTED_VALUE"""),393921239)</f>
        <v>393921239</v>
      </c>
      <c r="C311" s="2" t="str">
        <f ca="1"/>
        <v>0393921239</v>
      </c>
      <c r="D311" s="2" t="str">
        <f ca="1">IFERROR(__xludf.DUMMYFUNCTION("""COMPUTED_VALUE"""),"1760836154568")</f>
        <v>1760836154568</v>
      </c>
      <c r="E311" s="2">
        <f ca="1">IFERROR(__xludf.DUMMYFUNCTION("""COMPUTED_VALUE"""),363963095)</f>
        <v>363963095</v>
      </c>
      <c r="F311" s="2" t="str">
        <f ca="1"/>
        <v>0363963095</v>
      </c>
      <c r="G311" s="2">
        <f ca="1">IFERROR(__xludf.DUMMYFUNCTION("""COMPUTED_VALUE"""),105648809552)</f>
        <v>105648809552</v>
      </c>
      <c r="I311" s="2" t="str">
        <f ca="1">IFERROR(__xludf.DUMMYFUNCTION("""COMPUTED_VALUE"""),"Nguyễn Vũ Huyền Trân")</f>
        <v>Nguyễn Vũ Huyền Trân</v>
      </c>
      <c r="J311" s="2" t="str">
        <f ca="1">IFERROR(__xludf.DUMMYFUNCTION("""COMPUTED_VALUE"""),"0368193409")</f>
        <v>0368193409</v>
      </c>
      <c r="K311" s="2" t="str">
        <f ca="1">IFERROR(__xludf.DUMMYFUNCTION("""COMPUTED_VALUE"""),"1746616900006")</f>
        <v>1746616900006</v>
      </c>
    </row>
    <row r="312" spans="1:11" ht="12.45">
      <c r="A312" s="2" t="str">
        <f ca="1">IFERROR(__xludf.DUMMYFUNCTION("""COMPUTED_VALUE"""),"1746616937804")</f>
        <v>1746616937804</v>
      </c>
      <c r="B312" s="2">
        <f ca="1">IFERROR(__xludf.DUMMYFUNCTION("""COMPUTED_VALUE"""),862112093)</f>
        <v>862112093</v>
      </c>
      <c r="C312" s="2" t="str">
        <f ca="1"/>
        <v>0862112093</v>
      </c>
      <c r="D312" s="2" t="str">
        <f ca="1">IFERROR(__xludf.DUMMYFUNCTION("""COMPUTED_VALUE"""),"1760836207267")</f>
        <v>1760836207267</v>
      </c>
      <c r="E312" s="2">
        <f ca="1">IFERROR(__xludf.DUMMYFUNCTION("""COMPUTED_VALUE"""),388919126)</f>
        <v>388919126</v>
      </c>
      <c r="F312" s="2" t="str">
        <f ca="1"/>
        <v>0388919126</v>
      </c>
      <c r="G312" s="2" t="str">
        <f ca="1">IFERROR(__xludf.DUMMYFUNCTION("""COMPUTED_VALUE"""),"105634660610")</f>
        <v>105634660610</v>
      </c>
      <c r="I312" s="2" t="str">
        <f ca="1">IFERROR(__xludf.DUMMYFUNCTION("""COMPUTED_VALUE"""),"Đỗ Thị Thuý Nhi")</f>
        <v>Đỗ Thị Thuý Nhi</v>
      </c>
      <c r="J312" s="2" t="str">
        <f ca="1">IFERROR(__xludf.DUMMYFUNCTION("""COMPUTED_VALUE"""),"0972293892")</f>
        <v>0972293892</v>
      </c>
      <c r="K312" s="2" t="str">
        <f ca="1">IFERROR(__xludf.DUMMYFUNCTION("""COMPUTED_VALUE"""),"1746616937804")</f>
        <v>1746616937804</v>
      </c>
    </row>
    <row r="313" spans="1:11" ht="12.45">
      <c r="A313" s="2" t="str">
        <f ca="1">IFERROR(__xludf.DUMMYFUNCTION("""COMPUTED_VALUE"""),"1746616973529")</f>
        <v>1746616973529</v>
      </c>
      <c r="B313" s="2">
        <f ca="1">IFERROR(__xludf.DUMMYFUNCTION("""COMPUTED_VALUE"""),986741492)</f>
        <v>986741492</v>
      </c>
      <c r="C313" s="2" t="str">
        <f ca="1"/>
        <v>0986741492</v>
      </c>
      <c r="D313" s="2" t="str">
        <f ca="1">IFERROR(__xludf.DUMMYFUNCTION("""COMPUTED_VALUE"""),"1760836288628")</f>
        <v>1760836288628</v>
      </c>
      <c r="E313" s="2">
        <f ca="1">IFERROR(__xludf.DUMMYFUNCTION("""COMPUTED_VALUE"""),908740822)</f>
        <v>908740822</v>
      </c>
      <c r="F313" s="2" t="str">
        <f ca="1"/>
        <v>0908740822</v>
      </c>
      <c r="G313" s="2" t="str">
        <f ca="1">IFERROR(__xludf.DUMMYFUNCTION("""COMPUTED_VALUE"""),"105634660736")</f>
        <v>105634660736</v>
      </c>
      <c r="I313" s="2" t="str">
        <f ca="1">IFERROR(__xludf.DUMMYFUNCTION("""COMPUTED_VALUE"""),"Nguyễn Thị Phượng Vy ")</f>
        <v xml:space="preserve">Nguyễn Thị Phượng Vy </v>
      </c>
      <c r="J313" s="2" t="str">
        <f ca="1">IFERROR(__xludf.DUMMYFUNCTION("""COMPUTED_VALUE"""),"0326982850")</f>
        <v>0326982850</v>
      </c>
      <c r="K313" s="2" t="str">
        <f ca="1">IFERROR(__xludf.DUMMYFUNCTION("""COMPUTED_VALUE"""),"1746616973529")</f>
        <v>1746616973529</v>
      </c>
    </row>
    <row r="314" spans="1:11" ht="12.45">
      <c r="A314" s="2" t="str">
        <f ca="1">IFERROR(__xludf.DUMMYFUNCTION("""COMPUTED_VALUE"""),"1746617008964")</f>
        <v>1746617008964</v>
      </c>
      <c r="B314" s="2">
        <f ca="1">IFERROR(__xludf.DUMMYFUNCTION("""COMPUTED_VALUE"""),916071978)</f>
        <v>916071978</v>
      </c>
      <c r="C314" s="2" t="str">
        <f ca="1"/>
        <v>0916071978</v>
      </c>
      <c r="D314" s="2" t="str">
        <f ca="1">IFERROR(__xludf.DUMMYFUNCTION("""COMPUTED_VALUE"""),"1760836393841")</f>
        <v>1760836393841</v>
      </c>
      <c r="E314" s="2">
        <f ca="1">IFERROR(__xludf.DUMMYFUNCTION("""COMPUTED_VALUE"""),849443855)</f>
        <v>849443855</v>
      </c>
      <c r="F314" s="2" t="str">
        <f ca="1"/>
        <v>0849443855</v>
      </c>
      <c r="G314" s="2" t="str">
        <f ca="1">IFERROR(__xludf.DUMMYFUNCTION("""COMPUTED_VALUE"""),"105634660819")</f>
        <v>105634660819</v>
      </c>
      <c r="I314" s="2" t="str">
        <f ca="1">IFERROR(__xludf.DUMMYFUNCTION("""COMPUTED_VALUE"""),"Hoàng Thị Linh Chi ")</f>
        <v xml:space="preserve">Hoàng Thị Linh Chi </v>
      </c>
      <c r="J314" s="2" t="str">
        <f ca="1">IFERROR(__xludf.DUMMYFUNCTION("""COMPUTED_VALUE"""),"0334024176")</f>
        <v>0334024176</v>
      </c>
      <c r="K314" s="2" t="str">
        <f ca="1">IFERROR(__xludf.DUMMYFUNCTION("""COMPUTED_VALUE"""),"1746617008964")</f>
        <v>1746617008964</v>
      </c>
    </row>
    <row r="315" spans="1:11" ht="12.45">
      <c r="A315" s="2" t="str">
        <f ca="1">IFERROR(__xludf.DUMMYFUNCTION("""COMPUTED_VALUE"""),"1746617040693")</f>
        <v>1746617040693</v>
      </c>
      <c r="B315" s="2">
        <f ca="1">IFERROR(__xludf.DUMMYFUNCTION("""COMPUTED_VALUE"""),969240528)</f>
        <v>969240528</v>
      </c>
      <c r="C315" s="2" t="str">
        <f ca="1"/>
        <v>0969240528</v>
      </c>
      <c r="D315" s="2" t="str">
        <f ca="1">IFERROR(__xludf.DUMMYFUNCTION("""COMPUTED_VALUE"""),"1760836483513")</f>
        <v>1760836483513</v>
      </c>
      <c r="E315" s="2">
        <f ca="1">IFERROR(__xludf.DUMMYFUNCTION("""COMPUTED_VALUE"""),935490158)</f>
        <v>935490158</v>
      </c>
      <c r="F315" s="2" t="str">
        <f ca="1"/>
        <v>0935490158</v>
      </c>
      <c r="G315" s="2" t="str">
        <f ca="1">IFERROR(__xludf.DUMMYFUNCTION("""COMPUTED_VALUE"""),"105634661021")</f>
        <v>105634661021</v>
      </c>
      <c r="I315" s="2" t="str">
        <f ca="1">IFERROR(__xludf.DUMMYFUNCTION("""COMPUTED_VALUE"""),"Đặng hà phương anh ")</f>
        <v xml:space="preserve">Đặng hà phương anh </v>
      </c>
      <c r="J315" s="2" t="str">
        <f ca="1">IFERROR(__xludf.DUMMYFUNCTION("""COMPUTED_VALUE"""),"0833287166")</f>
        <v>0833287166</v>
      </c>
      <c r="K315" s="2" t="str">
        <f ca="1">IFERROR(__xludf.DUMMYFUNCTION("""COMPUTED_VALUE"""),"1746617040693")</f>
        <v>1746617040693</v>
      </c>
    </row>
    <row r="316" spans="1:11" ht="12.45">
      <c r="A316" s="2" t="str">
        <f ca="1">IFERROR(__xludf.DUMMYFUNCTION("""COMPUTED_VALUE"""),"1747036123877")</f>
        <v>1747036123877</v>
      </c>
      <c r="B316" s="2">
        <f ca="1">IFERROR(__xludf.DUMMYFUNCTION("""COMPUTED_VALUE"""),967923172)</f>
        <v>967923172</v>
      </c>
      <c r="C316" s="2" t="str">
        <f ca="1"/>
        <v>0967923172</v>
      </c>
      <c r="D316" s="2" t="str">
        <f ca="1">IFERROR(__xludf.DUMMYFUNCTION("""COMPUTED_VALUE"""),"1760836564215")</f>
        <v>1760836564215</v>
      </c>
      <c r="E316" s="2">
        <f ca="1">IFERROR(__xludf.DUMMYFUNCTION("""COMPUTED_VALUE"""),367784538)</f>
        <v>367784538</v>
      </c>
      <c r="F316" s="2" t="str">
        <f ca="1"/>
        <v>0367784538</v>
      </c>
      <c r="G316" s="2" t="str">
        <f ca="1">IFERROR(__xludf.DUMMYFUNCTION("""COMPUTED_VALUE"""),"105637115089")</f>
        <v>105637115089</v>
      </c>
      <c r="I316" s="2" t="str">
        <f ca="1">IFERROR(__xludf.DUMMYFUNCTION("""COMPUTED_VALUE"""),"Nguyễn Thị Phương Anh ")</f>
        <v xml:space="preserve">Nguyễn Thị Phương Anh </v>
      </c>
      <c r="J316" s="2" t="str">
        <f ca="1">IFERROR(__xludf.DUMMYFUNCTION("""COMPUTED_VALUE"""),"0961700013")</f>
        <v>0961700013</v>
      </c>
      <c r="K316" s="2" t="str">
        <f ca="1">IFERROR(__xludf.DUMMYFUNCTION("""COMPUTED_VALUE"""),"1747036123877")</f>
        <v>1747036123877</v>
      </c>
    </row>
    <row r="317" spans="1:11" ht="12.45">
      <c r="A317" s="2" t="str">
        <f ca="1">IFERROR(__xludf.DUMMYFUNCTION("""COMPUTED_VALUE"""),"1747036160668")</f>
        <v>1747036160668</v>
      </c>
      <c r="B317" s="2">
        <f ca="1">IFERROR(__xludf.DUMMYFUNCTION("""COMPUTED_VALUE"""),928822704)</f>
        <v>928822704</v>
      </c>
      <c r="C317" s="2" t="str">
        <f ca="1"/>
        <v>0928822704</v>
      </c>
      <c r="D317" s="2" t="str">
        <f ca="1">IFERROR(__xludf.DUMMYFUNCTION("""COMPUTED_VALUE"""),"1760836661464")</f>
        <v>1760836661464</v>
      </c>
      <c r="E317" s="2">
        <f ca="1">IFERROR(__xludf.DUMMYFUNCTION("""COMPUTED_VALUE"""),832240776)</f>
        <v>832240776</v>
      </c>
      <c r="F317" s="2" t="str">
        <f ca="1"/>
        <v>0832240776</v>
      </c>
      <c r="G317" s="2" t="str">
        <f ca="1">IFERROR(__xludf.DUMMYFUNCTION("""COMPUTED_VALUE"""),"105637115230")</f>
        <v>105637115230</v>
      </c>
      <c r="I317" s="2" t="str">
        <f ca="1">IFERROR(__xludf.DUMMYFUNCTION("""COMPUTED_VALUE"""),"Lê Khánh Linh")</f>
        <v>Lê Khánh Linh</v>
      </c>
      <c r="J317" s="2" t="str">
        <f ca="1">IFERROR(__xludf.DUMMYFUNCTION("""COMPUTED_VALUE"""),"0943279166")</f>
        <v>0943279166</v>
      </c>
      <c r="K317" s="2" t="str">
        <f ca="1">IFERROR(__xludf.DUMMYFUNCTION("""COMPUTED_VALUE"""),"1747036160668")</f>
        <v>1747036160668</v>
      </c>
    </row>
    <row r="318" spans="1:11" ht="12.45">
      <c r="A318" s="2" t="str">
        <f ca="1">IFERROR(__xludf.DUMMYFUNCTION("""COMPUTED_VALUE"""),"1747036195367")</f>
        <v>1747036195367</v>
      </c>
      <c r="B318" s="2">
        <f ca="1">IFERROR(__xludf.DUMMYFUNCTION("""COMPUTED_VALUE"""),971354225)</f>
        <v>971354225</v>
      </c>
      <c r="C318" s="2" t="str">
        <f ca="1"/>
        <v>0971354225</v>
      </c>
      <c r="D318" s="2" t="str">
        <f ca="1">IFERROR(__xludf.DUMMYFUNCTION("""COMPUTED_VALUE"""),"1760836720831")</f>
        <v>1760836720831</v>
      </c>
      <c r="E318" s="2">
        <f ca="1">IFERROR(__xludf.DUMMYFUNCTION("""COMPUTED_VALUE"""),866164724)</f>
        <v>866164724</v>
      </c>
      <c r="F318" s="2" t="str">
        <f ca="1"/>
        <v>0866164724</v>
      </c>
      <c r="G318" s="2" t="str">
        <f ca="1">IFERROR(__xludf.DUMMYFUNCTION("""COMPUTED_VALUE"""),"105637115457")</f>
        <v>105637115457</v>
      </c>
      <c r="I318" s="2" t="str">
        <f ca="1">IFERROR(__xludf.DUMMYFUNCTION("""COMPUTED_VALUE"""),"Phạm Thị Khánh Linh ")</f>
        <v xml:space="preserve">Phạm Thị Khánh Linh </v>
      </c>
      <c r="J318" s="2" t="str">
        <f ca="1">IFERROR(__xludf.DUMMYFUNCTION("""COMPUTED_VALUE"""),"0963129887")</f>
        <v>0963129887</v>
      </c>
      <c r="K318" s="2" t="str">
        <f ca="1">IFERROR(__xludf.DUMMYFUNCTION("""COMPUTED_VALUE"""),"1747036195367")</f>
        <v>1747036195367</v>
      </c>
    </row>
    <row r="319" spans="1:11" ht="12.45">
      <c r="A319" s="2" t="str">
        <f ca="1">IFERROR(__xludf.DUMMYFUNCTION("""COMPUTED_VALUE"""),"1738940076847")</f>
        <v>1738940076847</v>
      </c>
      <c r="B319" s="2">
        <f ca="1">IFERROR(__xludf.DUMMYFUNCTION("""COMPUTED_VALUE"""),703301107)</f>
        <v>703301107</v>
      </c>
      <c r="C319" s="2" t="str">
        <f ca="1"/>
        <v>0703301107</v>
      </c>
      <c r="D319" s="2" t="str">
        <f ca="1">IFERROR(__xludf.DUMMYFUNCTION("""COMPUTED_VALUE"""),"1760836787570")</f>
        <v>1760836787570</v>
      </c>
      <c r="E319" s="2">
        <f ca="1">IFERROR(__xludf.DUMMYFUNCTION("""COMPUTED_VALUE"""),339798649)</f>
        <v>339798649</v>
      </c>
      <c r="F319" s="2" t="str">
        <f ca="1"/>
        <v>0339798649</v>
      </c>
      <c r="G319" s="2" t="str">
        <f ca="1">IFERROR(__xludf.DUMMYFUNCTION("""COMPUTED_VALUE"""),"105637115586")</f>
        <v>105637115586</v>
      </c>
      <c r="I319" s="2" t="str">
        <f ca="1">IFERROR(__xludf.DUMMYFUNCTION("""COMPUTED_VALUE"""),"Nguyễn Đình Trung")</f>
        <v>Nguyễn Đình Trung</v>
      </c>
      <c r="J319" s="2" t="str">
        <f ca="1">IFERROR(__xludf.DUMMYFUNCTION("""COMPUTED_VALUE"""),"0325966474")</f>
        <v>0325966474</v>
      </c>
      <c r="K319" s="2" t="str">
        <f ca="1">IFERROR(__xludf.DUMMYFUNCTION("""COMPUTED_VALUE"""),"1738940076847")</f>
        <v>1738940076847</v>
      </c>
    </row>
    <row r="320" spans="1:11" ht="12.45">
      <c r="A320" s="2" t="str">
        <f ca="1">IFERROR(__xludf.DUMMYFUNCTION("""COMPUTED_VALUE"""),"1747036239251")</f>
        <v>1747036239251</v>
      </c>
      <c r="B320" s="2">
        <f ca="1">IFERROR(__xludf.DUMMYFUNCTION("""COMPUTED_VALUE"""),988175736)</f>
        <v>988175736</v>
      </c>
      <c r="C320" s="2" t="str">
        <f ca="1"/>
        <v>0988175736</v>
      </c>
      <c r="D320" s="2" t="str">
        <f ca="1">IFERROR(__xludf.DUMMYFUNCTION("""COMPUTED_VALUE"""),"1760836867805")</f>
        <v>1760836867805</v>
      </c>
      <c r="E320" s="2">
        <f ca="1">IFERROR(__xludf.DUMMYFUNCTION("""COMPUTED_VALUE"""),913057315)</f>
        <v>913057315</v>
      </c>
      <c r="F320" s="2" t="str">
        <f ca="1"/>
        <v>0913057315</v>
      </c>
      <c r="G320" s="2" t="str">
        <f ca="1">IFERROR(__xludf.DUMMYFUNCTION("""COMPUTED_VALUE"""),"105637115642")</f>
        <v>105637115642</v>
      </c>
      <c r="I320" s="2" t="str">
        <f ca="1">IFERROR(__xludf.DUMMYFUNCTION("""COMPUTED_VALUE"""),"Vũ Thị Ly")</f>
        <v>Vũ Thị Ly</v>
      </c>
      <c r="J320" s="2" t="str">
        <f ca="1">IFERROR(__xludf.DUMMYFUNCTION("""COMPUTED_VALUE"""),"0973824792")</f>
        <v>0973824792</v>
      </c>
      <c r="K320" s="2" t="str">
        <f ca="1">IFERROR(__xludf.DUMMYFUNCTION("""COMPUTED_VALUE"""),"1747036239251")</f>
        <v>1747036239251</v>
      </c>
    </row>
    <row r="321" spans="1:11" ht="12.45">
      <c r="A321" s="2" t="str">
        <f ca="1">IFERROR(__xludf.DUMMYFUNCTION("""COMPUTED_VALUE"""),"1747036278378")</f>
        <v>1747036278378</v>
      </c>
      <c r="B321" s="2">
        <f ca="1">IFERROR(__xludf.DUMMYFUNCTION("""COMPUTED_VALUE"""),397909756)</f>
        <v>397909756</v>
      </c>
      <c r="C321" s="2" t="str">
        <f ca="1"/>
        <v>0397909756</v>
      </c>
      <c r="D321" s="2" t="str">
        <f ca="1">IFERROR(__xludf.DUMMYFUNCTION("""COMPUTED_VALUE"""),"1760836937631")</f>
        <v>1760836937631</v>
      </c>
      <c r="E321" s="2">
        <f ca="1">IFERROR(__xludf.DUMMYFUNCTION("""COMPUTED_VALUE"""),965504273)</f>
        <v>965504273</v>
      </c>
      <c r="F321" s="2" t="str">
        <f ca="1"/>
        <v>0965504273</v>
      </c>
      <c r="G321" s="2" t="str">
        <f ca="1">IFERROR(__xludf.DUMMYFUNCTION("""COMPUTED_VALUE"""),"105637115846")</f>
        <v>105637115846</v>
      </c>
      <c r="I321" s="2" t="str">
        <f ca="1">IFERROR(__xludf.DUMMYFUNCTION("""COMPUTED_VALUE"""),"Đỗ Thu Hương")</f>
        <v>Đỗ Thu Hương</v>
      </c>
      <c r="J321" s="2" t="str">
        <f ca="1">IFERROR(__xludf.DUMMYFUNCTION("""COMPUTED_VALUE"""),"0369152402")</f>
        <v>0369152402</v>
      </c>
      <c r="K321" s="2" t="str">
        <f ca="1">IFERROR(__xludf.DUMMYFUNCTION("""COMPUTED_VALUE"""),"1747036278378")</f>
        <v>1747036278378</v>
      </c>
    </row>
    <row r="322" spans="1:11" ht="12.45">
      <c r="A322" s="2" t="str">
        <f ca="1">IFERROR(__xludf.DUMMYFUNCTION("""COMPUTED_VALUE"""),"1747036318261")</f>
        <v>1747036318261</v>
      </c>
      <c r="B322" s="2">
        <f ca="1">IFERROR(__xludf.DUMMYFUNCTION("""COMPUTED_VALUE"""),976133139)</f>
        <v>976133139</v>
      </c>
      <c r="C322" s="2" t="str">
        <f ca="1"/>
        <v>0976133139</v>
      </c>
      <c r="D322" s="2" t="str">
        <f ca="1">IFERROR(__xludf.DUMMYFUNCTION("""COMPUTED_VALUE"""),"1760837006205")</f>
        <v>1760837006205</v>
      </c>
      <c r="E322" s="2">
        <f ca="1">IFERROR(__xludf.DUMMYFUNCTION("""COMPUTED_VALUE"""),899383700)</f>
        <v>899383700</v>
      </c>
      <c r="F322" s="2" t="str">
        <f ca="1"/>
        <v>0899383700</v>
      </c>
      <c r="G322" s="2" t="str">
        <f ca="1">IFERROR(__xludf.DUMMYFUNCTION("""COMPUTED_VALUE"""),"105637115957")</f>
        <v>105637115957</v>
      </c>
      <c r="I322" s="2" t="str">
        <f ca="1">IFERROR(__xludf.DUMMYFUNCTION("""COMPUTED_VALUE"""),"Lê Huyền Châu")</f>
        <v>Lê Huyền Châu</v>
      </c>
      <c r="J322" s="2" t="str">
        <f ca="1">IFERROR(__xludf.DUMMYFUNCTION("""COMPUTED_VALUE"""),"0916016481")</f>
        <v>0916016481</v>
      </c>
      <c r="K322" s="2" t="str">
        <f ca="1">IFERROR(__xludf.DUMMYFUNCTION("""COMPUTED_VALUE"""),"1747036318261")</f>
        <v>1747036318261</v>
      </c>
    </row>
    <row r="323" spans="1:11" ht="12.45">
      <c r="A323" s="2" t="str">
        <f ca="1">IFERROR(__xludf.DUMMYFUNCTION("""COMPUTED_VALUE"""),"1747036366255")</f>
        <v>1747036366255</v>
      </c>
      <c r="B323" s="2">
        <f ca="1">IFERROR(__xludf.DUMMYFUNCTION("""COMPUTED_VALUE"""),906497840)</f>
        <v>906497840</v>
      </c>
      <c r="C323" s="2" t="str">
        <f ca="1"/>
        <v>0906497840</v>
      </c>
      <c r="D323" s="2" t="str">
        <f ca="1">IFERROR(__xludf.DUMMYFUNCTION("""COMPUTED_VALUE"""),"1760837074846")</f>
        <v>1760837074846</v>
      </c>
      <c r="E323" s="2">
        <f ca="1">IFERROR(__xludf.DUMMYFUNCTION("""COMPUTED_VALUE"""),932959098)</f>
        <v>932959098</v>
      </c>
      <c r="F323" s="2" t="str">
        <f ca="1"/>
        <v>0932959098</v>
      </c>
      <c r="G323" s="2">
        <f ca="1">IFERROR(__xludf.DUMMYFUNCTION("""COMPUTED_VALUE"""),105556054556)</f>
        <v>105556054556</v>
      </c>
      <c r="I323" s="2" t="str">
        <f ca="1">IFERROR(__xludf.DUMMYFUNCTION("""COMPUTED_VALUE"""),"Trần Thị Khánh Hạ ")</f>
        <v xml:space="preserve">Trần Thị Khánh Hạ </v>
      </c>
      <c r="J323" s="2" t="str">
        <f ca="1">IFERROR(__xludf.DUMMYFUNCTION("""COMPUTED_VALUE"""),"0366123009")</f>
        <v>0366123009</v>
      </c>
      <c r="K323" s="2" t="str">
        <f ca="1">IFERROR(__xludf.DUMMYFUNCTION("""COMPUTED_VALUE"""),"1747036366255")</f>
        <v>1747036366255</v>
      </c>
    </row>
    <row r="324" spans="1:11" ht="12.45">
      <c r="A324" s="2" t="str">
        <f ca="1">IFERROR(__xludf.DUMMYFUNCTION("""COMPUTED_VALUE"""),"1747036413098")</f>
        <v>1747036413098</v>
      </c>
      <c r="B324" s="2">
        <f ca="1">IFERROR(__xludf.DUMMYFUNCTION("""COMPUTED_VALUE"""),969982010)</f>
        <v>969982010</v>
      </c>
      <c r="C324" s="2" t="str">
        <f ca="1"/>
        <v>0969982010</v>
      </c>
      <c r="D324" s="2" t="str">
        <f ca="1">IFERROR(__xludf.DUMMYFUNCTION("""COMPUTED_VALUE"""),"1762539007840")</f>
        <v>1762539007840</v>
      </c>
      <c r="E324" s="2">
        <f ca="1">IFERROR(__xludf.DUMMYFUNCTION("""COMPUTED_VALUE"""),886908988)</f>
        <v>886908988</v>
      </c>
      <c r="F324" s="2" t="str">
        <f ca="1"/>
        <v>0886908988</v>
      </c>
      <c r="G324" s="2" t="str">
        <f ca="1">IFERROR(__xludf.DUMMYFUNCTION("""COMPUTED_VALUE"""),"105637116156")</f>
        <v>105637116156</v>
      </c>
      <c r="I324" s="2" t="str">
        <f ca="1">IFERROR(__xludf.DUMMYFUNCTION("""COMPUTED_VALUE"""),"Bùi Thị Hải Yến")</f>
        <v>Bùi Thị Hải Yến</v>
      </c>
      <c r="J324" s="3" t="str">
        <f ca="1">IFERROR(__xludf.DUMMYFUNCTION("""COMPUTED_VALUE"""),"0372686976")</f>
        <v>0372686976</v>
      </c>
      <c r="K324" s="2" t="str">
        <f ca="1">IFERROR(__xludf.DUMMYFUNCTION("""COMPUTED_VALUE"""),"1747036413098")</f>
        <v>1747036413098</v>
      </c>
    </row>
    <row r="325" spans="1:11" ht="12.45">
      <c r="A325" s="2" t="str">
        <f ca="1">IFERROR(__xludf.DUMMYFUNCTION("""COMPUTED_VALUE"""),"1747036451493")</f>
        <v>1747036451493</v>
      </c>
      <c r="B325" s="2">
        <f ca="1">IFERROR(__xludf.DUMMYFUNCTION("""COMPUTED_VALUE"""),917378015)</f>
        <v>917378015</v>
      </c>
      <c r="C325" s="2" t="str">
        <f ca="1"/>
        <v>0917378015</v>
      </c>
      <c r="D325" s="2" t="str">
        <f ca="1">IFERROR(__xludf.DUMMYFUNCTION("""COMPUTED_VALUE"""),"1762539103089")</f>
        <v>1762539103089</v>
      </c>
      <c r="E325" s="2">
        <f ca="1">IFERROR(__xludf.DUMMYFUNCTION("""COMPUTED_VALUE"""),774636817)</f>
        <v>774636817</v>
      </c>
      <c r="F325" s="2" t="str">
        <f ca="1"/>
        <v>0774636817</v>
      </c>
      <c r="G325" s="2">
        <f ca="1">IFERROR(__xludf.DUMMYFUNCTION("""COMPUTED_VALUE"""),105648710872)</f>
        <v>105648710872</v>
      </c>
      <c r="I325" s="2" t="str">
        <f ca="1">IFERROR(__xludf.DUMMYFUNCTION("""COMPUTED_VALUE"""),"Phạm Thanh Hà")</f>
        <v>Phạm Thanh Hà</v>
      </c>
      <c r="J325" s="2" t="str">
        <f ca="1">IFERROR(__xludf.DUMMYFUNCTION("""COMPUTED_VALUE"""),"0916680630")</f>
        <v>0916680630</v>
      </c>
      <c r="K325" s="2" t="str">
        <f ca="1">IFERROR(__xludf.DUMMYFUNCTION("""COMPUTED_VALUE"""),"1747036451493")</f>
        <v>1747036451493</v>
      </c>
    </row>
    <row r="326" spans="1:11" ht="12.45">
      <c r="A326" s="2" t="str">
        <f ca="1">IFERROR(__xludf.DUMMYFUNCTION("""COMPUTED_VALUE"""),"1747036500988")</f>
        <v>1747036500988</v>
      </c>
      <c r="B326" s="2">
        <f ca="1">IFERROR(__xludf.DUMMYFUNCTION("""COMPUTED_VALUE"""),912818605)</f>
        <v>912818605</v>
      </c>
      <c r="C326" s="2" t="str">
        <f ca="1"/>
        <v>0912818605</v>
      </c>
      <c r="D326" s="2" t="str">
        <f ca="1">IFERROR(__xludf.DUMMYFUNCTION("""COMPUTED_VALUE"""),"1762539197581")</f>
        <v>1762539197581</v>
      </c>
      <c r="E326" s="2">
        <f ca="1">IFERROR(__xludf.DUMMYFUNCTION("""COMPUTED_VALUE"""),368320301)</f>
        <v>368320301</v>
      </c>
      <c r="F326" s="2" t="str">
        <f ca="1"/>
        <v>0368320301</v>
      </c>
      <c r="G326" s="2">
        <f ca="1">IFERROR(__xludf.DUMMYFUNCTION("""COMPUTED_VALUE"""),105648710926)</f>
        <v>105648710926</v>
      </c>
      <c r="I326" s="2" t="str">
        <f ca="1">IFERROR(__xludf.DUMMYFUNCTION("""COMPUTED_VALUE"""),"Đào Xuân Hương")</f>
        <v>Đào Xuân Hương</v>
      </c>
      <c r="J326" s="2" t="str">
        <f ca="1">IFERROR(__xludf.DUMMYFUNCTION("""COMPUTED_VALUE"""),"0961786228")</f>
        <v>0961786228</v>
      </c>
      <c r="K326" s="2" t="str">
        <f ca="1">IFERROR(__xludf.DUMMYFUNCTION("""COMPUTED_VALUE"""),"1747036500988")</f>
        <v>1747036500988</v>
      </c>
    </row>
    <row r="327" spans="1:11" ht="12.45">
      <c r="A327" s="2" t="str">
        <f ca="1">IFERROR(__xludf.DUMMYFUNCTION("""COMPUTED_VALUE"""),"1747036559150")</f>
        <v>1747036559150</v>
      </c>
      <c r="B327" s="2">
        <f ca="1">IFERROR(__xludf.DUMMYFUNCTION("""COMPUTED_VALUE"""),349350616)</f>
        <v>349350616</v>
      </c>
      <c r="C327" s="2" t="str">
        <f ca="1"/>
        <v>0349350616</v>
      </c>
      <c r="D327" s="2" t="str">
        <f ca="1">IFERROR(__xludf.DUMMYFUNCTION("""COMPUTED_VALUE"""),"1762539273539")</f>
        <v>1762539273539</v>
      </c>
      <c r="E327" s="2">
        <f ca="1">IFERROR(__xludf.DUMMYFUNCTION("""COMPUTED_VALUE"""),326882510)</f>
        <v>326882510</v>
      </c>
      <c r="F327" s="2" t="str">
        <f ca="1"/>
        <v>0326882510</v>
      </c>
      <c r="G327" s="2">
        <f ca="1">IFERROR(__xludf.DUMMYFUNCTION("""COMPUTED_VALUE"""),105648711126)</f>
        <v>105648711126</v>
      </c>
      <c r="I327" s="2" t="str">
        <f ca="1">IFERROR(__xludf.DUMMYFUNCTION("""COMPUTED_VALUE"""),"Lê Nguyễn Bích Phương ")</f>
        <v xml:space="preserve">Lê Nguyễn Bích Phương </v>
      </c>
      <c r="J327" s="3" t="str">
        <f ca="1">IFERROR(__xludf.DUMMYFUNCTION("""COMPUTED_VALUE"""),"0843081479")</f>
        <v>0843081479</v>
      </c>
      <c r="K327" s="2" t="str">
        <f ca="1">IFERROR(__xludf.DUMMYFUNCTION("""COMPUTED_VALUE"""),"1747036559150")</f>
        <v>1747036559150</v>
      </c>
    </row>
    <row r="328" spans="1:11" ht="12.45">
      <c r="A328" s="2" t="str">
        <f ca="1">IFERROR(__xludf.DUMMYFUNCTION("""COMPUTED_VALUE"""),"1747036612568")</f>
        <v>1747036612568</v>
      </c>
      <c r="B328" s="2">
        <f ca="1">IFERROR(__xludf.DUMMYFUNCTION("""COMPUTED_VALUE"""),762094479)</f>
        <v>762094479</v>
      </c>
      <c r="C328" s="2" t="str">
        <f ca="1"/>
        <v>0762094479</v>
      </c>
      <c r="D328" s="2" t="str">
        <f ca="1">IFERROR(__xludf.DUMMYFUNCTION("""COMPUTED_VALUE"""),"1762539363260")</f>
        <v>1762539363260</v>
      </c>
      <c r="E328" s="2">
        <f ca="1">IFERROR(__xludf.DUMMYFUNCTION("""COMPUTED_VALUE"""),832660767)</f>
        <v>832660767</v>
      </c>
      <c r="F328" s="2" t="str">
        <f ca="1"/>
        <v>0832660767</v>
      </c>
      <c r="G328" s="2">
        <f ca="1">IFERROR(__xludf.DUMMYFUNCTION("""COMPUTED_VALUE"""),105648711360)</f>
        <v>105648711360</v>
      </c>
      <c r="I328" s="2" t="str">
        <f ca="1">IFERROR(__xludf.DUMMYFUNCTION("""COMPUTED_VALUE"""),"Trần Thị Hoài Thương")</f>
        <v>Trần Thị Hoài Thương</v>
      </c>
      <c r="J328" s="3" t="str">
        <f ca="1">IFERROR(__xludf.DUMMYFUNCTION("""COMPUTED_VALUE"""),"0904736037")</f>
        <v>0904736037</v>
      </c>
      <c r="K328" s="2" t="str">
        <f ca="1">IFERROR(__xludf.DUMMYFUNCTION("""COMPUTED_VALUE"""),"1747036612568")</f>
        <v>1747036612568</v>
      </c>
    </row>
    <row r="329" spans="1:11" ht="12.45">
      <c r="A329" s="2" t="str">
        <f ca="1">IFERROR(__xludf.DUMMYFUNCTION("""COMPUTED_VALUE"""),"1747036666939")</f>
        <v>1747036666939</v>
      </c>
      <c r="B329" s="2">
        <f ca="1">IFERROR(__xludf.DUMMYFUNCTION("""COMPUTED_VALUE"""),336723073)</f>
        <v>336723073</v>
      </c>
      <c r="C329" s="2" t="str">
        <f ca="1"/>
        <v>0336723073</v>
      </c>
      <c r="D329" s="2" t="str">
        <f ca="1">IFERROR(__xludf.DUMMYFUNCTION("""COMPUTED_VALUE"""),"1762539440920")</f>
        <v>1762539440920</v>
      </c>
      <c r="E329" s="2">
        <f ca="1">IFERROR(__xludf.DUMMYFUNCTION("""COMPUTED_VALUE"""),918152658)</f>
        <v>918152658</v>
      </c>
      <c r="F329" s="2" t="str">
        <f ca="1"/>
        <v>0918152658</v>
      </c>
      <c r="G329" s="2">
        <f ca="1">IFERROR(__xludf.DUMMYFUNCTION("""COMPUTED_VALUE"""),105648711558)</f>
        <v>105648711558</v>
      </c>
      <c r="I329" s="2" t="str">
        <f ca="1">IFERROR(__xludf.DUMMYFUNCTION("""COMPUTED_VALUE"""),"Cao Nguyệt Thương")</f>
        <v>Cao Nguyệt Thương</v>
      </c>
      <c r="J329" s="3" t="str">
        <f ca="1">IFERROR(__xludf.DUMMYFUNCTION("""COMPUTED_VALUE"""),"0345269899")</f>
        <v>0345269899</v>
      </c>
      <c r="K329" s="2" t="str">
        <f ca="1">IFERROR(__xludf.DUMMYFUNCTION("""COMPUTED_VALUE"""),"1747036666939")</f>
        <v>1747036666939</v>
      </c>
    </row>
    <row r="330" spans="1:11" ht="12.45">
      <c r="A330" s="2" t="str">
        <f ca="1">IFERROR(__xludf.DUMMYFUNCTION("""COMPUTED_VALUE"""),"1747036771064")</f>
        <v>1747036771064</v>
      </c>
      <c r="B330" s="2">
        <f ca="1">IFERROR(__xludf.DUMMYFUNCTION("""COMPUTED_VALUE"""),792865671)</f>
        <v>792865671</v>
      </c>
      <c r="C330" s="2" t="str">
        <f ca="1"/>
        <v>0792865671</v>
      </c>
      <c r="D330" s="2" t="str">
        <f ca="1">IFERROR(__xludf.DUMMYFUNCTION("""COMPUTED_VALUE"""),"1762539527458")</f>
        <v>1762539527458</v>
      </c>
      <c r="E330" s="2">
        <f ca="1">IFERROR(__xludf.DUMMYFUNCTION("""COMPUTED_VALUE"""),379996316)</f>
        <v>379996316</v>
      </c>
      <c r="F330" s="2" t="str">
        <f ca="1"/>
        <v>0379996316</v>
      </c>
      <c r="G330" s="2">
        <f ca="1">IFERROR(__xludf.DUMMYFUNCTION("""COMPUTED_VALUE"""),105648711675)</f>
        <v>105648711675</v>
      </c>
      <c r="I330" s="2" t="str">
        <f ca="1">IFERROR(__xludf.DUMMYFUNCTION("""COMPUTED_VALUE"""),"Phạm vũ gia an")</f>
        <v>Phạm vũ gia an</v>
      </c>
      <c r="J330" s="3" t="str">
        <f ca="1">IFERROR(__xludf.DUMMYFUNCTION("""COMPUTED_VALUE"""),"0375369633")</f>
        <v>0375369633</v>
      </c>
      <c r="K330" s="2" t="str">
        <f ca="1">IFERROR(__xludf.DUMMYFUNCTION("""COMPUTED_VALUE"""),"1747036771064")</f>
        <v>1747036771064</v>
      </c>
    </row>
    <row r="331" spans="1:11" ht="12.45">
      <c r="A331" s="2" t="str">
        <f ca="1">IFERROR(__xludf.DUMMYFUNCTION("""COMPUTED_VALUE"""),"1747036812328")</f>
        <v>1747036812328</v>
      </c>
      <c r="B331" s="2">
        <f ca="1">IFERROR(__xludf.DUMMYFUNCTION("""COMPUTED_VALUE"""),967207164)</f>
        <v>967207164</v>
      </c>
      <c r="C331" s="2" t="str">
        <f ca="1"/>
        <v>0967207164</v>
      </c>
      <c r="D331" s="2" t="str">
        <f ca="1">IFERROR(__xludf.DUMMYFUNCTION("""COMPUTED_VALUE"""),"1762539645326")</f>
        <v>1762539645326</v>
      </c>
      <c r="E331" s="2">
        <f ca="1">IFERROR(__xludf.DUMMYFUNCTION("""COMPUTED_VALUE"""),975259683)</f>
        <v>975259683</v>
      </c>
      <c r="F331" s="2" t="str">
        <f ca="1"/>
        <v>0975259683</v>
      </c>
      <c r="G331" s="2">
        <f ca="1">IFERROR(__xludf.DUMMYFUNCTION("""COMPUTED_VALUE"""),105648711776)</f>
        <v>105648711776</v>
      </c>
      <c r="I331" s="2" t="str">
        <f ca="1">IFERROR(__xludf.DUMMYFUNCTION("""COMPUTED_VALUE"""),"Trần Thị Như Quỳnh")</f>
        <v>Trần Thị Như Quỳnh</v>
      </c>
      <c r="J331" s="3" t="str">
        <f ca="1">IFERROR(__xludf.DUMMYFUNCTION("""COMPUTED_VALUE"""),"0971794144")</f>
        <v>0971794144</v>
      </c>
      <c r="K331" s="2" t="str">
        <f ca="1">IFERROR(__xludf.DUMMYFUNCTION("""COMPUTED_VALUE"""),"1747036812328")</f>
        <v>1747036812328</v>
      </c>
    </row>
    <row r="332" spans="1:11" ht="12.45">
      <c r="A332" s="2" t="str">
        <f ca="1">IFERROR(__xludf.DUMMYFUNCTION("""COMPUTED_VALUE"""),"1738940104177")</f>
        <v>1738940104177</v>
      </c>
      <c r="B332" s="2">
        <f ca="1">IFERROR(__xludf.DUMMYFUNCTION("""COMPUTED_VALUE"""),339649091)</f>
        <v>339649091</v>
      </c>
      <c r="C332" s="2" t="str">
        <f ca="1"/>
        <v>0339649091</v>
      </c>
      <c r="D332" s="2" t="str">
        <f ca="1">IFERROR(__xludf.DUMMYFUNCTION("""COMPUTED_VALUE"""),"1762539766506")</f>
        <v>1762539766506</v>
      </c>
      <c r="E332" s="2">
        <f ca="1">IFERROR(__xludf.DUMMYFUNCTION("""COMPUTED_VALUE"""),979505249)</f>
        <v>979505249</v>
      </c>
      <c r="F332" s="2" t="str">
        <f ca="1"/>
        <v>0979505249</v>
      </c>
      <c r="G332" s="2">
        <f ca="1">IFERROR(__xludf.DUMMYFUNCTION("""COMPUTED_VALUE"""),105648711882)</f>
        <v>105648711882</v>
      </c>
      <c r="I332" s="2" t="str">
        <f ca="1">IFERROR(__xludf.DUMMYFUNCTION("""COMPUTED_VALUE"""),"Nguyễn Phương Thảo ")</f>
        <v xml:space="preserve">Nguyễn Phương Thảo </v>
      </c>
      <c r="J332" s="3" t="str">
        <f ca="1">IFERROR(__xludf.DUMMYFUNCTION("""COMPUTED_VALUE"""),"0376066673")</f>
        <v>0376066673</v>
      </c>
      <c r="K332" s="2" t="str">
        <f ca="1">IFERROR(__xludf.DUMMYFUNCTION("""COMPUTED_VALUE"""),"1738940104177")</f>
        <v>1738940104177</v>
      </c>
    </row>
    <row r="333" spans="1:11" ht="12.45">
      <c r="A333" s="2" t="str">
        <f ca="1">IFERROR(__xludf.DUMMYFUNCTION("""COMPUTED_VALUE"""),"1747036855581")</f>
        <v>1747036855581</v>
      </c>
      <c r="B333" s="2">
        <f ca="1">IFERROR(__xludf.DUMMYFUNCTION("""COMPUTED_VALUE"""),369674876)</f>
        <v>369674876</v>
      </c>
      <c r="C333" s="2" t="str">
        <f ca="1"/>
        <v>0369674876</v>
      </c>
      <c r="D333" s="2" t="str">
        <f ca="1">IFERROR(__xludf.DUMMYFUNCTION("""COMPUTED_VALUE"""),"1762539826351")</f>
        <v>1762539826351</v>
      </c>
      <c r="E333" s="2">
        <f ca="1">IFERROR(__xludf.DUMMYFUNCTION("""COMPUTED_VALUE"""),964142380)</f>
        <v>964142380</v>
      </c>
      <c r="F333" s="2" t="str">
        <f ca="1"/>
        <v>0964142380</v>
      </c>
      <c r="G333" s="2" t="str">
        <f ca="1">IFERROR(__xludf.DUMMYFUNCTION("""COMPUTED_VALUE"""),"105716344730")</f>
        <v>105716344730</v>
      </c>
      <c r="I333" s="2" t="str">
        <f ca="1">IFERROR(__xludf.DUMMYFUNCTION("""COMPUTED_VALUE"""),"Võ Lê Anh Trâm ")</f>
        <v xml:space="preserve">Võ Lê Anh Trâm </v>
      </c>
      <c r="J333" s="3" t="str">
        <f ca="1">IFERROR(__xludf.DUMMYFUNCTION("""COMPUTED_VALUE"""),"0935490158")</f>
        <v>0935490158</v>
      </c>
      <c r="K333" s="2" t="str">
        <f ca="1">IFERROR(__xludf.DUMMYFUNCTION("""COMPUTED_VALUE"""),"1747036855581")</f>
        <v>1747036855581</v>
      </c>
    </row>
    <row r="334" spans="1:11" ht="12.45">
      <c r="A334" s="2" t="str">
        <f ca="1">IFERROR(__xludf.DUMMYFUNCTION("""COMPUTED_VALUE"""),"1747036893462")</f>
        <v>1747036893462</v>
      </c>
      <c r="B334" s="2">
        <f ca="1">IFERROR(__xludf.DUMMYFUNCTION("""COMPUTED_VALUE"""),961889389)</f>
        <v>961889389</v>
      </c>
      <c r="C334" s="2" t="str">
        <f ca="1"/>
        <v>0961889389</v>
      </c>
      <c r="D334" s="2" t="str">
        <f ca="1">IFERROR(__xludf.DUMMYFUNCTION("""COMPUTED_VALUE"""),"1762539889079")</f>
        <v>1762539889079</v>
      </c>
      <c r="E334" s="2">
        <f ca="1">IFERROR(__xludf.DUMMYFUNCTION("""COMPUTED_VALUE"""),767925399)</f>
        <v>767925399</v>
      </c>
      <c r="F334" s="2" t="str">
        <f ca="1"/>
        <v>0767925399</v>
      </c>
      <c r="G334" s="2" t="str">
        <f ca="1">IFERROR(__xludf.DUMMYFUNCTION("""COMPUTED_VALUE"""),"105716344811")</f>
        <v>105716344811</v>
      </c>
      <c r="I334" s="2" t="str">
        <f ca="1">IFERROR(__xludf.DUMMYFUNCTION("""COMPUTED_VALUE"""),"Lương Tố Như ")</f>
        <v xml:space="preserve">Lương Tố Như </v>
      </c>
      <c r="J334" s="3" t="str">
        <f ca="1">IFERROR(__xludf.DUMMYFUNCTION("""COMPUTED_VALUE"""),"0398723444")</f>
        <v>0398723444</v>
      </c>
      <c r="K334" s="2" t="str">
        <f ca="1">IFERROR(__xludf.DUMMYFUNCTION("""COMPUTED_VALUE"""),"1747036893462")</f>
        <v>1747036893462</v>
      </c>
    </row>
    <row r="335" spans="1:11" ht="12.45">
      <c r="A335" s="2" t="str">
        <f ca="1">IFERROR(__xludf.DUMMYFUNCTION("""COMPUTED_VALUE"""),"1747036931237")</f>
        <v>1747036931237</v>
      </c>
      <c r="B335" s="2">
        <f ca="1">IFERROR(__xludf.DUMMYFUNCTION("""COMPUTED_VALUE"""),343506280)</f>
        <v>343506280</v>
      </c>
      <c r="C335" s="2" t="str">
        <f ca="1"/>
        <v>0343506280</v>
      </c>
      <c r="D335" s="2" t="str">
        <f ca="1">IFERROR(__xludf.DUMMYFUNCTION("""COMPUTED_VALUE"""),"1762539945466")</f>
        <v>1762539945466</v>
      </c>
      <c r="E335" s="2">
        <f ca="1">IFERROR(__xludf.DUMMYFUNCTION("""COMPUTED_VALUE"""),947653201)</f>
        <v>947653201</v>
      </c>
      <c r="F335" s="2" t="str">
        <f ca="1"/>
        <v>0947653201</v>
      </c>
      <c r="G335" s="2" t="str">
        <f ca="1">IFERROR(__xludf.DUMMYFUNCTION("""COMPUTED_VALUE"""),"105716344931")</f>
        <v>105716344931</v>
      </c>
      <c r="I335" s="2" t="str">
        <f ca="1">IFERROR(__xludf.DUMMYFUNCTION("""COMPUTED_VALUE"""),"Trần Hồng Ngọc")</f>
        <v>Trần Hồng Ngọc</v>
      </c>
      <c r="J335" s="3" t="str">
        <f ca="1">IFERROR(__xludf.DUMMYFUNCTION("""COMPUTED_VALUE"""),"0912801172")</f>
        <v>0912801172</v>
      </c>
      <c r="K335" s="2" t="str">
        <f ca="1">IFERROR(__xludf.DUMMYFUNCTION("""COMPUTED_VALUE"""),"1747036931237")</f>
        <v>1747036931237</v>
      </c>
    </row>
    <row r="336" spans="1:11" ht="12.45">
      <c r="A336" s="2" t="str">
        <f ca="1">IFERROR(__xludf.DUMMYFUNCTION("""COMPUTED_VALUE"""),"1747036976747")</f>
        <v>1747036976747</v>
      </c>
      <c r="B336" s="2">
        <f ca="1">IFERROR(__xludf.DUMMYFUNCTION("""COMPUTED_VALUE"""),365819433)</f>
        <v>365819433</v>
      </c>
      <c r="C336" s="2" t="str">
        <f ca="1"/>
        <v>0365819433</v>
      </c>
      <c r="D336" s="2" t="str">
        <f ca="1">IFERROR(__xludf.DUMMYFUNCTION("""COMPUTED_VALUE"""),"1762539994566")</f>
        <v>1762539994566</v>
      </c>
      <c r="E336" s="2">
        <f ca="1">IFERROR(__xludf.DUMMYFUNCTION("""COMPUTED_VALUE"""),364202425)</f>
        <v>364202425</v>
      </c>
      <c r="F336" s="2" t="str">
        <f ca="1"/>
        <v>0364202425</v>
      </c>
      <c r="G336" s="2" t="str">
        <f ca="1">IFERROR(__xludf.DUMMYFUNCTION("""COMPUTED_VALUE"""),"105716345041")</f>
        <v>105716345041</v>
      </c>
      <c r="I336" s="2" t="str">
        <f ca="1">IFERROR(__xludf.DUMMYFUNCTION("""COMPUTED_VALUE"""),"nguyễn thị thu trang")</f>
        <v>nguyễn thị thu trang</v>
      </c>
      <c r="J336" s="3" t="str">
        <f ca="1">IFERROR(__xludf.DUMMYFUNCTION("""COMPUTED_VALUE"""),"0338966019")</f>
        <v>0338966019</v>
      </c>
      <c r="K336" s="2" t="str">
        <f ca="1">IFERROR(__xludf.DUMMYFUNCTION("""COMPUTED_VALUE"""),"1747036976747")</f>
        <v>1747036976747</v>
      </c>
    </row>
    <row r="337" spans="1:11" ht="12.45">
      <c r="A337" s="2" t="str">
        <f ca="1">IFERROR(__xludf.DUMMYFUNCTION("""COMPUTED_VALUE"""),"1747037040022")</f>
        <v>1747037040022</v>
      </c>
      <c r="B337" s="2">
        <f ca="1">IFERROR(__xludf.DUMMYFUNCTION("""COMPUTED_VALUE"""),866962049)</f>
        <v>866962049</v>
      </c>
      <c r="C337" s="2" t="str">
        <f ca="1"/>
        <v>0866962049</v>
      </c>
      <c r="D337" s="2" t="str">
        <f ca="1">IFERROR(__xludf.DUMMYFUNCTION("""COMPUTED_VALUE"""),"1762540038085")</f>
        <v>1762540038085</v>
      </c>
      <c r="E337" s="2">
        <f ca="1">IFERROR(__xludf.DUMMYFUNCTION("""COMPUTED_VALUE"""),966161820)</f>
        <v>966161820</v>
      </c>
      <c r="F337" s="2" t="str">
        <f ca="1"/>
        <v>0966161820</v>
      </c>
      <c r="G337" s="2" t="str">
        <f ca="1">IFERROR(__xludf.DUMMYFUNCTION("""COMPUTED_VALUE"""),"105716345255")</f>
        <v>105716345255</v>
      </c>
      <c r="I337" s="2" t="str">
        <f ca="1">IFERROR(__xludf.DUMMYFUNCTION("""COMPUTED_VALUE"""),"Vũ Thị Minh Trang")</f>
        <v>Vũ Thị Minh Trang</v>
      </c>
      <c r="J337" s="3" t="str">
        <f ca="1">IFERROR(__xludf.DUMMYFUNCTION("""COMPUTED_VALUE"""),"0849672586")</f>
        <v>0849672586</v>
      </c>
      <c r="K337" s="2" t="str">
        <f ca="1">IFERROR(__xludf.DUMMYFUNCTION("""COMPUTED_VALUE"""),"1747037040022")</f>
        <v>1747037040022</v>
      </c>
    </row>
    <row r="338" spans="1:11" ht="12.45">
      <c r="A338" s="2" t="str">
        <f ca="1">IFERROR(__xludf.DUMMYFUNCTION("""COMPUTED_VALUE"""),"1747037085669")</f>
        <v>1747037085669</v>
      </c>
      <c r="B338" s="2">
        <f ca="1">IFERROR(__xludf.DUMMYFUNCTION("""COMPUTED_VALUE"""),357921175)</f>
        <v>357921175</v>
      </c>
      <c r="C338" s="2" t="str">
        <f ca="1"/>
        <v>0357921175</v>
      </c>
      <c r="D338" s="2" t="str">
        <f ca="1">IFERROR(__xludf.DUMMYFUNCTION("""COMPUTED_VALUE"""),"1762540081144")</f>
        <v>1762540081144</v>
      </c>
      <c r="E338" s="2">
        <f ca="1">IFERROR(__xludf.DUMMYFUNCTION("""COMPUTED_VALUE"""),867835734)</f>
        <v>867835734</v>
      </c>
      <c r="F338" s="2" t="str">
        <f ca="1"/>
        <v>0867835734</v>
      </c>
      <c r="G338" s="2" t="str">
        <f ca="1">IFERROR(__xludf.DUMMYFUNCTION("""COMPUTED_VALUE"""),"105716345374")</f>
        <v>105716345374</v>
      </c>
      <c r="I338" s="2" t="str">
        <f ca="1">IFERROR(__xludf.DUMMYFUNCTION("""COMPUTED_VALUE"""),"Lê Trần Ngọc Mến ")</f>
        <v xml:space="preserve">Lê Trần Ngọc Mến </v>
      </c>
      <c r="J338" s="3" t="str">
        <f ca="1">IFERROR(__xludf.DUMMYFUNCTION("""COMPUTED_VALUE"""),"0372792191")</f>
        <v>0372792191</v>
      </c>
      <c r="K338" s="2" t="str">
        <f ca="1">IFERROR(__xludf.DUMMYFUNCTION("""COMPUTED_VALUE"""),"1747037085669")</f>
        <v>1747037085669</v>
      </c>
    </row>
    <row r="339" spans="1:11" ht="12.45">
      <c r="A339" s="2" t="str">
        <f ca="1">IFERROR(__xludf.DUMMYFUNCTION("""COMPUTED_VALUE"""),"1747037126055")</f>
        <v>1747037126055</v>
      </c>
      <c r="B339" s="2">
        <f ca="1">IFERROR(__xludf.DUMMYFUNCTION("""COMPUTED_VALUE"""),367857697)</f>
        <v>367857697</v>
      </c>
      <c r="C339" s="2" t="str">
        <f ca="1"/>
        <v>0367857697</v>
      </c>
      <c r="D339" s="2" t="str">
        <f ca="1">IFERROR(__xludf.DUMMYFUNCTION("""COMPUTED_VALUE"""),"1762540152924")</f>
        <v>1762540152924</v>
      </c>
      <c r="E339" s="2">
        <f ca="1">IFERROR(__xludf.DUMMYFUNCTION("""COMPUTED_VALUE"""),708267452)</f>
        <v>708267452</v>
      </c>
      <c r="F339" s="2" t="str">
        <f ca="1"/>
        <v>0708267452</v>
      </c>
      <c r="G339" s="2">
        <f ca="1">IFERROR(__xludf.DUMMYFUNCTION("""COMPUTED_VALUE"""),105556054684)</f>
        <v>105556054684</v>
      </c>
      <c r="I339" s="2" t="str">
        <f ca="1">IFERROR(__xludf.DUMMYFUNCTION("""COMPUTED_VALUE"""),"Phan Nhã Bình ")</f>
        <v xml:space="preserve">Phan Nhã Bình </v>
      </c>
      <c r="J339" s="3" t="str">
        <f ca="1">IFERROR(__xludf.DUMMYFUNCTION("""COMPUTED_VALUE"""),"0766702148")</f>
        <v>0766702148</v>
      </c>
      <c r="K339" s="2" t="str">
        <f ca="1">IFERROR(__xludf.DUMMYFUNCTION("""COMPUTED_VALUE"""),"1747037126055")</f>
        <v>1747037126055</v>
      </c>
    </row>
    <row r="340" spans="1:11" ht="12.45">
      <c r="A340" s="2" t="str">
        <f ca="1">IFERROR(__xludf.DUMMYFUNCTION("""COMPUTED_VALUE"""),"1738940140617")</f>
        <v>1738940140617</v>
      </c>
      <c r="B340" s="2">
        <f ca="1">IFERROR(__xludf.DUMMYFUNCTION("""COMPUTED_VALUE"""),985593753)</f>
        <v>985593753</v>
      </c>
      <c r="C340" s="2" t="str">
        <f ca="1"/>
        <v>0985593753</v>
      </c>
      <c r="D340" s="2" t="str">
        <f ca="1">IFERROR(__xludf.DUMMYFUNCTION("""COMPUTED_VALUE"""),"1762540198656")</f>
        <v>1762540198656</v>
      </c>
      <c r="E340" s="2">
        <f ca="1">IFERROR(__xludf.DUMMYFUNCTION("""COMPUTED_VALUE"""),343008860)</f>
        <v>343008860</v>
      </c>
      <c r="F340" s="2" t="str">
        <f ca="1"/>
        <v>0343008860</v>
      </c>
      <c r="G340" s="2" t="str">
        <f ca="1">IFERROR(__xludf.DUMMYFUNCTION("""COMPUTED_VALUE"""),"105716345565")</f>
        <v>105716345565</v>
      </c>
      <c r="I340" s="2" t="str">
        <f ca="1">IFERROR(__xludf.DUMMYFUNCTION("""COMPUTED_VALUE"""),"Phạm Hồng Diệp Quyên")</f>
        <v>Phạm Hồng Diệp Quyên</v>
      </c>
      <c r="J340" s="3" t="str">
        <f ca="1">IFERROR(__xludf.DUMMYFUNCTION("""COMPUTED_VALUE"""),"0943200358")</f>
        <v>0943200358</v>
      </c>
      <c r="K340" s="2" t="str">
        <f ca="1">IFERROR(__xludf.DUMMYFUNCTION("""COMPUTED_VALUE"""),"1738940140617")</f>
        <v>1738940140617</v>
      </c>
    </row>
    <row r="341" spans="1:11" ht="12.45">
      <c r="A341" s="2" t="str">
        <f ca="1">IFERROR(__xludf.DUMMYFUNCTION("""COMPUTED_VALUE"""),"1747037179543")</f>
        <v>1747037179543</v>
      </c>
      <c r="B341" s="2">
        <f ca="1">IFERROR(__xludf.DUMMYFUNCTION("""COMPUTED_VALUE"""),866030783)</f>
        <v>866030783</v>
      </c>
      <c r="C341" s="2" t="str">
        <f ca="1"/>
        <v>0866030783</v>
      </c>
      <c r="D341" s="2" t="str">
        <f ca="1">IFERROR(__xludf.DUMMYFUNCTION("""COMPUTED_VALUE"""),"1762540248605")</f>
        <v>1762540248605</v>
      </c>
      <c r="E341" s="2">
        <f ca="1">IFERROR(__xludf.DUMMYFUNCTION("""COMPUTED_VALUE"""),366375177)</f>
        <v>366375177</v>
      </c>
      <c r="F341" s="2" t="str">
        <f ca="1"/>
        <v>0366375177</v>
      </c>
      <c r="G341" s="2" t="str">
        <f ca="1">IFERROR(__xludf.DUMMYFUNCTION("""COMPUTED_VALUE"""),"105716345629")</f>
        <v>105716345629</v>
      </c>
      <c r="I341" s="2" t="str">
        <f ca="1">IFERROR(__xludf.DUMMYFUNCTION("""COMPUTED_VALUE"""),"Trần Khánh Huyền")</f>
        <v>Trần Khánh Huyền</v>
      </c>
      <c r="J341" s="3" t="str">
        <f ca="1">IFERROR(__xludf.DUMMYFUNCTION("""COMPUTED_VALUE"""),"0389033960")</f>
        <v>0389033960</v>
      </c>
      <c r="K341" s="2" t="str">
        <f ca="1">IFERROR(__xludf.DUMMYFUNCTION("""COMPUTED_VALUE"""),"1747037179543")</f>
        <v>1747037179543</v>
      </c>
    </row>
    <row r="342" spans="1:11" ht="12.45">
      <c r="A342" s="2" t="str">
        <f ca="1">IFERROR(__xludf.DUMMYFUNCTION("""COMPUTED_VALUE"""),"1747037222752")</f>
        <v>1747037222752</v>
      </c>
      <c r="B342" s="2">
        <f ca="1">IFERROR(__xludf.DUMMYFUNCTION("""COMPUTED_VALUE"""),386424194)</f>
        <v>386424194</v>
      </c>
      <c r="C342" s="2" t="str">
        <f ca="1"/>
        <v>0386424194</v>
      </c>
      <c r="D342" s="2" t="str">
        <f ca="1">IFERROR(__xludf.DUMMYFUNCTION("""COMPUTED_VALUE"""),"1762540291011")</f>
        <v>1762540291011</v>
      </c>
      <c r="E342" s="2">
        <f ca="1">IFERROR(__xludf.DUMMYFUNCTION("""COMPUTED_VALUE"""),348357343)</f>
        <v>348357343</v>
      </c>
      <c r="F342" s="2" t="str">
        <f ca="1"/>
        <v>0348357343</v>
      </c>
      <c r="G342" s="2" t="str">
        <f ca="1">IFERROR(__xludf.DUMMYFUNCTION("""COMPUTED_VALUE"""),"105716345770")</f>
        <v>105716345770</v>
      </c>
      <c r="I342" s="2" t="str">
        <f ca="1">IFERROR(__xludf.DUMMYFUNCTION("""COMPUTED_VALUE"""),"Võ Nguyễn Thanh Hằng")</f>
        <v>Võ Nguyễn Thanh Hằng</v>
      </c>
      <c r="J342" s="3" t="str">
        <f ca="1">IFERROR(__xludf.DUMMYFUNCTION("""COMPUTED_VALUE"""),"0787680357")</f>
        <v>0787680357</v>
      </c>
      <c r="K342" s="2" t="str">
        <f ca="1">IFERROR(__xludf.DUMMYFUNCTION("""COMPUTED_VALUE"""),"1747037222752")</f>
        <v>1747037222752</v>
      </c>
    </row>
    <row r="343" spans="1:11" ht="12.45">
      <c r="A343" s="2" t="str">
        <f ca="1">IFERROR(__xludf.DUMMYFUNCTION("""COMPUTED_VALUE"""),"1747037268076")</f>
        <v>1747037268076</v>
      </c>
      <c r="B343" s="2">
        <f ca="1">IFERROR(__xludf.DUMMYFUNCTION("""COMPUTED_VALUE"""),349178551)</f>
        <v>349178551</v>
      </c>
      <c r="C343" s="2" t="str">
        <f ca="1"/>
        <v>0349178551</v>
      </c>
      <c r="D343" s="2" t="str">
        <f ca="1">IFERROR(__xludf.DUMMYFUNCTION("""COMPUTED_VALUE"""),"1762540340978")</f>
        <v>1762540340978</v>
      </c>
      <c r="E343" s="2">
        <f ca="1">IFERROR(__xludf.DUMMYFUNCTION("""COMPUTED_VALUE"""),918783492)</f>
        <v>918783492</v>
      </c>
      <c r="F343" s="2" t="str">
        <f ca="1"/>
        <v>0918783492</v>
      </c>
      <c r="G343" s="2" t="str">
        <f ca="1">IFERROR(__xludf.DUMMYFUNCTION("""COMPUTED_VALUE"""),"105716345836")</f>
        <v>105716345836</v>
      </c>
      <c r="I343" s="2" t="str">
        <f ca="1">IFERROR(__xludf.DUMMYFUNCTION("""COMPUTED_VALUE"""),"Hoàng Gia Bảo")</f>
        <v>Hoàng Gia Bảo</v>
      </c>
      <c r="J343" s="3" t="str">
        <f ca="1">IFERROR(__xludf.DUMMYFUNCTION("""COMPUTED_VALUE"""),"0828444289")</f>
        <v>0828444289</v>
      </c>
      <c r="K343" s="2" t="str">
        <f ca="1">IFERROR(__xludf.DUMMYFUNCTION("""COMPUTED_VALUE"""),"1747037268076")</f>
        <v>1747037268076</v>
      </c>
    </row>
    <row r="344" spans="1:11" ht="12.45">
      <c r="A344" s="2" t="str">
        <f ca="1">IFERROR(__xludf.DUMMYFUNCTION("""COMPUTED_VALUE"""),"1740104322500")</f>
        <v>1740104322500</v>
      </c>
      <c r="B344" s="2">
        <f ca="1">IFERROR(__xludf.DUMMYFUNCTION("""COMPUTED_VALUE"""),911504950)</f>
        <v>911504950</v>
      </c>
      <c r="C344" s="2" t="str">
        <f ca="1"/>
        <v>0911504950</v>
      </c>
      <c r="D344" s="2" t="str">
        <f ca="1">IFERROR(__xludf.DUMMYFUNCTION("""COMPUTED_VALUE"""),"1762540439062")</f>
        <v>1762540439062</v>
      </c>
      <c r="E344" s="2">
        <f ca="1">IFERROR(__xludf.DUMMYFUNCTION("""COMPUTED_VALUE"""),329026525)</f>
        <v>329026525</v>
      </c>
      <c r="F344" s="2" t="str">
        <f ca="1"/>
        <v>0329026525</v>
      </c>
      <c r="G344" s="2" t="str">
        <f ca="1">IFERROR(__xludf.DUMMYFUNCTION("""COMPUTED_VALUE"""),"105716345952")</f>
        <v>105716345952</v>
      </c>
      <c r="I344" s="2" t="str">
        <f ca="1">IFERROR(__xludf.DUMMYFUNCTION("""COMPUTED_VALUE"""),"Trịnh Quỳnh Như")</f>
        <v>Trịnh Quỳnh Như</v>
      </c>
      <c r="J344" s="3" t="str">
        <f ca="1">IFERROR(__xludf.DUMMYFUNCTION("""COMPUTED_VALUE"""),"0362085142")</f>
        <v>0362085142</v>
      </c>
      <c r="K344" s="2" t="str">
        <f ca="1">IFERROR(__xludf.DUMMYFUNCTION("""COMPUTED_VALUE"""),"1740104322500")</f>
        <v>1740104322500</v>
      </c>
    </row>
    <row r="345" spans="1:11" ht="12.45">
      <c r="A345" s="2" t="str">
        <f ca="1">IFERROR(__xludf.DUMMYFUNCTION("""COMPUTED_VALUE"""),"1747037315461")</f>
        <v>1747037315461</v>
      </c>
      <c r="B345" s="2">
        <f ca="1">IFERROR(__xludf.DUMMYFUNCTION("""COMPUTED_VALUE"""),779922116)</f>
        <v>779922116</v>
      </c>
      <c r="C345" s="2" t="str">
        <f ca="1"/>
        <v>0779922116</v>
      </c>
      <c r="D345" s="2" t="str">
        <f ca="1">IFERROR(__xludf.DUMMYFUNCTION("""COMPUTED_VALUE"""),"1762540509980")</f>
        <v>1762540509980</v>
      </c>
      <c r="E345" s="2">
        <f ca="1">IFERROR(__xludf.DUMMYFUNCTION("""COMPUTED_VALUE"""),372090160)</f>
        <v>372090160</v>
      </c>
      <c r="F345" s="2" t="str">
        <f ca="1"/>
        <v>0372090160</v>
      </c>
      <c r="G345" s="2" t="str">
        <f ca="1">IFERROR(__xludf.DUMMYFUNCTION("""COMPUTED_VALUE"""),"105716346027")</f>
        <v>105716346027</v>
      </c>
      <c r="I345" s="2" t="str">
        <f ca="1">IFERROR(__xludf.DUMMYFUNCTION("""COMPUTED_VALUE"""),"Đỗ Thị Ánh Tuyết ")</f>
        <v xml:space="preserve">Đỗ Thị Ánh Tuyết </v>
      </c>
      <c r="J345" s="3" t="str">
        <f ca="1">IFERROR(__xludf.DUMMYFUNCTION("""COMPUTED_VALUE"""),"0971642206")</f>
        <v>0971642206</v>
      </c>
      <c r="K345" s="2" t="str">
        <f ca="1">IFERROR(__xludf.DUMMYFUNCTION("""COMPUTED_VALUE"""),"1747037315461")</f>
        <v>1747037315461</v>
      </c>
    </row>
    <row r="346" spans="1:11" ht="12.45">
      <c r="A346" s="2" t="str">
        <f ca="1">IFERROR(__xludf.DUMMYFUNCTION("""COMPUTED_VALUE"""),"1747037353849")</f>
        <v>1747037353849</v>
      </c>
      <c r="B346" s="2">
        <f ca="1">IFERROR(__xludf.DUMMYFUNCTION("""COMPUTED_VALUE"""),349265698)</f>
        <v>349265698</v>
      </c>
      <c r="C346" s="2" t="str">
        <f ca="1"/>
        <v>0349265698</v>
      </c>
      <c r="D346" s="2" t="str">
        <f ca="1">IFERROR(__xludf.DUMMYFUNCTION("""COMPUTED_VALUE"""),"1762540574542")</f>
        <v>1762540574542</v>
      </c>
      <c r="E346" s="2">
        <f ca="1">IFERROR(__xludf.DUMMYFUNCTION("""COMPUTED_VALUE"""),964642355)</f>
        <v>964642355</v>
      </c>
      <c r="F346" s="2" t="str">
        <f ca="1"/>
        <v>0964642355</v>
      </c>
      <c r="G346" s="2" t="str">
        <f ca="1">IFERROR(__xludf.DUMMYFUNCTION("""COMPUTED_VALUE"""),"105716346182")</f>
        <v>105716346182</v>
      </c>
      <c r="I346" s="2" t="str">
        <f ca="1">IFERROR(__xludf.DUMMYFUNCTION("""COMPUTED_VALUE"""),"Hà Thị Châm")</f>
        <v>Hà Thị Châm</v>
      </c>
      <c r="J346" s="3" t="str">
        <f ca="1">IFERROR(__xludf.DUMMYFUNCTION("""COMPUTED_VALUE"""),"0343316353")</f>
        <v>0343316353</v>
      </c>
      <c r="K346" s="2" t="str">
        <f ca="1">IFERROR(__xludf.DUMMYFUNCTION("""COMPUTED_VALUE"""),"1747037353849")</f>
        <v>1747037353849</v>
      </c>
    </row>
    <row r="347" spans="1:11" ht="12.45">
      <c r="A347" s="2" t="str">
        <f ca="1">IFERROR(__xludf.DUMMYFUNCTION("""COMPUTED_VALUE"""),"1747037385797")</f>
        <v>1747037385797</v>
      </c>
      <c r="B347" s="2">
        <f ca="1">IFERROR(__xludf.DUMMYFUNCTION("""COMPUTED_VALUE"""),389618957)</f>
        <v>389618957</v>
      </c>
      <c r="C347" s="2" t="str">
        <f ca="1"/>
        <v>0389618957</v>
      </c>
      <c r="D347" s="2" t="str">
        <f ca="1">IFERROR(__xludf.DUMMYFUNCTION("""COMPUTED_VALUE"""),"1762540624318")</f>
        <v>1762540624318</v>
      </c>
      <c r="E347" s="2">
        <f ca="1">IFERROR(__xludf.DUMMYFUNCTION("""COMPUTED_VALUE"""),917802204)</f>
        <v>917802204</v>
      </c>
      <c r="F347" s="2" t="str">
        <f ca="1"/>
        <v>0917802204</v>
      </c>
      <c r="G347" s="2" t="str">
        <f ca="1">IFERROR(__xludf.DUMMYFUNCTION("""COMPUTED_VALUE"""),"105716346237")</f>
        <v>105716346237</v>
      </c>
      <c r="I347" s="2" t="str">
        <f ca="1">IFERROR(__xludf.DUMMYFUNCTION("""COMPUTED_VALUE"""),"Nguyễn Thị Ngọc Anh")</f>
        <v>Nguyễn Thị Ngọc Anh</v>
      </c>
      <c r="J347" s="3" t="str">
        <f ca="1">IFERROR(__xludf.DUMMYFUNCTION("""COMPUTED_VALUE"""),"0969875724")</f>
        <v>0969875724</v>
      </c>
      <c r="K347" s="2" t="str">
        <f ca="1">IFERROR(__xludf.DUMMYFUNCTION("""COMPUTED_VALUE"""),"1747037385797")</f>
        <v>1747037385797</v>
      </c>
    </row>
    <row r="348" spans="1:11" ht="12.45">
      <c r="A348" s="2" t="str">
        <f ca="1">IFERROR(__xludf.DUMMYFUNCTION("""COMPUTED_VALUE"""),"1747037421633")</f>
        <v>1747037421633</v>
      </c>
      <c r="B348" s="2">
        <f ca="1">IFERROR(__xludf.DUMMYFUNCTION("""COMPUTED_VALUE"""),389033960)</f>
        <v>389033960</v>
      </c>
      <c r="C348" s="2" t="str">
        <f ca="1"/>
        <v>0389033960</v>
      </c>
      <c r="D348" s="2" t="str">
        <f ca="1">IFERROR(__xludf.DUMMYFUNCTION("""COMPUTED_VALUE"""),"1762540687022")</f>
        <v>1762540687022</v>
      </c>
      <c r="E348" s="2">
        <f ca="1">IFERROR(__xludf.DUMMYFUNCTION("""COMPUTED_VALUE"""),797273607)</f>
        <v>797273607</v>
      </c>
      <c r="F348" s="2" t="str">
        <f ca="1"/>
        <v>0797273607</v>
      </c>
      <c r="G348" s="2" t="str">
        <f ca="1">IFERROR(__xludf.DUMMYFUNCTION("""COMPUTED_VALUE"""),"105716346327")</f>
        <v>105716346327</v>
      </c>
      <c r="I348" s="2" t="str">
        <f ca="1">IFERROR(__xludf.DUMMYFUNCTION("""COMPUTED_VALUE"""),"Nguyễn Thị Hồng Ngọc")</f>
        <v>Nguyễn Thị Hồng Ngọc</v>
      </c>
      <c r="J348" s="3" t="str">
        <f ca="1">IFERROR(__xludf.DUMMYFUNCTION("""COMPUTED_VALUE"""),"0375599860")</f>
        <v>0375599860</v>
      </c>
      <c r="K348" s="2" t="str">
        <f ca="1">IFERROR(__xludf.DUMMYFUNCTION("""COMPUTED_VALUE"""),"1747037421633")</f>
        <v>1747037421633</v>
      </c>
    </row>
    <row r="349" spans="1:11" ht="12.45">
      <c r="A349" s="2" t="str">
        <f ca="1">IFERROR(__xludf.DUMMYFUNCTION("""COMPUTED_VALUE"""),"1747037463796")</f>
        <v>1747037463796</v>
      </c>
      <c r="B349" s="2">
        <f ca="1">IFERROR(__xludf.DUMMYFUNCTION("""COMPUTED_VALUE"""),326723296)</f>
        <v>326723296</v>
      </c>
      <c r="C349" s="2" t="str">
        <f ca="1"/>
        <v>0326723296</v>
      </c>
      <c r="D349" s="2" t="str">
        <f ca="1">IFERROR(__xludf.DUMMYFUNCTION("""COMPUTED_VALUE"""),"1762540741130")</f>
        <v>1762540741130</v>
      </c>
      <c r="E349" s="2">
        <f ca="1">IFERROR(__xludf.DUMMYFUNCTION("""COMPUTED_VALUE"""),345707499)</f>
        <v>345707499</v>
      </c>
      <c r="F349" s="2" t="str">
        <f ca="1"/>
        <v>0345707499</v>
      </c>
      <c r="G349" s="2" t="str">
        <f ca="1">IFERROR(__xludf.DUMMYFUNCTION("""COMPUTED_VALUE"""),"105716346462")</f>
        <v>105716346462</v>
      </c>
      <c r="I349" s="2" t="str">
        <f ca="1">IFERROR(__xludf.DUMMYFUNCTION("""COMPUTED_VALUE"""),"Dinh Thị Minh Anh ")</f>
        <v xml:space="preserve">Dinh Thị Minh Anh </v>
      </c>
      <c r="J349" s="3" t="str">
        <f ca="1">IFERROR(__xludf.DUMMYFUNCTION("""COMPUTED_VALUE"""),"0825822890")</f>
        <v>0825822890</v>
      </c>
      <c r="K349" s="2" t="str">
        <f ca="1">IFERROR(__xludf.DUMMYFUNCTION("""COMPUTED_VALUE"""),"1747037463796")</f>
        <v>1747037463796</v>
      </c>
    </row>
    <row r="350" spans="1:11" ht="12.45">
      <c r="A350" s="2" t="str">
        <f ca="1">IFERROR(__xludf.DUMMYFUNCTION("""COMPUTED_VALUE"""),"1747037506316")</f>
        <v>1747037506316</v>
      </c>
      <c r="B350" s="2">
        <f ca="1">IFERROR(__xludf.DUMMYFUNCTION("""COMPUTED_VALUE"""),783871605)</f>
        <v>783871605</v>
      </c>
      <c r="C350" s="2" t="str">
        <f ca="1"/>
        <v>0783871605</v>
      </c>
      <c r="D350" s="2" t="str">
        <f ca="1">IFERROR(__xludf.DUMMYFUNCTION("""COMPUTED_VALUE"""),"1762540792165")</f>
        <v>1762540792165</v>
      </c>
      <c r="E350" s="2">
        <f ca="1">IFERROR(__xludf.DUMMYFUNCTION("""COMPUTED_VALUE"""),368682804)</f>
        <v>368682804</v>
      </c>
      <c r="F350" s="2" t="str">
        <f ca="1"/>
        <v>0368682804</v>
      </c>
      <c r="G350" s="2" t="str">
        <f ca="1">IFERROR(__xludf.DUMMYFUNCTION("""COMPUTED_VALUE"""),"105716346596")</f>
        <v>105716346596</v>
      </c>
      <c r="I350" s="2" t="str">
        <f ca="1">IFERROR(__xludf.DUMMYFUNCTION("""COMPUTED_VALUE"""),"Phan Thị Trang")</f>
        <v>Phan Thị Trang</v>
      </c>
      <c r="J350" s="3" t="str">
        <f ca="1">IFERROR(__xludf.DUMMYFUNCTION("""COMPUTED_VALUE"""),"0398656278")</f>
        <v>0398656278</v>
      </c>
      <c r="K350" s="2" t="str">
        <f ca="1">IFERROR(__xludf.DUMMYFUNCTION("""COMPUTED_VALUE"""),"1747037506316")</f>
        <v>1747037506316</v>
      </c>
    </row>
    <row r="351" spans="1:11" ht="12.45">
      <c r="A351" s="2" t="str">
        <f ca="1">IFERROR(__xludf.DUMMYFUNCTION("""COMPUTED_VALUE"""),"1747037546508")</f>
        <v>1747037546508</v>
      </c>
      <c r="B351" s="2">
        <f ca="1">IFERROR(__xludf.DUMMYFUNCTION("""COMPUTED_VALUE"""),766766679)</f>
        <v>766766679</v>
      </c>
      <c r="C351" s="2" t="str">
        <f ca="1"/>
        <v>0766766679</v>
      </c>
      <c r="D351" s="2" t="str">
        <f ca="1">IFERROR(__xludf.DUMMYFUNCTION("""COMPUTED_VALUE"""),"1762540860749")</f>
        <v>1762540860749</v>
      </c>
      <c r="E351" s="2">
        <f ca="1">IFERROR(__xludf.DUMMYFUNCTION("""COMPUTED_VALUE"""),359946438)</f>
        <v>359946438</v>
      </c>
      <c r="F351" s="2" t="str">
        <f ca="1"/>
        <v>0359946438</v>
      </c>
      <c r="G351" s="2" t="str">
        <f ca="1">IFERROR(__xludf.DUMMYFUNCTION("""COMPUTED_VALUE"""),"105716346824")</f>
        <v>105716346824</v>
      </c>
      <c r="I351" s="2" t="str">
        <f ca="1">IFERROR(__xludf.DUMMYFUNCTION("""COMPUTED_VALUE"""),"Trần Quốc Thắng")</f>
        <v>Trần Quốc Thắng</v>
      </c>
      <c r="J351" s="3" t="str">
        <f ca="1">IFERROR(__xludf.DUMMYFUNCTION("""COMPUTED_VALUE"""),"0817847837")</f>
        <v>0817847837</v>
      </c>
      <c r="K351" s="2" t="str">
        <f ca="1">IFERROR(__xludf.DUMMYFUNCTION("""COMPUTED_VALUE"""),"1747037546508")</f>
        <v>1747037546508</v>
      </c>
    </row>
    <row r="352" spans="1:11" ht="12.45">
      <c r="A352" s="2" t="str">
        <f ca="1">IFERROR(__xludf.DUMMYFUNCTION("""COMPUTED_VALUE"""),"1747037594677")</f>
        <v>1747037594677</v>
      </c>
      <c r="B352" s="2">
        <f ca="1">IFERROR(__xludf.DUMMYFUNCTION("""COMPUTED_VALUE"""),325642812)</f>
        <v>325642812</v>
      </c>
      <c r="C352" s="2" t="str">
        <f ca="1"/>
        <v>0325642812</v>
      </c>
      <c r="D352" s="2" t="str">
        <f ca="1">IFERROR(__xludf.DUMMYFUNCTION("""COMPUTED_VALUE"""),"1762540935626")</f>
        <v>1762540935626</v>
      </c>
      <c r="E352" s="2">
        <f ca="1">IFERROR(__xludf.DUMMYFUNCTION("""COMPUTED_VALUE"""),834939235)</f>
        <v>834939235</v>
      </c>
      <c r="F352" s="2" t="str">
        <f ca="1"/>
        <v>0834939235</v>
      </c>
      <c r="G352" s="2" t="str">
        <f ca="1">IFERROR(__xludf.DUMMYFUNCTION("""COMPUTED_VALUE"""),"105716347014")</f>
        <v>105716347014</v>
      </c>
      <c r="I352" s="2" t="str">
        <f ca="1">IFERROR(__xludf.DUMMYFUNCTION("""COMPUTED_VALUE"""),"Lưu Đình Tú")</f>
        <v>Lưu Đình Tú</v>
      </c>
      <c r="J352" s="3" t="str">
        <f ca="1">IFERROR(__xludf.DUMMYFUNCTION("""COMPUTED_VALUE"""),"0354736418")</f>
        <v>0354736418</v>
      </c>
      <c r="K352" s="2" t="str">
        <f ca="1">IFERROR(__xludf.DUMMYFUNCTION("""COMPUTED_VALUE"""),"1747037594677")</f>
        <v>1747037594677</v>
      </c>
    </row>
    <row r="353" spans="1:11" ht="12.45">
      <c r="A353" s="2" t="str">
        <f ca="1">IFERROR(__xludf.DUMMYFUNCTION("""COMPUTED_VALUE"""),"1747037642289")</f>
        <v>1747037642289</v>
      </c>
      <c r="B353" s="2">
        <f ca="1">IFERROR(__xludf.DUMMYFUNCTION("""COMPUTED_VALUE"""),392233319)</f>
        <v>392233319</v>
      </c>
      <c r="C353" s="2" t="str">
        <f ca="1"/>
        <v>0392233319</v>
      </c>
      <c r="D353" s="2" t="str">
        <f ca="1">IFERROR(__xludf.DUMMYFUNCTION("""COMPUTED_VALUE"""),"1762540994342")</f>
        <v>1762540994342</v>
      </c>
      <c r="E353" s="2">
        <f ca="1">IFERROR(__xludf.DUMMYFUNCTION("""COMPUTED_VALUE"""),901322436)</f>
        <v>901322436</v>
      </c>
      <c r="F353" s="2" t="str">
        <f ca="1"/>
        <v>0901322436</v>
      </c>
      <c r="G353" s="2" t="str">
        <f ca="1">IFERROR(__xludf.DUMMYFUNCTION("""COMPUTED_VALUE"""),"105716347281")</f>
        <v>105716347281</v>
      </c>
      <c r="I353" s="2" t="str">
        <f ca="1">IFERROR(__xludf.DUMMYFUNCTION("""COMPUTED_VALUE"""),"Trương Phương Uyên")</f>
        <v>Trương Phương Uyên</v>
      </c>
      <c r="J353" s="3" t="str">
        <f ca="1">IFERROR(__xludf.DUMMYFUNCTION("""COMPUTED_VALUE"""),"0782565015")</f>
        <v>0782565015</v>
      </c>
      <c r="K353" s="2" t="str">
        <f ca="1">IFERROR(__xludf.DUMMYFUNCTION("""COMPUTED_VALUE"""),"1747037642289")</f>
        <v>1747037642289</v>
      </c>
    </row>
    <row r="354" spans="1:11" ht="12.45">
      <c r="A354" s="2" t="str">
        <f ca="1">IFERROR(__xludf.DUMMYFUNCTION("""COMPUTED_VALUE"""),"1747037693024")</f>
        <v>1747037693024</v>
      </c>
      <c r="B354" s="2">
        <f ca="1">IFERROR(__xludf.DUMMYFUNCTION("""COMPUTED_VALUE"""),924512289)</f>
        <v>924512289</v>
      </c>
      <c r="C354" s="2" t="str">
        <f ca="1"/>
        <v>0924512289</v>
      </c>
      <c r="D354" s="2" t="str">
        <f ca="1">IFERROR(__xludf.DUMMYFUNCTION("""COMPUTED_VALUE"""),"1770822314139")</f>
        <v>1770822314139</v>
      </c>
      <c r="E354" s="2">
        <f ca="1">IFERROR(__xludf.DUMMYFUNCTION("""COMPUTED_VALUE"""),343506280)</f>
        <v>343506280</v>
      </c>
      <c r="F354" s="2" t="str">
        <f ca="1"/>
        <v>0343506280</v>
      </c>
      <c r="G354" s="2" t="str">
        <f ca="1">IFERROR(__xludf.DUMMYFUNCTION("""COMPUTED_VALUE"""),"105716347340")</f>
        <v>105716347340</v>
      </c>
      <c r="I354" s="2" t="str">
        <f ca="1">IFERROR(__xludf.DUMMYFUNCTION("""COMPUTED_VALUE"""),"Vũ Nguyễn Yến Mai ")</f>
        <v xml:space="preserve">Vũ Nguyễn Yến Mai </v>
      </c>
      <c r="J354" s="3" t="str">
        <f ca="1">IFERROR(__xludf.DUMMYFUNCTION("""COMPUTED_VALUE"""),"0384571396")</f>
        <v>0384571396</v>
      </c>
      <c r="K354" s="2" t="str">
        <f ca="1">IFERROR(__xludf.DUMMYFUNCTION("""COMPUTED_VALUE"""),"1747037693024")</f>
        <v>1747037693024</v>
      </c>
    </row>
    <row r="355" spans="1:11" ht="12.45">
      <c r="A355" s="2" t="str">
        <f ca="1">IFERROR(__xludf.DUMMYFUNCTION("""COMPUTED_VALUE"""),"1747037735016")</f>
        <v>1747037735016</v>
      </c>
      <c r="B355" s="2">
        <f ca="1">IFERROR(__xludf.DUMMYFUNCTION("""COMPUTED_VALUE"""),927289448)</f>
        <v>927289448</v>
      </c>
      <c r="C355" s="2" t="str">
        <f ca="1"/>
        <v>0927289448</v>
      </c>
      <c r="D355" s="2" t="str">
        <f ca="1">IFERROR(__xludf.DUMMYFUNCTION("""COMPUTED_VALUE"""),"1770822353508")</f>
        <v>1770822353508</v>
      </c>
      <c r="E355" s="2">
        <f ca="1">IFERROR(__xludf.DUMMYFUNCTION("""COMPUTED_VALUE"""),368811308)</f>
        <v>368811308</v>
      </c>
      <c r="F355" s="2" t="str">
        <f ca="1"/>
        <v>0368811308</v>
      </c>
      <c r="G355" s="2" t="str">
        <f ca="1">IFERROR(__xludf.DUMMYFUNCTION("""COMPUTED_VALUE"""),"105716347479")</f>
        <v>105716347479</v>
      </c>
      <c r="I355" s="2" t="str">
        <f ca="1">IFERROR(__xludf.DUMMYFUNCTION("""COMPUTED_VALUE"""),"Nguyễn Thị Hà Vi")</f>
        <v>Nguyễn Thị Hà Vi</v>
      </c>
      <c r="J355" s="3" t="str">
        <f ca="1">IFERROR(__xludf.DUMMYFUNCTION("""COMPUTED_VALUE"""),"0332312560")</f>
        <v>0332312560</v>
      </c>
      <c r="K355" s="2" t="str">
        <f ca="1">IFERROR(__xludf.DUMMYFUNCTION("""COMPUTED_VALUE"""),"1747037735016")</f>
        <v>1747037735016</v>
      </c>
    </row>
    <row r="356" spans="1:11" ht="12.45">
      <c r="A356" s="2" t="str">
        <f ca="1">IFERROR(__xludf.DUMMYFUNCTION("""COMPUTED_VALUE"""),"1747037795687")</f>
        <v>1747037795687</v>
      </c>
      <c r="B356" s="2">
        <f ca="1">IFERROR(__xludf.DUMMYFUNCTION("""COMPUTED_VALUE"""),963966579)</f>
        <v>963966579</v>
      </c>
      <c r="C356" s="2" t="str">
        <f ca="1"/>
        <v>0963966579</v>
      </c>
      <c r="D356" s="2" t="str">
        <f ca="1">IFERROR(__xludf.DUMMYFUNCTION("""COMPUTED_VALUE"""),"1770822384245")</f>
        <v>1770822384245</v>
      </c>
      <c r="E356" s="2">
        <f ca="1">IFERROR(__xludf.DUMMYFUNCTION("""COMPUTED_VALUE"""),356771330)</f>
        <v>356771330</v>
      </c>
      <c r="F356" s="2" t="str">
        <f ca="1"/>
        <v>0356771330</v>
      </c>
      <c r="G356" s="2" t="str">
        <f ca="1">IFERROR(__xludf.DUMMYFUNCTION("""COMPUTED_VALUE"""),"105716347539")</f>
        <v>105716347539</v>
      </c>
      <c r="I356" s="2" t="str">
        <f ca="1">IFERROR(__xludf.DUMMYFUNCTION("""COMPUTED_VALUE"""),"Nguyễn Thuỳ Yến Trinh")</f>
        <v>Nguyễn Thuỳ Yến Trinh</v>
      </c>
      <c r="J356" s="3" t="str">
        <f ca="1">IFERROR(__xludf.DUMMYFUNCTION("""COMPUTED_VALUE"""),"0364066385")</f>
        <v>0364066385</v>
      </c>
      <c r="K356" s="2" t="str">
        <f ca="1">IFERROR(__xludf.DUMMYFUNCTION("""COMPUTED_VALUE"""),"1747037795687")</f>
        <v>1747037795687</v>
      </c>
    </row>
    <row r="357" spans="1:11" ht="12.45">
      <c r="A357" s="2" t="str">
        <f ca="1">IFERROR(__xludf.DUMMYFUNCTION("""COMPUTED_VALUE"""),"1747037834104")</f>
        <v>1747037834104</v>
      </c>
      <c r="B357" s="2">
        <f ca="1">IFERROR(__xludf.DUMMYFUNCTION("""COMPUTED_VALUE"""),334037365)</f>
        <v>334037365</v>
      </c>
      <c r="C357" s="2" t="str">
        <f ca="1"/>
        <v>0334037365</v>
      </c>
      <c r="D357" s="2" t="str">
        <f ca="1">IFERROR(__xludf.DUMMYFUNCTION("""COMPUTED_VALUE"""),"1770822455653")</f>
        <v>1770822455653</v>
      </c>
      <c r="E357" s="2">
        <f ca="1">IFERROR(__xludf.DUMMYFUNCTION("""COMPUTED_VALUE"""),976780139)</f>
        <v>976780139</v>
      </c>
      <c r="F357" s="2" t="str">
        <f ca="1"/>
        <v>0976780139</v>
      </c>
      <c r="G357" s="2" t="str">
        <f ca="1">IFERROR(__xludf.DUMMYFUNCTION("""COMPUTED_VALUE"""),"105716347744")</f>
        <v>105716347744</v>
      </c>
      <c r="I357" s="2" t="str">
        <f ca="1">IFERROR(__xludf.DUMMYFUNCTION("""COMPUTED_VALUE"""),"Lò Thu Kiên")</f>
        <v>Lò Thu Kiên</v>
      </c>
      <c r="J357" s="3" t="str">
        <f ca="1">IFERROR(__xludf.DUMMYFUNCTION("""COMPUTED_VALUE"""),"0332421700")</f>
        <v>0332421700</v>
      </c>
      <c r="K357" s="2" t="str">
        <f ca="1">IFERROR(__xludf.DUMMYFUNCTION("""COMPUTED_VALUE"""),"1747037834104")</f>
        <v>1747037834104</v>
      </c>
    </row>
    <row r="358" spans="1:11" ht="12.45">
      <c r="A358" s="2" t="str">
        <f ca="1">IFERROR(__xludf.DUMMYFUNCTION("""COMPUTED_VALUE"""),"1747037891385")</f>
        <v>1747037891385</v>
      </c>
      <c r="B358" s="2">
        <f ca="1">IFERROR(__xludf.DUMMYFUNCTION("""COMPUTED_VALUE"""),973487161)</f>
        <v>973487161</v>
      </c>
      <c r="C358" s="2" t="str">
        <f ca="1"/>
        <v>0973487161</v>
      </c>
      <c r="D358" s="2" t="str">
        <f ca="1">IFERROR(__xludf.DUMMYFUNCTION("""COMPUTED_VALUE"""),"1770822518080")</f>
        <v>1770822518080</v>
      </c>
      <c r="E358" s="2">
        <f ca="1">IFERROR(__xludf.DUMMYFUNCTION("""COMPUTED_VALUE"""),338032360)</f>
        <v>338032360</v>
      </c>
      <c r="F358" s="2" t="str">
        <f ca="1"/>
        <v>0338032360</v>
      </c>
      <c r="G358" s="2" t="str">
        <f ca="1">IFERROR(__xludf.DUMMYFUNCTION("""COMPUTED_VALUE"""),"105716347831")</f>
        <v>105716347831</v>
      </c>
      <c r="I358" s="2" t="str">
        <f ca="1">IFERROR(__xludf.DUMMYFUNCTION("""COMPUTED_VALUE"""),"Trần Huyền Như")</f>
        <v>Trần Huyền Như</v>
      </c>
      <c r="J358" s="3" t="str">
        <f ca="1">IFERROR(__xludf.DUMMYFUNCTION("""COMPUTED_VALUE"""),"0987214107")</f>
        <v>0987214107</v>
      </c>
      <c r="K358" s="2" t="str">
        <f ca="1">IFERROR(__xludf.DUMMYFUNCTION("""COMPUTED_VALUE"""),"1747037891385")</f>
        <v>1747037891385</v>
      </c>
    </row>
    <row r="359" spans="1:11" ht="12.45">
      <c r="A359" s="2" t="str">
        <f ca="1">IFERROR(__xludf.DUMMYFUNCTION("""COMPUTED_VALUE"""),"1747037926561")</f>
        <v>1747037926561</v>
      </c>
      <c r="B359" s="2">
        <f ca="1">IFERROR(__xludf.DUMMYFUNCTION("""COMPUTED_VALUE"""),795512429)</f>
        <v>795512429</v>
      </c>
      <c r="C359" s="2" t="str">
        <f ca="1"/>
        <v>0795512429</v>
      </c>
      <c r="D359" s="2" t="str">
        <f ca="1">IFERROR(__xludf.DUMMYFUNCTION("""COMPUTED_VALUE"""),"1770822563182")</f>
        <v>1770822563182</v>
      </c>
      <c r="E359" s="2">
        <f ca="1">IFERROR(__xludf.DUMMYFUNCTION("""COMPUTED_VALUE"""),963748150)</f>
        <v>963748150</v>
      </c>
      <c r="F359" s="2" t="str">
        <f ca="1"/>
        <v>0963748150</v>
      </c>
      <c r="G359" s="2" t="str">
        <f ca="1">IFERROR(__xludf.DUMMYFUNCTION("""COMPUTED_VALUE"""),"105716347945")</f>
        <v>105716347945</v>
      </c>
      <c r="I359" s="2" t="str">
        <f ca="1">IFERROR(__xludf.DUMMYFUNCTION("""COMPUTED_VALUE"""),"Mạch Anh Thư")</f>
        <v>Mạch Anh Thư</v>
      </c>
      <c r="J359" s="3" t="str">
        <f ca="1">IFERROR(__xludf.DUMMYFUNCTION("""COMPUTED_VALUE"""),"0767654807")</f>
        <v>0767654807</v>
      </c>
      <c r="K359" s="2" t="str">
        <f ca="1">IFERROR(__xludf.DUMMYFUNCTION("""COMPUTED_VALUE"""),"1747037926561")</f>
        <v>1747037926561</v>
      </c>
    </row>
    <row r="360" spans="1:11" ht="12.45">
      <c r="A360" s="2" t="str">
        <f ca="1">IFERROR(__xludf.DUMMYFUNCTION("""COMPUTED_VALUE"""),"1747037967466")</f>
        <v>1747037967466</v>
      </c>
      <c r="B360" s="2">
        <f ca="1">IFERROR(__xludf.DUMMYFUNCTION("""COMPUTED_VALUE"""),965747840)</f>
        <v>965747840</v>
      </c>
      <c r="C360" s="2" t="str">
        <f ca="1"/>
        <v>0965747840</v>
      </c>
      <c r="D360" s="2" t="str">
        <f ca="1">IFERROR(__xludf.DUMMYFUNCTION("""COMPUTED_VALUE"""),"1770822635134")</f>
        <v>1770822635134</v>
      </c>
      <c r="E360" s="2">
        <f ca="1">IFERROR(__xludf.DUMMYFUNCTION("""COMPUTED_VALUE"""),966575180)</f>
        <v>966575180</v>
      </c>
      <c r="F360" s="2" t="str">
        <f ca="1"/>
        <v>0966575180</v>
      </c>
      <c r="G360" s="2" t="str">
        <f ca="1">IFERROR(__xludf.DUMMYFUNCTION("""COMPUTED_VALUE"""),"105716348084")</f>
        <v>105716348084</v>
      </c>
      <c r="I360" s="2" t="str">
        <f ca="1">IFERROR(__xludf.DUMMYFUNCTION("""COMPUTED_VALUE"""),"Nguyễn Hồ Huyền Linh")</f>
        <v>Nguyễn Hồ Huyền Linh</v>
      </c>
      <c r="J360" s="3" t="str">
        <f ca="1">IFERROR(__xludf.DUMMYFUNCTION("""COMPUTED_VALUE"""),"0941574872")</f>
        <v>0941574872</v>
      </c>
      <c r="K360" s="2" t="str">
        <f ca="1">IFERROR(__xludf.DUMMYFUNCTION("""COMPUTED_VALUE"""),"1747037967466")</f>
        <v>1747037967466</v>
      </c>
    </row>
    <row r="361" spans="1:11" ht="12.45">
      <c r="A361" s="2" t="str">
        <f ca="1">IFERROR(__xludf.DUMMYFUNCTION("""COMPUTED_VALUE"""),"1747038011257")</f>
        <v>1747038011257</v>
      </c>
      <c r="B361" s="2">
        <f ca="1">IFERROR(__xludf.DUMMYFUNCTION("""COMPUTED_VALUE"""),372717416)</f>
        <v>372717416</v>
      </c>
      <c r="C361" s="2" t="str">
        <f ca="1"/>
        <v>0372717416</v>
      </c>
      <c r="D361" s="2" t="str">
        <f ca="1">IFERROR(__xludf.DUMMYFUNCTION("""COMPUTED_VALUE"""),"1770822704116")</f>
        <v>1770822704116</v>
      </c>
      <c r="E361" s="2">
        <f ca="1">IFERROR(__xludf.DUMMYFUNCTION("""COMPUTED_VALUE"""),869596144)</f>
        <v>869596144</v>
      </c>
      <c r="F361" s="2" t="str">
        <f ca="1"/>
        <v>0869596144</v>
      </c>
      <c r="G361" s="2" t="str">
        <f ca="1">IFERROR(__xludf.DUMMYFUNCTION("""COMPUTED_VALUE"""),"105716348288")</f>
        <v>105716348288</v>
      </c>
      <c r="I361" s="2" t="str">
        <f ca="1">IFERROR(__xludf.DUMMYFUNCTION("""COMPUTED_VALUE"""),"Nguyễn Thị Huyền")</f>
        <v>Nguyễn Thị Huyền</v>
      </c>
      <c r="J361" s="3" t="str">
        <f ca="1">IFERROR(__xludf.DUMMYFUNCTION("""COMPUTED_VALUE"""),"0343633489")</f>
        <v>0343633489</v>
      </c>
      <c r="K361" s="2" t="str">
        <f ca="1">IFERROR(__xludf.DUMMYFUNCTION("""COMPUTED_VALUE"""),"1747038011257")</f>
        <v>1747038011257</v>
      </c>
    </row>
    <row r="362" spans="1:11" ht="12.45">
      <c r="A362" s="2" t="str">
        <f ca="1">IFERROR(__xludf.DUMMYFUNCTION("""COMPUTED_VALUE"""),"1747038058302")</f>
        <v>1747038058302</v>
      </c>
      <c r="B362" s="2">
        <f ca="1">IFERROR(__xludf.DUMMYFUNCTION("""COMPUTED_VALUE"""),833881895)</f>
        <v>833881895</v>
      </c>
      <c r="C362" s="2" t="str">
        <f ca="1"/>
        <v>0833881895</v>
      </c>
      <c r="D362" s="2" t="str">
        <f ca="1">IFERROR(__xludf.DUMMYFUNCTION("""COMPUTED_VALUE"""),"1770822752540")</f>
        <v>1770822752540</v>
      </c>
      <c r="E362" s="2">
        <f ca="1">IFERROR(__xludf.DUMMYFUNCTION("""COMPUTED_VALUE"""),397628632)</f>
        <v>397628632</v>
      </c>
      <c r="F362" s="2" t="str">
        <f ca="1"/>
        <v>0397628632</v>
      </c>
      <c r="G362" s="2" t="str">
        <f ca="1">IFERROR(__xludf.DUMMYFUNCTION("""COMPUTED_VALUE"""),"105715261383")</f>
        <v>105715261383</v>
      </c>
      <c r="I362" s="2" t="str">
        <f ca="1">IFERROR(__xludf.DUMMYFUNCTION("""COMPUTED_VALUE"""),"Lê Châu Anh")</f>
        <v>Lê Châu Anh</v>
      </c>
      <c r="J362" s="3" t="str">
        <f ca="1">IFERROR(__xludf.DUMMYFUNCTION("""COMPUTED_VALUE"""),"0888356939")</f>
        <v>0888356939</v>
      </c>
      <c r="K362" s="2" t="str">
        <f ca="1">IFERROR(__xludf.DUMMYFUNCTION("""COMPUTED_VALUE"""),"1747038058302")</f>
        <v>1747038058302</v>
      </c>
    </row>
    <row r="363" spans="1:11" ht="12.45">
      <c r="A363" s="2" t="str">
        <f ca="1">IFERROR(__xludf.DUMMYFUNCTION("""COMPUTED_VALUE"""),"1747038105422")</f>
        <v>1747038105422</v>
      </c>
      <c r="B363" s="2">
        <f ca="1">IFERROR(__xludf.DUMMYFUNCTION("""COMPUTED_VALUE"""),988407358)</f>
        <v>988407358</v>
      </c>
      <c r="C363" s="2" t="str">
        <f ca="1"/>
        <v>0988407358</v>
      </c>
      <c r="D363" s="2" t="str">
        <f ca="1">IFERROR(__xludf.DUMMYFUNCTION("""COMPUTED_VALUE"""),"1770822789084")</f>
        <v>1770822789084</v>
      </c>
      <c r="E363" s="2">
        <f ca="1">IFERROR(__xludf.DUMMYFUNCTION("""COMPUTED_VALUE"""),834759159)</f>
        <v>834759159</v>
      </c>
      <c r="F363" s="2" t="str">
        <f ca="1"/>
        <v>0834759159</v>
      </c>
      <c r="G363" s="2" t="str">
        <f ca="1">IFERROR(__xludf.DUMMYFUNCTION("""COMPUTED_VALUE"""),"105716348487")</f>
        <v>105716348487</v>
      </c>
      <c r="I363" s="2" t="str">
        <f ca="1">IFERROR(__xludf.DUMMYFUNCTION("""COMPUTED_VALUE"""),"Hoàng Khánh Ngọc")</f>
        <v>Hoàng Khánh Ngọc</v>
      </c>
      <c r="J363" s="3" t="str">
        <f ca="1">IFERROR(__xludf.DUMMYFUNCTION("""COMPUTED_VALUE"""),"0332252715")</f>
        <v>0332252715</v>
      </c>
      <c r="K363" s="2" t="str">
        <f ca="1">IFERROR(__xludf.DUMMYFUNCTION("""COMPUTED_VALUE"""),"1747038105422")</f>
        <v>1747038105422</v>
      </c>
    </row>
    <row r="364" spans="1:11" ht="12.45">
      <c r="A364" s="2" t="str">
        <f ca="1">IFERROR(__xludf.DUMMYFUNCTION("""COMPUTED_VALUE"""),"1747038143103")</f>
        <v>1747038143103</v>
      </c>
      <c r="B364" s="2">
        <f ca="1">IFERROR(__xludf.DUMMYFUNCTION("""COMPUTED_VALUE"""),357965228)</f>
        <v>357965228</v>
      </c>
      <c r="C364" s="2" t="str">
        <f ca="1"/>
        <v>0357965228</v>
      </c>
      <c r="D364" s="2" t="str">
        <f ca="1">IFERROR(__xludf.DUMMYFUNCTION("""COMPUTED_VALUE"""),"1770822835620")</f>
        <v>1770822835620</v>
      </c>
      <c r="E364" s="2">
        <f ca="1">IFERROR(__xludf.DUMMYFUNCTION("""COMPUTED_VALUE"""),373578743)</f>
        <v>373578743</v>
      </c>
      <c r="F364" s="2" t="str">
        <f ca="1"/>
        <v>0373578743</v>
      </c>
      <c r="G364" s="2" t="str">
        <f ca="1">IFERROR(__xludf.DUMMYFUNCTION("""COMPUTED_VALUE"""),"105716348622")</f>
        <v>105716348622</v>
      </c>
      <c r="I364" s="2" t="str">
        <f ca="1">IFERROR(__xludf.DUMMYFUNCTION("""COMPUTED_VALUE"""),"Đoàn Thu Huyền")</f>
        <v>Đoàn Thu Huyền</v>
      </c>
      <c r="J364" s="3" t="str">
        <f ca="1">IFERROR(__xludf.DUMMYFUNCTION("""COMPUTED_VALUE"""),"0328703502")</f>
        <v>0328703502</v>
      </c>
      <c r="K364" s="2" t="str">
        <f ca="1">IFERROR(__xludf.DUMMYFUNCTION("""COMPUTED_VALUE"""),"1747038143103")</f>
        <v>1747038143103</v>
      </c>
    </row>
    <row r="365" spans="1:11" ht="12.45">
      <c r="A365" s="2" t="str">
        <f ca="1">IFERROR(__xludf.DUMMYFUNCTION("""COMPUTED_VALUE"""),"1738940181807")</f>
        <v>1738940181807</v>
      </c>
      <c r="B365" s="2">
        <f ca="1">IFERROR(__xludf.DUMMYFUNCTION("""COMPUTED_VALUE"""),378854124)</f>
        <v>378854124</v>
      </c>
      <c r="C365" s="2" t="str">
        <f ca="1"/>
        <v>0378854124</v>
      </c>
      <c r="D365" s="2" t="str">
        <f ca="1">IFERROR(__xludf.DUMMYFUNCTION("""COMPUTED_VALUE"""),"1770822868305")</f>
        <v>1770822868305</v>
      </c>
      <c r="E365" s="2">
        <f ca="1">IFERROR(__xludf.DUMMYFUNCTION("""COMPUTED_VALUE"""),334380037)</f>
        <v>334380037</v>
      </c>
      <c r="F365" s="2" t="str">
        <f ca="1"/>
        <v>0334380037</v>
      </c>
      <c r="G365" s="2" t="str">
        <f ca="1">IFERROR(__xludf.DUMMYFUNCTION("""COMPUTED_VALUE"""),"105716348714")</f>
        <v>105716348714</v>
      </c>
      <c r="I365" s="2" t="str">
        <f ca="1">IFERROR(__xludf.DUMMYFUNCTION("""COMPUTED_VALUE"""),"Bùi Phương Linh")</f>
        <v>Bùi Phương Linh</v>
      </c>
      <c r="J365" s="3" t="str">
        <f ca="1">IFERROR(__xludf.DUMMYFUNCTION("""COMPUTED_VALUE"""),"0984986265")</f>
        <v>0984986265</v>
      </c>
      <c r="K365" s="2" t="str">
        <f ca="1">IFERROR(__xludf.DUMMYFUNCTION("""COMPUTED_VALUE"""),"1738940181807")</f>
        <v>1738940181807</v>
      </c>
    </row>
    <row r="366" spans="1:11" ht="12.45">
      <c r="A366" s="2" t="str">
        <f ca="1">IFERROR(__xludf.DUMMYFUNCTION("""COMPUTED_VALUE"""),"1747038185125")</f>
        <v>1747038185125</v>
      </c>
      <c r="B366" s="2">
        <f ca="1">IFERROR(__xludf.DUMMYFUNCTION("""COMPUTED_VALUE"""),835001663)</f>
        <v>835001663</v>
      </c>
      <c r="C366" s="2" t="str">
        <f ca="1"/>
        <v>0835001663</v>
      </c>
      <c r="D366" s="2" t="str">
        <f ca="1">IFERROR(__xludf.DUMMYFUNCTION("""COMPUTED_VALUE"""),"1770822901647")</f>
        <v>1770822901647</v>
      </c>
      <c r="E366" s="2">
        <f ca="1">IFERROR(__xludf.DUMMYFUNCTION("""COMPUTED_VALUE"""),964637712)</f>
        <v>964637712</v>
      </c>
      <c r="F366" s="2" t="str">
        <f ca="1"/>
        <v>0964637712</v>
      </c>
      <c r="G366" s="2" t="str">
        <f ca="1">IFERROR(__xludf.DUMMYFUNCTION("""COMPUTED_VALUE"""),"105716348850")</f>
        <v>105716348850</v>
      </c>
      <c r="I366" s="2" t="str">
        <f ca="1">IFERROR(__xludf.DUMMYFUNCTION("""COMPUTED_VALUE"""),"Nguyễn Hà Phương ")</f>
        <v xml:space="preserve">Nguyễn Hà Phương </v>
      </c>
      <c r="J366" s="3" t="str">
        <f ca="1">IFERROR(__xludf.DUMMYFUNCTION("""COMPUTED_VALUE"""),"0706339908")</f>
        <v>0706339908</v>
      </c>
      <c r="K366" s="2" t="str">
        <f ca="1">IFERROR(__xludf.DUMMYFUNCTION("""COMPUTED_VALUE"""),"1747038185125")</f>
        <v>1747038185125</v>
      </c>
    </row>
    <row r="367" spans="1:11" ht="12.45">
      <c r="A367" s="2" t="str">
        <f ca="1">IFERROR(__xludf.DUMMYFUNCTION("""COMPUTED_VALUE"""),"1747038222670")</f>
        <v>1747038222670</v>
      </c>
      <c r="B367" s="2">
        <f ca="1">IFERROR(__xludf.DUMMYFUNCTION("""COMPUTED_VALUE"""),813455766)</f>
        <v>813455766</v>
      </c>
      <c r="C367" s="2" t="str">
        <f ca="1"/>
        <v>0813455766</v>
      </c>
      <c r="D367" s="2" t="str">
        <f ca="1">IFERROR(__xludf.DUMMYFUNCTION("""COMPUTED_VALUE"""),"1770822931229")</f>
        <v>1770822931229</v>
      </c>
      <c r="E367" s="2">
        <f ca="1">IFERROR(__xludf.DUMMYFUNCTION("""COMPUTED_VALUE"""),909192644)</f>
        <v>909192644</v>
      </c>
      <c r="F367" s="2" t="str">
        <f ca="1"/>
        <v>0909192644</v>
      </c>
      <c r="G367" s="2" t="str">
        <f ca="1">IFERROR(__xludf.DUMMYFUNCTION("""COMPUTED_VALUE"""),"105716348957")</f>
        <v>105716348957</v>
      </c>
      <c r="I367" s="2" t="str">
        <f ca="1">IFERROR(__xludf.DUMMYFUNCTION("""COMPUTED_VALUE"""),"Nguyễn Hữu Bình Lợi")</f>
        <v>Nguyễn Hữu Bình Lợi</v>
      </c>
      <c r="J367" s="3" t="str">
        <f ca="1">IFERROR(__xludf.DUMMYFUNCTION("""COMPUTED_VALUE"""),"0779128852")</f>
        <v>0779128852</v>
      </c>
      <c r="K367" s="2" t="str">
        <f ca="1">IFERROR(__xludf.DUMMYFUNCTION("""COMPUTED_VALUE"""),"1747038222670")</f>
        <v>1747038222670</v>
      </c>
    </row>
    <row r="368" spans="1:11" ht="12.45">
      <c r="A368" s="2" t="str">
        <f ca="1">IFERROR(__xludf.DUMMYFUNCTION("""COMPUTED_VALUE"""),"1747038270757")</f>
        <v>1747038270757</v>
      </c>
      <c r="B368" s="2">
        <f ca="1">IFERROR(__xludf.DUMMYFUNCTION("""COMPUTED_VALUE"""),916659717)</f>
        <v>916659717</v>
      </c>
      <c r="C368" s="2" t="str">
        <f ca="1"/>
        <v>0916659717</v>
      </c>
      <c r="D368" s="2" t="str">
        <f ca="1">IFERROR(__xludf.DUMMYFUNCTION("""COMPUTED_VALUE"""),"1770822993123")</f>
        <v>1770822993123</v>
      </c>
      <c r="E368" s="2">
        <f ca="1">IFERROR(__xludf.DUMMYFUNCTION("""COMPUTED_VALUE"""),846989800)</f>
        <v>846989800</v>
      </c>
      <c r="F368" s="2" t="str">
        <f ca="1"/>
        <v>0846989800</v>
      </c>
      <c r="G368" s="2" t="str">
        <f ca="1">IFERROR(__xludf.DUMMYFUNCTION("""COMPUTED_VALUE"""),"105716349086")</f>
        <v>105716349086</v>
      </c>
      <c r="I368" s="2" t="str">
        <f ca="1">IFERROR(__xludf.DUMMYFUNCTION("""COMPUTED_VALUE"""),"Đào Trung Thắng")</f>
        <v>Đào Trung Thắng</v>
      </c>
      <c r="J368" s="3" t="str">
        <f ca="1">IFERROR(__xludf.DUMMYFUNCTION("""COMPUTED_VALUE"""),"0334917906")</f>
        <v>0334917906</v>
      </c>
      <c r="K368" s="2" t="str">
        <f ca="1">IFERROR(__xludf.DUMMYFUNCTION("""COMPUTED_VALUE"""),"1747038270757")</f>
        <v>1747038270757</v>
      </c>
    </row>
    <row r="369" spans="1:11" ht="12.45">
      <c r="A369" s="2" t="str">
        <f ca="1">IFERROR(__xludf.DUMMYFUNCTION("""COMPUTED_VALUE"""),"1747038319865")</f>
        <v>1747038319865</v>
      </c>
      <c r="B369" s="2">
        <f ca="1">IFERROR(__xludf.DUMMYFUNCTION("""COMPUTED_VALUE"""),866027563)</f>
        <v>866027563</v>
      </c>
      <c r="C369" s="2" t="str">
        <f ca="1"/>
        <v>0866027563</v>
      </c>
      <c r="D369" s="2" t="str">
        <f ca="1">IFERROR(__xludf.DUMMYFUNCTION("""COMPUTED_VALUE"""),"1770823026885")</f>
        <v>1770823026885</v>
      </c>
      <c r="E369" s="2">
        <f ca="1">IFERROR(__xludf.DUMMYFUNCTION("""COMPUTED_VALUE"""),354360530)</f>
        <v>354360530</v>
      </c>
      <c r="F369" s="2" t="str">
        <f ca="1"/>
        <v>0354360530</v>
      </c>
      <c r="G369" s="2" t="str">
        <f ca="1">IFERROR(__xludf.DUMMYFUNCTION("""COMPUTED_VALUE"""),"105716349155")</f>
        <v>105716349155</v>
      </c>
      <c r="I369" s="2" t="str">
        <f ca="1">IFERROR(__xludf.DUMMYFUNCTION("""COMPUTED_VALUE"""),"Nguyễn Thị Luyến")</f>
        <v>Nguyễn Thị Luyến</v>
      </c>
      <c r="J369" s="3" t="str">
        <f ca="1">IFERROR(__xludf.DUMMYFUNCTION("""COMPUTED_VALUE"""),"0853326816")</f>
        <v>0853326816</v>
      </c>
      <c r="K369" s="2" t="str">
        <f ca="1">IFERROR(__xludf.DUMMYFUNCTION("""COMPUTED_VALUE"""),"1747038319865")</f>
        <v>1747038319865</v>
      </c>
    </row>
    <row r="370" spans="1:11" ht="12.45">
      <c r="A370" s="2" t="str">
        <f ca="1">IFERROR(__xludf.DUMMYFUNCTION("""COMPUTED_VALUE"""),"1747038364558")</f>
        <v>1747038364558</v>
      </c>
      <c r="B370" s="2">
        <f ca="1">IFERROR(__xludf.DUMMYFUNCTION("""COMPUTED_VALUE"""),976439557)</f>
        <v>976439557</v>
      </c>
      <c r="C370" s="2" t="str">
        <f ca="1"/>
        <v>0976439557</v>
      </c>
      <c r="D370" s="2" t="str">
        <f ca="1">IFERROR(__xludf.DUMMYFUNCTION("""COMPUTED_VALUE"""),"1770823084828")</f>
        <v>1770823084828</v>
      </c>
      <c r="E370" s="2">
        <f ca="1">IFERROR(__xludf.DUMMYFUNCTION("""COMPUTED_VALUE"""),367681125)</f>
        <v>367681125</v>
      </c>
      <c r="F370" s="2" t="str">
        <f ca="1"/>
        <v>0367681125</v>
      </c>
      <c r="G370" s="2" t="str">
        <f ca="1">IFERROR(__xludf.DUMMYFUNCTION("""COMPUTED_VALUE"""),"105716349369")</f>
        <v>105716349369</v>
      </c>
      <c r="I370" s="2" t="str">
        <f ca="1">IFERROR(__xludf.DUMMYFUNCTION("""COMPUTED_VALUE"""),"Nguyễn Thị Thuỳ Linh ")</f>
        <v xml:space="preserve">Nguyễn Thị Thuỳ Linh </v>
      </c>
      <c r="J370" s="3" t="str">
        <f ca="1">IFERROR(__xludf.DUMMYFUNCTION("""COMPUTED_VALUE"""),"0396179769")</f>
        <v>0396179769</v>
      </c>
      <c r="K370" s="2" t="str">
        <f ca="1">IFERROR(__xludf.DUMMYFUNCTION("""COMPUTED_VALUE"""),"1747038364558")</f>
        <v>1747038364558</v>
      </c>
    </row>
    <row r="371" spans="1:11" ht="12.45">
      <c r="A371" s="2" t="str">
        <f ca="1">IFERROR(__xludf.DUMMYFUNCTION("""COMPUTED_VALUE"""),"1738940222282")</f>
        <v>1738940222282</v>
      </c>
      <c r="B371" s="2">
        <f ca="1">IFERROR(__xludf.DUMMYFUNCTION("""COMPUTED_VALUE"""),978513976)</f>
        <v>978513976</v>
      </c>
      <c r="C371" s="2" t="str">
        <f ca="1"/>
        <v>0978513976</v>
      </c>
      <c r="D371" s="2" t="str">
        <f ca="1">IFERROR(__xludf.DUMMYFUNCTION("""COMPUTED_VALUE"""),"1770823117301")</f>
        <v>1770823117301</v>
      </c>
      <c r="E371" s="2">
        <f ca="1">IFERROR(__xludf.DUMMYFUNCTION("""COMPUTED_VALUE"""),375232267)</f>
        <v>375232267</v>
      </c>
      <c r="F371" s="2" t="str">
        <f ca="1"/>
        <v>0375232267</v>
      </c>
      <c r="G371" s="2" t="str">
        <f ca="1">IFERROR(__xludf.DUMMYFUNCTION("""COMPUTED_VALUE"""),"105716349550")</f>
        <v>105716349550</v>
      </c>
      <c r="I371" s="2" t="str">
        <f ca="1">IFERROR(__xludf.DUMMYFUNCTION("""COMPUTED_VALUE"""),"Nguyễn Thị Thanh Huệ ")</f>
        <v xml:space="preserve">Nguyễn Thị Thanh Huệ </v>
      </c>
      <c r="J371" s="3" t="str">
        <f ca="1">IFERROR(__xludf.DUMMYFUNCTION("""COMPUTED_VALUE"""),"0818410757")</f>
        <v>0818410757</v>
      </c>
      <c r="K371" s="2" t="str">
        <f ca="1">IFERROR(__xludf.DUMMYFUNCTION("""COMPUTED_VALUE"""),"1738940222282")</f>
        <v>1738940222282</v>
      </c>
    </row>
    <row r="372" spans="1:11" ht="12.45">
      <c r="A372" s="2" t="str">
        <f ca="1">IFERROR(__xludf.DUMMYFUNCTION("""COMPUTED_VALUE"""),"1738940264622")</f>
        <v>1738940264622</v>
      </c>
      <c r="B372" s="2">
        <f ca="1">IFERROR(__xludf.DUMMYFUNCTION("""COMPUTED_VALUE"""),964927359)</f>
        <v>964927359</v>
      </c>
      <c r="C372" s="2" t="str">
        <f ca="1"/>
        <v>0964927359</v>
      </c>
      <c r="D372" s="2" t="str">
        <f ca="1">IFERROR(__xludf.DUMMYFUNCTION("""COMPUTED_VALUE"""),"1770823144234")</f>
        <v>1770823144234</v>
      </c>
      <c r="E372" s="2">
        <f ca="1">IFERROR(__xludf.DUMMYFUNCTION("""COMPUTED_VALUE"""),356460790)</f>
        <v>356460790</v>
      </c>
      <c r="F372" s="2" t="str">
        <f ca="1"/>
        <v>0356460790</v>
      </c>
      <c r="G372" s="2" t="str">
        <f ca="1">IFERROR(__xludf.DUMMYFUNCTION("""COMPUTED_VALUE"""),"105716349742")</f>
        <v>105716349742</v>
      </c>
      <c r="I372" s="2" t="str">
        <f ca="1">IFERROR(__xludf.DUMMYFUNCTION("""COMPUTED_VALUE"""),"Lê Thanh Vân")</f>
        <v>Lê Thanh Vân</v>
      </c>
      <c r="J372" s="3" t="str">
        <f ca="1">IFERROR(__xludf.DUMMYFUNCTION("""COMPUTED_VALUE"""),"0963748150")</f>
        <v>0963748150</v>
      </c>
      <c r="K372" s="2" t="str">
        <f ca="1">IFERROR(__xludf.DUMMYFUNCTION("""COMPUTED_VALUE"""),"1738940264622")</f>
        <v>1738940264622</v>
      </c>
    </row>
    <row r="373" spans="1:11" ht="12.45">
      <c r="A373" s="2" t="str">
        <f ca="1">IFERROR(__xludf.DUMMYFUNCTION("""COMPUTED_VALUE"""),"1738940300371")</f>
        <v>1738940300371</v>
      </c>
      <c r="B373" s="2">
        <f ca="1">IFERROR(__xludf.DUMMYFUNCTION("""COMPUTED_VALUE"""),934525286)</f>
        <v>934525286</v>
      </c>
      <c r="C373" s="2" t="str">
        <f ca="1"/>
        <v>0934525286</v>
      </c>
      <c r="D373" s="2" t="str">
        <f ca="1">IFERROR(__xludf.DUMMYFUNCTION("""COMPUTED_VALUE"""),"1770823201177")</f>
        <v>1770823201177</v>
      </c>
      <c r="E373" s="2">
        <f ca="1">IFERROR(__xludf.DUMMYFUNCTION("""COMPUTED_VALUE"""),363709105)</f>
        <v>363709105</v>
      </c>
      <c r="F373" s="2" t="str">
        <f ca="1"/>
        <v>0363709105</v>
      </c>
      <c r="G373" s="2" t="str">
        <f ca="1">IFERROR(__xludf.DUMMYFUNCTION("""COMPUTED_VALUE"""),"105716349961")</f>
        <v>105716349961</v>
      </c>
      <c r="I373" s="2" t="str">
        <f ca="1">IFERROR(__xludf.DUMMYFUNCTION("""COMPUTED_VALUE"""),"Nguyễn Thị Diễm Quỳnh ")</f>
        <v xml:space="preserve">Nguyễn Thị Diễm Quỳnh </v>
      </c>
      <c r="J373" s="3" t="str">
        <f ca="1">IFERROR(__xludf.DUMMYFUNCTION("""COMPUTED_VALUE"""),"0398787262")</f>
        <v>0398787262</v>
      </c>
      <c r="K373" s="2" t="str">
        <f ca="1">IFERROR(__xludf.DUMMYFUNCTION("""COMPUTED_VALUE"""),"1738940300371")</f>
        <v>1738940300371</v>
      </c>
    </row>
    <row r="374" spans="1:11" ht="12.45">
      <c r="A374" s="2" t="str">
        <f ca="1">IFERROR(__xludf.DUMMYFUNCTION("""COMPUTED_VALUE"""),"1738940346308")</f>
        <v>1738940346308</v>
      </c>
      <c r="B374" s="2">
        <f ca="1">IFERROR(__xludf.DUMMYFUNCTION("""COMPUTED_VALUE"""),933552227)</f>
        <v>933552227</v>
      </c>
      <c r="C374" s="2" t="str">
        <f ca="1"/>
        <v>0933552227</v>
      </c>
      <c r="D374" s="2" t="str">
        <f ca="1">IFERROR(__xludf.DUMMYFUNCTION("""COMPUTED_VALUE"""),"1770823229953")</f>
        <v>1770823229953</v>
      </c>
      <c r="E374" s="2">
        <f ca="1">IFERROR(__xludf.DUMMYFUNCTION("""COMPUTED_VALUE"""),869281781)</f>
        <v>869281781</v>
      </c>
      <c r="F374" s="2" t="str">
        <f ca="1"/>
        <v>0869281781</v>
      </c>
      <c r="G374" s="2" t="str">
        <f ca="1">IFERROR(__xludf.DUMMYFUNCTION("""COMPUTED_VALUE"""),"105716350093")</f>
        <v>105716350093</v>
      </c>
      <c r="I374" s="2" t="str">
        <f ca="1">IFERROR(__xludf.DUMMYFUNCTION("""COMPUTED_VALUE"""),"Trịnh Thu Hiền ")</f>
        <v xml:space="preserve">Trịnh Thu Hiền </v>
      </c>
      <c r="J374" s="3" t="str">
        <f ca="1">IFERROR(__xludf.DUMMYFUNCTION("""COMPUTED_VALUE"""),"0918059540")</f>
        <v>0918059540</v>
      </c>
      <c r="K374" s="2" t="str">
        <f ca="1">IFERROR(__xludf.DUMMYFUNCTION("""COMPUTED_VALUE"""),"1738940346308")</f>
        <v>1738940346308</v>
      </c>
    </row>
    <row r="375" spans="1:11" ht="12.45">
      <c r="A375" s="2" t="str">
        <f ca="1">IFERROR(__xludf.DUMMYFUNCTION("""COMPUTED_VALUE"""),"1738940389180")</f>
        <v>1738940389180</v>
      </c>
      <c r="B375" s="2">
        <f ca="1">IFERROR(__xludf.DUMMYFUNCTION("""COMPUTED_VALUE"""),369854133)</f>
        <v>369854133</v>
      </c>
      <c r="C375" s="2" t="str">
        <f ca="1"/>
        <v>0369854133</v>
      </c>
      <c r="D375" s="2"/>
      <c r="E375" s="2">
        <f ca="1">IFERROR(__xludf.DUMMYFUNCTION("""COMPUTED_VALUE"""),849545779)</f>
        <v>849545779</v>
      </c>
      <c r="F375" s="2" t="str">
        <f ca="1"/>
        <v>0849545779</v>
      </c>
      <c r="G375" s="2" t="str">
        <f ca="1">IFERROR(__xludf.DUMMYFUNCTION("""COMPUTED_VALUE"""),"105716350128")</f>
        <v>105716350128</v>
      </c>
      <c r="I375" s="2" t="str">
        <f ca="1">IFERROR(__xludf.DUMMYFUNCTION("""COMPUTED_VALUE"""),"Nguyễn Thị Mỹ Như ")</f>
        <v xml:space="preserve">Nguyễn Thị Mỹ Như </v>
      </c>
      <c r="J375" s="3" t="str">
        <f ca="1">IFERROR(__xludf.DUMMYFUNCTION("""COMPUTED_VALUE"""),"0946858002")</f>
        <v>0946858002</v>
      </c>
      <c r="K375" s="2" t="str">
        <f ca="1">IFERROR(__xludf.DUMMYFUNCTION("""COMPUTED_VALUE"""),"1738940389180")</f>
        <v>1738940389180</v>
      </c>
    </row>
    <row r="376" spans="1:11" ht="12.45">
      <c r="A376" s="2" t="str">
        <f ca="1">IFERROR(__xludf.DUMMYFUNCTION("""COMPUTED_VALUE"""),"1738940447411")</f>
        <v>1738940447411</v>
      </c>
      <c r="B376" s="2">
        <f ca="1">IFERROR(__xludf.DUMMYFUNCTION("""COMPUTED_VALUE"""),917334568)</f>
        <v>917334568</v>
      </c>
      <c r="C376" s="2" t="str">
        <f ca="1"/>
        <v>0917334568</v>
      </c>
      <c r="D376" s="2" t="str">
        <f ca="1">IFERROR(__xludf.DUMMYFUNCTION("""COMPUTED_VALUE"""),"1770823271456")</f>
        <v>1770823271456</v>
      </c>
      <c r="E376" s="2">
        <f ca="1">IFERROR(__xludf.DUMMYFUNCTION("""COMPUTED_VALUE"""),859012054)</f>
        <v>859012054</v>
      </c>
      <c r="F376" s="2" t="str">
        <f ca="1"/>
        <v>0859012054</v>
      </c>
      <c r="G376" s="2" t="str">
        <f ca="1">IFERROR(__xludf.DUMMYFUNCTION("""COMPUTED_VALUE"""),"105716350229")</f>
        <v>105716350229</v>
      </c>
      <c r="I376" s="2" t="str">
        <f ca="1">IFERROR(__xludf.DUMMYFUNCTION("""COMPUTED_VALUE"""),"Nguyễn Thị Ngọc Chinh ")</f>
        <v xml:space="preserve">Nguyễn Thị Ngọc Chinh </v>
      </c>
      <c r="J376" s="3" t="str">
        <f ca="1">IFERROR(__xludf.DUMMYFUNCTION("""COMPUTED_VALUE"""),"0384176807")</f>
        <v>0384176807</v>
      </c>
      <c r="K376" s="2" t="str">
        <f ca="1">IFERROR(__xludf.DUMMYFUNCTION("""COMPUTED_VALUE"""),"1738940447411")</f>
        <v>1738940447411</v>
      </c>
    </row>
    <row r="377" spans="1:11" ht="12.45">
      <c r="A377" s="2" t="str">
        <f ca="1">IFERROR(__xludf.DUMMYFUNCTION("""COMPUTED_VALUE"""),"1738940493166")</f>
        <v>1738940493166</v>
      </c>
      <c r="B377" s="2">
        <f ca="1">IFERROR(__xludf.DUMMYFUNCTION("""COMPUTED_VALUE"""),916631853)</f>
        <v>916631853</v>
      </c>
      <c r="C377" s="2" t="str">
        <f ca="1"/>
        <v>0916631853</v>
      </c>
      <c r="D377" s="2" t="str">
        <f ca="1">IFERROR(__xludf.DUMMYFUNCTION("""COMPUTED_VALUE"""),"1770823302399")</f>
        <v>1770823302399</v>
      </c>
      <c r="E377" s="2">
        <f ca="1">IFERROR(__xludf.DUMMYFUNCTION("""COMPUTED_VALUE"""),329850997)</f>
        <v>329850997</v>
      </c>
      <c r="F377" s="2" t="str">
        <f ca="1"/>
        <v>0329850997</v>
      </c>
      <c r="G377" s="2" t="str">
        <f ca="1">IFERROR(__xludf.DUMMYFUNCTION("""COMPUTED_VALUE"""),"105716350349")</f>
        <v>105716350349</v>
      </c>
      <c r="I377" s="2" t="str">
        <f ca="1">IFERROR(__xludf.DUMMYFUNCTION("""COMPUTED_VALUE"""),"vũ thị tuyết nhi")</f>
        <v>vũ thị tuyết nhi</v>
      </c>
      <c r="J377" s="3" t="str">
        <f ca="1">IFERROR(__xludf.DUMMYFUNCTION("""COMPUTED_VALUE"""),"0353257230")</f>
        <v>0353257230</v>
      </c>
      <c r="K377" s="2" t="str">
        <f ca="1">IFERROR(__xludf.DUMMYFUNCTION("""COMPUTED_VALUE"""),"1738940493166")</f>
        <v>1738940493166</v>
      </c>
    </row>
    <row r="378" spans="1:11" ht="12.45">
      <c r="A378" s="2" t="str">
        <f ca="1">IFERROR(__xludf.DUMMYFUNCTION("""COMPUTED_VALUE"""),"1738940552804")</f>
        <v>1738940552804</v>
      </c>
      <c r="B378" s="2">
        <f ca="1">IFERROR(__xludf.DUMMYFUNCTION("""COMPUTED_VALUE"""),398789928)</f>
        <v>398789928</v>
      </c>
      <c r="C378" s="2" t="str">
        <f ca="1"/>
        <v>0398789928</v>
      </c>
      <c r="D378" s="2" t="str">
        <f ca="1">IFERROR(__xludf.DUMMYFUNCTION("""COMPUTED_VALUE"""),"1770823344226")</f>
        <v>1770823344226</v>
      </c>
      <c r="E378" s="2">
        <f ca="1">IFERROR(__xludf.DUMMYFUNCTION("""COMPUTED_VALUE"""),355576396)</f>
        <v>355576396</v>
      </c>
      <c r="F378" s="2" t="str">
        <f ca="1"/>
        <v>0355576396</v>
      </c>
      <c r="G378" s="2" t="str">
        <f ca="1">IFERROR(__xludf.DUMMYFUNCTION("""COMPUTED_VALUE"""),"105716350583")</f>
        <v>105716350583</v>
      </c>
      <c r="I378" s="2" t="str">
        <f ca="1">IFERROR(__xludf.DUMMYFUNCTION("""COMPUTED_VALUE"""),"Võ Phương Thùy")</f>
        <v>Võ Phương Thùy</v>
      </c>
      <c r="J378" s="3" t="str">
        <f ca="1">IFERROR(__xludf.DUMMYFUNCTION("""COMPUTED_VALUE"""),"0375345162")</f>
        <v>0375345162</v>
      </c>
      <c r="K378" s="2" t="str">
        <f ca="1">IFERROR(__xludf.DUMMYFUNCTION("""COMPUTED_VALUE"""),"1738940552804")</f>
        <v>1738940552804</v>
      </c>
    </row>
    <row r="379" spans="1:11" ht="12.45">
      <c r="A379" s="2" t="str">
        <f ca="1">IFERROR(__xludf.DUMMYFUNCTION("""COMPUTED_VALUE"""),"1738940587446")</f>
        <v>1738940587446</v>
      </c>
      <c r="B379" s="2">
        <f ca="1">IFERROR(__xludf.DUMMYFUNCTION("""COMPUTED_VALUE"""),866954581)</f>
        <v>866954581</v>
      </c>
      <c r="C379" s="2" t="str">
        <f ca="1"/>
        <v>0866954581</v>
      </c>
      <c r="D379" s="2" t="str">
        <f ca="1">IFERROR(__xludf.DUMMYFUNCTION("""COMPUTED_VALUE"""),"1770823365051")</f>
        <v>1770823365051</v>
      </c>
      <c r="E379" s="2">
        <f ca="1">IFERROR(__xludf.DUMMYFUNCTION("""COMPUTED_VALUE"""),934104909)</f>
        <v>934104909</v>
      </c>
      <c r="F379" s="2" t="str">
        <f ca="1"/>
        <v>0934104909</v>
      </c>
      <c r="G379" s="2" t="str">
        <f ca="1">IFERROR(__xludf.DUMMYFUNCTION("""COMPUTED_VALUE"""),"105716350769")</f>
        <v>105716350769</v>
      </c>
      <c r="I379" s="2" t="str">
        <f ca="1">IFERROR(__xludf.DUMMYFUNCTION("""COMPUTED_VALUE"""),"Vũ Đức Trọng")</f>
        <v>Vũ Đức Trọng</v>
      </c>
      <c r="J379" s="3" t="str">
        <f ca="1">IFERROR(__xludf.DUMMYFUNCTION("""COMPUTED_VALUE"""),"0868634659")</f>
        <v>0868634659</v>
      </c>
      <c r="K379" s="2" t="str">
        <f ca="1">IFERROR(__xludf.DUMMYFUNCTION("""COMPUTED_VALUE"""),"1738940587446")</f>
        <v>1738940587446</v>
      </c>
    </row>
    <row r="380" spans="1:11" ht="12.45">
      <c r="A380" s="2" t="str">
        <f ca="1">IFERROR(__xludf.DUMMYFUNCTION("""COMPUTED_VALUE"""),"1738940619938")</f>
        <v>1738940619938</v>
      </c>
      <c r="B380" s="2">
        <f ca="1">IFERROR(__xludf.DUMMYFUNCTION("""COMPUTED_VALUE"""),858899123)</f>
        <v>858899123</v>
      </c>
      <c r="C380" s="2" t="str">
        <f ca="1"/>
        <v>0858899123</v>
      </c>
      <c r="D380" s="2" t="str">
        <f ca="1">IFERROR(__xludf.DUMMYFUNCTION("""COMPUTED_VALUE"""),"1770823391422")</f>
        <v>1770823391422</v>
      </c>
      <c r="E380" s="2">
        <f ca="1">IFERROR(__xludf.DUMMYFUNCTION("""COMPUTED_VALUE"""),368880014)</f>
        <v>368880014</v>
      </c>
      <c r="F380" s="2" t="str">
        <f ca="1"/>
        <v>0368880014</v>
      </c>
      <c r="G380" s="2" t="str">
        <f ca="1">IFERROR(__xludf.DUMMYFUNCTION("""COMPUTED_VALUE"""),"105716350895")</f>
        <v>105716350895</v>
      </c>
      <c r="I380" s="2" t="str">
        <f ca="1">IFERROR(__xludf.DUMMYFUNCTION("""COMPUTED_VALUE"""),"HUỲNH THỊ KIM GIANG")</f>
        <v>HUỲNH THỊ KIM GIANG</v>
      </c>
      <c r="J380" s="3" t="str">
        <f ca="1">IFERROR(__xludf.DUMMYFUNCTION("""COMPUTED_VALUE"""),"0964676201")</f>
        <v>0964676201</v>
      </c>
      <c r="K380" s="2" t="str">
        <f ca="1">IFERROR(__xludf.DUMMYFUNCTION("""COMPUTED_VALUE"""),"1738940619938")</f>
        <v>1738940619938</v>
      </c>
    </row>
    <row r="381" spans="1:11" ht="12.45">
      <c r="A381" s="2" t="str">
        <f ca="1">IFERROR(__xludf.DUMMYFUNCTION("""COMPUTED_VALUE"""),"1738940658957")</f>
        <v>1738940658957</v>
      </c>
      <c r="B381" s="2">
        <f ca="1">IFERROR(__xludf.DUMMYFUNCTION("""COMPUTED_VALUE"""),338658431)</f>
        <v>338658431</v>
      </c>
      <c r="C381" s="2" t="str">
        <f ca="1"/>
        <v>0338658431</v>
      </c>
      <c r="D381" s="2" t="str">
        <f ca="1">IFERROR(__xludf.DUMMYFUNCTION("""COMPUTED_VALUE"""),"1770823421846")</f>
        <v>1770823421846</v>
      </c>
      <c r="E381" s="2">
        <f ca="1">IFERROR(__xludf.DUMMYFUNCTION("""COMPUTED_VALUE"""),346325947)</f>
        <v>346325947</v>
      </c>
      <c r="F381" s="2" t="str">
        <f ca="1"/>
        <v>0346325947</v>
      </c>
      <c r="G381" s="2" t="str">
        <f ca="1">IFERROR(__xludf.DUMMYFUNCTION("""COMPUTED_VALUE"""),"105716351011")</f>
        <v>105716351011</v>
      </c>
      <c r="I381" s="2" t="str">
        <f ca="1">IFERROR(__xludf.DUMMYFUNCTION("""COMPUTED_VALUE"""),"Lý Mỹ Huyền ")</f>
        <v xml:space="preserve">Lý Mỹ Huyền </v>
      </c>
      <c r="J381" s="3" t="str">
        <f ca="1">IFERROR(__xludf.DUMMYFUNCTION("""COMPUTED_VALUE"""),"0865223715")</f>
        <v>0865223715</v>
      </c>
      <c r="K381" s="2" t="str">
        <f ca="1">IFERROR(__xludf.DUMMYFUNCTION("""COMPUTED_VALUE"""),"1738940658957")</f>
        <v>1738940658957</v>
      </c>
    </row>
    <row r="382" spans="1:11" ht="12.45">
      <c r="A382" s="2" t="str">
        <f ca="1">IFERROR(__xludf.DUMMYFUNCTION("""COMPUTED_VALUE"""),"1738940707779")</f>
        <v>1738940707779</v>
      </c>
      <c r="B382" s="2">
        <f ca="1">IFERROR(__xludf.DUMMYFUNCTION("""COMPUTED_VALUE"""),907446254)</f>
        <v>907446254</v>
      </c>
      <c r="C382" s="2" t="str">
        <f ca="1"/>
        <v>0907446254</v>
      </c>
      <c r="D382" s="2" t="str">
        <f ca="1">IFERROR(__xludf.DUMMYFUNCTION("""COMPUTED_VALUE"""),"1770823447860")</f>
        <v>1770823447860</v>
      </c>
      <c r="E382" s="2">
        <f ca="1">IFERROR(__xludf.DUMMYFUNCTION("""COMPUTED_VALUE"""),348541456)</f>
        <v>348541456</v>
      </c>
      <c r="F382" s="2" t="str">
        <f ca="1"/>
        <v>0348541456</v>
      </c>
      <c r="G382" s="2" t="str">
        <f ca="1">IFERROR(__xludf.DUMMYFUNCTION("""COMPUTED_VALUE"""),"105716351171")</f>
        <v>105716351171</v>
      </c>
      <c r="I382" s="2" t="str">
        <f ca="1">IFERROR(__xludf.DUMMYFUNCTION("""COMPUTED_VALUE"""),"Bùi Thị Thanh Huyền")</f>
        <v>Bùi Thị Thanh Huyền</v>
      </c>
      <c r="J382" s="3" t="str">
        <f ca="1">IFERROR(__xludf.DUMMYFUNCTION("""COMPUTED_VALUE"""),"0325135781")</f>
        <v>0325135781</v>
      </c>
      <c r="K382" s="2" t="str">
        <f ca="1">IFERROR(__xludf.DUMMYFUNCTION("""COMPUTED_VALUE"""),"1738940707779")</f>
        <v>1738940707779</v>
      </c>
    </row>
    <row r="383" spans="1:11" ht="12.45">
      <c r="A383" s="2" t="str">
        <f ca="1">IFERROR(__xludf.DUMMYFUNCTION("""COMPUTED_VALUE"""),"1738940755226")</f>
        <v>1738940755226</v>
      </c>
      <c r="B383" s="2">
        <f ca="1">IFERROR(__xludf.DUMMYFUNCTION("""COMPUTED_VALUE"""),768319095)</f>
        <v>768319095</v>
      </c>
      <c r="C383" s="2" t="str">
        <f ca="1"/>
        <v>0768319095</v>
      </c>
      <c r="D383" s="2" t="str">
        <f ca="1">IFERROR(__xludf.DUMMYFUNCTION("""COMPUTED_VALUE"""),"1770823475693")</f>
        <v>1770823475693</v>
      </c>
      <c r="E383" s="2">
        <f ca="1">IFERROR(__xludf.DUMMYFUNCTION("""COMPUTED_VALUE"""),334929640)</f>
        <v>334929640</v>
      </c>
      <c r="F383" s="2" t="str">
        <f ca="1"/>
        <v>0334929640</v>
      </c>
      <c r="G383" s="2" t="str">
        <f ca="1">IFERROR(__xludf.DUMMYFUNCTION("""COMPUTED_VALUE"""),"105716351210")</f>
        <v>105716351210</v>
      </c>
      <c r="I383" s="2" t="str">
        <f ca="1">IFERROR(__xludf.DUMMYFUNCTION("""COMPUTED_VALUE"""),"Vũ Thúy Hiền")</f>
        <v>Vũ Thúy Hiền</v>
      </c>
      <c r="J383" s="3" t="str">
        <f ca="1">IFERROR(__xludf.DUMMYFUNCTION("""COMPUTED_VALUE"""),"0394720885")</f>
        <v>0394720885</v>
      </c>
      <c r="K383" s="2" t="str">
        <f ca="1">IFERROR(__xludf.DUMMYFUNCTION("""COMPUTED_VALUE"""),"1738940755226")</f>
        <v>1738940755226</v>
      </c>
    </row>
    <row r="384" spans="1:11" ht="12.45">
      <c r="A384" s="2" t="str">
        <f ca="1">IFERROR(__xludf.DUMMYFUNCTION("""COMPUTED_VALUE"""),"1738940819346")</f>
        <v>1738940819346</v>
      </c>
      <c r="B384" s="2">
        <f ca="1">IFERROR(__xludf.DUMMYFUNCTION("""COMPUTED_VALUE"""),342568692)</f>
        <v>342568692</v>
      </c>
      <c r="C384" s="2" t="str">
        <f ca="1"/>
        <v>0342568692</v>
      </c>
      <c r="D384" s="2" t="str">
        <f ca="1">IFERROR(__xludf.DUMMYFUNCTION("""COMPUTED_VALUE"""),"1770823528607")</f>
        <v>1770823528607</v>
      </c>
      <c r="E384" s="2">
        <f ca="1">IFERROR(__xludf.DUMMYFUNCTION("""COMPUTED_VALUE"""),914271045)</f>
        <v>914271045</v>
      </c>
      <c r="F384" s="2" t="str">
        <f ca="1"/>
        <v>0914271045</v>
      </c>
      <c r="G384" s="2" t="str">
        <f ca="1">IFERROR(__xludf.DUMMYFUNCTION("""COMPUTED_VALUE"""),"105716351355")</f>
        <v>105716351355</v>
      </c>
      <c r="I384" s="2" t="str">
        <f ca="1">IFERROR(__xludf.DUMMYFUNCTION("""COMPUTED_VALUE"""),"HOÀNG VĂN THÁI")</f>
        <v>HOÀNG VĂN THÁI</v>
      </c>
      <c r="J384" s="3" t="str">
        <f ca="1">IFERROR(__xludf.DUMMYFUNCTION("""COMPUTED_VALUE"""),"0337046050")</f>
        <v>0337046050</v>
      </c>
      <c r="K384" s="2" t="str">
        <f ca="1">IFERROR(__xludf.DUMMYFUNCTION("""COMPUTED_VALUE"""),"1738940819346")</f>
        <v>1738940819346</v>
      </c>
    </row>
    <row r="385" spans="1:11" ht="12.45">
      <c r="A385" s="2" t="str">
        <f ca="1">IFERROR(__xludf.DUMMYFUNCTION("""COMPUTED_VALUE"""),"1738940865887")</f>
        <v>1738940865887</v>
      </c>
      <c r="B385" s="2">
        <f ca="1">IFERROR(__xludf.DUMMYFUNCTION("""COMPUTED_VALUE"""),346674055)</f>
        <v>346674055</v>
      </c>
      <c r="C385" s="2" t="str">
        <f ca="1"/>
        <v>0346674055</v>
      </c>
      <c r="D385" s="2" t="str">
        <f ca="1">IFERROR(__xludf.DUMMYFUNCTION("""COMPUTED_VALUE"""),"1770823554206")</f>
        <v>1770823554206</v>
      </c>
      <c r="E385" s="2">
        <f ca="1">IFERROR(__xludf.DUMMYFUNCTION("""COMPUTED_VALUE"""),358370321)</f>
        <v>358370321</v>
      </c>
      <c r="F385" s="2" t="str">
        <f ca="1"/>
        <v>0358370321</v>
      </c>
      <c r="G385" s="2" t="str">
        <f ca="1">IFERROR(__xludf.DUMMYFUNCTION("""COMPUTED_VALUE"""),"105716351548")</f>
        <v>105716351548</v>
      </c>
      <c r="I385" s="2" t="str">
        <f ca="1">IFERROR(__xludf.DUMMYFUNCTION("""COMPUTED_VALUE"""),"hà như quỳnh ")</f>
        <v xml:space="preserve">hà như quỳnh </v>
      </c>
      <c r="J385" s="3" t="str">
        <f ca="1">IFERROR(__xludf.DUMMYFUNCTION("""COMPUTED_VALUE"""),"0383141752")</f>
        <v>0383141752</v>
      </c>
      <c r="K385" s="2" t="str">
        <f ca="1">IFERROR(__xludf.DUMMYFUNCTION("""COMPUTED_VALUE"""),"1738940865887")</f>
        <v>1738940865887</v>
      </c>
    </row>
    <row r="386" spans="1:11" ht="12.45">
      <c r="A386" s="2" t="str">
        <f ca="1">IFERROR(__xludf.DUMMYFUNCTION("""COMPUTED_VALUE"""),"1738940912192")</f>
        <v>1738940912192</v>
      </c>
      <c r="B386" s="2">
        <f ca="1">IFERROR(__xludf.DUMMYFUNCTION("""COMPUTED_VALUE"""),814134951)</f>
        <v>814134951</v>
      </c>
      <c r="C386" s="2" t="str">
        <f ca="1"/>
        <v>0814134951</v>
      </c>
      <c r="D386" s="2" t="str">
        <f ca="1">IFERROR(__xludf.DUMMYFUNCTION("""COMPUTED_VALUE"""),"1770823582767")</f>
        <v>1770823582767</v>
      </c>
      <c r="E386" s="2">
        <f ca="1">IFERROR(__xludf.DUMMYFUNCTION("""COMPUTED_VALUE"""),362263483)</f>
        <v>362263483</v>
      </c>
      <c r="F386" s="2" t="str">
        <f ca="1"/>
        <v>0362263483</v>
      </c>
      <c r="G386" s="2" t="str">
        <f ca="1">IFERROR(__xludf.DUMMYFUNCTION("""COMPUTED_VALUE"""),"105716351689")</f>
        <v>105716351689</v>
      </c>
      <c r="I386" s="2" t="str">
        <f ca="1">IFERROR(__xludf.DUMMYFUNCTION("""COMPUTED_VALUE"""),"Nguyễn Gia Phúc Bảo Ngọc")</f>
        <v>Nguyễn Gia Phúc Bảo Ngọc</v>
      </c>
      <c r="J386" s="3" t="str">
        <f ca="1">IFERROR(__xludf.DUMMYFUNCTION("""COMPUTED_VALUE"""),"0703641018")</f>
        <v>0703641018</v>
      </c>
      <c r="K386" s="2" t="str">
        <f ca="1">IFERROR(__xludf.DUMMYFUNCTION("""COMPUTED_VALUE"""),"1738940912192")</f>
        <v>1738940912192</v>
      </c>
    </row>
    <row r="387" spans="1:11" ht="12.45">
      <c r="A387" s="2" t="str">
        <f ca="1">IFERROR(__xludf.DUMMYFUNCTION("""COMPUTED_VALUE"""),"1738940954012")</f>
        <v>1738940954012</v>
      </c>
      <c r="B387" s="2">
        <f ca="1">IFERROR(__xludf.DUMMYFUNCTION("""COMPUTED_VALUE"""),846132354)</f>
        <v>846132354</v>
      </c>
      <c r="C387" s="2" t="str">
        <f ca="1"/>
        <v>0846132354</v>
      </c>
      <c r="D387" s="2" t="str">
        <f ca="1">IFERROR(__xludf.DUMMYFUNCTION("""COMPUTED_VALUE"""),"1770823606401")</f>
        <v>1770823606401</v>
      </c>
      <c r="E387" s="2">
        <f ca="1">IFERROR(__xludf.DUMMYFUNCTION("""COMPUTED_VALUE"""),583369920)</f>
        <v>583369920</v>
      </c>
      <c r="F387" s="2" t="str">
        <f ca="1"/>
        <v>0583369920</v>
      </c>
      <c r="G387" s="2" t="str">
        <f ca="1">IFERROR(__xludf.DUMMYFUNCTION("""COMPUTED_VALUE"""),"105716351751")</f>
        <v>105716351751</v>
      </c>
      <c r="I387" s="2" t="str">
        <f ca="1">IFERROR(__xludf.DUMMYFUNCTION("""COMPUTED_VALUE"""),"Nguyễn ngọc anh thư")</f>
        <v>Nguyễn ngọc anh thư</v>
      </c>
      <c r="J387" s="3" t="str">
        <f ca="1">IFERROR(__xludf.DUMMYFUNCTION("""COMPUTED_VALUE"""),"0394738217")</f>
        <v>0394738217</v>
      </c>
      <c r="K387" s="2" t="str">
        <f ca="1">IFERROR(__xludf.DUMMYFUNCTION("""COMPUTED_VALUE"""),"1738940954012")</f>
        <v>1738940954012</v>
      </c>
    </row>
    <row r="388" spans="1:11" ht="12.45">
      <c r="A388" s="2" t="str">
        <f ca="1">IFERROR(__xludf.DUMMYFUNCTION("""COMPUTED_VALUE"""),"1738941003773")</f>
        <v>1738941003773</v>
      </c>
      <c r="B388" s="2">
        <f ca="1">IFERROR(__xludf.DUMMYFUNCTION("""COMPUTED_VALUE"""),342445963)</f>
        <v>342445963</v>
      </c>
      <c r="C388" s="2" t="str">
        <f ca="1"/>
        <v>0342445963</v>
      </c>
      <c r="D388" s="2" t="str">
        <f ca="1">IFERROR(__xludf.DUMMYFUNCTION("""COMPUTED_VALUE"""),"1770823640899")</f>
        <v>1770823640899</v>
      </c>
      <c r="E388" s="2">
        <f ca="1">IFERROR(__xludf.DUMMYFUNCTION("""COMPUTED_VALUE"""),349324106)</f>
        <v>349324106</v>
      </c>
      <c r="F388" s="2" t="str">
        <f ca="1"/>
        <v>0349324106</v>
      </c>
      <c r="G388" s="2" t="str">
        <f ca="1">IFERROR(__xludf.DUMMYFUNCTION("""COMPUTED_VALUE"""),"105716351944")</f>
        <v>105716351944</v>
      </c>
      <c r="I388" s="2" t="str">
        <f ca="1">IFERROR(__xludf.DUMMYFUNCTION("""COMPUTED_VALUE"""),"Nguyễn Ngọc Huyền Trân ")</f>
        <v xml:space="preserve">Nguyễn Ngọc Huyền Trân </v>
      </c>
      <c r="J388" s="3" t="str">
        <f ca="1">IFERROR(__xludf.DUMMYFUNCTION("""COMPUTED_VALUE"""),"0987691711")</f>
        <v>0987691711</v>
      </c>
      <c r="K388" s="2" t="str">
        <f ca="1">IFERROR(__xludf.DUMMYFUNCTION("""COMPUTED_VALUE"""),"1738941003773")</f>
        <v>1738941003773</v>
      </c>
    </row>
    <row r="389" spans="1:11" ht="12.45">
      <c r="A389" s="2" t="str">
        <f ca="1">IFERROR(__xludf.DUMMYFUNCTION("""COMPUTED_VALUE"""),"1738941038588")</f>
        <v>1738941038588</v>
      </c>
      <c r="B389" s="2">
        <f ca="1">IFERROR(__xludf.DUMMYFUNCTION("""COMPUTED_VALUE"""),387915339)</f>
        <v>387915339</v>
      </c>
      <c r="C389" s="2" t="str">
        <f ca="1"/>
        <v>0387915339</v>
      </c>
      <c r="D389" s="2" t="str">
        <f ca="1">IFERROR(__xludf.DUMMYFUNCTION("""COMPUTED_VALUE"""),"1770823669435")</f>
        <v>1770823669435</v>
      </c>
      <c r="E389" s="2">
        <f ca="1">IFERROR(__xludf.DUMMYFUNCTION("""COMPUTED_VALUE"""),378800156)</f>
        <v>378800156</v>
      </c>
      <c r="F389" s="2" t="str">
        <f ca="1"/>
        <v>0378800156</v>
      </c>
      <c r="G389" s="2" t="str">
        <f ca="1">IFERROR(__xludf.DUMMYFUNCTION("""COMPUTED_VALUE"""),"105716352094")</f>
        <v>105716352094</v>
      </c>
      <c r="I389" s="2" t="str">
        <f ca="1">IFERROR(__xludf.DUMMYFUNCTION("""COMPUTED_VALUE"""),"Lê Thiên Phúc")</f>
        <v>Lê Thiên Phúc</v>
      </c>
      <c r="J389" s="3" t="str">
        <f ca="1">IFERROR(__xludf.DUMMYFUNCTION("""COMPUTED_VALUE"""),"0941041911")</f>
        <v>0941041911</v>
      </c>
      <c r="K389" s="2" t="str">
        <f ca="1">IFERROR(__xludf.DUMMYFUNCTION("""COMPUTED_VALUE"""),"1738941038588")</f>
        <v>1738941038588</v>
      </c>
    </row>
    <row r="390" spans="1:11" ht="12.45">
      <c r="A390" s="2" t="str">
        <f ca="1">IFERROR(__xludf.DUMMYFUNCTION("""COMPUTED_VALUE"""),"1738941103696")</f>
        <v>1738941103696</v>
      </c>
      <c r="B390" s="2">
        <f ca="1">IFERROR(__xludf.DUMMYFUNCTION("""COMPUTED_VALUE"""),973676755)</f>
        <v>973676755</v>
      </c>
      <c r="C390" s="2" t="str">
        <f ca="1"/>
        <v>0973676755</v>
      </c>
      <c r="D390" s="2" t="str">
        <f ca="1">IFERROR(__xludf.DUMMYFUNCTION("""COMPUTED_VALUE"""),"1770823695762")</f>
        <v>1770823695762</v>
      </c>
      <c r="E390" s="2">
        <f ca="1">IFERROR(__xludf.DUMMYFUNCTION("""COMPUTED_VALUE"""),963863179)</f>
        <v>963863179</v>
      </c>
      <c r="F390" s="2" t="str">
        <f ca="1"/>
        <v>0963863179</v>
      </c>
      <c r="G390" s="2" t="str">
        <f ca="1">IFERROR(__xludf.DUMMYFUNCTION("""COMPUTED_VALUE"""),"105716352499")</f>
        <v>105716352499</v>
      </c>
      <c r="I390" s="2" t="str">
        <f ca="1">IFERROR(__xludf.DUMMYFUNCTION("""COMPUTED_VALUE"""),"Nguyễn Thục Phương Liên")</f>
        <v>Nguyễn Thục Phương Liên</v>
      </c>
      <c r="J390" s="3" t="str">
        <f ca="1">IFERROR(__xludf.DUMMYFUNCTION("""COMPUTED_VALUE"""),"0971255019")</f>
        <v>0971255019</v>
      </c>
      <c r="K390" s="2" t="str">
        <f ca="1">IFERROR(__xludf.DUMMYFUNCTION("""COMPUTED_VALUE"""),"1738941103696")</f>
        <v>1738941103696</v>
      </c>
    </row>
    <row r="391" spans="1:11" ht="12.45">
      <c r="A391" s="2" t="str">
        <f ca="1">IFERROR(__xludf.DUMMYFUNCTION("""COMPUTED_VALUE"""),"1738941143705")</f>
        <v>1738941143705</v>
      </c>
      <c r="B391" s="2">
        <f ca="1">IFERROR(__xludf.DUMMYFUNCTION("""COMPUTED_VALUE"""),944739928)</f>
        <v>944739928</v>
      </c>
      <c r="C391" s="2" t="str">
        <f ca="1"/>
        <v>0944739928</v>
      </c>
      <c r="D391" s="2" t="str">
        <f ca="1">IFERROR(__xludf.DUMMYFUNCTION("""COMPUTED_VALUE"""),"1770823716952")</f>
        <v>1770823716952</v>
      </c>
      <c r="E391" s="2">
        <f ca="1">IFERROR(__xludf.DUMMYFUNCTION("""COMPUTED_VALUE"""),869911625)</f>
        <v>869911625</v>
      </c>
      <c r="F391" s="2" t="str">
        <f ca="1"/>
        <v>0869911625</v>
      </c>
      <c r="G391" s="2" t="str">
        <f ca="1">IFERROR(__xludf.DUMMYFUNCTION("""COMPUTED_VALUE"""),"105716352693")</f>
        <v>105716352693</v>
      </c>
      <c r="I391" s="2" t="str">
        <f ca="1">IFERROR(__xludf.DUMMYFUNCTION("""COMPUTED_VALUE"""),"Giàng Khánh Nguyệt ")</f>
        <v xml:space="preserve">Giàng Khánh Nguyệt </v>
      </c>
      <c r="J391" s="3" t="str">
        <f ca="1">IFERROR(__xludf.DUMMYFUNCTION("""COMPUTED_VALUE"""),"0376913989")</f>
        <v>0376913989</v>
      </c>
      <c r="K391" s="2" t="str">
        <f ca="1">IFERROR(__xludf.DUMMYFUNCTION("""COMPUTED_VALUE"""),"1738941143705")</f>
        <v>1738941143705</v>
      </c>
    </row>
    <row r="392" spans="1:11" ht="12.45">
      <c r="A392" s="2">
        <f ca="1">IFERROR(__xludf.DUMMYFUNCTION("""COMPUTED_VALUE"""),1739570294998)</f>
        <v>1739570294998</v>
      </c>
      <c r="B392" s="2">
        <f ca="1">IFERROR(__xludf.DUMMYFUNCTION("""COMPUTED_VALUE"""),347563260)</f>
        <v>347563260</v>
      </c>
      <c r="C392" s="2" t="str">
        <f ca="1"/>
        <v>0347563260</v>
      </c>
      <c r="D392" s="2" t="str">
        <f ca="1">IFERROR(__xludf.DUMMYFUNCTION("""COMPUTED_VALUE"""),"1770823743462")</f>
        <v>1770823743462</v>
      </c>
      <c r="E392" s="2">
        <f ca="1">IFERROR(__xludf.DUMMYFUNCTION("""COMPUTED_VALUE"""),368061711)</f>
        <v>368061711</v>
      </c>
      <c r="F392" s="2" t="str">
        <f ca="1"/>
        <v>0368061711</v>
      </c>
      <c r="G392" s="2" t="str">
        <f ca="1">IFERROR(__xludf.DUMMYFUNCTION("""COMPUTED_VALUE"""),"105716816611")</f>
        <v>105716816611</v>
      </c>
      <c r="I392" s="2" t="str">
        <f ca="1">IFERROR(__xludf.DUMMYFUNCTION("""COMPUTED_VALUE"""),"Nguyễn Thu Hương")</f>
        <v>Nguyễn Thu Hương</v>
      </c>
      <c r="J392" s="3" t="str">
        <f ca="1">IFERROR(__xludf.DUMMYFUNCTION("""COMPUTED_VALUE"""),"0965008846")</f>
        <v>0965008846</v>
      </c>
      <c r="K392" s="2">
        <f ca="1">IFERROR(__xludf.DUMMYFUNCTION("""COMPUTED_VALUE"""),1739570294998)</f>
        <v>1739570294998</v>
      </c>
    </row>
    <row r="393" spans="1:11" ht="12.45">
      <c r="A393" s="2" t="str">
        <f ca="1">IFERROR(__xludf.DUMMYFUNCTION("""COMPUTED_VALUE"""),"1738941189943")</f>
        <v>1738941189943</v>
      </c>
      <c r="B393" s="2">
        <f ca="1">IFERROR(__xludf.DUMMYFUNCTION("""COMPUTED_VALUE"""),384392433)</f>
        <v>384392433</v>
      </c>
      <c r="C393" s="2" t="str">
        <f ca="1"/>
        <v>0384392433</v>
      </c>
      <c r="D393" s="2" t="str">
        <f ca="1">IFERROR(__xludf.DUMMYFUNCTION("""COMPUTED_VALUE"""),"1770823769297")</f>
        <v>1770823769297</v>
      </c>
      <c r="E393" s="2">
        <f ca="1">IFERROR(__xludf.DUMMYFUNCTION("""COMPUTED_VALUE"""),915866351)</f>
        <v>915866351</v>
      </c>
      <c r="F393" s="2" t="str">
        <f ca="1"/>
        <v>0915866351</v>
      </c>
      <c r="G393" s="2" t="str">
        <f ca="1">IFERROR(__xludf.DUMMYFUNCTION("""COMPUTED_VALUE"""),"105716352836")</f>
        <v>105716352836</v>
      </c>
      <c r="I393" s="2" t="str">
        <f ca="1">IFERROR(__xludf.DUMMYFUNCTION("""COMPUTED_VALUE"""),"Hồ Thảo Nguyên")</f>
        <v>Hồ Thảo Nguyên</v>
      </c>
      <c r="J393" s="3" t="str">
        <f ca="1">IFERROR(__xludf.DUMMYFUNCTION("""COMPUTED_VALUE"""),"0379751113")</f>
        <v>0379751113</v>
      </c>
      <c r="K393" s="2" t="str">
        <f ca="1">IFERROR(__xludf.DUMMYFUNCTION("""COMPUTED_VALUE"""),"1738941189943")</f>
        <v>1738941189943</v>
      </c>
    </row>
    <row r="394" spans="1:11" ht="12.45">
      <c r="A394" s="2" t="str">
        <f ca="1">IFERROR(__xludf.DUMMYFUNCTION("""COMPUTED_VALUE"""),"1738941266631")</f>
        <v>1738941266631</v>
      </c>
      <c r="B394" s="2">
        <f ca="1">IFERROR(__xludf.DUMMYFUNCTION("""COMPUTED_VALUE"""),962943536)</f>
        <v>962943536</v>
      </c>
      <c r="C394" s="2" t="str">
        <f ca="1"/>
        <v>0962943536</v>
      </c>
      <c r="D394" s="2" t="str">
        <f ca="1">IFERROR(__xludf.DUMMYFUNCTION("""COMPUTED_VALUE"""),"1770823790807")</f>
        <v>1770823790807</v>
      </c>
      <c r="E394" s="2">
        <f ca="1">IFERROR(__xludf.DUMMYFUNCTION("""COMPUTED_VALUE"""),359290142)</f>
        <v>359290142</v>
      </c>
      <c r="F394" s="2" t="str">
        <f ca="1"/>
        <v>0359290142</v>
      </c>
      <c r="G394" s="2" t="str">
        <f ca="1">IFERROR(__xludf.DUMMYFUNCTION("""COMPUTED_VALUE"""),"105716352911")</f>
        <v>105716352911</v>
      </c>
      <c r="I394" s="2" t="str">
        <f ca="1">IFERROR(__xludf.DUMMYFUNCTION("""COMPUTED_VALUE"""),"Mai đoàn y khoa ")</f>
        <v xml:space="preserve">Mai đoàn y khoa </v>
      </c>
      <c r="J394" s="3" t="str">
        <f ca="1">IFERROR(__xludf.DUMMYFUNCTION("""COMPUTED_VALUE"""),"0777518052")</f>
        <v>0777518052</v>
      </c>
      <c r="K394" s="2" t="str">
        <f ca="1">IFERROR(__xludf.DUMMYFUNCTION("""COMPUTED_VALUE"""),"1738941266631")</f>
        <v>1738941266631</v>
      </c>
    </row>
    <row r="395" spans="1:11" ht="12.45">
      <c r="A395" s="2" t="str">
        <f ca="1">IFERROR(__xludf.DUMMYFUNCTION("""COMPUTED_VALUE"""),"1738941326363")</f>
        <v>1738941326363</v>
      </c>
      <c r="B395" s="2">
        <f ca="1">IFERROR(__xludf.DUMMYFUNCTION("""COMPUTED_VALUE"""),989972995)</f>
        <v>989972995</v>
      </c>
      <c r="C395" s="2" t="str">
        <f ca="1"/>
        <v>0989972995</v>
      </c>
      <c r="D395" s="2" t="str">
        <f ca="1">IFERROR(__xludf.DUMMYFUNCTION("""COMPUTED_VALUE"""),"1770823824007")</f>
        <v>1770823824007</v>
      </c>
      <c r="E395" s="2">
        <f ca="1">IFERROR(__xludf.DUMMYFUNCTION("""COMPUTED_VALUE"""),979253663)</f>
        <v>979253663</v>
      </c>
      <c r="F395" s="2" t="str">
        <f ca="1"/>
        <v>0979253663</v>
      </c>
      <c r="G395" s="2" t="str">
        <f ca="1">IFERROR(__xludf.DUMMYFUNCTION("""COMPUTED_VALUE"""),"105716353279")</f>
        <v>105716353279</v>
      </c>
      <c r="I395" s="2" t="str">
        <f ca="1">IFERROR(__xludf.DUMMYFUNCTION("""COMPUTED_VALUE"""),"Phan Tuấn Minh ")</f>
        <v xml:space="preserve">Phan Tuấn Minh </v>
      </c>
      <c r="J395" s="3" t="str">
        <f ca="1">IFERROR(__xludf.DUMMYFUNCTION("""COMPUTED_VALUE"""),"0968712047")</f>
        <v>0968712047</v>
      </c>
      <c r="K395" s="2" t="str">
        <f ca="1">IFERROR(__xludf.DUMMYFUNCTION("""COMPUTED_VALUE"""),"1738941326363")</f>
        <v>1738941326363</v>
      </c>
    </row>
    <row r="396" spans="1:11" ht="12.45">
      <c r="A396" s="2" t="str">
        <f ca="1">IFERROR(__xludf.DUMMYFUNCTION("""COMPUTED_VALUE"""),"Không giao sách")</f>
        <v>Không giao sách</v>
      </c>
      <c r="B396" s="2">
        <f ca="1">IFERROR(__xludf.DUMMYFUNCTION("""COMPUTED_VALUE"""),935709096)</f>
        <v>935709096</v>
      </c>
      <c r="C396" s="2" t="str">
        <f ca="1"/>
        <v>0935709096</v>
      </c>
      <c r="D396" s="2" t="str">
        <f ca="1">IFERROR(__xludf.DUMMYFUNCTION("""COMPUTED_VALUE"""),"1770823863778")</f>
        <v>1770823863778</v>
      </c>
      <c r="E396" s="2">
        <f ca="1">IFERROR(__xludf.DUMMYFUNCTION("""COMPUTED_VALUE"""),792865671)</f>
        <v>792865671</v>
      </c>
      <c r="F396" s="2" t="str">
        <f ca="1"/>
        <v>0792865671</v>
      </c>
      <c r="G396" s="2" t="str">
        <f ca="1">IFERROR(__xludf.DUMMYFUNCTION("""COMPUTED_VALUE"""),"105716353444")</f>
        <v>105716353444</v>
      </c>
      <c r="I396" s="2" t="str">
        <f ca="1">IFERROR(__xludf.DUMMYFUNCTION("""COMPUTED_VALUE"""),"Vũ Thùy Linh")</f>
        <v>Vũ Thùy Linh</v>
      </c>
      <c r="J396" s="3" t="str">
        <f ca="1">IFERROR(__xludf.DUMMYFUNCTION("""COMPUTED_VALUE"""),"0857385978")</f>
        <v>0857385978</v>
      </c>
      <c r="K396" s="2" t="str">
        <f ca="1">IFERROR(__xludf.DUMMYFUNCTION("""COMPUTED_VALUE"""),"Không giao sách")</f>
        <v>Không giao sách</v>
      </c>
    </row>
    <row r="397" spans="1:11" ht="12.45">
      <c r="A397" s="2" t="str">
        <f ca="1">IFERROR(__xludf.DUMMYFUNCTION("""COMPUTED_VALUE"""),"1738941366750")</f>
        <v>1738941366750</v>
      </c>
      <c r="B397" s="2">
        <f ca="1">IFERROR(__xludf.DUMMYFUNCTION("""COMPUTED_VALUE"""),393993897)</f>
        <v>393993897</v>
      </c>
      <c r="C397" s="2" t="str">
        <f ca="1"/>
        <v>0393993897</v>
      </c>
      <c r="D397" s="2" t="str">
        <f ca="1">IFERROR(__xludf.DUMMYFUNCTION("""COMPUTED_VALUE"""),"1770823891824")</f>
        <v>1770823891824</v>
      </c>
      <c r="E397" s="2">
        <f ca="1">IFERROR(__xludf.DUMMYFUNCTION("""COMPUTED_VALUE"""),972322531)</f>
        <v>972322531</v>
      </c>
      <c r="F397" s="2" t="str">
        <f ca="1"/>
        <v>0972322531</v>
      </c>
      <c r="G397" s="2" t="str">
        <f ca="1">IFERROR(__xludf.DUMMYFUNCTION("""COMPUTED_VALUE"""),"105716353583")</f>
        <v>105716353583</v>
      </c>
      <c r="I397" s="2" t="str">
        <f ca="1">IFERROR(__xludf.DUMMYFUNCTION("""COMPUTED_VALUE"""),"Phùng Nguyên Ngọc Nhi ")</f>
        <v xml:space="preserve">Phùng Nguyên Ngọc Nhi </v>
      </c>
      <c r="J397" s="3" t="str">
        <f ca="1">IFERROR(__xludf.DUMMYFUNCTION("""COMPUTED_VALUE"""),"0788995979")</f>
        <v>0788995979</v>
      </c>
      <c r="K397" s="2" t="str">
        <f ca="1">IFERROR(__xludf.DUMMYFUNCTION("""COMPUTED_VALUE"""),"1738941366750")</f>
        <v>1738941366750</v>
      </c>
    </row>
    <row r="398" spans="1:11" ht="12.45">
      <c r="A398" s="2" t="str">
        <f ca="1">IFERROR(__xludf.DUMMYFUNCTION("""COMPUTED_VALUE"""),"1738941406774")</f>
        <v>1738941406774</v>
      </c>
      <c r="B398" s="2">
        <f ca="1">IFERROR(__xludf.DUMMYFUNCTION("""COMPUTED_VALUE"""),384563558)</f>
        <v>384563558</v>
      </c>
      <c r="C398" s="2" t="str">
        <f ca="1"/>
        <v>0384563558</v>
      </c>
      <c r="D398" s="2" t="str">
        <f ca="1">IFERROR(__xludf.DUMMYFUNCTION("""COMPUTED_VALUE"""),"1770823914236")</f>
        <v>1770823914236</v>
      </c>
      <c r="E398" s="2">
        <f ca="1">IFERROR(__xludf.DUMMYFUNCTION("""COMPUTED_VALUE"""),776770799)</f>
        <v>776770799</v>
      </c>
      <c r="F398" s="2" t="str">
        <f ca="1"/>
        <v>0776770799</v>
      </c>
      <c r="G398" s="2" t="str">
        <f ca="1">IFERROR(__xludf.DUMMYFUNCTION("""COMPUTED_VALUE"""),"105716353693")</f>
        <v>105716353693</v>
      </c>
      <c r="I398" s="2" t="str">
        <f ca="1">IFERROR(__xludf.DUMMYFUNCTION("""COMPUTED_VALUE"""),"Võ Ánh Dương")</f>
        <v>Võ Ánh Dương</v>
      </c>
      <c r="J398" s="3" t="str">
        <f ca="1">IFERROR(__xludf.DUMMYFUNCTION("""COMPUTED_VALUE"""),"0972117614")</f>
        <v>0972117614</v>
      </c>
      <c r="K398" s="2" t="str">
        <f ca="1">IFERROR(__xludf.DUMMYFUNCTION("""COMPUTED_VALUE"""),"1738941406774")</f>
        <v>1738941406774</v>
      </c>
    </row>
    <row r="399" spans="1:11" ht="12.45">
      <c r="A399" s="2" t="str">
        <f ca="1">IFERROR(__xludf.DUMMYFUNCTION("""COMPUTED_VALUE"""),"1738941465707")</f>
        <v>1738941465707</v>
      </c>
      <c r="B399" s="2">
        <f ca="1">IFERROR(__xludf.DUMMYFUNCTION("""COMPUTED_VALUE"""),373703826)</f>
        <v>373703826</v>
      </c>
      <c r="C399" s="2" t="str">
        <f ca="1"/>
        <v>0373703826</v>
      </c>
      <c r="D399" s="2" t="str">
        <f ca="1">IFERROR(__xludf.DUMMYFUNCTION("""COMPUTED_VALUE"""),"1770823938793")</f>
        <v>1770823938793</v>
      </c>
      <c r="E399" s="2">
        <f ca="1">IFERROR(__xludf.DUMMYFUNCTION("""COMPUTED_VALUE"""),877921780)</f>
        <v>877921780</v>
      </c>
      <c r="F399" s="2" t="str">
        <f ca="1"/>
        <v>0877921780</v>
      </c>
      <c r="G399" s="2" t="str">
        <f ca="1">IFERROR(__xludf.DUMMYFUNCTION("""COMPUTED_VALUE"""),"105716353712")</f>
        <v>105716353712</v>
      </c>
      <c r="I399" s="2" t="str">
        <f ca="1">IFERROR(__xludf.DUMMYFUNCTION("""COMPUTED_VALUE"""),"Võ Trần Khánh Ngọc")</f>
        <v>Võ Trần Khánh Ngọc</v>
      </c>
      <c r="J399" s="3" t="str">
        <f ca="1">IFERROR(__xludf.DUMMYFUNCTION("""COMPUTED_VALUE"""),"0934090722")</f>
        <v>0934090722</v>
      </c>
      <c r="K399" s="2" t="str">
        <f ca="1">IFERROR(__xludf.DUMMYFUNCTION("""COMPUTED_VALUE"""),"1738941465707")</f>
        <v>1738941465707</v>
      </c>
    </row>
    <row r="400" spans="1:11" ht="12.45">
      <c r="A400" s="2" t="str">
        <f ca="1">IFERROR(__xludf.DUMMYFUNCTION("""COMPUTED_VALUE"""),"1738941506864")</f>
        <v>1738941506864</v>
      </c>
      <c r="B400" s="2">
        <f ca="1">IFERROR(__xludf.DUMMYFUNCTION("""COMPUTED_VALUE"""),782295923)</f>
        <v>782295923</v>
      </c>
      <c r="C400" s="2" t="str">
        <f ca="1"/>
        <v>0782295923</v>
      </c>
      <c r="D400" s="2" t="str">
        <f ca="1">IFERROR(__xludf.DUMMYFUNCTION("""COMPUTED_VALUE"""),"1770824013829")</f>
        <v>1770824013829</v>
      </c>
      <c r="E400" s="2">
        <f ca="1">IFERROR(__xludf.DUMMYFUNCTION("""COMPUTED_VALUE"""),328070460)</f>
        <v>328070460</v>
      </c>
      <c r="F400" s="2" t="str">
        <f ca="1"/>
        <v>0328070460</v>
      </c>
      <c r="G400" s="2" t="str">
        <f ca="1">IFERROR(__xludf.DUMMYFUNCTION("""COMPUTED_VALUE"""),"105716353828")</f>
        <v>105716353828</v>
      </c>
      <c r="I400" s="2" t="str">
        <f ca="1">IFERROR(__xludf.DUMMYFUNCTION("""COMPUTED_VALUE"""),"Mã Phương Như ")</f>
        <v xml:space="preserve">Mã Phương Như </v>
      </c>
      <c r="J400" s="3" t="str">
        <f ca="1">IFERROR(__xludf.DUMMYFUNCTION("""COMPUTED_VALUE"""),"0937140286")</f>
        <v>0937140286</v>
      </c>
      <c r="K400" s="2" t="str">
        <f ca="1">IFERROR(__xludf.DUMMYFUNCTION("""COMPUTED_VALUE"""),"1738941506864")</f>
        <v>1738941506864</v>
      </c>
    </row>
    <row r="401" spans="1:11" ht="12.45">
      <c r="A401" s="2" t="str">
        <f ca="1">IFERROR(__xludf.DUMMYFUNCTION("""COMPUTED_VALUE"""),"1738941558135")</f>
        <v>1738941558135</v>
      </c>
      <c r="B401" s="2">
        <f ca="1">IFERROR(__xludf.DUMMYFUNCTION("""COMPUTED_VALUE"""),913234188)</f>
        <v>913234188</v>
      </c>
      <c r="C401" s="2" t="str">
        <f ca="1"/>
        <v>0913234188</v>
      </c>
      <c r="D401" s="2" t="str">
        <f ca="1">IFERROR(__xludf.DUMMYFUNCTION("""COMPUTED_VALUE"""),"1770824046370")</f>
        <v>1770824046370</v>
      </c>
      <c r="E401" s="2">
        <f ca="1">IFERROR(__xludf.DUMMYFUNCTION("""COMPUTED_VALUE"""),354754827)</f>
        <v>354754827</v>
      </c>
      <c r="F401" s="2" t="str">
        <f ca="1"/>
        <v>0354754827</v>
      </c>
      <c r="G401" s="2" t="str">
        <f ca="1">IFERROR(__xludf.DUMMYFUNCTION("""COMPUTED_VALUE"""),"105716353996")</f>
        <v>105716353996</v>
      </c>
      <c r="I401" s="2" t="str">
        <f ca="1">IFERROR(__xludf.DUMMYFUNCTION("""COMPUTED_VALUE"""),"Vũ Hằng Ngân")</f>
        <v>Vũ Hằng Ngân</v>
      </c>
      <c r="J401" s="3" t="str">
        <f ca="1">IFERROR(__xludf.DUMMYFUNCTION("""COMPUTED_VALUE"""),"0367394089")</f>
        <v>0367394089</v>
      </c>
      <c r="K401" s="2" t="str">
        <f ca="1">IFERROR(__xludf.DUMMYFUNCTION("""COMPUTED_VALUE"""),"1738941558135")</f>
        <v>1738941558135</v>
      </c>
    </row>
    <row r="402" spans="1:11" ht="12.45">
      <c r="A402" s="2" t="str">
        <f ca="1">IFERROR(__xludf.DUMMYFUNCTION("""COMPUTED_VALUE"""),"1738941595596")</f>
        <v>1738941595596</v>
      </c>
      <c r="B402" s="2">
        <f ca="1">IFERROR(__xludf.DUMMYFUNCTION("""COMPUTED_VALUE"""),828035519)</f>
        <v>828035519</v>
      </c>
      <c r="C402" s="2" t="str">
        <f ca="1"/>
        <v>0828035519</v>
      </c>
      <c r="D402" s="2" t="str">
        <f ca="1">IFERROR(__xludf.DUMMYFUNCTION("""COMPUTED_VALUE"""),"1770824094024")</f>
        <v>1770824094024</v>
      </c>
      <c r="E402" s="2">
        <f ca="1">IFERROR(__xludf.DUMMYFUNCTION("""COMPUTED_VALUE"""),936708582)</f>
        <v>936708582</v>
      </c>
      <c r="F402" s="2" t="str">
        <f ca="1"/>
        <v>0936708582</v>
      </c>
      <c r="G402" s="2" t="str">
        <f ca="1">IFERROR(__xludf.DUMMYFUNCTION("""COMPUTED_VALUE"""),"105716354057")</f>
        <v>105716354057</v>
      </c>
      <c r="I402" s="2" t="str">
        <f ca="1">IFERROR(__xludf.DUMMYFUNCTION("""COMPUTED_VALUE"""),"Huỳnh Long Phú")</f>
        <v>Huỳnh Long Phú</v>
      </c>
      <c r="J402" s="3" t="str">
        <f ca="1">IFERROR(__xludf.DUMMYFUNCTION("""COMPUTED_VALUE"""),"0587576679")</f>
        <v>0587576679</v>
      </c>
      <c r="K402" s="2" t="str">
        <f ca="1">IFERROR(__xludf.DUMMYFUNCTION("""COMPUTED_VALUE"""),"1738941595596")</f>
        <v>1738941595596</v>
      </c>
    </row>
    <row r="403" spans="1:11" ht="12.45">
      <c r="A403" s="2" t="str">
        <f ca="1">IFERROR(__xludf.DUMMYFUNCTION("""COMPUTED_VALUE"""),"1738941625065")</f>
        <v>1738941625065</v>
      </c>
      <c r="B403" s="2">
        <f ca="1">IFERROR(__xludf.DUMMYFUNCTION("""COMPUTED_VALUE"""),817528279)</f>
        <v>817528279</v>
      </c>
      <c r="C403" s="2" t="str">
        <f ca="1"/>
        <v>0817528279</v>
      </c>
      <c r="D403" s="2" t="str">
        <f ca="1">IFERROR(__xludf.DUMMYFUNCTION("""COMPUTED_VALUE"""),"1770824120790")</f>
        <v>1770824120790</v>
      </c>
      <c r="E403" s="2">
        <f ca="1">IFERROR(__xludf.DUMMYFUNCTION("""COMPUTED_VALUE"""),398926588)</f>
        <v>398926588</v>
      </c>
      <c r="F403" s="2" t="str">
        <f ca="1"/>
        <v>0398926588</v>
      </c>
      <c r="G403" s="2" t="str">
        <f ca="1">IFERROR(__xludf.DUMMYFUNCTION("""COMPUTED_VALUE"""),"105716354117")</f>
        <v>105716354117</v>
      </c>
      <c r="I403" s="2" t="str">
        <f ca="1">IFERROR(__xludf.DUMMYFUNCTION("""COMPUTED_VALUE"""),"Nguyễn Ngọc Linh")</f>
        <v>Nguyễn Ngọc Linh</v>
      </c>
      <c r="J403" s="3" t="str">
        <f ca="1">IFERROR(__xludf.DUMMYFUNCTION("""COMPUTED_VALUE"""),"0348092319")</f>
        <v>0348092319</v>
      </c>
      <c r="K403" s="2" t="str">
        <f ca="1">IFERROR(__xludf.DUMMYFUNCTION("""COMPUTED_VALUE"""),"1738941625065")</f>
        <v>1738941625065</v>
      </c>
    </row>
    <row r="404" spans="1:11" ht="12.45">
      <c r="A404" s="2" t="str">
        <f ca="1">IFERROR(__xludf.DUMMYFUNCTION("""COMPUTED_VALUE"""),"1738941663694")</f>
        <v>1738941663694</v>
      </c>
      <c r="B404" s="2">
        <f ca="1">IFERROR(__xludf.DUMMYFUNCTION("""COMPUTED_VALUE"""),949133677)</f>
        <v>949133677</v>
      </c>
      <c r="C404" s="2" t="str">
        <f ca="1"/>
        <v>0949133677</v>
      </c>
      <c r="D404" s="2" t="str">
        <f ca="1">IFERROR(__xludf.DUMMYFUNCTION("""COMPUTED_VALUE"""),"1770824142751")</f>
        <v>1770824142751</v>
      </c>
      <c r="E404" s="2">
        <f ca="1">IFERROR(__xludf.DUMMYFUNCTION("""COMPUTED_VALUE"""),367053988)</f>
        <v>367053988</v>
      </c>
      <c r="F404" s="2" t="str">
        <f ca="1"/>
        <v>0367053988</v>
      </c>
      <c r="G404" s="2" t="str">
        <f ca="1">IFERROR(__xludf.DUMMYFUNCTION("""COMPUTED_VALUE"""),"105716354214")</f>
        <v>105716354214</v>
      </c>
      <c r="I404" s="2" t="str">
        <f ca="1">IFERROR(__xludf.DUMMYFUNCTION("""COMPUTED_VALUE"""),"Nguyễn Thuỳ Dương")</f>
        <v>Nguyễn Thuỳ Dương</v>
      </c>
      <c r="J404" s="3" t="str">
        <f ca="1">IFERROR(__xludf.DUMMYFUNCTION("""COMPUTED_VALUE"""),"0392543905")</f>
        <v>0392543905</v>
      </c>
      <c r="K404" s="2" t="str">
        <f ca="1">IFERROR(__xludf.DUMMYFUNCTION("""COMPUTED_VALUE"""),"1738941663694")</f>
        <v>1738941663694</v>
      </c>
    </row>
    <row r="405" spans="1:11" ht="12.45">
      <c r="A405" s="2" t="str">
        <f ca="1">IFERROR(__xludf.DUMMYFUNCTION("""COMPUTED_VALUE"""),"1738941706398")</f>
        <v>1738941706398</v>
      </c>
      <c r="B405" s="2">
        <f ca="1">IFERROR(__xludf.DUMMYFUNCTION("""COMPUTED_VALUE"""),983850066)</f>
        <v>983850066</v>
      </c>
      <c r="C405" s="2" t="str">
        <f ca="1"/>
        <v>0983850066</v>
      </c>
      <c r="D405" s="2" t="str">
        <f ca="1">IFERROR(__xludf.DUMMYFUNCTION("""COMPUTED_VALUE"""),"1770824162945")</f>
        <v>1770824162945</v>
      </c>
      <c r="E405" s="2">
        <f ca="1">IFERROR(__xludf.DUMMYFUNCTION("""COMPUTED_VALUE"""),384122726)</f>
        <v>384122726</v>
      </c>
      <c r="F405" s="2" t="str">
        <f ca="1"/>
        <v>0384122726</v>
      </c>
      <c r="G405" s="2" t="str">
        <f ca="1">IFERROR(__xludf.DUMMYFUNCTION("""COMPUTED_VALUE"""),"105716354379")</f>
        <v>105716354379</v>
      </c>
      <c r="I405" s="2" t="str">
        <f ca="1">IFERROR(__xludf.DUMMYFUNCTION("""COMPUTED_VALUE"""),"Nguyễn thu hằng ")</f>
        <v xml:space="preserve">Nguyễn thu hằng </v>
      </c>
      <c r="J405" s="3" t="str">
        <f ca="1">IFERROR(__xludf.DUMMYFUNCTION("""COMPUTED_VALUE"""),"0867658321")</f>
        <v>0867658321</v>
      </c>
      <c r="K405" s="2" t="str">
        <f ca="1">IFERROR(__xludf.DUMMYFUNCTION("""COMPUTED_VALUE"""),"1738941706398")</f>
        <v>1738941706398</v>
      </c>
    </row>
    <row r="406" spans="1:11" ht="12.45">
      <c r="A406" s="2" t="str">
        <f ca="1">IFERROR(__xludf.DUMMYFUNCTION("""COMPUTED_VALUE"""),"1738941750283")</f>
        <v>1738941750283</v>
      </c>
      <c r="B406" s="2">
        <f ca="1">IFERROR(__xludf.DUMMYFUNCTION("""COMPUTED_VALUE"""),982502518)</f>
        <v>982502518</v>
      </c>
      <c r="C406" s="2" t="str">
        <f ca="1"/>
        <v>0982502518</v>
      </c>
      <c r="D406" s="2" t="str">
        <f ca="1">IFERROR(__xludf.DUMMYFUNCTION("""COMPUTED_VALUE"""),"1770824185789")</f>
        <v>1770824185789</v>
      </c>
      <c r="E406" s="2">
        <f ca="1">IFERROR(__xludf.DUMMYFUNCTION("""COMPUTED_VALUE"""),912809649)</f>
        <v>912809649</v>
      </c>
      <c r="F406" s="2" t="str">
        <f ca="1"/>
        <v>0912809649</v>
      </c>
      <c r="G406" s="2" t="str">
        <f ca="1">IFERROR(__xludf.DUMMYFUNCTION("""COMPUTED_VALUE"""),"105716354466")</f>
        <v>105716354466</v>
      </c>
      <c r="I406" s="2" t="str">
        <f ca="1">IFERROR(__xludf.DUMMYFUNCTION("""COMPUTED_VALUE"""),"Nguyễn Thị Minh Hiền")</f>
        <v>Nguyễn Thị Minh Hiền</v>
      </c>
      <c r="J406" s="3" t="str">
        <f ca="1">IFERROR(__xludf.DUMMYFUNCTION("""COMPUTED_VALUE"""),"0799487901")</f>
        <v>0799487901</v>
      </c>
      <c r="K406" s="2" t="str">
        <f ca="1">IFERROR(__xludf.DUMMYFUNCTION("""COMPUTED_VALUE"""),"1738941750283")</f>
        <v>1738941750283</v>
      </c>
    </row>
    <row r="407" spans="1:11" ht="12.45">
      <c r="A407" s="2" t="str">
        <f ca="1">IFERROR(__xludf.DUMMYFUNCTION("""COMPUTED_VALUE"""),"1738941800366")</f>
        <v>1738941800366</v>
      </c>
      <c r="B407" s="2">
        <f ca="1">IFERROR(__xludf.DUMMYFUNCTION("""COMPUTED_VALUE"""),976409381)</f>
        <v>976409381</v>
      </c>
      <c r="C407" s="2" t="str">
        <f ca="1"/>
        <v>0976409381</v>
      </c>
      <c r="D407" s="2" t="str">
        <f ca="1">IFERROR(__xludf.DUMMYFUNCTION("""COMPUTED_VALUE"""),"1770824209064")</f>
        <v>1770824209064</v>
      </c>
      <c r="E407" s="2">
        <f ca="1">IFERROR(__xludf.DUMMYFUNCTION("""COMPUTED_VALUE"""),889455007)</f>
        <v>889455007</v>
      </c>
      <c r="F407" s="2" t="str">
        <f ca="1"/>
        <v>0889455007</v>
      </c>
      <c r="G407" s="2" t="str">
        <f ca="1">IFERROR(__xludf.DUMMYFUNCTION("""COMPUTED_VALUE"""),"105716354682")</f>
        <v>105716354682</v>
      </c>
      <c r="I407" s="2" t="str">
        <f ca="1">IFERROR(__xludf.DUMMYFUNCTION("""COMPUTED_VALUE"""),"Đào Lê Bảo Châu")</f>
        <v>Đào Lê Bảo Châu</v>
      </c>
      <c r="J407" s="3" t="str">
        <f ca="1">IFERROR(__xludf.DUMMYFUNCTION("""COMPUTED_VALUE"""),"0915794450")</f>
        <v>0915794450</v>
      </c>
      <c r="K407" s="2" t="str">
        <f ca="1">IFERROR(__xludf.DUMMYFUNCTION("""COMPUTED_VALUE"""),"1738941800366")</f>
        <v>1738941800366</v>
      </c>
    </row>
    <row r="408" spans="1:11" ht="12.45">
      <c r="A408" s="2" t="str">
        <f ca="1">IFERROR(__xludf.DUMMYFUNCTION("""COMPUTED_VALUE"""),"1738941839153")</f>
        <v>1738941839153</v>
      </c>
      <c r="B408" s="2">
        <f ca="1">IFERROR(__xludf.DUMMYFUNCTION("""COMPUTED_VALUE"""),908496399)</f>
        <v>908496399</v>
      </c>
      <c r="C408" s="2" t="str">
        <f ca="1"/>
        <v>0908496399</v>
      </c>
      <c r="D408" s="2" t="str">
        <f ca="1">IFERROR(__xludf.DUMMYFUNCTION("""COMPUTED_VALUE"""),"1770824234848")</f>
        <v>1770824234848</v>
      </c>
      <c r="E408" s="2">
        <f ca="1">IFERROR(__xludf.DUMMYFUNCTION("""COMPUTED_VALUE"""),868393938)</f>
        <v>868393938</v>
      </c>
      <c r="F408" s="2" t="str">
        <f ca="1"/>
        <v>0868393938</v>
      </c>
      <c r="G408" s="2" t="str">
        <f ca="1">IFERROR(__xludf.DUMMYFUNCTION("""COMPUTED_VALUE"""),"105716354868")</f>
        <v>105716354868</v>
      </c>
      <c r="I408" s="2" t="str">
        <f ca="1">IFERROR(__xludf.DUMMYFUNCTION("""COMPUTED_VALUE"""),"Lê Thị Việt Hà")</f>
        <v>Lê Thị Việt Hà</v>
      </c>
      <c r="J408" s="3" t="str">
        <f ca="1">IFERROR(__xludf.DUMMYFUNCTION("""COMPUTED_VALUE"""),"0828177080")</f>
        <v>0828177080</v>
      </c>
      <c r="K408" s="2" t="str">
        <f ca="1">IFERROR(__xludf.DUMMYFUNCTION("""COMPUTED_VALUE"""),"1738941839153")</f>
        <v>1738941839153</v>
      </c>
    </row>
    <row r="409" spans="1:11" ht="12.45">
      <c r="A409" s="2" t="str">
        <f ca="1">IFERROR(__xludf.DUMMYFUNCTION("""COMPUTED_VALUE"""),"1739214157125")</f>
        <v>1739214157125</v>
      </c>
      <c r="B409" s="2">
        <f ca="1">IFERROR(__xludf.DUMMYFUNCTION("""COMPUTED_VALUE"""),797933509)</f>
        <v>797933509</v>
      </c>
      <c r="C409" s="2" t="str">
        <f ca="1"/>
        <v>0797933509</v>
      </c>
      <c r="D409" s="2" t="str">
        <f ca="1">IFERROR(__xludf.DUMMYFUNCTION("""COMPUTED_VALUE"""),"1741655876466")</f>
        <v>1741655876466</v>
      </c>
      <c r="E409" s="2">
        <f ca="1">IFERROR(__xludf.DUMMYFUNCTION("""COMPUTED_VALUE"""),981916287)</f>
        <v>981916287</v>
      </c>
      <c r="F409" s="2" t="str">
        <f ca="1"/>
        <v>0981916287</v>
      </c>
      <c r="G409" s="2" t="str">
        <f ca="1">IFERROR(__xludf.DUMMYFUNCTION("""COMPUTED_VALUE"""),"105716354985")</f>
        <v>105716354985</v>
      </c>
      <c r="I409" s="2" t="str">
        <f ca="1">IFERROR(__xludf.DUMMYFUNCTION("""COMPUTED_VALUE"""),"Nguyễn Thị Trà Giang")</f>
        <v>Nguyễn Thị Trà Giang</v>
      </c>
      <c r="J409" s="3" t="str">
        <f ca="1">IFERROR(__xludf.DUMMYFUNCTION("""COMPUTED_VALUE"""),"0395855418")</f>
        <v>0395855418</v>
      </c>
      <c r="K409" s="2" t="str">
        <f ca="1">IFERROR(__xludf.DUMMYFUNCTION("""COMPUTED_VALUE"""),"1739214157125")</f>
        <v>1739214157125</v>
      </c>
    </row>
    <row r="410" spans="1:11" ht="12.45">
      <c r="A410" s="2" t="str">
        <f ca="1">IFERROR(__xludf.DUMMYFUNCTION("""COMPUTED_VALUE"""),"1739214206969")</f>
        <v>1739214206969</v>
      </c>
      <c r="B410" s="2">
        <f ca="1">IFERROR(__xludf.DUMMYFUNCTION("""COMPUTED_VALUE"""),868112276)</f>
        <v>868112276</v>
      </c>
      <c r="C410" s="2" t="str">
        <f ca="1"/>
        <v>0868112276</v>
      </c>
      <c r="D410" s="2" t="str">
        <f ca="1">IFERROR(__xludf.DUMMYFUNCTION("""COMPUTED_VALUE"""),"1741655953635")</f>
        <v>1741655953635</v>
      </c>
      <c r="E410" s="2">
        <f ca="1">IFERROR(__xludf.DUMMYFUNCTION("""COMPUTED_VALUE"""),822343870)</f>
        <v>822343870</v>
      </c>
      <c r="F410" s="2" t="str">
        <f ca="1"/>
        <v>0822343870</v>
      </c>
      <c r="G410" s="2" t="str">
        <f ca="1">IFERROR(__xludf.DUMMYFUNCTION("""COMPUTED_VALUE"""),"105716355023")</f>
        <v>105716355023</v>
      </c>
      <c r="I410" s="2" t="str">
        <f ca="1">IFERROR(__xludf.DUMMYFUNCTION("""COMPUTED_VALUE"""),"Trần Khánh Nguyên ")</f>
        <v xml:space="preserve">Trần Khánh Nguyên </v>
      </c>
      <c r="J410" s="3" t="str">
        <f ca="1">IFERROR(__xludf.DUMMYFUNCTION("""COMPUTED_VALUE"""),"0366719585")</f>
        <v>0366719585</v>
      </c>
      <c r="K410" s="2" t="str">
        <f ca="1">IFERROR(__xludf.DUMMYFUNCTION("""COMPUTED_VALUE"""),"1739214206969")</f>
        <v>1739214206969</v>
      </c>
    </row>
    <row r="411" spans="1:11" ht="12.45">
      <c r="A411" s="2" t="str">
        <f ca="1">IFERROR(__xludf.DUMMYFUNCTION("""COMPUTED_VALUE"""),"1739214247017")</f>
        <v>1739214247017</v>
      </c>
      <c r="B411" s="2">
        <f ca="1">IFERROR(__xludf.DUMMYFUNCTION("""COMPUTED_VALUE"""),334585444)</f>
        <v>334585444</v>
      </c>
      <c r="C411" s="2" t="str">
        <f ca="1"/>
        <v>0334585444</v>
      </c>
      <c r="D411" s="2" t="str">
        <f ca="1">IFERROR(__xludf.DUMMYFUNCTION("""COMPUTED_VALUE"""),"1741655997684")</f>
        <v>1741655997684</v>
      </c>
      <c r="E411" s="2">
        <f ca="1">IFERROR(__xludf.DUMMYFUNCTION("""COMPUTED_VALUE"""),968452780)</f>
        <v>968452780</v>
      </c>
      <c r="F411" s="2" t="str">
        <f ca="1"/>
        <v>0968452780</v>
      </c>
      <c r="G411" s="2" t="str">
        <f ca="1">IFERROR(__xludf.DUMMYFUNCTION("""COMPUTED_VALUE"""),"105716355192")</f>
        <v>105716355192</v>
      </c>
      <c r="I411" s="2" t="str">
        <f ca="1">IFERROR(__xludf.DUMMYFUNCTION("""COMPUTED_VALUE"""),"Ngô Thanh Hiền")</f>
        <v>Ngô Thanh Hiền</v>
      </c>
      <c r="J411" s="3" t="str">
        <f ca="1">IFERROR(__xludf.DUMMYFUNCTION("""COMPUTED_VALUE"""),"0387770205")</f>
        <v>0387770205</v>
      </c>
      <c r="K411" s="2" t="str">
        <f ca="1">IFERROR(__xludf.DUMMYFUNCTION("""COMPUTED_VALUE"""),"1739214247017")</f>
        <v>1739214247017</v>
      </c>
    </row>
    <row r="412" spans="1:11" ht="12.45">
      <c r="A412" s="2" t="str">
        <f ca="1">IFERROR(__xludf.DUMMYFUNCTION("""COMPUTED_VALUE"""),"Không giao sách")</f>
        <v>Không giao sách</v>
      </c>
      <c r="B412" s="2">
        <f ca="1">IFERROR(__xludf.DUMMYFUNCTION("""COMPUTED_VALUE"""),911425642)</f>
        <v>911425642</v>
      </c>
      <c r="C412" s="2" t="str">
        <f ca="1"/>
        <v>0911425642</v>
      </c>
      <c r="D412" s="2" t="str">
        <f ca="1">IFERROR(__xludf.DUMMYFUNCTION("""COMPUTED_VALUE"""),"1741656089825")</f>
        <v>1741656089825</v>
      </c>
      <c r="E412" s="2">
        <f ca="1">IFERROR(__xludf.DUMMYFUNCTION("""COMPUTED_VALUE"""),987613539)</f>
        <v>987613539</v>
      </c>
      <c r="F412" s="2" t="str">
        <f ca="1"/>
        <v>0987613539</v>
      </c>
      <c r="G412" s="2" t="str">
        <f ca="1">IFERROR(__xludf.DUMMYFUNCTION("""COMPUTED_VALUE"""),"105716355238")</f>
        <v>105716355238</v>
      </c>
      <c r="I412" s="2" t="str">
        <f ca="1">IFERROR(__xludf.DUMMYFUNCTION("""COMPUTED_VALUE"""),"Trịnh Phương Linh ")</f>
        <v xml:space="preserve">Trịnh Phương Linh </v>
      </c>
      <c r="J412" s="3" t="str">
        <f ca="1">IFERROR(__xludf.DUMMYFUNCTION("""COMPUTED_VALUE"""),"0969209966")</f>
        <v>0969209966</v>
      </c>
      <c r="K412" s="2" t="str">
        <f ca="1">IFERROR(__xludf.DUMMYFUNCTION("""COMPUTED_VALUE"""),"Không giao sách")</f>
        <v>Không giao sách</v>
      </c>
    </row>
    <row r="413" spans="1:11" ht="12.45">
      <c r="A413" s="2" t="str">
        <f ca="1">IFERROR(__xludf.DUMMYFUNCTION("""COMPUTED_VALUE"""),"1739214286740")</f>
        <v>1739214286740</v>
      </c>
      <c r="B413" s="2">
        <f ca="1">IFERROR(__xludf.DUMMYFUNCTION("""COMPUTED_VALUE"""),862992780)</f>
        <v>862992780</v>
      </c>
      <c r="C413" s="2" t="str">
        <f ca="1"/>
        <v>0862992780</v>
      </c>
      <c r="D413" s="2" t="str">
        <f ca="1">IFERROR(__xludf.DUMMYFUNCTION("""COMPUTED_VALUE"""),"1741656134134")</f>
        <v>1741656134134</v>
      </c>
      <c r="E413" s="2">
        <f ca="1">IFERROR(__xludf.DUMMYFUNCTION("""COMPUTED_VALUE"""),977897928)</f>
        <v>977897928</v>
      </c>
      <c r="F413" s="2" t="str">
        <f ca="1"/>
        <v>0977897928</v>
      </c>
      <c r="G413" s="2" t="str">
        <f ca="1">IFERROR(__xludf.DUMMYFUNCTION("""COMPUTED_VALUE"""),"105716355344")</f>
        <v>105716355344</v>
      </c>
      <c r="I413" s="2" t="str">
        <f ca="1">IFERROR(__xludf.DUMMYFUNCTION("""COMPUTED_VALUE"""),"Cầm Thị Gia Minh")</f>
        <v>Cầm Thị Gia Minh</v>
      </c>
      <c r="J413" s="3" t="str">
        <f ca="1">IFERROR(__xludf.DUMMYFUNCTION("""COMPUTED_VALUE"""),"0368061711")</f>
        <v>0368061711</v>
      </c>
      <c r="K413" s="2" t="str">
        <f ca="1">IFERROR(__xludf.DUMMYFUNCTION("""COMPUTED_VALUE"""),"1739214286740")</f>
        <v>1739214286740</v>
      </c>
    </row>
    <row r="414" spans="1:11" ht="12.45">
      <c r="A414" s="2" t="str">
        <f ca="1">IFERROR(__xludf.DUMMYFUNCTION("""COMPUTED_VALUE"""),"1739214331961")</f>
        <v>1739214331961</v>
      </c>
      <c r="B414" s="2">
        <f ca="1">IFERROR(__xludf.DUMMYFUNCTION("""COMPUTED_VALUE"""),333632182)</f>
        <v>333632182</v>
      </c>
      <c r="C414" s="2" t="str">
        <f ca="1"/>
        <v>0333632182</v>
      </c>
      <c r="D414" s="2" t="str">
        <f ca="1">IFERROR(__xludf.DUMMYFUNCTION("""COMPUTED_VALUE"""),"1741656179753")</f>
        <v>1741656179753</v>
      </c>
      <c r="E414" s="2">
        <f ca="1">IFERROR(__xludf.DUMMYFUNCTION("""COMPUTED_VALUE"""),984050639)</f>
        <v>984050639</v>
      </c>
      <c r="F414" s="2" t="str">
        <f ca="1"/>
        <v>0984050639</v>
      </c>
      <c r="G414" s="2" t="str">
        <f ca="1">IFERROR(__xludf.DUMMYFUNCTION("""COMPUTED_VALUE"""),"105716355464")</f>
        <v>105716355464</v>
      </c>
      <c r="I414" s="2" t="str">
        <f ca="1">IFERROR(__xludf.DUMMYFUNCTION("""COMPUTED_VALUE"""),"Phạm Kiều Vy")</f>
        <v>Phạm Kiều Vy</v>
      </c>
      <c r="J414" s="3" t="str">
        <f ca="1">IFERROR(__xludf.DUMMYFUNCTION("""COMPUTED_VALUE"""),"0328865901")</f>
        <v>0328865901</v>
      </c>
      <c r="K414" s="2" t="str">
        <f ca="1">IFERROR(__xludf.DUMMYFUNCTION("""COMPUTED_VALUE"""),"1739214331961")</f>
        <v>1739214331961</v>
      </c>
    </row>
    <row r="415" spans="1:11" ht="12.45">
      <c r="A415" s="2" t="str">
        <f ca="1">IFERROR(__xludf.DUMMYFUNCTION("""COMPUTED_VALUE"""),"1739214395325")</f>
        <v>1739214395325</v>
      </c>
      <c r="B415" s="2">
        <f ca="1">IFERROR(__xludf.DUMMYFUNCTION("""COMPUTED_VALUE"""),862112093)</f>
        <v>862112093</v>
      </c>
      <c r="C415" s="2" t="str">
        <f ca="1"/>
        <v>0862112093</v>
      </c>
      <c r="D415" s="2">
        <f ca="1">IFERROR(__xludf.DUMMYFUNCTION("""COMPUTED_VALUE"""),1742175658297)</f>
        <v>1742175658297</v>
      </c>
      <c r="E415" s="2">
        <f ca="1">IFERROR(__xludf.DUMMYFUNCTION("""COMPUTED_VALUE"""),973824792)</f>
        <v>973824792</v>
      </c>
      <c r="F415" s="2" t="str">
        <f ca="1"/>
        <v>0973824792</v>
      </c>
      <c r="G415" s="2" t="str">
        <f ca="1">IFERROR(__xludf.DUMMYFUNCTION("""COMPUTED_VALUE"""),"105716355533")</f>
        <v>105716355533</v>
      </c>
      <c r="I415" s="2" t="str">
        <f ca="1">IFERROR(__xludf.DUMMYFUNCTION("""COMPUTED_VALUE"""),"Nguyễn Hồng Phúc")</f>
        <v>Nguyễn Hồng Phúc</v>
      </c>
      <c r="J415" s="3" t="str">
        <f ca="1">IFERROR(__xludf.DUMMYFUNCTION("""COMPUTED_VALUE"""),"0383885107")</f>
        <v>0383885107</v>
      </c>
      <c r="K415" s="2" t="str">
        <f ca="1">IFERROR(__xludf.DUMMYFUNCTION("""COMPUTED_VALUE"""),"1739214395325")</f>
        <v>1739214395325</v>
      </c>
    </row>
    <row r="416" spans="1:11" ht="12.45">
      <c r="A416" s="2" t="str">
        <f ca="1">IFERROR(__xludf.DUMMYFUNCTION("""COMPUTED_VALUE"""),"1739214447523")</f>
        <v>1739214447523</v>
      </c>
      <c r="B416" s="2">
        <f ca="1">IFERROR(__xludf.DUMMYFUNCTION("""COMPUTED_VALUE"""),795668890)</f>
        <v>795668890</v>
      </c>
      <c r="C416" s="2" t="str">
        <f ca="1"/>
        <v>0795668890</v>
      </c>
      <c r="D416" s="2" t="str">
        <f ca="1">IFERROR(__xludf.DUMMYFUNCTION("""COMPUTED_VALUE"""),"1741656223697")</f>
        <v>1741656223697</v>
      </c>
      <c r="E416" s="2">
        <f ca="1">IFERROR(__xludf.DUMMYFUNCTION("""COMPUTED_VALUE"""),334184133)</f>
        <v>334184133</v>
      </c>
      <c r="F416" s="2" t="str">
        <f ca="1"/>
        <v>0334184133</v>
      </c>
      <c r="G416" s="2" t="str">
        <f ca="1">IFERROR(__xludf.DUMMYFUNCTION("""COMPUTED_VALUE"""),"105716355688")</f>
        <v>105716355688</v>
      </c>
      <c r="I416" s="2" t="str">
        <f ca="1">IFERROR(__xludf.DUMMYFUNCTION("""COMPUTED_VALUE"""),"Nguyễn Trúc Song My ")</f>
        <v xml:space="preserve">Nguyễn Trúc Song My </v>
      </c>
      <c r="J416" s="3" t="str">
        <f ca="1">IFERROR(__xludf.DUMMYFUNCTION("""COMPUTED_VALUE"""),"0869244410")</f>
        <v>0869244410</v>
      </c>
      <c r="K416" s="2" t="str">
        <f ca="1">IFERROR(__xludf.DUMMYFUNCTION("""COMPUTED_VALUE"""),"1739214447523")</f>
        <v>1739214447523</v>
      </c>
    </row>
    <row r="417" spans="1:11" ht="12.45">
      <c r="A417" s="2" t="str">
        <f ca="1">IFERROR(__xludf.DUMMYFUNCTION("""COMPUTED_VALUE"""),"1739214478769")</f>
        <v>1739214478769</v>
      </c>
      <c r="B417" s="2">
        <f ca="1">IFERROR(__xludf.DUMMYFUNCTION("""COMPUTED_VALUE"""),913883902)</f>
        <v>913883902</v>
      </c>
      <c r="C417" s="2" t="str">
        <f ca="1"/>
        <v>0913883902</v>
      </c>
      <c r="D417" s="2" t="str">
        <f ca="1">IFERROR(__xludf.DUMMYFUNCTION("""COMPUTED_VALUE"""),"1741656280217")</f>
        <v>1741656280217</v>
      </c>
      <c r="E417" s="2">
        <f ca="1">IFERROR(__xludf.DUMMYFUNCTION("""COMPUTED_VALUE"""),393304152)</f>
        <v>393304152</v>
      </c>
      <c r="F417" s="2" t="str">
        <f ca="1"/>
        <v>0393304152</v>
      </c>
      <c r="G417" s="2" t="str">
        <f ca="1">IFERROR(__xludf.DUMMYFUNCTION("""COMPUTED_VALUE"""),"105716355739")</f>
        <v>105716355739</v>
      </c>
      <c r="I417" s="2" t="str">
        <f ca="1">IFERROR(__xludf.DUMMYFUNCTION("""COMPUTED_VALUE"""),"Nguyễn Ngọc Mai Trâm ")</f>
        <v xml:space="preserve">Nguyễn Ngọc Mai Trâm </v>
      </c>
      <c r="J417" s="3" t="str">
        <f ca="1">IFERROR(__xludf.DUMMYFUNCTION("""COMPUTED_VALUE"""),"0777861730")</f>
        <v>0777861730</v>
      </c>
      <c r="K417" s="2" t="str">
        <f ca="1">IFERROR(__xludf.DUMMYFUNCTION("""COMPUTED_VALUE"""),"1739214478769")</f>
        <v>1739214478769</v>
      </c>
    </row>
    <row r="418" spans="1:11" ht="12.45">
      <c r="A418" s="2" t="str">
        <f ca="1">IFERROR(__xludf.DUMMYFUNCTION("""COMPUTED_VALUE"""),"1739214528947")</f>
        <v>1739214528947</v>
      </c>
      <c r="B418" s="2">
        <f ca="1">IFERROR(__xludf.DUMMYFUNCTION("""COMPUTED_VALUE"""),345237398)</f>
        <v>345237398</v>
      </c>
      <c r="C418" s="2" t="str">
        <f ca="1"/>
        <v>0345237398</v>
      </c>
      <c r="D418" s="2" t="str">
        <f ca="1">IFERROR(__xludf.DUMMYFUNCTION("""COMPUTED_VALUE"""),"1741656326090")</f>
        <v>1741656326090</v>
      </c>
      <c r="E418" s="2">
        <f ca="1">IFERROR(__xludf.DUMMYFUNCTION("""COMPUTED_VALUE"""),343092307)</f>
        <v>343092307</v>
      </c>
      <c r="F418" s="2" t="str">
        <f ca="1"/>
        <v>0343092307</v>
      </c>
      <c r="G418" s="2" t="str">
        <f ca="1">IFERROR(__xludf.DUMMYFUNCTION("""COMPUTED_VALUE"""),"105716355945")</f>
        <v>105716355945</v>
      </c>
      <c r="I418" s="2" t="str">
        <f ca="1">IFERROR(__xludf.DUMMYFUNCTION("""COMPUTED_VALUE"""),"Nguyễn Cao Khánh Linh")</f>
        <v>Nguyễn Cao Khánh Linh</v>
      </c>
      <c r="J418" s="3" t="str">
        <f ca="1">IFERROR(__xludf.DUMMYFUNCTION("""COMPUTED_VALUE"""),"0363878010")</f>
        <v>0363878010</v>
      </c>
      <c r="K418" s="2" t="str">
        <f ca="1">IFERROR(__xludf.DUMMYFUNCTION("""COMPUTED_VALUE"""),"1739214528947")</f>
        <v>1739214528947</v>
      </c>
    </row>
    <row r="419" spans="1:11" ht="12.45">
      <c r="A419" s="2" t="str">
        <f ca="1">IFERROR(__xludf.DUMMYFUNCTION("""COMPUTED_VALUE"""),"1739214591807")</f>
        <v>1739214591807</v>
      </c>
      <c r="B419" s="2">
        <f ca="1">IFERROR(__xludf.DUMMYFUNCTION("""COMPUTED_VALUE"""),974740388)</f>
        <v>974740388</v>
      </c>
      <c r="C419" s="2" t="str">
        <f ca="1"/>
        <v>0974740388</v>
      </c>
      <c r="D419" s="2" t="str">
        <f ca="1">IFERROR(__xludf.DUMMYFUNCTION("""COMPUTED_VALUE"""),"1741656373124")</f>
        <v>1741656373124</v>
      </c>
      <c r="E419" s="2">
        <f ca="1">IFERROR(__xludf.DUMMYFUNCTION("""COMPUTED_VALUE"""),773676541)</f>
        <v>773676541</v>
      </c>
      <c r="F419" s="2" t="str">
        <f ca="1"/>
        <v>0773676541</v>
      </c>
      <c r="G419" s="2" t="str">
        <f ca="1">IFERROR(__xludf.DUMMYFUNCTION("""COMPUTED_VALUE"""),"105716356024")</f>
        <v>105716356024</v>
      </c>
      <c r="I419" s="2" t="str">
        <f ca="1">IFERROR(__xludf.DUMMYFUNCTION("""COMPUTED_VALUE"""),"Tạ Thị Minh Hiền ")</f>
        <v xml:space="preserve">Tạ Thị Minh Hiền </v>
      </c>
      <c r="J419" s="3" t="str">
        <f ca="1">IFERROR(__xludf.DUMMYFUNCTION("""COMPUTED_VALUE"""),"0975034358")</f>
        <v>0975034358</v>
      </c>
      <c r="K419" s="2" t="str">
        <f ca="1">IFERROR(__xludf.DUMMYFUNCTION("""COMPUTED_VALUE"""),"1739214591807")</f>
        <v>1739214591807</v>
      </c>
    </row>
    <row r="420" spans="1:11" ht="12.45">
      <c r="A420" s="2" t="str">
        <f ca="1">IFERROR(__xludf.DUMMYFUNCTION("""COMPUTED_VALUE"""),"1739214622494")</f>
        <v>1739214622494</v>
      </c>
      <c r="B420" s="2">
        <f ca="1">IFERROR(__xludf.DUMMYFUNCTION("""COMPUTED_VALUE"""),369142006)</f>
        <v>369142006</v>
      </c>
      <c r="C420" s="2" t="str">
        <f ca="1"/>
        <v>0369142006</v>
      </c>
      <c r="D420" s="2" t="str">
        <f ca="1">IFERROR(__xludf.DUMMYFUNCTION("""COMPUTED_VALUE"""),"1741656432558")</f>
        <v>1741656432558</v>
      </c>
      <c r="E420" s="2">
        <f ca="1">IFERROR(__xludf.DUMMYFUNCTION("""COMPUTED_VALUE"""),982048848)</f>
        <v>982048848</v>
      </c>
      <c r="F420" s="2" t="str">
        <f ca="1"/>
        <v>0982048848</v>
      </c>
      <c r="G420" s="2" t="str">
        <f ca="1">IFERROR(__xludf.DUMMYFUNCTION("""COMPUTED_VALUE"""),"105716356185")</f>
        <v>105716356185</v>
      </c>
      <c r="I420" s="2" t="str">
        <f ca="1">IFERROR(__xludf.DUMMYFUNCTION("""COMPUTED_VALUE"""),"Trần Tú Phương")</f>
        <v>Trần Tú Phương</v>
      </c>
      <c r="J420" s="3" t="str">
        <f ca="1">IFERROR(__xludf.DUMMYFUNCTION("""COMPUTED_VALUE"""),"0945566718")</f>
        <v>0945566718</v>
      </c>
      <c r="K420" s="2" t="str">
        <f ca="1">IFERROR(__xludf.DUMMYFUNCTION("""COMPUTED_VALUE"""),"1739214622494")</f>
        <v>1739214622494</v>
      </c>
    </row>
    <row r="421" spans="1:11" ht="12.45">
      <c r="A421" s="2" t="str">
        <f ca="1">IFERROR(__xludf.DUMMYFUNCTION("""COMPUTED_VALUE"""),"1739214651164")</f>
        <v>1739214651164</v>
      </c>
      <c r="B421" s="2">
        <f ca="1">IFERROR(__xludf.DUMMYFUNCTION("""COMPUTED_VALUE"""),345302108)</f>
        <v>345302108</v>
      </c>
      <c r="C421" s="2" t="str">
        <f ca="1"/>
        <v>0345302108</v>
      </c>
      <c r="D421" s="2" t="str">
        <f ca="1">IFERROR(__xludf.DUMMYFUNCTION("""COMPUTED_VALUE"""),"1741656509266")</f>
        <v>1741656509266</v>
      </c>
      <c r="E421" s="2">
        <f ca="1">IFERROR(__xludf.DUMMYFUNCTION("""COMPUTED_VALUE"""),939328181)</f>
        <v>939328181</v>
      </c>
      <c r="F421" s="2" t="str">
        <f ca="1"/>
        <v>0939328181</v>
      </c>
      <c r="G421" s="2" t="str">
        <f ca="1">IFERROR(__xludf.DUMMYFUNCTION("""COMPUTED_VALUE"""),"105716356392")</f>
        <v>105716356392</v>
      </c>
      <c r="I421" s="2" t="str">
        <f ca="1">IFERROR(__xludf.DUMMYFUNCTION("""COMPUTED_VALUE"""),"Ngọc")</f>
        <v>Ngọc</v>
      </c>
      <c r="J421" s="3" t="str">
        <f ca="1">IFERROR(__xludf.DUMMYFUNCTION("""COMPUTED_VALUE"""),"0349553958")</f>
        <v>0349553958</v>
      </c>
      <c r="K421" s="2" t="str">
        <f ca="1">IFERROR(__xludf.DUMMYFUNCTION("""COMPUTED_VALUE"""),"1739214651164")</f>
        <v>1739214651164</v>
      </c>
    </row>
    <row r="422" spans="1:11" ht="12.45">
      <c r="A422" s="2" t="str">
        <f ca="1">IFERROR(__xludf.DUMMYFUNCTION("""COMPUTED_VALUE"""),"1739214682148")</f>
        <v>1739214682148</v>
      </c>
      <c r="B422" s="2">
        <f ca="1">IFERROR(__xludf.DUMMYFUNCTION("""COMPUTED_VALUE"""),963759253)</f>
        <v>963759253</v>
      </c>
      <c r="C422" s="2" t="str">
        <f ca="1"/>
        <v>0963759253</v>
      </c>
      <c r="D422" s="2" t="str">
        <f ca="1">IFERROR(__xludf.DUMMYFUNCTION("""COMPUTED_VALUE"""),"1741656559691")</f>
        <v>1741656559691</v>
      </c>
      <c r="E422" s="2">
        <f ca="1">IFERROR(__xludf.DUMMYFUNCTION("""COMPUTED_VALUE"""),582150817)</f>
        <v>582150817</v>
      </c>
      <c r="F422" s="2" t="str">
        <f ca="1"/>
        <v>0582150817</v>
      </c>
      <c r="G422" s="2" t="str">
        <f ca="1">IFERROR(__xludf.DUMMYFUNCTION("""COMPUTED_VALUE"""),"105716356426")</f>
        <v>105716356426</v>
      </c>
      <c r="I422" s="2" t="str">
        <f ca="1">IFERROR(__xludf.DUMMYFUNCTION("""COMPUTED_VALUE"""),"Phan Thị Ngọc Hân")</f>
        <v>Phan Thị Ngọc Hân</v>
      </c>
      <c r="J422" s="3" t="str">
        <f ca="1">IFERROR(__xludf.DUMMYFUNCTION("""COMPUTED_VALUE"""),"0394415239")</f>
        <v>0394415239</v>
      </c>
      <c r="K422" s="2" t="str">
        <f ca="1">IFERROR(__xludf.DUMMYFUNCTION("""COMPUTED_VALUE"""),"1739214682148")</f>
        <v>1739214682148</v>
      </c>
    </row>
    <row r="423" spans="1:11" ht="12.45">
      <c r="A423" s="2" t="str">
        <f ca="1">IFERROR(__xludf.DUMMYFUNCTION("""COMPUTED_VALUE"""),"1739214714724")</f>
        <v>1739214714724</v>
      </c>
      <c r="B423" s="2">
        <f ca="1">IFERROR(__xludf.DUMMYFUNCTION("""COMPUTED_VALUE"""),327520332)</f>
        <v>327520332</v>
      </c>
      <c r="C423" s="2" t="str">
        <f ca="1"/>
        <v>0327520332</v>
      </c>
      <c r="D423" s="2" t="str">
        <f ca="1">IFERROR(__xludf.DUMMYFUNCTION("""COMPUTED_VALUE"""),"1741656612653")</f>
        <v>1741656612653</v>
      </c>
      <c r="E423" s="2">
        <f ca="1">IFERROR(__xludf.DUMMYFUNCTION("""COMPUTED_VALUE"""),377926706)</f>
        <v>377926706</v>
      </c>
      <c r="F423" s="2" t="str">
        <f ca="1"/>
        <v>0377926706</v>
      </c>
      <c r="G423" s="2" t="str">
        <f ca="1">IFERROR(__xludf.DUMMYFUNCTION("""COMPUTED_VALUE"""),"105716356599")</f>
        <v>105716356599</v>
      </c>
      <c r="I423" s="2" t="str">
        <f ca="1">IFERROR(__xludf.DUMMYFUNCTION("""COMPUTED_VALUE"""),"Quàng Thị Như Quỳnh")</f>
        <v>Quàng Thị Như Quỳnh</v>
      </c>
      <c r="J423" s="3" t="str">
        <f ca="1">IFERROR(__xludf.DUMMYFUNCTION("""COMPUTED_VALUE"""),"0865930198")</f>
        <v>0865930198</v>
      </c>
      <c r="K423" s="2" t="str">
        <f ca="1">IFERROR(__xludf.DUMMYFUNCTION("""COMPUTED_VALUE"""),"1739214714724")</f>
        <v>1739214714724</v>
      </c>
    </row>
    <row r="424" spans="1:11" ht="12.45">
      <c r="A424" s="2">
        <f ca="1">IFERROR(__xludf.DUMMYFUNCTION("""COMPUTED_VALUE"""),1739570362145)</f>
        <v>1739570362145</v>
      </c>
      <c r="B424" s="2">
        <f ca="1">IFERROR(__xludf.DUMMYFUNCTION("""COMPUTED_VALUE"""),867801596)</f>
        <v>867801596</v>
      </c>
      <c r="C424" s="2" t="str">
        <f ca="1"/>
        <v>0867801596</v>
      </c>
      <c r="D424" s="2" t="str">
        <f ca="1">IFERROR(__xludf.DUMMYFUNCTION("""COMPUTED_VALUE"""),"1741656704253")</f>
        <v>1741656704253</v>
      </c>
      <c r="E424" s="2">
        <f ca="1">IFERROR(__xludf.DUMMYFUNCTION("""COMPUTED_VALUE"""),362773582)</f>
        <v>362773582</v>
      </c>
      <c r="F424" s="2" t="str">
        <f ca="1"/>
        <v>0362773582</v>
      </c>
      <c r="G424" s="2" t="str">
        <f ca="1">IFERROR(__xludf.DUMMYFUNCTION("""COMPUTED_VALUE"""),"105716356629")</f>
        <v>105716356629</v>
      </c>
      <c r="I424" s="2" t="str">
        <f ca="1">IFERROR(__xludf.DUMMYFUNCTION("""COMPUTED_VALUE"""),"Nguyễn Ngọc Phương Vy")</f>
        <v>Nguyễn Ngọc Phương Vy</v>
      </c>
      <c r="J424" s="3" t="str">
        <f ca="1">IFERROR(__xludf.DUMMYFUNCTION("""COMPUTED_VALUE"""),"0784448960")</f>
        <v>0784448960</v>
      </c>
      <c r="K424" s="2">
        <f ca="1">IFERROR(__xludf.DUMMYFUNCTION("""COMPUTED_VALUE"""),1739570362145)</f>
        <v>1739570362145</v>
      </c>
    </row>
    <row r="425" spans="1:11" ht="12.45">
      <c r="A425" s="2" t="str">
        <f ca="1">IFERROR(__xludf.DUMMYFUNCTION("""COMPUTED_VALUE"""),"1739214759970")</f>
        <v>1739214759970</v>
      </c>
      <c r="B425" s="2">
        <f ca="1">IFERROR(__xludf.DUMMYFUNCTION("""COMPUTED_VALUE"""),975777630)</f>
        <v>975777630</v>
      </c>
      <c r="C425" s="2" t="str">
        <f ca="1"/>
        <v>0975777630</v>
      </c>
      <c r="D425" s="2" t="str">
        <f ca="1">IFERROR(__xludf.DUMMYFUNCTION("""COMPUTED_VALUE"""),"1741656769017")</f>
        <v>1741656769017</v>
      </c>
      <c r="E425" s="2">
        <f ca="1">IFERROR(__xludf.DUMMYFUNCTION("""COMPUTED_VALUE"""),344848802)</f>
        <v>344848802</v>
      </c>
      <c r="F425" s="2" t="str">
        <f ca="1"/>
        <v>0344848802</v>
      </c>
      <c r="G425" s="2" t="str">
        <f ca="1">IFERROR(__xludf.DUMMYFUNCTION("""COMPUTED_VALUE"""),"105716356791")</f>
        <v>105716356791</v>
      </c>
      <c r="I425" s="2" t="str">
        <f ca="1">IFERROR(__xludf.DUMMYFUNCTION("""COMPUTED_VALUE"""),"Nguyễn Thị Kim Tuyền ")</f>
        <v xml:space="preserve">Nguyễn Thị Kim Tuyền </v>
      </c>
      <c r="J425" s="3" t="str">
        <f ca="1">IFERROR(__xludf.DUMMYFUNCTION("""COMPUTED_VALUE"""),"0977488137")</f>
        <v>0977488137</v>
      </c>
      <c r="K425" s="2" t="str">
        <f ca="1">IFERROR(__xludf.DUMMYFUNCTION("""COMPUTED_VALUE"""),"1739214759970")</f>
        <v>1739214759970</v>
      </c>
    </row>
    <row r="426" spans="1:11" ht="12.45">
      <c r="A426" s="2" t="str">
        <f ca="1">IFERROR(__xludf.DUMMYFUNCTION("""COMPUTED_VALUE"""),"1739214796148")</f>
        <v>1739214796148</v>
      </c>
      <c r="B426" s="2">
        <f ca="1">IFERROR(__xludf.DUMMYFUNCTION("""COMPUTED_VALUE"""),908856454)</f>
        <v>908856454</v>
      </c>
      <c r="C426" s="2" t="str">
        <f ca="1"/>
        <v>0908856454</v>
      </c>
      <c r="D426" s="2" t="str">
        <f ca="1">IFERROR(__xludf.DUMMYFUNCTION("""COMPUTED_VALUE"""),"1741656834842")</f>
        <v>1741656834842</v>
      </c>
      <c r="E426" s="2">
        <f ca="1">IFERROR(__xludf.DUMMYFUNCTION("""COMPUTED_VALUE"""),975764656)</f>
        <v>975764656</v>
      </c>
      <c r="F426" s="2" t="str">
        <f ca="1"/>
        <v>0975764656</v>
      </c>
      <c r="G426" s="2" t="str">
        <f ca="1">IFERROR(__xludf.DUMMYFUNCTION("""COMPUTED_VALUE"""),"105716356887")</f>
        <v>105716356887</v>
      </c>
      <c r="I426" s="2" t="str">
        <f ca="1">IFERROR(__xludf.DUMMYFUNCTION("""COMPUTED_VALUE"""),"Cù khả vân khánh")</f>
        <v>Cù khả vân khánh</v>
      </c>
      <c r="J426" s="3" t="str">
        <f ca="1">IFERROR(__xludf.DUMMYFUNCTION("""COMPUTED_VALUE"""),"0355321707")</f>
        <v>0355321707</v>
      </c>
      <c r="K426" s="2" t="str">
        <f ca="1">IFERROR(__xludf.DUMMYFUNCTION("""COMPUTED_VALUE"""),"1739214796148")</f>
        <v>1739214796148</v>
      </c>
    </row>
    <row r="427" spans="1:11" ht="12.45">
      <c r="A427" s="2" t="str">
        <f ca="1">IFERROR(__xludf.DUMMYFUNCTION("""COMPUTED_VALUE"""),"1739214833864")</f>
        <v>1739214833864</v>
      </c>
      <c r="B427" s="2">
        <f ca="1">IFERROR(__xludf.DUMMYFUNCTION("""COMPUTED_VALUE"""),813525189)</f>
        <v>813525189</v>
      </c>
      <c r="C427" s="2" t="str">
        <f ca="1"/>
        <v>0813525189</v>
      </c>
      <c r="D427" s="2" t="str">
        <f ca="1">IFERROR(__xludf.DUMMYFUNCTION("""COMPUTED_VALUE"""),"1741656899214")</f>
        <v>1741656899214</v>
      </c>
      <c r="E427" s="2">
        <f ca="1">IFERROR(__xludf.DUMMYFUNCTION("""COMPUTED_VALUE"""),398787589)</f>
        <v>398787589</v>
      </c>
      <c r="F427" s="2" t="str">
        <f ca="1"/>
        <v>0398787589</v>
      </c>
      <c r="G427" s="2" t="str">
        <f ca="1">IFERROR(__xludf.DUMMYFUNCTION("""COMPUTED_VALUE"""),"105716356949")</f>
        <v>105716356949</v>
      </c>
      <c r="I427" s="2" t="str">
        <f ca="1">IFERROR(__xludf.DUMMYFUNCTION("""COMPUTED_VALUE"""),"Nguyễn Thị Huyền Trang")</f>
        <v>Nguyễn Thị Huyền Trang</v>
      </c>
      <c r="J427" s="3" t="str">
        <f ca="1">IFERROR(__xludf.DUMMYFUNCTION("""COMPUTED_VALUE"""),"0345816256")</f>
        <v>0345816256</v>
      </c>
      <c r="K427" s="2" t="str">
        <f ca="1">IFERROR(__xludf.DUMMYFUNCTION("""COMPUTED_VALUE"""),"1739214833864")</f>
        <v>1739214833864</v>
      </c>
    </row>
    <row r="428" spans="1:11" ht="12.45">
      <c r="A428" s="2" t="str">
        <f ca="1">IFERROR(__xludf.DUMMYFUNCTION("""COMPUTED_VALUE"""),"1739214867342")</f>
        <v>1739214867342</v>
      </c>
      <c r="B428" s="2">
        <f ca="1">IFERROR(__xludf.DUMMYFUNCTION("""COMPUTED_VALUE"""),949461931)</f>
        <v>949461931</v>
      </c>
      <c r="C428" s="2" t="str">
        <f ca="1"/>
        <v>0949461931</v>
      </c>
      <c r="D428" s="2" t="str">
        <f ca="1">IFERROR(__xludf.DUMMYFUNCTION("""COMPUTED_VALUE"""),"1741656956393")</f>
        <v>1741656956393</v>
      </c>
      <c r="E428" s="2">
        <f ca="1">IFERROR(__xludf.DUMMYFUNCTION("""COMPUTED_VALUE"""),398138714)</f>
        <v>398138714</v>
      </c>
      <c r="F428" s="2" t="str">
        <f ca="1"/>
        <v>0398138714</v>
      </c>
      <c r="G428" s="2" t="str">
        <f ca="1">IFERROR(__xludf.DUMMYFUNCTION("""COMPUTED_VALUE"""),"105716357082")</f>
        <v>105716357082</v>
      </c>
      <c r="I428" s="2" t="str">
        <f ca="1">IFERROR(__xludf.DUMMYFUNCTION("""COMPUTED_VALUE"""),"Nguyễn Lê Bảo Vy")</f>
        <v>Nguyễn Lê Bảo Vy</v>
      </c>
      <c r="J428" s="3" t="str">
        <f ca="1">IFERROR(__xludf.DUMMYFUNCTION("""COMPUTED_VALUE"""),"0792271353")</f>
        <v>0792271353</v>
      </c>
      <c r="K428" s="2" t="str">
        <f ca="1">IFERROR(__xludf.DUMMYFUNCTION("""COMPUTED_VALUE"""),"1739214867342")</f>
        <v>1739214867342</v>
      </c>
    </row>
    <row r="429" spans="1:11" ht="12.45">
      <c r="A429" s="2" t="str">
        <f ca="1">IFERROR(__xludf.DUMMYFUNCTION("""COMPUTED_VALUE"""),"1739214901989")</f>
        <v>1739214901989</v>
      </c>
      <c r="B429" s="2">
        <f ca="1">IFERROR(__xludf.DUMMYFUNCTION("""COMPUTED_VALUE"""),376254755)</f>
        <v>376254755</v>
      </c>
      <c r="C429" s="2" t="str">
        <f ca="1"/>
        <v>0376254755</v>
      </c>
      <c r="D429" s="2" t="str">
        <f ca="1">IFERROR(__xludf.DUMMYFUNCTION("""COMPUTED_VALUE"""),"1741657033101")</f>
        <v>1741657033101</v>
      </c>
      <c r="E429" s="2">
        <f ca="1">IFERROR(__xludf.DUMMYFUNCTION("""COMPUTED_VALUE"""),332370353)</f>
        <v>332370353</v>
      </c>
      <c r="F429" s="2" t="str">
        <f ca="1"/>
        <v>0332370353</v>
      </c>
      <c r="G429" s="2" t="str">
        <f ca="1">IFERROR(__xludf.DUMMYFUNCTION("""COMPUTED_VALUE"""),"105716357198")</f>
        <v>105716357198</v>
      </c>
      <c r="I429" s="2" t="str">
        <f ca="1">IFERROR(__xludf.DUMMYFUNCTION("""COMPUTED_VALUE"""),"Huỳnh Phương Như")</f>
        <v>Huỳnh Phương Như</v>
      </c>
      <c r="J429" s="3" t="str">
        <f ca="1">IFERROR(__xludf.DUMMYFUNCTION("""COMPUTED_VALUE"""),"0838132989")</f>
        <v>0838132989</v>
      </c>
      <c r="K429" s="2" t="str">
        <f ca="1">IFERROR(__xludf.DUMMYFUNCTION("""COMPUTED_VALUE"""),"1739214901989")</f>
        <v>1739214901989</v>
      </c>
    </row>
    <row r="430" spans="1:11" ht="12.45">
      <c r="A430" s="2" t="str">
        <f ca="1">IFERROR(__xludf.DUMMYFUNCTION("""COMPUTED_VALUE"""),"1739214936523")</f>
        <v>1739214936523</v>
      </c>
      <c r="B430" s="2">
        <f ca="1">IFERROR(__xludf.DUMMYFUNCTION("""COMPUTED_VALUE"""),936813932)</f>
        <v>936813932</v>
      </c>
      <c r="C430" s="2" t="str">
        <f ca="1"/>
        <v>0936813932</v>
      </c>
      <c r="D430" s="2" t="str">
        <f ca="1">IFERROR(__xludf.DUMMYFUNCTION("""COMPUTED_VALUE"""),"1741657110018")</f>
        <v>1741657110018</v>
      </c>
      <c r="E430" s="2">
        <f ca="1">IFERROR(__xludf.DUMMYFUNCTION("""COMPUTED_VALUE"""),862457811)</f>
        <v>862457811</v>
      </c>
      <c r="F430" s="2" t="str">
        <f ca="1"/>
        <v>0862457811</v>
      </c>
      <c r="G430" s="2" t="str">
        <f ca="1">IFERROR(__xludf.DUMMYFUNCTION("""COMPUTED_VALUE"""),"105716357216")</f>
        <v>105716357216</v>
      </c>
      <c r="I430" s="2" t="str">
        <f ca="1">IFERROR(__xludf.DUMMYFUNCTION("""COMPUTED_VALUE"""),"Bùi Hương Thảo")</f>
        <v>Bùi Hương Thảo</v>
      </c>
      <c r="J430" s="3" t="str">
        <f ca="1">IFERROR(__xludf.DUMMYFUNCTION("""COMPUTED_VALUE"""),"0814427012")</f>
        <v>0814427012</v>
      </c>
      <c r="K430" s="2" t="str">
        <f ca="1">IFERROR(__xludf.DUMMYFUNCTION("""COMPUTED_VALUE"""),"1739214936523")</f>
        <v>1739214936523</v>
      </c>
    </row>
    <row r="431" spans="1:11" ht="12.45">
      <c r="A431" s="2" t="str">
        <f ca="1">IFERROR(__xludf.DUMMYFUNCTION("""COMPUTED_VALUE"""),"1739214982886")</f>
        <v>1739214982886</v>
      </c>
      <c r="B431" s="2">
        <f ca="1">IFERROR(__xludf.DUMMYFUNCTION("""COMPUTED_VALUE"""),865782913)</f>
        <v>865782913</v>
      </c>
      <c r="C431" s="2" t="str">
        <f ca="1"/>
        <v>0865782913</v>
      </c>
      <c r="D431" s="2" t="str">
        <f ca="1">IFERROR(__xludf.DUMMYFUNCTION("""COMPUTED_VALUE"""),"1741657154707")</f>
        <v>1741657154707</v>
      </c>
      <c r="E431" s="2">
        <f ca="1">IFERROR(__xludf.DUMMYFUNCTION("""COMPUTED_VALUE"""),336469455)</f>
        <v>336469455</v>
      </c>
      <c r="F431" s="2" t="str">
        <f ca="1"/>
        <v>0336469455</v>
      </c>
      <c r="G431" s="2" t="str">
        <f ca="1">IFERROR(__xludf.DUMMYFUNCTION("""COMPUTED_VALUE"""),"105716357497")</f>
        <v>105716357497</v>
      </c>
      <c r="I431" s="3" t="str">
        <f ca="1">IFERROR(__xludf.DUMMYFUNCTION("""COMPUTED_VALUE"""),"Văn Ngọc Điệp")</f>
        <v>Văn Ngọc Điệp</v>
      </c>
      <c r="J431" s="3" t="str">
        <f ca="1">IFERROR(__xludf.DUMMYFUNCTION("""COMPUTED_VALUE"""),"0813525189")</f>
        <v>0813525189</v>
      </c>
      <c r="K431" s="2" t="str">
        <f ca="1">IFERROR(__xludf.DUMMYFUNCTION("""COMPUTED_VALUE"""),"1739214982886")</f>
        <v>1739214982886</v>
      </c>
    </row>
    <row r="432" spans="1:11" ht="12.45">
      <c r="A432" s="2" t="str">
        <f ca="1">IFERROR(__xludf.DUMMYFUNCTION("""COMPUTED_VALUE"""),"1739215015350")</f>
        <v>1739215015350</v>
      </c>
      <c r="B432" s="2">
        <f ca="1">IFERROR(__xludf.DUMMYFUNCTION("""COMPUTED_VALUE"""),368756914)</f>
        <v>368756914</v>
      </c>
      <c r="C432" s="2" t="str">
        <f ca="1"/>
        <v>0368756914</v>
      </c>
      <c r="D432" s="2" t="str">
        <f ca="1">IFERROR(__xludf.DUMMYFUNCTION("""COMPUTED_VALUE"""),"1741657241133")</f>
        <v>1741657241133</v>
      </c>
      <c r="E432" s="2">
        <f ca="1">IFERROR(__xludf.DUMMYFUNCTION("""COMPUTED_VALUE"""),339237914)</f>
        <v>339237914</v>
      </c>
      <c r="F432" s="2" t="str">
        <f ca="1"/>
        <v>0339237914</v>
      </c>
      <c r="G432" s="2" t="str">
        <f ca="1">IFERROR(__xludf.DUMMYFUNCTION("""COMPUTED_VALUE"""),"105716357584")</f>
        <v>105716357584</v>
      </c>
      <c r="I432" s="2" t="str">
        <f ca="1">IFERROR(__xludf.DUMMYFUNCTION("""COMPUTED_VALUE"""),"Ngô Thị Bảo Ngân")</f>
        <v>Ngô Thị Bảo Ngân</v>
      </c>
      <c r="J432" s="3" t="str">
        <f ca="1">IFERROR(__xludf.DUMMYFUNCTION("""COMPUTED_VALUE"""),"0796672701")</f>
        <v>0796672701</v>
      </c>
      <c r="K432" s="2" t="str">
        <f ca="1">IFERROR(__xludf.DUMMYFUNCTION("""COMPUTED_VALUE"""),"1739215015350")</f>
        <v>1739215015350</v>
      </c>
    </row>
    <row r="433" spans="1:11" ht="12.45">
      <c r="A433" s="2" t="str">
        <f ca="1">IFERROR(__xludf.DUMMYFUNCTION("""COMPUTED_VALUE"""),"1739215043905")</f>
        <v>1739215043905</v>
      </c>
      <c r="B433" s="2">
        <f ca="1">IFERROR(__xludf.DUMMYFUNCTION("""COMPUTED_VALUE"""),349510903)</f>
        <v>349510903</v>
      </c>
      <c r="C433" s="2" t="str">
        <f ca="1"/>
        <v>0349510903</v>
      </c>
      <c r="D433" s="2" t="str">
        <f ca="1">IFERROR(__xludf.DUMMYFUNCTION("""COMPUTED_VALUE"""),"1741657298743")</f>
        <v>1741657298743</v>
      </c>
      <c r="E433" s="2">
        <f ca="1">IFERROR(__xludf.DUMMYFUNCTION("""COMPUTED_VALUE"""),368667075)</f>
        <v>368667075</v>
      </c>
      <c r="F433" s="2" t="str">
        <f ca="1"/>
        <v>0368667075</v>
      </c>
      <c r="G433" s="2" t="str">
        <f ca="1">IFERROR(__xludf.DUMMYFUNCTION("""COMPUTED_VALUE"""),"105716357665")</f>
        <v>105716357665</v>
      </c>
      <c r="I433" s="2" t="str">
        <f ca="1">IFERROR(__xludf.DUMMYFUNCTION("""COMPUTED_VALUE"""),"mai hiền")</f>
        <v>mai hiền</v>
      </c>
      <c r="J433" s="3" t="str">
        <f ca="1">IFERROR(__xludf.DUMMYFUNCTION("""COMPUTED_VALUE"""),"0384094517")</f>
        <v>0384094517</v>
      </c>
      <c r="K433" s="2" t="str">
        <f ca="1">IFERROR(__xludf.DUMMYFUNCTION("""COMPUTED_VALUE"""),"1739215043905")</f>
        <v>1739215043905</v>
      </c>
    </row>
    <row r="434" spans="1:11" ht="12.45">
      <c r="A434" s="2" t="str">
        <f ca="1">IFERROR(__xludf.DUMMYFUNCTION("""COMPUTED_VALUE"""),"1739215088731")</f>
        <v>1739215088731</v>
      </c>
      <c r="B434" s="2">
        <f ca="1">IFERROR(__xludf.DUMMYFUNCTION("""COMPUTED_VALUE"""),768319095)</f>
        <v>768319095</v>
      </c>
      <c r="C434" s="2" t="str">
        <f ca="1"/>
        <v>0768319095</v>
      </c>
      <c r="D434" s="2">
        <f ca="1">IFERROR(__xludf.DUMMYFUNCTION("""COMPUTED_VALUE"""),1742175710499)</f>
        <v>1742175710499</v>
      </c>
      <c r="E434" s="2">
        <f ca="1">IFERROR(__xludf.DUMMYFUNCTION("""COMPUTED_VALUE"""),334568314)</f>
        <v>334568314</v>
      </c>
      <c r="F434" s="2" t="str">
        <f ca="1"/>
        <v>0334568314</v>
      </c>
      <c r="G434" s="2" t="str">
        <f ca="1">IFERROR(__xludf.DUMMYFUNCTION("""COMPUTED_VALUE"""),"105716810612")</f>
        <v>105716810612</v>
      </c>
      <c r="I434" s="2" t="str">
        <f ca="1">IFERROR(__xludf.DUMMYFUNCTION("""COMPUTED_VALUE"""),"Phạm Ngọc An")</f>
        <v>Phạm Ngọc An</v>
      </c>
      <c r="J434" s="3" t="str">
        <f ca="1">IFERROR(__xludf.DUMMYFUNCTION("""COMPUTED_VALUE"""),"0565707330")</f>
        <v>0565707330</v>
      </c>
      <c r="K434" s="2" t="str">
        <f ca="1">IFERROR(__xludf.DUMMYFUNCTION("""COMPUTED_VALUE"""),"1739215088731")</f>
        <v>1739215088731</v>
      </c>
    </row>
    <row r="435" spans="1:11" ht="12.45">
      <c r="A435" s="2" t="str">
        <f ca="1">IFERROR(__xludf.DUMMYFUNCTION("""COMPUTED_VALUE"""),"1739215117712")</f>
        <v>1739215117712</v>
      </c>
      <c r="B435" s="2">
        <f ca="1">IFERROR(__xludf.DUMMYFUNCTION("""COMPUTED_VALUE"""),962383207)</f>
        <v>962383207</v>
      </c>
      <c r="C435" s="2" t="str">
        <f ca="1"/>
        <v>0962383207</v>
      </c>
      <c r="D435" s="2" t="str">
        <f ca="1">IFERROR(__xludf.DUMMYFUNCTION("""COMPUTED_VALUE"""),"1741657360533")</f>
        <v>1741657360533</v>
      </c>
      <c r="E435" s="2">
        <f ca="1">IFERROR(__xludf.DUMMYFUNCTION("""COMPUTED_VALUE"""),966396261)</f>
        <v>966396261</v>
      </c>
      <c r="F435" s="2" t="str">
        <f ca="1"/>
        <v>0966396261</v>
      </c>
      <c r="G435" s="2" t="str">
        <f ca="1">IFERROR(__xludf.DUMMYFUNCTION("""COMPUTED_VALUE"""),"105716810892")</f>
        <v>105716810892</v>
      </c>
      <c r="I435" s="2" t="str">
        <f ca="1">IFERROR(__xludf.DUMMYFUNCTION("""COMPUTED_VALUE"""),"Dương Ngọc Anh ")</f>
        <v xml:space="preserve">Dương Ngọc Anh </v>
      </c>
      <c r="J435" s="3" t="str">
        <f ca="1">IFERROR(__xludf.DUMMYFUNCTION("""COMPUTED_VALUE"""),"0363805518")</f>
        <v>0363805518</v>
      </c>
      <c r="K435" s="2" t="str">
        <f ca="1">IFERROR(__xludf.DUMMYFUNCTION("""COMPUTED_VALUE"""),"1739215117712")</f>
        <v>1739215117712</v>
      </c>
    </row>
    <row r="436" spans="1:11" ht="12.45">
      <c r="A436" s="2" t="str">
        <f ca="1">IFERROR(__xludf.DUMMYFUNCTION("""COMPUTED_VALUE"""),"1739215146410")</f>
        <v>1739215146410</v>
      </c>
      <c r="B436" s="2">
        <f ca="1">IFERROR(__xludf.DUMMYFUNCTION("""COMPUTED_VALUE"""),981841109)</f>
        <v>981841109</v>
      </c>
      <c r="C436" s="2" t="str">
        <f ca="1"/>
        <v>0981841109</v>
      </c>
      <c r="D436" s="2" t="str">
        <f ca="1">IFERROR(__xludf.DUMMYFUNCTION("""COMPUTED_VALUE"""),"1741657420092")</f>
        <v>1741657420092</v>
      </c>
      <c r="E436" s="2">
        <f ca="1">IFERROR(__xludf.DUMMYFUNCTION("""COMPUTED_VALUE"""),904082416)</f>
        <v>904082416</v>
      </c>
      <c r="F436" s="2" t="str">
        <f ca="1"/>
        <v>0904082416</v>
      </c>
      <c r="G436" s="2" t="str">
        <f ca="1">IFERROR(__xludf.DUMMYFUNCTION("""COMPUTED_VALUE"""),"105716811018")</f>
        <v>105716811018</v>
      </c>
      <c r="I436" s="2" t="str">
        <f ca="1">IFERROR(__xludf.DUMMYFUNCTION("""COMPUTED_VALUE"""),"Nguyễn Mai Anh")</f>
        <v>Nguyễn Mai Anh</v>
      </c>
      <c r="J436" s="3" t="str">
        <f ca="1">IFERROR(__xludf.DUMMYFUNCTION("""COMPUTED_VALUE"""),"0961506045")</f>
        <v>0961506045</v>
      </c>
      <c r="K436" s="2" t="str">
        <f ca="1">IFERROR(__xludf.DUMMYFUNCTION("""COMPUTED_VALUE"""),"1739215146410")</f>
        <v>1739215146410</v>
      </c>
    </row>
    <row r="437" spans="1:11" ht="12.45">
      <c r="A437" s="2" t="str">
        <f ca="1">IFERROR(__xludf.DUMMYFUNCTION("""COMPUTED_VALUE"""),"1739215203295")</f>
        <v>1739215203295</v>
      </c>
      <c r="B437" s="2">
        <f ca="1">IFERROR(__xludf.DUMMYFUNCTION("""COMPUTED_VALUE"""),988032859)</f>
        <v>988032859</v>
      </c>
      <c r="C437" s="2" t="str">
        <f ca="1"/>
        <v>0988032859</v>
      </c>
      <c r="D437" s="2" t="str">
        <f ca="1">IFERROR(__xludf.DUMMYFUNCTION("""COMPUTED_VALUE"""),"1741657497787")</f>
        <v>1741657497787</v>
      </c>
      <c r="E437" s="2">
        <f ca="1">IFERROR(__xludf.DUMMYFUNCTION("""COMPUTED_VALUE"""),902324036)</f>
        <v>902324036</v>
      </c>
      <c r="F437" s="2" t="str">
        <f ca="1"/>
        <v>0902324036</v>
      </c>
      <c r="G437" s="2" t="str">
        <f ca="1">IFERROR(__xludf.DUMMYFUNCTION("""COMPUTED_VALUE"""),"105716811241")</f>
        <v>105716811241</v>
      </c>
      <c r="I437" s="2" t="str">
        <f ca="1">IFERROR(__xludf.DUMMYFUNCTION("""COMPUTED_VALUE"""),"Đỗ Trần Thùy Trâm")</f>
        <v>Đỗ Trần Thùy Trâm</v>
      </c>
      <c r="J437" s="3" t="str">
        <f ca="1">IFERROR(__xludf.DUMMYFUNCTION("""COMPUTED_VALUE"""),"0702471079")</f>
        <v>0702471079</v>
      </c>
      <c r="K437" s="2" t="str">
        <f ca="1">IFERROR(__xludf.DUMMYFUNCTION("""COMPUTED_VALUE"""),"1739215203295")</f>
        <v>1739215203295</v>
      </c>
    </row>
    <row r="438" spans="1:11" ht="12.45">
      <c r="A438" s="2" t="str">
        <f ca="1">IFERROR(__xludf.DUMMYFUNCTION("""COMPUTED_VALUE"""),"1739215275199")</f>
        <v>1739215275199</v>
      </c>
      <c r="B438" s="2">
        <f ca="1">IFERROR(__xludf.DUMMYFUNCTION("""COMPUTED_VALUE"""),912907224)</f>
        <v>912907224</v>
      </c>
      <c r="C438" s="2" t="str">
        <f ca="1"/>
        <v>0912907224</v>
      </c>
      <c r="D438" s="2" t="str">
        <f ca="1">IFERROR(__xludf.DUMMYFUNCTION("""COMPUTED_VALUE"""),"1741657547531")</f>
        <v>1741657547531</v>
      </c>
      <c r="E438" s="2">
        <f ca="1">IFERROR(__xludf.DUMMYFUNCTION("""COMPUTED_VALUE"""),393902343)</f>
        <v>393902343</v>
      </c>
      <c r="F438" s="2" t="str">
        <f ca="1"/>
        <v>0393902343</v>
      </c>
      <c r="G438" s="2" t="str">
        <f ca="1">IFERROR(__xludf.DUMMYFUNCTION("""COMPUTED_VALUE"""),"105716811546")</f>
        <v>105716811546</v>
      </c>
      <c r="I438" s="2" t="str">
        <f ca="1">IFERROR(__xludf.DUMMYFUNCTION("""COMPUTED_VALUE"""),"Nguyễn Ngọc Khả Nhi")</f>
        <v>Nguyễn Ngọc Khả Nhi</v>
      </c>
      <c r="J438" s="3" t="str">
        <f ca="1">IFERROR(__xludf.DUMMYFUNCTION("""COMPUTED_VALUE"""),"0931202848")</f>
        <v>0931202848</v>
      </c>
      <c r="K438" s="2" t="str">
        <f ca="1">IFERROR(__xludf.DUMMYFUNCTION("""COMPUTED_VALUE"""),"1739215275199")</f>
        <v>1739215275199</v>
      </c>
    </row>
    <row r="439" spans="1:11" ht="12.45">
      <c r="A439" s="2" t="str">
        <f ca="1">IFERROR(__xludf.DUMMYFUNCTION("""COMPUTED_VALUE"""),"1739215307748")</f>
        <v>1739215307748</v>
      </c>
      <c r="B439" s="2">
        <f ca="1">IFERROR(__xludf.DUMMYFUNCTION("""COMPUTED_VALUE"""),947407647)</f>
        <v>947407647</v>
      </c>
      <c r="C439" s="2" t="str">
        <f ca="1"/>
        <v>0947407647</v>
      </c>
      <c r="D439" s="2" t="str">
        <f ca="1">IFERROR(__xludf.DUMMYFUNCTION("""COMPUTED_VALUE"""),"1741657598588")</f>
        <v>1741657598588</v>
      </c>
      <c r="E439" s="2">
        <f ca="1">IFERROR(__xludf.DUMMYFUNCTION("""COMPUTED_VALUE"""),868258508)</f>
        <v>868258508</v>
      </c>
      <c r="F439" s="2" t="str">
        <f ca="1"/>
        <v>0868258508</v>
      </c>
      <c r="G439" s="2" t="str">
        <f ca="1">IFERROR(__xludf.DUMMYFUNCTION("""COMPUTED_VALUE"""),"105716811889")</f>
        <v>105716811889</v>
      </c>
      <c r="I439" s="2" t="str">
        <f ca="1">IFERROR(__xludf.DUMMYFUNCTION("""COMPUTED_VALUE"""),"Nguyễn Vũ Thu Hà ")</f>
        <v xml:space="preserve">Nguyễn Vũ Thu Hà </v>
      </c>
      <c r="J439" s="3" t="str">
        <f ca="1">IFERROR(__xludf.DUMMYFUNCTION("""COMPUTED_VALUE"""),"0392316207")</f>
        <v>0392316207</v>
      </c>
      <c r="K439" s="2" t="str">
        <f ca="1">IFERROR(__xludf.DUMMYFUNCTION("""COMPUTED_VALUE"""),"1739215307748")</f>
        <v>1739215307748</v>
      </c>
    </row>
    <row r="440" spans="1:11" ht="12.45">
      <c r="A440" s="2" t="str">
        <f ca="1">IFERROR(__xludf.DUMMYFUNCTION("""COMPUTED_VALUE"""),"1739215339756")</f>
        <v>1739215339756</v>
      </c>
      <c r="B440" s="2">
        <f ca="1">IFERROR(__xludf.DUMMYFUNCTION("""COMPUTED_VALUE"""),911221392)</f>
        <v>911221392</v>
      </c>
      <c r="C440" s="2" t="str">
        <f ca="1"/>
        <v>0911221392</v>
      </c>
      <c r="D440" s="2" t="str">
        <f ca="1">IFERROR(__xludf.DUMMYFUNCTION("""COMPUTED_VALUE"""),"1741657655118")</f>
        <v>1741657655118</v>
      </c>
      <c r="E440" s="2">
        <f ca="1">IFERROR(__xludf.DUMMYFUNCTION("""COMPUTED_VALUE"""),935904105)</f>
        <v>935904105</v>
      </c>
      <c r="F440" s="2" t="str">
        <f ca="1"/>
        <v>0935904105</v>
      </c>
      <c r="G440" s="2" t="str">
        <f ca="1">IFERROR(__xludf.DUMMYFUNCTION("""COMPUTED_VALUE"""),"105716812035")</f>
        <v>105716812035</v>
      </c>
      <c r="I440" s="2" t="str">
        <f ca="1">IFERROR(__xludf.DUMMYFUNCTION("""COMPUTED_VALUE"""),"Hồ Ngọc Hà")</f>
        <v>Hồ Ngọc Hà</v>
      </c>
      <c r="J440" s="3" t="str">
        <f ca="1">IFERROR(__xludf.DUMMYFUNCTION("""COMPUTED_VALUE"""),"0942067560")</f>
        <v>0942067560</v>
      </c>
      <c r="K440" s="2" t="str">
        <f ca="1">IFERROR(__xludf.DUMMYFUNCTION("""COMPUTED_VALUE"""),"1739215339756")</f>
        <v>1739215339756</v>
      </c>
    </row>
    <row r="441" spans="1:11" ht="12.45">
      <c r="A441" s="2" t="str">
        <f ca="1">IFERROR(__xludf.DUMMYFUNCTION("""COMPUTED_VALUE"""),"1739215380827")</f>
        <v>1739215380827</v>
      </c>
      <c r="B441" s="2">
        <f ca="1">IFERROR(__xludf.DUMMYFUNCTION("""COMPUTED_VALUE"""),348781523)</f>
        <v>348781523</v>
      </c>
      <c r="C441" s="2" t="str">
        <f ca="1"/>
        <v>0348781523</v>
      </c>
      <c r="D441" s="2" t="str">
        <f ca="1">IFERROR(__xludf.DUMMYFUNCTION("""COMPUTED_VALUE"""),"1741657694737")</f>
        <v>1741657694737</v>
      </c>
      <c r="E441" s="2">
        <f ca="1">IFERROR(__xludf.DUMMYFUNCTION("""COMPUTED_VALUE"""),868076198)</f>
        <v>868076198</v>
      </c>
      <c r="F441" s="2" t="str">
        <f ca="1"/>
        <v>0868076198</v>
      </c>
      <c r="G441" s="2" t="str">
        <f ca="1">IFERROR(__xludf.DUMMYFUNCTION("""COMPUTED_VALUE"""),"105716812245")</f>
        <v>105716812245</v>
      </c>
      <c r="I441" s="2" t="str">
        <f ca="1">IFERROR(__xludf.DUMMYFUNCTION("""COMPUTED_VALUE"""),"Vũ Thanh Nhàn")</f>
        <v>Vũ Thanh Nhàn</v>
      </c>
      <c r="J441" s="3" t="str">
        <f ca="1">IFERROR(__xludf.DUMMYFUNCTION("""COMPUTED_VALUE"""),"0352361316")</f>
        <v>0352361316</v>
      </c>
      <c r="K441" s="2" t="str">
        <f ca="1">IFERROR(__xludf.DUMMYFUNCTION("""COMPUTED_VALUE"""),"1739215380827")</f>
        <v>1739215380827</v>
      </c>
    </row>
    <row r="442" spans="1:11" ht="12.45">
      <c r="A442" s="2" t="str">
        <f ca="1">IFERROR(__xludf.DUMMYFUNCTION("""COMPUTED_VALUE"""),"1739215422186")</f>
        <v>1739215422186</v>
      </c>
      <c r="B442" s="2">
        <f ca="1">IFERROR(__xludf.DUMMYFUNCTION("""COMPUTED_VALUE"""),762712550)</f>
        <v>762712550</v>
      </c>
      <c r="C442" s="2" t="str">
        <f ca="1"/>
        <v>0762712550</v>
      </c>
      <c r="D442" s="2" t="str">
        <f ca="1">IFERROR(__xludf.DUMMYFUNCTION("""COMPUTED_VALUE"""),"1741657756562")</f>
        <v>1741657756562</v>
      </c>
      <c r="E442" s="2">
        <f ca="1">IFERROR(__xludf.DUMMYFUNCTION("""COMPUTED_VALUE"""),352785128)</f>
        <v>352785128</v>
      </c>
      <c r="F442" s="2" t="str">
        <f ca="1"/>
        <v>0352785128</v>
      </c>
      <c r="G442" s="2" t="str">
        <f ca="1">IFERROR(__xludf.DUMMYFUNCTION("""COMPUTED_VALUE"""),"105716812495")</f>
        <v>105716812495</v>
      </c>
      <c r="I442" s="2" t="str">
        <f ca="1">IFERROR(__xludf.DUMMYFUNCTION("""COMPUTED_VALUE"""),"Phạm Thái Hà")</f>
        <v>Phạm Thái Hà</v>
      </c>
      <c r="J442" s="3" t="str">
        <f ca="1">IFERROR(__xludf.DUMMYFUNCTION("""COMPUTED_VALUE"""),"0395378088")</f>
        <v>0395378088</v>
      </c>
      <c r="K442" s="2" t="str">
        <f ca="1">IFERROR(__xludf.DUMMYFUNCTION("""COMPUTED_VALUE"""),"1739215422186")</f>
        <v>1739215422186</v>
      </c>
    </row>
    <row r="443" spans="1:11" ht="12.45">
      <c r="A443" s="2" t="str">
        <f ca="1">IFERROR(__xludf.DUMMYFUNCTION("""COMPUTED_VALUE"""),"1739215453872")</f>
        <v>1739215453872</v>
      </c>
      <c r="B443" s="2">
        <f ca="1">IFERROR(__xludf.DUMMYFUNCTION("""COMPUTED_VALUE"""),868854448)</f>
        <v>868854448</v>
      </c>
      <c r="C443" s="2" t="str">
        <f ca="1"/>
        <v>0868854448</v>
      </c>
      <c r="D443" s="2" t="str">
        <f ca="1">IFERROR(__xludf.DUMMYFUNCTION("""COMPUTED_VALUE"""),"1741657802769")</f>
        <v>1741657802769</v>
      </c>
      <c r="E443" s="2">
        <f ca="1">IFERROR(__xludf.DUMMYFUNCTION("""COMPUTED_VALUE"""),373017292)</f>
        <v>373017292</v>
      </c>
      <c r="F443" s="2" t="str">
        <f ca="1"/>
        <v>0373017292</v>
      </c>
      <c r="G443" s="2" t="str">
        <f ca="1">IFERROR(__xludf.DUMMYFUNCTION("""COMPUTED_VALUE"""),"105716812762")</f>
        <v>105716812762</v>
      </c>
      <c r="I443" s="2" t="str">
        <f ca="1">IFERROR(__xludf.DUMMYFUNCTION("""COMPUTED_VALUE"""),"Phạm Thị Mai Hoa")</f>
        <v>Phạm Thị Mai Hoa</v>
      </c>
      <c r="J443" s="3" t="str">
        <f ca="1">IFERROR(__xludf.DUMMYFUNCTION("""COMPUTED_VALUE"""),"0708298653")</f>
        <v>0708298653</v>
      </c>
      <c r="K443" s="2" t="str">
        <f ca="1">IFERROR(__xludf.DUMMYFUNCTION("""COMPUTED_VALUE"""),"1739215453872")</f>
        <v>1739215453872</v>
      </c>
    </row>
    <row r="444" spans="1:11" ht="12.45">
      <c r="A444" s="2" t="str">
        <f ca="1">IFERROR(__xludf.DUMMYFUNCTION("""COMPUTED_VALUE"""),"1739215483866")</f>
        <v>1739215483866</v>
      </c>
      <c r="B444" s="2">
        <f ca="1">IFERROR(__xludf.DUMMYFUNCTION("""COMPUTED_VALUE"""),939504476)</f>
        <v>939504476</v>
      </c>
      <c r="C444" s="2" t="str">
        <f ca="1"/>
        <v>0939504476</v>
      </c>
      <c r="D444" s="2" t="str">
        <f ca="1">IFERROR(__xludf.DUMMYFUNCTION("""COMPUTED_VALUE"""),"1741657872722")</f>
        <v>1741657872722</v>
      </c>
      <c r="E444" s="2">
        <f ca="1">IFERROR(__xludf.DUMMYFUNCTION("""COMPUTED_VALUE"""),866173552)</f>
        <v>866173552</v>
      </c>
      <c r="F444" s="2" t="str">
        <f ca="1"/>
        <v>0866173552</v>
      </c>
      <c r="G444" s="2" t="str">
        <f ca="1">IFERROR(__xludf.DUMMYFUNCTION("""COMPUTED_VALUE"""),"105716812919")</f>
        <v>105716812919</v>
      </c>
      <c r="I444" s="2" t="str">
        <f ca="1">IFERROR(__xludf.DUMMYFUNCTION("""COMPUTED_VALUE"""),"Hồ Ngọc Bảo Khánh")</f>
        <v>Hồ Ngọc Bảo Khánh</v>
      </c>
      <c r="J444" s="3" t="str">
        <f ca="1">IFERROR(__xludf.DUMMYFUNCTION("""COMPUTED_VALUE"""),"0399564480")</f>
        <v>0399564480</v>
      </c>
      <c r="K444" s="2" t="str">
        <f ca="1">IFERROR(__xludf.DUMMYFUNCTION("""COMPUTED_VALUE"""),"1739215483866")</f>
        <v>1739215483866</v>
      </c>
    </row>
    <row r="445" spans="1:11" ht="12.45">
      <c r="A445" s="2" t="str">
        <f ca="1">IFERROR(__xludf.DUMMYFUNCTION("""COMPUTED_VALUE"""),"1739215517903")</f>
        <v>1739215517903</v>
      </c>
      <c r="B445" s="2">
        <f ca="1">IFERROR(__xludf.DUMMYFUNCTION("""COMPUTED_VALUE"""),819121008)</f>
        <v>819121008</v>
      </c>
      <c r="C445" s="2" t="str">
        <f ca="1"/>
        <v>0819121008</v>
      </c>
      <c r="D445" s="2" t="str">
        <f ca="1">IFERROR(__xludf.DUMMYFUNCTION("""COMPUTED_VALUE"""),"1741657933711")</f>
        <v>1741657933711</v>
      </c>
      <c r="E445" s="2">
        <f ca="1">IFERROR(__xludf.DUMMYFUNCTION("""COMPUTED_VALUE"""),862470041)</f>
        <v>862470041</v>
      </c>
      <c r="F445" s="2" t="str">
        <f ca="1"/>
        <v>0862470041</v>
      </c>
      <c r="G445" s="2" t="str">
        <f ca="1">IFERROR(__xludf.DUMMYFUNCTION("""COMPUTED_VALUE"""),"105716813194")</f>
        <v>105716813194</v>
      </c>
      <c r="I445" s="2" t="str">
        <f ca="1">IFERROR(__xludf.DUMMYFUNCTION("""COMPUTED_VALUE"""),"Phạm Thị Thùy Dung")</f>
        <v>Phạm Thị Thùy Dung</v>
      </c>
      <c r="J445" s="3" t="str">
        <f ca="1">IFERROR(__xludf.DUMMYFUNCTION("""COMPUTED_VALUE"""),"0393813775")</f>
        <v>0393813775</v>
      </c>
      <c r="K445" s="2" t="str">
        <f ca="1">IFERROR(__xludf.DUMMYFUNCTION("""COMPUTED_VALUE"""),"1739215517903")</f>
        <v>1739215517903</v>
      </c>
    </row>
    <row r="446" spans="1:11" ht="12.45">
      <c r="A446" s="2" t="str">
        <f ca="1">IFERROR(__xludf.DUMMYFUNCTION("""COMPUTED_VALUE"""),"1739215564544")</f>
        <v>1739215564544</v>
      </c>
      <c r="B446" s="2">
        <f ca="1">IFERROR(__xludf.DUMMYFUNCTION("""COMPUTED_VALUE"""),984970636)</f>
        <v>984970636</v>
      </c>
      <c r="C446" s="2" t="str">
        <f ca="1"/>
        <v>0984970636</v>
      </c>
      <c r="D446" s="2" t="str">
        <f ca="1">IFERROR(__xludf.DUMMYFUNCTION("""COMPUTED_VALUE"""),"1741657996748")</f>
        <v>1741657996748</v>
      </c>
      <c r="E446" s="2">
        <f ca="1">IFERROR(__xludf.DUMMYFUNCTION("""COMPUTED_VALUE"""),376967777)</f>
        <v>376967777</v>
      </c>
      <c r="F446" s="2" t="str">
        <f ca="1"/>
        <v>0376967777</v>
      </c>
      <c r="G446" s="2" t="str">
        <f ca="1">IFERROR(__xludf.DUMMYFUNCTION("""COMPUTED_VALUE"""),"105716813358")</f>
        <v>105716813358</v>
      </c>
      <c r="I446" s="2" t="str">
        <f ca="1">IFERROR(__xludf.DUMMYFUNCTION("""COMPUTED_VALUE"""),"Phạm Bảo Khánh")</f>
        <v>Phạm Bảo Khánh</v>
      </c>
      <c r="J446" s="3" t="str">
        <f ca="1">IFERROR(__xludf.DUMMYFUNCTION("""COMPUTED_VALUE"""),"0356376516")</f>
        <v>0356376516</v>
      </c>
      <c r="K446" s="2" t="str">
        <f ca="1">IFERROR(__xludf.DUMMYFUNCTION("""COMPUTED_VALUE"""),"1739215564544")</f>
        <v>1739215564544</v>
      </c>
    </row>
    <row r="447" spans="1:11" ht="12.45">
      <c r="A447" s="2" t="str">
        <f ca="1">IFERROR(__xludf.DUMMYFUNCTION("""COMPUTED_VALUE"""),"1739215607958")</f>
        <v>1739215607958</v>
      </c>
      <c r="B447" s="2">
        <f ca="1">IFERROR(__xludf.DUMMYFUNCTION("""COMPUTED_VALUE"""),342694629)</f>
        <v>342694629</v>
      </c>
      <c r="C447" s="2" t="str">
        <f ca="1"/>
        <v>0342694629</v>
      </c>
      <c r="D447" s="2" t="str">
        <f ca="1">IFERROR(__xludf.DUMMYFUNCTION("""COMPUTED_VALUE"""),"1741658064403")</f>
        <v>1741658064403</v>
      </c>
      <c r="E447" s="2">
        <f ca="1">IFERROR(__xludf.DUMMYFUNCTION("""COMPUTED_VALUE"""),985512686)</f>
        <v>985512686</v>
      </c>
      <c r="F447" s="2" t="str">
        <f ca="1"/>
        <v>0985512686</v>
      </c>
      <c r="G447" s="2" t="str">
        <f ca="1">IFERROR(__xludf.DUMMYFUNCTION("""COMPUTED_VALUE"""),"105716813772")</f>
        <v>105716813772</v>
      </c>
      <c r="I447" s="2" t="str">
        <f ca="1">IFERROR(__xludf.DUMMYFUNCTION("""COMPUTED_VALUE"""),"Huỳnh Thị Thanh Thuỳ")</f>
        <v>Huỳnh Thị Thanh Thuỳ</v>
      </c>
      <c r="J447" s="3" t="str">
        <f ca="1">IFERROR(__xludf.DUMMYFUNCTION("""COMPUTED_VALUE"""),"0389565267")</f>
        <v>0389565267</v>
      </c>
      <c r="K447" s="2" t="str">
        <f ca="1">IFERROR(__xludf.DUMMYFUNCTION("""COMPUTED_VALUE"""),"1739215607958")</f>
        <v>1739215607958</v>
      </c>
    </row>
    <row r="448" spans="1:11" ht="12.45">
      <c r="A448" s="2" t="str">
        <f ca="1">IFERROR(__xludf.DUMMYFUNCTION("""COMPUTED_VALUE"""),"1739215643305")</f>
        <v>1739215643305</v>
      </c>
      <c r="B448" s="2">
        <f ca="1">IFERROR(__xludf.DUMMYFUNCTION("""COMPUTED_VALUE"""),915376151)</f>
        <v>915376151</v>
      </c>
      <c r="C448" s="2" t="str">
        <f ca="1"/>
        <v>0915376151</v>
      </c>
      <c r="D448" s="2" t="str">
        <f ca="1">IFERROR(__xludf.DUMMYFUNCTION("""COMPUTED_VALUE"""),"1741658138760")</f>
        <v>1741658138760</v>
      </c>
      <c r="E448" s="2">
        <f ca="1">IFERROR(__xludf.DUMMYFUNCTION("""COMPUTED_VALUE"""),989239773)</f>
        <v>989239773</v>
      </c>
      <c r="F448" s="2" t="str">
        <f ca="1"/>
        <v>0989239773</v>
      </c>
      <c r="G448" s="2" t="str">
        <f ca="1">IFERROR(__xludf.DUMMYFUNCTION("""COMPUTED_VALUE"""),"105716813980")</f>
        <v>105716813980</v>
      </c>
      <c r="I448" s="2" t="str">
        <f ca="1">IFERROR(__xludf.DUMMYFUNCTION("""COMPUTED_VALUE"""),"Lữ Mai Quỳnh Trân")</f>
        <v>Lữ Mai Quỳnh Trân</v>
      </c>
      <c r="J448" s="3" t="str">
        <f ca="1">IFERROR(__xludf.DUMMYFUNCTION("""COMPUTED_VALUE"""),"0384761844")</f>
        <v>0384761844</v>
      </c>
      <c r="K448" s="2" t="str">
        <f ca="1">IFERROR(__xludf.DUMMYFUNCTION("""COMPUTED_VALUE"""),"1739215643305")</f>
        <v>1739215643305</v>
      </c>
    </row>
    <row r="449" spans="1:11" ht="12.45">
      <c r="A449" s="2" t="str">
        <f ca="1">IFERROR(__xludf.DUMMYFUNCTION("""COMPUTED_VALUE"""),"1739215675390")</f>
        <v>1739215675390</v>
      </c>
      <c r="B449" s="2">
        <f ca="1">IFERROR(__xludf.DUMMYFUNCTION("""COMPUTED_VALUE"""),944497666)</f>
        <v>944497666</v>
      </c>
      <c r="C449" s="2" t="str">
        <f ca="1"/>
        <v>0944497666</v>
      </c>
      <c r="D449" s="2" t="str">
        <f ca="1">IFERROR(__xludf.DUMMYFUNCTION("""COMPUTED_VALUE"""),"1741658201061")</f>
        <v>1741658201061</v>
      </c>
      <c r="E449" s="2">
        <f ca="1">IFERROR(__xludf.DUMMYFUNCTION("""COMPUTED_VALUE"""),909600610)</f>
        <v>909600610</v>
      </c>
      <c r="F449" s="2" t="str">
        <f ca="1"/>
        <v>0909600610</v>
      </c>
      <c r="G449" s="2" t="str">
        <f ca="1">IFERROR(__xludf.DUMMYFUNCTION("""COMPUTED_VALUE"""),"105716814114")</f>
        <v>105716814114</v>
      </c>
      <c r="I449" s="2" t="str">
        <f ca="1">IFERROR(__xludf.DUMMYFUNCTION("""COMPUTED_VALUE"""),"Nguyễn Thị Phương Mai")</f>
        <v>Nguyễn Thị Phương Mai</v>
      </c>
      <c r="J449" s="3" t="str">
        <f ca="1">IFERROR(__xludf.DUMMYFUNCTION("""COMPUTED_VALUE"""),"0395239848")</f>
        <v>0395239848</v>
      </c>
      <c r="K449" s="2" t="str">
        <f ca="1">IFERROR(__xludf.DUMMYFUNCTION("""COMPUTED_VALUE"""),"1739215675390")</f>
        <v>1739215675390</v>
      </c>
    </row>
    <row r="450" spans="1:11" ht="12.45">
      <c r="A450" s="2" t="str">
        <f ca="1">IFERROR(__xludf.DUMMYFUNCTION("""COMPUTED_VALUE"""),"1739215697853")</f>
        <v>1739215697853</v>
      </c>
      <c r="B450" s="2">
        <f ca="1">IFERROR(__xludf.DUMMYFUNCTION("""COMPUTED_VALUE"""),971462128)</f>
        <v>971462128</v>
      </c>
      <c r="C450" s="2" t="str">
        <f ca="1"/>
        <v>0971462128</v>
      </c>
      <c r="D450" s="2" t="str">
        <f ca="1">IFERROR(__xludf.DUMMYFUNCTION("""COMPUTED_VALUE"""),"1741658239403")</f>
        <v>1741658239403</v>
      </c>
      <c r="E450" s="2">
        <f ca="1">IFERROR(__xludf.DUMMYFUNCTION("""COMPUTED_VALUE"""),862660507)</f>
        <v>862660507</v>
      </c>
      <c r="F450" s="2" t="str">
        <f ca="1"/>
        <v>0862660507</v>
      </c>
      <c r="G450" s="2" t="str">
        <f ca="1">IFERROR(__xludf.DUMMYFUNCTION("""COMPUTED_VALUE"""),"105716814472")</f>
        <v>105716814472</v>
      </c>
      <c r="I450" s="2" t="str">
        <f ca="1">IFERROR(__xludf.DUMMYFUNCTION("""COMPUTED_VALUE"""),"Cẩm Ly")</f>
        <v>Cẩm Ly</v>
      </c>
      <c r="J450" s="3" t="str">
        <f ca="1">IFERROR(__xludf.DUMMYFUNCTION("""COMPUTED_VALUE"""),"0362105938")</f>
        <v>0362105938</v>
      </c>
      <c r="K450" s="2" t="str">
        <f ca="1">IFERROR(__xludf.DUMMYFUNCTION("""COMPUTED_VALUE"""),"1739215697853")</f>
        <v>1739215697853</v>
      </c>
    </row>
    <row r="451" spans="1:11" ht="12.45">
      <c r="A451" s="2" t="str">
        <f ca="1">IFERROR(__xludf.DUMMYFUNCTION("""COMPUTED_VALUE"""),"1739215727755")</f>
        <v>1739215727755</v>
      </c>
      <c r="B451" s="2">
        <f ca="1">IFERROR(__xludf.DUMMYFUNCTION("""COMPUTED_VALUE"""),988473781)</f>
        <v>988473781</v>
      </c>
      <c r="C451" s="2" t="str">
        <f ca="1"/>
        <v>0988473781</v>
      </c>
      <c r="D451" s="2" t="str">
        <f ca="1">IFERROR(__xludf.DUMMYFUNCTION("""COMPUTED_VALUE"""),"1741658268814")</f>
        <v>1741658268814</v>
      </c>
      <c r="E451" s="2">
        <f ca="1">IFERROR(__xludf.DUMMYFUNCTION("""COMPUTED_VALUE"""),398919727)</f>
        <v>398919727</v>
      </c>
      <c r="F451" s="2" t="str">
        <f ca="1"/>
        <v>0398919727</v>
      </c>
      <c r="G451" s="2" t="str">
        <f ca="1">IFERROR(__xludf.DUMMYFUNCTION("""COMPUTED_VALUE"""),"105716814520")</f>
        <v>105716814520</v>
      </c>
      <c r="I451" s="2" t="str">
        <f ca="1">IFERROR(__xludf.DUMMYFUNCTION("""COMPUTED_VALUE"""),"Lê Thị Thu Trang")</f>
        <v>Lê Thị Thu Trang</v>
      </c>
      <c r="J451" s="3" t="str">
        <f ca="1">IFERROR(__xludf.DUMMYFUNCTION("""COMPUTED_VALUE"""),"0971736412")</f>
        <v>0971736412</v>
      </c>
      <c r="K451" s="2" t="str">
        <f ca="1">IFERROR(__xludf.DUMMYFUNCTION("""COMPUTED_VALUE"""),"1739215727755")</f>
        <v>1739215727755</v>
      </c>
    </row>
    <row r="452" spans="1:11" ht="12.45">
      <c r="A452" s="2" t="str">
        <f ca="1">IFERROR(__xludf.DUMMYFUNCTION("""COMPUTED_VALUE"""),"1739215756726")</f>
        <v>1739215756726</v>
      </c>
      <c r="B452" s="2">
        <f ca="1">IFERROR(__xludf.DUMMYFUNCTION("""COMPUTED_VALUE"""),981454717)</f>
        <v>981454717</v>
      </c>
      <c r="C452" s="2" t="str">
        <f ca="1"/>
        <v>0981454717</v>
      </c>
      <c r="D452" s="2" t="str">
        <f ca="1">IFERROR(__xludf.DUMMYFUNCTION("""COMPUTED_VALUE"""),"1741658303903")</f>
        <v>1741658303903</v>
      </c>
      <c r="E452" s="2">
        <f ca="1">IFERROR(__xludf.DUMMYFUNCTION("""COMPUTED_VALUE"""),359575878)</f>
        <v>359575878</v>
      </c>
      <c r="F452" s="2" t="str">
        <f ca="1"/>
        <v>0359575878</v>
      </c>
      <c r="G452" s="2" t="str">
        <f ca="1">IFERROR(__xludf.DUMMYFUNCTION("""COMPUTED_VALUE"""),"105716814668")</f>
        <v>105716814668</v>
      </c>
      <c r="I452" s="2" t="str">
        <f ca="1">IFERROR(__xludf.DUMMYFUNCTION("""COMPUTED_VALUE"""),"Kiều Mỹ Hạnh ")</f>
        <v xml:space="preserve">Kiều Mỹ Hạnh </v>
      </c>
      <c r="J452" s="3" t="str">
        <f ca="1">IFERROR(__xludf.DUMMYFUNCTION("""COMPUTED_VALUE"""),"0345467968")</f>
        <v>0345467968</v>
      </c>
      <c r="K452" s="2" t="str">
        <f ca="1">IFERROR(__xludf.DUMMYFUNCTION("""COMPUTED_VALUE"""),"1739215756726")</f>
        <v>1739215756726</v>
      </c>
    </row>
    <row r="453" spans="1:11" ht="12.45">
      <c r="A453" s="2" t="str">
        <f ca="1">IFERROR(__xludf.DUMMYFUNCTION("""COMPUTED_VALUE"""),"1740941814183")</f>
        <v>1740941814183</v>
      </c>
      <c r="B453" s="2">
        <f ca="1">IFERROR(__xludf.DUMMYFUNCTION("""COMPUTED_VALUE"""),385652820)</f>
        <v>385652820</v>
      </c>
      <c r="C453" s="2" t="str">
        <f ca="1"/>
        <v>0385652820</v>
      </c>
      <c r="D453" s="2" t="str">
        <f ca="1">IFERROR(__xludf.DUMMYFUNCTION("""COMPUTED_VALUE"""),"1741658342511")</f>
        <v>1741658342511</v>
      </c>
      <c r="E453" s="2">
        <f ca="1">IFERROR(__xludf.DUMMYFUNCTION("""COMPUTED_VALUE"""),859760607)</f>
        <v>859760607</v>
      </c>
      <c r="F453" s="2" t="str">
        <f ca="1"/>
        <v>0859760607</v>
      </c>
      <c r="G453" s="2" t="str">
        <f ca="1">IFERROR(__xludf.DUMMYFUNCTION("""COMPUTED_VALUE"""),"105716814878")</f>
        <v>105716814878</v>
      </c>
      <c r="I453" s="2" t="str">
        <f ca="1">IFERROR(__xludf.DUMMYFUNCTION("""COMPUTED_VALUE"""),"Vũ Hồng Duy")</f>
        <v>Vũ Hồng Duy</v>
      </c>
      <c r="J453" s="3" t="str">
        <f ca="1">IFERROR(__xludf.DUMMYFUNCTION("""COMPUTED_VALUE"""),"0334925668")</f>
        <v>0334925668</v>
      </c>
      <c r="K453" s="2" t="str">
        <f ca="1">IFERROR(__xludf.DUMMYFUNCTION("""COMPUTED_VALUE"""),"1740941814183")</f>
        <v>1740941814183</v>
      </c>
    </row>
    <row r="454" spans="1:11" ht="12.45">
      <c r="A454" s="2" t="str">
        <f ca="1">IFERROR(__xludf.DUMMYFUNCTION("""COMPUTED_VALUE"""),"1740941854090")</f>
        <v>1740941854090</v>
      </c>
      <c r="B454" s="2">
        <f ca="1">IFERROR(__xludf.DUMMYFUNCTION("""COMPUTED_VALUE"""),385353869)</f>
        <v>385353869</v>
      </c>
      <c r="C454" s="2" t="str">
        <f ca="1"/>
        <v>0385353869</v>
      </c>
      <c r="D454" s="2" t="str">
        <f ca="1">IFERROR(__xludf.DUMMYFUNCTION("""COMPUTED_VALUE"""),"1741658372849")</f>
        <v>1741658372849</v>
      </c>
      <c r="E454" s="2">
        <f ca="1">IFERROR(__xludf.DUMMYFUNCTION("""COMPUTED_VALUE"""),345863967)</f>
        <v>345863967</v>
      </c>
      <c r="F454" s="2" t="str">
        <f ca="1"/>
        <v>0345863967</v>
      </c>
      <c r="G454" s="2" t="str">
        <f ca="1">IFERROR(__xludf.DUMMYFUNCTION("""COMPUTED_VALUE"""),"105716815015")</f>
        <v>105716815015</v>
      </c>
      <c r="I454" s="2" t="str">
        <f ca="1">IFERROR(__xludf.DUMMYFUNCTION("""COMPUTED_VALUE"""),"Hoàng Anh Thư")</f>
        <v>Hoàng Anh Thư</v>
      </c>
      <c r="J454" s="3" t="str">
        <f ca="1">IFERROR(__xludf.DUMMYFUNCTION("""COMPUTED_VALUE"""),"0965523907")</f>
        <v>0965523907</v>
      </c>
      <c r="K454" s="2" t="str">
        <f ca="1">IFERROR(__xludf.DUMMYFUNCTION("""COMPUTED_VALUE"""),"1740941854090")</f>
        <v>1740941854090</v>
      </c>
    </row>
    <row r="455" spans="1:11" ht="12.45">
      <c r="A455" s="2" t="str">
        <f ca="1">IFERROR(__xludf.DUMMYFUNCTION("""COMPUTED_VALUE"""),"1740941930137")</f>
        <v>1740941930137</v>
      </c>
      <c r="B455" s="2">
        <f ca="1">IFERROR(__xludf.DUMMYFUNCTION("""COMPUTED_VALUE"""),904322958)</f>
        <v>904322958</v>
      </c>
      <c r="C455" s="2" t="str">
        <f ca="1"/>
        <v>0904322958</v>
      </c>
      <c r="D455" s="2" t="str">
        <f ca="1">IFERROR(__xludf.DUMMYFUNCTION("""COMPUTED_VALUE"""),"1770928466587")</f>
        <v>1770928466587</v>
      </c>
      <c r="E455" s="2">
        <f ca="1">IFERROR(__xludf.DUMMYFUNCTION("""COMPUTED_VALUE"""),372562865)</f>
        <v>372562865</v>
      </c>
      <c r="F455" s="2" t="str">
        <f ca="1"/>
        <v>0372562865</v>
      </c>
      <c r="G455" s="2" t="str">
        <f ca="1">IFERROR(__xludf.DUMMYFUNCTION("""COMPUTED_VALUE"""),"105716815156")</f>
        <v>105716815156</v>
      </c>
      <c r="I455" s="2" t="str">
        <f ca="1">IFERROR(__xludf.DUMMYFUNCTION("""COMPUTED_VALUE"""),"Nguyễn Thùy Vy")</f>
        <v>Nguyễn Thùy Vy</v>
      </c>
      <c r="J455" s="3" t="str">
        <f ca="1">IFERROR(__xludf.DUMMYFUNCTION("""COMPUTED_VALUE"""),"0394094423")</f>
        <v>0394094423</v>
      </c>
      <c r="K455" s="2" t="str">
        <f ca="1">IFERROR(__xludf.DUMMYFUNCTION("""COMPUTED_VALUE"""),"1740941930137")</f>
        <v>1740941930137</v>
      </c>
    </row>
    <row r="456" spans="1:11" ht="12.45">
      <c r="A456" s="2" t="str">
        <f ca="1">IFERROR(__xludf.DUMMYFUNCTION("""COMPUTED_VALUE"""),"1740941965696")</f>
        <v>1740941965696</v>
      </c>
      <c r="B456" s="2">
        <f ca="1">IFERROR(__xludf.DUMMYFUNCTION("""COMPUTED_VALUE"""),372495676)</f>
        <v>372495676</v>
      </c>
      <c r="C456" s="2" t="str">
        <f ca="1"/>
        <v>0372495676</v>
      </c>
      <c r="D456" s="2" t="str">
        <f ca="1">IFERROR(__xludf.DUMMYFUNCTION("""COMPUTED_VALUE"""),"1770928504559")</f>
        <v>1770928504559</v>
      </c>
      <c r="E456" s="2">
        <f ca="1">IFERROR(__xludf.DUMMYFUNCTION("""COMPUTED_VALUE"""),822322987)</f>
        <v>822322987</v>
      </c>
      <c r="F456" s="2" t="str">
        <f ca="1"/>
        <v>0822322987</v>
      </c>
      <c r="G456" s="2" t="str">
        <f ca="1">IFERROR(__xludf.DUMMYFUNCTION("""COMPUTED_VALUE"""),"105716815258")</f>
        <v>105716815258</v>
      </c>
      <c r="I456" s="2" t="str">
        <f ca="1">IFERROR(__xludf.DUMMYFUNCTION("""COMPUTED_VALUE"""),"Phạm Thị Thảo Nguyên")</f>
        <v>Phạm Thị Thảo Nguyên</v>
      </c>
      <c r="J456" s="3" t="str">
        <f ca="1">IFERROR(__xludf.DUMMYFUNCTION("""COMPUTED_VALUE"""),"0376996465")</f>
        <v>0376996465</v>
      </c>
      <c r="K456" s="2" t="str">
        <f ca="1">IFERROR(__xludf.DUMMYFUNCTION("""COMPUTED_VALUE"""),"1740941965696")</f>
        <v>1740941965696</v>
      </c>
    </row>
    <row r="457" spans="1:11" ht="12.45">
      <c r="A457" s="2" t="str">
        <f ca="1">IFERROR(__xludf.DUMMYFUNCTION("""COMPUTED_VALUE"""),"1740941998837")</f>
        <v>1740941998837</v>
      </c>
      <c r="B457" s="2">
        <f ca="1">IFERROR(__xludf.DUMMYFUNCTION("""COMPUTED_VALUE"""),769596116)</f>
        <v>769596116</v>
      </c>
      <c r="C457" s="2" t="str">
        <f ca="1"/>
        <v>0769596116</v>
      </c>
      <c r="D457" s="2" t="str">
        <f ca="1">IFERROR(__xludf.DUMMYFUNCTION("""COMPUTED_VALUE"""),"1770928532196")</f>
        <v>1770928532196</v>
      </c>
      <c r="E457" s="2">
        <f ca="1">IFERROR(__xludf.DUMMYFUNCTION("""COMPUTED_VALUE"""),905838683)</f>
        <v>905838683</v>
      </c>
      <c r="F457" s="2" t="str">
        <f ca="1"/>
        <v>0905838683</v>
      </c>
      <c r="G457" s="2" t="str">
        <f ca="1">IFERROR(__xludf.DUMMYFUNCTION("""COMPUTED_VALUE"""),"105716815330")</f>
        <v>105716815330</v>
      </c>
      <c r="I457" s="2" t="str">
        <f ca="1">IFERROR(__xludf.DUMMYFUNCTION("""COMPUTED_VALUE"""),"Trần Thị Quỳnh Trang")</f>
        <v>Trần Thị Quỳnh Trang</v>
      </c>
      <c r="J457" s="3" t="str">
        <f ca="1">IFERROR(__xludf.DUMMYFUNCTION("""COMPUTED_VALUE"""),"0522711076")</f>
        <v>0522711076</v>
      </c>
      <c r="K457" s="2" t="str">
        <f ca="1">IFERROR(__xludf.DUMMYFUNCTION("""COMPUTED_VALUE"""),"1740941998837")</f>
        <v>1740941998837</v>
      </c>
    </row>
    <row r="458" spans="1:11" ht="12.45">
      <c r="A458" s="2" t="str">
        <f ca="1">IFERROR(__xludf.DUMMYFUNCTION("""COMPUTED_VALUE"""),"1740942074365")</f>
        <v>1740942074365</v>
      </c>
      <c r="B458" s="2">
        <f ca="1">IFERROR(__xludf.DUMMYFUNCTION("""COMPUTED_VALUE"""),706995839)</f>
        <v>706995839</v>
      </c>
      <c r="C458" s="2" t="str">
        <f ca="1"/>
        <v>0706995839</v>
      </c>
      <c r="D458" s="2" t="str">
        <f ca="1">IFERROR(__xludf.DUMMYFUNCTION("""COMPUTED_VALUE"""),"1770928561467")</f>
        <v>1770928561467</v>
      </c>
      <c r="E458" s="2">
        <f ca="1">IFERROR(__xludf.DUMMYFUNCTION("""COMPUTED_VALUE"""),365844616)</f>
        <v>365844616</v>
      </c>
      <c r="F458" s="2" t="str">
        <f ca="1"/>
        <v>0365844616</v>
      </c>
      <c r="G458" s="2" t="str">
        <f ca="1">IFERROR(__xludf.DUMMYFUNCTION("""COMPUTED_VALUE"""),"105716815465")</f>
        <v>105716815465</v>
      </c>
      <c r="I458" s="2" t="str">
        <f ca="1">IFERROR(__xludf.DUMMYFUNCTION("""COMPUTED_VALUE"""),"Trần Phương Anh ")</f>
        <v xml:space="preserve">Trần Phương Anh </v>
      </c>
      <c r="J458" s="3" t="str">
        <f ca="1">IFERROR(__xludf.DUMMYFUNCTION("""COMPUTED_VALUE"""),"0978915207")</f>
        <v>0978915207</v>
      </c>
      <c r="K458" s="2" t="str">
        <f ca="1">IFERROR(__xludf.DUMMYFUNCTION("""COMPUTED_VALUE"""),"1740942074365")</f>
        <v>1740942074365</v>
      </c>
    </row>
    <row r="459" spans="1:11" ht="12.45">
      <c r="A459" s="2" t="str">
        <f ca="1">IFERROR(__xludf.DUMMYFUNCTION("""COMPUTED_VALUE"""),"1740942135393")</f>
        <v>1740942135393</v>
      </c>
      <c r="B459" s="2">
        <f ca="1">IFERROR(__xludf.DUMMYFUNCTION("""COMPUTED_VALUE"""),384790371)</f>
        <v>384790371</v>
      </c>
      <c r="C459" s="2" t="str">
        <f ca="1"/>
        <v>0384790371</v>
      </c>
      <c r="D459" s="2" t="str">
        <f ca="1">IFERROR(__xludf.DUMMYFUNCTION("""COMPUTED_VALUE"""),"1770928604641")</f>
        <v>1770928604641</v>
      </c>
      <c r="E459" s="2">
        <f ca="1">IFERROR(__xludf.DUMMYFUNCTION("""COMPUTED_VALUE"""),364886492)</f>
        <v>364886492</v>
      </c>
      <c r="F459" s="2" t="str">
        <f ca="1"/>
        <v>0364886492</v>
      </c>
      <c r="G459" s="2" t="str">
        <f ca="1">IFERROR(__xludf.DUMMYFUNCTION("""COMPUTED_VALUE"""),"105716815587")</f>
        <v>105716815587</v>
      </c>
      <c r="I459" s="2" t="str">
        <f ca="1">IFERROR(__xludf.DUMMYFUNCTION("""COMPUTED_VALUE"""),"Nguyễn Hoài An")</f>
        <v>Nguyễn Hoài An</v>
      </c>
      <c r="J459" s="3" t="str">
        <f ca="1">IFERROR(__xludf.DUMMYFUNCTION("""COMPUTED_VALUE"""),"0355865348")</f>
        <v>0355865348</v>
      </c>
      <c r="K459" s="2" t="str">
        <f ca="1">IFERROR(__xludf.DUMMYFUNCTION("""COMPUTED_VALUE"""),"1740942135393")</f>
        <v>1740942135393</v>
      </c>
    </row>
    <row r="460" spans="1:11" ht="12.45">
      <c r="A460" s="2" t="str">
        <f ca="1">IFERROR(__xludf.DUMMYFUNCTION("""COMPUTED_VALUE"""),"1740942179498")</f>
        <v>1740942179498</v>
      </c>
      <c r="B460" s="2">
        <f ca="1">IFERROR(__xludf.DUMMYFUNCTION("""COMPUTED_VALUE"""),914171878)</f>
        <v>914171878</v>
      </c>
      <c r="C460" s="2" t="str">
        <f ca="1"/>
        <v>0914171878</v>
      </c>
      <c r="D460" s="2" t="str">
        <f ca="1">IFERROR(__xludf.DUMMYFUNCTION("""COMPUTED_VALUE"""),"1770928634579")</f>
        <v>1770928634579</v>
      </c>
      <c r="E460" s="2">
        <f ca="1">IFERROR(__xludf.DUMMYFUNCTION("""COMPUTED_VALUE"""),777472981)</f>
        <v>777472981</v>
      </c>
      <c r="F460" s="2" t="str">
        <f ca="1"/>
        <v>0777472981</v>
      </c>
      <c r="G460" s="2" t="str">
        <f ca="1">IFERROR(__xludf.DUMMYFUNCTION("""COMPUTED_VALUE"""),"105716815639")</f>
        <v>105716815639</v>
      </c>
      <c r="I460" s="2" t="str">
        <f ca="1">IFERROR(__xludf.DUMMYFUNCTION("""COMPUTED_VALUE"""),"Lê Thị Quỳnh Như")</f>
        <v>Lê Thị Quỳnh Như</v>
      </c>
      <c r="J460" s="3" t="str">
        <f ca="1">IFERROR(__xludf.DUMMYFUNCTION("""COMPUTED_VALUE"""),"0838464525")</f>
        <v>0838464525</v>
      </c>
      <c r="K460" s="2" t="str">
        <f ca="1">IFERROR(__xludf.DUMMYFUNCTION("""COMPUTED_VALUE"""),"1740942179498")</f>
        <v>1740942179498</v>
      </c>
    </row>
    <row r="461" spans="1:11" ht="12.45">
      <c r="A461" s="2" t="str">
        <f ca="1">IFERROR(__xludf.DUMMYFUNCTION("""COMPUTED_VALUE"""),"1740942225654")</f>
        <v>1740942225654</v>
      </c>
      <c r="B461" s="2">
        <f ca="1">IFERROR(__xludf.DUMMYFUNCTION("""COMPUTED_VALUE"""),763917949)</f>
        <v>763917949</v>
      </c>
      <c r="C461" s="2" t="str">
        <f ca="1"/>
        <v>0763917949</v>
      </c>
      <c r="D461" s="2" t="str">
        <f ca="1">IFERROR(__xludf.DUMMYFUNCTION("""COMPUTED_VALUE"""),"1770928664562")</f>
        <v>1770928664562</v>
      </c>
      <c r="E461" s="2">
        <f ca="1">IFERROR(__xludf.DUMMYFUNCTION("""COMPUTED_VALUE"""),962356990)</f>
        <v>962356990</v>
      </c>
      <c r="F461" s="2" t="str">
        <f ca="1"/>
        <v>0962356990</v>
      </c>
      <c r="G461" s="2" t="str">
        <f ca="1">IFERROR(__xludf.DUMMYFUNCTION("""COMPUTED_VALUE"""),"105716815726")</f>
        <v>105716815726</v>
      </c>
      <c r="I461" s="2" t="str">
        <f ca="1">IFERROR(__xludf.DUMMYFUNCTION("""COMPUTED_VALUE"""),"Phan Quỳnh Như ")</f>
        <v xml:space="preserve">Phan Quỳnh Như </v>
      </c>
      <c r="J461" s="3" t="str">
        <f ca="1">IFERROR(__xludf.DUMMYFUNCTION("""COMPUTED_VALUE"""),"0352376747")</f>
        <v>0352376747</v>
      </c>
      <c r="K461" s="2" t="str">
        <f ca="1">IFERROR(__xludf.DUMMYFUNCTION("""COMPUTED_VALUE"""),"1740942225654")</f>
        <v>1740942225654</v>
      </c>
    </row>
    <row r="462" spans="1:11" ht="12.45">
      <c r="A462" s="2" t="str">
        <f ca="1">IFERROR(__xludf.DUMMYFUNCTION("""COMPUTED_VALUE"""),"1740942291101")</f>
        <v>1740942291101</v>
      </c>
      <c r="B462" s="2">
        <f ca="1">IFERROR(__xludf.DUMMYFUNCTION("""COMPUTED_VALUE"""),971667303)</f>
        <v>971667303</v>
      </c>
      <c r="C462" s="2" t="str">
        <f ca="1"/>
        <v>0971667303</v>
      </c>
      <c r="D462" s="2" t="str">
        <f ca="1">IFERROR(__xludf.DUMMYFUNCTION("""COMPUTED_VALUE"""),"1770928694539")</f>
        <v>1770928694539</v>
      </c>
      <c r="E462" s="2">
        <f ca="1">IFERROR(__xludf.DUMMYFUNCTION("""COMPUTED_VALUE"""),836240600)</f>
        <v>836240600</v>
      </c>
      <c r="F462" s="2" t="str">
        <f ca="1"/>
        <v>0836240600</v>
      </c>
      <c r="G462" s="2" t="str">
        <f ca="1">IFERROR(__xludf.DUMMYFUNCTION("""COMPUTED_VALUE"""),"105716815885")</f>
        <v>105716815885</v>
      </c>
      <c r="I462" s="2" t="str">
        <f ca="1">IFERROR(__xludf.DUMMYFUNCTION("""COMPUTED_VALUE"""),"Nguyễn Thị Phương Thảo ")</f>
        <v xml:space="preserve">Nguyễn Thị Phương Thảo </v>
      </c>
      <c r="J462" s="3" t="str">
        <f ca="1">IFERROR(__xludf.DUMMYFUNCTION("""COMPUTED_VALUE"""),"0393303739")</f>
        <v>0393303739</v>
      </c>
      <c r="K462" s="2" t="str">
        <f ca="1">IFERROR(__xludf.DUMMYFUNCTION("""COMPUTED_VALUE"""),"1740942291101")</f>
        <v>1740942291101</v>
      </c>
    </row>
    <row r="463" spans="1:11" ht="12.45">
      <c r="A463" s="2" t="str">
        <f ca="1">IFERROR(__xludf.DUMMYFUNCTION("""COMPUTED_VALUE"""),"1740942370114")</f>
        <v>1740942370114</v>
      </c>
      <c r="B463" s="2">
        <f ca="1">IFERROR(__xludf.DUMMYFUNCTION("""COMPUTED_VALUE"""),768880240)</f>
        <v>768880240</v>
      </c>
      <c r="C463" s="2" t="str">
        <f ca="1"/>
        <v>0768880240</v>
      </c>
      <c r="D463" s="2" t="str">
        <f ca="1">IFERROR(__xludf.DUMMYFUNCTION("""COMPUTED_VALUE"""),"1770928726909")</f>
        <v>1770928726909</v>
      </c>
      <c r="E463" s="2">
        <f ca="1">IFERROR(__xludf.DUMMYFUNCTION("""COMPUTED_VALUE"""),379998114)</f>
        <v>379998114</v>
      </c>
      <c r="F463" s="2" t="str">
        <f ca="1"/>
        <v>0379998114</v>
      </c>
      <c r="G463" s="2" t="str">
        <f ca="1">IFERROR(__xludf.DUMMYFUNCTION("""COMPUTED_VALUE"""),"105716815942")</f>
        <v>105716815942</v>
      </c>
      <c r="I463" s="2" t="str">
        <f ca="1">IFERROR(__xludf.DUMMYFUNCTION("""COMPUTED_VALUE"""),"Nguyễn Xuân Lộc")</f>
        <v>Nguyễn Xuân Lộc</v>
      </c>
      <c r="J463" s="3" t="str">
        <f ca="1">IFERROR(__xludf.DUMMYFUNCTION("""COMPUTED_VALUE"""),"0369495934")</f>
        <v>0369495934</v>
      </c>
      <c r="K463" s="2" t="str">
        <f ca="1">IFERROR(__xludf.DUMMYFUNCTION("""COMPUTED_VALUE"""),"1740942370114")</f>
        <v>1740942370114</v>
      </c>
    </row>
    <row r="464" spans="1:11" ht="12.45">
      <c r="A464" s="2" t="str">
        <f ca="1">IFERROR(__xludf.DUMMYFUNCTION("""COMPUTED_VALUE"""),"1740942451382")</f>
        <v>1740942451382</v>
      </c>
      <c r="B464" s="2">
        <f ca="1">IFERROR(__xludf.DUMMYFUNCTION("""COMPUTED_VALUE"""),349357468)</f>
        <v>349357468</v>
      </c>
      <c r="C464" s="2" t="str">
        <f ca="1"/>
        <v>0349357468</v>
      </c>
      <c r="D464" s="2" t="str">
        <f ca="1">IFERROR(__xludf.DUMMYFUNCTION("""COMPUTED_VALUE"""),"1770928767457")</f>
        <v>1770928767457</v>
      </c>
      <c r="E464" s="2">
        <f ca="1">IFERROR(__xludf.DUMMYFUNCTION("""COMPUTED_VALUE"""),969293604)</f>
        <v>969293604</v>
      </c>
      <c r="F464" s="2" t="str">
        <f ca="1"/>
        <v>0969293604</v>
      </c>
      <c r="G464" s="2" t="str">
        <f ca="1">IFERROR(__xludf.DUMMYFUNCTION("""COMPUTED_VALUE"""),"105716816020")</f>
        <v>105716816020</v>
      </c>
      <c r="I464" s="2" t="str">
        <f ca="1">IFERROR(__xludf.DUMMYFUNCTION("""COMPUTED_VALUE"""),"Nguyễn Ngọc Trà Mi")</f>
        <v>Nguyễn Ngọc Trà Mi</v>
      </c>
      <c r="J464" s="3" t="str">
        <f ca="1">IFERROR(__xludf.DUMMYFUNCTION("""COMPUTED_VALUE"""),"0375907400")</f>
        <v>0375907400</v>
      </c>
      <c r="K464" s="2" t="str">
        <f ca="1">IFERROR(__xludf.DUMMYFUNCTION("""COMPUTED_VALUE"""),"1740942451382")</f>
        <v>1740942451382</v>
      </c>
    </row>
    <row r="465" spans="1:11" ht="12.45">
      <c r="A465" s="2" t="str">
        <f ca="1">IFERROR(__xludf.DUMMYFUNCTION("""COMPUTED_VALUE"""),"1740942537379")</f>
        <v>1740942537379</v>
      </c>
      <c r="B465" s="2">
        <f ca="1">IFERROR(__xludf.DUMMYFUNCTION("""COMPUTED_VALUE"""),339318339)</f>
        <v>339318339</v>
      </c>
      <c r="C465" s="2" t="str">
        <f ca="1"/>
        <v>0339318339</v>
      </c>
      <c r="D465" s="2" t="str">
        <f ca="1">IFERROR(__xludf.DUMMYFUNCTION("""COMPUTED_VALUE"""),"1770928789739")</f>
        <v>1770928789739</v>
      </c>
      <c r="E465" s="2">
        <f ca="1">IFERROR(__xludf.DUMMYFUNCTION("""COMPUTED_VALUE"""),946908399)</f>
        <v>946908399</v>
      </c>
      <c r="F465" s="2" t="str">
        <f ca="1"/>
        <v>0946908399</v>
      </c>
      <c r="G465" s="2" t="str">
        <f ca="1">IFERROR(__xludf.DUMMYFUNCTION("""COMPUTED_VALUE"""),"105716816122")</f>
        <v>105716816122</v>
      </c>
      <c r="I465" s="2" t="str">
        <f ca="1">IFERROR(__xludf.DUMMYFUNCTION("""COMPUTED_VALUE"""),"Hoàng Quang Minh")</f>
        <v>Hoàng Quang Minh</v>
      </c>
      <c r="J465" s="3" t="str">
        <f ca="1">IFERROR(__xludf.DUMMYFUNCTION("""COMPUTED_VALUE"""),"0342558614")</f>
        <v>0342558614</v>
      </c>
      <c r="K465" s="2" t="str">
        <f ca="1">IFERROR(__xludf.DUMMYFUNCTION("""COMPUTED_VALUE"""),"1740942537379")</f>
        <v>1740942537379</v>
      </c>
    </row>
    <row r="466" spans="1:11" ht="12.45">
      <c r="A466" s="2" t="str">
        <f ca="1">IFERROR(__xludf.DUMMYFUNCTION("""COMPUTED_VALUE"""),"1740942577668")</f>
        <v>1740942577668</v>
      </c>
      <c r="B466" s="2">
        <f ca="1">IFERROR(__xludf.DUMMYFUNCTION("""COMPUTED_VALUE"""),982822924)</f>
        <v>982822924</v>
      </c>
      <c r="C466" s="2" t="str">
        <f ca="1"/>
        <v>0982822924</v>
      </c>
      <c r="D466" s="2" t="str">
        <f ca="1">IFERROR(__xludf.DUMMYFUNCTION("""COMPUTED_VALUE"""),"1770928816450")</f>
        <v>1770928816450</v>
      </c>
      <c r="E466" s="2">
        <f ca="1">IFERROR(__xludf.DUMMYFUNCTION("""COMPUTED_VALUE"""),348346207)</f>
        <v>348346207</v>
      </c>
      <c r="F466" s="2" t="str">
        <f ca="1"/>
        <v>0348346207</v>
      </c>
      <c r="G466" s="2" t="str">
        <f ca="1">IFERROR(__xludf.DUMMYFUNCTION("""COMPUTED_VALUE"""),"105716816378")</f>
        <v>105716816378</v>
      </c>
      <c r="I466" s="2" t="str">
        <f ca="1">IFERROR(__xludf.DUMMYFUNCTION("""COMPUTED_VALUE"""),"Kim Huệ")</f>
        <v>Kim Huệ</v>
      </c>
      <c r="J466" s="3" t="str">
        <f ca="1">IFERROR(__xludf.DUMMYFUNCTION("""COMPUTED_VALUE"""),"0948021017")</f>
        <v>0948021017</v>
      </c>
      <c r="K466" s="2" t="str">
        <f ca="1">IFERROR(__xludf.DUMMYFUNCTION("""COMPUTED_VALUE"""),"1740942577668")</f>
        <v>1740942577668</v>
      </c>
    </row>
    <row r="467" spans="1:11" ht="12.45">
      <c r="A467" s="2" t="str">
        <f ca="1">IFERROR(__xludf.DUMMYFUNCTION("""COMPUTED_VALUE"""),"1740942631975")</f>
        <v>1740942631975</v>
      </c>
      <c r="B467" s="2">
        <f ca="1">IFERROR(__xludf.DUMMYFUNCTION("""COMPUTED_VALUE"""),907882047)</f>
        <v>907882047</v>
      </c>
      <c r="C467" s="2" t="str">
        <f ca="1"/>
        <v>0907882047</v>
      </c>
      <c r="D467" s="2" t="str">
        <f ca="1">IFERROR(__xludf.DUMMYFUNCTION("""COMPUTED_VALUE"""),"1770928847512")</f>
        <v>1770928847512</v>
      </c>
      <c r="E467" s="2">
        <f ca="1">IFERROR(__xludf.DUMMYFUNCTION("""COMPUTED_VALUE"""),783871605)</f>
        <v>783871605</v>
      </c>
      <c r="F467" s="2" t="str">
        <f ca="1"/>
        <v>0783871605</v>
      </c>
      <c r="G467" s="2" t="str">
        <f ca="1">IFERROR(__xludf.DUMMYFUNCTION("""COMPUTED_VALUE"""),"105716816446")</f>
        <v>105716816446</v>
      </c>
      <c r="I467" s="2" t="str">
        <f ca="1">IFERROR(__xludf.DUMMYFUNCTION("""COMPUTED_VALUE"""),"Mai Thị Minh Thư")</f>
        <v>Mai Thị Minh Thư</v>
      </c>
      <c r="J467" s="3" t="str">
        <f ca="1">IFERROR(__xludf.DUMMYFUNCTION("""COMPUTED_VALUE"""),"0949510251")</f>
        <v>0949510251</v>
      </c>
      <c r="K467" s="2" t="str">
        <f ca="1">IFERROR(__xludf.DUMMYFUNCTION("""COMPUTED_VALUE"""),"1740942631975")</f>
        <v>1740942631975</v>
      </c>
    </row>
    <row r="468" spans="1:11" ht="12.45">
      <c r="A468" s="2" t="str">
        <f ca="1">IFERROR(__xludf.DUMMYFUNCTION("""COMPUTED_VALUE"""),"1740942692702")</f>
        <v>1740942692702</v>
      </c>
      <c r="B468" s="2">
        <f ca="1">IFERROR(__xludf.DUMMYFUNCTION("""COMPUTED_VALUE"""),325918500)</f>
        <v>325918500</v>
      </c>
      <c r="C468" s="2" t="str">
        <f ca="1"/>
        <v>0325918500</v>
      </c>
      <c r="D468" s="2" t="str">
        <f ca="1">IFERROR(__xludf.DUMMYFUNCTION("""COMPUTED_VALUE"""),"1770928876697")</f>
        <v>1770928876697</v>
      </c>
      <c r="E468" s="2">
        <f ca="1">IFERROR(__xludf.DUMMYFUNCTION("""COMPUTED_VALUE"""),912804912)</f>
        <v>912804912</v>
      </c>
      <c r="F468" s="2" t="str">
        <f ca="1"/>
        <v>0912804912</v>
      </c>
      <c r="G468" s="2">
        <f ca="1">IFERROR(__xludf.DUMMYFUNCTION("""COMPUTED_VALUE"""),105556054796)</f>
        <v>105556054796</v>
      </c>
      <c r="I468" s="2" t="str">
        <f ca="1">IFERROR(__xludf.DUMMYFUNCTION("""COMPUTED_VALUE"""),"Lưu Nguyệt Quỳnh ")</f>
        <v xml:space="preserve">Lưu Nguyệt Quỳnh </v>
      </c>
      <c r="J468" s="3" t="str">
        <f ca="1">IFERROR(__xludf.DUMMYFUNCTION("""COMPUTED_VALUE"""),"0866173552")</f>
        <v>0866173552</v>
      </c>
      <c r="K468" s="2" t="str">
        <f ca="1">IFERROR(__xludf.DUMMYFUNCTION("""COMPUTED_VALUE"""),"1740942692702")</f>
        <v>1740942692702</v>
      </c>
    </row>
    <row r="469" spans="1:11" ht="12.45">
      <c r="A469" s="2" t="str">
        <f ca="1">IFERROR(__xludf.DUMMYFUNCTION("""COMPUTED_VALUE"""),"1740942739892")</f>
        <v>1740942739892</v>
      </c>
      <c r="B469" s="2">
        <f ca="1">IFERROR(__xludf.DUMMYFUNCTION("""COMPUTED_VALUE"""),399466158)</f>
        <v>399466158</v>
      </c>
      <c r="C469" s="2" t="str">
        <f ca="1"/>
        <v>0399466158</v>
      </c>
      <c r="D469" s="2" t="str">
        <f ca="1">IFERROR(__xludf.DUMMYFUNCTION("""COMPUTED_VALUE"""),"1770928908921")</f>
        <v>1770928908921</v>
      </c>
      <c r="E469" s="2">
        <f ca="1">IFERROR(__xludf.DUMMYFUNCTION("""COMPUTED_VALUE"""),387560119)</f>
        <v>387560119</v>
      </c>
      <c r="F469" s="2" t="str">
        <f ca="1"/>
        <v>0387560119</v>
      </c>
      <c r="G469" s="2" t="str">
        <f ca="1">IFERROR(__xludf.DUMMYFUNCTION("""COMPUTED_VALUE"""),"105716816535")</f>
        <v>105716816535</v>
      </c>
      <c r="I469" s="2" t="str">
        <f ca="1">IFERROR(__xludf.DUMMYFUNCTION("""COMPUTED_VALUE"""),"Nguyễn Thị Khánh Linh")</f>
        <v>Nguyễn Thị Khánh Linh</v>
      </c>
      <c r="J469" s="3" t="str">
        <f ca="1">IFERROR(__xludf.DUMMYFUNCTION("""COMPUTED_VALUE"""),"0359284043")</f>
        <v>0359284043</v>
      </c>
      <c r="K469" s="2" t="str">
        <f ca="1">IFERROR(__xludf.DUMMYFUNCTION("""COMPUTED_VALUE"""),"1740942739892")</f>
        <v>1740942739892</v>
      </c>
    </row>
    <row r="470" spans="1:11" ht="12.45">
      <c r="A470" s="2" t="str">
        <f ca="1">IFERROR(__xludf.DUMMYFUNCTION("""COMPUTED_VALUE"""),"1740942799233")</f>
        <v>1740942799233</v>
      </c>
      <c r="B470" s="2">
        <f ca="1">IFERROR(__xludf.DUMMYFUNCTION("""COMPUTED_VALUE"""),982869329)</f>
        <v>982869329</v>
      </c>
      <c r="C470" s="2" t="str">
        <f ca="1"/>
        <v>0982869329</v>
      </c>
      <c r="D470" s="2" t="str">
        <f ca="1">IFERROR(__xludf.DUMMYFUNCTION("""COMPUTED_VALUE"""),"1770928937599")</f>
        <v>1770928937599</v>
      </c>
      <c r="E470" s="2">
        <f ca="1">IFERROR(__xludf.DUMMYFUNCTION("""COMPUTED_VALUE"""),368061711)</f>
        <v>368061711</v>
      </c>
      <c r="F470" s="2" t="str">
        <f ca="1"/>
        <v>0368061711</v>
      </c>
      <c r="G470" s="2" t="str">
        <f ca="1">IFERROR(__xludf.DUMMYFUNCTION("""COMPUTED_VALUE"""),"105716816611")</f>
        <v>105716816611</v>
      </c>
      <c r="I470" s="2" t="str">
        <f ca="1">IFERROR(__xludf.DUMMYFUNCTION("""COMPUTED_VALUE"""),"Nguyễn Huyền Trang")</f>
        <v>Nguyễn Huyền Trang</v>
      </c>
      <c r="J470" s="3" t="str">
        <f ca="1">IFERROR(__xludf.DUMMYFUNCTION("""COMPUTED_VALUE"""),"0982104619")</f>
        <v>0982104619</v>
      </c>
      <c r="K470" s="2" t="str">
        <f ca="1">IFERROR(__xludf.DUMMYFUNCTION("""COMPUTED_VALUE"""),"1740942799233")</f>
        <v>1740942799233</v>
      </c>
    </row>
    <row r="471" spans="1:11" ht="12.45">
      <c r="A471" s="2" t="str">
        <f ca="1">IFERROR(__xludf.DUMMYFUNCTION("""COMPUTED_VALUE"""),"1740942848439")</f>
        <v>1740942848439</v>
      </c>
      <c r="B471" s="2">
        <f ca="1">IFERROR(__xludf.DUMMYFUNCTION("""COMPUTED_VALUE"""),398073700)</f>
        <v>398073700</v>
      </c>
      <c r="C471" s="2" t="str">
        <f ca="1"/>
        <v>0398073700</v>
      </c>
      <c r="D471" s="2" t="str">
        <f ca="1">IFERROR(__xludf.DUMMYFUNCTION("""COMPUTED_VALUE"""),"1770928973216")</f>
        <v>1770928973216</v>
      </c>
      <c r="E471" s="2">
        <f ca="1">IFERROR(__xludf.DUMMYFUNCTION("""COMPUTED_VALUE"""),396068566)</f>
        <v>396068566</v>
      </c>
      <c r="F471" s="2" t="str">
        <f ca="1"/>
        <v>0396068566</v>
      </c>
      <c r="G471" s="2" t="str">
        <f ca="1">IFERROR(__xludf.DUMMYFUNCTION("""COMPUTED_VALUE"""),"105716816796")</f>
        <v>105716816796</v>
      </c>
      <c r="I471" s="2" t="str">
        <f ca="1">IFERROR(__xludf.DUMMYFUNCTION("""COMPUTED_VALUE"""),"Nguyễn Hồng Ngọc")</f>
        <v>Nguyễn Hồng Ngọc</v>
      </c>
      <c r="J471" s="3" t="str">
        <f ca="1">IFERROR(__xludf.DUMMYFUNCTION("""COMPUTED_VALUE"""),"0326247640")</f>
        <v>0326247640</v>
      </c>
      <c r="K471" s="2" t="str">
        <f ca="1">IFERROR(__xludf.DUMMYFUNCTION("""COMPUTED_VALUE"""),"1740942848439")</f>
        <v>1740942848439</v>
      </c>
    </row>
    <row r="472" spans="1:11" ht="12.45">
      <c r="A472" s="2" t="str">
        <f ca="1">IFERROR(__xludf.DUMMYFUNCTION("""COMPUTED_VALUE"""),"1740942921340")</f>
        <v>1740942921340</v>
      </c>
      <c r="B472" s="2">
        <f ca="1">IFERROR(__xludf.DUMMYFUNCTION("""COMPUTED_VALUE"""),899884533)</f>
        <v>899884533</v>
      </c>
      <c r="C472" s="2" t="str">
        <f ca="1"/>
        <v>0899884533</v>
      </c>
      <c r="D472" s="2" t="str">
        <f ca="1">IFERROR(__xludf.DUMMYFUNCTION("""COMPUTED_VALUE"""),"1770929000766")</f>
        <v>1770929000766</v>
      </c>
      <c r="E472" s="2">
        <f ca="1">IFERROR(__xludf.DUMMYFUNCTION("""COMPUTED_VALUE"""),776843526)</f>
        <v>776843526</v>
      </c>
      <c r="F472" s="2" t="str">
        <f ca="1"/>
        <v>0776843526</v>
      </c>
      <c r="G472" s="2" t="str">
        <f ca="1">IFERROR(__xludf.DUMMYFUNCTION("""COMPUTED_VALUE"""),"105716816920")</f>
        <v>105716816920</v>
      </c>
      <c r="I472" s="2" t="str">
        <f ca="1">IFERROR(__xludf.DUMMYFUNCTION("""COMPUTED_VALUE"""),"Đỗ Nhật Quỳnh My")</f>
        <v>Đỗ Nhật Quỳnh My</v>
      </c>
      <c r="J472" s="3" t="str">
        <f ca="1">IFERROR(__xludf.DUMMYFUNCTION("""COMPUTED_VALUE"""),"0943700697")</f>
        <v>0943700697</v>
      </c>
      <c r="K472" s="2" t="str">
        <f ca="1">IFERROR(__xludf.DUMMYFUNCTION("""COMPUTED_VALUE"""),"1740942921340")</f>
        <v>1740942921340</v>
      </c>
    </row>
    <row r="473" spans="1:11" ht="12.45">
      <c r="A473" s="2" t="str">
        <f ca="1">IFERROR(__xludf.DUMMYFUNCTION("""COMPUTED_VALUE"""),"1740942978037")</f>
        <v>1740942978037</v>
      </c>
      <c r="B473" s="2">
        <f ca="1">IFERROR(__xludf.DUMMYFUNCTION("""COMPUTED_VALUE"""),974361378)</f>
        <v>974361378</v>
      </c>
      <c r="C473" s="2" t="str">
        <f ca="1"/>
        <v>0974361378</v>
      </c>
      <c r="D473" s="2" t="str">
        <f ca="1">IFERROR(__xludf.DUMMYFUNCTION("""COMPUTED_VALUE"""),"1770929029354")</f>
        <v>1770929029354</v>
      </c>
      <c r="E473" s="2">
        <f ca="1">IFERROR(__xludf.DUMMYFUNCTION("""COMPUTED_VALUE"""),984669256)</f>
        <v>984669256</v>
      </c>
      <c r="F473" s="2" t="str">
        <f ca="1"/>
        <v>0984669256</v>
      </c>
      <c r="G473" s="2" t="str">
        <f ca="1">IFERROR(__xludf.DUMMYFUNCTION("""COMPUTED_VALUE"""),"HS HỦY ĐƠN, KO SHIP SÁCH")</f>
        <v>HS HỦY ĐƠN, KO SHIP SÁCH</v>
      </c>
      <c r="I473" s="2" t="str">
        <f ca="1">IFERROR(__xludf.DUMMYFUNCTION("""COMPUTED_VALUE"""),"Lê Thị Thuỳ Linh")</f>
        <v>Lê Thị Thuỳ Linh</v>
      </c>
      <c r="J473" s="3" t="str">
        <f ca="1">IFERROR(__xludf.DUMMYFUNCTION("""COMPUTED_VALUE"""),"0915960280")</f>
        <v>0915960280</v>
      </c>
      <c r="K473" s="2" t="str">
        <f ca="1">IFERROR(__xludf.DUMMYFUNCTION("""COMPUTED_VALUE"""),"1740942978037")</f>
        <v>1740942978037</v>
      </c>
    </row>
    <row r="474" spans="1:11" ht="12.45">
      <c r="A474" s="2" t="str">
        <f ca="1">IFERROR(__xludf.DUMMYFUNCTION("""COMPUTED_VALUE"""),"1740943025938")</f>
        <v>1740943025938</v>
      </c>
      <c r="B474" s="2">
        <f ca="1">IFERROR(__xludf.DUMMYFUNCTION("""COMPUTED_VALUE"""),903129039)</f>
        <v>903129039</v>
      </c>
      <c r="C474" s="2" t="str">
        <f ca="1"/>
        <v>0903129039</v>
      </c>
      <c r="D474" s="2" t="str">
        <f ca="1">IFERROR(__xludf.DUMMYFUNCTION("""COMPUTED_VALUE"""),"1770929057609")</f>
        <v>1770929057609</v>
      </c>
      <c r="E474" s="2">
        <f ca="1">IFERROR(__xludf.DUMMYFUNCTION("""COMPUTED_VALUE"""),825010727)</f>
        <v>825010727</v>
      </c>
      <c r="F474" s="2" t="str">
        <f ca="1"/>
        <v>0825010727</v>
      </c>
      <c r="G474" s="2" t="str">
        <f ca="1">IFERROR(__xludf.DUMMYFUNCTION("""COMPUTED_VALUE"""),"105716817098")</f>
        <v>105716817098</v>
      </c>
      <c r="I474" s="2" t="str">
        <f ca="1">IFERROR(__xludf.DUMMYFUNCTION("""COMPUTED_VALUE"""),"Nguyễn Hương Giang")</f>
        <v>Nguyễn Hương Giang</v>
      </c>
      <c r="J474" s="3" t="str">
        <f ca="1">IFERROR(__xludf.DUMMYFUNCTION("""COMPUTED_VALUE"""),"0838180408")</f>
        <v>0838180408</v>
      </c>
      <c r="K474" s="2" t="str">
        <f ca="1">IFERROR(__xludf.DUMMYFUNCTION("""COMPUTED_VALUE"""),"1740943025938")</f>
        <v>1740943025938</v>
      </c>
    </row>
    <row r="475" spans="1:11" ht="12.45">
      <c r="A475" s="2" t="str">
        <f ca="1">IFERROR(__xludf.DUMMYFUNCTION("""COMPUTED_VALUE"""),"1740943120172")</f>
        <v>1740943120172</v>
      </c>
      <c r="B475" s="2">
        <f ca="1">IFERROR(__xludf.DUMMYFUNCTION("""COMPUTED_VALUE"""),379483992)</f>
        <v>379483992</v>
      </c>
      <c r="C475" s="2" t="str">
        <f ca="1"/>
        <v>0379483992</v>
      </c>
      <c r="D475" s="2" t="str">
        <f ca="1">IFERROR(__xludf.DUMMYFUNCTION("""COMPUTED_VALUE"""),"1770929086573")</f>
        <v>1770929086573</v>
      </c>
      <c r="E475" s="2">
        <f ca="1">IFERROR(__xludf.DUMMYFUNCTION("""COMPUTED_VALUE"""),335303525)</f>
        <v>335303525</v>
      </c>
      <c r="F475" s="2" t="str">
        <f ca="1"/>
        <v>0335303525</v>
      </c>
      <c r="G475" s="2" t="str">
        <f ca="1">IFERROR(__xludf.DUMMYFUNCTION("""COMPUTED_VALUE"""),"105716817141")</f>
        <v>105716817141</v>
      </c>
      <c r="I475" s="2" t="str">
        <f ca="1">IFERROR(__xludf.DUMMYFUNCTION("""COMPUTED_VALUE"""),"Nguyễn Thu Trang")</f>
        <v>Nguyễn Thu Trang</v>
      </c>
      <c r="J475" s="3" t="str">
        <f ca="1">IFERROR(__xludf.DUMMYFUNCTION("""COMPUTED_VALUE"""),"0848215155")</f>
        <v>0848215155</v>
      </c>
      <c r="K475" s="2" t="str">
        <f ca="1">IFERROR(__xludf.DUMMYFUNCTION("""COMPUTED_VALUE"""),"1740943120172")</f>
        <v>1740943120172</v>
      </c>
    </row>
    <row r="476" spans="1:11" ht="12.45">
      <c r="A476" s="2" t="str">
        <f ca="1">IFERROR(__xludf.DUMMYFUNCTION("""COMPUTED_VALUE"""),"1740943175559")</f>
        <v>1740943175559</v>
      </c>
      <c r="B476" s="2">
        <f ca="1">IFERROR(__xludf.DUMMYFUNCTION("""COMPUTED_VALUE"""),965504273)</f>
        <v>965504273</v>
      </c>
      <c r="C476" s="2" t="str">
        <f ca="1"/>
        <v>0965504273</v>
      </c>
      <c r="D476" s="2" t="str">
        <f ca="1">IFERROR(__xludf.DUMMYFUNCTION("""COMPUTED_VALUE"""),"1770929124214")</f>
        <v>1770929124214</v>
      </c>
      <c r="E476" s="2">
        <f ca="1">IFERROR(__xludf.DUMMYFUNCTION("""COMPUTED_VALUE"""),334625748)</f>
        <v>334625748</v>
      </c>
      <c r="F476" s="2" t="str">
        <f ca="1"/>
        <v>0334625748</v>
      </c>
      <c r="G476" s="2" t="str">
        <f ca="1">IFERROR(__xludf.DUMMYFUNCTION("""COMPUTED_VALUE"""),"105716817343")</f>
        <v>105716817343</v>
      </c>
      <c r="I476" s="2" t="str">
        <f ca="1">IFERROR(__xludf.DUMMYFUNCTION("""COMPUTED_VALUE"""),"Đỗ Thị Hoa Đào ")</f>
        <v xml:space="preserve">Đỗ Thị Hoa Đào </v>
      </c>
      <c r="J476" s="3" t="str">
        <f ca="1">IFERROR(__xludf.DUMMYFUNCTION("""COMPUTED_VALUE"""),"0327816891")</f>
        <v>0327816891</v>
      </c>
      <c r="K476" s="2" t="str">
        <f ca="1">IFERROR(__xludf.DUMMYFUNCTION("""COMPUTED_VALUE"""),"1740943175559")</f>
        <v>1740943175559</v>
      </c>
    </row>
    <row r="477" spans="1:11" ht="12.45">
      <c r="A477" s="2" t="str">
        <f ca="1">IFERROR(__xludf.DUMMYFUNCTION("""COMPUTED_VALUE"""),"1740943217000")</f>
        <v>1740943217000</v>
      </c>
      <c r="B477" s="2">
        <f ca="1">IFERROR(__xludf.DUMMYFUNCTION("""COMPUTED_VALUE"""),975374055)</f>
        <v>975374055</v>
      </c>
      <c r="C477" s="2" t="str">
        <f ca="1"/>
        <v>0975374055</v>
      </c>
      <c r="D477" s="2" t="str">
        <f ca="1">IFERROR(__xludf.DUMMYFUNCTION("""COMPUTED_VALUE"""),"1770929151509")</f>
        <v>1770929151509</v>
      </c>
      <c r="E477" s="2">
        <f ca="1">IFERROR(__xludf.DUMMYFUNCTION("""COMPUTED_VALUE"""),367486722)</f>
        <v>367486722</v>
      </c>
      <c r="F477" s="2" t="str">
        <f ca="1"/>
        <v>0367486722</v>
      </c>
      <c r="G477" s="2" t="str">
        <f ca="1">IFERROR(__xludf.DUMMYFUNCTION("""COMPUTED_VALUE"""),"105716817428")</f>
        <v>105716817428</v>
      </c>
      <c r="I477" s="2" t="str">
        <f ca="1">IFERROR(__xludf.DUMMYFUNCTION("""COMPUTED_VALUE"""),"Nguyễn Hữu Huy ")</f>
        <v xml:space="preserve">Nguyễn Hữu Huy </v>
      </c>
      <c r="J477" s="3" t="str">
        <f ca="1">IFERROR(__xludf.DUMMYFUNCTION("""COMPUTED_VALUE"""),"0867363583")</f>
        <v>0867363583</v>
      </c>
      <c r="K477" s="2" t="str">
        <f ca="1">IFERROR(__xludf.DUMMYFUNCTION("""COMPUTED_VALUE"""),"1740943217000")</f>
        <v>1740943217000</v>
      </c>
    </row>
    <row r="478" spans="1:11" ht="12.45">
      <c r="A478" s="2" t="str">
        <f ca="1">IFERROR(__xludf.DUMMYFUNCTION("""COMPUTED_VALUE"""),"1740943260893")</f>
        <v>1740943260893</v>
      </c>
      <c r="B478" s="2">
        <f ca="1">IFERROR(__xludf.DUMMYFUNCTION("""COMPUTED_VALUE"""),868179854)</f>
        <v>868179854</v>
      </c>
      <c r="C478" s="2" t="str">
        <f ca="1"/>
        <v>0868179854</v>
      </c>
      <c r="D478" s="2">
        <f ca="1">IFERROR(__xludf.DUMMYFUNCTION("""COMPUTED_VALUE"""),1755998666140)</f>
        <v>1755998666140</v>
      </c>
      <c r="E478" s="2">
        <f ca="1">IFERROR(__xludf.DUMMYFUNCTION("""COMPUTED_VALUE"""),868298137)</f>
        <v>868298137</v>
      </c>
      <c r="F478" s="2" t="str">
        <f ca="1"/>
        <v>0868298137</v>
      </c>
      <c r="G478" s="2" t="str">
        <f ca="1">IFERROR(__xludf.DUMMYFUNCTION("""COMPUTED_VALUE"""),"105775797131")</f>
        <v>105775797131</v>
      </c>
      <c r="I478" s="2" t="str">
        <f ca="1">IFERROR(__xludf.DUMMYFUNCTION("""COMPUTED_VALUE"""),"Lê Phương Anh")</f>
        <v>Lê Phương Anh</v>
      </c>
      <c r="J478" s="3" t="str">
        <f ca="1">IFERROR(__xludf.DUMMYFUNCTION("""COMPUTED_VALUE"""),"0943500574")</f>
        <v>0943500574</v>
      </c>
      <c r="K478" s="2" t="str">
        <f ca="1">IFERROR(__xludf.DUMMYFUNCTION("""COMPUTED_VALUE"""),"1740943260893")</f>
        <v>1740943260893</v>
      </c>
    </row>
    <row r="479" spans="1:11" ht="12.45">
      <c r="A479" s="2" t="str">
        <f ca="1">IFERROR(__xludf.DUMMYFUNCTION("""COMPUTED_VALUE"""),"1740943332542")</f>
        <v>1740943332542</v>
      </c>
      <c r="B479" s="2">
        <f ca="1">IFERROR(__xludf.DUMMYFUNCTION("""COMPUTED_VALUE"""),976646460)</f>
        <v>976646460</v>
      </c>
      <c r="C479" s="2" t="str">
        <f ca="1"/>
        <v>0976646460</v>
      </c>
      <c r="D479" s="2" t="str">
        <f ca="1">IFERROR(__xludf.DUMMYFUNCTION("""COMPUTED_VALUE"""),"1770929180794")</f>
        <v>1770929180794</v>
      </c>
      <c r="E479" s="2">
        <f ca="1">IFERROR(__xludf.DUMMYFUNCTION("""COMPUTED_VALUE"""),354510754)</f>
        <v>354510754</v>
      </c>
      <c r="F479" s="2" t="str">
        <f ca="1"/>
        <v>0354510754</v>
      </c>
      <c r="G479" s="2" t="str">
        <f ca="1">IFERROR(__xludf.DUMMYFUNCTION("""COMPUTED_VALUE"""),"105775797282")</f>
        <v>105775797282</v>
      </c>
      <c r="I479" s="2" t="str">
        <f ca="1">IFERROR(__xludf.DUMMYFUNCTION("""COMPUTED_VALUE"""),"Lý Mai Hân")</f>
        <v>Lý Mai Hân</v>
      </c>
      <c r="J479" s="3" t="str">
        <f ca="1">IFERROR(__xludf.DUMMYFUNCTION("""COMPUTED_VALUE"""),"0386700907")</f>
        <v>0386700907</v>
      </c>
      <c r="K479" s="2" t="str">
        <f ca="1">IFERROR(__xludf.DUMMYFUNCTION("""COMPUTED_VALUE"""),"1740943332542")</f>
        <v>1740943332542</v>
      </c>
    </row>
    <row r="480" spans="1:11" ht="12.45">
      <c r="A480" s="2" t="str">
        <f ca="1">IFERROR(__xludf.DUMMYFUNCTION("""COMPUTED_VALUE"""),"1740943367586")</f>
        <v>1740943367586</v>
      </c>
      <c r="B480" s="2">
        <f ca="1">IFERROR(__xludf.DUMMYFUNCTION("""COMPUTED_VALUE"""),329026525)</f>
        <v>329026525</v>
      </c>
      <c r="C480" s="2" t="str">
        <f ca="1"/>
        <v>0329026525</v>
      </c>
      <c r="D480" s="2" t="str">
        <f ca="1">IFERROR(__xludf.DUMMYFUNCTION("""COMPUTED_VALUE"""),"1770929216680")</f>
        <v>1770929216680</v>
      </c>
      <c r="E480" s="2">
        <f ca="1">IFERROR(__xludf.DUMMYFUNCTION("""COMPUTED_VALUE"""),825947775)</f>
        <v>825947775</v>
      </c>
      <c r="F480" s="2" t="str">
        <f ca="1"/>
        <v>0825947775</v>
      </c>
      <c r="G480" s="2" t="str">
        <f ca="1">IFERROR(__xludf.DUMMYFUNCTION("""COMPUTED_VALUE"""),"105775797363")</f>
        <v>105775797363</v>
      </c>
      <c r="I480" s="2" t="str">
        <f ca="1">IFERROR(__xludf.DUMMYFUNCTION("""COMPUTED_VALUE"""),"Đậu Thị Mai Phương")</f>
        <v>Đậu Thị Mai Phương</v>
      </c>
      <c r="J480" s="3" t="str">
        <f ca="1">IFERROR(__xludf.DUMMYFUNCTION("""COMPUTED_VALUE"""),"0867445083")</f>
        <v>0867445083</v>
      </c>
      <c r="K480" s="2" t="str">
        <f ca="1">IFERROR(__xludf.DUMMYFUNCTION("""COMPUTED_VALUE"""),"1740943367586")</f>
        <v>1740943367586</v>
      </c>
    </row>
    <row r="481" spans="1:11" ht="12.45">
      <c r="A481" s="2" t="str">
        <f ca="1">IFERROR(__xludf.DUMMYFUNCTION("""COMPUTED_VALUE"""),"1740943426869")</f>
        <v>1740943426869</v>
      </c>
      <c r="B481" s="2">
        <f ca="1">IFERROR(__xludf.DUMMYFUNCTION("""COMPUTED_VALUE"""),378355924)</f>
        <v>378355924</v>
      </c>
      <c r="C481" s="2" t="str">
        <f ca="1"/>
        <v>0378355924</v>
      </c>
      <c r="D481" s="2" t="str">
        <f ca="1">IFERROR(__xludf.DUMMYFUNCTION("""COMPUTED_VALUE"""),"1770929244449")</f>
        <v>1770929244449</v>
      </c>
      <c r="E481" s="2">
        <f ca="1">IFERROR(__xludf.DUMMYFUNCTION("""COMPUTED_VALUE"""),975561824)</f>
        <v>975561824</v>
      </c>
      <c r="F481" s="2" t="str">
        <f ca="1"/>
        <v>0975561824</v>
      </c>
      <c r="G481" s="2" t="str">
        <f ca="1">IFERROR(__xludf.DUMMYFUNCTION("""COMPUTED_VALUE"""),"105775797429")</f>
        <v>105775797429</v>
      </c>
      <c r="I481" s="2" t="str">
        <f ca="1">IFERROR(__xludf.DUMMYFUNCTION("""COMPUTED_VALUE"""),"Trần Bảo Ngọc")</f>
        <v>Trần Bảo Ngọc</v>
      </c>
      <c r="J481" s="3" t="str">
        <f ca="1">IFERROR(__xludf.DUMMYFUNCTION("""COMPUTED_VALUE"""),"0352367562")</f>
        <v>0352367562</v>
      </c>
      <c r="K481" s="2" t="str">
        <f ca="1">IFERROR(__xludf.DUMMYFUNCTION("""COMPUTED_VALUE"""),"1740943426869")</f>
        <v>1740943426869</v>
      </c>
    </row>
    <row r="482" spans="1:11" ht="12.45">
      <c r="A482" s="2" t="str">
        <f ca="1">IFERROR(__xludf.DUMMYFUNCTION("""COMPUTED_VALUE"""),"1740943474660")</f>
        <v>1740943474660</v>
      </c>
      <c r="B482" s="2">
        <f ca="1">IFERROR(__xludf.DUMMYFUNCTION("""COMPUTED_VALUE"""),964553499)</f>
        <v>964553499</v>
      </c>
      <c r="C482" s="2" t="str">
        <f ca="1"/>
        <v>0964553499</v>
      </c>
      <c r="D482" s="2" t="str">
        <f ca="1">IFERROR(__xludf.DUMMYFUNCTION("""COMPUTED_VALUE"""),"1770929269600")</f>
        <v>1770929269600</v>
      </c>
      <c r="E482" s="2">
        <f ca="1">IFERROR(__xludf.DUMMYFUNCTION("""COMPUTED_VALUE"""),372446061)</f>
        <v>372446061</v>
      </c>
      <c r="F482" s="2" t="str">
        <f ca="1"/>
        <v>0372446061</v>
      </c>
      <c r="G482" s="2" t="str">
        <f ca="1">IFERROR(__xludf.DUMMYFUNCTION("""COMPUTED_VALUE"""),"105775797557")</f>
        <v>105775797557</v>
      </c>
      <c r="I482" s="2" t="str">
        <f ca="1">IFERROR(__xludf.DUMMYFUNCTION("""COMPUTED_VALUE"""),"Hồ Đoàn Lan Anh")</f>
        <v>Hồ Đoàn Lan Anh</v>
      </c>
      <c r="J482" s="3" t="str">
        <f ca="1">IFERROR(__xludf.DUMMYFUNCTION("""COMPUTED_VALUE"""),"0832676113")</f>
        <v>0832676113</v>
      </c>
      <c r="K482" s="2" t="str">
        <f ca="1">IFERROR(__xludf.DUMMYFUNCTION("""COMPUTED_VALUE"""),"1740943474660")</f>
        <v>1740943474660</v>
      </c>
    </row>
    <row r="483" spans="1:11" ht="12.45">
      <c r="A483" s="2" t="str">
        <f ca="1">IFERROR(__xludf.DUMMYFUNCTION("""COMPUTED_VALUE"""),"1740943531836")</f>
        <v>1740943531836</v>
      </c>
      <c r="B483" s="2">
        <f ca="1">IFERROR(__xludf.DUMMYFUNCTION("""COMPUTED_VALUE"""),867645306)</f>
        <v>867645306</v>
      </c>
      <c r="C483" s="2" t="str">
        <f ca="1"/>
        <v>0867645306</v>
      </c>
      <c r="D483" s="2" t="str">
        <f ca="1">IFERROR(__xludf.DUMMYFUNCTION("""COMPUTED_VALUE"""),"1770929295445")</f>
        <v>1770929295445</v>
      </c>
      <c r="E483" s="2">
        <f ca="1">IFERROR(__xludf.DUMMYFUNCTION("""COMPUTED_VALUE"""),343484685)</f>
        <v>343484685</v>
      </c>
      <c r="F483" s="2" t="str">
        <f ca="1"/>
        <v>0343484685</v>
      </c>
      <c r="G483" s="2" t="str">
        <f ca="1">IFERROR(__xludf.DUMMYFUNCTION("""COMPUTED_VALUE"""),"105775797636")</f>
        <v>105775797636</v>
      </c>
      <c r="I483" s="2" t="str">
        <f ca="1">IFERROR(__xludf.DUMMYFUNCTION("""COMPUTED_VALUE"""),"Nguyễn Bảo Phúc ")</f>
        <v xml:space="preserve">Nguyễn Bảo Phúc </v>
      </c>
      <c r="J483" s="3" t="str">
        <f ca="1">IFERROR(__xludf.DUMMYFUNCTION("""COMPUTED_VALUE"""),"0765831689")</f>
        <v>0765831689</v>
      </c>
      <c r="K483" s="2" t="str">
        <f ca="1">IFERROR(__xludf.DUMMYFUNCTION("""COMPUTED_VALUE"""),"1740943531836")</f>
        <v>1740943531836</v>
      </c>
    </row>
    <row r="484" spans="1:11" ht="12.45">
      <c r="A484" s="2" t="str">
        <f ca="1">IFERROR(__xludf.DUMMYFUNCTION("""COMPUTED_VALUE"""),"1740943575900")</f>
        <v>1740943575900</v>
      </c>
      <c r="B484" s="2">
        <f ca="1">IFERROR(__xludf.DUMMYFUNCTION("""COMPUTED_VALUE"""),342817107)</f>
        <v>342817107</v>
      </c>
      <c r="C484" s="2" t="str">
        <f ca="1"/>
        <v>0342817107</v>
      </c>
      <c r="D484" s="2" t="str">
        <f ca="1">IFERROR(__xludf.DUMMYFUNCTION("""COMPUTED_VALUE"""),"1770929321926")</f>
        <v>1770929321926</v>
      </c>
      <c r="E484" s="2">
        <f ca="1">IFERROR(__xludf.DUMMYFUNCTION("""COMPUTED_VALUE"""),333493297)</f>
        <v>333493297</v>
      </c>
      <c r="F484" s="2" t="str">
        <f ca="1"/>
        <v>0333493297</v>
      </c>
      <c r="G484" s="2" t="str">
        <f ca="1">IFERROR(__xludf.DUMMYFUNCTION("""COMPUTED_VALUE"""),"105775797844")</f>
        <v>105775797844</v>
      </c>
      <c r="I484" s="2" t="str">
        <f ca="1">IFERROR(__xludf.DUMMYFUNCTION("""COMPUTED_VALUE"""),"BẠC THỊ NGUYỆT")</f>
        <v>BẠC THỊ NGUYỆT</v>
      </c>
      <c r="J484" s="3" t="str">
        <f ca="1">IFERROR(__xludf.DUMMYFUNCTION("""COMPUTED_VALUE"""),"0853213320")</f>
        <v>0853213320</v>
      </c>
      <c r="K484" s="2" t="str">
        <f ca="1">IFERROR(__xludf.DUMMYFUNCTION("""COMPUTED_VALUE"""),"1740943575900")</f>
        <v>1740943575900</v>
      </c>
    </row>
    <row r="485" spans="1:11" ht="12.45">
      <c r="A485" s="2" t="str">
        <f ca="1">IFERROR(__xludf.DUMMYFUNCTION("""COMPUTED_VALUE"""),"1740943625624")</f>
        <v>1740943625624</v>
      </c>
      <c r="B485" s="2">
        <f ca="1">IFERROR(__xludf.DUMMYFUNCTION("""COMPUTED_VALUE"""),945090911)</f>
        <v>945090911</v>
      </c>
      <c r="C485" s="2" t="str">
        <f ca="1"/>
        <v>0945090911</v>
      </c>
      <c r="D485" s="2" t="str">
        <f ca="1">IFERROR(__xludf.DUMMYFUNCTION("""COMPUTED_VALUE"""),"1770929350570")</f>
        <v>1770929350570</v>
      </c>
      <c r="E485" s="2">
        <f ca="1">IFERROR(__xludf.DUMMYFUNCTION("""COMPUTED_VALUE"""),394543947)</f>
        <v>394543947</v>
      </c>
      <c r="F485" s="2" t="str">
        <f ca="1"/>
        <v>0394543947</v>
      </c>
      <c r="G485" s="2" t="str">
        <f ca="1">IFERROR(__xludf.DUMMYFUNCTION("""COMPUTED_VALUE"""),"105775797928")</f>
        <v>105775797928</v>
      </c>
      <c r="I485" s="2" t="str">
        <f ca="1">IFERROR(__xludf.DUMMYFUNCTION("""COMPUTED_VALUE"""),"Đoàn Thị Mỹ Uyên")</f>
        <v>Đoàn Thị Mỹ Uyên</v>
      </c>
      <c r="J485" s="3" t="str">
        <f ca="1">IFERROR(__xludf.DUMMYFUNCTION("""COMPUTED_VALUE"""),"0973170828")</f>
        <v>0973170828</v>
      </c>
      <c r="K485" s="2" t="str">
        <f ca="1">IFERROR(__xludf.DUMMYFUNCTION("""COMPUTED_VALUE"""),"1740943625624")</f>
        <v>1740943625624</v>
      </c>
    </row>
    <row r="486" spans="1:11" ht="12.45">
      <c r="A486" s="2" t="str">
        <f ca="1">IFERROR(__xludf.DUMMYFUNCTION("""COMPUTED_VALUE"""),"1740943666247")</f>
        <v>1740943666247</v>
      </c>
      <c r="B486" s="2">
        <f ca="1">IFERROR(__xludf.DUMMYFUNCTION("""COMPUTED_VALUE"""),339846866)</f>
        <v>339846866</v>
      </c>
      <c r="C486" s="2" t="str">
        <f ca="1"/>
        <v>0339846866</v>
      </c>
      <c r="D486" s="2" t="str">
        <f ca="1">IFERROR(__xludf.DUMMYFUNCTION("""COMPUTED_VALUE"""),"1770929382736")</f>
        <v>1770929382736</v>
      </c>
      <c r="E486" s="2">
        <f ca="1">IFERROR(__xludf.DUMMYFUNCTION("""COMPUTED_VALUE"""),981036724)</f>
        <v>981036724</v>
      </c>
      <c r="F486" s="2" t="str">
        <f ca="1"/>
        <v>0981036724</v>
      </c>
      <c r="G486" s="2" t="str">
        <f ca="1">IFERROR(__xludf.DUMMYFUNCTION("""COMPUTED_VALUE"""),"105775798070")</f>
        <v>105775798070</v>
      </c>
      <c r="I486" s="2" t="str">
        <f ca="1">IFERROR(__xludf.DUMMYFUNCTION("""COMPUTED_VALUE"""),"Nhữ Kiều Lam")</f>
        <v>Nhữ Kiều Lam</v>
      </c>
      <c r="J486" s="3" t="str">
        <f ca="1">IFERROR(__xludf.DUMMYFUNCTION("""COMPUTED_VALUE"""),"0981050987")</f>
        <v>0981050987</v>
      </c>
      <c r="K486" s="2" t="str">
        <f ca="1">IFERROR(__xludf.DUMMYFUNCTION("""COMPUTED_VALUE"""),"1740943666247")</f>
        <v>1740943666247</v>
      </c>
    </row>
    <row r="487" spans="1:11" ht="12.45">
      <c r="A487" s="2" t="str">
        <f ca="1">IFERROR(__xludf.DUMMYFUNCTION("""COMPUTED_VALUE"""),"1740943716146")</f>
        <v>1740943716146</v>
      </c>
      <c r="B487" s="2">
        <f ca="1">IFERROR(__xludf.DUMMYFUNCTION("""COMPUTED_VALUE"""),912082166)</f>
        <v>912082166</v>
      </c>
      <c r="C487" s="2" t="str">
        <f ca="1"/>
        <v>0912082166</v>
      </c>
      <c r="D487" s="2" t="str">
        <f ca="1">IFERROR(__xludf.DUMMYFUNCTION("""COMPUTED_VALUE"""),"1770929409885")</f>
        <v>1770929409885</v>
      </c>
      <c r="E487" s="2">
        <f ca="1">IFERROR(__xludf.DUMMYFUNCTION("""COMPUTED_VALUE"""),869721607)</f>
        <v>869721607</v>
      </c>
      <c r="F487" s="2" t="str">
        <f ca="1"/>
        <v>0869721607</v>
      </c>
      <c r="G487" s="2" t="str">
        <f ca="1">IFERROR(__xludf.DUMMYFUNCTION("""COMPUTED_VALUE"""),"105775798120")</f>
        <v>105775798120</v>
      </c>
      <c r="I487" s="2" t="str">
        <f ca="1">IFERROR(__xludf.DUMMYFUNCTION("""COMPUTED_VALUE"""),"Võ Thị Minh Anh")</f>
        <v>Võ Thị Minh Anh</v>
      </c>
      <c r="J487" s="3" t="str">
        <f ca="1">IFERROR(__xludf.DUMMYFUNCTION("""COMPUTED_VALUE"""),"0911112927")</f>
        <v>0911112927</v>
      </c>
      <c r="K487" s="2" t="str">
        <f ca="1">IFERROR(__xludf.DUMMYFUNCTION("""COMPUTED_VALUE"""),"1740943716146")</f>
        <v>1740943716146</v>
      </c>
    </row>
    <row r="488" spans="1:11" ht="12.45">
      <c r="A488" s="2" t="str">
        <f ca="1">IFERROR(__xludf.DUMMYFUNCTION("""COMPUTED_VALUE"""),"1740943758817")</f>
        <v>1740943758817</v>
      </c>
      <c r="B488" s="2">
        <f ca="1">IFERROR(__xludf.DUMMYFUNCTION("""COMPUTED_VALUE"""),973911796)</f>
        <v>973911796</v>
      </c>
      <c r="C488" s="2" t="str">
        <f ca="1"/>
        <v>0973911796</v>
      </c>
      <c r="D488" s="2" t="str">
        <f ca="1">IFERROR(__xludf.DUMMYFUNCTION("""COMPUTED_VALUE"""),"1770929429989")</f>
        <v>1770929429989</v>
      </c>
      <c r="E488" s="2">
        <f ca="1">IFERROR(__xludf.DUMMYFUNCTION("""COMPUTED_VALUE"""),787223171)</f>
        <v>787223171</v>
      </c>
      <c r="F488" s="2" t="str">
        <f ca="1"/>
        <v>0787223171</v>
      </c>
      <c r="G488" s="2" t="str">
        <f ca="1">IFERROR(__xludf.DUMMYFUNCTION("""COMPUTED_VALUE"""),"105775798241")</f>
        <v>105775798241</v>
      </c>
      <c r="I488" s="2" t="str">
        <f ca="1">IFERROR(__xludf.DUMMYFUNCTION("""COMPUTED_VALUE"""),"Hoàng Đỗ Thảo An")</f>
        <v>Hoàng Đỗ Thảo An</v>
      </c>
      <c r="J488" s="3" t="str">
        <f ca="1">IFERROR(__xludf.DUMMYFUNCTION("""COMPUTED_VALUE"""),"0985049208")</f>
        <v>0985049208</v>
      </c>
      <c r="K488" s="2" t="str">
        <f ca="1">IFERROR(__xludf.DUMMYFUNCTION("""COMPUTED_VALUE"""),"1740943758817")</f>
        <v>1740943758817</v>
      </c>
    </row>
    <row r="489" spans="1:11" ht="12.45">
      <c r="A489" s="2" t="str">
        <f ca="1">IFERROR(__xludf.DUMMYFUNCTION("""COMPUTED_VALUE"""),"1740943809800")</f>
        <v>1740943809800</v>
      </c>
      <c r="B489" s="2">
        <f ca="1">IFERROR(__xludf.DUMMYFUNCTION("""COMPUTED_VALUE"""),948375536)</f>
        <v>948375536</v>
      </c>
      <c r="C489" s="2" t="str">
        <f ca="1"/>
        <v>0948375536</v>
      </c>
      <c r="D489" s="2" t="str">
        <f ca="1">IFERROR(__xludf.DUMMYFUNCTION("""COMPUTED_VALUE"""),"1770929456009")</f>
        <v>1770929456009</v>
      </c>
      <c r="E489" s="2">
        <f ca="1">IFERROR(__xludf.DUMMYFUNCTION("""COMPUTED_VALUE"""),776890361)</f>
        <v>776890361</v>
      </c>
      <c r="F489" s="2" t="str">
        <f ca="1"/>
        <v>0776890361</v>
      </c>
      <c r="G489" s="2" t="str">
        <f ca="1">IFERROR(__xludf.DUMMYFUNCTION("""COMPUTED_VALUE"""),"105775798427")</f>
        <v>105775798427</v>
      </c>
      <c r="I489" s="2" t="str">
        <f ca="1">IFERROR(__xludf.DUMMYFUNCTION("""COMPUTED_VALUE"""),"Đỗ Thảo Nguyên")</f>
        <v>Đỗ Thảo Nguyên</v>
      </c>
      <c r="J489" s="3" t="str">
        <f ca="1">IFERROR(__xludf.DUMMYFUNCTION("""COMPUTED_VALUE"""),"0339140858")</f>
        <v>0339140858</v>
      </c>
      <c r="K489" s="2" t="str">
        <f ca="1">IFERROR(__xludf.DUMMYFUNCTION("""COMPUTED_VALUE"""),"1740943809800")</f>
        <v>1740943809800</v>
      </c>
    </row>
    <row r="490" spans="1:11" ht="12.45">
      <c r="A490" s="2" t="str">
        <f ca="1">IFERROR(__xludf.DUMMYFUNCTION("""COMPUTED_VALUE"""),"1740943872426")</f>
        <v>1740943872426</v>
      </c>
      <c r="B490" s="2">
        <f ca="1">IFERROR(__xludf.DUMMYFUNCTION("""COMPUTED_VALUE"""),865700287)</f>
        <v>865700287</v>
      </c>
      <c r="C490" s="2" t="str">
        <f ca="1"/>
        <v>0865700287</v>
      </c>
      <c r="D490" s="2" t="str">
        <f ca="1">IFERROR(__xludf.DUMMYFUNCTION("""COMPUTED_VALUE"""),"1770929486268")</f>
        <v>1770929486268</v>
      </c>
      <c r="E490" s="2">
        <f ca="1">IFERROR(__xludf.DUMMYFUNCTION("""COMPUTED_VALUE"""),888001817)</f>
        <v>888001817</v>
      </c>
      <c r="F490" s="2" t="str">
        <f ca="1"/>
        <v>0888001817</v>
      </c>
      <c r="G490" s="2" t="str">
        <f ca="1">IFERROR(__xludf.DUMMYFUNCTION("""COMPUTED_VALUE"""),"105775798586")</f>
        <v>105775798586</v>
      </c>
      <c r="I490" s="2" t="str">
        <f ca="1">IFERROR(__xludf.DUMMYFUNCTION("""COMPUTED_VALUE"""),"Nguyễn Hương Ly ")</f>
        <v xml:space="preserve">Nguyễn Hương Ly </v>
      </c>
      <c r="J490" s="3" t="str">
        <f ca="1">IFERROR(__xludf.DUMMYFUNCTION("""COMPUTED_VALUE"""),"0337935022")</f>
        <v>0337935022</v>
      </c>
      <c r="K490" s="2" t="str">
        <f ca="1">IFERROR(__xludf.DUMMYFUNCTION("""COMPUTED_VALUE"""),"1740943872426")</f>
        <v>1740943872426</v>
      </c>
    </row>
    <row r="491" spans="1:11" ht="12.45">
      <c r="A491" s="2" t="str">
        <f ca="1">IFERROR(__xludf.DUMMYFUNCTION("""COMPUTED_VALUE"""),"1740943926690")</f>
        <v>1740943926690</v>
      </c>
      <c r="B491" s="2">
        <f ca="1">IFERROR(__xludf.DUMMYFUNCTION("""COMPUTED_VALUE"""),916595596)</f>
        <v>916595596</v>
      </c>
      <c r="C491" s="2" t="str">
        <f ca="1"/>
        <v>0916595596</v>
      </c>
      <c r="D491" s="2" t="str">
        <f ca="1">IFERROR(__xludf.DUMMYFUNCTION("""COMPUTED_VALUE"""),"1770929511939")</f>
        <v>1770929511939</v>
      </c>
      <c r="E491" s="2">
        <f ca="1">IFERROR(__xludf.DUMMYFUNCTION("""COMPUTED_VALUE"""),336836533)</f>
        <v>336836533</v>
      </c>
      <c r="F491" s="2" t="str">
        <f ca="1"/>
        <v>0336836533</v>
      </c>
      <c r="G491" s="2" t="str">
        <f ca="1">IFERROR(__xludf.DUMMYFUNCTION("""COMPUTED_VALUE"""),"105775798667")</f>
        <v>105775798667</v>
      </c>
      <c r="I491" s="2" t="str">
        <f ca="1">IFERROR(__xludf.DUMMYFUNCTION("""COMPUTED_VALUE"""),"Bùi Thị Quỳnh My")</f>
        <v>Bùi Thị Quỳnh My</v>
      </c>
      <c r="J491" s="3" t="str">
        <f ca="1">IFERROR(__xludf.DUMMYFUNCTION("""COMPUTED_VALUE"""),"0388745263")</f>
        <v>0388745263</v>
      </c>
      <c r="K491" s="2" t="str">
        <f ca="1">IFERROR(__xludf.DUMMYFUNCTION("""COMPUTED_VALUE"""),"1740943926690")</f>
        <v>1740943926690</v>
      </c>
    </row>
    <row r="492" spans="1:11" ht="12.45">
      <c r="A492" s="2" t="str">
        <f ca="1">IFERROR(__xludf.DUMMYFUNCTION("""COMPUTED_VALUE"""),"1740943983707")</f>
        <v>1740943983707</v>
      </c>
      <c r="B492" s="2">
        <f ca="1">IFERROR(__xludf.DUMMYFUNCTION("""COMPUTED_VALUE"""),357346337)</f>
        <v>357346337</v>
      </c>
      <c r="C492" s="2" t="str">
        <f ca="1"/>
        <v>0357346337</v>
      </c>
      <c r="D492" s="2" t="str">
        <f ca="1">IFERROR(__xludf.DUMMYFUNCTION("""COMPUTED_VALUE"""),"1770929538569")</f>
        <v>1770929538569</v>
      </c>
      <c r="E492" s="2">
        <f ca="1">IFERROR(__xludf.DUMMYFUNCTION("""COMPUTED_VALUE"""),976865931)</f>
        <v>976865931</v>
      </c>
      <c r="F492" s="2" t="str">
        <f ca="1"/>
        <v>0976865931</v>
      </c>
      <c r="G492" s="2" t="str">
        <f ca="1">IFERROR(__xludf.DUMMYFUNCTION("""COMPUTED_VALUE"""),"105775798892")</f>
        <v>105775798892</v>
      </c>
      <c r="I492" s="2" t="str">
        <f ca="1">IFERROR(__xludf.DUMMYFUNCTION("""COMPUTED_VALUE"""),"Nguyễn Thị Trà My")</f>
        <v>Nguyễn Thị Trà My</v>
      </c>
      <c r="J492" s="3" t="str">
        <f ca="1">IFERROR(__xludf.DUMMYFUNCTION("""COMPUTED_VALUE"""),"0866378281")</f>
        <v>0866378281</v>
      </c>
      <c r="K492" s="2" t="str">
        <f ca="1">IFERROR(__xludf.DUMMYFUNCTION("""COMPUTED_VALUE"""),"1740943983707")</f>
        <v>1740943983707</v>
      </c>
    </row>
    <row r="493" spans="1:11" ht="12.45">
      <c r="A493" s="2" t="str">
        <f ca="1">IFERROR(__xludf.DUMMYFUNCTION("""COMPUTED_VALUE"""),"1740944030941")</f>
        <v>1740944030941</v>
      </c>
      <c r="B493" s="2">
        <f ca="1">IFERROR(__xludf.DUMMYFUNCTION("""COMPUTED_VALUE"""),986419163)</f>
        <v>986419163</v>
      </c>
      <c r="C493" s="2" t="str">
        <f ca="1"/>
        <v>0986419163</v>
      </c>
      <c r="D493" s="2" t="str">
        <f ca="1">IFERROR(__xludf.DUMMYFUNCTION("""COMPUTED_VALUE"""),"1770929569596")</f>
        <v>1770929569596</v>
      </c>
      <c r="E493" s="2">
        <f ca="1">IFERROR(__xludf.DUMMYFUNCTION("""COMPUTED_VALUE"""),876380885)</f>
        <v>876380885</v>
      </c>
      <c r="F493" s="2" t="str">
        <f ca="1"/>
        <v>0876380885</v>
      </c>
      <c r="G493" s="2" t="str">
        <f ca="1">IFERROR(__xludf.DUMMYFUNCTION("""COMPUTED_VALUE"""),"105775798940")</f>
        <v>105775798940</v>
      </c>
      <c r="I493" s="2" t="str">
        <f ca="1">IFERROR(__xludf.DUMMYFUNCTION("""COMPUTED_VALUE"""),"Ngô Mai Chi")</f>
        <v>Ngô Mai Chi</v>
      </c>
      <c r="J493" s="3" t="str">
        <f ca="1">IFERROR(__xludf.DUMMYFUNCTION("""COMPUTED_VALUE"""),"0978468653")</f>
        <v>0978468653</v>
      </c>
      <c r="K493" s="2" t="str">
        <f ca="1">IFERROR(__xludf.DUMMYFUNCTION("""COMPUTED_VALUE"""),"1740944030941")</f>
        <v>1740944030941</v>
      </c>
    </row>
    <row r="494" spans="1:11" ht="12.45">
      <c r="A494" s="2" t="str">
        <f ca="1">IFERROR(__xludf.DUMMYFUNCTION("""COMPUTED_VALUE"""),"1740944072570")</f>
        <v>1740944072570</v>
      </c>
      <c r="B494" s="2">
        <f ca="1">IFERROR(__xludf.DUMMYFUNCTION("""COMPUTED_VALUE"""),941399242)</f>
        <v>941399242</v>
      </c>
      <c r="C494" s="2" t="str">
        <f ca="1"/>
        <v>0941399242</v>
      </c>
      <c r="D494" s="2" t="str">
        <f ca="1">IFERROR(__xludf.DUMMYFUNCTION("""COMPUTED_VALUE"""),"1770929610283")</f>
        <v>1770929610283</v>
      </c>
      <c r="E494" s="2">
        <f ca="1">IFERROR(__xludf.DUMMYFUNCTION("""COMPUTED_VALUE"""),902164767)</f>
        <v>902164767</v>
      </c>
      <c r="F494" s="2" t="str">
        <f ca="1"/>
        <v>0902164767</v>
      </c>
      <c r="G494" s="2" t="str">
        <f ca="1">IFERROR(__xludf.DUMMYFUNCTION("""COMPUTED_VALUE"""),"105775799068")</f>
        <v>105775799068</v>
      </c>
      <c r="I494" s="2" t="str">
        <f ca="1">IFERROR(__xludf.DUMMYFUNCTION("""COMPUTED_VALUE"""),"Huỳnh Trần Kim Ngân ")</f>
        <v xml:space="preserve">Huỳnh Trần Kim Ngân </v>
      </c>
      <c r="J494" s="3" t="str">
        <f ca="1">IFERROR(__xludf.DUMMYFUNCTION("""COMPUTED_VALUE"""),"0917777725")</f>
        <v>0917777725</v>
      </c>
      <c r="K494" s="2" t="str">
        <f ca="1">IFERROR(__xludf.DUMMYFUNCTION("""COMPUTED_VALUE"""),"1740944072570")</f>
        <v>1740944072570</v>
      </c>
    </row>
    <row r="495" spans="1:11" ht="12.45">
      <c r="A495" s="2" t="str">
        <f ca="1">IFERROR(__xludf.DUMMYFUNCTION("""COMPUTED_VALUE"""),"1753012432907")</f>
        <v>1753012432907</v>
      </c>
      <c r="B495" s="2">
        <f ca="1">IFERROR(__xludf.DUMMYFUNCTION("""COMPUTED_VALUE"""),789524348)</f>
        <v>789524348</v>
      </c>
      <c r="C495" s="2" t="str">
        <f ca="1"/>
        <v>0789524348</v>
      </c>
      <c r="D495" s="2" t="str">
        <f ca="1">IFERROR(__xludf.DUMMYFUNCTION("""COMPUTED_VALUE"""),"1770929650216")</f>
        <v>1770929650216</v>
      </c>
      <c r="E495" s="2">
        <f ca="1">IFERROR(__xludf.DUMMYFUNCTION("""COMPUTED_VALUE"""),372166452)</f>
        <v>372166452</v>
      </c>
      <c r="F495" s="2" t="str">
        <f ca="1"/>
        <v>0372166452</v>
      </c>
      <c r="G495" s="2" t="str">
        <f ca="1">IFERROR(__xludf.DUMMYFUNCTION("""COMPUTED_VALUE"""),"105775799122")</f>
        <v>105775799122</v>
      </c>
      <c r="I495" s="2" t="str">
        <f ca="1">IFERROR(__xludf.DUMMYFUNCTION("""COMPUTED_VALUE"""),"Vũ Nguyễn Thu Trang")</f>
        <v>Vũ Nguyễn Thu Trang</v>
      </c>
      <c r="J495" s="3" t="str">
        <f ca="1">IFERROR(__xludf.DUMMYFUNCTION("""COMPUTED_VALUE"""),"0328860293")</f>
        <v>0328860293</v>
      </c>
      <c r="K495" s="2" t="str">
        <f ca="1">IFERROR(__xludf.DUMMYFUNCTION("""COMPUTED_VALUE"""),"1753012432907")</f>
        <v>1753012432907</v>
      </c>
    </row>
    <row r="496" spans="1:11" ht="12.45">
      <c r="A496" s="2" t="str">
        <f ca="1">IFERROR(__xludf.DUMMYFUNCTION("""COMPUTED_VALUE"""),"1740944117113")</f>
        <v>1740944117113</v>
      </c>
      <c r="B496" s="2">
        <f ca="1">IFERROR(__xludf.DUMMYFUNCTION("""COMPUTED_VALUE"""),988642759)</f>
        <v>988642759</v>
      </c>
      <c r="C496" s="2" t="str">
        <f ca="1"/>
        <v>0988642759</v>
      </c>
      <c r="D496" s="2" t="str">
        <f ca="1">IFERROR(__xludf.DUMMYFUNCTION("""COMPUTED_VALUE"""),"1770929672922")</f>
        <v>1770929672922</v>
      </c>
      <c r="E496" s="2">
        <f ca="1">IFERROR(__xludf.DUMMYFUNCTION("""COMPUTED_VALUE"""),364613863)</f>
        <v>364613863</v>
      </c>
      <c r="F496" s="2" t="str">
        <f ca="1"/>
        <v>0364613863</v>
      </c>
      <c r="G496" s="2" t="str">
        <f ca="1">IFERROR(__xludf.DUMMYFUNCTION("""COMPUTED_VALUE"""),"105775799260")</f>
        <v>105775799260</v>
      </c>
      <c r="I496" s="2" t="str">
        <f ca="1">IFERROR(__xludf.DUMMYFUNCTION("""COMPUTED_VALUE"""),"Trần Bảo Ngọc")</f>
        <v>Trần Bảo Ngọc</v>
      </c>
      <c r="J496" s="3" t="str">
        <f ca="1">IFERROR(__xludf.DUMMYFUNCTION("""COMPUTED_VALUE"""),"0836080107")</f>
        <v>0836080107</v>
      </c>
      <c r="K496" s="2" t="str">
        <f ca="1">IFERROR(__xludf.DUMMYFUNCTION("""COMPUTED_VALUE"""),"1740944117113")</f>
        <v>1740944117113</v>
      </c>
    </row>
    <row r="497" spans="1:11" ht="12.45">
      <c r="A497" s="2" t="str">
        <f ca="1">IFERROR(__xludf.DUMMYFUNCTION("""COMPUTED_VALUE"""),"1740944150969")</f>
        <v>1740944150969</v>
      </c>
      <c r="B497" s="2">
        <f ca="1">IFERROR(__xludf.DUMMYFUNCTION("""COMPUTED_VALUE"""),336802593)</f>
        <v>336802593</v>
      </c>
      <c r="C497" s="2" t="str">
        <f ca="1"/>
        <v>0336802593</v>
      </c>
      <c r="D497" s="2" t="str">
        <f ca="1">IFERROR(__xludf.DUMMYFUNCTION("""COMPUTED_VALUE"""),"1770929706980")</f>
        <v>1770929706980</v>
      </c>
      <c r="E497" s="2">
        <f ca="1">IFERROR(__xludf.DUMMYFUNCTION("""COMPUTED_VALUE"""),787658059)</f>
        <v>787658059</v>
      </c>
      <c r="F497" s="2" t="str">
        <f ca="1"/>
        <v>0787658059</v>
      </c>
      <c r="G497" s="2" t="str">
        <f ca="1">IFERROR(__xludf.DUMMYFUNCTION("""COMPUTED_VALUE"""),"105775799494")</f>
        <v>105775799494</v>
      </c>
      <c r="I497" s="2" t="str">
        <f ca="1">IFERROR(__xludf.DUMMYFUNCTION("""COMPUTED_VALUE"""),"Nguyễn Bùi Hải Anh")</f>
        <v>Nguyễn Bùi Hải Anh</v>
      </c>
      <c r="J497" s="3" t="str">
        <f ca="1">IFERROR(__xludf.DUMMYFUNCTION("""COMPUTED_VALUE"""),"0961022058")</f>
        <v>0961022058</v>
      </c>
      <c r="K497" s="2" t="str">
        <f ca="1">IFERROR(__xludf.DUMMYFUNCTION("""COMPUTED_VALUE"""),"1740944150969")</f>
        <v>1740944150969</v>
      </c>
    </row>
    <row r="498" spans="1:11" ht="12.45">
      <c r="A498" s="2" t="str">
        <f ca="1">IFERROR(__xludf.DUMMYFUNCTION("""COMPUTED_VALUE"""),"1740944225624")</f>
        <v>1740944225624</v>
      </c>
      <c r="B498" s="2">
        <f ca="1">IFERROR(__xludf.DUMMYFUNCTION("""COMPUTED_VALUE"""),343516015)</f>
        <v>343516015</v>
      </c>
      <c r="C498" s="2" t="str">
        <f ca="1"/>
        <v>0343516015</v>
      </c>
      <c r="D498" s="2" t="str">
        <f ca="1">IFERROR(__xludf.DUMMYFUNCTION("""COMPUTED_VALUE"""),"1770929743020")</f>
        <v>1770929743020</v>
      </c>
      <c r="E498" s="2">
        <f ca="1">IFERROR(__xludf.DUMMYFUNCTION("""COMPUTED_VALUE"""),913578361)</f>
        <v>913578361</v>
      </c>
      <c r="F498" s="2" t="str">
        <f ca="1"/>
        <v>0913578361</v>
      </c>
      <c r="G498" s="2" t="str">
        <f ca="1">IFERROR(__xludf.DUMMYFUNCTION("""COMPUTED_VALUE"""),"105775799570")</f>
        <v>105775799570</v>
      </c>
      <c r="I498" s="2" t="str">
        <f ca="1">IFERROR(__xludf.DUMMYFUNCTION("""COMPUTED_VALUE"""),"Đỗ Quỳnh Trâm Anh")</f>
        <v>Đỗ Quỳnh Trâm Anh</v>
      </c>
      <c r="J498" s="3" t="str">
        <f ca="1">IFERROR(__xludf.DUMMYFUNCTION("""COMPUTED_VALUE"""),"0352089519")</f>
        <v>0352089519</v>
      </c>
      <c r="K498" s="2" t="str">
        <f ca="1">IFERROR(__xludf.DUMMYFUNCTION("""COMPUTED_VALUE"""),"1740944225624")</f>
        <v>1740944225624</v>
      </c>
    </row>
    <row r="499" spans="1:11" ht="12.45">
      <c r="A499" s="2" t="str">
        <f ca="1">IFERROR(__xludf.DUMMYFUNCTION("""COMPUTED_VALUE"""),"1740944267004")</f>
        <v>1740944267004</v>
      </c>
      <c r="B499" s="2">
        <f ca="1">IFERROR(__xludf.DUMMYFUNCTION("""COMPUTED_VALUE"""),932084579)</f>
        <v>932084579</v>
      </c>
      <c r="C499" s="2" t="str">
        <f ca="1"/>
        <v>0932084579</v>
      </c>
      <c r="D499" s="2" t="str">
        <f ca="1">IFERROR(__xludf.DUMMYFUNCTION("""COMPUTED_VALUE"""),"1770929770733")</f>
        <v>1770929770733</v>
      </c>
      <c r="E499" s="2">
        <f ca="1">IFERROR(__xludf.DUMMYFUNCTION("""COMPUTED_VALUE"""),962908962)</f>
        <v>962908962</v>
      </c>
      <c r="F499" s="2" t="str">
        <f ca="1"/>
        <v>0962908962</v>
      </c>
      <c r="G499" s="2" t="str">
        <f ca="1">IFERROR(__xludf.DUMMYFUNCTION("""COMPUTED_VALUE"""),"105775799658")</f>
        <v>105775799658</v>
      </c>
      <c r="I499" s="2" t="str">
        <f ca="1">IFERROR(__xludf.DUMMYFUNCTION("""COMPUTED_VALUE"""),"Huỳnh Ngọc Bảo Trang")</f>
        <v>Huỳnh Ngọc Bảo Trang</v>
      </c>
      <c r="J499" s="3" t="str">
        <f ca="1">IFERROR(__xludf.DUMMYFUNCTION("""COMPUTED_VALUE"""),"0949210307")</f>
        <v>0949210307</v>
      </c>
      <c r="K499" s="2" t="str">
        <f ca="1">IFERROR(__xludf.DUMMYFUNCTION("""COMPUTED_VALUE"""),"1740944267004")</f>
        <v>1740944267004</v>
      </c>
    </row>
    <row r="500" spans="1:11" ht="12.45">
      <c r="A500" s="2" t="str">
        <f ca="1">IFERROR(__xludf.DUMMYFUNCTION("""COMPUTED_VALUE"""),"1740944318294")</f>
        <v>1740944318294</v>
      </c>
      <c r="B500" s="2">
        <f ca="1">IFERROR(__xludf.DUMMYFUNCTION("""COMPUTED_VALUE"""),382734669)</f>
        <v>382734669</v>
      </c>
      <c r="C500" s="2" t="str">
        <f ca="1"/>
        <v>0382734669</v>
      </c>
      <c r="D500" s="2" t="str">
        <f ca="1">IFERROR(__xludf.DUMMYFUNCTION("""COMPUTED_VALUE"""),"1770929795460")</f>
        <v>1770929795460</v>
      </c>
      <c r="E500" s="2">
        <f ca="1">IFERROR(__xludf.DUMMYFUNCTION("""COMPUTED_VALUE"""),973068623)</f>
        <v>973068623</v>
      </c>
      <c r="F500" s="2" t="str">
        <f ca="1"/>
        <v>0973068623</v>
      </c>
      <c r="G500" s="2" t="str">
        <f ca="1">IFERROR(__xludf.DUMMYFUNCTION("""COMPUTED_VALUE"""),"105775799731")</f>
        <v>105775799731</v>
      </c>
      <c r="I500" s="2" t="str">
        <f ca="1">IFERROR(__xludf.DUMMYFUNCTION("""COMPUTED_VALUE"""),"Võ Thị Phương Trinh")</f>
        <v>Võ Thị Phương Trinh</v>
      </c>
      <c r="J500" s="3" t="str">
        <f ca="1">IFERROR(__xludf.DUMMYFUNCTION("""COMPUTED_VALUE"""),"0932149700")</f>
        <v>0932149700</v>
      </c>
      <c r="K500" s="2" t="str">
        <f ca="1">IFERROR(__xludf.DUMMYFUNCTION("""COMPUTED_VALUE"""),"1740944318294")</f>
        <v>1740944318294</v>
      </c>
    </row>
    <row r="501" spans="1:11" ht="12.45">
      <c r="A501" s="2" t="str">
        <f ca="1">IFERROR(__xludf.DUMMYFUNCTION("""COMPUTED_VALUE"""),"1740944355288")</f>
        <v>1740944355288</v>
      </c>
      <c r="B501" s="2">
        <f ca="1">IFERROR(__xludf.DUMMYFUNCTION("""COMPUTED_VALUE"""),918499014)</f>
        <v>918499014</v>
      </c>
      <c r="C501" s="2" t="str">
        <f ca="1"/>
        <v>0918499014</v>
      </c>
      <c r="D501" s="2" t="str">
        <f ca="1">IFERROR(__xludf.DUMMYFUNCTION("""COMPUTED_VALUE"""),"1770929831319")</f>
        <v>1770929831319</v>
      </c>
      <c r="E501" s="2">
        <f ca="1">IFERROR(__xludf.DUMMYFUNCTION("""COMPUTED_VALUE"""),904473585)</f>
        <v>904473585</v>
      </c>
      <c r="F501" s="2" t="str">
        <f ca="1"/>
        <v>0904473585</v>
      </c>
      <c r="G501" s="2" t="str">
        <f ca="1">IFERROR(__xludf.DUMMYFUNCTION("""COMPUTED_VALUE"""),"105775799837")</f>
        <v>105775799837</v>
      </c>
      <c r="I501" s="2" t="str">
        <f ca="1">IFERROR(__xludf.DUMMYFUNCTION("""COMPUTED_VALUE"""),"Lê Mai Anh")</f>
        <v>Lê Mai Anh</v>
      </c>
      <c r="J501" s="3" t="str">
        <f ca="1">IFERROR(__xludf.DUMMYFUNCTION("""COMPUTED_VALUE"""),"0878310232")</f>
        <v>0878310232</v>
      </c>
      <c r="K501" s="2" t="str">
        <f ca="1">IFERROR(__xludf.DUMMYFUNCTION("""COMPUTED_VALUE"""),"1740944355288")</f>
        <v>1740944355288</v>
      </c>
    </row>
    <row r="502" spans="1:11" ht="12.45">
      <c r="A502" s="2" t="str">
        <f ca="1">IFERROR(__xludf.DUMMYFUNCTION("""COMPUTED_VALUE"""),"1740944399057")</f>
        <v>1740944399057</v>
      </c>
      <c r="B502" s="2">
        <f ca="1">IFERROR(__xludf.DUMMYFUNCTION("""COMPUTED_VALUE"""),965169879)</f>
        <v>965169879</v>
      </c>
      <c r="C502" s="2" t="str">
        <f ca="1"/>
        <v>0965169879</v>
      </c>
      <c r="D502" s="2" t="str">
        <f ca="1">IFERROR(__xludf.DUMMYFUNCTION("""COMPUTED_VALUE"""),"1770929858180")</f>
        <v>1770929858180</v>
      </c>
      <c r="E502" s="2">
        <f ca="1">IFERROR(__xludf.DUMMYFUNCTION("""COMPUTED_VALUE"""),396564611)</f>
        <v>396564611</v>
      </c>
      <c r="F502" s="2" t="str">
        <f ca="1"/>
        <v>0396564611</v>
      </c>
      <c r="G502" s="2" t="str">
        <f ca="1">IFERROR(__xludf.DUMMYFUNCTION("""COMPUTED_VALUE"""),"105775799915")</f>
        <v>105775799915</v>
      </c>
      <c r="I502" s="2" t="str">
        <f ca="1">IFERROR(__xludf.DUMMYFUNCTION("""COMPUTED_VALUE"""),"Nguyễn Hồng Phúc")</f>
        <v>Nguyễn Hồng Phúc</v>
      </c>
      <c r="J502" s="3" t="str">
        <f ca="1">IFERROR(__xludf.DUMMYFUNCTION("""COMPUTED_VALUE"""),"0877976594")</f>
        <v>0877976594</v>
      </c>
      <c r="K502" s="2" t="str">
        <f ca="1">IFERROR(__xludf.DUMMYFUNCTION("""COMPUTED_VALUE"""),"1740944399057")</f>
        <v>1740944399057</v>
      </c>
    </row>
    <row r="503" spans="1:11" ht="12.45">
      <c r="A503" s="2" t="str">
        <f ca="1">IFERROR(__xludf.DUMMYFUNCTION("""COMPUTED_VALUE"""),"1741193747348")</f>
        <v>1741193747348</v>
      </c>
      <c r="B503" s="2">
        <f ca="1">IFERROR(__xludf.DUMMYFUNCTION("""COMPUTED_VALUE"""),832715881)</f>
        <v>832715881</v>
      </c>
      <c r="C503" s="2" t="str">
        <f ca="1"/>
        <v>0832715881</v>
      </c>
      <c r="D503" s="2" t="str">
        <f ca="1">IFERROR(__xludf.DUMMYFUNCTION("""COMPUTED_VALUE"""),"1770929904120")</f>
        <v>1770929904120</v>
      </c>
      <c r="E503" s="2">
        <f ca="1">IFERROR(__xludf.DUMMYFUNCTION("""COMPUTED_VALUE"""),384428464)</f>
        <v>384428464</v>
      </c>
      <c r="F503" s="2" t="str">
        <f ca="1"/>
        <v>0384428464</v>
      </c>
      <c r="G503" s="2" t="str">
        <f ca="1">IFERROR(__xludf.DUMMYFUNCTION("""COMPUTED_VALUE"""),"105775800078")</f>
        <v>105775800078</v>
      </c>
      <c r="I503" s="2" t="str">
        <f ca="1">IFERROR(__xludf.DUMMYFUNCTION("""COMPUTED_VALUE"""),"Phạm Ngọc Kim Chi")</f>
        <v>Phạm Ngọc Kim Chi</v>
      </c>
      <c r="J503" s="3" t="str">
        <f ca="1">IFERROR(__xludf.DUMMYFUNCTION("""COMPUTED_VALUE"""),"0903301599")</f>
        <v>0903301599</v>
      </c>
      <c r="K503" s="2" t="str">
        <f ca="1">IFERROR(__xludf.DUMMYFUNCTION("""COMPUTED_VALUE"""),"1741193747348")</f>
        <v>1741193747348</v>
      </c>
    </row>
    <row r="504" spans="1:11" ht="12.45">
      <c r="A504" s="2" t="str">
        <f ca="1">IFERROR(__xludf.DUMMYFUNCTION("""COMPUTED_VALUE"""),"1741193793126")</f>
        <v>1741193793126</v>
      </c>
      <c r="B504" s="2">
        <f ca="1">IFERROR(__xludf.DUMMYFUNCTION("""COMPUTED_VALUE"""),945885705)</f>
        <v>945885705</v>
      </c>
      <c r="C504" s="2" t="str">
        <f ca="1"/>
        <v>0945885705</v>
      </c>
      <c r="D504" s="2">
        <f ca="1">IFERROR(__xludf.DUMMYFUNCTION("""COMPUTED_VALUE"""),1742175741467)</f>
        <v>1742175741467</v>
      </c>
      <c r="E504" s="2">
        <f ca="1">IFERROR(__xludf.DUMMYFUNCTION("""COMPUTED_VALUE"""),947434378)</f>
        <v>947434378</v>
      </c>
      <c r="F504" s="2" t="str">
        <f ca="1"/>
        <v>0947434378</v>
      </c>
      <c r="G504" s="2" t="str">
        <f ca="1">IFERROR(__xludf.DUMMYFUNCTION("""COMPUTED_VALUE"""),"105775800259")</f>
        <v>105775800259</v>
      </c>
      <c r="I504" s="2" t="str">
        <f ca="1">IFERROR(__xludf.DUMMYFUNCTION("""COMPUTED_VALUE"""),"Nguyễn Thu Hà")</f>
        <v>Nguyễn Thu Hà</v>
      </c>
      <c r="J504" s="3" t="str">
        <f ca="1">IFERROR(__xludf.DUMMYFUNCTION("""COMPUTED_VALUE"""),"0375234185")</f>
        <v>0375234185</v>
      </c>
      <c r="K504" s="2" t="str">
        <f ca="1">IFERROR(__xludf.DUMMYFUNCTION("""COMPUTED_VALUE"""),"1741193793126")</f>
        <v>1741193793126</v>
      </c>
    </row>
    <row r="505" spans="1:11" ht="12.45">
      <c r="A505" s="2" t="str">
        <f ca="1">IFERROR(__xludf.DUMMYFUNCTION("""COMPUTED_VALUE"""),"1741193831434")</f>
        <v>1741193831434</v>
      </c>
      <c r="B505" s="2">
        <f ca="1">IFERROR(__xludf.DUMMYFUNCTION("""COMPUTED_VALUE"""),386859462)</f>
        <v>386859462</v>
      </c>
      <c r="C505" s="2" t="str">
        <f ca="1"/>
        <v>0386859462</v>
      </c>
      <c r="D505" s="2">
        <f ca="1">IFERROR(__xludf.DUMMYFUNCTION("""COMPUTED_VALUE"""),1742175778269)</f>
        <v>1742175778269</v>
      </c>
      <c r="E505" s="2">
        <f ca="1">IFERROR(__xludf.DUMMYFUNCTION("""COMPUTED_VALUE"""),866790877)</f>
        <v>866790877</v>
      </c>
      <c r="F505" s="2" t="str">
        <f ca="1"/>
        <v>0866790877</v>
      </c>
      <c r="G505" s="2" t="str">
        <f ca="1">IFERROR(__xludf.DUMMYFUNCTION("""COMPUTED_VALUE"""),"105775800313")</f>
        <v>105775800313</v>
      </c>
      <c r="I505" s="2" t="str">
        <f ca="1">IFERROR(__xludf.DUMMYFUNCTION("""COMPUTED_VALUE"""),"Tô Minh Châu")</f>
        <v>Tô Minh Châu</v>
      </c>
      <c r="J505" s="3" t="str">
        <f ca="1">IFERROR(__xludf.DUMMYFUNCTION("""COMPUTED_VALUE"""),"0369939029")</f>
        <v>0369939029</v>
      </c>
      <c r="K505" s="2" t="str">
        <f ca="1">IFERROR(__xludf.DUMMYFUNCTION("""COMPUTED_VALUE"""),"1741193831434")</f>
        <v>1741193831434</v>
      </c>
    </row>
    <row r="506" spans="1:11" ht="12.45">
      <c r="A506" s="2" t="str">
        <f ca="1">IFERROR(__xludf.DUMMYFUNCTION("""COMPUTED_VALUE"""),"1741193888907")</f>
        <v>1741193888907</v>
      </c>
      <c r="B506" s="2">
        <f ca="1">IFERROR(__xludf.DUMMYFUNCTION("""COMPUTED_VALUE"""),886874007)</f>
        <v>886874007</v>
      </c>
      <c r="C506" s="2" t="str">
        <f ca="1"/>
        <v>0886874007</v>
      </c>
      <c r="D506" s="2">
        <f ca="1">IFERROR(__xludf.DUMMYFUNCTION("""COMPUTED_VALUE"""),1742175814937)</f>
        <v>1742175814937</v>
      </c>
      <c r="E506" s="2">
        <f ca="1">IFERROR(__xludf.DUMMYFUNCTION("""COMPUTED_VALUE"""),865645829)</f>
        <v>865645829</v>
      </c>
      <c r="F506" s="2" t="str">
        <f ca="1"/>
        <v>0865645829</v>
      </c>
      <c r="G506" s="2" t="str">
        <f ca="1">IFERROR(__xludf.DUMMYFUNCTION("""COMPUTED_VALUE"""),"105775800433")</f>
        <v>105775800433</v>
      </c>
      <c r="I506" s="2" t="str">
        <f ca="1">IFERROR(__xludf.DUMMYFUNCTION("""COMPUTED_VALUE"""),"Phan Thị Ngọc Anh ")</f>
        <v xml:space="preserve">Phan Thị Ngọc Anh </v>
      </c>
      <c r="J506" s="3" t="str">
        <f ca="1">IFERROR(__xludf.DUMMYFUNCTION("""COMPUTED_VALUE"""),"0392277505")</f>
        <v>0392277505</v>
      </c>
      <c r="K506" s="2" t="str">
        <f ca="1">IFERROR(__xludf.DUMMYFUNCTION("""COMPUTED_VALUE"""),"1741193888907")</f>
        <v>1741193888907</v>
      </c>
    </row>
    <row r="507" spans="1:11" ht="12.45">
      <c r="A507" s="2" t="str">
        <f ca="1">IFERROR(__xludf.DUMMYFUNCTION("""COMPUTED_VALUE"""),"1741193921126")</f>
        <v>1741193921126</v>
      </c>
      <c r="B507" s="2">
        <f ca="1">IFERROR(__xludf.DUMMYFUNCTION("""COMPUTED_VALUE"""),934479832)</f>
        <v>934479832</v>
      </c>
      <c r="C507" s="2" t="str">
        <f ca="1"/>
        <v>0934479832</v>
      </c>
      <c r="D507" s="2">
        <f ca="1">IFERROR(__xludf.DUMMYFUNCTION("""COMPUTED_VALUE"""),1742175868390)</f>
        <v>1742175868390</v>
      </c>
      <c r="E507" s="2">
        <f ca="1">IFERROR(__xludf.DUMMYFUNCTION("""COMPUTED_VALUE"""),905411687)</f>
        <v>905411687</v>
      </c>
      <c r="F507" s="2" t="str">
        <f ca="1"/>
        <v>0905411687</v>
      </c>
      <c r="G507" s="2" t="str">
        <f ca="1">IFERROR(__xludf.DUMMYFUNCTION("""COMPUTED_VALUE"""),"105775800582")</f>
        <v>105775800582</v>
      </c>
      <c r="I507" s="2" t="str">
        <f ca="1">IFERROR(__xludf.DUMMYFUNCTION("""COMPUTED_VALUE"""),"Trần Phạm Thanh Lan")</f>
        <v>Trần Phạm Thanh Lan</v>
      </c>
      <c r="J507" s="3" t="str">
        <f ca="1">IFERROR(__xludf.DUMMYFUNCTION("""COMPUTED_VALUE"""),"0703132784")</f>
        <v>0703132784</v>
      </c>
      <c r="K507" s="2" t="str">
        <f ca="1">IFERROR(__xludf.DUMMYFUNCTION("""COMPUTED_VALUE"""),"1741193921126")</f>
        <v>1741193921126</v>
      </c>
    </row>
    <row r="508" spans="1:11" ht="12.45">
      <c r="A508" s="2" t="str">
        <f ca="1">IFERROR(__xludf.DUMMYFUNCTION("""COMPUTED_VALUE"""),"1741193971071")</f>
        <v>1741193971071</v>
      </c>
      <c r="B508" s="2">
        <f ca="1">IFERROR(__xludf.DUMMYFUNCTION("""COMPUTED_VALUE"""),825577741)</f>
        <v>825577741</v>
      </c>
      <c r="C508" s="2" t="str">
        <f ca="1"/>
        <v>0825577741</v>
      </c>
      <c r="D508" s="2">
        <f ca="1">IFERROR(__xludf.DUMMYFUNCTION("""COMPUTED_VALUE"""),1742175905240)</f>
        <v>1742175905240</v>
      </c>
      <c r="E508" s="2">
        <f ca="1">IFERROR(__xludf.DUMMYFUNCTION("""COMPUTED_VALUE"""),354562005)</f>
        <v>354562005</v>
      </c>
      <c r="F508" s="2" t="str">
        <f ca="1"/>
        <v>0354562005</v>
      </c>
      <c r="G508" s="2" t="str">
        <f ca="1">IFERROR(__xludf.DUMMYFUNCTION("""COMPUTED_VALUE"""),"105775800628")</f>
        <v>105775800628</v>
      </c>
      <c r="I508" s="2" t="str">
        <f ca="1">IFERROR(__xludf.DUMMYFUNCTION("""COMPUTED_VALUE"""),"Nguyễn Nhật My")</f>
        <v>Nguyễn Nhật My</v>
      </c>
      <c r="J508" s="3" t="str">
        <f ca="1">IFERROR(__xludf.DUMMYFUNCTION("""COMPUTED_VALUE"""),"0868468047")</f>
        <v>0868468047</v>
      </c>
      <c r="K508" s="2" t="str">
        <f ca="1">IFERROR(__xludf.DUMMYFUNCTION("""COMPUTED_VALUE"""),"1741193971071")</f>
        <v>1741193971071</v>
      </c>
    </row>
    <row r="509" spans="1:11" ht="12.45">
      <c r="A509" s="2" t="str">
        <f ca="1">IFERROR(__xludf.DUMMYFUNCTION("""COMPUTED_VALUE"""),"1741194025801")</f>
        <v>1741194025801</v>
      </c>
      <c r="B509" s="2">
        <f ca="1">IFERROR(__xludf.DUMMYFUNCTION("""COMPUTED_VALUE"""),987585806)</f>
        <v>987585806</v>
      </c>
      <c r="C509" s="2" t="str">
        <f ca="1"/>
        <v>0987585806</v>
      </c>
      <c r="D509" s="2">
        <f ca="1">IFERROR(__xludf.DUMMYFUNCTION("""COMPUTED_VALUE"""),1754040141284)</f>
        <v>1754040141284</v>
      </c>
      <c r="E509" s="2">
        <f ca="1">IFERROR(__xludf.DUMMYFUNCTION("""COMPUTED_VALUE"""),708050797)</f>
        <v>708050797</v>
      </c>
      <c r="F509" s="2" t="str">
        <f ca="1"/>
        <v>0708050797</v>
      </c>
      <c r="G509" s="2" t="str">
        <f ca="1">IFERROR(__xludf.DUMMYFUNCTION("""COMPUTED_VALUE"""),"105775800715")</f>
        <v>105775800715</v>
      </c>
      <c r="I509" s="2" t="str">
        <f ca="1">IFERROR(__xludf.DUMMYFUNCTION("""COMPUTED_VALUE"""),"Phùng Thị Anh Huyền ")</f>
        <v xml:space="preserve">Phùng Thị Anh Huyền </v>
      </c>
      <c r="J509" s="3" t="str">
        <f ca="1">IFERROR(__xludf.DUMMYFUNCTION("""COMPUTED_VALUE"""),"0395790172")</f>
        <v>0395790172</v>
      </c>
      <c r="K509" s="2" t="str">
        <f ca="1">IFERROR(__xludf.DUMMYFUNCTION("""COMPUTED_VALUE"""),"1741194025801")</f>
        <v>1741194025801</v>
      </c>
    </row>
    <row r="510" spans="1:11" ht="12.45">
      <c r="A510" s="2" t="str">
        <f ca="1">IFERROR(__xludf.DUMMYFUNCTION("""COMPUTED_VALUE"""),"1741194091752")</f>
        <v>1741194091752</v>
      </c>
      <c r="B510" s="2">
        <f ca="1">IFERROR(__xludf.DUMMYFUNCTION("""COMPUTED_VALUE"""),918697473)</f>
        <v>918697473</v>
      </c>
      <c r="C510" s="2" t="str">
        <f ca="1"/>
        <v>0918697473</v>
      </c>
      <c r="D510" s="2">
        <f ca="1">IFERROR(__xludf.DUMMYFUNCTION("""COMPUTED_VALUE"""),1754040170936)</f>
        <v>1754040170936</v>
      </c>
      <c r="E510" s="2">
        <f ca="1">IFERROR(__xludf.DUMMYFUNCTION("""COMPUTED_VALUE"""),933876613)</f>
        <v>933876613</v>
      </c>
      <c r="F510" s="2" t="str">
        <f ca="1"/>
        <v>0933876613</v>
      </c>
      <c r="G510" s="2" t="str">
        <f ca="1">IFERROR(__xludf.DUMMYFUNCTION("""COMPUTED_VALUE"""),"105775800834")</f>
        <v>105775800834</v>
      </c>
      <c r="I510" s="2" t="str">
        <f ca="1">IFERROR(__xludf.DUMMYFUNCTION("""COMPUTED_VALUE"""),"Phan Thu Ngân")</f>
        <v>Phan Thu Ngân</v>
      </c>
      <c r="J510" s="3" t="str">
        <f ca="1">IFERROR(__xludf.DUMMYFUNCTION("""COMPUTED_VALUE"""),"0399625584")</f>
        <v>0399625584</v>
      </c>
      <c r="K510" s="2" t="str">
        <f ca="1">IFERROR(__xludf.DUMMYFUNCTION("""COMPUTED_VALUE"""),"1741194091752")</f>
        <v>1741194091752</v>
      </c>
    </row>
    <row r="511" spans="1:11" ht="12.45">
      <c r="A511" s="2" t="str">
        <f ca="1">IFERROR(__xludf.DUMMYFUNCTION("""COMPUTED_VALUE"""),"1741194166483")</f>
        <v>1741194166483</v>
      </c>
      <c r="B511" s="2">
        <f ca="1">IFERROR(__xludf.DUMMYFUNCTION("""COMPUTED_VALUE"""),374159982)</f>
        <v>374159982</v>
      </c>
      <c r="C511" s="2" t="str">
        <f ca="1"/>
        <v>0374159982</v>
      </c>
      <c r="D511" s="2">
        <f ca="1">IFERROR(__xludf.DUMMYFUNCTION("""COMPUTED_VALUE"""),1754040204312)</f>
        <v>1754040204312</v>
      </c>
      <c r="E511" s="2">
        <f ca="1">IFERROR(__xludf.DUMMYFUNCTION("""COMPUTED_VALUE"""),777356124)</f>
        <v>777356124</v>
      </c>
      <c r="F511" s="2" t="str">
        <f ca="1"/>
        <v>0777356124</v>
      </c>
      <c r="G511" s="2" t="str">
        <f ca="1">IFERROR(__xludf.DUMMYFUNCTION("""COMPUTED_VALUE"""),"105775800952")</f>
        <v>105775800952</v>
      </c>
      <c r="I511" s="2" t="str">
        <f ca="1">IFERROR(__xludf.DUMMYFUNCTION("""COMPUTED_VALUE"""),"Vũ Nguyệt Minh")</f>
        <v>Vũ Nguyệt Minh</v>
      </c>
      <c r="J511" s="3" t="str">
        <f ca="1">IFERROR(__xludf.DUMMYFUNCTION("""COMPUTED_VALUE"""),"0984388512")</f>
        <v>0984388512</v>
      </c>
      <c r="K511" s="2" t="str">
        <f ca="1">IFERROR(__xludf.DUMMYFUNCTION("""COMPUTED_VALUE"""),"1741194166483")</f>
        <v>1741194166483</v>
      </c>
    </row>
    <row r="512" spans="1:11" ht="12.45">
      <c r="A512" s="2" t="str">
        <f ca="1">IFERROR(__xludf.DUMMYFUNCTION("""COMPUTED_VALUE"""),"1741194220295")</f>
        <v>1741194220295</v>
      </c>
      <c r="B512" s="2">
        <f ca="1">IFERROR(__xludf.DUMMYFUNCTION("""COMPUTED_VALUE"""),868156185)</f>
        <v>868156185</v>
      </c>
      <c r="C512" s="2" t="str">
        <f ca="1"/>
        <v>0868156185</v>
      </c>
      <c r="D512" s="2">
        <f ca="1">IFERROR(__xludf.DUMMYFUNCTION("""COMPUTED_VALUE"""),1751509239124)</f>
        <v>1751509239124</v>
      </c>
      <c r="E512" s="2">
        <f ca="1">IFERROR(__xludf.DUMMYFUNCTION("""COMPUTED_VALUE"""),358720102)</f>
        <v>358720102</v>
      </c>
      <c r="F512" s="2" t="str">
        <f ca="1"/>
        <v>0358720102</v>
      </c>
      <c r="G512" s="2" t="str">
        <f ca="1">IFERROR(__xludf.DUMMYFUNCTION("""COMPUTED_VALUE"""),"105775801017")</f>
        <v>105775801017</v>
      </c>
      <c r="I512" s="2" t="str">
        <f ca="1">IFERROR(__xludf.DUMMYFUNCTION("""COMPUTED_VALUE"""),"Huỳnh Thị Thuỳ Trâm")</f>
        <v>Huỳnh Thị Thuỳ Trâm</v>
      </c>
      <c r="J512" s="3" t="str">
        <f ca="1">IFERROR(__xludf.DUMMYFUNCTION("""COMPUTED_VALUE"""),"0367730596")</f>
        <v>0367730596</v>
      </c>
      <c r="K512" s="2" t="str">
        <f ca="1">IFERROR(__xludf.DUMMYFUNCTION("""COMPUTED_VALUE"""),"1741194220295")</f>
        <v>1741194220295</v>
      </c>
    </row>
    <row r="513" spans="1:11" ht="12.45">
      <c r="A513" s="2" t="str">
        <f ca="1">IFERROR(__xludf.DUMMYFUNCTION("""COMPUTED_VALUE"""),"1741194274760")</f>
        <v>1741194274760</v>
      </c>
      <c r="B513" s="2">
        <f ca="1">IFERROR(__xludf.DUMMYFUNCTION("""COMPUTED_VALUE"""),392484307)</f>
        <v>392484307</v>
      </c>
      <c r="C513" s="2" t="str">
        <f ca="1"/>
        <v>0392484307</v>
      </c>
      <c r="D513" s="2">
        <f ca="1">IFERROR(__xludf.DUMMYFUNCTION("""COMPUTED_VALUE"""),1751509362982)</f>
        <v>1751509362982</v>
      </c>
      <c r="E513" s="2">
        <f ca="1">IFERROR(__xludf.DUMMYFUNCTION("""COMPUTED_VALUE"""),329039428)</f>
        <v>329039428</v>
      </c>
      <c r="F513" s="2" t="str">
        <f ca="1"/>
        <v>0329039428</v>
      </c>
      <c r="G513" s="2" t="str">
        <f ca="1">IFERROR(__xludf.DUMMYFUNCTION("""COMPUTED_VALUE"""),"105775801127")</f>
        <v>105775801127</v>
      </c>
      <c r="I513" s="2" t="str">
        <f ca="1">IFERROR(__xludf.DUMMYFUNCTION("""COMPUTED_VALUE"""),"Nguyễn Thị Tâm Như")</f>
        <v>Nguyễn Thị Tâm Như</v>
      </c>
      <c r="J513" s="3" t="str">
        <f ca="1">IFERROR(__xludf.DUMMYFUNCTION("""COMPUTED_VALUE"""),"0981953578")</f>
        <v>0981953578</v>
      </c>
      <c r="K513" s="2" t="str">
        <f ca="1">IFERROR(__xludf.DUMMYFUNCTION("""COMPUTED_VALUE"""),"1741194274760")</f>
        <v>1741194274760</v>
      </c>
    </row>
    <row r="514" spans="1:11" ht="12.45">
      <c r="A514" s="2" t="str">
        <f ca="1">IFERROR(__xludf.DUMMYFUNCTION("""COMPUTED_VALUE"""),"1741194342564")</f>
        <v>1741194342564</v>
      </c>
      <c r="B514" s="2">
        <f ca="1">IFERROR(__xludf.DUMMYFUNCTION("""COMPUTED_VALUE"""),384986673)</f>
        <v>384986673</v>
      </c>
      <c r="C514" s="2" t="str">
        <f ca="1"/>
        <v>0384986673</v>
      </c>
      <c r="D514" s="2">
        <f ca="1">IFERROR(__xludf.DUMMYFUNCTION("""COMPUTED_VALUE"""),1749166886828)</f>
        <v>1749166886828</v>
      </c>
      <c r="E514" s="2">
        <f ca="1">IFERROR(__xludf.DUMMYFUNCTION("""COMPUTED_VALUE"""),795994895)</f>
        <v>795994895</v>
      </c>
      <c r="F514" s="2" t="str">
        <f ca="1"/>
        <v>0795994895</v>
      </c>
      <c r="G514" s="2" t="str">
        <f ca="1">IFERROR(__xludf.DUMMYFUNCTION("""COMPUTED_VALUE"""),"105775801270")</f>
        <v>105775801270</v>
      </c>
      <c r="I514" s="2" t="str">
        <f ca="1">IFERROR(__xludf.DUMMYFUNCTION("""COMPUTED_VALUE"""),"Đinh Nguyễn Phương Vy ")</f>
        <v xml:space="preserve">Đinh Nguyễn Phương Vy </v>
      </c>
      <c r="J514" s="3" t="str">
        <f ca="1">IFERROR(__xludf.DUMMYFUNCTION("""COMPUTED_VALUE"""),"0833663571")</f>
        <v>0833663571</v>
      </c>
      <c r="K514" s="2" t="str">
        <f ca="1">IFERROR(__xludf.DUMMYFUNCTION("""COMPUTED_VALUE"""),"1741194342564")</f>
        <v>1741194342564</v>
      </c>
    </row>
    <row r="515" spans="1:11" ht="12.45">
      <c r="A515" s="2" t="str">
        <f ca="1">IFERROR(__xludf.DUMMYFUNCTION("""COMPUTED_VALUE"""),"1741194396901")</f>
        <v>1741194396901</v>
      </c>
      <c r="B515" s="2">
        <f ca="1">IFERROR(__xludf.DUMMYFUNCTION("""COMPUTED_VALUE"""),369866927)</f>
        <v>369866927</v>
      </c>
      <c r="C515" s="2" t="str">
        <f ca="1"/>
        <v>0369866927</v>
      </c>
      <c r="D515" s="2">
        <f ca="1">IFERROR(__xludf.DUMMYFUNCTION("""COMPUTED_VALUE"""),1749166948699)</f>
        <v>1749166948699</v>
      </c>
      <c r="E515" s="2">
        <f ca="1">IFERROR(__xludf.DUMMYFUNCTION("""COMPUTED_VALUE"""),869156966)</f>
        <v>869156966</v>
      </c>
      <c r="F515" s="2" t="str">
        <f ca="1"/>
        <v>0869156966</v>
      </c>
      <c r="G515" s="2" t="str">
        <f ca="1">IFERROR(__xludf.DUMMYFUNCTION("""COMPUTED_VALUE"""),"105775801338")</f>
        <v>105775801338</v>
      </c>
      <c r="I515" s="2" t="str">
        <f ca="1">IFERROR(__xludf.DUMMYFUNCTION("""COMPUTED_VALUE"""),"Nguyễn Thanh Phương")</f>
        <v>Nguyễn Thanh Phương</v>
      </c>
      <c r="J515" s="3" t="str">
        <f ca="1">IFERROR(__xludf.DUMMYFUNCTION("""COMPUTED_VALUE"""),"0356908769")</f>
        <v>0356908769</v>
      </c>
      <c r="K515" s="2" t="str">
        <f ca="1">IFERROR(__xludf.DUMMYFUNCTION("""COMPUTED_VALUE"""),"1741194396901")</f>
        <v>1741194396901</v>
      </c>
    </row>
    <row r="516" spans="1:11" ht="12.45">
      <c r="A516" s="2" t="str">
        <f ca="1">IFERROR(__xludf.DUMMYFUNCTION("""COMPUTED_VALUE"""),"1741194446689")</f>
        <v>1741194446689</v>
      </c>
      <c r="B516" s="2">
        <f ca="1">IFERROR(__xludf.DUMMYFUNCTION("""COMPUTED_VALUE"""),849443855)</f>
        <v>849443855</v>
      </c>
      <c r="C516" s="2" t="str">
        <f ca="1"/>
        <v>0849443855</v>
      </c>
      <c r="D516" s="2">
        <f ca="1">IFERROR(__xludf.DUMMYFUNCTION("""COMPUTED_VALUE"""),1747956838018)</f>
        <v>1747956838018</v>
      </c>
      <c r="E516" s="2">
        <f ca="1">IFERROR(__xludf.DUMMYFUNCTION("""COMPUTED_VALUE"""),387759951)</f>
        <v>387759951</v>
      </c>
      <c r="F516" s="2" t="str">
        <f ca="1"/>
        <v>0387759951</v>
      </c>
      <c r="G516" s="2" t="str">
        <f ca="1">IFERROR(__xludf.DUMMYFUNCTION("""COMPUTED_VALUE"""),"105775801426")</f>
        <v>105775801426</v>
      </c>
      <c r="I516" s="2" t="str">
        <f ca="1">IFERROR(__xludf.DUMMYFUNCTION("""COMPUTED_VALUE"""),"Quách Ngọc Diễm Quỳnh ")</f>
        <v xml:space="preserve">Quách Ngọc Diễm Quỳnh </v>
      </c>
      <c r="J516" s="3" t="str">
        <f ca="1">IFERROR(__xludf.DUMMYFUNCTION("""COMPUTED_VALUE"""),"0819909519")</f>
        <v>0819909519</v>
      </c>
      <c r="K516" s="2" t="str">
        <f ca="1">IFERROR(__xludf.DUMMYFUNCTION("""COMPUTED_VALUE"""),"1741194446689")</f>
        <v>1741194446689</v>
      </c>
    </row>
    <row r="517" spans="1:11" ht="12.45">
      <c r="A517" s="2" t="str">
        <f ca="1">IFERROR(__xludf.DUMMYFUNCTION("""COMPUTED_VALUE"""),"1741194502164")</f>
        <v>1741194502164</v>
      </c>
      <c r="B517" s="2">
        <f ca="1">IFERROR(__xludf.DUMMYFUNCTION("""COMPUTED_VALUE"""),387420123)</f>
        <v>387420123</v>
      </c>
      <c r="C517" s="2" t="str">
        <f ca="1"/>
        <v>0387420123</v>
      </c>
      <c r="D517" s="2">
        <f ca="1">IFERROR(__xludf.DUMMYFUNCTION("""COMPUTED_VALUE"""),1743204903014)</f>
        <v>1743204903014</v>
      </c>
      <c r="E517" s="2">
        <f ca="1">IFERROR(__xludf.DUMMYFUNCTION("""COMPUTED_VALUE"""),921010470)</f>
        <v>921010470</v>
      </c>
      <c r="F517" s="2" t="str">
        <f ca="1"/>
        <v>0921010470</v>
      </c>
      <c r="G517" s="2" t="str">
        <f ca="1">IFERROR(__xludf.DUMMYFUNCTION("""COMPUTED_VALUE"""),"105775801642")</f>
        <v>105775801642</v>
      </c>
      <c r="I517" s="2" t="str">
        <f ca="1">IFERROR(__xludf.DUMMYFUNCTION("""COMPUTED_VALUE"""),"Đàm Thị Thu Hiền")</f>
        <v>Đàm Thị Thu Hiền</v>
      </c>
      <c r="J517" s="3" t="str">
        <f ca="1">IFERROR(__xludf.DUMMYFUNCTION("""COMPUTED_VALUE"""),"0389404837")</f>
        <v>0389404837</v>
      </c>
      <c r="K517" s="2" t="str">
        <f ca="1">IFERROR(__xludf.DUMMYFUNCTION("""COMPUTED_VALUE"""),"1741194502164")</f>
        <v>1741194502164</v>
      </c>
    </row>
    <row r="518" spans="1:11" ht="12.45">
      <c r="A518" s="2" t="str">
        <f ca="1">IFERROR(__xludf.DUMMYFUNCTION("""COMPUTED_VALUE"""),"1741194541868")</f>
        <v>1741194541868</v>
      </c>
      <c r="B518" s="2">
        <f ca="1">IFERROR(__xludf.DUMMYFUNCTION("""COMPUTED_VALUE"""),332506711)</f>
        <v>332506711</v>
      </c>
      <c r="C518" s="2" t="str">
        <f ca="1"/>
        <v>0332506711</v>
      </c>
      <c r="D518" s="2">
        <f ca="1">IFERROR(__xludf.DUMMYFUNCTION("""COMPUTED_VALUE"""),1743204981788)</f>
        <v>1743204981788</v>
      </c>
      <c r="E518" s="2">
        <f ca="1">IFERROR(__xludf.DUMMYFUNCTION("""COMPUTED_VALUE"""),961652648)</f>
        <v>961652648</v>
      </c>
      <c r="F518" s="2" t="str">
        <f ca="1"/>
        <v>0961652648</v>
      </c>
      <c r="G518" s="2" t="str">
        <f ca="1">IFERROR(__xludf.DUMMYFUNCTION("""COMPUTED_VALUE"""),"105775801764")</f>
        <v>105775801764</v>
      </c>
      <c r="I518" s="2" t="str">
        <f ca="1">IFERROR(__xludf.DUMMYFUNCTION("""COMPUTED_VALUE"""),"Nguyễn Thị Yến My")</f>
        <v>Nguyễn Thị Yến My</v>
      </c>
      <c r="J518" s="3" t="str">
        <f ca="1">IFERROR(__xludf.DUMMYFUNCTION("""COMPUTED_VALUE"""),"0396911089")</f>
        <v>0396911089</v>
      </c>
      <c r="K518" s="2" t="str">
        <f ca="1">IFERROR(__xludf.DUMMYFUNCTION("""COMPUTED_VALUE"""),"1741194541868")</f>
        <v>1741194541868</v>
      </c>
    </row>
    <row r="519" spans="1:11" ht="12.45">
      <c r="A519" s="2" t="str">
        <f ca="1">IFERROR(__xludf.DUMMYFUNCTION("""COMPUTED_VALUE"""),"1741194596694")</f>
        <v>1741194596694</v>
      </c>
      <c r="B519" s="2">
        <f ca="1">IFERROR(__xludf.DUMMYFUNCTION("""COMPUTED_VALUE"""),915694287)</f>
        <v>915694287</v>
      </c>
      <c r="C519" s="2" t="str">
        <f ca="1"/>
        <v>0915694287</v>
      </c>
      <c r="D519" s="2">
        <f ca="1">IFERROR(__xludf.DUMMYFUNCTION("""COMPUTED_VALUE"""),1747957025322)</f>
        <v>1747957025322</v>
      </c>
      <c r="E519" s="2">
        <f ca="1">IFERROR(__xludf.DUMMYFUNCTION("""COMPUTED_VALUE"""),916238358)</f>
        <v>916238358</v>
      </c>
      <c r="F519" s="2" t="str">
        <f ca="1"/>
        <v>0916238358</v>
      </c>
      <c r="G519" s="2" t="str">
        <f ca="1">IFERROR(__xludf.DUMMYFUNCTION("""COMPUTED_VALUE"""),"105775801879")</f>
        <v>105775801879</v>
      </c>
      <c r="I519" s="2" t="str">
        <f ca="1">IFERROR(__xludf.DUMMYFUNCTION("""COMPUTED_VALUE"""),"Nguyễn thị lan anh")</f>
        <v>Nguyễn thị lan anh</v>
      </c>
      <c r="J519" s="3" t="str">
        <f ca="1">IFERROR(__xludf.DUMMYFUNCTION("""COMPUTED_VALUE"""),"0869274800")</f>
        <v>0869274800</v>
      </c>
      <c r="K519" s="2" t="str">
        <f ca="1">IFERROR(__xludf.DUMMYFUNCTION("""COMPUTED_VALUE"""),"1741194596694")</f>
        <v>1741194596694</v>
      </c>
    </row>
    <row r="520" spans="1:11" ht="12.45">
      <c r="A520" s="2" t="str">
        <f ca="1">IFERROR(__xludf.DUMMYFUNCTION("""COMPUTED_VALUE"""),"1741194639645")</f>
        <v>1741194639645</v>
      </c>
      <c r="B520" s="2">
        <f ca="1">IFERROR(__xludf.DUMMYFUNCTION("""COMPUTED_VALUE"""),986500737)</f>
        <v>986500737</v>
      </c>
      <c r="C520" s="2" t="str">
        <f ca="1"/>
        <v>0986500737</v>
      </c>
      <c r="D520" s="2">
        <f ca="1">IFERROR(__xludf.DUMMYFUNCTION("""COMPUTED_VALUE"""),1747957114667)</f>
        <v>1747957114667</v>
      </c>
      <c r="E520" s="2">
        <f ca="1">IFERROR(__xludf.DUMMYFUNCTION("""COMPUTED_VALUE"""),935775109)</f>
        <v>935775109</v>
      </c>
      <c r="F520" s="2" t="str">
        <f ca="1"/>
        <v>0935775109</v>
      </c>
      <c r="G520" s="2">
        <f ca="1">IFERROR(__xludf.DUMMYFUNCTION("""COMPUTED_VALUE"""),105718383622)</f>
        <v>105718383622</v>
      </c>
      <c r="I520" s="2" t="str">
        <f ca="1">IFERROR(__xludf.DUMMYFUNCTION("""COMPUTED_VALUE"""),"Phan Thị Bích Phương ")</f>
        <v xml:space="preserve">Phan Thị Bích Phương </v>
      </c>
      <c r="J520" s="3" t="str">
        <f ca="1">IFERROR(__xludf.DUMMYFUNCTION("""COMPUTED_VALUE"""),"0865683285")</f>
        <v>0865683285</v>
      </c>
      <c r="K520" s="2" t="str">
        <f ca="1">IFERROR(__xludf.DUMMYFUNCTION("""COMPUTED_VALUE"""),"1741194639645")</f>
        <v>1741194639645</v>
      </c>
    </row>
    <row r="521" spans="1:11" ht="12.45">
      <c r="A521" s="2" t="str">
        <f ca="1">IFERROR(__xludf.DUMMYFUNCTION("""COMPUTED_VALUE"""),"1741194673380")</f>
        <v>1741194673380</v>
      </c>
      <c r="B521" s="2">
        <f ca="1">IFERROR(__xludf.DUMMYFUNCTION("""COMPUTED_VALUE"""),374670819)</f>
        <v>374670819</v>
      </c>
      <c r="C521" s="2" t="str">
        <f ca="1"/>
        <v>0374670819</v>
      </c>
      <c r="D521" s="2">
        <f ca="1">IFERROR(__xludf.DUMMYFUNCTION("""COMPUTED_VALUE"""),1747957189390)</f>
        <v>1747957189390</v>
      </c>
      <c r="E521" s="2">
        <f ca="1">IFERROR(__xludf.DUMMYFUNCTION("""COMPUTED_VALUE"""),355738813)</f>
        <v>355738813</v>
      </c>
      <c r="F521" s="2" t="str">
        <f ca="1"/>
        <v>0355738813</v>
      </c>
      <c r="G521" s="2" t="str">
        <f ca="1">IFERROR(__xludf.DUMMYFUNCTION("""COMPUTED_VALUE"""),"105775801925")</f>
        <v>105775801925</v>
      </c>
      <c r="I521" s="2" t="str">
        <f ca="1">IFERROR(__xludf.DUMMYFUNCTION("""COMPUTED_VALUE"""),"Vũ Thuỵ Trà Giang")</f>
        <v>Vũ Thuỵ Trà Giang</v>
      </c>
      <c r="J521" s="3" t="str">
        <f ca="1">IFERROR(__xludf.DUMMYFUNCTION("""COMPUTED_VALUE"""),"0776502761")</f>
        <v>0776502761</v>
      </c>
      <c r="K521" s="2" t="str">
        <f ca="1">IFERROR(__xludf.DUMMYFUNCTION("""COMPUTED_VALUE"""),"1741194673380")</f>
        <v>1741194673380</v>
      </c>
    </row>
    <row r="522" spans="1:11" ht="12.45">
      <c r="A522" s="2" t="str">
        <f ca="1">IFERROR(__xludf.DUMMYFUNCTION("""COMPUTED_VALUE"""),"1741194705090")</f>
        <v>1741194705090</v>
      </c>
      <c r="B522" s="2">
        <f ca="1">IFERROR(__xludf.DUMMYFUNCTION("""COMPUTED_VALUE"""),364865397)</f>
        <v>364865397</v>
      </c>
      <c r="C522" s="2" t="str">
        <f ca="1"/>
        <v>0364865397</v>
      </c>
      <c r="D522" s="2">
        <f ca="1">IFERROR(__xludf.DUMMYFUNCTION("""COMPUTED_VALUE"""),1743205090462)</f>
        <v>1743205090462</v>
      </c>
      <c r="E522" s="2">
        <f ca="1">IFERROR(__xludf.DUMMYFUNCTION("""COMPUTED_VALUE"""),346582679)</f>
        <v>346582679</v>
      </c>
      <c r="F522" s="2" t="str">
        <f ca="1"/>
        <v>0346582679</v>
      </c>
      <c r="G522" s="2" t="str">
        <f ca="1">IFERROR(__xludf.DUMMYFUNCTION("""COMPUTED_VALUE"""),"105775802092")</f>
        <v>105775802092</v>
      </c>
      <c r="I522" s="2" t="str">
        <f ca="1">IFERROR(__xludf.DUMMYFUNCTION("""COMPUTED_VALUE"""),"Trần Hà Vy")</f>
        <v>Trần Hà Vy</v>
      </c>
      <c r="J522" s="3" t="str">
        <f ca="1">IFERROR(__xludf.DUMMYFUNCTION("""COMPUTED_VALUE"""),"0941071180")</f>
        <v>0941071180</v>
      </c>
      <c r="K522" s="2" t="str">
        <f ca="1">IFERROR(__xludf.DUMMYFUNCTION("""COMPUTED_VALUE"""),"1741194705090")</f>
        <v>1741194705090</v>
      </c>
    </row>
    <row r="523" spans="1:11" ht="12.45">
      <c r="A523" s="2" t="str">
        <f ca="1">IFERROR(__xludf.DUMMYFUNCTION("""COMPUTED_VALUE"""),"1741194750615")</f>
        <v>1741194750615</v>
      </c>
      <c r="B523" s="2">
        <f ca="1">IFERROR(__xludf.DUMMYFUNCTION("""COMPUTED_VALUE"""),378575034)</f>
        <v>378575034</v>
      </c>
      <c r="C523" s="2" t="str">
        <f ca="1"/>
        <v>0378575034</v>
      </c>
      <c r="D523" s="2">
        <f ca="1">IFERROR(__xludf.DUMMYFUNCTION("""COMPUTED_VALUE"""),1747956923687)</f>
        <v>1747956923687</v>
      </c>
      <c r="E523" s="2">
        <f ca="1">IFERROR(__xludf.DUMMYFUNCTION("""COMPUTED_VALUE"""),939278207)</f>
        <v>939278207</v>
      </c>
      <c r="F523" s="2" t="str">
        <f ca="1"/>
        <v>0939278207</v>
      </c>
      <c r="G523" s="2" t="str">
        <f ca="1">IFERROR(__xludf.DUMMYFUNCTION("""COMPUTED_VALUE"""),"105775802171")</f>
        <v>105775802171</v>
      </c>
      <c r="I523" s="2" t="str">
        <f ca="1">IFERROR(__xludf.DUMMYFUNCTION("""COMPUTED_VALUE"""),"Võ Quang Hoàng")</f>
        <v>Võ Quang Hoàng</v>
      </c>
      <c r="J523" s="3" t="str">
        <f ca="1">IFERROR(__xludf.DUMMYFUNCTION("""COMPUTED_VALUE"""),"0865311523")</f>
        <v>0865311523</v>
      </c>
      <c r="K523" s="2" t="str">
        <f ca="1">IFERROR(__xludf.DUMMYFUNCTION("""COMPUTED_VALUE"""),"1741194750615")</f>
        <v>1741194750615</v>
      </c>
    </row>
    <row r="524" spans="1:11" ht="12.45">
      <c r="A524" s="2" t="str">
        <f ca="1">IFERROR(__xludf.DUMMYFUNCTION("""COMPUTED_VALUE"""),"1741194786040")</f>
        <v>1741194786040</v>
      </c>
      <c r="B524" s="2">
        <f ca="1">IFERROR(__xludf.DUMMYFUNCTION("""COMPUTED_VALUE"""),908808596)</f>
        <v>908808596</v>
      </c>
      <c r="C524" s="2" t="str">
        <f ca="1"/>
        <v>0908808596</v>
      </c>
      <c r="D524" s="2">
        <f ca="1">IFERROR(__xludf.DUMMYFUNCTION("""COMPUTED_VALUE"""),1747957319079)</f>
        <v>1747957319079</v>
      </c>
      <c r="E524" s="2">
        <f ca="1">IFERROR(__xludf.DUMMYFUNCTION("""COMPUTED_VALUE"""),913803098)</f>
        <v>913803098</v>
      </c>
      <c r="F524" s="2" t="str">
        <f ca="1"/>
        <v>0913803098</v>
      </c>
      <c r="G524" s="2" t="str">
        <f ca="1">IFERROR(__xludf.DUMMYFUNCTION("""COMPUTED_VALUE"""),"105775802255")</f>
        <v>105775802255</v>
      </c>
      <c r="I524" s="2" t="str">
        <f ca="1">IFERROR(__xludf.DUMMYFUNCTION("""COMPUTED_VALUE"""),"Võ Lê Hoài Ngọc")</f>
        <v>Võ Lê Hoài Ngọc</v>
      </c>
      <c r="J524" s="3" t="str">
        <f ca="1">IFERROR(__xludf.DUMMYFUNCTION("""COMPUTED_VALUE"""),"0376270152")</f>
        <v>0376270152</v>
      </c>
      <c r="K524" s="2" t="str">
        <f ca="1">IFERROR(__xludf.DUMMYFUNCTION("""COMPUTED_VALUE"""),"1741194786040")</f>
        <v>1741194786040</v>
      </c>
    </row>
    <row r="525" spans="1:11" ht="12.45">
      <c r="A525" s="2" t="str">
        <f ca="1">IFERROR(__xludf.DUMMYFUNCTION("""COMPUTED_VALUE"""),"1741194829856")</f>
        <v>1741194829856</v>
      </c>
      <c r="B525" s="2">
        <f ca="1">IFERROR(__xludf.DUMMYFUNCTION("""COMPUTED_VALUE"""),914803345)</f>
        <v>914803345</v>
      </c>
      <c r="C525" s="2" t="str">
        <f ca="1"/>
        <v>0914803345</v>
      </c>
      <c r="D525" s="2">
        <f ca="1">IFERROR(__xludf.DUMMYFUNCTION("""COMPUTED_VALUE"""),1750812732397)</f>
        <v>1750812732397</v>
      </c>
      <c r="E525" s="2">
        <f ca="1">IFERROR(__xludf.DUMMYFUNCTION("""COMPUTED_VALUE"""),329926817)</f>
        <v>329926817</v>
      </c>
      <c r="F525" s="2" t="str">
        <f ca="1"/>
        <v>0329926817</v>
      </c>
      <c r="G525" s="2" t="str">
        <f ca="1">IFERROR(__xludf.DUMMYFUNCTION("""COMPUTED_VALUE"""),"105775802360")</f>
        <v>105775802360</v>
      </c>
      <c r="I525" s="2" t="str">
        <f ca="1">IFERROR(__xludf.DUMMYFUNCTION("""COMPUTED_VALUE"""),"Nguyễn Phan Khánh Đoan")</f>
        <v>Nguyễn Phan Khánh Đoan</v>
      </c>
      <c r="J525" s="3" t="str">
        <f ca="1">IFERROR(__xludf.DUMMYFUNCTION("""COMPUTED_VALUE"""),"0767011122")</f>
        <v>0767011122</v>
      </c>
      <c r="K525" s="2" t="str">
        <f ca="1">IFERROR(__xludf.DUMMYFUNCTION("""COMPUTED_VALUE"""),"1741194829856")</f>
        <v>1741194829856</v>
      </c>
    </row>
    <row r="526" spans="1:11" ht="12.45">
      <c r="A526" s="2" t="str">
        <f ca="1">IFERROR(__xludf.DUMMYFUNCTION("""COMPUTED_VALUE"""),"1741194881769")</f>
        <v>1741194881769</v>
      </c>
      <c r="B526" s="2">
        <f ca="1">IFERROR(__xludf.DUMMYFUNCTION("""COMPUTED_VALUE"""),703485310)</f>
        <v>703485310</v>
      </c>
      <c r="C526" s="2" t="str">
        <f ca="1"/>
        <v>0703485310</v>
      </c>
      <c r="D526" s="2">
        <f ca="1">IFERROR(__xludf.DUMMYFUNCTION("""COMPUTED_VALUE"""),1750812793231)</f>
        <v>1750812793231</v>
      </c>
      <c r="E526" s="2">
        <f ca="1">IFERROR(__xludf.DUMMYFUNCTION("""COMPUTED_VALUE"""),869547605)</f>
        <v>869547605</v>
      </c>
      <c r="F526" s="2" t="str">
        <f ca="1"/>
        <v>0869547605</v>
      </c>
      <c r="G526" s="2" t="str">
        <f ca="1">IFERROR(__xludf.DUMMYFUNCTION("""COMPUTED_VALUE"""),"105775802524")</f>
        <v>105775802524</v>
      </c>
      <c r="I526" s="2" t="str">
        <f ca="1">IFERROR(__xludf.DUMMYFUNCTION("""COMPUTED_VALUE"""),"Nguyễn Thị Thanh Mai ")</f>
        <v xml:space="preserve">Nguyễn Thị Thanh Mai </v>
      </c>
      <c r="J526" s="3" t="str">
        <f ca="1">IFERROR(__xludf.DUMMYFUNCTION("""COMPUTED_VALUE"""),"0342907707")</f>
        <v>0342907707</v>
      </c>
      <c r="K526" s="2" t="str">
        <f ca="1">IFERROR(__xludf.DUMMYFUNCTION("""COMPUTED_VALUE"""),"1741194881769")</f>
        <v>1741194881769</v>
      </c>
    </row>
    <row r="527" spans="1:11" ht="12.45">
      <c r="A527" s="2" t="str">
        <f ca="1">IFERROR(__xludf.DUMMYFUNCTION("""COMPUTED_VALUE"""),"1741194923420")</f>
        <v>1741194923420</v>
      </c>
      <c r="B527" s="2">
        <f ca="1">IFERROR(__xludf.DUMMYFUNCTION("""COMPUTED_VALUE"""),915952579)</f>
        <v>915952579</v>
      </c>
      <c r="C527" s="2" t="str">
        <f ca="1"/>
        <v>0915952579</v>
      </c>
      <c r="D527" s="2">
        <f ca="1">IFERROR(__xludf.DUMMYFUNCTION("""COMPUTED_VALUE"""),1750812842008)</f>
        <v>1750812842008</v>
      </c>
      <c r="E527" s="2">
        <f ca="1">IFERROR(__xludf.DUMMYFUNCTION("""COMPUTED_VALUE"""),396336560)</f>
        <v>396336560</v>
      </c>
      <c r="F527" s="2" t="str">
        <f ca="1"/>
        <v>0396336560</v>
      </c>
      <c r="G527" s="2" t="str">
        <f ca="1">IFERROR(__xludf.DUMMYFUNCTION("""COMPUTED_VALUE"""),"105775802696")</f>
        <v>105775802696</v>
      </c>
      <c r="I527" s="2" t="str">
        <f ca="1">IFERROR(__xludf.DUMMYFUNCTION("""COMPUTED_VALUE"""),"Thái Thu Ngọc Anh")</f>
        <v>Thái Thu Ngọc Anh</v>
      </c>
      <c r="J527" s="3" t="str">
        <f ca="1">IFERROR(__xludf.DUMMYFUNCTION("""COMPUTED_VALUE"""),"0935718507")</f>
        <v>0935718507</v>
      </c>
      <c r="K527" s="2" t="str">
        <f ca="1">IFERROR(__xludf.DUMMYFUNCTION("""COMPUTED_VALUE"""),"1741194923420")</f>
        <v>1741194923420</v>
      </c>
    </row>
    <row r="528" spans="1:11" ht="12.45">
      <c r="A528" s="2" t="str">
        <f ca="1">IFERROR(__xludf.DUMMYFUNCTION("""COMPUTED_VALUE"""),"1741194994771")</f>
        <v>1741194994771</v>
      </c>
      <c r="B528" s="2">
        <f ca="1">IFERROR(__xludf.DUMMYFUNCTION("""COMPUTED_VALUE"""),983300671)</f>
        <v>983300671</v>
      </c>
      <c r="C528" s="2" t="str">
        <f ca="1"/>
        <v>0983300671</v>
      </c>
      <c r="D528" s="2">
        <f ca="1">IFERROR(__xludf.DUMMYFUNCTION("""COMPUTED_VALUE"""),1750812886433)</f>
        <v>1750812886433</v>
      </c>
      <c r="E528" s="2">
        <f ca="1">IFERROR(__xludf.DUMMYFUNCTION("""COMPUTED_VALUE"""),935952878)</f>
        <v>935952878</v>
      </c>
      <c r="F528" s="2" t="str">
        <f ca="1"/>
        <v>0935952878</v>
      </c>
      <c r="G528" s="2" t="str">
        <f ca="1">IFERROR(__xludf.DUMMYFUNCTION("""COMPUTED_VALUE"""),"105775802730")</f>
        <v>105775802730</v>
      </c>
      <c r="I528" s="2" t="str">
        <f ca="1">IFERROR(__xludf.DUMMYFUNCTION("""COMPUTED_VALUE"""),"Thạch Thị Khả Nhi ")</f>
        <v xml:space="preserve">Thạch Thị Khả Nhi </v>
      </c>
      <c r="J528" s="3" t="str">
        <f ca="1">IFERROR(__xludf.DUMMYFUNCTION("""COMPUTED_VALUE"""),"0393763870")</f>
        <v>0393763870</v>
      </c>
      <c r="K528" s="2" t="str">
        <f ca="1">IFERROR(__xludf.DUMMYFUNCTION("""COMPUTED_VALUE"""),"1741194994771")</f>
        <v>1741194994771</v>
      </c>
    </row>
    <row r="529" spans="1:11" ht="12.45">
      <c r="A529" s="2" t="str">
        <f ca="1">IFERROR(__xludf.DUMMYFUNCTION("""COMPUTED_VALUE"""),"1741195065396")</f>
        <v>1741195065396</v>
      </c>
      <c r="B529" s="2">
        <f ca="1">IFERROR(__xludf.DUMMYFUNCTION("""COMPUTED_VALUE"""),979956101)</f>
        <v>979956101</v>
      </c>
      <c r="C529" s="2" t="str">
        <f ca="1"/>
        <v>0979956101</v>
      </c>
      <c r="D529" s="2">
        <f ca="1">IFERROR(__xludf.DUMMYFUNCTION("""COMPUTED_VALUE"""),1750812931931)</f>
        <v>1750812931931</v>
      </c>
      <c r="E529" s="2">
        <f ca="1">IFERROR(__xludf.DUMMYFUNCTION("""COMPUTED_VALUE"""),962536602)</f>
        <v>962536602</v>
      </c>
      <c r="F529" s="2" t="str">
        <f ca="1"/>
        <v>0962536602</v>
      </c>
      <c r="G529" s="2" t="str">
        <f ca="1">IFERROR(__xludf.DUMMYFUNCTION("""COMPUTED_VALUE"""),"105775802869")</f>
        <v>105775802869</v>
      </c>
      <c r="I529" s="2" t="str">
        <f ca="1">IFERROR(__xludf.DUMMYFUNCTION("""COMPUTED_VALUE"""),"Lê Thị Hồng Hà")</f>
        <v>Lê Thị Hồng Hà</v>
      </c>
      <c r="J529" s="3" t="str">
        <f ca="1">IFERROR(__xludf.DUMMYFUNCTION("""COMPUTED_VALUE"""),"0329842829")</f>
        <v>0329842829</v>
      </c>
      <c r="K529" s="2" t="str">
        <f ca="1">IFERROR(__xludf.DUMMYFUNCTION("""COMPUTED_VALUE"""),"1741195065396")</f>
        <v>1741195065396</v>
      </c>
    </row>
    <row r="530" spans="1:11" ht="12.45">
      <c r="A530" s="2" t="str">
        <f ca="1">IFERROR(__xludf.DUMMYFUNCTION("""COMPUTED_VALUE"""),"1741195125083")</f>
        <v>1741195125083</v>
      </c>
      <c r="B530" s="2">
        <f ca="1">IFERROR(__xludf.DUMMYFUNCTION("""COMPUTED_VALUE"""),917339279)</f>
        <v>917339279</v>
      </c>
      <c r="C530" s="2" t="str">
        <f ca="1"/>
        <v>0917339279</v>
      </c>
      <c r="D530" s="2">
        <f ca="1">IFERROR(__xludf.DUMMYFUNCTION("""COMPUTED_VALUE"""),1750812972031)</f>
        <v>1750812972031</v>
      </c>
      <c r="E530" s="2">
        <f ca="1">IFERROR(__xludf.DUMMYFUNCTION("""COMPUTED_VALUE"""),396286340)</f>
        <v>396286340</v>
      </c>
      <c r="F530" s="2" t="str">
        <f ca="1"/>
        <v>0396286340</v>
      </c>
      <c r="G530" s="2" t="str">
        <f ca="1">IFERROR(__xludf.DUMMYFUNCTION("""COMPUTED_VALUE"""),"105775802942")</f>
        <v>105775802942</v>
      </c>
      <c r="I530" s="2" t="str">
        <f ca="1">IFERROR(__xludf.DUMMYFUNCTION("""COMPUTED_VALUE"""),"Nguyễn Thị Ngọc Huệ")</f>
        <v>Nguyễn Thị Ngọc Huệ</v>
      </c>
      <c r="J530" s="3" t="str">
        <f ca="1">IFERROR(__xludf.DUMMYFUNCTION("""COMPUTED_VALUE"""),"0987815525")</f>
        <v>0987815525</v>
      </c>
      <c r="K530" s="2" t="str">
        <f ca="1">IFERROR(__xludf.DUMMYFUNCTION("""COMPUTED_VALUE"""),"1741195125083")</f>
        <v>1741195125083</v>
      </c>
    </row>
    <row r="531" spans="1:11" ht="12.45">
      <c r="A531" s="2" t="str">
        <f ca="1">IFERROR(__xludf.DUMMYFUNCTION("""COMPUTED_VALUE"""),"1741195172836")</f>
        <v>1741195172836</v>
      </c>
      <c r="B531" s="2">
        <f ca="1">IFERROR(__xludf.DUMMYFUNCTION("""COMPUTED_VALUE"""),972840598)</f>
        <v>972840598</v>
      </c>
      <c r="C531" s="2" t="str">
        <f ca="1"/>
        <v>0972840598</v>
      </c>
      <c r="D531" s="2">
        <f ca="1">IFERROR(__xludf.DUMMYFUNCTION("""COMPUTED_VALUE"""),1751717763724)</f>
        <v>1751717763724</v>
      </c>
      <c r="E531" s="2">
        <f ca="1">IFERROR(__xludf.DUMMYFUNCTION("""COMPUTED_VALUE"""),356127261)</f>
        <v>356127261</v>
      </c>
      <c r="F531" s="2" t="str">
        <f ca="1"/>
        <v>0356127261</v>
      </c>
      <c r="G531" s="2">
        <f ca="1">IFERROR(__xludf.DUMMYFUNCTION("""COMPUTED_VALUE"""),105718383791)</f>
        <v>105718383791</v>
      </c>
      <c r="I531" s="2" t="str">
        <f ca="1">IFERROR(__xludf.DUMMYFUNCTION("""COMPUTED_VALUE"""),"Nguyễn Thuỳ Linh")</f>
        <v>Nguyễn Thuỳ Linh</v>
      </c>
      <c r="J531" s="3" t="str">
        <f ca="1">IFERROR(__xludf.DUMMYFUNCTION("""COMPUTED_VALUE"""),"0352113527")</f>
        <v>0352113527</v>
      </c>
      <c r="K531" s="2" t="str">
        <f ca="1">IFERROR(__xludf.DUMMYFUNCTION("""COMPUTED_VALUE"""),"1741195172836")</f>
        <v>1741195172836</v>
      </c>
    </row>
    <row r="532" spans="1:11" ht="12.45">
      <c r="A532" s="2" t="str">
        <f ca="1">IFERROR(__xludf.DUMMYFUNCTION("""COMPUTED_VALUE"""),"1741195222995")</f>
        <v>1741195222995</v>
      </c>
      <c r="B532" s="2">
        <f ca="1">IFERROR(__xludf.DUMMYFUNCTION("""COMPUTED_VALUE"""),934755139)</f>
        <v>934755139</v>
      </c>
      <c r="C532" s="2" t="str">
        <f ca="1"/>
        <v>0934755139</v>
      </c>
      <c r="D532" s="2">
        <f ca="1">IFERROR(__xludf.DUMMYFUNCTION("""COMPUTED_VALUE"""),1751717804000)</f>
        <v>1751717804000</v>
      </c>
      <c r="E532" s="2">
        <f ca="1">IFERROR(__xludf.DUMMYFUNCTION("""COMPUTED_VALUE"""),984261817)</f>
        <v>984261817</v>
      </c>
      <c r="F532" s="2" t="str">
        <f ca="1"/>
        <v>0984261817</v>
      </c>
      <c r="G532" s="2" t="str">
        <f ca="1">IFERROR(__xludf.DUMMYFUNCTION("""COMPUTED_VALUE"""),"105775803196")</f>
        <v>105775803196</v>
      </c>
      <c r="I532" s="2" t="str">
        <f ca="1">IFERROR(__xludf.DUMMYFUNCTION("""COMPUTED_VALUE"""),"Văn Phương Nhi")</f>
        <v>Văn Phương Nhi</v>
      </c>
      <c r="J532" s="3" t="str">
        <f ca="1">IFERROR(__xludf.DUMMYFUNCTION("""COMPUTED_VALUE"""),"0971865127")</f>
        <v>0971865127</v>
      </c>
      <c r="K532" s="2" t="str">
        <f ca="1">IFERROR(__xludf.DUMMYFUNCTION("""COMPUTED_VALUE"""),"1741195222995")</f>
        <v>1741195222995</v>
      </c>
    </row>
    <row r="533" spans="1:11" ht="12.45">
      <c r="A533" s="2"/>
      <c r="B533" s="2">
        <f ca="1">IFERROR(__xludf.DUMMYFUNCTION("""COMPUTED_VALUE"""),973197290)</f>
        <v>973197290</v>
      </c>
      <c r="C533" s="2" t="str">
        <f ca="1"/>
        <v>0973197290</v>
      </c>
      <c r="D533" s="2">
        <f ca="1">IFERROR(__xludf.DUMMYFUNCTION("""COMPUTED_VALUE"""),1751555397412)</f>
        <v>1751555397412</v>
      </c>
      <c r="E533" s="2">
        <f ca="1">IFERROR(__xludf.DUMMYFUNCTION("""COMPUTED_VALUE"""),835755179)</f>
        <v>835755179</v>
      </c>
      <c r="F533" s="2" t="str">
        <f ca="1"/>
        <v>0835755179</v>
      </c>
      <c r="G533" s="2" t="str">
        <f ca="1">IFERROR(__xludf.DUMMYFUNCTION("""COMPUTED_VALUE"""),"105775803212")</f>
        <v>105775803212</v>
      </c>
      <c r="I533" s="2" t="str">
        <f ca="1">IFERROR(__xludf.DUMMYFUNCTION("""COMPUTED_VALUE"""),"Thạch Thị Khả Nhi ")</f>
        <v xml:space="preserve">Thạch Thị Khả Nhi </v>
      </c>
      <c r="J533" s="3" t="str">
        <f ca="1">IFERROR(__xludf.DUMMYFUNCTION("""COMPUTED_VALUE"""),"0393763870")</f>
        <v>0393763870</v>
      </c>
      <c r="K533" s="2"/>
    </row>
    <row r="534" spans="1:11" ht="12.45">
      <c r="A534" s="2" t="str">
        <f ca="1">IFERROR(__xludf.DUMMYFUNCTION("""COMPUTED_VALUE"""),"1741195309729")</f>
        <v>1741195309729</v>
      </c>
      <c r="B534" s="2">
        <f ca="1">IFERROR(__xludf.DUMMYFUNCTION("""COMPUTED_VALUE"""),342515230)</f>
        <v>342515230</v>
      </c>
      <c r="C534" s="2" t="str">
        <f ca="1"/>
        <v>0342515230</v>
      </c>
      <c r="D534" s="2">
        <f ca="1">IFERROR(__xludf.DUMMYFUNCTION("""COMPUTED_VALUE"""),1751555422838)</f>
        <v>1751555422838</v>
      </c>
      <c r="E534" s="2">
        <f ca="1">IFERROR(__xludf.DUMMYFUNCTION("""COMPUTED_VALUE"""),903097607)</f>
        <v>903097607</v>
      </c>
      <c r="F534" s="2" t="str">
        <f ca="1"/>
        <v>0903097607</v>
      </c>
      <c r="G534" s="2" t="str">
        <f ca="1">IFERROR(__xludf.DUMMYFUNCTION("""COMPUTED_VALUE"""),"105775803367")</f>
        <v>105775803367</v>
      </c>
      <c r="I534" s="2" t="str">
        <f ca="1">IFERROR(__xludf.DUMMYFUNCTION("""COMPUTED_VALUE"""),"Trần Phạm Ngọc Minh")</f>
        <v>Trần Phạm Ngọc Minh</v>
      </c>
      <c r="J534" s="3" t="str">
        <f ca="1">IFERROR(__xludf.DUMMYFUNCTION("""COMPUTED_VALUE"""),"0912161107")</f>
        <v>0912161107</v>
      </c>
      <c r="K534" s="2" t="str">
        <f ca="1">IFERROR(__xludf.DUMMYFUNCTION("""COMPUTED_VALUE"""),"1741195309729")</f>
        <v>1741195309729</v>
      </c>
    </row>
    <row r="535" spans="1:11" ht="12.45">
      <c r="A535" s="2" t="str">
        <f ca="1">IFERROR(__xludf.DUMMYFUNCTION("""COMPUTED_VALUE"""),"1741195360357")</f>
        <v>1741195360357</v>
      </c>
      <c r="B535" s="2">
        <f ca="1">IFERROR(__xludf.DUMMYFUNCTION("""COMPUTED_VALUE"""),985690397)</f>
        <v>985690397</v>
      </c>
      <c r="C535" s="2" t="str">
        <f ca="1"/>
        <v>0985690397</v>
      </c>
      <c r="D535" s="2">
        <f ca="1">IFERROR(__xludf.DUMMYFUNCTION("""COMPUTED_VALUE"""),1751555442660)</f>
        <v>1751555442660</v>
      </c>
      <c r="E535" s="2">
        <f ca="1">IFERROR(__xludf.DUMMYFUNCTION("""COMPUTED_VALUE"""),898172507)</f>
        <v>898172507</v>
      </c>
      <c r="F535" s="2" t="str">
        <f ca="1"/>
        <v>0898172507</v>
      </c>
      <c r="G535" s="2" t="str">
        <f ca="1">IFERROR(__xludf.DUMMYFUNCTION("""COMPUTED_VALUE"""),"105775803556")</f>
        <v>105775803556</v>
      </c>
      <c r="I535" s="2" t="str">
        <f ca="1">IFERROR(__xludf.DUMMYFUNCTION("""COMPUTED_VALUE"""),"Nguyễn Vũ Thùy Phương")</f>
        <v>Nguyễn Vũ Thùy Phương</v>
      </c>
      <c r="J535" s="3" t="str">
        <f ca="1">IFERROR(__xludf.DUMMYFUNCTION("""COMPUTED_VALUE"""),"0919984719")</f>
        <v>0919984719</v>
      </c>
      <c r="K535" s="2" t="str">
        <f ca="1">IFERROR(__xludf.DUMMYFUNCTION("""COMPUTED_VALUE"""),"1741195360357")</f>
        <v>1741195360357</v>
      </c>
    </row>
    <row r="536" spans="1:11" ht="12.45">
      <c r="A536" s="2" t="str">
        <f ca="1">IFERROR(__xludf.DUMMYFUNCTION("""COMPUTED_VALUE"""),"1741195410554")</f>
        <v>1741195410554</v>
      </c>
      <c r="B536" s="2">
        <f ca="1">IFERROR(__xludf.DUMMYFUNCTION("""COMPUTED_VALUE"""),947826206)</f>
        <v>947826206</v>
      </c>
      <c r="C536" s="2" t="str">
        <f ca="1"/>
        <v>0947826206</v>
      </c>
      <c r="D536" s="2">
        <f ca="1">IFERROR(__xludf.DUMMYFUNCTION("""COMPUTED_VALUE"""),1751555467000)</f>
        <v>1751555467000</v>
      </c>
      <c r="E536" s="2">
        <f ca="1">IFERROR(__xludf.DUMMYFUNCTION("""COMPUTED_VALUE"""),702620996)</f>
        <v>702620996</v>
      </c>
      <c r="F536" s="2" t="str">
        <f ca="1"/>
        <v>0702620996</v>
      </c>
      <c r="G536" s="2" t="str">
        <f ca="1">IFERROR(__xludf.DUMMYFUNCTION("""COMPUTED_VALUE"""),"105775803694")</f>
        <v>105775803694</v>
      </c>
      <c r="I536" s="2" t="str">
        <f ca="1">IFERROR(__xludf.DUMMYFUNCTION("""COMPUTED_VALUE"""),"Vũ Quỳnh Anh")</f>
        <v>Vũ Quỳnh Anh</v>
      </c>
      <c r="J536" s="3" t="str">
        <f ca="1">IFERROR(__xludf.DUMMYFUNCTION("""COMPUTED_VALUE"""),"0367281107")</f>
        <v>0367281107</v>
      </c>
      <c r="K536" s="2" t="str">
        <f ca="1">IFERROR(__xludf.DUMMYFUNCTION("""COMPUTED_VALUE"""),"1741195410554")</f>
        <v>1741195410554</v>
      </c>
    </row>
    <row r="537" spans="1:11" ht="12.45">
      <c r="A537" s="2" t="str">
        <f ca="1">IFERROR(__xludf.DUMMYFUNCTION("""COMPUTED_VALUE"""),"1741195458453")</f>
        <v>1741195458453</v>
      </c>
      <c r="B537" s="2">
        <f ca="1">IFERROR(__xludf.DUMMYFUNCTION("""COMPUTED_VALUE"""),839497685)</f>
        <v>839497685</v>
      </c>
      <c r="C537" s="2" t="str">
        <f ca="1"/>
        <v>0839497685</v>
      </c>
      <c r="D537" s="2">
        <f ca="1">IFERROR(__xludf.DUMMYFUNCTION("""COMPUTED_VALUE"""),1751555498951)</f>
        <v>1751555498951</v>
      </c>
      <c r="E537" s="2">
        <f ca="1">IFERROR(__xludf.DUMMYFUNCTION("""COMPUTED_VALUE"""),925038630)</f>
        <v>925038630</v>
      </c>
      <c r="F537" s="2" t="str">
        <f ca="1"/>
        <v>0925038630</v>
      </c>
      <c r="G537" s="2" t="str">
        <f ca="1">IFERROR(__xludf.DUMMYFUNCTION("""COMPUTED_VALUE"""),"105775803716")</f>
        <v>105775803716</v>
      </c>
      <c r="I537" s="2" t="str">
        <f ca="1">IFERROR(__xludf.DUMMYFUNCTION("""COMPUTED_VALUE"""),"Nguyễn Thị Bích Nguyên")</f>
        <v>Nguyễn Thị Bích Nguyên</v>
      </c>
      <c r="J537" s="3" t="str">
        <f ca="1">IFERROR(__xludf.DUMMYFUNCTION("""COMPUTED_VALUE"""),"0829173765")</f>
        <v>0829173765</v>
      </c>
      <c r="K537" s="2" t="str">
        <f ca="1">IFERROR(__xludf.DUMMYFUNCTION("""COMPUTED_VALUE"""),"1741195458453")</f>
        <v>1741195458453</v>
      </c>
    </row>
    <row r="538" spans="1:11" ht="12.45">
      <c r="A538" s="2" t="str">
        <f ca="1">IFERROR(__xludf.DUMMYFUNCTION("""COMPUTED_VALUE"""),"1741195502419")</f>
        <v>1741195502419</v>
      </c>
      <c r="B538" s="2">
        <f ca="1">IFERROR(__xludf.DUMMYFUNCTION("""COMPUTED_VALUE"""),987883551)</f>
        <v>987883551</v>
      </c>
      <c r="C538" s="2" t="str">
        <f ca="1"/>
        <v>0987883551</v>
      </c>
      <c r="D538" s="2">
        <f ca="1">IFERROR(__xludf.DUMMYFUNCTION("""COMPUTED_VALUE"""),1751555526247)</f>
        <v>1751555526247</v>
      </c>
      <c r="E538" s="2">
        <f ca="1">IFERROR(__xludf.DUMMYFUNCTION("""COMPUTED_VALUE"""),366366941)</f>
        <v>366366941</v>
      </c>
      <c r="F538" s="2" t="str">
        <f ca="1"/>
        <v>0366366941</v>
      </c>
      <c r="G538" s="2" t="str">
        <f ca="1">IFERROR(__xludf.DUMMYFUNCTION("""COMPUTED_VALUE"""),"105775803854")</f>
        <v>105775803854</v>
      </c>
      <c r="I538" s="2" t="str">
        <f ca="1">IFERROR(__xludf.DUMMYFUNCTION("""COMPUTED_VALUE"""),"Trần Phương Thảo ")</f>
        <v xml:space="preserve">Trần Phương Thảo </v>
      </c>
      <c r="J538" s="3" t="str">
        <f ca="1">IFERROR(__xludf.DUMMYFUNCTION("""COMPUTED_VALUE"""),"0349178551")</f>
        <v>0349178551</v>
      </c>
      <c r="K538" s="2" t="str">
        <f ca="1">IFERROR(__xludf.DUMMYFUNCTION("""COMPUTED_VALUE"""),"1741195502419")</f>
        <v>1741195502419</v>
      </c>
    </row>
    <row r="539" spans="1:11" ht="12.45">
      <c r="A539" s="2" t="str">
        <f ca="1">IFERROR(__xludf.DUMMYFUNCTION("""COMPUTED_VALUE"""),"1741195570971")</f>
        <v>1741195570971</v>
      </c>
      <c r="B539" s="2">
        <f ca="1">IFERROR(__xludf.DUMMYFUNCTION("""COMPUTED_VALUE"""),868299425)</f>
        <v>868299425</v>
      </c>
      <c r="C539" s="2" t="str">
        <f ca="1"/>
        <v>0868299425</v>
      </c>
      <c r="D539" s="2">
        <f ca="1">IFERROR(__xludf.DUMMYFUNCTION("""COMPUTED_VALUE"""),1750626894833)</f>
        <v>1750626894833</v>
      </c>
      <c r="E539" s="2">
        <f ca="1">IFERROR(__xludf.DUMMYFUNCTION("""COMPUTED_VALUE"""),869011329)</f>
        <v>869011329</v>
      </c>
      <c r="F539" s="2" t="str">
        <f ca="1"/>
        <v>0869011329</v>
      </c>
      <c r="G539" s="2">
        <f ca="1">IFERROR(__xludf.DUMMYFUNCTION("""COMPUTED_VALUE"""),105718383865)</f>
        <v>105718383865</v>
      </c>
      <c r="I539" s="2" t="str">
        <f ca="1">IFERROR(__xludf.DUMMYFUNCTION("""COMPUTED_VALUE"""),"Trần Ngọc Anh")</f>
        <v>Trần Ngọc Anh</v>
      </c>
      <c r="J539" s="3" t="str">
        <f ca="1">IFERROR(__xludf.DUMMYFUNCTION("""COMPUTED_VALUE"""),"0326081606")</f>
        <v>0326081606</v>
      </c>
      <c r="K539" s="2" t="str">
        <f ca="1">IFERROR(__xludf.DUMMYFUNCTION("""COMPUTED_VALUE"""),"1741195570971")</f>
        <v>1741195570971</v>
      </c>
    </row>
    <row r="540" spans="1:11" ht="12.45">
      <c r="A540" s="2" t="str">
        <f ca="1">IFERROR(__xludf.DUMMYFUNCTION("""COMPUTED_VALUE"""),"1741195606269")</f>
        <v>1741195606269</v>
      </c>
      <c r="B540" s="2">
        <f ca="1">IFERROR(__xludf.DUMMYFUNCTION("""COMPUTED_VALUE"""),386802379)</f>
        <v>386802379</v>
      </c>
      <c r="C540" s="2" t="str">
        <f ca="1"/>
        <v>0386802379</v>
      </c>
      <c r="D540" s="2">
        <f ca="1">IFERROR(__xludf.DUMMYFUNCTION("""COMPUTED_VALUE"""),1750814639354)</f>
        <v>1750814639354</v>
      </c>
      <c r="E540" s="2">
        <f ca="1">IFERROR(__xludf.DUMMYFUNCTION("""COMPUTED_VALUE"""),365371207)</f>
        <v>365371207</v>
      </c>
      <c r="F540" s="2" t="str">
        <f ca="1"/>
        <v>0365371207</v>
      </c>
      <c r="G540" s="2" t="str">
        <f ca="1">IFERROR(__xludf.DUMMYFUNCTION("""COMPUTED_VALUE"""),"105775804070")</f>
        <v>105775804070</v>
      </c>
      <c r="I540" s="2" t="str">
        <f ca="1">IFERROR(__xludf.DUMMYFUNCTION("""COMPUTED_VALUE"""),"Đỗ Khánh Linh")</f>
        <v>Đỗ Khánh Linh</v>
      </c>
      <c r="J540" s="3" t="str">
        <f ca="1">IFERROR(__xludf.DUMMYFUNCTION("""COMPUTED_VALUE"""),"0349467662")</f>
        <v>0349467662</v>
      </c>
      <c r="K540" s="2" t="str">
        <f ca="1">IFERROR(__xludf.DUMMYFUNCTION("""COMPUTED_VALUE"""),"1741195606269")</f>
        <v>1741195606269</v>
      </c>
    </row>
    <row r="541" spans="1:11" ht="12.45">
      <c r="A541" s="2" t="str">
        <f ca="1">IFERROR(__xludf.DUMMYFUNCTION("""COMPUTED_VALUE"""),"1741195638505")</f>
        <v>1741195638505</v>
      </c>
      <c r="B541" s="2">
        <f ca="1">IFERROR(__xludf.DUMMYFUNCTION("""COMPUTED_VALUE"""),857682873)</f>
        <v>857682873</v>
      </c>
      <c r="C541" s="2" t="str">
        <f ca="1"/>
        <v>0857682873</v>
      </c>
      <c r="D541" s="2">
        <f ca="1">IFERROR(__xludf.DUMMYFUNCTION("""COMPUTED_VALUE"""),1759186216679)</f>
        <v>1759186216679</v>
      </c>
      <c r="E541" s="2">
        <f ca="1">IFERROR(__xludf.DUMMYFUNCTION("""COMPUTED_VALUE"""),973240640)</f>
        <v>973240640</v>
      </c>
      <c r="F541" s="2" t="str">
        <f ca="1"/>
        <v>0973240640</v>
      </c>
      <c r="G541" s="2" t="str">
        <f ca="1">IFERROR(__xludf.DUMMYFUNCTION("""COMPUTED_VALUE"""),"105775804147")</f>
        <v>105775804147</v>
      </c>
      <c r="I541" s="2" t="str">
        <f ca="1">IFERROR(__xludf.DUMMYFUNCTION("""COMPUTED_VALUE"""),"Trần Ngọc Thiên Ân")</f>
        <v>Trần Ngọc Thiên Ân</v>
      </c>
      <c r="J541" s="3" t="str">
        <f ca="1">IFERROR(__xludf.DUMMYFUNCTION("""COMPUTED_VALUE"""),"0397723727")</f>
        <v>0397723727</v>
      </c>
      <c r="K541" s="2" t="str">
        <f ca="1">IFERROR(__xludf.DUMMYFUNCTION("""COMPUTED_VALUE"""),"1741195638505")</f>
        <v>1741195638505</v>
      </c>
    </row>
    <row r="542" spans="1:11" ht="12.45">
      <c r="A542" s="2" t="str">
        <f ca="1">IFERROR(__xludf.DUMMYFUNCTION("""COMPUTED_VALUE"""),"1741195670595")</f>
        <v>1741195670595</v>
      </c>
      <c r="B542" s="2">
        <f ca="1">IFERROR(__xludf.DUMMYFUNCTION("""COMPUTED_VALUE"""),909283049)</f>
        <v>909283049</v>
      </c>
      <c r="C542" s="2" t="str">
        <f ca="1"/>
        <v>0909283049</v>
      </c>
      <c r="D542" s="2">
        <f ca="1">IFERROR(__xludf.DUMMYFUNCTION("""COMPUTED_VALUE"""),1759186307709)</f>
        <v>1759186307709</v>
      </c>
      <c r="E542" s="2">
        <f ca="1">IFERROR(__xludf.DUMMYFUNCTION("""COMPUTED_VALUE"""),913310497)</f>
        <v>913310497</v>
      </c>
      <c r="F542" s="2" t="str">
        <f ca="1"/>
        <v>0913310497</v>
      </c>
      <c r="G542" s="2" t="str">
        <f ca="1">IFERROR(__xludf.DUMMYFUNCTION("""COMPUTED_VALUE"""),"105775804237")</f>
        <v>105775804237</v>
      </c>
      <c r="I542" s="2" t="str">
        <f ca="1">IFERROR(__xludf.DUMMYFUNCTION("""COMPUTED_VALUE"""),"Nguyễn Trâm Anh")</f>
        <v>Nguyễn Trâm Anh</v>
      </c>
      <c r="J542" s="3" t="str">
        <f ca="1">IFERROR(__xludf.DUMMYFUNCTION("""COMPUTED_VALUE"""),"0889051516")</f>
        <v>0889051516</v>
      </c>
      <c r="K542" s="2" t="str">
        <f ca="1">IFERROR(__xludf.DUMMYFUNCTION("""COMPUTED_VALUE"""),"1741195670595")</f>
        <v>1741195670595</v>
      </c>
    </row>
    <row r="543" spans="1:11" ht="12.45">
      <c r="A543" s="2" t="str">
        <f ca="1">IFERROR(__xludf.DUMMYFUNCTION("""COMPUTED_VALUE"""),"1741195709912")</f>
        <v>1741195709912</v>
      </c>
      <c r="B543" s="2">
        <f ca="1">IFERROR(__xludf.DUMMYFUNCTION("""COMPUTED_VALUE"""),388239869)</f>
        <v>388239869</v>
      </c>
      <c r="C543" s="2" t="str">
        <f ca="1"/>
        <v>0388239869</v>
      </c>
      <c r="D543" s="2">
        <f ca="1">IFERROR(__xludf.DUMMYFUNCTION("""COMPUTED_VALUE"""),1759186341306)</f>
        <v>1759186341306</v>
      </c>
      <c r="E543" s="2">
        <f ca="1">IFERROR(__xludf.DUMMYFUNCTION("""COMPUTED_VALUE"""),348686451)</f>
        <v>348686451</v>
      </c>
      <c r="F543" s="2" t="str">
        <f ca="1"/>
        <v>0348686451</v>
      </c>
      <c r="G543" s="2">
        <f ca="1">IFERROR(__xludf.DUMMYFUNCTION("""COMPUTED_VALUE"""),105718383972)</f>
        <v>105718383972</v>
      </c>
      <c r="I543" s="2" t="str">
        <f ca="1">IFERROR(__xludf.DUMMYFUNCTION("""COMPUTED_VALUE"""),"Trần Đức Phú")</f>
        <v>Trần Đức Phú</v>
      </c>
      <c r="J543" s="3" t="str">
        <f ca="1">IFERROR(__xludf.DUMMYFUNCTION("""COMPUTED_VALUE"""),"0877761104")</f>
        <v>0877761104</v>
      </c>
      <c r="K543" s="2" t="str">
        <f ca="1">IFERROR(__xludf.DUMMYFUNCTION("""COMPUTED_VALUE"""),"1741195709912")</f>
        <v>1741195709912</v>
      </c>
    </row>
    <row r="544" spans="1:11" ht="12.45">
      <c r="A544" s="2" t="str">
        <f ca="1">IFERROR(__xludf.DUMMYFUNCTION("""COMPUTED_VALUE"""),"1741195746553")</f>
        <v>1741195746553</v>
      </c>
      <c r="B544" s="2">
        <f ca="1">IFERROR(__xludf.DUMMYFUNCTION("""COMPUTED_VALUE"""),328698998)</f>
        <v>328698998</v>
      </c>
      <c r="C544" s="2" t="str">
        <f ca="1"/>
        <v>0328698998</v>
      </c>
      <c r="D544" s="2">
        <f ca="1">IFERROR(__xludf.DUMMYFUNCTION("""COMPUTED_VALUE"""),1759186369846)</f>
        <v>1759186369846</v>
      </c>
      <c r="E544" s="2">
        <f ca="1">IFERROR(__xludf.DUMMYFUNCTION("""COMPUTED_VALUE"""),862049047)</f>
        <v>862049047</v>
      </c>
      <c r="F544" s="2" t="str">
        <f ca="1"/>
        <v>0862049047</v>
      </c>
      <c r="G544" s="2">
        <f ca="1">IFERROR(__xludf.DUMMYFUNCTION("""COMPUTED_VALUE"""),105718384047)</f>
        <v>105718384047</v>
      </c>
      <c r="I544" s="2" t="str">
        <f ca="1">IFERROR(__xludf.DUMMYFUNCTION("""COMPUTED_VALUE"""),"Nguyễn Hà Linh")</f>
        <v>Nguyễn Hà Linh</v>
      </c>
      <c r="J544" s="2" t="str">
        <f ca="1">IFERROR(__xludf.DUMMYFUNCTION("""COMPUTED_VALUE"""),"08437999631")</f>
        <v>08437999631</v>
      </c>
      <c r="K544" s="2" t="str">
        <f ca="1">IFERROR(__xludf.DUMMYFUNCTION("""COMPUTED_VALUE"""),"1741195746553")</f>
        <v>1741195746553</v>
      </c>
    </row>
    <row r="545" spans="1:11" ht="12.45">
      <c r="A545" s="2" t="str">
        <f ca="1">IFERROR(__xludf.DUMMYFUNCTION("""COMPUTED_VALUE"""),"1741195792508")</f>
        <v>1741195792508</v>
      </c>
      <c r="B545" s="2">
        <f ca="1">IFERROR(__xludf.DUMMYFUNCTION("""COMPUTED_VALUE"""),989865336)</f>
        <v>989865336</v>
      </c>
      <c r="C545" s="2" t="str">
        <f ca="1"/>
        <v>0989865336</v>
      </c>
      <c r="D545" s="2">
        <f ca="1">IFERROR(__xludf.DUMMYFUNCTION("""COMPUTED_VALUE"""),1759186423294)</f>
        <v>1759186423294</v>
      </c>
      <c r="E545" s="2">
        <f ca="1">IFERROR(__xludf.DUMMYFUNCTION("""COMPUTED_VALUE"""),937156326)</f>
        <v>937156326</v>
      </c>
      <c r="F545" s="2" t="str">
        <f ca="1"/>
        <v>0937156326</v>
      </c>
      <c r="G545" s="2" t="str">
        <f ca="1">IFERROR(__xludf.DUMMYFUNCTION("""COMPUTED_VALUE"""),"105775804625")</f>
        <v>105775804625</v>
      </c>
      <c r="I545" s="2" t="str">
        <f ca="1">IFERROR(__xludf.DUMMYFUNCTION("""COMPUTED_VALUE"""),"Trần Vũ Thảo Viên")</f>
        <v>Trần Vũ Thảo Viên</v>
      </c>
      <c r="J545" s="3" t="str">
        <f ca="1">IFERROR(__xludf.DUMMYFUNCTION("""COMPUTED_VALUE"""),"0379299522")</f>
        <v>0379299522</v>
      </c>
      <c r="K545" s="2" t="str">
        <f ca="1">IFERROR(__xludf.DUMMYFUNCTION("""COMPUTED_VALUE"""),"1741195792508")</f>
        <v>1741195792508</v>
      </c>
    </row>
    <row r="546" spans="1:11" ht="12.45">
      <c r="A546" s="2" t="str">
        <f ca="1">IFERROR(__xludf.DUMMYFUNCTION("""COMPUTED_VALUE"""),"1741195828061")</f>
        <v>1741195828061</v>
      </c>
      <c r="B546" s="2">
        <f ca="1">IFERROR(__xludf.DUMMYFUNCTION("""COMPUTED_VALUE"""),982088288)</f>
        <v>982088288</v>
      </c>
      <c r="C546" s="2" t="str">
        <f ca="1"/>
        <v>0982088288</v>
      </c>
      <c r="D546" s="2">
        <f ca="1">IFERROR(__xludf.DUMMYFUNCTION("""COMPUTED_VALUE"""),1759186486448)</f>
        <v>1759186486448</v>
      </c>
      <c r="E546" s="2">
        <f ca="1">IFERROR(__xludf.DUMMYFUNCTION("""COMPUTED_VALUE"""),337013803)</f>
        <v>337013803</v>
      </c>
      <c r="F546" s="2" t="str">
        <f ca="1"/>
        <v>0337013803</v>
      </c>
      <c r="G546" s="2">
        <f ca="1">IFERROR(__xludf.DUMMYFUNCTION("""COMPUTED_VALUE"""),105718384136)</f>
        <v>105718384136</v>
      </c>
      <c r="I546" s="2" t="str">
        <f ca="1">IFERROR(__xludf.DUMMYFUNCTION("""COMPUTED_VALUE"""),"Hoàng Thị Thương")</f>
        <v>Hoàng Thị Thương</v>
      </c>
      <c r="J546" s="3" t="str">
        <f ca="1">IFERROR(__xludf.DUMMYFUNCTION("""COMPUTED_VALUE"""),"0367801665")</f>
        <v>0367801665</v>
      </c>
      <c r="K546" s="2" t="str">
        <f ca="1">IFERROR(__xludf.DUMMYFUNCTION("""COMPUTED_VALUE"""),"1741195828061")</f>
        <v>1741195828061</v>
      </c>
    </row>
    <row r="547" spans="1:11" ht="12.45">
      <c r="A547" s="2" t="str">
        <f ca="1">IFERROR(__xludf.DUMMYFUNCTION("""COMPUTED_VALUE"""),"1741195863330")</f>
        <v>1741195863330</v>
      </c>
      <c r="B547" s="2">
        <f ca="1">IFERROR(__xludf.DUMMYFUNCTION("""COMPUTED_VALUE"""),813275793)</f>
        <v>813275793</v>
      </c>
      <c r="C547" s="2" t="str">
        <f ca="1"/>
        <v>0813275793</v>
      </c>
      <c r="D547" s="2">
        <f ca="1">IFERROR(__xludf.DUMMYFUNCTION("""COMPUTED_VALUE"""),1759186585443)</f>
        <v>1759186585443</v>
      </c>
      <c r="E547" s="2">
        <f ca="1">IFERROR(__xludf.DUMMYFUNCTION("""COMPUTED_VALUE"""),916050734)</f>
        <v>916050734</v>
      </c>
      <c r="F547" s="2" t="str">
        <f ca="1"/>
        <v>0916050734</v>
      </c>
      <c r="G547" s="2" t="str">
        <f ca="1">IFERROR(__xludf.DUMMYFUNCTION("""COMPUTED_VALUE"""),"105775804988")</f>
        <v>105775804988</v>
      </c>
      <c r="I547" s="2" t="str">
        <f ca="1">IFERROR(__xludf.DUMMYFUNCTION("""COMPUTED_VALUE"""),"Đinh Mạnh Dũng")</f>
        <v>Đinh Mạnh Dũng</v>
      </c>
      <c r="J547" s="3" t="str">
        <f ca="1">IFERROR(__xludf.DUMMYFUNCTION("""COMPUTED_VALUE"""),"0379359930")</f>
        <v>0379359930</v>
      </c>
      <c r="K547" s="2" t="str">
        <f ca="1">IFERROR(__xludf.DUMMYFUNCTION("""COMPUTED_VALUE"""),"1741195863330")</f>
        <v>1741195863330</v>
      </c>
    </row>
    <row r="548" spans="1:11" ht="12.45">
      <c r="A548" s="2" t="str">
        <f ca="1">IFERROR(__xludf.DUMMYFUNCTION("""COMPUTED_VALUE"""),"1741195902620")</f>
        <v>1741195902620</v>
      </c>
      <c r="B548" s="2">
        <f ca="1">IFERROR(__xludf.DUMMYFUNCTION("""COMPUTED_VALUE"""),377795990)</f>
        <v>377795990</v>
      </c>
      <c r="C548" s="2" t="str">
        <f ca="1"/>
        <v>0377795990</v>
      </c>
      <c r="D548" s="2">
        <f ca="1">IFERROR(__xludf.DUMMYFUNCTION("""COMPUTED_VALUE"""),1759186640650)</f>
        <v>1759186640650</v>
      </c>
      <c r="E548" s="2">
        <f ca="1">IFERROR(__xludf.DUMMYFUNCTION("""COMPUTED_VALUE"""),867976591)</f>
        <v>867976591</v>
      </c>
      <c r="F548" s="2" t="str">
        <f ca="1"/>
        <v>0867976591</v>
      </c>
      <c r="G548" s="2" t="str">
        <f ca="1">IFERROR(__xludf.DUMMYFUNCTION("""COMPUTED_VALUE"""),"105775805033")</f>
        <v>105775805033</v>
      </c>
      <c r="I548" s="2" t="str">
        <f ca="1">IFERROR(__xludf.DUMMYFUNCTION("""COMPUTED_VALUE"""),"Nguyễn Bình Minh Phương ")</f>
        <v xml:space="preserve">Nguyễn Bình Minh Phương </v>
      </c>
      <c r="J548" s="3" t="str">
        <f ca="1">IFERROR(__xludf.DUMMYFUNCTION("""COMPUTED_VALUE"""),"0376503536")</f>
        <v>0376503536</v>
      </c>
      <c r="K548" s="2" t="str">
        <f ca="1">IFERROR(__xludf.DUMMYFUNCTION("""COMPUTED_VALUE"""),"1741195902620")</f>
        <v>1741195902620</v>
      </c>
    </row>
    <row r="549" spans="1:11" ht="12.45">
      <c r="A549" s="2" t="str">
        <f ca="1">IFERROR(__xludf.DUMMYFUNCTION("""COMPUTED_VALUE"""),"1741195950078")</f>
        <v>1741195950078</v>
      </c>
      <c r="B549" s="2">
        <f ca="1">IFERROR(__xludf.DUMMYFUNCTION("""COMPUTED_VALUE"""),947926517)</f>
        <v>947926517</v>
      </c>
      <c r="C549" s="2" t="str">
        <f ca="1"/>
        <v>0947926517</v>
      </c>
      <c r="D549" s="2">
        <f ca="1">IFERROR(__xludf.DUMMYFUNCTION("""COMPUTED_VALUE"""),1750972114093)</f>
        <v>1750972114093</v>
      </c>
      <c r="E549" s="2">
        <f ca="1">IFERROR(__xludf.DUMMYFUNCTION("""COMPUTED_VALUE"""),984464415)</f>
        <v>984464415</v>
      </c>
      <c r="F549" s="2" t="str">
        <f ca="1"/>
        <v>0984464415</v>
      </c>
      <c r="G549" s="2" t="str">
        <f ca="1">IFERROR(__xludf.DUMMYFUNCTION("""COMPUTED_VALUE"""),"105775805411")</f>
        <v>105775805411</v>
      </c>
      <c r="I549" s="2" t="str">
        <f ca="1">IFERROR(__xludf.DUMMYFUNCTION("""COMPUTED_VALUE"""),"Thiều Ngọc Diệp ")</f>
        <v xml:space="preserve">Thiều Ngọc Diệp </v>
      </c>
      <c r="J549" s="3" t="str">
        <f ca="1">IFERROR(__xludf.DUMMYFUNCTION("""COMPUTED_VALUE"""),"0335669984")</f>
        <v>0335669984</v>
      </c>
      <c r="K549" s="2" t="str">
        <f ca="1">IFERROR(__xludf.DUMMYFUNCTION("""COMPUTED_VALUE"""),"1741195950078")</f>
        <v>1741195950078</v>
      </c>
    </row>
    <row r="550" spans="1:11" ht="12.45">
      <c r="A550" s="2" t="str">
        <f ca="1">IFERROR(__xludf.DUMMYFUNCTION("""COMPUTED_VALUE"""),"1741195995519")</f>
        <v>1741195995519</v>
      </c>
      <c r="B550" s="2">
        <f ca="1">IFERROR(__xludf.DUMMYFUNCTION("""COMPUTED_VALUE"""),364171157)</f>
        <v>364171157</v>
      </c>
      <c r="C550" s="2" t="str">
        <f ca="1"/>
        <v>0364171157</v>
      </c>
      <c r="D550" s="2">
        <f ca="1">IFERROR(__xludf.DUMMYFUNCTION("""COMPUTED_VALUE"""),1750972182171)</f>
        <v>1750972182171</v>
      </c>
      <c r="E550" s="2">
        <f ca="1">IFERROR(__xludf.DUMMYFUNCTION("""COMPUTED_VALUE"""),967543982)</f>
        <v>967543982</v>
      </c>
      <c r="F550" s="2" t="str">
        <f ca="1"/>
        <v>0967543982</v>
      </c>
      <c r="G550" s="2" t="str">
        <f ca="1">IFERROR(__xludf.DUMMYFUNCTION("""COMPUTED_VALUE"""),"105775805560")</f>
        <v>105775805560</v>
      </c>
      <c r="I550" s="2" t="str">
        <f ca="1">IFERROR(__xludf.DUMMYFUNCTION("""COMPUTED_VALUE"""),"Võ Hoàng Thanh Ngân")</f>
        <v>Võ Hoàng Thanh Ngân</v>
      </c>
      <c r="J550" s="3" t="str">
        <f ca="1">IFERROR(__xludf.DUMMYFUNCTION("""COMPUTED_VALUE"""),"0704423839")</f>
        <v>0704423839</v>
      </c>
      <c r="K550" s="2" t="str">
        <f ca="1">IFERROR(__xludf.DUMMYFUNCTION("""COMPUTED_VALUE"""),"1741195995519")</f>
        <v>1741195995519</v>
      </c>
    </row>
    <row r="551" spans="1:11" ht="12.45">
      <c r="A551" s="2" t="str">
        <f ca="1">IFERROR(__xludf.DUMMYFUNCTION("""COMPUTED_VALUE"""),"1741196030043")</f>
        <v>1741196030043</v>
      </c>
      <c r="B551" s="2">
        <f ca="1">IFERROR(__xludf.DUMMYFUNCTION("""COMPUTED_VALUE"""),388281809)</f>
        <v>388281809</v>
      </c>
      <c r="C551" s="2" t="str">
        <f ca="1"/>
        <v>0388281809</v>
      </c>
      <c r="D551" s="2">
        <f ca="1">IFERROR(__xludf.DUMMYFUNCTION("""COMPUTED_VALUE"""),1750972228712)</f>
        <v>1750972228712</v>
      </c>
      <c r="E551" s="2">
        <f ca="1">IFERROR(__xludf.DUMMYFUNCTION("""COMPUTED_VALUE"""),989435533)</f>
        <v>989435533</v>
      </c>
      <c r="F551" s="2" t="str">
        <f ca="1"/>
        <v>0989435533</v>
      </c>
      <c r="G551" s="2" t="str">
        <f ca="1">IFERROR(__xludf.DUMMYFUNCTION("""COMPUTED_VALUE"""),"105775805769")</f>
        <v>105775805769</v>
      </c>
      <c r="I551" s="2" t="str">
        <f ca="1">IFERROR(__xludf.DUMMYFUNCTION("""COMPUTED_VALUE"""),"Nguyễn Ngọc Quỳnh Anh")</f>
        <v>Nguyễn Ngọc Quỳnh Anh</v>
      </c>
      <c r="J551" s="3" t="str">
        <f ca="1">IFERROR(__xludf.DUMMYFUNCTION("""COMPUTED_VALUE"""),"0922270248")</f>
        <v>0922270248</v>
      </c>
      <c r="K551" s="2" t="str">
        <f ca="1">IFERROR(__xludf.DUMMYFUNCTION("""COMPUTED_VALUE"""),"1741196030043")</f>
        <v>1741196030043</v>
      </c>
    </row>
    <row r="552" spans="1:11" ht="12.45">
      <c r="A552" s="2" t="str">
        <f ca="1">IFERROR(__xludf.DUMMYFUNCTION("""COMPUTED_VALUE"""),"1741196077312")</f>
        <v>1741196077312</v>
      </c>
      <c r="B552" s="2">
        <f ca="1">IFERROR(__xludf.DUMMYFUNCTION("""COMPUTED_VALUE"""),988925057)</f>
        <v>988925057</v>
      </c>
      <c r="C552" s="2" t="str">
        <f ca="1"/>
        <v>0988925057</v>
      </c>
      <c r="D552" s="2">
        <f ca="1">IFERROR(__xludf.DUMMYFUNCTION("""COMPUTED_VALUE"""),1750972273798)</f>
        <v>1750972273798</v>
      </c>
      <c r="E552" s="2">
        <f ca="1">IFERROR(__xludf.DUMMYFUNCTION("""COMPUTED_VALUE"""),942762052)</f>
        <v>942762052</v>
      </c>
      <c r="F552" s="2" t="str">
        <f ca="1"/>
        <v>0942762052</v>
      </c>
      <c r="G552" s="2" t="str">
        <f ca="1">IFERROR(__xludf.DUMMYFUNCTION("""COMPUTED_VALUE"""),"105775805817")</f>
        <v>105775805817</v>
      </c>
      <c r="I552" s="2" t="str">
        <f ca="1">IFERROR(__xludf.DUMMYFUNCTION("""COMPUTED_VALUE"""),"Trần Thanh Hiền")</f>
        <v>Trần Thanh Hiền</v>
      </c>
      <c r="J552" s="3" t="str">
        <f ca="1">IFERROR(__xludf.DUMMYFUNCTION("""COMPUTED_VALUE"""),"0359968108")</f>
        <v>0359968108</v>
      </c>
      <c r="K552" s="2" t="str">
        <f ca="1">IFERROR(__xludf.DUMMYFUNCTION("""COMPUTED_VALUE"""),"1741196077312")</f>
        <v>1741196077312</v>
      </c>
    </row>
    <row r="553" spans="1:11" ht="12.45">
      <c r="A553" s="2" t="str">
        <f ca="1">IFERROR(__xludf.DUMMYFUNCTION("""COMPUTED_VALUE"""),"1741196124912")</f>
        <v>1741196124912</v>
      </c>
      <c r="B553" s="2">
        <f ca="1">IFERROR(__xludf.DUMMYFUNCTION("""COMPUTED_VALUE"""),934111985)</f>
        <v>934111985</v>
      </c>
      <c r="C553" s="2" t="str">
        <f ca="1"/>
        <v>0934111985</v>
      </c>
      <c r="D553" s="2">
        <f ca="1">IFERROR(__xludf.DUMMYFUNCTION("""COMPUTED_VALUE"""),1750843202898)</f>
        <v>1750843202898</v>
      </c>
      <c r="E553" s="2">
        <f ca="1">IFERROR(__xludf.DUMMYFUNCTION("""COMPUTED_VALUE"""),849582189)</f>
        <v>849582189</v>
      </c>
      <c r="F553" s="2" t="str">
        <f ca="1"/>
        <v>0849582189</v>
      </c>
      <c r="G553" s="2" t="str">
        <f ca="1">IFERROR(__xludf.DUMMYFUNCTION("""COMPUTED_VALUE"""),"105775806080")</f>
        <v>105775806080</v>
      </c>
      <c r="I553" s="2" t="str">
        <f ca="1">IFERROR(__xludf.DUMMYFUNCTION("""COMPUTED_VALUE"""),"Trần Nguyễn Thuý Ngân")</f>
        <v>Trần Nguyễn Thuý Ngân</v>
      </c>
      <c r="J553" s="3" t="str">
        <f ca="1">IFERROR(__xludf.DUMMYFUNCTION("""COMPUTED_VALUE"""),"0934874782")</f>
        <v>0934874782</v>
      </c>
      <c r="K553" s="2" t="str">
        <f ca="1">IFERROR(__xludf.DUMMYFUNCTION("""COMPUTED_VALUE"""),"1741196124912")</f>
        <v>1741196124912</v>
      </c>
    </row>
    <row r="554" spans="1:11" ht="12.45">
      <c r="A554" s="2" t="str">
        <f ca="1">IFERROR(__xludf.DUMMYFUNCTION("""COMPUTED_VALUE"""),"1741364679144")</f>
        <v>1741364679144</v>
      </c>
      <c r="B554" s="2">
        <f ca="1">IFERROR(__xludf.DUMMYFUNCTION("""COMPUTED_VALUE"""),356225026)</f>
        <v>356225026</v>
      </c>
      <c r="C554" s="2" t="str">
        <f ca="1"/>
        <v>0356225026</v>
      </c>
      <c r="D554" s="2">
        <f ca="1">IFERROR(__xludf.DUMMYFUNCTION("""COMPUTED_VALUE"""),1750843273879)</f>
        <v>1750843273879</v>
      </c>
      <c r="E554" s="2">
        <f ca="1">IFERROR(__xludf.DUMMYFUNCTION("""COMPUTED_VALUE"""),967298764)</f>
        <v>967298764</v>
      </c>
      <c r="F554" s="2" t="str">
        <f ca="1"/>
        <v>0967298764</v>
      </c>
      <c r="G554" s="2" t="str">
        <f ca="1">IFERROR(__xludf.DUMMYFUNCTION("""COMPUTED_VALUE"""),"105775806284")</f>
        <v>105775806284</v>
      </c>
      <c r="I554" s="2" t="str">
        <f ca="1">IFERROR(__xludf.DUMMYFUNCTION("""COMPUTED_VALUE"""),"Ngũ thị khánh chi ")</f>
        <v xml:space="preserve">Ngũ thị khánh chi </v>
      </c>
      <c r="J554" s="3" t="str">
        <f ca="1">IFERROR(__xludf.DUMMYFUNCTION("""COMPUTED_VALUE"""),"0384679462")</f>
        <v>0384679462</v>
      </c>
      <c r="K554" s="2" t="str">
        <f ca="1">IFERROR(__xludf.DUMMYFUNCTION("""COMPUTED_VALUE"""),"1741364679144")</f>
        <v>1741364679144</v>
      </c>
    </row>
    <row r="555" spans="1:11" ht="12.45">
      <c r="A555" s="2" t="str">
        <f ca="1">IFERROR(__xludf.DUMMYFUNCTION("""COMPUTED_VALUE"""),"1741364739038")</f>
        <v>1741364739038</v>
      </c>
      <c r="B555" s="2">
        <f ca="1">IFERROR(__xludf.DUMMYFUNCTION("""COMPUTED_VALUE"""),988282765)</f>
        <v>988282765</v>
      </c>
      <c r="C555" s="2" t="str">
        <f ca="1"/>
        <v>0988282765</v>
      </c>
      <c r="D555" s="2">
        <f ca="1">IFERROR(__xludf.DUMMYFUNCTION("""COMPUTED_VALUE"""),1756389240119)</f>
        <v>1756389240119</v>
      </c>
      <c r="E555" s="2">
        <f ca="1">IFERROR(__xludf.DUMMYFUNCTION("""COMPUTED_VALUE"""),973046738)</f>
        <v>973046738</v>
      </c>
      <c r="F555" s="2" t="str">
        <f ca="1"/>
        <v>0973046738</v>
      </c>
      <c r="G555" s="2">
        <f ca="1">IFERROR(__xludf.DUMMYFUNCTION("""COMPUTED_VALUE"""),105718384211)</f>
        <v>105718384211</v>
      </c>
      <c r="I555" s="2" t="str">
        <f ca="1">IFERROR(__xludf.DUMMYFUNCTION("""COMPUTED_VALUE"""),"Long Thuỳ Dương ")</f>
        <v xml:space="preserve">Long Thuỳ Dương </v>
      </c>
      <c r="J555" s="3" t="str">
        <f ca="1">IFERROR(__xludf.DUMMYFUNCTION("""COMPUTED_VALUE"""),"0963741624")</f>
        <v>0963741624</v>
      </c>
      <c r="K555" s="2" t="str">
        <f ca="1">IFERROR(__xludf.DUMMYFUNCTION("""COMPUTED_VALUE"""),"1741364739038")</f>
        <v>1741364739038</v>
      </c>
    </row>
    <row r="556" spans="1:11" ht="12.45">
      <c r="A556" s="2" t="str">
        <f ca="1">IFERROR(__xludf.DUMMYFUNCTION("""COMPUTED_VALUE"""),"1741364781688")</f>
        <v>1741364781688</v>
      </c>
      <c r="B556" s="2">
        <f ca="1">IFERROR(__xludf.DUMMYFUNCTION("""COMPUTED_VALUE"""),345270483)</f>
        <v>345270483</v>
      </c>
      <c r="C556" s="2" t="str">
        <f ca="1"/>
        <v>0345270483</v>
      </c>
      <c r="D556" s="2">
        <f ca="1">IFERROR(__xludf.DUMMYFUNCTION("""COMPUTED_VALUE"""),1756389285987)</f>
        <v>1756389285987</v>
      </c>
      <c r="E556" s="2">
        <f ca="1">IFERROR(__xludf.DUMMYFUNCTION("""COMPUTED_VALUE"""),916801834)</f>
        <v>916801834</v>
      </c>
      <c r="F556" s="2" t="str">
        <f ca="1"/>
        <v>0916801834</v>
      </c>
      <c r="G556" s="2" t="str">
        <f ca="1">IFERROR(__xludf.DUMMYFUNCTION("""COMPUTED_VALUE"""),"105775806488")</f>
        <v>105775806488</v>
      </c>
      <c r="I556" s="2" t="str">
        <f ca="1">IFERROR(__xludf.DUMMYFUNCTION("""COMPUTED_VALUE"""),"Đào Nguyễn Minh Khuê")</f>
        <v>Đào Nguyễn Minh Khuê</v>
      </c>
      <c r="J556" s="3" t="str">
        <f ca="1">IFERROR(__xludf.DUMMYFUNCTION("""COMPUTED_VALUE"""),"0393618568")</f>
        <v>0393618568</v>
      </c>
      <c r="K556" s="2" t="str">
        <f ca="1">IFERROR(__xludf.DUMMYFUNCTION("""COMPUTED_VALUE"""),"1741364781688")</f>
        <v>1741364781688</v>
      </c>
    </row>
    <row r="557" spans="1:11" ht="12.45">
      <c r="A557" s="2" t="str">
        <f ca="1">IFERROR(__xludf.DUMMYFUNCTION("""COMPUTED_VALUE"""),"1741364847456")</f>
        <v>1741364847456</v>
      </c>
      <c r="B557" s="2">
        <f ca="1">IFERROR(__xludf.DUMMYFUNCTION("""COMPUTED_VALUE"""),338886678)</f>
        <v>338886678</v>
      </c>
      <c r="C557" s="2" t="str">
        <f ca="1"/>
        <v>0338886678</v>
      </c>
      <c r="D557" s="2">
        <f ca="1">IFERROR(__xludf.DUMMYFUNCTION("""COMPUTED_VALUE"""),1755831477542)</f>
        <v>1755831477542</v>
      </c>
      <c r="E557" s="2">
        <f ca="1">IFERROR(__xludf.DUMMYFUNCTION("""COMPUTED_VALUE"""),911363396)</f>
        <v>911363396</v>
      </c>
      <c r="F557" s="2" t="str">
        <f ca="1"/>
        <v>0911363396</v>
      </c>
      <c r="G557" s="2" t="str">
        <f ca="1">IFERROR(__xludf.DUMMYFUNCTION("""COMPUTED_VALUE"""),"105775806618")</f>
        <v>105775806618</v>
      </c>
      <c r="I557" s="2" t="str">
        <f ca="1">IFERROR(__xludf.DUMMYFUNCTION("""COMPUTED_VALUE"""),"Nguyễn Thụy Hồng Anh ")</f>
        <v xml:space="preserve">Nguyễn Thụy Hồng Anh </v>
      </c>
      <c r="J557" s="3" t="str">
        <f ca="1">IFERROR(__xludf.DUMMYFUNCTION("""COMPUTED_VALUE"""),"0852386852")</f>
        <v>0852386852</v>
      </c>
      <c r="K557" s="2" t="str">
        <f ca="1">IFERROR(__xludf.DUMMYFUNCTION("""COMPUTED_VALUE"""),"1741364847456")</f>
        <v>1741364847456</v>
      </c>
    </row>
    <row r="558" spans="1:11" ht="12.45">
      <c r="A558" s="2" t="str">
        <f ca="1">IFERROR(__xludf.DUMMYFUNCTION("""COMPUTED_VALUE"""),"1741364895969")</f>
        <v>1741364895969</v>
      </c>
      <c r="B558" s="2">
        <f ca="1">IFERROR(__xludf.DUMMYFUNCTION("""COMPUTED_VALUE"""),865154454)</f>
        <v>865154454</v>
      </c>
      <c r="C558" s="2" t="str">
        <f ca="1"/>
        <v>0865154454</v>
      </c>
      <c r="D558" s="2">
        <f ca="1">IFERROR(__xludf.DUMMYFUNCTION("""COMPUTED_VALUE"""),1754014660550)</f>
        <v>1754014660550</v>
      </c>
      <c r="E558" s="2">
        <f ca="1">IFERROR(__xludf.DUMMYFUNCTION("""COMPUTED_VALUE"""),345264805)</f>
        <v>345264805</v>
      </c>
      <c r="F558" s="2" t="str">
        <f ca="1"/>
        <v>0345264805</v>
      </c>
      <c r="G558" s="2" t="str">
        <f ca="1">IFERROR(__xludf.DUMMYFUNCTION("""COMPUTED_VALUE"""),"105775806828")</f>
        <v>105775806828</v>
      </c>
      <c r="I558" s="2" t="str">
        <f ca="1">IFERROR(__xludf.DUMMYFUNCTION("""COMPUTED_VALUE"""),"Ngô Trường Giang")</f>
        <v>Ngô Trường Giang</v>
      </c>
      <c r="J558" s="3" t="str">
        <f ca="1">IFERROR(__xludf.DUMMYFUNCTION("""COMPUTED_VALUE"""),"0334662261")</f>
        <v>0334662261</v>
      </c>
      <c r="K558" s="2" t="str">
        <f ca="1">IFERROR(__xludf.DUMMYFUNCTION("""COMPUTED_VALUE"""),"1741364895969")</f>
        <v>1741364895969</v>
      </c>
    </row>
    <row r="559" spans="1:11" ht="12.45">
      <c r="A559" s="2" t="str">
        <f ca="1">IFERROR(__xludf.DUMMYFUNCTION("""COMPUTED_VALUE"""),"1741364953316")</f>
        <v>1741364953316</v>
      </c>
      <c r="B559" s="2">
        <f ca="1">IFERROR(__xludf.DUMMYFUNCTION("""COMPUTED_VALUE"""),962438333)</f>
        <v>962438333</v>
      </c>
      <c r="C559" s="2" t="str">
        <f ca="1"/>
        <v>0962438333</v>
      </c>
      <c r="D559" s="2">
        <f ca="1">IFERROR(__xludf.DUMMYFUNCTION("""COMPUTED_VALUE"""),1754014717393)</f>
        <v>1754014717393</v>
      </c>
      <c r="E559" s="2">
        <f ca="1">IFERROR(__xludf.DUMMYFUNCTION("""COMPUTED_VALUE"""),332330385)</f>
        <v>332330385</v>
      </c>
      <c r="F559" s="2" t="str">
        <f ca="1"/>
        <v>0332330385</v>
      </c>
      <c r="G559" s="2" t="str">
        <f ca="1">IFERROR(__xludf.DUMMYFUNCTION("""COMPUTED_VALUE"""),"105775807050")</f>
        <v>105775807050</v>
      </c>
      <c r="I559" s="2" t="str">
        <f ca="1">IFERROR(__xludf.DUMMYFUNCTION("""COMPUTED_VALUE"""),"Kiều Thị Phương Trang")</f>
        <v>Kiều Thị Phương Trang</v>
      </c>
      <c r="J559" s="3" t="str">
        <f ca="1">IFERROR(__xludf.DUMMYFUNCTION("""COMPUTED_VALUE"""),"0834355244")</f>
        <v>0834355244</v>
      </c>
      <c r="K559" s="2" t="str">
        <f ca="1">IFERROR(__xludf.DUMMYFUNCTION("""COMPUTED_VALUE"""),"1741364953316")</f>
        <v>1741364953316</v>
      </c>
    </row>
    <row r="560" spans="1:11" ht="12.45">
      <c r="A560" s="2" t="str">
        <f ca="1">IFERROR(__xludf.DUMMYFUNCTION("""COMPUTED_VALUE"""),"1741365011934")</f>
        <v>1741365011934</v>
      </c>
      <c r="B560" s="2">
        <f ca="1">IFERROR(__xludf.DUMMYFUNCTION("""COMPUTED_VALUE"""),962458183)</f>
        <v>962458183</v>
      </c>
      <c r="C560" s="2" t="str">
        <f ca="1"/>
        <v>0962458183</v>
      </c>
      <c r="D560" s="2">
        <f ca="1">IFERROR(__xludf.DUMMYFUNCTION("""COMPUTED_VALUE"""),1750414442602)</f>
        <v>1750414442602</v>
      </c>
      <c r="E560" s="2">
        <f ca="1">IFERROR(__xludf.DUMMYFUNCTION("""COMPUTED_VALUE"""),785967710)</f>
        <v>785967710</v>
      </c>
      <c r="F560" s="2" t="str">
        <f ca="1"/>
        <v>0785967710</v>
      </c>
      <c r="G560" s="2" t="str">
        <f ca="1">IFERROR(__xludf.DUMMYFUNCTION("""COMPUTED_VALUE"""),"105775807151")</f>
        <v>105775807151</v>
      </c>
      <c r="I560" s="2" t="str">
        <f ca="1">IFERROR(__xludf.DUMMYFUNCTION("""COMPUTED_VALUE"""),"Bế Thị Khánh Linh")</f>
        <v>Bế Thị Khánh Linh</v>
      </c>
      <c r="J560" s="3" t="str">
        <f ca="1">IFERROR(__xludf.DUMMYFUNCTION("""COMPUTED_VALUE"""),"0824224274")</f>
        <v>0824224274</v>
      </c>
      <c r="K560" s="2" t="str">
        <f ca="1">IFERROR(__xludf.DUMMYFUNCTION("""COMPUTED_VALUE"""),"1741365011934")</f>
        <v>1741365011934</v>
      </c>
    </row>
    <row r="561" spans="1:11" ht="12.45">
      <c r="A561" s="2" t="str">
        <f ca="1">IFERROR(__xludf.DUMMYFUNCTION("""COMPUTED_VALUE"""),"1741365053741")</f>
        <v>1741365053741</v>
      </c>
      <c r="B561" s="2">
        <f ca="1">IFERROR(__xludf.DUMMYFUNCTION("""COMPUTED_VALUE"""),367053988)</f>
        <v>367053988</v>
      </c>
      <c r="C561" s="2" t="str">
        <f ca="1"/>
        <v>0367053988</v>
      </c>
      <c r="D561" s="2">
        <f ca="1">IFERROR(__xludf.DUMMYFUNCTION("""COMPUTED_VALUE"""),1761082655880)</f>
        <v>1761082655880</v>
      </c>
      <c r="E561" s="2">
        <f ca="1">IFERROR(__xludf.DUMMYFUNCTION("""COMPUTED_VALUE"""),862126877)</f>
        <v>862126877</v>
      </c>
      <c r="F561" s="2" t="str">
        <f ca="1"/>
        <v>0862126877</v>
      </c>
      <c r="G561" s="2" t="str">
        <f ca="1">IFERROR(__xludf.DUMMYFUNCTION("""COMPUTED_VALUE"""),"105775807364")</f>
        <v>105775807364</v>
      </c>
      <c r="I561" s="2" t="str">
        <f ca="1">IFERROR(__xludf.DUMMYFUNCTION("""COMPUTED_VALUE"""),"Đặng Diễm Quỳnh")</f>
        <v>Đặng Diễm Quỳnh</v>
      </c>
      <c r="J561" s="2" t="str">
        <f ca="1">IFERROR(__xludf.DUMMYFUNCTION("""COMPUTED_VALUE"""),"08496593070")</f>
        <v>08496593070</v>
      </c>
      <c r="K561" s="2" t="str">
        <f ca="1">IFERROR(__xludf.DUMMYFUNCTION("""COMPUTED_VALUE"""),"1741365053741")</f>
        <v>1741365053741</v>
      </c>
    </row>
    <row r="562" spans="1:11" ht="12.45">
      <c r="A562" s="2" t="str">
        <f ca="1">IFERROR(__xludf.DUMMYFUNCTION("""COMPUTED_VALUE"""),"1741365124975")</f>
        <v>1741365124975</v>
      </c>
      <c r="B562" s="2">
        <f ca="1">IFERROR(__xludf.DUMMYFUNCTION("""COMPUTED_VALUE"""),964296256)</f>
        <v>964296256</v>
      </c>
      <c r="C562" s="2" t="str">
        <f ca="1"/>
        <v>0964296256</v>
      </c>
      <c r="D562" s="2">
        <f ca="1">IFERROR(__xludf.DUMMYFUNCTION("""COMPUTED_VALUE"""),1761082739686)</f>
        <v>1761082739686</v>
      </c>
      <c r="E562" s="2">
        <f ca="1">IFERROR(__xludf.DUMMYFUNCTION("""COMPUTED_VALUE"""),904458512)</f>
        <v>904458512</v>
      </c>
      <c r="F562" s="2" t="str">
        <f ca="1"/>
        <v>0904458512</v>
      </c>
      <c r="G562" s="2" t="str">
        <f ca="1">IFERROR(__xludf.DUMMYFUNCTION("""COMPUTED_VALUE"""),"105775807513")</f>
        <v>105775807513</v>
      </c>
      <c r="I562" s="2" t="str">
        <f ca="1">IFERROR(__xludf.DUMMYFUNCTION("""COMPUTED_VALUE"""),"Võ Nguyễn Hồng Anh")</f>
        <v>Võ Nguyễn Hồng Anh</v>
      </c>
      <c r="J562" s="3" t="str">
        <f ca="1">IFERROR(__xludf.DUMMYFUNCTION("""COMPUTED_VALUE"""),"0852660469")</f>
        <v>0852660469</v>
      </c>
      <c r="K562" s="2" t="str">
        <f ca="1">IFERROR(__xludf.DUMMYFUNCTION("""COMPUTED_VALUE"""),"1741365124975")</f>
        <v>1741365124975</v>
      </c>
    </row>
    <row r="563" spans="1:11" ht="12.45">
      <c r="A563" s="2" t="str">
        <f ca="1">IFERROR(__xludf.DUMMYFUNCTION("""COMPUTED_VALUE"""),"1741365190843")</f>
        <v>1741365190843</v>
      </c>
      <c r="B563" s="2">
        <f ca="1">IFERROR(__xludf.DUMMYFUNCTION("""COMPUTED_VALUE"""),888001817)</f>
        <v>888001817</v>
      </c>
      <c r="C563" s="2" t="str">
        <f ca="1"/>
        <v>0888001817</v>
      </c>
      <c r="D563" s="2">
        <f ca="1">IFERROR(__xludf.DUMMYFUNCTION("""COMPUTED_VALUE"""),1754705808821)</f>
        <v>1754705808821</v>
      </c>
      <c r="E563" s="2">
        <f ca="1">IFERROR(__xludf.DUMMYFUNCTION("""COMPUTED_VALUE"""),963329708)</f>
        <v>963329708</v>
      </c>
      <c r="F563" s="2" t="str">
        <f ca="1"/>
        <v>0963329708</v>
      </c>
      <c r="G563" s="2" t="str">
        <f ca="1">IFERROR(__xludf.DUMMYFUNCTION("""COMPUTED_VALUE"""),"105775807691")</f>
        <v>105775807691</v>
      </c>
      <c r="I563" s="2" t="str">
        <f ca="1">IFERROR(__xludf.DUMMYFUNCTION("""COMPUTED_VALUE"""),"Lý linh hương")</f>
        <v>Lý linh hương</v>
      </c>
      <c r="J563" s="3" t="str">
        <f ca="1">IFERROR(__xludf.DUMMYFUNCTION("""COMPUTED_VALUE"""),"0837084889")</f>
        <v>0837084889</v>
      </c>
      <c r="K563" s="2" t="str">
        <f ca="1">IFERROR(__xludf.DUMMYFUNCTION("""COMPUTED_VALUE"""),"1741365190843")</f>
        <v>1741365190843</v>
      </c>
    </row>
    <row r="564" spans="1:11" ht="12.45">
      <c r="A564" s="2" t="str">
        <f ca="1">IFERROR(__xludf.DUMMYFUNCTION("""COMPUTED_VALUE"""),"1741365259620")</f>
        <v>1741365259620</v>
      </c>
      <c r="B564" s="2">
        <f ca="1">IFERROR(__xludf.DUMMYFUNCTION("""COMPUTED_VALUE"""),367619042)</f>
        <v>367619042</v>
      </c>
      <c r="C564" s="2" t="str">
        <f ca="1"/>
        <v>0367619042</v>
      </c>
      <c r="D564" s="2">
        <f ca="1">IFERROR(__xludf.DUMMYFUNCTION("""COMPUTED_VALUE"""),1754705886071)</f>
        <v>1754705886071</v>
      </c>
      <c r="E564" s="2">
        <f ca="1">IFERROR(__xludf.DUMMYFUNCTION("""COMPUTED_VALUE"""),922288831)</f>
        <v>922288831</v>
      </c>
      <c r="F564" s="2" t="str">
        <f ca="1"/>
        <v>0922288831</v>
      </c>
      <c r="G564" s="2" t="str">
        <f ca="1">IFERROR(__xludf.DUMMYFUNCTION("""COMPUTED_VALUE"""),"105775807992")</f>
        <v>105775807992</v>
      </c>
      <c r="I564" s="2" t="str">
        <f ca="1">IFERROR(__xludf.DUMMYFUNCTION("""COMPUTED_VALUE"""),"Trương Bảo Phúc")</f>
        <v>Trương Bảo Phúc</v>
      </c>
      <c r="J564" s="3" t="str">
        <f ca="1">IFERROR(__xludf.DUMMYFUNCTION("""COMPUTED_VALUE"""),"0347796100")</f>
        <v>0347796100</v>
      </c>
      <c r="K564" s="2" t="str">
        <f ca="1">IFERROR(__xludf.DUMMYFUNCTION("""COMPUTED_VALUE"""),"1741365259620")</f>
        <v>1741365259620</v>
      </c>
    </row>
    <row r="565" spans="1:11" ht="12.45">
      <c r="A565" s="2" t="str">
        <f ca="1">IFERROR(__xludf.DUMMYFUNCTION("""COMPUTED_VALUE"""),"1741365313890")</f>
        <v>1741365313890</v>
      </c>
      <c r="B565" s="2">
        <f ca="1">IFERROR(__xludf.DUMMYFUNCTION("""COMPUTED_VALUE"""),388335879)</f>
        <v>388335879</v>
      </c>
      <c r="C565" s="2" t="str">
        <f ca="1"/>
        <v>0388335879</v>
      </c>
      <c r="D565" s="2">
        <f ca="1">IFERROR(__xludf.DUMMYFUNCTION("""COMPUTED_VALUE"""),1754705948911)</f>
        <v>1754705948911</v>
      </c>
      <c r="E565" s="2">
        <f ca="1">IFERROR(__xludf.DUMMYFUNCTION("""COMPUTED_VALUE"""),334051571)</f>
        <v>334051571</v>
      </c>
      <c r="F565" s="2" t="str">
        <f ca="1"/>
        <v>0334051571</v>
      </c>
      <c r="G565" s="2" t="str">
        <f ca="1">IFERROR(__xludf.DUMMYFUNCTION("""COMPUTED_VALUE"""),"105775808174")</f>
        <v>105775808174</v>
      </c>
      <c r="I565" s="2" t="str">
        <f ca="1">IFERROR(__xludf.DUMMYFUNCTION("""COMPUTED_VALUE"""),"Trần Thị Mỹ Diên")</f>
        <v>Trần Thị Mỹ Diên</v>
      </c>
      <c r="J565" s="3" t="str">
        <f ca="1">IFERROR(__xludf.DUMMYFUNCTION("""COMPUTED_VALUE"""),"0868858824")</f>
        <v>0868858824</v>
      </c>
      <c r="K565" s="2" t="str">
        <f ca="1">IFERROR(__xludf.DUMMYFUNCTION("""COMPUTED_VALUE"""),"1741365313890")</f>
        <v>1741365313890</v>
      </c>
    </row>
    <row r="566" spans="1:11" ht="12.45">
      <c r="A566" s="2" t="str">
        <f ca="1">IFERROR(__xludf.DUMMYFUNCTION("""COMPUTED_VALUE"""),"1741365369112")</f>
        <v>1741365369112</v>
      </c>
      <c r="B566" s="2">
        <f ca="1">IFERROR(__xludf.DUMMYFUNCTION("""COMPUTED_VALUE"""),345519317)</f>
        <v>345519317</v>
      </c>
      <c r="C566" s="2" t="str">
        <f ca="1"/>
        <v>0345519317</v>
      </c>
      <c r="D566" s="2">
        <f ca="1">IFERROR(__xludf.DUMMYFUNCTION("""COMPUTED_VALUE"""),1750555367147)</f>
        <v>1750555367147</v>
      </c>
      <c r="E566" s="2">
        <f ca="1">IFERROR(__xludf.DUMMYFUNCTION("""COMPUTED_VALUE"""),964754403)</f>
        <v>964754403</v>
      </c>
      <c r="F566" s="2" t="str">
        <f ca="1"/>
        <v>0964754403</v>
      </c>
      <c r="G566" s="2" t="str">
        <f ca="1">IFERROR(__xludf.DUMMYFUNCTION("""COMPUTED_VALUE"""),"105775808224")</f>
        <v>105775808224</v>
      </c>
      <c r="I566" s="2" t="str">
        <f ca="1">IFERROR(__xludf.DUMMYFUNCTION("""COMPUTED_VALUE"""),"Trần Huỳnh Ngọc Hân ")</f>
        <v xml:space="preserve">Trần Huỳnh Ngọc Hân </v>
      </c>
      <c r="J566" s="3" t="str">
        <f ca="1">IFERROR(__xludf.DUMMYFUNCTION("""COMPUTED_VALUE"""),"0393003707")</f>
        <v>0393003707</v>
      </c>
      <c r="K566" s="2" t="str">
        <f ca="1">IFERROR(__xludf.DUMMYFUNCTION("""COMPUTED_VALUE"""),"1741365369112")</f>
        <v>1741365369112</v>
      </c>
    </row>
    <row r="567" spans="1:11" ht="12.45">
      <c r="A567" s="2" t="str">
        <f ca="1">IFERROR(__xludf.DUMMYFUNCTION("""COMPUTED_VALUE"""),"1741365410594")</f>
        <v>1741365410594</v>
      </c>
      <c r="B567" s="2">
        <f ca="1">IFERROR(__xludf.DUMMYFUNCTION("""COMPUTED_VALUE"""),913783063)</f>
        <v>913783063</v>
      </c>
      <c r="C567" s="2" t="str">
        <f ca="1"/>
        <v>0913783063</v>
      </c>
      <c r="D567" s="2">
        <f ca="1">IFERROR(__xludf.DUMMYFUNCTION("""COMPUTED_VALUE"""),1750555431069)</f>
        <v>1750555431069</v>
      </c>
      <c r="E567" s="2">
        <f ca="1">IFERROR(__xludf.DUMMYFUNCTION("""COMPUTED_VALUE"""),963859952)</f>
        <v>963859952</v>
      </c>
      <c r="F567" s="2" t="str">
        <f ca="1"/>
        <v>0963859952</v>
      </c>
      <c r="G567" s="2" t="str">
        <f ca="1">IFERROR(__xludf.DUMMYFUNCTION("""COMPUTED_VALUE"""),"105775808474")</f>
        <v>105775808474</v>
      </c>
      <c r="I567" s="2" t="str">
        <f ca="1">IFERROR(__xludf.DUMMYFUNCTION("""COMPUTED_VALUE"""),"Hoàng Anh Thi")</f>
        <v>Hoàng Anh Thi</v>
      </c>
      <c r="J567" s="2" t="str">
        <f ca="1">IFERROR(__xludf.DUMMYFUNCTION("""COMPUTED_VALUE"""),"0974416419")</f>
        <v>0974416419</v>
      </c>
      <c r="K567" s="2" t="str">
        <f ca="1">IFERROR(__xludf.DUMMYFUNCTION("""COMPUTED_VALUE"""),"1741365410594")</f>
        <v>1741365410594</v>
      </c>
    </row>
    <row r="568" spans="1:11" ht="12.45">
      <c r="A568" s="2" t="str">
        <f ca="1">IFERROR(__xludf.DUMMYFUNCTION("""COMPUTED_VALUE"""),"1741365457821")</f>
        <v>1741365457821</v>
      </c>
      <c r="B568" s="2">
        <f ca="1">IFERROR(__xludf.DUMMYFUNCTION("""COMPUTED_VALUE"""),352818828)</f>
        <v>352818828</v>
      </c>
      <c r="C568" s="2" t="str">
        <f ca="1"/>
        <v>0352818828</v>
      </c>
      <c r="D568" s="2">
        <f ca="1">IFERROR(__xludf.DUMMYFUNCTION("""COMPUTED_VALUE"""),1763040998408)</f>
        <v>1763040998408</v>
      </c>
      <c r="E568" s="2">
        <f ca="1">IFERROR(__xludf.DUMMYFUNCTION("""COMPUTED_VALUE"""),364553186)</f>
        <v>364553186</v>
      </c>
      <c r="F568" s="2" t="str">
        <f ca="1"/>
        <v>0364553186</v>
      </c>
      <c r="G568" s="2" t="str">
        <f ca="1">IFERROR(__xludf.DUMMYFUNCTION("""COMPUTED_VALUE"""),"105775808713")</f>
        <v>105775808713</v>
      </c>
      <c r="I568" s="2" t="str">
        <f ca="1">IFERROR(__xludf.DUMMYFUNCTION("""COMPUTED_VALUE"""),"Dương Thế Hiệp ")</f>
        <v xml:space="preserve">Dương Thế Hiệp </v>
      </c>
      <c r="J568" s="3" t="str">
        <f ca="1">IFERROR(__xludf.DUMMYFUNCTION("""COMPUTED_VALUE"""),"0386729670")</f>
        <v>0386729670</v>
      </c>
      <c r="K568" s="2" t="str">
        <f ca="1">IFERROR(__xludf.DUMMYFUNCTION("""COMPUTED_VALUE"""),"1741365457821")</f>
        <v>1741365457821</v>
      </c>
    </row>
    <row r="569" spans="1:11" ht="12.45">
      <c r="A569" s="2" t="str">
        <f ca="1">IFERROR(__xludf.DUMMYFUNCTION("""COMPUTED_VALUE"""),"1741365499875")</f>
        <v>1741365499875</v>
      </c>
      <c r="B569" s="2">
        <f ca="1">IFERROR(__xludf.DUMMYFUNCTION("""COMPUTED_VALUE"""),979842936)</f>
        <v>979842936</v>
      </c>
      <c r="C569" s="2" t="str">
        <f ca="1"/>
        <v>0979842936</v>
      </c>
      <c r="D569" s="2">
        <f ca="1">IFERROR(__xludf.DUMMYFUNCTION("""COMPUTED_VALUE"""),1754800509377)</f>
        <v>1754800509377</v>
      </c>
      <c r="E569" s="2">
        <f ca="1">IFERROR(__xludf.DUMMYFUNCTION("""COMPUTED_VALUE"""),383885260)</f>
        <v>383885260</v>
      </c>
      <c r="F569" s="2" t="str">
        <f ca="1"/>
        <v>0383885260</v>
      </c>
      <c r="G569" s="2" t="str">
        <f ca="1">IFERROR(__xludf.DUMMYFUNCTION("""COMPUTED_VALUE"""),"105775808845")</f>
        <v>105775808845</v>
      </c>
      <c r="I569" s="2" t="str">
        <f ca="1">IFERROR(__xludf.DUMMYFUNCTION("""COMPUTED_VALUE"""),"Lường Thị Như Lý")</f>
        <v>Lường Thị Như Lý</v>
      </c>
      <c r="J569" s="3" t="str">
        <f ca="1">IFERROR(__xludf.DUMMYFUNCTION("""COMPUTED_VALUE"""),"0787130320")</f>
        <v>0787130320</v>
      </c>
      <c r="K569" s="2" t="str">
        <f ca="1">IFERROR(__xludf.DUMMYFUNCTION("""COMPUTED_VALUE"""),"1741365499875")</f>
        <v>1741365499875</v>
      </c>
    </row>
    <row r="570" spans="1:11" ht="12.45">
      <c r="A570" s="2" t="str">
        <f ca="1">IFERROR(__xludf.DUMMYFUNCTION("""COMPUTED_VALUE"""),"1741365536884")</f>
        <v>1741365536884</v>
      </c>
      <c r="B570" s="2">
        <f ca="1">IFERROR(__xludf.DUMMYFUNCTION("""COMPUTED_VALUE"""),982197369)</f>
        <v>982197369</v>
      </c>
      <c r="C570" s="2" t="str">
        <f ca="1"/>
        <v>0982197369</v>
      </c>
      <c r="D570" s="2" t="str">
        <f ca="1">IFERROR(__xludf.DUMMYFUNCTION("""COMPUTED_VALUE"""),"Đã đến kho lấy sách")</f>
        <v>Đã đến kho lấy sách</v>
      </c>
      <c r="E570" s="2">
        <f ca="1">IFERROR(__xludf.DUMMYFUNCTION("""COMPUTED_VALUE"""),369110032)</f>
        <v>369110032</v>
      </c>
      <c r="F570" s="2" t="str">
        <f ca="1"/>
        <v>0369110032</v>
      </c>
      <c r="G570" s="2" t="str">
        <f ca="1">IFERROR(__xludf.DUMMYFUNCTION("""COMPUTED_VALUE"""),"105775809076")</f>
        <v>105775809076</v>
      </c>
      <c r="I570" s="2" t="str">
        <f ca="1">IFERROR(__xludf.DUMMYFUNCTION("""COMPUTED_VALUE"""),"Lê Thùy Chi ")</f>
        <v xml:space="preserve">Lê Thùy Chi </v>
      </c>
      <c r="J570" s="3" t="str">
        <f ca="1">IFERROR(__xludf.DUMMYFUNCTION("""COMPUTED_VALUE"""),"0986272049")</f>
        <v>0986272049</v>
      </c>
      <c r="K570" s="2" t="str">
        <f ca="1">IFERROR(__xludf.DUMMYFUNCTION("""COMPUTED_VALUE"""),"1741365536884")</f>
        <v>1741365536884</v>
      </c>
    </row>
    <row r="571" spans="1:11" ht="12.45">
      <c r="A571" s="2" t="str">
        <f ca="1">IFERROR(__xludf.DUMMYFUNCTION("""COMPUTED_VALUE"""),"1741365604139")</f>
        <v>1741365604139</v>
      </c>
      <c r="B571" s="2">
        <f ca="1">IFERROR(__xludf.DUMMYFUNCTION("""COMPUTED_VALUE"""),903522284)</f>
        <v>903522284</v>
      </c>
      <c r="C571" s="2" t="str">
        <f ca="1"/>
        <v>0903522284</v>
      </c>
      <c r="D571" s="2">
        <f ca="1">IFERROR(__xludf.DUMMYFUNCTION("""COMPUTED_VALUE"""),1754800550799)</f>
        <v>1754800550799</v>
      </c>
      <c r="E571" s="2">
        <f ca="1">IFERROR(__xludf.DUMMYFUNCTION("""COMPUTED_VALUE"""),708297609)</f>
        <v>708297609</v>
      </c>
      <c r="F571" s="2" t="str">
        <f ca="1"/>
        <v>0708297609</v>
      </c>
      <c r="G571" s="2" t="str">
        <f ca="1">IFERROR(__xludf.DUMMYFUNCTION("""COMPUTED_VALUE"""),"105775809295")</f>
        <v>105775809295</v>
      </c>
      <c r="I571" s="2" t="str">
        <f ca="1">IFERROR(__xludf.DUMMYFUNCTION("""COMPUTED_VALUE"""),"Trần Khánh Huyền ")</f>
        <v xml:space="preserve">Trần Khánh Huyền </v>
      </c>
      <c r="J571" s="3" t="str">
        <f ca="1">IFERROR(__xludf.DUMMYFUNCTION("""COMPUTED_VALUE"""),"0383728329")</f>
        <v>0383728329</v>
      </c>
      <c r="K571" s="2" t="str">
        <f ca="1">IFERROR(__xludf.DUMMYFUNCTION("""COMPUTED_VALUE"""),"1741365604139")</f>
        <v>1741365604139</v>
      </c>
    </row>
    <row r="572" spans="1:11" ht="12.45">
      <c r="A572" s="2" t="str">
        <f ca="1">IFERROR(__xludf.DUMMYFUNCTION("""COMPUTED_VALUE"""),"1741365644153")</f>
        <v>1741365644153</v>
      </c>
      <c r="B572" s="2">
        <f ca="1">IFERROR(__xludf.DUMMYFUNCTION("""COMPUTED_VALUE"""),888358005)</f>
        <v>888358005</v>
      </c>
      <c r="C572" s="2" t="str">
        <f ca="1"/>
        <v>0888358005</v>
      </c>
      <c r="D572" s="2">
        <f ca="1">IFERROR(__xludf.DUMMYFUNCTION("""COMPUTED_VALUE"""),1754800587304)</f>
        <v>1754800587304</v>
      </c>
      <c r="E572" s="2">
        <f ca="1">IFERROR(__xludf.DUMMYFUNCTION("""COMPUTED_VALUE"""),963789095)</f>
        <v>963789095</v>
      </c>
      <c r="F572" s="2" t="str">
        <f ca="1"/>
        <v>0963789095</v>
      </c>
      <c r="G572" s="2" t="str">
        <f ca="1">IFERROR(__xludf.DUMMYFUNCTION("""COMPUTED_VALUE"""),"105775809324")</f>
        <v>105775809324</v>
      </c>
      <c r="I572" s="2" t="str">
        <f ca="1">IFERROR(__xludf.DUMMYFUNCTION("""COMPUTED_VALUE"""),"Nguyễn Như Quỳnh")</f>
        <v>Nguyễn Như Quỳnh</v>
      </c>
      <c r="J572" s="3" t="str">
        <f ca="1">IFERROR(__xludf.DUMMYFUNCTION("""COMPUTED_VALUE"""),"0946684997")</f>
        <v>0946684997</v>
      </c>
      <c r="K572" s="2" t="str">
        <f ca="1">IFERROR(__xludf.DUMMYFUNCTION("""COMPUTED_VALUE"""),"1741365644153")</f>
        <v>1741365644153</v>
      </c>
    </row>
    <row r="573" spans="1:11" ht="12.45">
      <c r="A573" s="2" t="str">
        <f ca="1">IFERROR(__xludf.DUMMYFUNCTION("""COMPUTED_VALUE"""),"1741365699338")</f>
        <v>1741365699338</v>
      </c>
      <c r="B573" s="2">
        <f ca="1">IFERROR(__xludf.DUMMYFUNCTION("""COMPUTED_VALUE"""),928472007)</f>
        <v>928472007</v>
      </c>
      <c r="C573" s="2" t="str">
        <f ca="1"/>
        <v>0928472007</v>
      </c>
      <c r="D573" s="2">
        <f ca="1">IFERROR(__xludf.DUMMYFUNCTION("""COMPUTED_VALUE"""),1754800610373)</f>
        <v>1754800610373</v>
      </c>
      <c r="E573" s="3" t="str">
        <f ca="1">IFERROR(__xludf.DUMMYFUNCTION("""COMPUTED_VALUE"""),"0377805438")</f>
        <v>0377805438</v>
      </c>
      <c r="F573" s="2" t="str">
        <f ca="1"/>
        <v>00377805438</v>
      </c>
      <c r="G573" s="2" t="str">
        <f ca="1">IFERROR(__xludf.DUMMYFUNCTION("""COMPUTED_VALUE"""),"105775809524")</f>
        <v>105775809524</v>
      </c>
      <c r="I573" s="2" t="str">
        <f ca="1">IFERROR(__xludf.DUMMYFUNCTION("""COMPUTED_VALUE"""),"Phan Thị Minh Thuý")</f>
        <v>Phan Thị Minh Thuý</v>
      </c>
      <c r="J573" s="3" t="str">
        <f ca="1">IFERROR(__xludf.DUMMYFUNCTION("""COMPUTED_VALUE"""),"0834558654")</f>
        <v>0834558654</v>
      </c>
      <c r="K573" s="2" t="str">
        <f ca="1">IFERROR(__xludf.DUMMYFUNCTION("""COMPUTED_VALUE"""),"1741365699338")</f>
        <v>1741365699338</v>
      </c>
    </row>
    <row r="574" spans="1:11" ht="12.45">
      <c r="A574" s="2" t="str">
        <f ca="1">IFERROR(__xludf.DUMMYFUNCTION("""COMPUTED_VALUE"""),"1741365747769")</f>
        <v>1741365747769</v>
      </c>
      <c r="B574" s="2">
        <f ca="1">IFERROR(__xludf.DUMMYFUNCTION("""COMPUTED_VALUE"""),788551472)</f>
        <v>788551472</v>
      </c>
      <c r="C574" s="2" t="str">
        <f ca="1"/>
        <v>0788551472</v>
      </c>
      <c r="D574" s="2">
        <f ca="1">IFERROR(__xludf.DUMMYFUNCTION("""COMPUTED_VALUE"""),1754800632955)</f>
        <v>1754800632955</v>
      </c>
      <c r="E574" s="2">
        <f ca="1">IFERROR(__xludf.DUMMYFUNCTION("""COMPUTED_VALUE"""),396510940)</f>
        <v>396510940</v>
      </c>
      <c r="F574" s="2" t="str">
        <f ca="1"/>
        <v>0396510940</v>
      </c>
      <c r="G574" s="2" t="str">
        <f ca="1">IFERROR(__xludf.DUMMYFUNCTION("""COMPUTED_VALUE"""),"105775809735")</f>
        <v>105775809735</v>
      </c>
      <c r="I574" s="2" t="str">
        <f ca="1">IFERROR(__xludf.DUMMYFUNCTION("""COMPUTED_VALUE"""),"Nguyễn Ngọc Kiều Tiên")</f>
        <v>Nguyễn Ngọc Kiều Tiên</v>
      </c>
      <c r="J574" s="3" t="str">
        <f ca="1">IFERROR(__xludf.DUMMYFUNCTION("""COMPUTED_VALUE"""),"0383212379")</f>
        <v>0383212379</v>
      </c>
      <c r="K574" s="2" t="str">
        <f ca="1">IFERROR(__xludf.DUMMYFUNCTION("""COMPUTED_VALUE"""),"1741365747769")</f>
        <v>1741365747769</v>
      </c>
    </row>
    <row r="575" spans="1:11" ht="12.45">
      <c r="A575" s="2" t="str">
        <f ca="1">IFERROR(__xludf.DUMMYFUNCTION("""COMPUTED_VALUE"""),"1741365781023")</f>
        <v>1741365781023</v>
      </c>
      <c r="B575" s="2">
        <f ca="1">IFERROR(__xludf.DUMMYFUNCTION("""COMPUTED_VALUE"""),868869127)</f>
        <v>868869127</v>
      </c>
      <c r="C575" s="2" t="str">
        <f ca="1"/>
        <v>0868869127</v>
      </c>
      <c r="D575" s="2">
        <f ca="1">IFERROR(__xludf.DUMMYFUNCTION("""COMPUTED_VALUE"""),1754800656863)</f>
        <v>1754800656863</v>
      </c>
      <c r="E575" s="2">
        <f ca="1">IFERROR(__xludf.DUMMYFUNCTION("""COMPUTED_VALUE"""),348619810)</f>
        <v>348619810</v>
      </c>
      <c r="F575" s="2" t="str">
        <f ca="1"/>
        <v>0348619810</v>
      </c>
      <c r="G575" s="2" t="str">
        <f ca="1">IFERROR(__xludf.DUMMYFUNCTION("""COMPUTED_VALUE"""),"105775809830")</f>
        <v>105775809830</v>
      </c>
      <c r="I575" s="2" t="str">
        <f ca="1">IFERROR(__xludf.DUMMYFUNCTION("""COMPUTED_VALUE"""),"Phạm Thị Uyên Nhi")</f>
        <v>Phạm Thị Uyên Nhi</v>
      </c>
      <c r="J575" s="3" t="str">
        <f ca="1">IFERROR(__xludf.DUMMYFUNCTION("""COMPUTED_VALUE"""),"0869640698")</f>
        <v>0869640698</v>
      </c>
      <c r="K575" s="2" t="str">
        <f ca="1">IFERROR(__xludf.DUMMYFUNCTION("""COMPUTED_VALUE"""),"1741365781023")</f>
        <v>1741365781023</v>
      </c>
    </row>
    <row r="576" spans="1:11" ht="12.45">
      <c r="A576" s="2" t="str">
        <f ca="1">IFERROR(__xludf.DUMMYFUNCTION("""COMPUTED_VALUE"""),"1741365826636")</f>
        <v>1741365826636</v>
      </c>
      <c r="B576" s="2">
        <f ca="1">IFERROR(__xludf.DUMMYFUNCTION("""COMPUTED_VALUE"""),987706467)</f>
        <v>987706467</v>
      </c>
      <c r="C576" s="2" t="str">
        <f ca="1"/>
        <v>0987706467</v>
      </c>
      <c r="D576" s="2">
        <f ca="1">IFERROR(__xludf.DUMMYFUNCTION("""COMPUTED_VALUE"""),1754800687040)</f>
        <v>1754800687040</v>
      </c>
      <c r="E576" s="2">
        <f ca="1">IFERROR(__xludf.DUMMYFUNCTION("""COMPUTED_VALUE"""),833663571)</f>
        <v>833663571</v>
      </c>
      <c r="F576" s="2" t="str">
        <f ca="1"/>
        <v>0833663571</v>
      </c>
      <c r="G576" s="2" t="str">
        <f ca="1">IFERROR(__xludf.DUMMYFUNCTION("""COMPUTED_VALUE"""),"105775810060")</f>
        <v>105775810060</v>
      </c>
      <c r="I576" s="2" t="str">
        <f ca="1">IFERROR(__xludf.DUMMYFUNCTION("""COMPUTED_VALUE"""),"Trần Đặng Ánh Thư")</f>
        <v>Trần Đặng Ánh Thư</v>
      </c>
      <c r="J576" s="3" t="str">
        <f ca="1">IFERROR(__xludf.DUMMYFUNCTION("""COMPUTED_VALUE"""),"0982301600")</f>
        <v>0982301600</v>
      </c>
      <c r="K576" s="2" t="str">
        <f ca="1">IFERROR(__xludf.DUMMYFUNCTION("""COMPUTED_VALUE"""),"1741365826636")</f>
        <v>1741365826636</v>
      </c>
    </row>
    <row r="577" spans="1:11" ht="12.45">
      <c r="A577" s="2" t="str">
        <f ca="1">IFERROR(__xludf.DUMMYFUNCTION("""COMPUTED_VALUE"""),"1741365875762")</f>
        <v>1741365875762</v>
      </c>
      <c r="B577" s="2">
        <f ca="1">IFERROR(__xludf.DUMMYFUNCTION("""COMPUTED_VALUE"""),764387402)</f>
        <v>764387402</v>
      </c>
      <c r="C577" s="2" t="str">
        <f ca="1"/>
        <v>0764387402</v>
      </c>
      <c r="D577" s="2">
        <f ca="1">IFERROR(__xludf.DUMMYFUNCTION("""COMPUTED_VALUE"""),1754837002357)</f>
        <v>1754837002357</v>
      </c>
      <c r="E577" s="2">
        <f ca="1">IFERROR(__xludf.DUMMYFUNCTION("""COMPUTED_VALUE"""),963011248)</f>
        <v>963011248</v>
      </c>
      <c r="F577" s="2" t="str">
        <f ca="1"/>
        <v>0963011248</v>
      </c>
      <c r="G577" s="2" t="str">
        <f ca="1">IFERROR(__xludf.DUMMYFUNCTION("""COMPUTED_VALUE"""),"105775810169")</f>
        <v>105775810169</v>
      </c>
      <c r="I577" s="2" t="str">
        <f ca="1">IFERROR(__xludf.DUMMYFUNCTION("""COMPUTED_VALUE"""),"Trương Thuỳ Linh")</f>
        <v>Trương Thuỳ Linh</v>
      </c>
      <c r="J577" s="3" t="str">
        <f ca="1">IFERROR(__xludf.DUMMYFUNCTION("""COMPUTED_VALUE"""),"0948608066")</f>
        <v>0948608066</v>
      </c>
      <c r="K577" s="2" t="str">
        <f ca="1">IFERROR(__xludf.DUMMYFUNCTION("""COMPUTED_VALUE"""),"1741365875762")</f>
        <v>1741365875762</v>
      </c>
    </row>
    <row r="578" spans="1:11" ht="12.45">
      <c r="A578" s="2" t="str">
        <f ca="1">IFERROR(__xludf.DUMMYFUNCTION("""COMPUTED_VALUE"""),"1741365914661")</f>
        <v>1741365914661</v>
      </c>
      <c r="B578" s="2">
        <f ca="1">IFERROR(__xludf.DUMMYFUNCTION("""COMPUTED_VALUE"""),865166372)</f>
        <v>865166372</v>
      </c>
      <c r="C578" s="2" t="str">
        <f ca="1"/>
        <v>0865166372</v>
      </c>
      <c r="D578" s="2">
        <f ca="1">IFERROR(__xludf.DUMMYFUNCTION("""COMPUTED_VALUE"""),1754800731237)</f>
        <v>1754800731237</v>
      </c>
      <c r="E578" s="2">
        <f ca="1">IFERROR(__xludf.DUMMYFUNCTION("""COMPUTED_VALUE"""),908419173)</f>
        <v>908419173</v>
      </c>
      <c r="F578" s="2" t="str">
        <f ca="1"/>
        <v>0908419173</v>
      </c>
      <c r="G578" s="2" t="str">
        <f ca="1">IFERROR(__xludf.DUMMYFUNCTION("""COMPUTED_VALUE"""),"105775810231")</f>
        <v>105775810231</v>
      </c>
      <c r="I578" s="2" t="str">
        <f ca="1">IFERROR(__xludf.DUMMYFUNCTION("""COMPUTED_VALUE"""),"Lâm Phương Anh")</f>
        <v>Lâm Phương Anh</v>
      </c>
      <c r="J578" s="3" t="str">
        <f ca="1">IFERROR(__xludf.DUMMYFUNCTION("""COMPUTED_VALUE"""),"0858660776")</f>
        <v>0858660776</v>
      </c>
      <c r="K578" s="2" t="str">
        <f ca="1">IFERROR(__xludf.DUMMYFUNCTION("""COMPUTED_VALUE"""),"1741365914661")</f>
        <v>1741365914661</v>
      </c>
    </row>
    <row r="579" spans="1:11" ht="12.45">
      <c r="A579" s="2" t="str">
        <f ca="1">IFERROR(__xludf.DUMMYFUNCTION("""COMPUTED_VALUE"""),"1741365954064")</f>
        <v>1741365954064</v>
      </c>
      <c r="B579" s="2">
        <f ca="1">IFERROR(__xludf.DUMMYFUNCTION("""COMPUTED_VALUE"""),813934425)</f>
        <v>813934425</v>
      </c>
      <c r="C579" s="2" t="str">
        <f ca="1"/>
        <v>0813934425</v>
      </c>
      <c r="D579" s="2">
        <f ca="1">IFERROR(__xludf.DUMMYFUNCTION("""COMPUTED_VALUE"""),1766664343614)</f>
        <v>1766664343614</v>
      </c>
      <c r="E579" s="2">
        <f ca="1">IFERROR(__xludf.DUMMYFUNCTION("""COMPUTED_VALUE"""),395021797)</f>
        <v>395021797</v>
      </c>
      <c r="F579" s="2" t="str">
        <f ca="1"/>
        <v>0395021797</v>
      </c>
      <c r="G579" s="2" t="str">
        <f ca="1">IFERROR(__xludf.DUMMYFUNCTION("""COMPUTED_VALUE"""),"105775810318")</f>
        <v>105775810318</v>
      </c>
      <c r="I579" s="2" t="str">
        <f ca="1">IFERROR(__xludf.DUMMYFUNCTION("""COMPUTED_VALUE"""),"Nguyễn Phương Như Huyền")</f>
        <v>Nguyễn Phương Như Huyền</v>
      </c>
      <c r="J579" s="3" t="str">
        <f ca="1">IFERROR(__xludf.DUMMYFUNCTION("""COMPUTED_VALUE"""),"0865369019")</f>
        <v>0865369019</v>
      </c>
      <c r="K579" s="2" t="str">
        <f ca="1">IFERROR(__xludf.DUMMYFUNCTION("""COMPUTED_VALUE"""),"1741365954064")</f>
        <v>1741365954064</v>
      </c>
    </row>
    <row r="580" spans="1:11" ht="12.45">
      <c r="A580" s="2" t="str">
        <f ca="1">IFERROR(__xludf.DUMMYFUNCTION("""COMPUTED_VALUE"""),"1741366000790")</f>
        <v>1741366000790</v>
      </c>
      <c r="B580" s="2">
        <f ca="1">IFERROR(__xludf.DUMMYFUNCTION("""COMPUTED_VALUE"""),984339939)</f>
        <v>984339939</v>
      </c>
      <c r="C580" s="2" t="str">
        <f ca="1"/>
        <v>0984339939</v>
      </c>
      <c r="D580" s="2">
        <f ca="1">IFERROR(__xludf.DUMMYFUNCTION("""COMPUTED_VALUE"""),1766664375218)</f>
        <v>1766664375218</v>
      </c>
      <c r="E580" s="2">
        <f ca="1">IFERROR(__xludf.DUMMYFUNCTION("""COMPUTED_VALUE"""),383915165)</f>
        <v>383915165</v>
      </c>
      <c r="F580" s="2" t="str">
        <f ca="1"/>
        <v>0383915165</v>
      </c>
      <c r="G580" s="2" t="str">
        <f ca="1">IFERROR(__xludf.DUMMYFUNCTION("""COMPUTED_VALUE"""),"105775810439")</f>
        <v>105775810439</v>
      </c>
      <c r="I580" s="2" t="str">
        <f ca="1">IFERROR(__xludf.DUMMYFUNCTION("""COMPUTED_VALUE"""),"Nguyễn Thị Thu Ngân")</f>
        <v>Nguyễn Thị Thu Ngân</v>
      </c>
      <c r="J580" s="3" t="str">
        <f ca="1">IFERROR(__xludf.DUMMYFUNCTION("""COMPUTED_VALUE"""),"0901927628")</f>
        <v>0901927628</v>
      </c>
      <c r="K580" s="2" t="str">
        <f ca="1">IFERROR(__xludf.DUMMYFUNCTION("""COMPUTED_VALUE"""),"1741366000790")</f>
        <v>1741366000790</v>
      </c>
    </row>
    <row r="581" spans="1:11" ht="12.45">
      <c r="A581" s="2" t="str">
        <f ca="1">IFERROR(__xludf.DUMMYFUNCTION("""COMPUTED_VALUE"""),"1741366037525")</f>
        <v>1741366037525</v>
      </c>
      <c r="B581" s="2">
        <f ca="1">IFERROR(__xludf.DUMMYFUNCTION("""COMPUTED_VALUE"""),918783492)</f>
        <v>918783492</v>
      </c>
      <c r="C581" s="2" t="str">
        <f ca="1"/>
        <v>0918783492</v>
      </c>
      <c r="D581" s="2">
        <f ca="1">IFERROR(__xludf.DUMMYFUNCTION("""COMPUTED_VALUE"""),1766664414794)</f>
        <v>1766664414794</v>
      </c>
      <c r="E581" s="2">
        <f ca="1">IFERROR(__xludf.DUMMYFUNCTION("""COMPUTED_VALUE"""),898361841)</f>
        <v>898361841</v>
      </c>
      <c r="F581" s="2" t="str">
        <f ca="1"/>
        <v>0898361841</v>
      </c>
      <c r="G581" s="2" t="str">
        <f ca="1">IFERROR(__xludf.DUMMYFUNCTION("""COMPUTED_VALUE"""),"105775810584")</f>
        <v>105775810584</v>
      </c>
      <c r="I581" s="2" t="str">
        <f ca="1">IFERROR(__xludf.DUMMYFUNCTION("""COMPUTED_VALUE"""),"Nguyễn Phương Linh")</f>
        <v>Nguyễn Phương Linh</v>
      </c>
      <c r="J581" s="3" t="str">
        <f ca="1">IFERROR(__xludf.DUMMYFUNCTION("""COMPUTED_VALUE"""),"0965137978")</f>
        <v>0965137978</v>
      </c>
      <c r="K581" s="2" t="str">
        <f ca="1">IFERROR(__xludf.DUMMYFUNCTION("""COMPUTED_VALUE"""),"1741366037525")</f>
        <v>1741366037525</v>
      </c>
    </row>
    <row r="582" spans="1:11" ht="12.45">
      <c r="A582" s="2" t="str">
        <f ca="1">IFERROR(__xludf.DUMMYFUNCTION("""COMPUTED_VALUE"""),"1741366076307")</f>
        <v>1741366076307</v>
      </c>
      <c r="B582" s="2">
        <f ca="1">IFERROR(__xludf.DUMMYFUNCTION("""COMPUTED_VALUE"""),862660507)</f>
        <v>862660507</v>
      </c>
      <c r="C582" s="2" t="str">
        <f ca="1"/>
        <v>0862660507</v>
      </c>
      <c r="D582" s="2">
        <f ca="1">IFERROR(__xludf.DUMMYFUNCTION("""COMPUTED_VALUE"""),105556182124)</f>
        <v>105556182124</v>
      </c>
      <c r="E582" s="2">
        <f ca="1">IFERROR(__xludf.DUMMYFUNCTION("""COMPUTED_VALUE"""),786003114)</f>
        <v>786003114</v>
      </c>
      <c r="F582" s="2" t="str">
        <f ca="1"/>
        <v>0786003114</v>
      </c>
      <c r="G582" s="2" t="str">
        <f ca="1">IFERROR(__xludf.DUMMYFUNCTION("""COMPUTED_VALUE"""),"105775810662")</f>
        <v>105775810662</v>
      </c>
      <c r="I582" s="2" t="str">
        <f ca="1">IFERROR(__xludf.DUMMYFUNCTION("""COMPUTED_VALUE"""),"Sú Gia Huệ")</f>
        <v>Sú Gia Huệ</v>
      </c>
      <c r="J582" s="3" t="str">
        <f ca="1">IFERROR(__xludf.DUMMYFUNCTION("""COMPUTED_VALUE"""),"0932715362")</f>
        <v>0932715362</v>
      </c>
      <c r="K582" s="2" t="str">
        <f ca="1">IFERROR(__xludf.DUMMYFUNCTION("""COMPUTED_VALUE"""),"1741366076307")</f>
        <v>1741366076307</v>
      </c>
    </row>
    <row r="583" spans="1:11" ht="12.45">
      <c r="A583" s="2" t="str">
        <f ca="1">IFERROR(__xludf.DUMMYFUNCTION("""COMPUTED_VALUE"""),"1741366105847")</f>
        <v>1741366105847</v>
      </c>
      <c r="B583" s="2">
        <f ca="1">IFERROR(__xludf.DUMMYFUNCTION("""COMPUTED_VALUE"""),394543947)</f>
        <v>394543947</v>
      </c>
      <c r="C583" s="2" t="str">
        <f ca="1"/>
        <v>0394543947</v>
      </c>
      <c r="D583" s="2">
        <f ca="1">IFERROR(__xludf.DUMMYFUNCTION("""COMPUTED_VALUE"""),105556182330)</f>
        <v>105556182330</v>
      </c>
      <c r="E583" s="2">
        <f ca="1">IFERROR(__xludf.DUMMYFUNCTION("""COMPUTED_VALUE"""),393584736)</f>
        <v>393584736</v>
      </c>
      <c r="F583" s="2" t="str">
        <f ca="1"/>
        <v>0393584736</v>
      </c>
      <c r="G583" s="2" t="str">
        <f ca="1">IFERROR(__xludf.DUMMYFUNCTION("""COMPUTED_VALUE"""),"105775810727")</f>
        <v>105775810727</v>
      </c>
      <c r="I583" s="2" t="str">
        <f ca="1">IFERROR(__xludf.DUMMYFUNCTION("""COMPUTED_VALUE"""),"Nguyễn Ngọc Trâm Anh")</f>
        <v>Nguyễn Ngọc Trâm Anh</v>
      </c>
      <c r="J583" s="3" t="str">
        <f ca="1">IFERROR(__xludf.DUMMYFUNCTION("""COMPUTED_VALUE"""),"0907503269")</f>
        <v>0907503269</v>
      </c>
      <c r="K583" s="2" t="str">
        <f ca="1">IFERROR(__xludf.DUMMYFUNCTION("""COMPUTED_VALUE"""),"1741366105847")</f>
        <v>1741366105847</v>
      </c>
    </row>
    <row r="584" spans="1:11" ht="12.45">
      <c r="A584" s="2" t="str">
        <f ca="1">IFERROR(__xludf.DUMMYFUNCTION("""COMPUTED_VALUE"""),"1741366145093")</f>
        <v>1741366145093</v>
      </c>
      <c r="B584" s="2">
        <f ca="1">IFERROR(__xludf.DUMMYFUNCTION("""COMPUTED_VALUE"""),869011329)</f>
        <v>869011329</v>
      </c>
      <c r="C584" s="2" t="str">
        <f ca="1"/>
        <v>0869011329</v>
      </c>
      <c r="D584" s="2">
        <f ca="1">IFERROR(__xludf.DUMMYFUNCTION("""COMPUTED_VALUE"""),105556182453)</f>
        <v>105556182453</v>
      </c>
      <c r="E584" s="2">
        <f ca="1">IFERROR(__xludf.DUMMYFUNCTION("""COMPUTED_VALUE"""),941604902)</f>
        <v>941604902</v>
      </c>
      <c r="F584" s="2" t="str">
        <f ca="1"/>
        <v>0941604902</v>
      </c>
      <c r="G584" s="2" t="str">
        <f ca="1">IFERROR(__xludf.DUMMYFUNCTION("""COMPUTED_VALUE"""),"105775810871")</f>
        <v>105775810871</v>
      </c>
      <c r="I584" s="2" t="str">
        <f ca="1">IFERROR(__xludf.DUMMYFUNCTION("""COMPUTED_VALUE"""),"Nguyễn Anh Thư ")</f>
        <v xml:space="preserve">Nguyễn Anh Thư </v>
      </c>
      <c r="J584" s="3" t="str">
        <f ca="1">IFERROR(__xludf.DUMMYFUNCTION("""COMPUTED_VALUE"""),"0865903679")</f>
        <v>0865903679</v>
      </c>
      <c r="K584" s="2" t="str">
        <f ca="1">IFERROR(__xludf.DUMMYFUNCTION("""COMPUTED_VALUE"""),"1741366145093")</f>
        <v>1741366145093</v>
      </c>
    </row>
    <row r="585" spans="1:11" ht="12.45">
      <c r="A585" s="2" t="str">
        <f ca="1">IFERROR(__xludf.DUMMYFUNCTION("""COMPUTED_VALUE"""),"1741366200161")</f>
        <v>1741366200161</v>
      </c>
      <c r="B585" s="2">
        <f ca="1">IFERROR(__xludf.DUMMYFUNCTION("""COMPUTED_VALUE"""),383915165)</f>
        <v>383915165</v>
      </c>
      <c r="C585" s="2" t="str">
        <f ca="1"/>
        <v>0383915165</v>
      </c>
      <c r="D585" s="2">
        <f ca="1">IFERROR(__xludf.DUMMYFUNCTION("""COMPUTED_VALUE"""),105556182561)</f>
        <v>105556182561</v>
      </c>
      <c r="E585" s="2">
        <f ca="1">IFERROR(__xludf.DUMMYFUNCTION("""COMPUTED_VALUE"""),866762169)</f>
        <v>866762169</v>
      </c>
      <c r="F585" s="2" t="str">
        <f ca="1"/>
        <v>0866762169</v>
      </c>
      <c r="G585" s="2" t="str">
        <f ca="1">IFERROR(__xludf.DUMMYFUNCTION("""COMPUTED_VALUE"""),"105773916165")</f>
        <v>105773916165</v>
      </c>
      <c r="I585" s="2" t="str">
        <f ca="1">IFERROR(__xludf.DUMMYFUNCTION("""COMPUTED_VALUE"""),"Huỳnh Phan Nhân Hậu ")</f>
        <v xml:space="preserve">Huỳnh Phan Nhân Hậu </v>
      </c>
      <c r="J585" s="3" t="str">
        <f ca="1">IFERROR(__xludf.DUMMYFUNCTION("""COMPUTED_VALUE"""),"0917447650")</f>
        <v>0917447650</v>
      </c>
      <c r="K585" s="2" t="str">
        <f ca="1">IFERROR(__xludf.DUMMYFUNCTION("""COMPUTED_VALUE"""),"1741366200161")</f>
        <v>1741366200161</v>
      </c>
    </row>
    <row r="586" spans="1:11" ht="12.45">
      <c r="A586" s="2" t="str">
        <f ca="1">IFERROR(__xludf.DUMMYFUNCTION("""COMPUTED_VALUE"""),"1741366252431")</f>
        <v>1741366252431</v>
      </c>
      <c r="B586" s="2">
        <f ca="1">IFERROR(__xludf.DUMMYFUNCTION("""COMPUTED_VALUE"""),973646336)</f>
        <v>973646336</v>
      </c>
      <c r="C586" s="2" t="str">
        <f ca="1"/>
        <v>0973646336</v>
      </c>
      <c r="D586" s="2">
        <f ca="1">IFERROR(__xludf.DUMMYFUNCTION("""COMPUTED_VALUE"""),105556182613)</f>
        <v>105556182613</v>
      </c>
      <c r="E586" s="2">
        <f ca="1">IFERROR(__xludf.DUMMYFUNCTION("""COMPUTED_VALUE"""),945494786)</f>
        <v>945494786</v>
      </c>
      <c r="F586" s="2" t="str">
        <f ca="1"/>
        <v>0945494786</v>
      </c>
      <c r="G586" s="2" t="str">
        <f ca="1">IFERROR(__xludf.DUMMYFUNCTION("""COMPUTED_VALUE"""),"105773916244")</f>
        <v>105773916244</v>
      </c>
      <c r="I586" s="2" t="str">
        <f ca="1">IFERROR(__xludf.DUMMYFUNCTION("""COMPUTED_VALUE"""),"Cao Hoàng Thu Hà")</f>
        <v>Cao Hoàng Thu Hà</v>
      </c>
      <c r="J586" s="3" t="str">
        <f ca="1">IFERROR(__xludf.DUMMYFUNCTION("""COMPUTED_VALUE"""),"0398299837")</f>
        <v>0398299837</v>
      </c>
      <c r="K586" s="2" t="str">
        <f ca="1">IFERROR(__xludf.DUMMYFUNCTION("""COMPUTED_VALUE"""),"1741366252431")</f>
        <v>1741366252431</v>
      </c>
    </row>
    <row r="587" spans="1:11" ht="12.45">
      <c r="A587" s="2" t="str">
        <f ca="1">IFERROR(__xludf.DUMMYFUNCTION("""COMPUTED_VALUE"""),"1741366287262")</f>
        <v>1741366287262</v>
      </c>
      <c r="B587" s="2">
        <f ca="1">IFERROR(__xludf.DUMMYFUNCTION("""COMPUTED_VALUE"""),983127483)</f>
        <v>983127483</v>
      </c>
      <c r="C587" s="2" t="str">
        <f ca="1"/>
        <v>0983127483</v>
      </c>
      <c r="D587" s="2">
        <f ca="1">IFERROR(__xludf.DUMMYFUNCTION("""COMPUTED_VALUE"""),105556182716)</f>
        <v>105556182716</v>
      </c>
      <c r="E587" s="2">
        <f ca="1">IFERROR(__xludf.DUMMYFUNCTION("""COMPUTED_VALUE"""),988542642)</f>
        <v>988542642</v>
      </c>
      <c r="F587" s="2" t="str">
        <f ca="1"/>
        <v>0988542642</v>
      </c>
      <c r="G587" s="2" t="str">
        <f ca="1">IFERROR(__xludf.DUMMYFUNCTION("""COMPUTED_VALUE"""),"105773916397")</f>
        <v>105773916397</v>
      </c>
      <c r="I587" s="2" t="str">
        <f ca="1">IFERROR(__xludf.DUMMYFUNCTION("""COMPUTED_VALUE"""),"Nguyễn Thị Phương Thảo ")</f>
        <v xml:space="preserve">Nguyễn Thị Phương Thảo </v>
      </c>
      <c r="J587" s="3" t="str">
        <f ca="1">IFERROR(__xludf.DUMMYFUNCTION("""COMPUTED_VALUE"""),"0388901281")</f>
        <v>0388901281</v>
      </c>
      <c r="K587" s="2" t="str">
        <f ca="1">IFERROR(__xludf.DUMMYFUNCTION("""COMPUTED_VALUE"""),"1741366287262")</f>
        <v>1741366287262</v>
      </c>
    </row>
    <row r="588" spans="1:11" ht="12.45">
      <c r="A588" s="2" t="str">
        <f ca="1">IFERROR(__xludf.DUMMYFUNCTION("""COMPUTED_VALUE"""),"1741366324751")</f>
        <v>1741366324751</v>
      </c>
      <c r="B588" s="2">
        <f ca="1">IFERROR(__xludf.DUMMYFUNCTION("""COMPUTED_VALUE"""),948208797)</f>
        <v>948208797</v>
      </c>
      <c r="C588" s="2" t="str">
        <f ca="1"/>
        <v>0948208797</v>
      </c>
      <c r="D588" s="2">
        <f ca="1">IFERROR(__xludf.DUMMYFUNCTION("""COMPUTED_VALUE"""),105556182835)</f>
        <v>105556182835</v>
      </c>
      <c r="E588" s="2">
        <f ca="1">IFERROR(__xludf.DUMMYFUNCTION("""COMPUTED_VALUE"""),948326026)</f>
        <v>948326026</v>
      </c>
      <c r="F588" s="2" t="str">
        <f ca="1"/>
        <v>0948326026</v>
      </c>
      <c r="G588" s="2" t="str">
        <f ca="1">IFERROR(__xludf.DUMMYFUNCTION("""COMPUTED_VALUE"""),"105773916496")</f>
        <v>105773916496</v>
      </c>
      <c r="I588" s="2" t="str">
        <f ca="1">IFERROR(__xludf.DUMMYFUNCTION("""COMPUTED_VALUE"""),"Đặng Nguyễn Minh Anh")</f>
        <v>Đặng Nguyễn Minh Anh</v>
      </c>
      <c r="J588" s="3" t="str">
        <f ca="1">IFERROR(__xludf.DUMMYFUNCTION("""COMPUTED_VALUE"""),"0904014639")</f>
        <v>0904014639</v>
      </c>
      <c r="K588" s="2" t="str">
        <f ca="1">IFERROR(__xludf.DUMMYFUNCTION("""COMPUTED_VALUE"""),"1741366324751")</f>
        <v>1741366324751</v>
      </c>
    </row>
    <row r="589" spans="1:11" ht="12.45">
      <c r="A589" s="2" t="str">
        <f ca="1">IFERROR(__xludf.DUMMYFUNCTION("""COMPUTED_VALUE"""),"1741366360969")</f>
        <v>1741366360969</v>
      </c>
      <c r="B589" s="2">
        <f ca="1">IFERROR(__xludf.DUMMYFUNCTION("""COMPUTED_VALUE"""),898361841)</f>
        <v>898361841</v>
      </c>
      <c r="C589" s="2" t="str">
        <f ca="1"/>
        <v>0898361841</v>
      </c>
      <c r="D589" s="2">
        <f ca="1">IFERROR(__xludf.DUMMYFUNCTION("""COMPUTED_VALUE"""),105556183048)</f>
        <v>105556183048</v>
      </c>
      <c r="E589" s="2">
        <f ca="1">IFERROR(__xludf.DUMMYFUNCTION("""COMPUTED_VALUE"""),775881222)</f>
        <v>775881222</v>
      </c>
      <c r="F589" s="2" t="str">
        <f ca="1"/>
        <v>0775881222</v>
      </c>
      <c r="G589" s="2" t="str">
        <f ca="1">IFERROR(__xludf.DUMMYFUNCTION("""COMPUTED_VALUE"""),"105773916554")</f>
        <v>105773916554</v>
      </c>
      <c r="I589" s="2" t="str">
        <f ca="1">IFERROR(__xludf.DUMMYFUNCTION("""COMPUTED_VALUE"""),"Nguyễn Thị Ngọc Ánh")</f>
        <v>Nguyễn Thị Ngọc Ánh</v>
      </c>
      <c r="J589" s="3" t="str">
        <f ca="1">IFERROR(__xludf.DUMMYFUNCTION("""COMPUTED_VALUE"""),"0383760898")</f>
        <v>0383760898</v>
      </c>
      <c r="K589" s="2" t="str">
        <f ca="1">IFERROR(__xludf.DUMMYFUNCTION("""COMPUTED_VALUE"""),"1741366360969")</f>
        <v>1741366360969</v>
      </c>
    </row>
    <row r="590" spans="1:11" ht="12.45">
      <c r="A590" s="2" t="str">
        <f ca="1">IFERROR(__xludf.DUMMYFUNCTION("""COMPUTED_VALUE"""),"1741366402402")</f>
        <v>1741366402402</v>
      </c>
      <c r="B590" s="2">
        <f ca="1">IFERROR(__xludf.DUMMYFUNCTION("""COMPUTED_VALUE"""),938379199)</f>
        <v>938379199</v>
      </c>
      <c r="C590" s="2" t="str">
        <f ca="1"/>
        <v>0938379199</v>
      </c>
      <c r="D590" s="2">
        <f ca="1">IFERROR(__xludf.DUMMYFUNCTION("""COMPUTED_VALUE"""),106211368878)</f>
        <v>106211368878</v>
      </c>
      <c r="E590" s="2">
        <f ca="1">IFERROR(__xludf.DUMMYFUNCTION("""COMPUTED_VALUE"""),977317532)</f>
        <v>977317532</v>
      </c>
      <c r="F590" s="2" t="str">
        <f ca="1"/>
        <v>0977317532</v>
      </c>
      <c r="G590" s="2" t="str">
        <f ca="1">IFERROR(__xludf.DUMMYFUNCTION("""COMPUTED_VALUE"""),"105773916689")</f>
        <v>105773916689</v>
      </c>
      <c r="I590" s="2" t="str">
        <f ca="1">IFERROR(__xludf.DUMMYFUNCTION("""COMPUTED_VALUE"""),"Hàn Ngọc Bảo Trâm ")</f>
        <v xml:space="preserve">Hàn Ngọc Bảo Trâm </v>
      </c>
      <c r="J590" s="3" t="str">
        <f ca="1">IFERROR(__xludf.DUMMYFUNCTION("""COMPUTED_VALUE"""),"0862230407")</f>
        <v>0862230407</v>
      </c>
      <c r="K590" s="2" t="str">
        <f ca="1">IFERROR(__xludf.DUMMYFUNCTION("""COMPUTED_VALUE"""),"1741366402402")</f>
        <v>1741366402402</v>
      </c>
    </row>
    <row r="591" spans="1:11" ht="12.45">
      <c r="A591" s="2" t="str">
        <f ca="1">IFERROR(__xludf.DUMMYFUNCTION("""COMPUTED_VALUE"""),"1741366454371")</f>
        <v>1741366454371</v>
      </c>
      <c r="B591" s="2">
        <f ca="1">IFERROR(__xludf.DUMMYFUNCTION("""COMPUTED_VALUE"""),343062518)</f>
        <v>343062518</v>
      </c>
      <c r="C591" s="2" t="str">
        <f ca="1"/>
        <v>0343062518</v>
      </c>
      <c r="D591" s="2">
        <f ca="1">IFERROR(__xludf.DUMMYFUNCTION("""COMPUTED_VALUE"""),106211369164)</f>
        <v>106211369164</v>
      </c>
      <c r="E591" s="2">
        <f ca="1">IFERROR(__xludf.DUMMYFUNCTION("""COMPUTED_VALUE"""),363357146)</f>
        <v>363357146</v>
      </c>
      <c r="F591" s="2" t="str">
        <f ca="1"/>
        <v>0363357146</v>
      </c>
      <c r="G591" s="2" t="str">
        <f ca="1">IFERROR(__xludf.DUMMYFUNCTION("""COMPUTED_VALUE"""),"105773916796")</f>
        <v>105773916796</v>
      </c>
      <c r="I591" s="2" t="str">
        <f ca="1">IFERROR(__xludf.DUMMYFUNCTION("""COMPUTED_VALUE"""),"Lê Trần Khánh Ly ")</f>
        <v xml:space="preserve">Lê Trần Khánh Ly </v>
      </c>
      <c r="J591" s="3" t="str">
        <f ca="1">IFERROR(__xludf.DUMMYFUNCTION("""COMPUTED_VALUE"""),"0773612907")</f>
        <v>0773612907</v>
      </c>
      <c r="K591" s="2" t="str">
        <f ca="1">IFERROR(__xludf.DUMMYFUNCTION("""COMPUTED_VALUE"""),"1741366454371")</f>
        <v>1741366454371</v>
      </c>
    </row>
    <row r="592" spans="1:11" ht="12.45">
      <c r="A592" s="2" t="str">
        <f ca="1">IFERROR(__xludf.DUMMYFUNCTION("""COMPUTED_VALUE"""),"1741366509404")</f>
        <v>1741366509404</v>
      </c>
      <c r="B592" s="2">
        <f ca="1">IFERROR(__xludf.DUMMYFUNCTION("""COMPUTED_VALUE"""),389410881)</f>
        <v>389410881</v>
      </c>
      <c r="C592" s="2" t="str">
        <f ca="1"/>
        <v>0389410881</v>
      </c>
      <c r="D592" s="2">
        <f ca="1">IFERROR(__xludf.DUMMYFUNCTION("""COMPUTED_VALUE"""),106211369271)</f>
        <v>106211369271</v>
      </c>
      <c r="E592" s="2">
        <f ca="1">IFERROR(__xludf.DUMMYFUNCTION("""COMPUTED_VALUE"""),919019285)</f>
        <v>919019285</v>
      </c>
      <c r="F592" s="2" t="str">
        <f ca="1"/>
        <v>0919019285</v>
      </c>
      <c r="G592" s="2" t="str">
        <f ca="1">IFERROR(__xludf.DUMMYFUNCTION("""COMPUTED_VALUE"""),"105773916877")</f>
        <v>105773916877</v>
      </c>
      <c r="I592" s="2" t="str">
        <f ca="1">IFERROR(__xludf.DUMMYFUNCTION("""COMPUTED_VALUE"""),"Nguyễn Cao Kỳ Duyên")</f>
        <v>Nguyễn Cao Kỳ Duyên</v>
      </c>
      <c r="J592" s="3" t="str">
        <f ca="1">IFERROR(__xludf.DUMMYFUNCTION("""COMPUTED_VALUE"""),"0353188622")</f>
        <v>0353188622</v>
      </c>
      <c r="K592" s="2" t="str">
        <f ca="1">IFERROR(__xludf.DUMMYFUNCTION("""COMPUTED_VALUE"""),"1741366509404")</f>
        <v>1741366509404</v>
      </c>
    </row>
    <row r="593" spans="1:11" ht="12.45">
      <c r="A593" s="2" t="str">
        <f ca="1">IFERROR(__xludf.DUMMYFUNCTION("""COMPUTED_VALUE"""),"1741366554756")</f>
        <v>1741366554756</v>
      </c>
      <c r="B593" s="2">
        <f ca="1">IFERROR(__xludf.DUMMYFUNCTION("""COMPUTED_VALUE"""),865308391)</f>
        <v>865308391</v>
      </c>
      <c r="C593" s="2" t="str">
        <f ca="1"/>
        <v>0865308391</v>
      </c>
      <c r="D593" s="2">
        <f ca="1">IFERROR(__xludf.DUMMYFUNCTION("""COMPUTED_VALUE"""),106211369483)</f>
        <v>106211369483</v>
      </c>
      <c r="E593" s="2">
        <f ca="1">IFERROR(__xludf.DUMMYFUNCTION("""COMPUTED_VALUE"""),973854622)</f>
        <v>973854622</v>
      </c>
      <c r="F593" s="2" t="str">
        <f ca="1"/>
        <v>0973854622</v>
      </c>
      <c r="G593" s="2" t="str">
        <f ca="1">IFERROR(__xludf.DUMMYFUNCTION("""COMPUTED_VALUE"""),"105773916918")</f>
        <v>105773916918</v>
      </c>
      <c r="I593" s="2" t="str">
        <f ca="1">IFERROR(__xludf.DUMMYFUNCTION("""COMPUTED_VALUE"""),"Phạm Gia Lộc")</f>
        <v>Phạm Gia Lộc</v>
      </c>
      <c r="J593" s="3" t="str">
        <f ca="1">IFERROR(__xludf.DUMMYFUNCTION("""COMPUTED_VALUE"""),"0833495626")</f>
        <v>0833495626</v>
      </c>
      <c r="K593" s="2" t="str">
        <f ca="1">IFERROR(__xludf.DUMMYFUNCTION("""COMPUTED_VALUE"""),"1741366554756")</f>
        <v>1741366554756</v>
      </c>
    </row>
    <row r="594" spans="1:11" ht="12.45">
      <c r="A594" s="2" t="str">
        <f ca="1">IFERROR(__xludf.DUMMYFUNCTION("""COMPUTED_VALUE"""),"1741366596253")</f>
        <v>1741366596253</v>
      </c>
      <c r="B594" s="2">
        <f ca="1">IFERROR(__xludf.DUMMYFUNCTION("""COMPUTED_VALUE"""),898241024)</f>
        <v>898241024</v>
      </c>
      <c r="C594" s="2" t="str">
        <f ca="1"/>
        <v>0898241024</v>
      </c>
      <c r="D594" s="2">
        <f ca="1">IFERROR(__xludf.DUMMYFUNCTION("""COMPUTED_VALUE"""),106211369672)</f>
        <v>106211369672</v>
      </c>
      <c r="E594" s="2">
        <f ca="1">IFERROR(__xludf.DUMMYFUNCTION("""COMPUTED_VALUE"""),372717416)</f>
        <v>372717416</v>
      </c>
      <c r="F594" s="2" t="str">
        <f ca="1"/>
        <v>0372717416</v>
      </c>
      <c r="G594" s="2" t="str">
        <f ca="1">IFERROR(__xludf.DUMMYFUNCTION("""COMPUTED_VALUE"""),"105773917022")</f>
        <v>105773917022</v>
      </c>
      <c r="I594" s="2" t="str">
        <f ca="1">IFERROR(__xludf.DUMMYFUNCTION("""COMPUTED_VALUE"""),"Nguyễn Ngọc Khánh Linh")</f>
        <v>Nguyễn Ngọc Khánh Linh</v>
      </c>
      <c r="J594" s="3" t="str">
        <f ca="1">IFERROR(__xludf.DUMMYFUNCTION("""COMPUTED_VALUE"""),"0333061876")</f>
        <v>0333061876</v>
      </c>
      <c r="K594" s="2" t="str">
        <f ca="1">IFERROR(__xludf.DUMMYFUNCTION("""COMPUTED_VALUE"""),"1741366596253")</f>
        <v>1741366596253</v>
      </c>
    </row>
    <row r="595" spans="1:11" ht="12.45">
      <c r="A595" s="2" t="str">
        <f ca="1">IFERROR(__xludf.DUMMYFUNCTION("""COMPUTED_VALUE"""),"1741366642775")</f>
        <v>1741366642775</v>
      </c>
      <c r="B595" s="2">
        <f ca="1">IFERROR(__xludf.DUMMYFUNCTION("""COMPUTED_VALUE"""),975114229)</f>
        <v>975114229</v>
      </c>
      <c r="C595" s="2" t="str">
        <f ca="1"/>
        <v>0975114229</v>
      </c>
      <c r="D595" s="2">
        <f ca="1">IFERROR(__xludf.DUMMYFUNCTION("""COMPUTED_VALUE"""),106211369787)</f>
        <v>106211369787</v>
      </c>
      <c r="E595" s="2">
        <f ca="1">IFERROR(__xludf.DUMMYFUNCTION("""COMPUTED_VALUE"""),707840083)</f>
        <v>707840083</v>
      </c>
      <c r="F595" s="2" t="str">
        <f ca="1"/>
        <v>0707840083</v>
      </c>
      <c r="G595" s="2" t="str">
        <f ca="1">IFERROR(__xludf.DUMMYFUNCTION("""COMPUTED_VALUE"""),"105773917189")</f>
        <v>105773917189</v>
      </c>
      <c r="I595" s="2" t="str">
        <f ca="1">IFERROR(__xludf.DUMMYFUNCTION("""COMPUTED_VALUE"""),"Nguyễn Bảo Châu")</f>
        <v>Nguyễn Bảo Châu</v>
      </c>
      <c r="J595" s="3" t="str">
        <f ca="1">IFERROR(__xludf.DUMMYFUNCTION("""COMPUTED_VALUE"""),"0835301207")</f>
        <v>0835301207</v>
      </c>
      <c r="K595" s="2" t="str">
        <f ca="1">IFERROR(__xludf.DUMMYFUNCTION("""COMPUTED_VALUE"""),"1741366642775")</f>
        <v>1741366642775</v>
      </c>
    </row>
    <row r="596" spans="1:11" ht="12.45">
      <c r="A596" s="2" t="str">
        <f ca="1">IFERROR(__xludf.DUMMYFUNCTION("""COMPUTED_VALUE"""),"1741366701923")</f>
        <v>1741366701923</v>
      </c>
      <c r="B596" s="2">
        <f ca="1">IFERROR(__xludf.DUMMYFUNCTION("""COMPUTED_VALUE"""),382766221)</f>
        <v>382766221</v>
      </c>
      <c r="C596" s="2" t="str">
        <f ca="1"/>
        <v>0382766221</v>
      </c>
      <c r="D596" s="2">
        <f ca="1">IFERROR(__xludf.DUMMYFUNCTION("""COMPUTED_VALUE"""),107052434333)</f>
        <v>107052434333</v>
      </c>
      <c r="E596" s="2">
        <f ca="1">IFERROR(__xludf.DUMMYFUNCTION("""COMPUTED_VALUE"""),355233254)</f>
        <v>355233254</v>
      </c>
      <c r="F596" s="2" t="str">
        <f ca="1"/>
        <v>0355233254</v>
      </c>
      <c r="G596" s="2" t="str">
        <f ca="1">IFERROR(__xludf.DUMMYFUNCTION("""COMPUTED_VALUE"""),"105773917212")</f>
        <v>105773917212</v>
      </c>
      <c r="I596" s="2" t="str">
        <f ca="1">IFERROR(__xludf.DUMMYFUNCTION("""COMPUTED_VALUE"""),"Phạm Hồng Anh ")</f>
        <v xml:space="preserve">Phạm Hồng Anh </v>
      </c>
      <c r="J596" s="3" t="str">
        <f ca="1">IFERROR(__xludf.DUMMYFUNCTION("""COMPUTED_VALUE"""),"0345938288")</f>
        <v>0345938288</v>
      </c>
      <c r="K596" s="2" t="str">
        <f ca="1">IFERROR(__xludf.DUMMYFUNCTION("""COMPUTED_VALUE"""),"1741366701923")</f>
        <v>1741366701923</v>
      </c>
    </row>
    <row r="597" spans="1:11" ht="12.45">
      <c r="A597" s="2" t="str">
        <f ca="1">IFERROR(__xludf.DUMMYFUNCTION("""COMPUTED_VALUE"""),"1741366749709")</f>
        <v>1741366749709</v>
      </c>
      <c r="B597" s="2">
        <f ca="1">IFERROR(__xludf.DUMMYFUNCTION("""COMPUTED_VALUE"""),824542008)</f>
        <v>824542008</v>
      </c>
      <c r="C597" s="2" t="str">
        <f ca="1"/>
        <v>0824542008</v>
      </c>
      <c r="D597" s="2">
        <f ca="1">IFERROR(__xludf.DUMMYFUNCTION("""COMPUTED_VALUE"""),107052434430)</f>
        <v>107052434430</v>
      </c>
      <c r="E597" s="2">
        <f ca="1">IFERROR(__xludf.DUMMYFUNCTION("""COMPUTED_VALUE"""),911172446)</f>
        <v>911172446</v>
      </c>
      <c r="F597" s="2" t="str">
        <f ca="1"/>
        <v>0911172446</v>
      </c>
      <c r="G597" s="2" t="str">
        <f ca="1">IFERROR(__xludf.DUMMYFUNCTION("""COMPUTED_VALUE"""),"105773917316")</f>
        <v>105773917316</v>
      </c>
      <c r="I597" s="2" t="str">
        <f ca="1">IFERROR(__xludf.DUMMYFUNCTION("""COMPUTED_VALUE"""),"Nguyễn Thanh Hà")</f>
        <v>Nguyễn Thanh Hà</v>
      </c>
      <c r="J597" s="3" t="str">
        <f ca="1">IFERROR(__xludf.DUMMYFUNCTION("""COMPUTED_VALUE"""),"0394736208")</f>
        <v>0394736208</v>
      </c>
      <c r="K597" s="2" t="str">
        <f ca="1">IFERROR(__xludf.DUMMYFUNCTION("""COMPUTED_VALUE"""),"1741366749709")</f>
        <v>1741366749709</v>
      </c>
    </row>
    <row r="598" spans="1:11" ht="12.45">
      <c r="A598" s="2" t="str">
        <f ca="1">IFERROR(__xludf.DUMMYFUNCTION("""COMPUTED_VALUE"""),"1741366783432")</f>
        <v>1741366783432</v>
      </c>
      <c r="B598" s="2">
        <f ca="1">IFERROR(__xludf.DUMMYFUNCTION("""COMPUTED_VALUE"""),363194882)</f>
        <v>363194882</v>
      </c>
      <c r="C598" s="2" t="str">
        <f ca="1"/>
        <v>0363194882</v>
      </c>
      <c r="D598" s="2">
        <f ca="1">IFERROR(__xludf.DUMMYFUNCTION("""COMPUTED_VALUE"""),107052434531)</f>
        <v>107052434531</v>
      </c>
      <c r="E598" s="2">
        <f ca="1">IFERROR(__xludf.DUMMYFUNCTION("""COMPUTED_VALUE"""),325135781)</f>
        <v>325135781</v>
      </c>
      <c r="F598" s="2" t="str">
        <f ca="1"/>
        <v>0325135781</v>
      </c>
      <c r="G598" s="2" t="str">
        <f ca="1">IFERROR(__xludf.DUMMYFUNCTION("""COMPUTED_VALUE"""),"105773917457")</f>
        <v>105773917457</v>
      </c>
      <c r="I598" s="2" t="str">
        <f ca="1">IFERROR(__xludf.DUMMYFUNCTION("""COMPUTED_VALUE"""),"Nguyễn Ngọc Diệp")</f>
        <v>Nguyễn Ngọc Diệp</v>
      </c>
      <c r="J598" s="3" t="str">
        <f ca="1">IFERROR(__xludf.DUMMYFUNCTION("""COMPUTED_VALUE"""),"0969804146")</f>
        <v>0969804146</v>
      </c>
      <c r="K598" s="2" t="str">
        <f ca="1">IFERROR(__xludf.DUMMYFUNCTION("""COMPUTED_VALUE"""),"1741366783432")</f>
        <v>1741366783432</v>
      </c>
    </row>
    <row r="599" spans="1:11" ht="12.45">
      <c r="A599" s="2" t="str">
        <f ca="1">IFERROR(__xludf.DUMMYFUNCTION("""COMPUTED_VALUE"""),"1741366825528")</f>
        <v>1741366825528</v>
      </c>
      <c r="B599" s="2">
        <f ca="1">IFERROR(__xludf.DUMMYFUNCTION("""COMPUTED_VALUE"""),974785370)</f>
        <v>974785370</v>
      </c>
      <c r="C599" s="2" t="str">
        <f ca="1"/>
        <v>0974785370</v>
      </c>
      <c r="D599" s="2">
        <f ca="1">IFERROR(__xludf.DUMMYFUNCTION("""COMPUTED_VALUE"""),107052434627)</f>
        <v>107052434627</v>
      </c>
      <c r="E599" s="2">
        <f ca="1">IFERROR(__xludf.DUMMYFUNCTION("""COMPUTED_VALUE"""),337623911)</f>
        <v>337623911</v>
      </c>
      <c r="F599" s="2" t="str">
        <f ca="1"/>
        <v>0337623911</v>
      </c>
      <c r="G599" s="2" t="str">
        <f ca="1">IFERROR(__xludf.DUMMYFUNCTION("""COMPUTED_VALUE"""),"105773917540")</f>
        <v>105773917540</v>
      </c>
      <c r="I599" s="2" t="str">
        <f ca="1">IFERROR(__xludf.DUMMYFUNCTION("""COMPUTED_VALUE"""),"Nguyễn Phương Thảo ")</f>
        <v xml:space="preserve">Nguyễn Phương Thảo </v>
      </c>
      <c r="J599" s="3" t="str">
        <f ca="1">IFERROR(__xludf.DUMMYFUNCTION("""COMPUTED_VALUE"""),"0359290142")</f>
        <v>0359290142</v>
      </c>
      <c r="K599" s="2" t="str">
        <f ca="1">IFERROR(__xludf.DUMMYFUNCTION("""COMPUTED_VALUE"""),"1741366825528")</f>
        <v>1741366825528</v>
      </c>
    </row>
    <row r="600" spans="1:11" ht="12.45">
      <c r="A600" s="2" t="str">
        <f ca="1">IFERROR(__xludf.DUMMYFUNCTION("""COMPUTED_VALUE"""),"1741366892552")</f>
        <v>1741366892552</v>
      </c>
      <c r="B600" s="2">
        <f ca="1">IFERROR(__xludf.DUMMYFUNCTION("""COMPUTED_VALUE"""),969807959)</f>
        <v>969807959</v>
      </c>
      <c r="C600" s="2" t="str">
        <f ca="1"/>
        <v>0969807959</v>
      </c>
      <c r="D600" s="2">
        <f ca="1">IFERROR(__xludf.DUMMYFUNCTION("""COMPUTED_VALUE"""),107052434730)</f>
        <v>107052434730</v>
      </c>
      <c r="E600" s="2">
        <f ca="1">IFERROR(__xludf.DUMMYFUNCTION("""COMPUTED_VALUE"""),934874782)</f>
        <v>934874782</v>
      </c>
      <c r="F600" s="2" t="str">
        <f ca="1"/>
        <v>0934874782</v>
      </c>
      <c r="G600" s="2" t="str">
        <f ca="1">IFERROR(__xludf.DUMMYFUNCTION("""COMPUTED_VALUE"""),"105773917692")</f>
        <v>105773917692</v>
      </c>
      <c r="I600" s="2" t="str">
        <f ca="1">IFERROR(__xludf.DUMMYFUNCTION("""COMPUTED_VALUE"""),"Hoàng Khánh Hoà")</f>
        <v>Hoàng Khánh Hoà</v>
      </c>
      <c r="J600" s="3" t="str">
        <f ca="1">IFERROR(__xludf.DUMMYFUNCTION("""COMPUTED_VALUE"""),"0988083055")</f>
        <v>0988083055</v>
      </c>
      <c r="K600" s="2" t="str">
        <f ca="1">IFERROR(__xludf.DUMMYFUNCTION("""COMPUTED_VALUE"""),"1741366892552")</f>
        <v>1741366892552</v>
      </c>
    </row>
    <row r="601" spans="1:11" ht="12.45">
      <c r="A601" s="2" t="str">
        <f ca="1">IFERROR(__xludf.DUMMYFUNCTION("""COMPUTED_VALUE"""),"1741366942958")</f>
        <v>1741366942958</v>
      </c>
      <c r="B601" s="2">
        <f ca="1">IFERROR(__xludf.DUMMYFUNCTION("""COMPUTED_VALUE"""),829871555)</f>
        <v>829871555</v>
      </c>
      <c r="C601" s="2" t="str">
        <f ca="1"/>
        <v>0829871555</v>
      </c>
      <c r="D601" s="2">
        <f ca="1">IFERROR(__xludf.DUMMYFUNCTION("""COMPUTED_VALUE"""),107052434972)</f>
        <v>107052434972</v>
      </c>
      <c r="E601" s="2">
        <f ca="1">IFERROR(__xludf.DUMMYFUNCTION("""COMPUTED_VALUE"""),973183848)</f>
        <v>973183848</v>
      </c>
      <c r="F601" s="2" t="str">
        <f ca="1"/>
        <v>0973183848</v>
      </c>
      <c r="G601" s="2" t="str">
        <f ca="1">IFERROR(__xludf.DUMMYFUNCTION("""COMPUTED_VALUE"""),"105773917724")</f>
        <v>105773917724</v>
      </c>
      <c r="I601" s="2" t="str">
        <f ca="1">IFERROR(__xludf.DUMMYFUNCTION("""COMPUTED_VALUE"""),"Lê Thị Diệu Tâm")</f>
        <v>Lê Thị Diệu Tâm</v>
      </c>
      <c r="J601" s="3" t="str">
        <f ca="1">IFERROR(__xludf.DUMMYFUNCTION("""COMPUTED_VALUE"""),"0364295488")</f>
        <v>0364295488</v>
      </c>
      <c r="K601" s="2" t="str">
        <f ca="1">IFERROR(__xludf.DUMMYFUNCTION("""COMPUTED_VALUE"""),"1741366942958")</f>
        <v>1741366942958</v>
      </c>
    </row>
    <row r="602" spans="1:11" ht="12.45">
      <c r="A602" s="2" t="str">
        <f ca="1">IFERROR(__xludf.DUMMYFUNCTION("""COMPUTED_VALUE"""),"1741366982616")</f>
        <v>1741366982616</v>
      </c>
      <c r="B602" s="2">
        <f ca="1">IFERROR(__xludf.DUMMYFUNCTION("""COMPUTED_VALUE"""),899977856)</f>
        <v>899977856</v>
      </c>
      <c r="C602" s="2" t="str">
        <f ca="1"/>
        <v>0899977856</v>
      </c>
      <c r="D602" s="2">
        <f ca="1">IFERROR(__xludf.DUMMYFUNCTION("""COMPUTED_VALUE"""),107052435098)</f>
        <v>107052435098</v>
      </c>
      <c r="E602" s="2">
        <f ca="1">IFERROR(__xludf.DUMMYFUNCTION("""COMPUTED_VALUE"""),393172217)</f>
        <v>393172217</v>
      </c>
      <c r="F602" s="2" t="str">
        <f ca="1"/>
        <v>0393172217</v>
      </c>
      <c r="G602" s="2" t="str">
        <f ca="1">IFERROR(__xludf.DUMMYFUNCTION("""COMPUTED_VALUE"""),"105773917888")</f>
        <v>105773917888</v>
      </c>
      <c r="I602" s="2" t="str">
        <f ca="1">IFERROR(__xludf.DUMMYFUNCTION("""COMPUTED_VALUE"""),"Nguyễn Thị Quỳnh Phương ")</f>
        <v xml:space="preserve">Nguyễn Thị Quỳnh Phương </v>
      </c>
      <c r="J602" s="3" t="str">
        <f ca="1">IFERROR(__xludf.DUMMYFUNCTION("""COMPUTED_VALUE"""),"0792376784")</f>
        <v>0792376784</v>
      </c>
      <c r="K602" s="2" t="str">
        <f ca="1">IFERROR(__xludf.DUMMYFUNCTION("""COMPUTED_VALUE"""),"1741366982616")</f>
        <v>1741366982616</v>
      </c>
    </row>
    <row r="603" spans="1:11" ht="12.45">
      <c r="A603" s="2" t="str">
        <f ca="1">IFERROR(__xludf.DUMMYFUNCTION("""COMPUTED_VALUE"""),"1741367017767")</f>
        <v>1741367017767</v>
      </c>
      <c r="B603" s="2">
        <f ca="1">IFERROR(__xludf.DUMMYFUNCTION("""COMPUTED_VALUE"""),964624071)</f>
        <v>964624071</v>
      </c>
      <c r="C603" s="2" t="str">
        <f ca="1"/>
        <v>0964624071</v>
      </c>
      <c r="D603" s="2">
        <f ca="1">IFERROR(__xludf.DUMMYFUNCTION("""COMPUTED_VALUE"""),107052435175)</f>
        <v>107052435175</v>
      </c>
      <c r="E603" s="2">
        <f ca="1">IFERROR(__xludf.DUMMYFUNCTION("""COMPUTED_VALUE"""),979399981)</f>
        <v>979399981</v>
      </c>
      <c r="F603" s="2" t="str">
        <f ca="1"/>
        <v>0979399981</v>
      </c>
      <c r="G603" s="2" t="str">
        <f ca="1">IFERROR(__xludf.DUMMYFUNCTION("""COMPUTED_VALUE"""),"105773917925")</f>
        <v>105773917925</v>
      </c>
      <c r="I603" s="2" t="str">
        <f ca="1">IFERROR(__xludf.DUMMYFUNCTION("""COMPUTED_VALUE"""),"Nguyễn Hà Kiều Oanh")</f>
        <v>Nguyễn Hà Kiều Oanh</v>
      </c>
      <c r="J603" s="3" t="str">
        <f ca="1">IFERROR(__xludf.DUMMYFUNCTION("""COMPUTED_VALUE"""),"0399003975")</f>
        <v>0399003975</v>
      </c>
      <c r="K603" s="2" t="str">
        <f ca="1">IFERROR(__xludf.DUMMYFUNCTION("""COMPUTED_VALUE"""),"1741367017767")</f>
        <v>1741367017767</v>
      </c>
    </row>
    <row r="604" spans="1:11" ht="12.45">
      <c r="A604" s="2" t="str">
        <f ca="1">IFERROR(__xludf.DUMMYFUNCTION("""COMPUTED_VALUE"""),"1742574162409")</f>
        <v>1742574162409</v>
      </c>
      <c r="B604" s="2">
        <f ca="1">IFERROR(__xludf.DUMMYFUNCTION("""COMPUTED_VALUE"""),972010548)</f>
        <v>972010548</v>
      </c>
      <c r="C604" s="2" t="str">
        <f ca="1"/>
        <v>0972010548</v>
      </c>
      <c r="D604" s="2">
        <f ca="1">IFERROR(__xludf.DUMMYFUNCTION("""COMPUTED_VALUE"""),107052434252)</f>
        <v>107052434252</v>
      </c>
      <c r="E604" s="2">
        <f ca="1">IFERROR(__xludf.DUMMYFUNCTION("""COMPUTED_VALUE"""),349373019)</f>
        <v>349373019</v>
      </c>
      <c r="F604" s="2" t="str">
        <f ca="1"/>
        <v>0349373019</v>
      </c>
      <c r="G604" s="2" t="str">
        <f ca="1">IFERROR(__xludf.DUMMYFUNCTION("""COMPUTED_VALUE"""),"105773918070")</f>
        <v>105773918070</v>
      </c>
      <c r="I604" s="2" t="str">
        <f ca="1">IFERROR(__xludf.DUMMYFUNCTION("""COMPUTED_VALUE"""),"Kiều Phương Uyên")</f>
        <v>Kiều Phương Uyên</v>
      </c>
      <c r="J604" s="3" t="str">
        <f ca="1">IFERROR(__xludf.DUMMYFUNCTION("""COMPUTED_VALUE"""),"0865766182")</f>
        <v>0865766182</v>
      </c>
      <c r="K604" s="2" t="str">
        <f ca="1">IFERROR(__xludf.DUMMYFUNCTION("""COMPUTED_VALUE"""),"1742574162409")</f>
        <v>1742574162409</v>
      </c>
    </row>
    <row r="605" spans="1:11" ht="12.45">
      <c r="A605" s="2" t="str">
        <f ca="1">IFERROR(__xludf.DUMMYFUNCTION("""COMPUTED_VALUE"""),"1742574244426")</f>
        <v>1742574244426</v>
      </c>
      <c r="B605" s="2">
        <f ca="1">IFERROR(__xludf.DUMMYFUNCTION("""COMPUTED_VALUE"""),767625063)</f>
        <v>767625063</v>
      </c>
      <c r="C605" s="2" t="str">
        <f ca="1"/>
        <v>0767625063</v>
      </c>
      <c r="D605" s="2">
        <f ca="1">IFERROR(__xludf.DUMMYFUNCTION("""COMPUTED_VALUE"""),107052435328)</f>
        <v>107052435328</v>
      </c>
      <c r="E605" s="2">
        <f ca="1">IFERROR(__xludf.DUMMYFUNCTION("""COMPUTED_VALUE"""),357428928)</f>
        <v>357428928</v>
      </c>
      <c r="F605" s="2" t="str">
        <f ca="1"/>
        <v>0357428928</v>
      </c>
      <c r="G605" s="2" t="str">
        <f ca="1">IFERROR(__xludf.DUMMYFUNCTION("""COMPUTED_VALUE"""),"105773918196")</f>
        <v>105773918196</v>
      </c>
      <c r="I605" s="2" t="str">
        <f ca="1">IFERROR(__xludf.DUMMYFUNCTION("""COMPUTED_VALUE"""),"NGUYỄN THỊ HỒNG NHUNG")</f>
        <v>NGUYỄN THỊ HỒNG NHUNG</v>
      </c>
      <c r="J605" s="3" t="str">
        <f ca="1">IFERROR(__xludf.DUMMYFUNCTION("""COMPUTED_VALUE"""),"0377080975")</f>
        <v>0377080975</v>
      </c>
      <c r="K605" s="2" t="str">
        <f ca="1">IFERROR(__xludf.DUMMYFUNCTION("""COMPUTED_VALUE"""),"1742574244426")</f>
        <v>1742574244426</v>
      </c>
    </row>
    <row r="606" spans="1:11" ht="12.45">
      <c r="A606" s="2" t="str">
        <f ca="1">IFERROR(__xludf.DUMMYFUNCTION("""COMPUTED_VALUE"""),"1742574301328")</f>
        <v>1742574301328</v>
      </c>
      <c r="B606" s="2">
        <f ca="1">IFERROR(__xludf.DUMMYFUNCTION("""COMPUTED_VALUE"""),904212422)</f>
        <v>904212422</v>
      </c>
      <c r="C606" s="2" t="str">
        <f ca="1"/>
        <v>0904212422</v>
      </c>
      <c r="D606" s="2">
        <f ca="1">IFERROR(__xludf.DUMMYFUNCTION("""COMPUTED_VALUE"""),107052435456)</f>
        <v>107052435456</v>
      </c>
      <c r="E606" s="2">
        <f ca="1">IFERROR(__xludf.DUMMYFUNCTION("""COMPUTED_VALUE"""),798023870)</f>
        <v>798023870</v>
      </c>
      <c r="F606" s="2" t="str">
        <f ca="1"/>
        <v>0798023870</v>
      </c>
      <c r="G606" s="2" t="str">
        <f ca="1">IFERROR(__xludf.DUMMYFUNCTION("""COMPUTED_VALUE"""),"105773918274")</f>
        <v>105773918274</v>
      </c>
      <c r="I606" s="2" t="str">
        <f ca="1">IFERROR(__xludf.DUMMYFUNCTION("""COMPUTED_VALUE"""),"Nguyễn Ngọc Bảo Trâm")</f>
        <v>Nguyễn Ngọc Bảo Trâm</v>
      </c>
      <c r="J606" s="3" t="str">
        <f ca="1">IFERROR(__xludf.DUMMYFUNCTION("""COMPUTED_VALUE"""),"0329623455")</f>
        <v>0329623455</v>
      </c>
      <c r="K606" s="2" t="str">
        <f ca="1">IFERROR(__xludf.DUMMYFUNCTION("""COMPUTED_VALUE"""),"1742574301328")</f>
        <v>1742574301328</v>
      </c>
    </row>
    <row r="607" spans="1:11" ht="12.45">
      <c r="A607" s="2" t="str">
        <f ca="1">IFERROR(__xludf.DUMMYFUNCTION("""COMPUTED_VALUE"""),"1742574360055")</f>
        <v>1742574360055</v>
      </c>
      <c r="B607" s="2">
        <f ca="1">IFERROR(__xludf.DUMMYFUNCTION("""COMPUTED_VALUE"""),904287500)</f>
        <v>904287500</v>
      </c>
      <c r="C607" s="2" t="str">
        <f ca="1"/>
        <v>0904287500</v>
      </c>
      <c r="D607" s="2">
        <f ca="1">IFERROR(__xludf.DUMMYFUNCTION("""COMPUTED_VALUE"""),107052435533)</f>
        <v>107052435533</v>
      </c>
      <c r="E607" s="2">
        <f ca="1">IFERROR(__xludf.DUMMYFUNCTION("""COMPUTED_VALUE"""),388754851)</f>
        <v>388754851</v>
      </c>
      <c r="F607" s="2" t="str">
        <f ca="1"/>
        <v>0388754851</v>
      </c>
      <c r="G607" s="2" t="str">
        <f ca="1">IFERROR(__xludf.DUMMYFUNCTION("""COMPUTED_VALUE"""),"105773918366")</f>
        <v>105773918366</v>
      </c>
      <c r="I607" s="2" t="str">
        <f ca="1">IFERROR(__xludf.DUMMYFUNCTION("""COMPUTED_VALUE"""),"Nguyễn Hà Vy")</f>
        <v>Nguyễn Hà Vy</v>
      </c>
      <c r="J607" s="3" t="str">
        <f ca="1">IFERROR(__xludf.DUMMYFUNCTION("""COMPUTED_VALUE"""),"0904488333")</f>
        <v>0904488333</v>
      </c>
      <c r="K607" s="2" t="str">
        <f ca="1">IFERROR(__xludf.DUMMYFUNCTION("""COMPUTED_VALUE"""),"1742574360055")</f>
        <v>1742574360055</v>
      </c>
    </row>
    <row r="608" spans="1:11" ht="12.45">
      <c r="A608" s="2" t="str">
        <f ca="1">IFERROR(__xludf.DUMMYFUNCTION("""COMPUTED_VALUE"""),"1742574416819")</f>
        <v>1742574416819</v>
      </c>
      <c r="B608" s="2">
        <f ca="1">IFERROR(__xludf.DUMMYFUNCTION("""COMPUTED_VALUE"""),389619032)</f>
        <v>389619032</v>
      </c>
      <c r="C608" s="2" t="str">
        <f ca="1"/>
        <v>0389619032</v>
      </c>
      <c r="D608" s="2">
        <f ca="1">IFERROR(__xludf.DUMMYFUNCTION("""COMPUTED_VALUE"""),107408269930)</f>
        <v>107408269930</v>
      </c>
      <c r="E608" s="2">
        <f ca="1">IFERROR(__xludf.DUMMYFUNCTION("""COMPUTED_VALUE"""),328429456)</f>
        <v>328429456</v>
      </c>
      <c r="F608" s="2" t="str">
        <f ca="1"/>
        <v>0328429456</v>
      </c>
      <c r="G608" s="2" t="str">
        <f ca="1">IFERROR(__xludf.DUMMYFUNCTION("""COMPUTED_VALUE"""),"105773918436")</f>
        <v>105773918436</v>
      </c>
      <c r="I608" s="2" t="str">
        <f ca="1">IFERROR(__xludf.DUMMYFUNCTION("""COMPUTED_VALUE"""),"Quản Thị Trang")</f>
        <v>Quản Thị Trang</v>
      </c>
      <c r="J608" s="3" t="str">
        <f ca="1">IFERROR(__xludf.DUMMYFUNCTION("""COMPUTED_VALUE"""),"0585192161")</f>
        <v>0585192161</v>
      </c>
      <c r="K608" s="2" t="str">
        <f ca="1">IFERROR(__xludf.DUMMYFUNCTION("""COMPUTED_VALUE"""),"1742574416819")</f>
        <v>1742574416819</v>
      </c>
    </row>
    <row r="609" spans="1:11" ht="12.45">
      <c r="A609" s="2" t="str">
        <f ca="1">IFERROR(__xludf.DUMMYFUNCTION("""COMPUTED_VALUE"""),"1742574473913")</f>
        <v>1742574473913</v>
      </c>
      <c r="B609" s="2">
        <f ca="1">IFERROR(__xludf.DUMMYFUNCTION("""COMPUTED_VALUE"""),812008827)</f>
        <v>812008827</v>
      </c>
      <c r="C609" s="2" t="str">
        <f ca="1"/>
        <v>0812008827</v>
      </c>
      <c r="D609" s="2">
        <f ca="1">IFERROR(__xludf.DUMMYFUNCTION("""COMPUTED_VALUE"""),107408270044)</f>
        <v>107408270044</v>
      </c>
      <c r="E609" s="2">
        <f ca="1">IFERROR(__xludf.DUMMYFUNCTION("""COMPUTED_VALUE"""),368661013)</f>
        <v>368661013</v>
      </c>
      <c r="F609" s="2" t="str">
        <f ca="1"/>
        <v>0368661013</v>
      </c>
      <c r="G609" s="2" t="str">
        <f ca="1">IFERROR(__xludf.DUMMYFUNCTION("""COMPUTED_VALUE"""),"105773918670")</f>
        <v>105773918670</v>
      </c>
      <c r="I609" s="2" t="str">
        <f ca="1">IFERROR(__xludf.DUMMYFUNCTION("""COMPUTED_VALUE"""),"Đỗ Phương Anh")</f>
        <v>Đỗ Phương Anh</v>
      </c>
      <c r="J609" s="3" t="str">
        <f ca="1">IFERROR(__xludf.DUMMYFUNCTION("""COMPUTED_VALUE"""),"0865037822")</f>
        <v>0865037822</v>
      </c>
      <c r="K609" s="2" t="str">
        <f ca="1">IFERROR(__xludf.DUMMYFUNCTION("""COMPUTED_VALUE"""),"1742574473913")</f>
        <v>1742574473913</v>
      </c>
    </row>
    <row r="610" spans="1:11" ht="12.45">
      <c r="A610" s="2" t="str">
        <f ca="1">IFERROR(__xludf.DUMMYFUNCTION("""COMPUTED_VALUE"""),"Không giao sách")</f>
        <v>Không giao sách</v>
      </c>
      <c r="B610" s="2">
        <f ca="1">IFERROR(__xludf.DUMMYFUNCTION("""COMPUTED_VALUE"""),889221227)</f>
        <v>889221227</v>
      </c>
      <c r="C610" s="2" t="str">
        <f ca="1"/>
        <v>0889221227</v>
      </c>
      <c r="D610" s="2">
        <f ca="1">IFERROR(__xludf.DUMMYFUNCTION("""COMPUTED_VALUE"""),107408270180)</f>
        <v>107408270180</v>
      </c>
      <c r="E610" s="2">
        <f ca="1">IFERROR(__xludf.DUMMYFUNCTION("""COMPUTED_VALUE"""),325423212)</f>
        <v>325423212</v>
      </c>
      <c r="F610" s="2" t="str">
        <f ca="1"/>
        <v>0325423212</v>
      </c>
      <c r="G610" s="2" t="str">
        <f ca="1">IFERROR(__xludf.DUMMYFUNCTION("""COMPUTED_VALUE"""),"105773918783")</f>
        <v>105773918783</v>
      </c>
      <c r="I610" s="2" t="str">
        <f ca="1">IFERROR(__xludf.DUMMYFUNCTION("""COMPUTED_VALUE"""),"Trương Bảo Ngọc ")</f>
        <v xml:space="preserve">Trương Bảo Ngọc </v>
      </c>
      <c r="J610" s="3" t="str">
        <f ca="1">IFERROR(__xludf.DUMMYFUNCTION("""COMPUTED_VALUE"""),"0866995190")</f>
        <v>0866995190</v>
      </c>
      <c r="K610" s="2" t="str">
        <f ca="1">IFERROR(__xludf.DUMMYFUNCTION("""COMPUTED_VALUE"""),"Không giao sách")</f>
        <v>Không giao sách</v>
      </c>
    </row>
    <row r="611" spans="1:11" ht="12.45">
      <c r="A611" s="2" t="str">
        <f ca="1">IFERROR(__xludf.DUMMYFUNCTION("""COMPUTED_VALUE"""),"1742574557152")</f>
        <v>1742574557152</v>
      </c>
      <c r="B611" s="2">
        <f ca="1">IFERROR(__xludf.DUMMYFUNCTION("""COMPUTED_VALUE"""),912505333)</f>
        <v>912505333</v>
      </c>
      <c r="C611" s="2" t="str">
        <f ca="1"/>
        <v>0912505333</v>
      </c>
      <c r="D611" s="2">
        <f ca="1">IFERROR(__xludf.DUMMYFUNCTION("""COMPUTED_VALUE"""),107408270238)</f>
        <v>107408270238</v>
      </c>
      <c r="E611" s="2">
        <f ca="1">IFERROR(__xludf.DUMMYFUNCTION("""COMPUTED_VALUE"""),343164428)</f>
        <v>343164428</v>
      </c>
      <c r="F611" s="2" t="str">
        <f ca="1"/>
        <v>0343164428</v>
      </c>
      <c r="G611" s="2" t="str">
        <f ca="1">IFERROR(__xludf.DUMMYFUNCTION("""COMPUTED_VALUE"""),"105773926153")</f>
        <v>105773926153</v>
      </c>
      <c r="I611" s="2" t="str">
        <f ca="1">IFERROR(__xludf.DUMMYFUNCTION("""COMPUTED_VALUE"""),"Nguyễn Lê Phương Nhi")</f>
        <v>Nguyễn Lê Phương Nhi</v>
      </c>
      <c r="J611" s="3" t="str">
        <f ca="1">IFERROR(__xludf.DUMMYFUNCTION("""COMPUTED_VALUE"""),"0968929551")</f>
        <v>0968929551</v>
      </c>
      <c r="K611" s="2" t="str">
        <f ca="1">IFERROR(__xludf.DUMMYFUNCTION("""COMPUTED_VALUE"""),"1742574557152")</f>
        <v>1742574557152</v>
      </c>
    </row>
    <row r="612" spans="1:11" ht="12.45">
      <c r="A612" s="2" t="str">
        <f ca="1">IFERROR(__xludf.DUMMYFUNCTION("""COMPUTED_VALUE"""),"1742574606612")</f>
        <v>1742574606612</v>
      </c>
      <c r="B612" s="2">
        <f ca="1">IFERROR(__xludf.DUMMYFUNCTION("""COMPUTED_VALUE"""),943757895)</f>
        <v>943757895</v>
      </c>
      <c r="C612" s="2" t="str">
        <f ca="1"/>
        <v>0943757895</v>
      </c>
      <c r="D612" s="2">
        <f ca="1">IFERROR(__xludf.DUMMYFUNCTION("""COMPUTED_VALUE"""),107408270348)</f>
        <v>107408270348</v>
      </c>
      <c r="E612" s="2">
        <f ca="1">IFERROR(__xludf.DUMMYFUNCTION("""COMPUTED_VALUE"""),799708364)</f>
        <v>799708364</v>
      </c>
      <c r="F612" s="2" t="str">
        <f ca="1"/>
        <v>0799708364</v>
      </c>
      <c r="G612" s="2" t="str">
        <f ca="1">IFERROR(__xludf.DUMMYFUNCTION("""COMPUTED_VALUE"""),"105773919093")</f>
        <v>105773919093</v>
      </c>
      <c r="I612" s="2" t="str">
        <f ca="1">IFERROR(__xludf.DUMMYFUNCTION("""COMPUTED_VALUE"""),"Lê Hồng Ngọc Huyền ")</f>
        <v xml:space="preserve">Lê Hồng Ngọc Huyền </v>
      </c>
      <c r="J612" s="3" t="str">
        <f ca="1">IFERROR(__xludf.DUMMYFUNCTION("""COMPUTED_VALUE"""),"0395627467")</f>
        <v>0395627467</v>
      </c>
      <c r="K612" s="2" t="str">
        <f ca="1">IFERROR(__xludf.DUMMYFUNCTION("""COMPUTED_VALUE"""),"1742574606612")</f>
        <v>1742574606612</v>
      </c>
    </row>
    <row r="613" spans="1:11" ht="12.45">
      <c r="A613" s="2" t="str">
        <f ca="1">IFERROR(__xludf.DUMMYFUNCTION("""COMPUTED_VALUE"""),"1742574657124")</f>
        <v>1742574657124</v>
      </c>
      <c r="B613" s="2">
        <f ca="1">IFERROR(__xludf.DUMMYFUNCTION("""COMPUTED_VALUE"""),818879721)</f>
        <v>818879721</v>
      </c>
      <c r="C613" s="2" t="str">
        <f ca="1"/>
        <v>0818879721</v>
      </c>
      <c r="D613" s="2"/>
      <c r="E613" s="2">
        <f ca="1">IFERROR(__xludf.DUMMYFUNCTION("""COMPUTED_VALUE"""),869569116)</f>
        <v>869569116</v>
      </c>
      <c r="F613" s="2" t="str">
        <f ca="1"/>
        <v>0869569116</v>
      </c>
      <c r="G613" s="2" t="str">
        <f ca="1">IFERROR(__xludf.DUMMYFUNCTION("""COMPUTED_VALUE"""),"105773919216")</f>
        <v>105773919216</v>
      </c>
      <c r="I613" s="2" t="str">
        <f ca="1">IFERROR(__xludf.DUMMYFUNCTION("""COMPUTED_VALUE"""),"Hoàng Minh Đạt ")</f>
        <v xml:space="preserve">Hoàng Minh Đạt </v>
      </c>
      <c r="J613" s="3" t="str">
        <f ca="1">IFERROR(__xludf.DUMMYFUNCTION("""COMPUTED_VALUE"""),"0382734669")</f>
        <v>0382734669</v>
      </c>
      <c r="K613" s="2" t="str">
        <f ca="1">IFERROR(__xludf.DUMMYFUNCTION("""COMPUTED_VALUE"""),"1742574657124")</f>
        <v>1742574657124</v>
      </c>
    </row>
    <row r="614" spans="1:11" ht="12.45">
      <c r="A614" s="2" t="str">
        <f ca="1">IFERROR(__xludf.DUMMYFUNCTION("""COMPUTED_VALUE"""),"1742574696986")</f>
        <v>1742574696986</v>
      </c>
      <c r="B614" s="2"/>
      <c r="C614" s="2" t="str">
        <v>0</v>
      </c>
      <c r="D614" s="2"/>
      <c r="E614" s="2">
        <f ca="1">IFERROR(__xludf.DUMMYFUNCTION("""COMPUTED_VALUE"""),325456177)</f>
        <v>325456177</v>
      </c>
      <c r="F614" s="2" t="str">
        <f ca="1"/>
        <v>0325456177</v>
      </c>
      <c r="G614" s="2" t="str">
        <f ca="1">IFERROR(__xludf.DUMMYFUNCTION("""COMPUTED_VALUE"""),"105773919366")</f>
        <v>105773919366</v>
      </c>
      <c r="I614" s="2" t="str">
        <f ca="1">IFERROR(__xludf.DUMMYFUNCTION("""COMPUTED_VALUE"""),"Nguyễn Thùy Linh")</f>
        <v>Nguyễn Thùy Linh</v>
      </c>
      <c r="J614" s="3" t="str">
        <f ca="1">IFERROR(__xludf.DUMMYFUNCTION("""COMPUTED_VALUE"""),"0363357146")</f>
        <v>0363357146</v>
      </c>
      <c r="K614" s="2" t="str">
        <f ca="1">IFERROR(__xludf.DUMMYFUNCTION("""COMPUTED_VALUE"""),"1742574696986")</f>
        <v>1742574696986</v>
      </c>
    </row>
    <row r="615" spans="1:11" ht="12.45">
      <c r="A615" s="2" t="str">
        <f ca="1">IFERROR(__xludf.DUMMYFUNCTION("""COMPUTED_VALUE"""),"1742574752621")</f>
        <v>1742574752621</v>
      </c>
      <c r="B615" s="2"/>
      <c r="C615" s="2" t="str">
        <v>0</v>
      </c>
      <c r="D615" s="2"/>
      <c r="E615" s="2">
        <f ca="1">IFERROR(__xludf.DUMMYFUNCTION("""COMPUTED_VALUE"""),849234584)</f>
        <v>849234584</v>
      </c>
      <c r="F615" s="2" t="str">
        <f ca="1"/>
        <v>0849234584</v>
      </c>
      <c r="G615" s="2" t="str">
        <f ca="1">IFERROR(__xludf.DUMMYFUNCTION("""COMPUTED_VALUE"""),"105773919471")</f>
        <v>105773919471</v>
      </c>
      <c r="I615" s="2" t="str">
        <f ca="1">IFERROR(__xludf.DUMMYFUNCTION("""COMPUTED_VALUE"""),"Phạm Thu Trang")</f>
        <v>Phạm Thu Trang</v>
      </c>
      <c r="J615" s="3" t="str">
        <f ca="1">IFERROR(__xludf.DUMMYFUNCTION("""COMPUTED_VALUE"""),"0335135074")</f>
        <v>0335135074</v>
      </c>
      <c r="K615" s="2" t="str">
        <f ca="1">IFERROR(__xludf.DUMMYFUNCTION("""COMPUTED_VALUE"""),"1742574752621")</f>
        <v>1742574752621</v>
      </c>
    </row>
    <row r="616" spans="1:11" ht="12.45">
      <c r="A616" s="2" t="str">
        <f ca="1">IFERROR(__xludf.DUMMYFUNCTION("""COMPUTED_VALUE"""),"1742574814093")</f>
        <v>1742574814093</v>
      </c>
      <c r="B616" s="2"/>
      <c r="C616" s="2" t="str">
        <v>0</v>
      </c>
      <c r="D616" s="2"/>
      <c r="E616" s="2">
        <f ca="1">IFERROR(__xludf.DUMMYFUNCTION("""COMPUTED_VALUE"""),387540687)</f>
        <v>387540687</v>
      </c>
      <c r="F616" s="2" t="str">
        <f ca="1"/>
        <v>0387540687</v>
      </c>
      <c r="G616" s="2" t="str">
        <f ca="1">IFERROR(__xludf.DUMMYFUNCTION("""COMPUTED_VALUE"""),"105773919598")</f>
        <v>105773919598</v>
      </c>
      <c r="I616" s="2" t="str">
        <f ca="1">IFERROR(__xludf.DUMMYFUNCTION("""COMPUTED_VALUE"""),"Hoàng Thị Thanh Nhàn")</f>
        <v>Hoàng Thị Thanh Nhàn</v>
      </c>
      <c r="J616" s="3" t="str">
        <f ca="1">IFERROR(__xludf.DUMMYFUNCTION("""COMPUTED_VALUE"""),"0972551275")</f>
        <v>0972551275</v>
      </c>
      <c r="K616" s="2" t="str">
        <f ca="1">IFERROR(__xludf.DUMMYFUNCTION("""COMPUTED_VALUE"""),"1742574814093")</f>
        <v>1742574814093</v>
      </c>
    </row>
    <row r="617" spans="1:11" ht="12.45">
      <c r="A617" s="2" t="str">
        <f ca="1">IFERROR(__xludf.DUMMYFUNCTION("""COMPUTED_VALUE"""),"1742574885448")</f>
        <v>1742574885448</v>
      </c>
      <c r="B617" s="2"/>
      <c r="C617" s="2" t="str">
        <v>0</v>
      </c>
      <c r="D617" s="2"/>
      <c r="E617" s="2">
        <f ca="1">IFERROR(__xludf.DUMMYFUNCTION("""COMPUTED_VALUE"""),327707867)</f>
        <v>327707867</v>
      </c>
      <c r="F617" s="2" t="str">
        <f ca="1"/>
        <v>0327707867</v>
      </c>
      <c r="G617" s="2" t="str">
        <f ca="1">IFERROR(__xludf.DUMMYFUNCTION("""COMPUTED_VALUE"""),"105773919634")</f>
        <v>105773919634</v>
      </c>
      <c r="I617" s="2" t="str">
        <f ca="1">IFERROR(__xludf.DUMMYFUNCTION("""COMPUTED_VALUE"""),"Hoàng Thị Minh Thư ")</f>
        <v xml:space="preserve">Hoàng Thị Minh Thư </v>
      </c>
      <c r="J617" s="3" t="str">
        <f ca="1">IFERROR(__xludf.DUMMYFUNCTION("""COMPUTED_VALUE"""),"0373950599")</f>
        <v>0373950599</v>
      </c>
      <c r="K617" s="2" t="str">
        <f ca="1">IFERROR(__xludf.DUMMYFUNCTION("""COMPUTED_VALUE"""),"1742574885448")</f>
        <v>1742574885448</v>
      </c>
    </row>
    <row r="618" spans="1:11" ht="12.45">
      <c r="A618" s="2" t="str">
        <f ca="1">IFERROR(__xludf.DUMMYFUNCTION("""COMPUTED_VALUE"""),"1742574938357")</f>
        <v>1742574938357</v>
      </c>
      <c r="B618" s="2"/>
      <c r="C618" s="2" t="str">
        <v>0</v>
      </c>
      <c r="D618" s="2"/>
      <c r="E618" s="2">
        <f ca="1">IFERROR(__xludf.DUMMYFUNCTION("""COMPUTED_VALUE"""),383548403)</f>
        <v>383548403</v>
      </c>
      <c r="F618" s="2" t="str">
        <f ca="1"/>
        <v>0383548403</v>
      </c>
      <c r="G618" s="2" t="str">
        <f ca="1">IFERROR(__xludf.DUMMYFUNCTION("""COMPUTED_VALUE"""),"105773919893")</f>
        <v>105773919893</v>
      </c>
      <c r="I618" s="2" t="str">
        <f ca="1">IFERROR(__xludf.DUMMYFUNCTION("""COMPUTED_VALUE"""),"Nguyễn Thuỳ Linh")</f>
        <v>Nguyễn Thuỳ Linh</v>
      </c>
      <c r="J618" s="3" t="str">
        <f ca="1">IFERROR(__xludf.DUMMYFUNCTION("""COMPUTED_VALUE"""),"0983076932")</f>
        <v>0983076932</v>
      </c>
      <c r="K618" s="2" t="str">
        <f ca="1">IFERROR(__xludf.DUMMYFUNCTION("""COMPUTED_VALUE"""),"1742574938357")</f>
        <v>1742574938357</v>
      </c>
    </row>
    <row r="619" spans="1:11" ht="12.45">
      <c r="A619" s="2" t="str">
        <f ca="1">IFERROR(__xludf.DUMMYFUNCTION("""COMPUTED_VALUE"""),"1742574994537")</f>
        <v>1742574994537</v>
      </c>
      <c r="B619" s="2"/>
      <c r="C619" s="2" t="str">
        <v>0</v>
      </c>
      <c r="D619" s="2"/>
      <c r="E619" s="2">
        <f ca="1">IFERROR(__xludf.DUMMYFUNCTION("""COMPUTED_VALUE"""),815121927)</f>
        <v>815121927</v>
      </c>
      <c r="F619" s="2" t="str">
        <f ca="1"/>
        <v>0815121927</v>
      </c>
      <c r="G619" s="2" t="str">
        <f ca="1">IFERROR(__xludf.DUMMYFUNCTION("""COMPUTED_VALUE"""),"105773919939")</f>
        <v>105773919939</v>
      </c>
      <c r="I619" s="2" t="str">
        <f ca="1">IFERROR(__xludf.DUMMYFUNCTION("""COMPUTED_VALUE"""),"Nguyễn Chí Nhân")</f>
        <v>Nguyễn Chí Nhân</v>
      </c>
      <c r="J619" s="3" t="str">
        <f ca="1">IFERROR(__xludf.DUMMYFUNCTION("""COMPUTED_VALUE"""),"0963754418")</f>
        <v>0963754418</v>
      </c>
      <c r="K619" s="2" t="str">
        <f ca="1">IFERROR(__xludf.DUMMYFUNCTION("""COMPUTED_VALUE"""),"1742574994537")</f>
        <v>1742574994537</v>
      </c>
    </row>
    <row r="620" spans="1:11" ht="12.45">
      <c r="A620" s="2" t="str">
        <f ca="1">IFERROR(__xludf.DUMMYFUNCTION("""COMPUTED_VALUE"""),"1742575052183")</f>
        <v>1742575052183</v>
      </c>
      <c r="B620" s="2"/>
      <c r="C620" s="2" t="str">
        <v>0</v>
      </c>
      <c r="D620" s="2"/>
      <c r="E620" s="2">
        <f ca="1">IFERROR(__xludf.DUMMYFUNCTION("""COMPUTED_VALUE"""),825005050)</f>
        <v>825005050</v>
      </c>
      <c r="F620" s="2" t="str">
        <f ca="1"/>
        <v>0825005050</v>
      </c>
      <c r="G620" s="2" t="str">
        <f ca="1">IFERROR(__xludf.DUMMYFUNCTION("""COMPUTED_VALUE"""),"105773920052")</f>
        <v>105773920052</v>
      </c>
      <c r="I620" s="2" t="str">
        <f ca="1">IFERROR(__xludf.DUMMYFUNCTION("""COMPUTED_VALUE"""),"Bùi Phương Anh")</f>
        <v>Bùi Phương Anh</v>
      </c>
      <c r="J620" s="3" t="str">
        <f ca="1">IFERROR(__xludf.DUMMYFUNCTION("""COMPUTED_VALUE"""),"0867781202")</f>
        <v>0867781202</v>
      </c>
      <c r="K620" s="2" t="str">
        <f ca="1">IFERROR(__xludf.DUMMYFUNCTION("""COMPUTED_VALUE"""),"1742575052183")</f>
        <v>1742575052183</v>
      </c>
    </row>
    <row r="621" spans="1:11" ht="12.45">
      <c r="A621" s="2" t="str">
        <f ca="1">IFERROR(__xludf.DUMMYFUNCTION("""COMPUTED_VALUE"""),"1742575103955")</f>
        <v>1742575103955</v>
      </c>
      <c r="B621" s="2"/>
      <c r="C621" s="2" t="str">
        <v>0</v>
      </c>
      <c r="D621" s="2"/>
      <c r="E621" s="2">
        <f ca="1">IFERROR(__xludf.DUMMYFUNCTION("""COMPUTED_VALUE"""),934394849)</f>
        <v>934394849</v>
      </c>
      <c r="F621" s="2" t="str">
        <f ca="1"/>
        <v>0934394849</v>
      </c>
      <c r="G621" s="2" t="str">
        <f ca="1">IFERROR(__xludf.DUMMYFUNCTION("""COMPUTED_VALUE"""),"105773920146")</f>
        <v>105773920146</v>
      </c>
      <c r="I621" s="2" t="str">
        <f ca="1">IFERROR(__xludf.DUMMYFUNCTION("""COMPUTED_VALUE"""),"Nguyễn Trần Bảo Trâm")</f>
        <v>Nguyễn Trần Bảo Trâm</v>
      </c>
      <c r="J621" s="3" t="str">
        <f ca="1">IFERROR(__xludf.DUMMYFUNCTION("""COMPUTED_VALUE"""),"0877099036")</f>
        <v>0877099036</v>
      </c>
      <c r="K621" s="2" t="str">
        <f ca="1">IFERROR(__xludf.DUMMYFUNCTION("""COMPUTED_VALUE"""),"1742575103955")</f>
        <v>1742575103955</v>
      </c>
    </row>
    <row r="622" spans="1:11" ht="12.45">
      <c r="A622" s="2" t="str">
        <f ca="1">IFERROR(__xludf.DUMMYFUNCTION("""COMPUTED_VALUE"""),"1742575185977")</f>
        <v>1742575185977</v>
      </c>
      <c r="B622" s="2"/>
      <c r="C622" s="2" t="str">
        <v>0</v>
      </c>
      <c r="D622" s="2"/>
      <c r="E622" s="2">
        <f ca="1">IFERROR(__xludf.DUMMYFUNCTION("""COMPUTED_VALUE"""),367758524)</f>
        <v>367758524</v>
      </c>
      <c r="F622" s="2" t="str">
        <f ca="1"/>
        <v>0367758524</v>
      </c>
      <c r="G622" s="2" t="str">
        <f ca="1">IFERROR(__xludf.DUMMYFUNCTION("""COMPUTED_VALUE"""),"105773920370")</f>
        <v>105773920370</v>
      </c>
      <c r="I622" s="2" t="str">
        <f ca="1">IFERROR(__xludf.DUMMYFUNCTION("""COMPUTED_VALUE"""),"Trần Mỹ Ngọc ")</f>
        <v xml:space="preserve">Trần Mỹ Ngọc </v>
      </c>
      <c r="J622" s="3" t="str">
        <f ca="1">IFERROR(__xludf.DUMMYFUNCTION("""COMPUTED_VALUE"""),"0364083495")</f>
        <v>0364083495</v>
      </c>
      <c r="K622" s="2" t="str">
        <f ca="1">IFERROR(__xludf.DUMMYFUNCTION("""COMPUTED_VALUE"""),"1742575185977")</f>
        <v>1742575185977</v>
      </c>
    </row>
    <row r="623" spans="1:11" ht="12.45">
      <c r="A623" s="2" t="str">
        <f ca="1">IFERROR(__xludf.DUMMYFUNCTION("""COMPUTED_VALUE"""),"1742575236612")</f>
        <v>1742575236612</v>
      </c>
      <c r="B623" s="2"/>
      <c r="C623" s="2" t="str">
        <v>0</v>
      </c>
      <c r="D623" s="2"/>
      <c r="E623" s="2">
        <f ca="1">IFERROR(__xludf.DUMMYFUNCTION("""COMPUTED_VALUE"""),866276977)</f>
        <v>866276977</v>
      </c>
      <c r="F623" s="2" t="str">
        <f ca="1"/>
        <v>0866276977</v>
      </c>
      <c r="G623" s="2" t="str">
        <f ca="1">IFERROR(__xludf.DUMMYFUNCTION("""COMPUTED_VALUE"""),"105773920419")</f>
        <v>105773920419</v>
      </c>
      <c r="I623" s="2" t="str">
        <f ca="1">IFERROR(__xludf.DUMMYFUNCTION("""COMPUTED_VALUE"""),"Lý Hoàng Anh Thư ")</f>
        <v xml:space="preserve">Lý Hoàng Anh Thư </v>
      </c>
      <c r="J623" s="3" t="str">
        <f ca="1">IFERROR(__xludf.DUMMYFUNCTION("""COMPUTED_VALUE"""),"0349146987")</f>
        <v>0349146987</v>
      </c>
      <c r="K623" s="2" t="str">
        <f ca="1">IFERROR(__xludf.DUMMYFUNCTION("""COMPUTED_VALUE"""),"1742575236612")</f>
        <v>1742575236612</v>
      </c>
    </row>
    <row r="624" spans="1:11" ht="12.45">
      <c r="A624" s="2" t="str">
        <f ca="1">IFERROR(__xludf.DUMMYFUNCTION("""COMPUTED_VALUE"""),"1742575289421")</f>
        <v>1742575289421</v>
      </c>
      <c r="B624" s="2"/>
      <c r="C624" s="2" t="str">
        <v>0</v>
      </c>
      <c r="D624" s="2"/>
      <c r="E624" s="2">
        <f ca="1">IFERROR(__xludf.DUMMYFUNCTION("""COMPUTED_VALUE"""),973977914)</f>
        <v>973977914</v>
      </c>
      <c r="F624" s="2" t="str">
        <f ca="1"/>
        <v>0973977914</v>
      </c>
      <c r="G624" s="2" t="str">
        <f ca="1">IFERROR(__xludf.DUMMYFUNCTION("""COMPUTED_VALUE"""),"105773920594")</f>
        <v>105773920594</v>
      </c>
      <c r="I624" s="2" t="str">
        <f ca="1">IFERROR(__xludf.DUMMYFUNCTION("""COMPUTED_VALUE"""),"Nguyễn Thảo Mai")</f>
        <v>Nguyễn Thảo Mai</v>
      </c>
      <c r="J624" s="3" t="str">
        <f ca="1">IFERROR(__xludf.DUMMYFUNCTION("""COMPUTED_VALUE"""),"0989817140")</f>
        <v>0989817140</v>
      </c>
      <c r="K624" s="2" t="str">
        <f ca="1">IFERROR(__xludf.DUMMYFUNCTION("""COMPUTED_VALUE"""),"1742575289421")</f>
        <v>1742575289421</v>
      </c>
    </row>
    <row r="625" spans="1:11" ht="12.45">
      <c r="A625" s="2" t="str">
        <f ca="1">IFERROR(__xludf.DUMMYFUNCTION("""COMPUTED_VALUE"""),"1742575345207")</f>
        <v>1742575345207</v>
      </c>
      <c r="B625" s="2"/>
      <c r="C625" s="2" t="str">
        <v>0</v>
      </c>
      <c r="D625" s="2"/>
      <c r="E625" s="2">
        <f ca="1">IFERROR(__xludf.DUMMYFUNCTION("""COMPUTED_VALUE"""),903106154)</f>
        <v>903106154</v>
      </c>
      <c r="F625" s="2" t="str">
        <f ca="1"/>
        <v>0903106154</v>
      </c>
      <c r="G625" s="2" t="str">
        <f ca="1">IFERROR(__xludf.DUMMYFUNCTION("""COMPUTED_VALUE"""),"105773920670")</f>
        <v>105773920670</v>
      </c>
      <c r="I625" s="2" t="str">
        <f ca="1">IFERROR(__xludf.DUMMYFUNCTION("""COMPUTED_VALUE"""),"Lê Thị Kiều Trang")</f>
        <v>Lê Thị Kiều Trang</v>
      </c>
      <c r="J625" s="3" t="str">
        <f ca="1">IFERROR(__xludf.DUMMYFUNCTION("""COMPUTED_VALUE"""),"0354197534")</f>
        <v>0354197534</v>
      </c>
      <c r="K625" s="2" t="str">
        <f ca="1">IFERROR(__xludf.DUMMYFUNCTION("""COMPUTED_VALUE"""),"1742575345207")</f>
        <v>1742575345207</v>
      </c>
    </row>
    <row r="626" spans="1:11" ht="12.45">
      <c r="A626" s="2" t="str">
        <f ca="1">IFERROR(__xludf.DUMMYFUNCTION("""COMPUTED_VALUE"""),"1742575388790")</f>
        <v>1742575388790</v>
      </c>
      <c r="B626" s="2"/>
      <c r="C626" s="2" t="str">
        <v>0</v>
      </c>
      <c r="D626" s="2"/>
      <c r="E626" s="2">
        <f ca="1">IFERROR(__xludf.DUMMYFUNCTION("""COMPUTED_VALUE"""),837526725)</f>
        <v>837526725</v>
      </c>
      <c r="F626" s="2" t="str">
        <f ca="1"/>
        <v>0837526725</v>
      </c>
      <c r="G626" s="2" t="str">
        <f ca="1">IFERROR(__xludf.DUMMYFUNCTION("""COMPUTED_VALUE"""),"105773920798")</f>
        <v>105773920798</v>
      </c>
      <c r="I626" s="2" t="str">
        <f ca="1">IFERROR(__xludf.DUMMYFUNCTION("""COMPUTED_VALUE"""),"Võ Ngọc Thúy Vi ")</f>
        <v xml:space="preserve">Võ Ngọc Thúy Vi </v>
      </c>
      <c r="J626" s="3" t="str">
        <f ca="1">IFERROR(__xludf.DUMMYFUNCTION("""COMPUTED_VALUE"""),"0819599819")</f>
        <v>0819599819</v>
      </c>
      <c r="K626" s="2" t="str">
        <f ca="1">IFERROR(__xludf.DUMMYFUNCTION("""COMPUTED_VALUE"""),"1742575388790")</f>
        <v>1742575388790</v>
      </c>
    </row>
    <row r="627" spans="1:11" ht="12.45">
      <c r="A627" s="2" t="str">
        <f ca="1">IFERROR(__xludf.DUMMYFUNCTION("""COMPUTED_VALUE"""),"1742575433500")</f>
        <v>1742575433500</v>
      </c>
      <c r="B627" s="2"/>
      <c r="C627" s="2" t="str">
        <v>0</v>
      </c>
      <c r="D627" s="2"/>
      <c r="E627" s="2">
        <f ca="1">IFERROR(__xludf.DUMMYFUNCTION("""COMPUTED_VALUE"""),564464646)</f>
        <v>564464646</v>
      </c>
      <c r="F627" s="2" t="str">
        <f ca="1"/>
        <v>0564464646</v>
      </c>
      <c r="G627" s="2" t="str">
        <f ca="1">IFERROR(__xludf.DUMMYFUNCTION("""COMPUTED_VALUE"""),"105773920813")</f>
        <v>105773920813</v>
      </c>
      <c r="I627" s="2" t="str">
        <f ca="1">IFERROR(__xludf.DUMMYFUNCTION("""COMPUTED_VALUE"""),"Đinh Thị Lan Anh")</f>
        <v>Đinh Thị Lan Anh</v>
      </c>
      <c r="J627" s="3" t="str">
        <f ca="1">IFERROR(__xludf.DUMMYFUNCTION("""COMPUTED_VALUE"""),"0981723064")</f>
        <v>0981723064</v>
      </c>
      <c r="K627" s="2" t="str">
        <f ca="1">IFERROR(__xludf.DUMMYFUNCTION("""COMPUTED_VALUE"""),"1742575433500")</f>
        <v>1742575433500</v>
      </c>
    </row>
    <row r="628" spans="1:11" ht="12.45">
      <c r="A628" s="2" t="str">
        <f ca="1">IFERROR(__xludf.DUMMYFUNCTION("""COMPUTED_VALUE"""),"1742575480771")</f>
        <v>1742575480771</v>
      </c>
      <c r="B628" s="2"/>
      <c r="C628" s="2" t="str">
        <v>0</v>
      </c>
      <c r="D628" s="2"/>
      <c r="E628" s="2">
        <f ca="1">IFERROR(__xludf.DUMMYFUNCTION("""COMPUTED_VALUE"""),938802149)</f>
        <v>938802149</v>
      </c>
      <c r="F628" s="2" t="str">
        <f ca="1"/>
        <v>0938802149</v>
      </c>
      <c r="G628" s="2" t="str">
        <f ca="1">IFERROR(__xludf.DUMMYFUNCTION("""COMPUTED_VALUE"""),"105773920987")</f>
        <v>105773920987</v>
      </c>
      <c r="I628" s="2" t="str">
        <f ca="1">IFERROR(__xludf.DUMMYFUNCTION("""COMPUTED_VALUE"""),"Trần Bảo Ngọc ")</f>
        <v xml:space="preserve">Trần Bảo Ngọc </v>
      </c>
      <c r="J628" s="3" t="str">
        <f ca="1">IFERROR(__xludf.DUMMYFUNCTION("""COMPUTED_VALUE"""),"0931979485")</f>
        <v>0931979485</v>
      </c>
      <c r="K628" s="2" t="str">
        <f ca="1">IFERROR(__xludf.DUMMYFUNCTION("""COMPUTED_VALUE"""),"1742575480771")</f>
        <v>1742575480771</v>
      </c>
    </row>
    <row r="629" spans="1:11" ht="12.45">
      <c r="A629" s="2" t="str">
        <f ca="1">IFERROR(__xludf.DUMMYFUNCTION("""COMPUTED_VALUE"""),"1742575525520")</f>
        <v>1742575525520</v>
      </c>
      <c r="B629" s="2"/>
      <c r="C629" s="2" t="str">
        <v>0</v>
      </c>
      <c r="D629" s="2"/>
      <c r="E629" s="2">
        <f ca="1">IFERROR(__xludf.DUMMYFUNCTION("""COMPUTED_VALUE"""),373795117)</f>
        <v>373795117</v>
      </c>
      <c r="F629" s="2" t="str">
        <f ca="1"/>
        <v>0373795117</v>
      </c>
      <c r="G629" s="2" t="str">
        <f ca="1">IFERROR(__xludf.DUMMYFUNCTION("""COMPUTED_VALUE"""),"105773921135")</f>
        <v>105773921135</v>
      </c>
      <c r="I629" s="2" t="str">
        <f ca="1">IFERROR(__xludf.DUMMYFUNCTION("""COMPUTED_VALUE"""),"Phạm Thị Hải Yến")</f>
        <v>Phạm Thị Hải Yến</v>
      </c>
      <c r="J629" s="3" t="str">
        <f ca="1">IFERROR(__xludf.DUMMYFUNCTION("""COMPUTED_VALUE"""),"0392056548")</f>
        <v>0392056548</v>
      </c>
      <c r="K629" s="2" t="str">
        <f ca="1">IFERROR(__xludf.DUMMYFUNCTION("""COMPUTED_VALUE"""),"1742575525520")</f>
        <v>1742575525520</v>
      </c>
    </row>
    <row r="630" spans="1:11" ht="12.45">
      <c r="A630" s="2" t="str">
        <f ca="1">IFERROR(__xludf.DUMMYFUNCTION("""COMPUTED_VALUE"""),"1742575569415")</f>
        <v>1742575569415</v>
      </c>
      <c r="B630" s="2"/>
      <c r="C630" s="2" t="str">
        <v>0</v>
      </c>
      <c r="D630" s="2"/>
      <c r="E630" s="2">
        <f ca="1">IFERROR(__xludf.DUMMYFUNCTION("""COMPUTED_VALUE"""),973919123)</f>
        <v>973919123</v>
      </c>
      <c r="F630" s="2" t="str">
        <f ca="1"/>
        <v>0973919123</v>
      </c>
      <c r="G630" s="2" t="str">
        <f ca="1">IFERROR(__xludf.DUMMYFUNCTION("""COMPUTED_VALUE"""),"105773921244")</f>
        <v>105773921244</v>
      </c>
      <c r="I630" s="2" t="str">
        <f ca="1">IFERROR(__xludf.DUMMYFUNCTION("""COMPUTED_VALUE"""),"Phùng Nhật Linh")</f>
        <v>Phùng Nhật Linh</v>
      </c>
      <c r="J630" s="3" t="str">
        <f ca="1">IFERROR(__xludf.DUMMYFUNCTION("""COMPUTED_VALUE"""),"0966339208")</f>
        <v>0966339208</v>
      </c>
      <c r="K630" s="2" t="str">
        <f ca="1">IFERROR(__xludf.DUMMYFUNCTION("""COMPUTED_VALUE"""),"1742575569415")</f>
        <v>1742575569415</v>
      </c>
    </row>
    <row r="631" spans="1:11" ht="12.45">
      <c r="A631" s="2" t="str">
        <f ca="1">IFERROR(__xludf.DUMMYFUNCTION("""COMPUTED_VALUE"""),"1742575618174")</f>
        <v>1742575618174</v>
      </c>
      <c r="B631" s="2"/>
      <c r="C631" s="2" t="str">
        <v>0</v>
      </c>
      <c r="D631" s="2"/>
      <c r="E631" s="2">
        <f ca="1">IFERROR(__xludf.DUMMYFUNCTION("""COMPUTED_VALUE"""),328932496)</f>
        <v>328932496</v>
      </c>
      <c r="F631" s="2" t="str">
        <f ca="1"/>
        <v>0328932496</v>
      </c>
      <c r="G631" s="2" t="str">
        <f ca="1">IFERROR(__xludf.DUMMYFUNCTION("""COMPUTED_VALUE"""),"105773921380")</f>
        <v>105773921380</v>
      </c>
      <c r="I631" s="2" t="str">
        <f ca="1">IFERROR(__xludf.DUMMYFUNCTION("""COMPUTED_VALUE"""),"Đinh Thu Ngân")</f>
        <v>Đinh Thu Ngân</v>
      </c>
      <c r="J631" s="3" t="str">
        <f ca="1">IFERROR(__xludf.DUMMYFUNCTION("""COMPUTED_VALUE"""),"0352139874")</f>
        <v>0352139874</v>
      </c>
      <c r="K631" s="2" t="str">
        <f ca="1">IFERROR(__xludf.DUMMYFUNCTION("""COMPUTED_VALUE"""),"1742575618174")</f>
        <v>1742575618174</v>
      </c>
    </row>
    <row r="632" spans="1:11" ht="12.45">
      <c r="A632" s="2" t="str">
        <f ca="1">IFERROR(__xludf.DUMMYFUNCTION("""COMPUTED_VALUE"""),"1742575670445")</f>
        <v>1742575670445</v>
      </c>
      <c r="B632" s="2"/>
      <c r="C632" s="2" t="str">
        <v>0</v>
      </c>
      <c r="D632" s="2"/>
      <c r="E632" s="2">
        <f ca="1">IFERROR(__xludf.DUMMYFUNCTION("""COMPUTED_VALUE"""),981392817)</f>
        <v>981392817</v>
      </c>
      <c r="F632" s="2" t="str">
        <f ca="1"/>
        <v>0981392817</v>
      </c>
      <c r="G632" s="2" t="str">
        <f ca="1">IFERROR(__xludf.DUMMYFUNCTION("""COMPUTED_VALUE"""),"105773921449")</f>
        <v>105773921449</v>
      </c>
      <c r="I632" s="2" t="str">
        <f ca="1">IFERROR(__xludf.DUMMYFUNCTION("""COMPUTED_VALUE"""),"Nguyễn Thị Ngọc Mai")</f>
        <v>Nguyễn Thị Ngọc Mai</v>
      </c>
      <c r="J632" s="3" t="str">
        <f ca="1">IFERROR(__xludf.DUMMYFUNCTION("""COMPUTED_VALUE"""),"0397199538")</f>
        <v>0397199538</v>
      </c>
      <c r="K632" s="2" t="str">
        <f ca="1">IFERROR(__xludf.DUMMYFUNCTION("""COMPUTED_VALUE"""),"1742575670445")</f>
        <v>1742575670445</v>
      </c>
    </row>
    <row r="633" spans="1:11" ht="12.45">
      <c r="A633" s="2" t="str">
        <f ca="1">IFERROR(__xludf.DUMMYFUNCTION("""COMPUTED_VALUE"""),"1742575728774")</f>
        <v>1742575728774</v>
      </c>
      <c r="B633" s="2"/>
      <c r="C633" s="2" t="str">
        <v>0</v>
      </c>
      <c r="D633" s="2"/>
      <c r="E633" s="2">
        <f ca="1">IFERROR(__xludf.DUMMYFUNCTION("""COMPUTED_VALUE"""),888670637)</f>
        <v>888670637</v>
      </c>
      <c r="F633" s="2" t="str">
        <f ca="1"/>
        <v>0888670637</v>
      </c>
      <c r="G633" s="2" t="str">
        <f ca="1">IFERROR(__xludf.DUMMYFUNCTION("""COMPUTED_VALUE"""),"105773921554")</f>
        <v>105773921554</v>
      </c>
      <c r="I633" s="2" t="str">
        <f ca="1">IFERROR(__xludf.DUMMYFUNCTION("""COMPUTED_VALUE"""),"Nguyễn Trịnh Bảo Ngọc ")</f>
        <v xml:space="preserve">Nguyễn Trịnh Bảo Ngọc </v>
      </c>
      <c r="J633" s="3" t="str">
        <f ca="1">IFERROR(__xludf.DUMMYFUNCTION("""COMPUTED_VALUE"""),"0345692156")</f>
        <v>0345692156</v>
      </c>
      <c r="K633" s="2" t="str">
        <f ca="1">IFERROR(__xludf.DUMMYFUNCTION("""COMPUTED_VALUE"""),"1742575728774")</f>
        <v>1742575728774</v>
      </c>
    </row>
    <row r="634" spans="1:11" ht="12.45">
      <c r="A634" s="2" t="str">
        <f ca="1">IFERROR(__xludf.DUMMYFUNCTION("""COMPUTED_VALUE"""),"1742575774097")</f>
        <v>1742575774097</v>
      </c>
      <c r="B634" s="2"/>
      <c r="C634" s="2" t="str">
        <v>0</v>
      </c>
      <c r="D634" s="2"/>
      <c r="E634" s="2">
        <f ca="1">IFERROR(__xludf.DUMMYFUNCTION("""COMPUTED_VALUE"""),767011122)</f>
        <v>767011122</v>
      </c>
      <c r="F634" s="2" t="str">
        <f ca="1"/>
        <v>0767011122</v>
      </c>
      <c r="G634" s="2" t="str">
        <f ca="1">IFERROR(__xludf.DUMMYFUNCTION("""COMPUTED_VALUE"""),"105773921644")</f>
        <v>105773921644</v>
      </c>
      <c r="I634" s="2" t="str">
        <f ca="1">IFERROR(__xludf.DUMMYFUNCTION("""COMPUTED_VALUE"""),"Dương Thị Lan Hương")</f>
        <v>Dương Thị Lan Hương</v>
      </c>
      <c r="J634" s="3" t="str">
        <f ca="1">IFERROR(__xludf.DUMMYFUNCTION("""COMPUTED_VALUE"""),"0379266321")</f>
        <v>0379266321</v>
      </c>
      <c r="K634" s="2" t="str">
        <f ca="1">IFERROR(__xludf.DUMMYFUNCTION("""COMPUTED_VALUE"""),"1742575774097")</f>
        <v>1742575774097</v>
      </c>
    </row>
    <row r="635" spans="1:11" ht="12.45">
      <c r="A635" s="2" t="str">
        <f ca="1">IFERROR(__xludf.DUMMYFUNCTION("""COMPUTED_VALUE"""),"1742575830983")</f>
        <v>1742575830983</v>
      </c>
      <c r="B635" s="2"/>
      <c r="C635" s="2" t="str">
        <v>0</v>
      </c>
      <c r="D635" s="2"/>
      <c r="E635" s="2">
        <f ca="1">IFERROR(__xludf.DUMMYFUNCTION("""COMPUTED_VALUE"""),328047991)</f>
        <v>328047991</v>
      </c>
      <c r="F635" s="2" t="str">
        <f ca="1"/>
        <v>0328047991</v>
      </c>
      <c r="G635" s="2" t="str">
        <f ca="1">IFERROR(__xludf.DUMMYFUNCTION("""COMPUTED_VALUE"""),"105773921749")</f>
        <v>105773921749</v>
      </c>
      <c r="I635" s="2" t="str">
        <f ca="1">IFERROR(__xludf.DUMMYFUNCTION("""COMPUTED_VALUE"""),"Phạm Anh Thư")</f>
        <v>Phạm Anh Thư</v>
      </c>
      <c r="J635" s="3" t="str">
        <f ca="1">IFERROR(__xludf.DUMMYFUNCTION("""COMPUTED_VALUE"""),"0901110202")</f>
        <v>0901110202</v>
      </c>
      <c r="K635" s="2" t="str">
        <f ca="1">IFERROR(__xludf.DUMMYFUNCTION("""COMPUTED_VALUE"""),"1742575830983")</f>
        <v>1742575830983</v>
      </c>
    </row>
    <row r="636" spans="1:11" ht="12.45">
      <c r="A636" s="2" t="str">
        <f ca="1">IFERROR(__xludf.DUMMYFUNCTION("""COMPUTED_VALUE"""),"1742575872431")</f>
        <v>1742575872431</v>
      </c>
      <c r="B636" s="2"/>
      <c r="C636" s="2" t="str">
        <v>0</v>
      </c>
      <c r="D636" s="2"/>
      <c r="E636" s="2">
        <f ca="1">IFERROR(__xludf.DUMMYFUNCTION("""COMPUTED_VALUE"""),397963954)</f>
        <v>397963954</v>
      </c>
      <c r="F636" s="2" t="str">
        <f ca="1"/>
        <v>0397963954</v>
      </c>
      <c r="G636" s="2" t="str">
        <f ca="1">IFERROR(__xludf.DUMMYFUNCTION("""COMPUTED_VALUE"""),"105773921887")</f>
        <v>105773921887</v>
      </c>
      <c r="I636" s="2" t="str">
        <f ca="1">IFERROR(__xludf.DUMMYFUNCTION("""COMPUTED_VALUE"""),"Lại Phương Linh")</f>
        <v>Lại Phương Linh</v>
      </c>
      <c r="J636" s="3" t="str">
        <f ca="1">IFERROR(__xludf.DUMMYFUNCTION("""COMPUTED_VALUE"""),"0363856666")</f>
        <v>0363856666</v>
      </c>
      <c r="K636" s="2" t="str">
        <f ca="1">IFERROR(__xludf.DUMMYFUNCTION("""COMPUTED_VALUE"""),"1742575872431")</f>
        <v>1742575872431</v>
      </c>
    </row>
    <row r="637" spans="1:11" ht="12.45">
      <c r="A637" s="2" t="str">
        <f ca="1">IFERROR(__xludf.DUMMYFUNCTION("""COMPUTED_VALUE"""),"1742575927653")</f>
        <v>1742575927653</v>
      </c>
      <c r="B637" s="2"/>
      <c r="C637" s="2" t="str">
        <v>0</v>
      </c>
      <c r="D637" s="2"/>
      <c r="E637" s="2">
        <f ca="1">IFERROR(__xludf.DUMMYFUNCTION("""COMPUTED_VALUE"""),563188988)</f>
        <v>563188988</v>
      </c>
      <c r="F637" s="2" t="str">
        <f ca="1"/>
        <v>0563188988</v>
      </c>
      <c r="G637" s="2" t="str">
        <f ca="1">IFERROR(__xludf.DUMMYFUNCTION("""COMPUTED_VALUE"""),"105773921924")</f>
        <v>105773921924</v>
      </c>
      <c r="I637" s="2" t="str">
        <f ca="1">IFERROR(__xludf.DUMMYFUNCTION("""COMPUTED_VALUE"""),"Phạm Ngọc Minh Phương")</f>
        <v>Phạm Ngọc Minh Phương</v>
      </c>
      <c r="J637" s="3" t="str">
        <f ca="1">IFERROR(__xludf.DUMMYFUNCTION("""COMPUTED_VALUE"""),"0965504196")</f>
        <v>0965504196</v>
      </c>
      <c r="K637" s="2" t="str">
        <f ca="1">IFERROR(__xludf.DUMMYFUNCTION("""COMPUTED_VALUE"""),"1742575927653")</f>
        <v>1742575927653</v>
      </c>
    </row>
    <row r="638" spans="1:11" ht="12.45">
      <c r="A638" s="2" t="str">
        <f ca="1">IFERROR(__xludf.DUMMYFUNCTION("""COMPUTED_VALUE"""),"1742575969941")</f>
        <v>1742575969941</v>
      </c>
      <c r="B638" s="2"/>
      <c r="C638" s="2" t="str">
        <v>0</v>
      </c>
      <c r="D638" s="2"/>
      <c r="E638" s="2">
        <f ca="1">IFERROR(__xludf.DUMMYFUNCTION("""COMPUTED_VALUE"""),817083890)</f>
        <v>817083890</v>
      </c>
      <c r="F638" s="2" t="str">
        <f ca="1"/>
        <v>0817083890</v>
      </c>
      <c r="G638" s="2" t="str">
        <f ca="1">IFERROR(__xludf.DUMMYFUNCTION("""COMPUTED_VALUE"""),"105773922041")</f>
        <v>105773922041</v>
      </c>
      <c r="I638" s="2" t="str">
        <f ca="1">IFERROR(__xludf.DUMMYFUNCTION("""COMPUTED_VALUE"""),"hà thị yến")</f>
        <v>hà thị yến</v>
      </c>
      <c r="J638" s="3" t="str">
        <f ca="1">IFERROR(__xludf.DUMMYFUNCTION("""COMPUTED_VALUE"""),"0789205809")</f>
        <v>0789205809</v>
      </c>
      <c r="K638" s="2" t="str">
        <f ca="1">IFERROR(__xludf.DUMMYFUNCTION("""COMPUTED_VALUE"""),"1742575969941")</f>
        <v>1742575969941</v>
      </c>
    </row>
    <row r="639" spans="1:11" ht="12.45">
      <c r="A639" s="2" t="str">
        <f ca="1">IFERROR(__xludf.DUMMYFUNCTION("""COMPUTED_VALUE"""),"1742576007262")</f>
        <v>1742576007262</v>
      </c>
      <c r="B639" s="2"/>
      <c r="C639" s="2" t="str">
        <v>0</v>
      </c>
      <c r="D639" s="2"/>
      <c r="E639" s="2">
        <f ca="1">IFERROR(__xludf.DUMMYFUNCTION("""COMPUTED_VALUE"""),947926517)</f>
        <v>947926517</v>
      </c>
      <c r="F639" s="2" t="str">
        <f ca="1"/>
        <v>0947926517</v>
      </c>
      <c r="G639" s="2" t="str">
        <f ca="1">IFERROR(__xludf.DUMMYFUNCTION("""COMPUTED_VALUE"""),"105773922162")</f>
        <v>105773922162</v>
      </c>
      <c r="I639" s="2" t="str">
        <f ca="1">IFERROR(__xludf.DUMMYFUNCTION("""COMPUTED_VALUE"""),"Nguyễn Phương Linh")</f>
        <v>Nguyễn Phương Linh</v>
      </c>
      <c r="J639" s="3" t="str">
        <f ca="1">IFERROR(__xludf.DUMMYFUNCTION("""COMPUTED_VALUE"""),"0559573702")</f>
        <v>0559573702</v>
      </c>
      <c r="K639" s="2" t="str">
        <f ca="1">IFERROR(__xludf.DUMMYFUNCTION("""COMPUTED_VALUE"""),"1742576007262")</f>
        <v>1742576007262</v>
      </c>
    </row>
    <row r="640" spans="1:11" ht="12.45">
      <c r="A640" s="2" t="str">
        <f ca="1">IFERROR(__xludf.DUMMYFUNCTION("""COMPUTED_VALUE"""),"1742576065371")</f>
        <v>1742576065371</v>
      </c>
      <c r="B640" s="2"/>
      <c r="C640" s="2" t="str">
        <v>0</v>
      </c>
      <c r="D640" s="2"/>
      <c r="E640" s="2">
        <f ca="1">IFERROR(__xludf.DUMMYFUNCTION("""COMPUTED_VALUE"""),373306472)</f>
        <v>373306472</v>
      </c>
      <c r="F640" s="2" t="str">
        <f ca="1"/>
        <v>0373306472</v>
      </c>
      <c r="G640" s="2" t="str">
        <f ca="1">IFERROR(__xludf.DUMMYFUNCTION("""COMPUTED_VALUE"""),"105773922297")</f>
        <v>105773922297</v>
      </c>
      <c r="I640" s="2" t="str">
        <f ca="1">IFERROR(__xludf.DUMMYFUNCTION("""COMPUTED_VALUE"""),"Trần Thị Khánh Linh")</f>
        <v>Trần Thị Khánh Linh</v>
      </c>
      <c r="J640" s="3" t="str">
        <f ca="1">IFERROR(__xludf.DUMMYFUNCTION("""COMPUTED_VALUE"""),"0348224004")</f>
        <v>0348224004</v>
      </c>
      <c r="K640" s="2" t="str">
        <f ca="1">IFERROR(__xludf.DUMMYFUNCTION("""COMPUTED_VALUE"""),"1742576065371")</f>
        <v>1742576065371</v>
      </c>
    </row>
    <row r="641" spans="1:11" ht="12.45">
      <c r="A641" s="2" t="str">
        <f ca="1">IFERROR(__xludf.DUMMYFUNCTION("""COMPUTED_VALUE"""),"1742576119220")</f>
        <v>1742576119220</v>
      </c>
      <c r="B641" s="2"/>
      <c r="C641" s="2" t="str">
        <v>0</v>
      </c>
      <c r="D641" s="2"/>
      <c r="E641" s="2">
        <f ca="1">IFERROR(__xludf.DUMMYFUNCTION("""COMPUTED_VALUE"""),328865901)</f>
        <v>328865901</v>
      </c>
      <c r="F641" s="2" t="str">
        <f ca="1"/>
        <v>0328865901</v>
      </c>
      <c r="G641" s="2" t="str">
        <f ca="1">IFERROR(__xludf.DUMMYFUNCTION("""COMPUTED_VALUE"""),"105773922389")</f>
        <v>105773922389</v>
      </c>
      <c r="I641" s="2" t="str">
        <f ca="1">IFERROR(__xludf.DUMMYFUNCTION("""COMPUTED_VALUE"""),"Trần My My")</f>
        <v>Trần My My</v>
      </c>
      <c r="J641" s="3" t="str">
        <f ca="1">IFERROR(__xludf.DUMMYFUNCTION("""COMPUTED_VALUE"""),"0383493487")</f>
        <v>0383493487</v>
      </c>
      <c r="K641" s="2" t="str">
        <f ca="1">IFERROR(__xludf.DUMMYFUNCTION("""COMPUTED_VALUE"""),"1742576119220")</f>
        <v>1742576119220</v>
      </c>
    </row>
    <row r="642" spans="1:11" ht="12.45">
      <c r="A642" s="2" t="str">
        <f ca="1">IFERROR(__xludf.DUMMYFUNCTION("""COMPUTED_VALUE"""),"1742576159172")</f>
        <v>1742576159172</v>
      </c>
      <c r="B642" s="2"/>
      <c r="C642" s="2" t="str">
        <v>0</v>
      </c>
      <c r="D642" s="2"/>
      <c r="E642" s="2">
        <f ca="1">IFERROR(__xludf.DUMMYFUNCTION("""COMPUTED_VALUE"""),337590207)</f>
        <v>337590207</v>
      </c>
      <c r="F642" s="2" t="str">
        <f ca="1"/>
        <v>0337590207</v>
      </c>
      <c r="G642" s="2" t="str">
        <f ca="1">IFERROR(__xludf.DUMMYFUNCTION("""COMPUTED_VALUE"""),"105773922412")</f>
        <v>105773922412</v>
      </c>
      <c r="I642" s="2" t="str">
        <f ca="1">IFERROR(__xludf.DUMMYFUNCTION("""COMPUTED_VALUE"""),"Nguyễn Minh Quý")</f>
        <v>Nguyễn Minh Quý</v>
      </c>
      <c r="J642" s="3" t="str">
        <f ca="1">IFERROR(__xludf.DUMMYFUNCTION("""COMPUTED_VALUE"""),"0971093802")</f>
        <v>0971093802</v>
      </c>
      <c r="K642" s="2" t="str">
        <f ca="1">IFERROR(__xludf.DUMMYFUNCTION("""COMPUTED_VALUE"""),"1742576159172")</f>
        <v>1742576159172</v>
      </c>
    </row>
    <row r="643" spans="1:11" ht="12.45">
      <c r="A643" s="2" t="str">
        <f ca="1">IFERROR(__xludf.DUMMYFUNCTION("""COMPUTED_VALUE"""),"1742576211784")</f>
        <v>1742576211784</v>
      </c>
      <c r="B643" s="2"/>
      <c r="C643" s="2" t="str">
        <v>0</v>
      </c>
      <c r="D643" s="2"/>
      <c r="E643" s="2">
        <f ca="1">IFERROR(__xludf.DUMMYFUNCTION("""COMPUTED_VALUE"""),813934425)</f>
        <v>813934425</v>
      </c>
      <c r="F643" s="2" t="str">
        <f ca="1"/>
        <v>0813934425</v>
      </c>
      <c r="G643" s="2" t="str">
        <f ca="1">IFERROR(__xludf.DUMMYFUNCTION("""COMPUTED_VALUE"""),"105773922530")</f>
        <v>105773922530</v>
      </c>
      <c r="I643" s="2" t="str">
        <f ca="1">IFERROR(__xludf.DUMMYFUNCTION("""COMPUTED_VALUE"""),"Nguyễn Thị Quỳnh Ngân ")</f>
        <v xml:space="preserve">Nguyễn Thị Quỳnh Ngân </v>
      </c>
      <c r="J643" s="3" t="str">
        <f ca="1">IFERROR(__xludf.DUMMYFUNCTION("""COMPUTED_VALUE"""),"0797624942")</f>
        <v>0797624942</v>
      </c>
      <c r="K643" s="2" t="str">
        <f ca="1">IFERROR(__xludf.DUMMYFUNCTION("""COMPUTED_VALUE"""),"1742576211784")</f>
        <v>1742576211784</v>
      </c>
    </row>
    <row r="644" spans="1:11" ht="12.45">
      <c r="A644" s="2" t="str">
        <f ca="1">IFERROR(__xludf.DUMMYFUNCTION("""COMPUTED_VALUE"""),"1742576263815")</f>
        <v>1742576263815</v>
      </c>
      <c r="B644" s="2"/>
      <c r="C644" s="2" t="str">
        <v>0</v>
      </c>
      <c r="D644" s="2"/>
      <c r="E644" s="2">
        <f ca="1">IFERROR(__xludf.DUMMYFUNCTION("""COMPUTED_VALUE"""),357259011)</f>
        <v>357259011</v>
      </c>
      <c r="F644" s="2" t="str">
        <f ca="1"/>
        <v>0357259011</v>
      </c>
      <c r="G644" s="2" t="str">
        <f ca="1">IFERROR(__xludf.DUMMYFUNCTION("""COMPUTED_VALUE"""),"105773922695")</f>
        <v>105773922695</v>
      </c>
      <c r="I644" s="2" t="str">
        <f ca="1">IFERROR(__xludf.DUMMYFUNCTION("""COMPUTED_VALUE"""),"Nguyễn Thu Hằng")</f>
        <v>Nguyễn Thu Hằng</v>
      </c>
      <c r="J644" s="3" t="str">
        <f ca="1">IFERROR(__xludf.DUMMYFUNCTION("""COMPUTED_VALUE"""),"0904301901")</f>
        <v>0904301901</v>
      </c>
      <c r="K644" s="2" t="str">
        <f ca="1">IFERROR(__xludf.DUMMYFUNCTION("""COMPUTED_VALUE"""),"1742576263815")</f>
        <v>1742576263815</v>
      </c>
    </row>
    <row r="645" spans="1:11" ht="12.45">
      <c r="A645" s="2" t="str">
        <f ca="1">IFERROR(__xludf.DUMMYFUNCTION("""COMPUTED_VALUE"""),"1742576315333")</f>
        <v>1742576315333</v>
      </c>
      <c r="B645" s="2"/>
      <c r="C645" s="2" t="str">
        <v>0</v>
      </c>
      <c r="D645" s="2"/>
      <c r="E645" s="2">
        <f ca="1">IFERROR(__xludf.DUMMYFUNCTION("""COMPUTED_VALUE"""),357687140)</f>
        <v>357687140</v>
      </c>
      <c r="F645" s="2" t="str">
        <f ca="1"/>
        <v>0357687140</v>
      </c>
      <c r="G645" s="2" t="str">
        <f ca="1">IFERROR(__xludf.DUMMYFUNCTION("""COMPUTED_VALUE"""),"105773922736")</f>
        <v>105773922736</v>
      </c>
      <c r="I645" s="2" t="str">
        <f ca="1">IFERROR(__xludf.DUMMYFUNCTION("""COMPUTED_VALUE"""),"Nguyễn Thị Thu Hương")</f>
        <v>Nguyễn Thị Thu Hương</v>
      </c>
      <c r="J645" s="3" t="str">
        <f ca="1">IFERROR(__xludf.DUMMYFUNCTION("""COMPUTED_VALUE"""),"0387696253")</f>
        <v>0387696253</v>
      </c>
      <c r="K645" s="2" t="str">
        <f ca="1">IFERROR(__xludf.DUMMYFUNCTION("""COMPUTED_VALUE"""),"1742576315333")</f>
        <v>1742576315333</v>
      </c>
    </row>
    <row r="646" spans="1:11" ht="12.45">
      <c r="A646" s="2" t="str">
        <f ca="1">IFERROR(__xludf.DUMMYFUNCTION("""COMPUTED_VALUE"""),"1742576359619")</f>
        <v>1742576359619</v>
      </c>
      <c r="B646" s="2"/>
      <c r="C646" s="2" t="str">
        <v>0</v>
      </c>
      <c r="D646" s="2"/>
      <c r="E646" s="2">
        <f ca="1">IFERROR(__xludf.DUMMYFUNCTION("""COMPUTED_VALUE"""),378549633)</f>
        <v>378549633</v>
      </c>
      <c r="F646" s="2" t="str">
        <f ca="1"/>
        <v>0378549633</v>
      </c>
      <c r="G646" s="2" t="str">
        <f ca="1">IFERROR(__xludf.DUMMYFUNCTION("""COMPUTED_VALUE"""),"105773922857")</f>
        <v>105773922857</v>
      </c>
      <c r="I646" s="2" t="str">
        <f ca="1">IFERROR(__xludf.DUMMYFUNCTION("""COMPUTED_VALUE"""),"Lê Minh Phương ")</f>
        <v xml:space="preserve">Lê Minh Phương </v>
      </c>
      <c r="J646" s="3" t="str">
        <f ca="1">IFERROR(__xludf.DUMMYFUNCTION("""COMPUTED_VALUE"""),"0945271776")</f>
        <v>0945271776</v>
      </c>
      <c r="K646" s="2" t="str">
        <f ca="1">IFERROR(__xludf.DUMMYFUNCTION("""COMPUTED_VALUE"""),"1742576359619")</f>
        <v>1742576359619</v>
      </c>
    </row>
    <row r="647" spans="1:11" ht="12.45">
      <c r="A647" s="2" t="str">
        <f ca="1">IFERROR(__xludf.DUMMYFUNCTION("""COMPUTED_VALUE"""),"1742576421996")</f>
        <v>1742576421996</v>
      </c>
      <c r="B647" s="2"/>
      <c r="C647" s="2" t="str">
        <v>0</v>
      </c>
      <c r="D647" s="2"/>
      <c r="E647" s="2">
        <f ca="1">IFERROR(__xludf.DUMMYFUNCTION("""COMPUTED_VALUE"""),965548967)</f>
        <v>965548967</v>
      </c>
      <c r="F647" s="2" t="str">
        <f ca="1"/>
        <v>0965548967</v>
      </c>
      <c r="G647" s="2" t="str">
        <f ca="1">IFERROR(__xludf.DUMMYFUNCTION("""COMPUTED_VALUE"""),"105773922923")</f>
        <v>105773922923</v>
      </c>
      <c r="I647" s="2" t="str">
        <f ca="1">IFERROR(__xludf.DUMMYFUNCTION("""COMPUTED_VALUE"""),"Huỳnh Nguyễn Bích Trâm ")</f>
        <v xml:space="preserve">Huỳnh Nguyễn Bích Trâm </v>
      </c>
      <c r="J647" s="3" t="str">
        <f ca="1">IFERROR(__xludf.DUMMYFUNCTION("""COMPUTED_VALUE"""),"0963344350")</f>
        <v>0963344350</v>
      </c>
      <c r="K647" s="2" t="str">
        <f ca="1">IFERROR(__xludf.DUMMYFUNCTION("""COMPUTED_VALUE"""),"1742576421996")</f>
        <v>1742576421996</v>
      </c>
    </row>
    <row r="648" spans="1:11" ht="12.45">
      <c r="A648" s="2" t="str">
        <f ca="1">IFERROR(__xludf.DUMMYFUNCTION("""COMPUTED_VALUE"""),"1742576483908")</f>
        <v>1742576483908</v>
      </c>
      <c r="B648" s="2"/>
      <c r="C648" s="2" t="str">
        <v>0</v>
      </c>
      <c r="D648" s="2"/>
      <c r="E648" s="2">
        <f ca="1">IFERROR(__xludf.DUMMYFUNCTION("""COMPUTED_VALUE"""),398493729)</f>
        <v>398493729</v>
      </c>
      <c r="F648" s="2" t="str">
        <f ca="1"/>
        <v>0398493729</v>
      </c>
      <c r="G648" s="2" t="str">
        <f ca="1">IFERROR(__xludf.DUMMYFUNCTION("""COMPUTED_VALUE"""),"105773923283")</f>
        <v>105773923283</v>
      </c>
      <c r="I648" s="2" t="str">
        <f ca="1">IFERROR(__xludf.DUMMYFUNCTION("""COMPUTED_VALUE"""),"Lê Yến Nhi ")</f>
        <v xml:space="preserve">Lê Yến Nhi </v>
      </c>
      <c r="J648" s="3" t="str">
        <f ca="1">IFERROR(__xludf.DUMMYFUNCTION("""COMPUTED_VALUE"""),"0366394603")</f>
        <v>0366394603</v>
      </c>
      <c r="K648" s="2" t="str">
        <f ca="1">IFERROR(__xludf.DUMMYFUNCTION("""COMPUTED_VALUE"""),"1742576483908")</f>
        <v>1742576483908</v>
      </c>
    </row>
    <row r="649" spans="1:11" ht="12.45">
      <c r="A649" s="2" t="str">
        <f ca="1">IFERROR(__xludf.DUMMYFUNCTION("""COMPUTED_VALUE"""),"1742576529643")</f>
        <v>1742576529643</v>
      </c>
      <c r="B649" s="2"/>
      <c r="C649" s="2" t="str">
        <v>0</v>
      </c>
      <c r="D649" s="2"/>
      <c r="E649" s="2">
        <f ca="1">IFERROR(__xludf.DUMMYFUNCTION("""COMPUTED_VALUE"""),904090589)</f>
        <v>904090589</v>
      </c>
      <c r="F649" s="2" t="str">
        <f ca="1"/>
        <v>0904090589</v>
      </c>
      <c r="G649" s="2" t="str">
        <f ca="1">IFERROR(__xludf.DUMMYFUNCTION("""COMPUTED_VALUE"""),"105773923457")</f>
        <v>105773923457</v>
      </c>
      <c r="I649" s="2" t="str">
        <f ca="1">IFERROR(__xludf.DUMMYFUNCTION("""COMPUTED_VALUE"""),"Lê Phương My")</f>
        <v>Lê Phương My</v>
      </c>
      <c r="J649" s="3" t="str">
        <f ca="1">IFERROR(__xludf.DUMMYFUNCTION("""COMPUTED_VALUE"""),"0832240776")</f>
        <v>0832240776</v>
      </c>
      <c r="K649" s="2" t="str">
        <f ca="1">IFERROR(__xludf.DUMMYFUNCTION("""COMPUTED_VALUE"""),"1742576529643")</f>
        <v>1742576529643</v>
      </c>
    </row>
    <row r="650" spans="1:11" ht="12.45">
      <c r="A650" s="2" t="str">
        <f ca="1">IFERROR(__xludf.DUMMYFUNCTION("""COMPUTED_VALUE"""),"1742576569796")</f>
        <v>1742576569796</v>
      </c>
      <c r="B650" s="2"/>
      <c r="C650" s="2" t="str">
        <v>0</v>
      </c>
      <c r="D650" s="2"/>
      <c r="E650" s="2">
        <f ca="1">IFERROR(__xludf.DUMMYFUNCTION("""COMPUTED_VALUE"""),367050646)</f>
        <v>367050646</v>
      </c>
      <c r="F650" s="2" t="str">
        <f ca="1"/>
        <v>0367050646</v>
      </c>
      <c r="G650" s="2" t="str">
        <f ca="1">IFERROR(__xludf.DUMMYFUNCTION("""COMPUTED_VALUE"""),"105773923516")</f>
        <v>105773923516</v>
      </c>
      <c r="I650" s="2" t="str">
        <f ca="1">IFERROR(__xludf.DUMMYFUNCTION("""COMPUTED_VALUE"""),"Nguyễn Trần Khánh Ngọc")</f>
        <v>Nguyễn Trần Khánh Ngọc</v>
      </c>
      <c r="J650" s="3" t="str">
        <f ca="1">IFERROR(__xludf.DUMMYFUNCTION("""COMPUTED_VALUE"""),"0949066388")</f>
        <v>0949066388</v>
      </c>
      <c r="K650" s="2" t="str">
        <f ca="1">IFERROR(__xludf.DUMMYFUNCTION("""COMPUTED_VALUE"""),"1742576569796")</f>
        <v>1742576569796</v>
      </c>
    </row>
    <row r="651" spans="1:11" ht="12.45">
      <c r="A651" s="2" t="str">
        <f ca="1">IFERROR(__xludf.DUMMYFUNCTION("""COMPUTED_VALUE"""),"1742576610006")</f>
        <v>1742576610006</v>
      </c>
      <c r="B651" s="2"/>
      <c r="C651" s="2" t="str">
        <v>0</v>
      </c>
      <c r="D651" s="2"/>
      <c r="E651" s="2">
        <f ca="1">IFERROR(__xludf.DUMMYFUNCTION("""COMPUTED_VALUE"""),971301028)</f>
        <v>971301028</v>
      </c>
      <c r="F651" s="2" t="str">
        <f ca="1"/>
        <v>0971301028</v>
      </c>
      <c r="G651" s="2" t="str">
        <f ca="1">IFERROR(__xludf.DUMMYFUNCTION("""COMPUTED_VALUE"""),"105773923624")</f>
        <v>105773923624</v>
      </c>
      <c r="I651" s="2" t="str">
        <f ca="1">IFERROR(__xludf.DUMMYFUNCTION("""COMPUTED_VALUE"""),"Nguyễn Kim Hồng")</f>
        <v>Nguyễn Kim Hồng</v>
      </c>
      <c r="J651" s="2" t="str">
        <f ca="1">IFERROR(__xludf.DUMMYFUNCTION("""COMPUTED_VALUE"""),"08483449977")</f>
        <v>08483449977</v>
      </c>
      <c r="K651" s="2" t="str">
        <f ca="1">IFERROR(__xludf.DUMMYFUNCTION("""COMPUTED_VALUE"""),"1742576610006")</f>
        <v>1742576610006</v>
      </c>
    </row>
    <row r="652" spans="1:11" ht="12.45">
      <c r="A652" s="2" t="str">
        <f ca="1">IFERROR(__xludf.DUMMYFUNCTION("""COMPUTED_VALUE"""),"1742576652237")</f>
        <v>1742576652237</v>
      </c>
      <c r="B652" s="2"/>
      <c r="C652" s="2" t="str">
        <v>0</v>
      </c>
      <c r="D652" s="2"/>
      <c r="E652" s="2">
        <f ca="1">IFERROR(__xludf.DUMMYFUNCTION("""COMPUTED_VALUE"""),868988815)</f>
        <v>868988815</v>
      </c>
      <c r="F652" s="2" t="str">
        <f ca="1"/>
        <v>0868988815</v>
      </c>
      <c r="G652" s="2" t="str">
        <f ca="1">IFERROR(__xludf.DUMMYFUNCTION("""COMPUTED_VALUE"""),"105773923791")</f>
        <v>105773923791</v>
      </c>
      <c r="I652" s="2" t="str">
        <f ca="1">IFERROR(__xludf.DUMMYFUNCTION("""COMPUTED_VALUE"""),"Đỗ Kiều Vy")</f>
        <v>Đỗ Kiều Vy</v>
      </c>
      <c r="J652" s="3" t="str">
        <f ca="1">IFERROR(__xludf.DUMMYFUNCTION("""COMPUTED_VALUE"""),"0869939613")</f>
        <v>0869939613</v>
      </c>
      <c r="K652" s="2" t="str">
        <f ca="1">IFERROR(__xludf.DUMMYFUNCTION("""COMPUTED_VALUE"""),"1742576652237")</f>
        <v>1742576652237</v>
      </c>
    </row>
    <row r="653" spans="1:11" ht="12.45">
      <c r="A653" s="2" t="str">
        <f ca="1">IFERROR(__xludf.DUMMYFUNCTION("""COMPUTED_VALUE"""),"1742576712803")</f>
        <v>1742576712803</v>
      </c>
      <c r="B653" s="2"/>
      <c r="C653" s="2" t="str">
        <v>0</v>
      </c>
      <c r="D653" s="2"/>
      <c r="E653" s="2">
        <f ca="1">IFERROR(__xludf.DUMMYFUNCTION("""COMPUTED_VALUE"""),763297023)</f>
        <v>763297023</v>
      </c>
      <c r="F653" s="2" t="str">
        <f ca="1"/>
        <v>0763297023</v>
      </c>
      <c r="G653" s="2" t="str">
        <f ca="1">IFERROR(__xludf.DUMMYFUNCTION("""COMPUTED_VALUE"""),"105773923893")</f>
        <v>105773923893</v>
      </c>
      <c r="I653" s="2" t="str">
        <f ca="1">IFERROR(__xludf.DUMMYFUNCTION("""COMPUTED_VALUE"""),"Lê Thị Ánh Ngọc ")</f>
        <v xml:space="preserve">Lê Thị Ánh Ngọc </v>
      </c>
      <c r="J653" s="3" t="str">
        <f ca="1">IFERROR(__xludf.DUMMYFUNCTION("""COMPUTED_VALUE"""),"0868584351")</f>
        <v>0868584351</v>
      </c>
      <c r="K653" s="2" t="str">
        <f ca="1">IFERROR(__xludf.DUMMYFUNCTION("""COMPUTED_VALUE"""),"1742576712803")</f>
        <v>1742576712803</v>
      </c>
    </row>
    <row r="654" spans="1:11" ht="12.45">
      <c r="A654" s="2" t="str">
        <f ca="1">IFERROR(__xludf.DUMMYFUNCTION("""COMPUTED_VALUE"""),"1742576777194")</f>
        <v>1742576777194</v>
      </c>
      <c r="B654" s="2"/>
      <c r="C654" s="2" t="str">
        <v>0</v>
      </c>
      <c r="D654" s="2"/>
      <c r="E654" s="2">
        <f ca="1">IFERROR(__xludf.DUMMYFUNCTION("""COMPUTED_VALUE"""),366850483)</f>
        <v>366850483</v>
      </c>
      <c r="F654" s="2" t="str">
        <f ca="1"/>
        <v>0366850483</v>
      </c>
      <c r="G654" s="2" t="str">
        <f ca="1">IFERROR(__xludf.DUMMYFUNCTION("""COMPUTED_VALUE"""),"105773923958")</f>
        <v>105773923958</v>
      </c>
      <c r="I654" s="2" t="str">
        <f ca="1">IFERROR(__xludf.DUMMYFUNCTION("""COMPUTED_VALUE"""),"Phạm Thanh Hoa")</f>
        <v>Phạm Thanh Hoa</v>
      </c>
      <c r="J654" s="3" t="str">
        <f ca="1">IFERROR(__xludf.DUMMYFUNCTION("""COMPUTED_VALUE"""),"0346937289")</f>
        <v>0346937289</v>
      </c>
      <c r="K654" s="2" t="str">
        <f ca="1">IFERROR(__xludf.DUMMYFUNCTION("""COMPUTED_VALUE"""),"1742576777194")</f>
        <v>1742576777194</v>
      </c>
    </row>
    <row r="655" spans="1:11" ht="12.45">
      <c r="A655" s="2" t="str">
        <f ca="1">IFERROR(__xludf.DUMMYFUNCTION("""COMPUTED_VALUE"""),"1742824485950")</f>
        <v>1742824485950</v>
      </c>
      <c r="B655" s="2"/>
      <c r="C655" s="2" t="str">
        <v>0</v>
      </c>
      <c r="D655" s="2"/>
      <c r="E655" s="2">
        <f ca="1">IFERROR(__xludf.DUMMYFUNCTION("""COMPUTED_VALUE"""),368288287)</f>
        <v>368288287</v>
      </c>
      <c r="F655" s="2" t="str">
        <f ca="1"/>
        <v>0368288287</v>
      </c>
      <c r="G655" s="2" t="str">
        <f ca="1">IFERROR(__xludf.DUMMYFUNCTION("""COMPUTED_VALUE"""),"105773924029")</f>
        <v>105773924029</v>
      </c>
      <c r="I655" s="2" t="str">
        <f ca="1">IFERROR(__xludf.DUMMYFUNCTION("""COMPUTED_VALUE"""),"Nguyễn Võ Hoài Thương")</f>
        <v>Nguyễn Võ Hoài Thương</v>
      </c>
      <c r="J655" s="3" t="str">
        <f ca="1">IFERROR(__xludf.DUMMYFUNCTION("""COMPUTED_VALUE"""),"0876973454")</f>
        <v>0876973454</v>
      </c>
      <c r="K655" s="2" t="str">
        <f ca="1">IFERROR(__xludf.DUMMYFUNCTION("""COMPUTED_VALUE"""),"1742824485950")</f>
        <v>1742824485950</v>
      </c>
    </row>
    <row r="656" spans="1:11" ht="12.45">
      <c r="A656" s="2" t="str">
        <f ca="1">IFERROR(__xludf.DUMMYFUNCTION("""COMPUTED_VALUE"""),"1742824530203")</f>
        <v>1742824530203</v>
      </c>
      <c r="B656" s="2"/>
      <c r="C656" s="2" t="str">
        <v>0</v>
      </c>
      <c r="D656" s="2"/>
      <c r="E656" s="2">
        <f ca="1">IFERROR(__xludf.DUMMYFUNCTION("""COMPUTED_VALUE"""),569067304)</f>
        <v>569067304</v>
      </c>
      <c r="F656" s="2" t="str">
        <f ca="1"/>
        <v>0569067304</v>
      </c>
      <c r="G656" s="2" t="str">
        <f ca="1">IFERROR(__xludf.DUMMYFUNCTION("""COMPUTED_VALUE"""),"105773924153")</f>
        <v>105773924153</v>
      </c>
      <c r="I656" s="2" t="str">
        <f ca="1">IFERROR(__xludf.DUMMYFUNCTION("""COMPUTED_VALUE"""),"Hoàng Nguyễn Thùy Linh")</f>
        <v>Hoàng Nguyễn Thùy Linh</v>
      </c>
      <c r="J656" s="3" t="str">
        <f ca="1">IFERROR(__xludf.DUMMYFUNCTION("""COMPUTED_VALUE"""),"0388091417")</f>
        <v>0388091417</v>
      </c>
      <c r="K656" s="2" t="str">
        <f ca="1">IFERROR(__xludf.DUMMYFUNCTION("""COMPUTED_VALUE"""),"1742824530203")</f>
        <v>1742824530203</v>
      </c>
    </row>
    <row r="657" spans="1:11" ht="12.45">
      <c r="A657" s="2" t="str">
        <f ca="1">IFERROR(__xludf.DUMMYFUNCTION("""COMPUTED_VALUE"""),"1742824562489")</f>
        <v>1742824562489</v>
      </c>
      <c r="B657" s="2"/>
      <c r="C657" s="2" t="str">
        <v>0</v>
      </c>
      <c r="D657" s="2"/>
      <c r="E657" s="2">
        <f ca="1">IFERROR(__xludf.DUMMYFUNCTION("""COMPUTED_VALUE"""),989148807)</f>
        <v>989148807</v>
      </c>
      <c r="F657" s="2" t="str">
        <f ca="1"/>
        <v>0989148807</v>
      </c>
      <c r="G657" s="2" t="str">
        <f ca="1">IFERROR(__xludf.DUMMYFUNCTION("""COMPUTED_VALUE"""),"105773924225")</f>
        <v>105773924225</v>
      </c>
      <c r="I657" s="2" t="str">
        <f ca="1">IFERROR(__xludf.DUMMYFUNCTION("""COMPUTED_VALUE"""),"Nguyễn Đinh Trà Ny")</f>
        <v>Nguyễn Đinh Trà Ny</v>
      </c>
      <c r="J657" s="3" t="str">
        <f ca="1">IFERROR(__xludf.DUMMYFUNCTION("""COMPUTED_VALUE"""),"0353207760")</f>
        <v>0353207760</v>
      </c>
      <c r="K657" s="2" t="str">
        <f ca="1">IFERROR(__xludf.DUMMYFUNCTION("""COMPUTED_VALUE"""),"1742824562489")</f>
        <v>1742824562489</v>
      </c>
    </row>
    <row r="658" spans="1:11" ht="12.45">
      <c r="A658" s="2" t="str">
        <f ca="1">IFERROR(__xludf.DUMMYFUNCTION("""COMPUTED_VALUE"""),"1742824597337")</f>
        <v>1742824597337</v>
      </c>
      <c r="B658" s="2"/>
      <c r="C658" s="2" t="str">
        <v>0</v>
      </c>
      <c r="D658" s="2"/>
      <c r="E658" s="2">
        <f ca="1">IFERROR(__xludf.DUMMYFUNCTION("""COMPUTED_VALUE"""),983759965)</f>
        <v>983759965</v>
      </c>
      <c r="F658" s="2" t="str">
        <f ca="1"/>
        <v>0983759965</v>
      </c>
      <c r="G658" s="2" t="str">
        <f ca="1">IFERROR(__xludf.DUMMYFUNCTION("""COMPUTED_VALUE"""),"105773924365")</f>
        <v>105773924365</v>
      </c>
      <c r="I658" s="2" t="str">
        <f ca="1">IFERROR(__xludf.DUMMYFUNCTION("""COMPUTED_VALUE"""),"Lê Phương Thuý")</f>
        <v>Lê Phương Thuý</v>
      </c>
      <c r="J658" s="3" t="str">
        <f ca="1">IFERROR(__xludf.DUMMYFUNCTION("""COMPUTED_VALUE"""),"0913420651")</f>
        <v>0913420651</v>
      </c>
      <c r="K658" s="2" t="str">
        <f ca="1">IFERROR(__xludf.DUMMYFUNCTION("""COMPUTED_VALUE"""),"1742824597337")</f>
        <v>1742824597337</v>
      </c>
    </row>
    <row r="659" spans="1:11" ht="12.45">
      <c r="A659" s="2" t="str">
        <f ca="1">IFERROR(__xludf.DUMMYFUNCTION("""COMPUTED_VALUE"""),"1742824638028")</f>
        <v>1742824638028</v>
      </c>
      <c r="B659" s="2"/>
      <c r="C659" s="2" t="str">
        <v>0</v>
      </c>
      <c r="D659" s="2"/>
      <c r="E659" s="2">
        <f ca="1">IFERROR(__xludf.DUMMYFUNCTION("""COMPUTED_VALUE"""),386392083)</f>
        <v>386392083</v>
      </c>
      <c r="F659" s="2" t="str">
        <f ca="1"/>
        <v>0386392083</v>
      </c>
      <c r="G659" s="2" t="str">
        <f ca="1">IFERROR(__xludf.DUMMYFUNCTION("""COMPUTED_VALUE"""),"105773924414")</f>
        <v>105773924414</v>
      </c>
      <c r="I659" s="2" t="str">
        <f ca="1">IFERROR(__xludf.DUMMYFUNCTION("""COMPUTED_VALUE"""),"Phạm Minh Phương")</f>
        <v>Phạm Minh Phương</v>
      </c>
      <c r="J659" s="3" t="str">
        <f ca="1">IFERROR(__xludf.DUMMYFUNCTION("""COMPUTED_VALUE"""),"0948115393")</f>
        <v>0948115393</v>
      </c>
      <c r="K659" s="2" t="str">
        <f ca="1">IFERROR(__xludf.DUMMYFUNCTION("""COMPUTED_VALUE"""),"1742824638028")</f>
        <v>1742824638028</v>
      </c>
    </row>
    <row r="660" spans="1:11" ht="12.45">
      <c r="A660" s="2" t="str">
        <f ca="1">IFERROR(__xludf.DUMMYFUNCTION("""COMPUTED_VALUE"""),"1742824684910")</f>
        <v>1742824684910</v>
      </c>
      <c r="B660" s="2"/>
      <c r="C660" s="2" t="str">
        <v>0</v>
      </c>
      <c r="D660" s="2"/>
      <c r="E660" s="2">
        <f ca="1">IFERROR(__xludf.DUMMYFUNCTION("""COMPUTED_VALUE"""),917034165)</f>
        <v>917034165</v>
      </c>
      <c r="F660" s="2" t="str">
        <f ca="1"/>
        <v>0917034165</v>
      </c>
      <c r="G660" s="2" t="str">
        <f ca="1">IFERROR(__xludf.DUMMYFUNCTION("""COMPUTED_VALUE"""),"105773924588")</f>
        <v>105773924588</v>
      </c>
      <c r="I660" s="2" t="str">
        <f ca="1">IFERROR(__xludf.DUMMYFUNCTION("""COMPUTED_VALUE"""),"Lê Thị Minh Hiền")</f>
        <v>Lê Thị Minh Hiền</v>
      </c>
      <c r="J660" s="3" t="str">
        <f ca="1">IFERROR(__xludf.DUMMYFUNCTION("""COMPUTED_VALUE"""),"0964922371")</f>
        <v>0964922371</v>
      </c>
      <c r="K660" s="2" t="str">
        <f ca="1">IFERROR(__xludf.DUMMYFUNCTION("""COMPUTED_VALUE"""),"1742824684910")</f>
        <v>1742824684910</v>
      </c>
    </row>
    <row r="661" spans="1:11" ht="12.45">
      <c r="A661" s="2" t="str">
        <f ca="1">IFERROR(__xludf.DUMMYFUNCTION("""COMPUTED_VALUE"""),"1742824725944")</f>
        <v>1742824725944</v>
      </c>
      <c r="B661" s="2"/>
      <c r="C661" s="2" t="str">
        <v>0</v>
      </c>
      <c r="D661" s="2"/>
      <c r="E661" s="2">
        <f ca="1">IFERROR(__xludf.DUMMYFUNCTION("""COMPUTED_VALUE"""),387892318)</f>
        <v>387892318</v>
      </c>
      <c r="F661" s="2" t="str">
        <f ca="1"/>
        <v>0387892318</v>
      </c>
      <c r="G661" s="2" t="str">
        <f ca="1">IFERROR(__xludf.DUMMYFUNCTION("""COMPUTED_VALUE"""),"105773924655")</f>
        <v>105773924655</v>
      </c>
      <c r="I661" s="2" t="str">
        <f ca="1">IFERROR(__xludf.DUMMYFUNCTION("""COMPUTED_VALUE"""),"Đặng Thị Ban Hồng")</f>
        <v>Đặng Thị Ban Hồng</v>
      </c>
      <c r="J661" s="3" t="str">
        <f ca="1">IFERROR(__xludf.DUMMYFUNCTION("""COMPUTED_VALUE"""),"0364475505")</f>
        <v>0364475505</v>
      </c>
      <c r="K661" s="2" t="str">
        <f ca="1">IFERROR(__xludf.DUMMYFUNCTION("""COMPUTED_VALUE"""),"1742824725944")</f>
        <v>1742824725944</v>
      </c>
    </row>
    <row r="662" spans="1:11" ht="12.45">
      <c r="A662" s="2" t="str">
        <f ca="1">IFERROR(__xludf.DUMMYFUNCTION("""COMPUTED_VALUE"""),"1753012502544")</f>
        <v>1753012502544</v>
      </c>
      <c r="B662" s="2"/>
      <c r="C662" s="2" t="str">
        <v>0</v>
      </c>
      <c r="D662" s="2"/>
      <c r="E662" s="2">
        <f ca="1">IFERROR(__xludf.DUMMYFUNCTION("""COMPUTED_VALUE"""),918215439)</f>
        <v>918215439</v>
      </c>
      <c r="F662" s="2" t="str">
        <f ca="1"/>
        <v>0918215439</v>
      </c>
      <c r="G662" s="2" t="str">
        <f ca="1">IFERROR(__xludf.DUMMYFUNCTION("""COMPUTED_VALUE"""),"105773924768")</f>
        <v>105773924768</v>
      </c>
      <c r="I662" s="2" t="str">
        <f ca="1">IFERROR(__xludf.DUMMYFUNCTION("""COMPUTED_VALUE"""),"Trần Huy Sáng ")</f>
        <v xml:space="preserve">Trần Huy Sáng </v>
      </c>
      <c r="J662" s="3" t="str">
        <f ca="1">IFERROR(__xludf.DUMMYFUNCTION("""COMPUTED_VALUE"""),"0961961484")</f>
        <v>0961961484</v>
      </c>
      <c r="K662" s="2" t="str">
        <f ca="1">IFERROR(__xludf.DUMMYFUNCTION("""COMPUTED_VALUE"""),"1753012502544")</f>
        <v>1753012502544</v>
      </c>
    </row>
    <row r="663" spans="1:11" ht="12.45">
      <c r="A663" s="2" t="str">
        <f ca="1">IFERROR(__xludf.DUMMYFUNCTION("""COMPUTED_VALUE"""),"1742824755220")</f>
        <v>1742824755220</v>
      </c>
      <c r="B663" s="2"/>
      <c r="C663" s="2" t="str">
        <v>0</v>
      </c>
      <c r="D663" s="2"/>
      <c r="E663" s="2">
        <f ca="1">IFERROR(__xludf.DUMMYFUNCTION("""COMPUTED_VALUE"""),355723189)</f>
        <v>355723189</v>
      </c>
      <c r="F663" s="2" t="str">
        <f ca="1"/>
        <v>0355723189</v>
      </c>
      <c r="G663" s="2" t="str">
        <f ca="1">IFERROR(__xludf.DUMMYFUNCTION("""COMPUTED_VALUE"""),"105773925036")</f>
        <v>105773925036</v>
      </c>
      <c r="I663" s="2" t="str">
        <f ca="1">IFERROR(__xludf.DUMMYFUNCTION("""COMPUTED_VALUE"""),"Nguyễn Thị Kim Ngọc")</f>
        <v>Nguyễn Thị Kim Ngọc</v>
      </c>
      <c r="J663" s="3" t="str">
        <f ca="1">IFERROR(__xludf.DUMMYFUNCTION("""COMPUTED_VALUE"""),"0708261630")</f>
        <v>0708261630</v>
      </c>
      <c r="K663" s="2" t="str">
        <f ca="1">IFERROR(__xludf.DUMMYFUNCTION("""COMPUTED_VALUE"""),"1742824755220")</f>
        <v>1742824755220</v>
      </c>
    </row>
    <row r="664" spans="1:11" ht="12.45">
      <c r="A664" s="2" t="str">
        <f ca="1">IFERROR(__xludf.DUMMYFUNCTION("""COMPUTED_VALUE"""),"1742824795504")</f>
        <v>1742824795504</v>
      </c>
      <c r="B664" s="2"/>
      <c r="C664" s="2" t="str">
        <v>0</v>
      </c>
      <c r="D664" s="2"/>
      <c r="E664" s="2">
        <f ca="1">IFERROR(__xludf.DUMMYFUNCTION("""COMPUTED_VALUE"""),767137536)</f>
        <v>767137536</v>
      </c>
      <c r="F664" s="2" t="str">
        <f ca="1"/>
        <v>0767137536</v>
      </c>
      <c r="G664" s="2" t="str">
        <f ca="1">IFERROR(__xludf.DUMMYFUNCTION("""COMPUTED_VALUE"""),"105773925521")</f>
        <v>105773925521</v>
      </c>
      <c r="I664" s="2" t="str">
        <f ca="1">IFERROR(__xludf.DUMMYFUNCTION("""COMPUTED_VALUE"""),"Lê Yến Nhi")</f>
        <v>Lê Yến Nhi</v>
      </c>
      <c r="J664" s="3" t="str">
        <f ca="1">IFERROR(__xludf.DUMMYFUNCTION("""COMPUTED_VALUE"""),"0962655365")</f>
        <v>0962655365</v>
      </c>
      <c r="K664" s="2" t="str">
        <f ca="1">IFERROR(__xludf.DUMMYFUNCTION("""COMPUTED_VALUE"""),"1742824795504")</f>
        <v>1742824795504</v>
      </c>
    </row>
    <row r="665" spans="1:11" ht="12.45">
      <c r="A665" s="2" t="str">
        <f ca="1">IFERROR(__xludf.DUMMYFUNCTION("""COMPUTED_VALUE"""),"1742824842490")</f>
        <v>1742824842490</v>
      </c>
      <c r="B665" s="2"/>
      <c r="C665" s="2" t="str">
        <v>0</v>
      </c>
      <c r="D665" s="2"/>
      <c r="E665" s="2">
        <f ca="1">IFERROR(__xludf.DUMMYFUNCTION("""COMPUTED_VALUE"""),985037542)</f>
        <v>985037542</v>
      </c>
      <c r="F665" s="2" t="str">
        <f ca="1"/>
        <v>0985037542</v>
      </c>
      <c r="G665" s="2" t="str">
        <f ca="1">IFERROR(__xludf.DUMMYFUNCTION("""COMPUTED_VALUE"""),"105773925723")</f>
        <v>105773925723</v>
      </c>
      <c r="I665" s="2" t="str">
        <f ca="1">IFERROR(__xludf.DUMMYFUNCTION("""COMPUTED_VALUE"""),"Cụt Moong Sơn Thuỷ")</f>
        <v>Cụt Moong Sơn Thuỷ</v>
      </c>
      <c r="J665" s="3" t="str">
        <f ca="1">IFERROR(__xludf.DUMMYFUNCTION("""COMPUTED_VALUE"""),"0383770340")</f>
        <v>0383770340</v>
      </c>
      <c r="K665" s="2" t="str">
        <f ca="1">IFERROR(__xludf.DUMMYFUNCTION("""COMPUTED_VALUE"""),"1742824842490")</f>
        <v>1742824842490</v>
      </c>
    </row>
    <row r="666" spans="1:11" ht="12.45">
      <c r="A666" s="2" t="str">
        <f ca="1">IFERROR(__xludf.DUMMYFUNCTION("""COMPUTED_VALUE"""),"1742824882526")</f>
        <v>1742824882526</v>
      </c>
      <c r="B666" s="2"/>
      <c r="C666" s="2" t="str">
        <v>0</v>
      </c>
      <c r="D666" s="2"/>
      <c r="E666" s="2">
        <f ca="1">IFERROR(__xludf.DUMMYFUNCTION("""COMPUTED_VALUE"""),383969049)</f>
        <v>383969049</v>
      </c>
      <c r="F666" s="2" t="str">
        <f ca="1"/>
        <v>0383969049</v>
      </c>
      <c r="G666" s="2" t="str">
        <f ca="1">IFERROR(__xludf.DUMMYFUNCTION("""COMPUTED_VALUE"""),"105773925852")</f>
        <v>105773925852</v>
      </c>
      <c r="I666" s="2" t="str">
        <f ca="1">IFERROR(__xludf.DUMMYFUNCTION("""COMPUTED_VALUE"""),"Phùng việt hà ")</f>
        <v xml:space="preserve">Phùng việt hà </v>
      </c>
      <c r="J666" s="3" t="str">
        <f ca="1">IFERROR(__xludf.DUMMYFUNCTION("""COMPUTED_VALUE"""),"0981311623")</f>
        <v>0981311623</v>
      </c>
      <c r="K666" s="2" t="str">
        <f ca="1">IFERROR(__xludf.DUMMYFUNCTION("""COMPUTED_VALUE"""),"1742824882526")</f>
        <v>1742824882526</v>
      </c>
    </row>
    <row r="667" spans="1:11" ht="12.45">
      <c r="A667" s="2" t="str">
        <f ca="1">IFERROR(__xludf.DUMMYFUNCTION("""COMPUTED_VALUE"""),"1742824914724")</f>
        <v>1742824914724</v>
      </c>
      <c r="B667" s="2"/>
      <c r="C667" s="2" t="str">
        <v>0</v>
      </c>
      <c r="D667" s="2"/>
      <c r="E667" s="2">
        <f ca="1">IFERROR(__xludf.DUMMYFUNCTION("""COMPUTED_VALUE"""),916538593)</f>
        <v>916538593</v>
      </c>
      <c r="F667" s="2" t="str">
        <f ca="1"/>
        <v>0916538593</v>
      </c>
      <c r="G667" s="2" t="str">
        <f ca="1">IFERROR(__xludf.DUMMYFUNCTION("""COMPUTED_VALUE"""),"105773925970")</f>
        <v>105773925970</v>
      </c>
      <c r="I667" s="2" t="str">
        <f ca="1">IFERROR(__xludf.DUMMYFUNCTION("""COMPUTED_VALUE"""),"Lê Thị Thúy Nga ")</f>
        <v xml:space="preserve">Lê Thị Thúy Nga </v>
      </c>
      <c r="J667" s="3" t="str">
        <f ca="1">IFERROR(__xludf.DUMMYFUNCTION("""COMPUTED_VALUE"""),"0789091543")</f>
        <v>0789091543</v>
      </c>
      <c r="K667" s="2" t="str">
        <f ca="1">IFERROR(__xludf.DUMMYFUNCTION("""COMPUTED_VALUE"""),"1742824914724")</f>
        <v>1742824914724</v>
      </c>
    </row>
    <row r="668" spans="1:11" ht="12.45">
      <c r="A668" s="2" t="str">
        <f ca="1">IFERROR(__xludf.DUMMYFUNCTION("""COMPUTED_VALUE"""),"1742824948521")</f>
        <v>1742824948521</v>
      </c>
      <c r="B668" s="2"/>
      <c r="C668" s="2" t="str">
        <v>0</v>
      </c>
      <c r="D668" s="2"/>
      <c r="E668" s="2">
        <f ca="1">IFERROR(__xludf.DUMMYFUNCTION("""COMPUTED_VALUE"""),912632674)</f>
        <v>912632674</v>
      </c>
      <c r="F668" s="2" t="str">
        <f ca="1"/>
        <v>0912632674</v>
      </c>
      <c r="G668" s="2" t="str">
        <f ca="1">IFERROR(__xludf.DUMMYFUNCTION("""COMPUTED_VALUE"""),"105773926065")</f>
        <v>105773926065</v>
      </c>
      <c r="I668" s="2" t="str">
        <f ca="1">IFERROR(__xludf.DUMMYFUNCTION("""COMPUTED_VALUE"""),"Nguyễn Thanh Trà ")</f>
        <v xml:space="preserve">Nguyễn Thanh Trà </v>
      </c>
      <c r="J668" s="3" t="str">
        <f ca="1">IFERROR(__xludf.DUMMYFUNCTION("""COMPUTED_VALUE"""),"0387714979")</f>
        <v>0387714979</v>
      </c>
      <c r="K668" s="2" t="str">
        <f ca="1">IFERROR(__xludf.DUMMYFUNCTION("""COMPUTED_VALUE"""),"1742824948521")</f>
        <v>1742824948521</v>
      </c>
    </row>
    <row r="669" spans="1:11" ht="12.45">
      <c r="A669" s="2" t="str">
        <f ca="1">IFERROR(__xludf.DUMMYFUNCTION("""COMPUTED_VALUE"""),"1742824981882")</f>
        <v>1742824981882</v>
      </c>
      <c r="B669" s="2"/>
      <c r="C669" s="2" t="str">
        <v>0</v>
      </c>
      <c r="D669" s="2"/>
      <c r="E669" s="2">
        <f ca="1">IFERROR(__xludf.DUMMYFUNCTION("""COMPUTED_VALUE"""),343164428)</f>
        <v>343164428</v>
      </c>
      <c r="F669" s="2" t="str">
        <f ca="1"/>
        <v>0343164428</v>
      </c>
      <c r="G669" s="2" t="str">
        <f ca="1">IFERROR(__xludf.DUMMYFUNCTION("""COMPUTED_VALUE"""),"105773926153")</f>
        <v>105773926153</v>
      </c>
      <c r="I669" s="2" t="str">
        <f ca="1">IFERROR(__xludf.DUMMYFUNCTION("""COMPUTED_VALUE"""),"Lê la na")</f>
        <v>Lê la na</v>
      </c>
      <c r="J669" s="3" t="str">
        <f ca="1">IFERROR(__xludf.DUMMYFUNCTION("""COMPUTED_VALUE"""),"0917950003")</f>
        <v>0917950003</v>
      </c>
      <c r="K669" s="2" t="str">
        <f ca="1">IFERROR(__xludf.DUMMYFUNCTION("""COMPUTED_VALUE"""),"1742824981882")</f>
        <v>1742824981882</v>
      </c>
    </row>
    <row r="670" spans="1:11" ht="12.45">
      <c r="A670" s="2" t="str">
        <f ca="1">IFERROR(__xludf.DUMMYFUNCTION("""COMPUTED_VALUE"""),"1742825014728")</f>
        <v>1742825014728</v>
      </c>
      <c r="B670" s="2"/>
      <c r="C670" s="2" t="str">
        <v>0</v>
      </c>
      <c r="D670" s="2"/>
      <c r="E670" s="2">
        <f ca="1">IFERROR(__xludf.DUMMYFUNCTION("""COMPUTED_VALUE"""),787472190)</f>
        <v>787472190</v>
      </c>
      <c r="F670" s="2" t="str">
        <f ca="1"/>
        <v>0787472190</v>
      </c>
      <c r="G670" s="2" t="str">
        <f ca="1">IFERROR(__xludf.DUMMYFUNCTION("""COMPUTED_VALUE"""),"105773926342")</f>
        <v>105773926342</v>
      </c>
      <c r="I670" s="2" t="str">
        <f ca="1">IFERROR(__xludf.DUMMYFUNCTION("""COMPUTED_VALUE"""),"Nguyễn Trung Nhân")</f>
        <v>Nguyễn Trung Nhân</v>
      </c>
      <c r="J670" s="3" t="str">
        <f ca="1">IFERROR(__xludf.DUMMYFUNCTION("""COMPUTED_VALUE"""),"0346135029")</f>
        <v>0346135029</v>
      </c>
      <c r="K670" s="2" t="str">
        <f ca="1">IFERROR(__xludf.DUMMYFUNCTION("""COMPUTED_VALUE"""),"1742825014728")</f>
        <v>1742825014728</v>
      </c>
    </row>
    <row r="671" spans="1:11" ht="12.45">
      <c r="A671" s="2" t="str">
        <f ca="1">IFERROR(__xludf.DUMMYFUNCTION("""COMPUTED_VALUE"""),"1742825058360")</f>
        <v>1742825058360</v>
      </c>
      <c r="B671" s="2"/>
      <c r="C671" s="2" t="str">
        <v>0</v>
      </c>
      <c r="D671" s="2"/>
      <c r="E671" s="2">
        <f ca="1">IFERROR(__xludf.DUMMYFUNCTION("""COMPUTED_VALUE"""),372079733)</f>
        <v>372079733</v>
      </c>
      <c r="F671" s="2" t="str">
        <f ca="1"/>
        <v>0372079733</v>
      </c>
      <c r="G671" s="2" t="str">
        <f ca="1">IFERROR(__xludf.DUMMYFUNCTION("""COMPUTED_VALUE"""),"105773926572")</f>
        <v>105773926572</v>
      </c>
      <c r="I671" s="2" t="str">
        <f ca="1">IFERROR(__xludf.DUMMYFUNCTION("""COMPUTED_VALUE"""),"Huỳnh Phương Thảo")</f>
        <v>Huỳnh Phương Thảo</v>
      </c>
      <c r="J671" s="3" t="str">
        <f ca="1">IFERROR(__xludf.DUMMYFUNCTION("""COMPUTED_VALUE"""),"0931428143")</f>
        <v>0931428143</v>
      </c>
      <c r="K671" s="2" t="str">
        <f ca="1">IFERROR(__xludf.DUMMYFUNCTION("""COMPUTED_VALUE"""),"1742825058360")</f>
        <v>1742825058360</v>
      </c>
    </row>
    <row r="672" spans="1:11" ht="12.45">
      <c r="A672" s="2" t="str">
        <f ca="1">IFERROR(__xludf.DUMMYFUNCTION("""COMPUTED_VALUE"""),"1742825100252")</f>
        <v>1742825100252</v>
      </c>
      <c r="B672" s="2"/>
      <c r="C672" s="2" t="str">
        <v>0</v>
      </c>
      <c r="D672" s="2"/>
      <c r="E672" s="2">
        <f ca="1">IFERROR(__xludf.DUMMYFUNCTION("""COMPUTED_VALUE"""),982347215)</f>
        <v>982347215</v>
      </c>
      <c r="F672" s="2" t="str">
        <f ca="1"/>
        <v>0982347215</v>
      </c>
      <c r="G672" s="2" t="str">
        <f ca="1">IFERROR(__xludf.DUMMYFUNCTION("""COMPUTED_VALUE"""),"105773926682")</f>
        <v>105773926682</v>
      </c>
      <c r="I672" s="2" t="str">
        <f ca="1">IFERROR(__xludf.DUMMYFUNCTION("""COMPUTED_VALUE"""),"Nguyễn mai vân")</f>
        <v>Nguyễn mai vân</v>
      </c>
      <c r="J672" s="3" t="str">
        <f ca="1">IFERROR(__xludf.DUMMYFUNCTION("""COMPUTED_VALUE"""),"0372559361")</f>
        <v>0372559361</v>
      </c>
      <c r="K672" s="2" t="str">
        <f ca="1">IFERROR(__xludf.DUMMYFUNCTION("""COMPUTED_VALUE"""),"1742825100252")</f>
        <v>1742825100252</v>
      </c>
    </row>
    <row r="673" spans="1:11" ht="12.45">
      <c r="A673" s="2" t="str">
        <f ca="1">IFERROR(__xludf.DUMMYFUNCTION("""COMPUTED_VALUE"""),"1742825139393")</f>
        <v>1742825139393</v>
      </c>
      <c r="B673" s="2"/>
      <c r="C673" s="2" t="str">
        <v>0</v>
      </c>
      <c r="D673" s="2"/>
      <c r="E673" s="2">
        <f ca="1">IFERROR(__xludf.DUMMYFUNCTION("""COMPUTED_VALUE"""),946479733)</f>
        <v>946479733</v>
      </c>
      <c r="F673" s="2" t="str">
        <f ca="1"/>
        <v>0946479733</v>
      </c>
      <c r="G673" s="2" t="str">
        <f ca="1">IFERROR(__xludf.DUMMYFUNCTION("""COMPUTED_VALUE"""),"105773926735")</f>
        <v>105773926735</v>
      </c>
      <c r="I673" s="3" t="str">
        <f ca="1">IFERROR(__xludf.DUMMYFUNCTION("""COMPUTED_VALUE"""),"Hoàng Thị Oanh ")</f>
        <v xml:space="preserve">Hoàng Thị Oanh </v>
      </c>
      <c r="J673" s="3" t="str">
        <f ca="1">IFERROR(__xludf.DUMMYFUNCTION("""COMPUTED_VALUE"""),"0822627564")</f>
        <v>0822627564</v>
      </c>
      <c r="K673" s="2" t="str">
        <f ca="1">IFERROR(__xludf.DUMMYFUNCTION("""COMPUTED_VALUE"""),"1742825139393")</f>
        <v>1742825139393</v>
      </c>
    </row>
    <row r="674" spans="1:11" ht="12.45">
      <c r="A674" s="2" t="str">
        <f ca="1">IFERROR(__xludf.DUMMYFUNCTION("""COMPUTED_VALUE"""),"1742825180185")</f>
        <v>1742825180185</v>
      </c>
      <c r="B674" s="2"/>
      <c r="C674" s="2" t="str">
        <v>0</v>
      </c>
      <c r="D674" s="2"/>
      <c r="E674" s="2">
        <f ca="1">IFERROR(__xludf.DUMMYFUNCTION("""COMPUTED_VALUE"""),948255629)</f>
        <v>948255629</v>
      </c>
      <c r="F674" s="2" t="str">
        <f ca="1"/>
        <v>0948255629</v>
      </c>
      <c r="G674" s="2" t="str">
        <f ca="1">IFERROR(__xludf.DUMMYFUNCTION("""COMPUTED_VALUE"""),"105773926828")</f>
        <v>105773926828</v>
      </c>
      <c r="I674" s="2" t="str">
        <f ca="1">IFERROR(__xludf.DUMMYFUNCTION("""COMPUTED_VALUE"""),"Lê Thị Thùy Dung ")</f>
        <v xml:space="preserve">Lê Thị Thùy Dung </v>
      </c>
      <c r="J674" s="3" t="str">
        <f ca="1">IFERROR(__xludf.DUMMYFUNCTION("""COMPUTED_VALUE"""),"0909718707")</f>
        <v>0909718707</v>
      </c>
      <c r="K674" s="2" t="str">
        <f ca="1">IFERROR(__xludf.DUMMYFUNCTION("""COMPUTED_VALUE"""),"1742825180185")</f>
        <v>1742825180185</v>
      </c>
    </row>
    <row r="675" spans="1:11" ht="12.45">
      <c r="A675" s="2" t="str">
        <f ca="1">IFERROR(__xludf.DUMMYFUNCTION("""COMPUTED_VALUE"""),"1742825212756")</f>
        <v>1742825212756</v>
      </c>
      <c r="B675" s="2"/>
      <c r="C675" s="2" t="str">
        <v>0</v>
      </c>
      <c r="D675" s="2"/>
      <c r="E675" s="2">
        <f ca="1">IFERROR(__xludf.DUMMYFUNCTION("""COMPUTED_VALUE"""),865308391)</f>
        <v>865308391</v>
      </c>
      <c r="F675" s="2" t="str">
        <f ca="1"/>
        <v>0865308391</v>
      </c>
      <c r="G675" s="2" t="str">
        <f ca="1">IFERROR(__xludf.DUMMYFUNCTION("""COMPUTED_VALUE"""),"105773926945")</f>
        <v>105773926945</v>
      </c>
      <c r="I675" s="2" t="str">
        <f ca="1">IFERROR(__xludf.DUMMYFUNCTION("""COMPUTED_VALUE"""),"Dương quỳnh lâm")</f>
        <v>Dương quỳnh lâm</v>
      </c>
      <c r="J675" s="3" t="str">
        <f ca="1">IFERROR(__xludf.DUMMYFUNCTION("""COMPUTED_VALUE"""),"0394031590")</f>
        <v>0394031590</v>
      </c>
      <c r="K675" s="2" t="str">
        <f ca="1">IFERROR(__xludf.DUMMYFUNCTION("""COMPUTED_VALUE"""),"1742825212756")</f>
        <v>1742825212756</v>
      </c>
    </row>
    <row r="676" spans="1:11" ht="12.45">
      <c r="A676" s="2" t="str">
        <f ca="1">IFERROR(__xludf.DUMMYFUNCTION("""COMPUTED_VALUE"""),"1742825247182")</f>
        <v>1742825247182</v>
      </c>
      <c r="B676" s="2"/>
      <c r="C676" s="2" t="str">
        <v>0</v>
      </c>
      <c r="D676" s="2"/>
      <c r="E676" s="2">
        <f ca="1">IFERROR(__xludf.DUMMYFUNCTION("""COMPUTED_VALUE"""),947835154)</f>
        <v>947835154</v>
      </c>
      <c r="F676" s="2" t="str">
        <f ca="1"/>
        <v>0947835154</v>
      </c>
      <c r="G676" s="2" t="str">
        <f ca="1">IFERROR(__xludf.DUMMYFUNCTION("""COMPUTED_VALUE"""),"105773927138")</f>
        <v>105773927138</v>
      </c>
      <c r="I676" s="2" t="str">
        <f ca="1">IFERROR(__xludf.DUMMYFUNCTION("""COMPUTED_VALUE"""),"Lò Thị Bích Hạnh")</f>
        <v>Lò Thị Bích Hạnh</v>
      </c>
      <c r="J676" s="3" t="str">
        <f ca="1">IFERROR(__xludf.DUMMYFUNCTION("""COMPUTED_VALUE"""),"0372605159")</f>
        <v>0372605159</v>
      </c>
      <c r="K676" s="2" t="str">
        <f ca="1">IFERROR(__xludf.DUMMYFUNCTION("""COMPUTED_VALUE"""),"1742825247182")</f>
        <v>1742825247182</v>
      </c>
    </row>
    <row r="677" spans="1:11" ht="12.45">
      <c r="A677" s="2" t="str">
        <f ca="1">IFERROR(__xludf.DUMMYFUNCTION("""COMPUTED_VALUE"""),"1742825274943")</f>
        <v>1742825274943</v>
      </c>
      <c r="B677" s="2"/>
      <c r="C677" s="2" t="str">
        <v>0</v>
      </c>
      <c r="D677" s="2"/>
      <c r="E677" s="2">
        <f ca="1">IFERROR(__xludf.DUMMYFUNCTION("""COMPUTED_VALUE"""),909056718)</f>
        <v>909056718</v>
      </c>
      <c r="F677" s="2" t="str">
        <f ca="1"/>
        <v>0909056718</v>
      </c>
      <c r="G677" s="2" t="str">
        <f ca="1">IFERROR(__xludf.DUMMYFUNCTION("""COMPUTED_VALUE"""),"105773927219")</f>
        <v>105773927219</v>
      </c>
      <c r="I677" s="2" t="str">
        <f ca="1">IFERROR(__xludf.DUMMYFUNCTION("""COMPUTED_VALUE"""),"Ngô Minh Anh ")</f>
        <v xml:space="preserve">Ngô Minh Anh </v>
      </c>
      <c r="J677" s="3" t="str">
        <f ca="1">IFERROR(__xludf.DUMMYFUNCTION("""COMPUTED_VALUE"""),"0879549390")</f>
        <v>0879549390</v>
      </c>
      <c r="K677" s="2" t="str">
        <f ca="1">IFERROR(__xludf.DUMMYFUNCTION("""COMPUTED_VALUE"""),"1742825274943")</f>
        <v>1742825274943</v>
      </c>
    </row>
    <row r="678" spans="1:11" ht="12.45">
      <c r="A678" s="2" t="str">
        <f ca="1">IFERROR(__xludf.DUMMYFUNCTION("""COMPUTED_VALUE"""),"1742825310810")</f>
        <v>1742825310810</v>
      </c>
      <c r="B678" s="2"/>
      <c r="C678" s="2" t="str">
        <v>0</v>
      </c>
      <c r="D678" s="2"/>
      <c r="E678" s="2">
        <f ca="1">IFERROR(__xludf.DUMMYFUNCTION("""COMPUTED_VALUE"""),986347140)</f>
        <v>986347140</v>
      </c>
      <c r="F678" s="2" t="str">
        <f ca="1"/>
        <v>0986347140</v>
      </c>
      <c r="G678" s="2" t="str">
        <f ca="1">IFERROR(__xludf.DUMMYFUNCTION("""COMPUTED_VALUE"""),"105773927475")</f>
        <v>105773927475</v>
      </c>
      <c r="I678" s="2" t="str">
        <f ca="1">IFERROR(__xludf.DUMMYFUNCTION("""COMPUTED_VALUE"""),"Võ Phương Thanh")</f>
        <v>Võ Phương Thanh</v>
      </c>
      <c r="J678" s="3" t="str">
        <f ca="1">IFERROR(__xludf.DUMMYFUNCTION("""COMPUTED_VALUE"""),"0944593269")</f>
        <v>0944593269</v>
      </c>
      <c r="K678" s="2" t="str">
        <f ca="1">IFERROR(__xludf.DUMMYFUNCTION("""COMPUTED_VALUE"""),"1742825310810")</f>
        <v>1742825310810</v>
      </c>
    </row>
    <row r="679" spans="1:11" ht="12.45">
      <c r="A679" s="2" t="str">
        <f ca="1">IFERROR(__xludf.DUMMYFUNCTION("""COMPUTED_VALUE"""),"1742825342598")</f>
        <v>1742825342598</v>
      </c>
      <c r="B679" s="2"/>
      <c r="C679" s="2" t="str">
        <v>0</v>
      </c>
      <c r="D679" s="2"/>
      <c r="E679" s="2">
        <f ca="1">IFERROR(__xludf.DUMMYFUNCTION("""COMPUTED_VALUE"""),382815075)</f>
        <v>382815075</v>
      </c>
      <c r="F679" s="2" t="str">
        <f ca="1"/>
        <v>0382815075</v>
      </c>
      <c r="G679" s="2" t="str">
        <f ca="1">IFERROR(__xludf.DUMMYFUNCTION("""COMPUTED_VALUE"""),"105773927654")</f>
        <v>105773927654</v>
      </c>
      <c r="I679" s="2" t="str">
        <f ca="1">IFERROR(__xludf.DUMMYFUNCTION("""COMPUTED_VALUE"""),"Dương Vương Ninh")</f>
        <v>Dương Vương Ninh</v>
      </c>
      <c r="J679" s="3" t="str">
        <f ca="1">IFERROR(__xludf.DUMMYFUNCTION("""COMPUTED_VALUE"""),"0942189690")</f>
        <v>0942189690</v>
      </c>
      <c r="K679" s="2" t="str">
        <f ca="1">IFERROR(__xludf.DUMMYFUNCTION("""COMPUTED_VALUE"""),"1742825342598")</f>
        <v>1742825342598</v>
      </c>
    </row>
    <row r="680" spans="1:11" ht="12.45">
      <c r="A680" s="2" t="str">
        <f ca="1">IFERROR(__xludf.DUMMYFUNCTION("""COMPUTED_VALUE"""),"1742825384322")</f>
        <v>1742825384322</v>
      </c>
      <c r="B680" s="2"/>
      <c r="C680" s="2" t="str">
        <v>0</v>
      </c>
      <c r="D680" s="2"/>
      <c r="E680" s="2">
        <f ca="1">IFERROR(__xludf.DUMMYFUNCTION("""COMPUTED_VALUE"""),944555587)</f>
        <v>944555587</v>
      </c>
      <c r="F680" s="2" t="str">
        <f ca="1"/>
        <v>0944555587</v>
      </c>
      <c r="G680" s="2" t="str">
        <f ca="1">IFERROR(__xludf.DUMMYFUNCTION("""COMPUTED_VALUE"""),"105773927719")</f>
        <v>105773927719</v>
      </c>
      <c r="I680" s="2" t="str">
        <f ca="1">IFERROR(__xludf.DUMMYFUNCTION("""COMPUTED_VALUE"""),"Phạm Lê Khánh Vy")</f>
        <v>Phạm Lê Khánh Vy</v>
      </c>
      <c r="J680" s="3" t="str">
        <f ca="1">IFERROR(__xludf.DUMMYFUNCTION("""COMPUTED_VALUE"""),"0373601193")</f>
        <v>0373601193</v>
      </c>
      <c r="K680" s="2" t="str">
        <f ca="1">IFERROR(__xludf.DUMMYFUNCTION("""COMPUTED_VALUE"""),"1742825384322")</f>
        <v>1742825384322</v>
      </c>
    </row>
    <row r="681" spans="1:11" ht="12.45">
      <c r="A681" s="2" t="str">
        <f ca="1">IFERROR(__xludf.DUMMYFUNCTION("""COMPUTED_VALUE"""),"1742825419580")</f>
        <v>1742825419580</v>
      </c>
      <c r="B681" s="2"/>
      <c r="C681" s="2" t="str">
        <v>0</v>
      </c>
      <c r="D681" s="2"/>
      <c r="E681" s="2">
        <f ca="1">IFERROR(__xludf.DUMMYFUNCTION("""COMPUTED_VALUE"""),793286144)</f>
        <v>793286144</v>
      </c>
      <c r="F681" s="2" t="str">
        <f ca="1"/>
        <v>0793286144</v>
      </c>
      <c r="G681" s="2" t="str">
        <f ca="1">IFERROR(__xludf.DUMMYFUNCTION("""COMPUTED_VALUE"""),"105773927937")</f>
        <v>105773927937</v>
      </c>
      <c r="I681" s="2" t="str">
        <f ca="1">IFERROR(__xludf.DUMMYFUNCTION("""COMPUTED_VALUE"""),"Dương Kiều Trang")</f>
        <v>Dương Kiều Trang</v>
      </c>
      <c r="J681" s="3" t="str">
        <f ca="1">IFERROR(__xludf.DUMMYFUNCTION("""COMPUTED_VALUE"""),"0842134270")</f>
        <v>0842134270</v>
      </c>
      <c r="K681" s="2" t="str">
        <f ca="1">IFERROR(__xludf.DUMMYFUNCTION("""COMPUTED_VALUE"""),"1742825419580")</f>
        <v>1742825419580</v>
      </c>
    </row>
    <row r="682" spans="1:11" ht="12.45">
      <c r="A682" s="2" t="str">
        <f ca="1">IFERROR(__xludf.DUMMYFUNCTION("""COMPUTED_VALUE"""),"1742825457668")</f>
        <v>1742825457668</v>
      </c>
      <c r="B682" s="2"/>
      <c r="C682" s="2" t="str">
        <v>0</v>
      </c>
      <c r="D682" s="2"/>
      <c r="E682" s="2">
        <f ca="1">IFERROR(__xludf.DUMMYFUNCTION("""COMPUTED_VALUE"""),333277043)</f>
        <v>333277043</v>
      </c>
      <c r="F682" s="2" t="str">
        <f ca="1"/>
        <v>0333277043</v>
      </c>
      <c r="G682" s="2" t="str">
        <f ca="1">IFERROR(__xludf.DUMMYFUNCTION("""COMPUTED_VALUE"""),"105773928045")</f>
        <v>105773928045</v>
      </c>
      <c r="I682" s="2" t="str">
        <f ca="1">IFERROR(__xludf.DUMMYFUNCTION("""COMPUTED_VALUE"""),"Nguyễn Thị Bảo Hân")</f>
        <v>Nguyễn Thị Bảo Hân</v>
      </c>
      <c r="J682" s="3" t="str">
        <f ca="1">IFERROR(__xludf.DUMMYFUNCTION("""COMPUTED_VALUE"""),"0768448508")</f>
        <v>0768448508</v>
      </c>
      <c r="K682" s="2" t="str">
        <f ca="1">IFERROR(__xludf.DUMMYFUNCTION("""COMPUTED_VALUE"""),"1742825457668")</f>
        <v>1742825457668</v>
      </c>
    </row>
    <row r="683" spans="1:11" ht="12.45">
      <c r="A683" s="2" t="str">
        <f ca="1">IFERROR(__xludf.DUMMYFUNCTION("""COMPUTED_VALUE"""),"1742825505094")</f>
        <v>1742825505094</v>
      </c>
      <c r="B683" s="2"/>
      <c r="C683" s="2" t="str">
        <v>0</v>
      </c>
      <c r="D683" s="2"/>
      <c r="E683" s="2">
        <f ca="1">IFERROR(__xludf.DUMMYFUNCTION("""COMPUTED_VALUE"""),336371270)</f>
        <v>336371270</v>
      </c>
      <c r="F683" s="2" t="str">
        <f ca="1"/>
        <v>0336371270</v>
      </c>
      <c r="G683" s="2" t="str">
        <f ca="1">IFERROR(__xludf.DUMMYFUNCTION("""COMPUTED_VALUE"""),"105773928175")</f>
        <v>105773928175</v>
      </c>
      <c r="I683" s="2" t="str">
        <f ca="1">IFERROR(__xludf.DUMMYFUNCTION("""COMPUTED_VALUE"""),"Trần Thị Thuỳ Dương ")</f>
        <v xml:space="preserve">Trần Thị Thuỳ Dương </v>
      </c>
      <c r="J683" s="3" t="str">
        <f ca="1">IFERROR(__xludf.DUMMYFUNCTION("""COMPUTED_VALUE"""),"0869882757")</f>
        <v>0869882757</v>
      </c>
      <c r="K683" s="2" t="str">
        <f ca="1">IFERROR(__xludf.DUMMYFUNCTION("""COMPUTED_VALUE"""),"1742825505094")</f>
        <v>1742825505094</v>
      </c>
    </row>
    <row r="684" spans="1:11" ht="12.45">
      <c r="A684" s="2" t="str">
        <f ca="1">IFERROR(__xludf.DUMMYFUNCTION("""COMPUTED_VALUE"""),"1742825538615")</f>
        <v>1742825538615</v>
      </c>
      <c r="B684" s="2"/>
      <c r="C684" s="2" t="str">
        <v>0</v>
      </c>
      <c r="D684" s="2"/>
      <c r="E684" s="2">
        <f ca="1">IFERROR(__xludf.DUMMYFUNCTION("""COMPUTED_VALUE"""),794688480)</f>
        <v>794688480</v>
      </c>
      <c r="F684" s="2" t="str">
        <f ca="1"/>
        <v>0794688480</v>
      </c>
      <c r="G684" s="2" t="str">
        <f ca="1">IFERROR(__xludf.DUMMYFUNCTION("""COMPUTED_VALUE"""),"105773928214")</f>
        <v>105773928214</v>
      </c>
      <c r="I684" s="2" t="str">
        <f ca="1">IFERROR(__xludf.DUMMYFUNCTION("""COMPUTED_VALUE"""),"Nguyễn Kiều Thanh")</f>
        <v>Nguyễn Kiều Thanh</v>
      </c>
      <c r="J684" s="3" t="str">
        <f ca="1">IFERROR(__xludf.DUMMYFUNCTION("""COMPUTED_VALUE"""),"0916082856")</f>
        <v>0916082856</v>
      </c>
      <c r="K684" s="2" t="str">
        <f ca="1">IFERROR(__xludf.DUMMYFUNCTION("""COMPUTED_VALUE"""),"1742825538615")</f>
        <v>1742825538615</v>
      </c>
    </row>
    <row r="685" spans="1:11" ht="12.45">
      <c r="A685" s="2" t="str">
        <f ca="1">IFERROR(__xludf.DUMMYFUNCTION("""COMPUTED_VALUE"""),"1742825572078")</f>
        <v>1742825572078</v>
      </c>
      <c r="B685" s="2"/>
      <c r="C685" s="2" t="str">
        <v>0</v>
      </c>
      <c r="D685" s="2"/>
      <c r="E685" s="2">
        <f ca="1">IFERROR(__xludf.DUMMYFUNCTION("""COMPUTED_VALUE"""),396901191)</f>
        <v>396901191</v>
      </c>
      <c r="F685" s="2" t="str">
        <f ca="1"/>
        <v>0396901191</v>
      </c>
      <c r="G685" s="2" t="str">
        <f ca="1">IFERROR(__xludf.DUMMYFUNCTION("""COMPUTED_VALUE"""),"106214432221")</f>
        <v>106214432221</v>
      </c>
      <c r="I685" s="2" t="str">
        <f ca="1">IFERROR(__xludf.DUMMYFUNCTION("""COMPUTED_VALUE"""),"bùi thị thu hoài")</f>
        <v>bùi thị thu hoài</v>
      </c>
      <c r="J685" s="3" t="str">
        <f ca="1">IFERROR(__xludf.DUMMYFUNCTION("""COMPUTED_VALUE"""),"0708960526")</f>
        <v>0708960526</v>
      </c>
      <c r="K685" s="2" t="str">
        <f ca="1">IFERROR(__xludf.DUMMYFUNCTION("""COMPUTED_VALUE"""),"1742825572078")</f>
        <v>1742825572078</v>
      </c>
    </row>
    <row r="686" spans="1:11" ht="12.45">
      <c r="A686" s="2" t="str">
        <f ca="1">IFERROR(__xludf.DUMMYFUNCTION("""COMPUTED_VALUE"""),"1742825605629")</f>
        <v>1742825605629</v>
      </c>
      <c r="B686" s="2"/>
      <c r="C686" s="2" t="str">
        <v>0</v>
      </c>
      <c r="D686" s="2"/>
      <c r="E686" s="2">
        <f ca="1">IFERROR(__xludf.DUMMYFUNCTION("""COMPUTED_VALUE"""),774631251)</f>
        <v>774631251</v>
      </c>
      <c r="F686" s="2" t="str">
        <f ca="1"/>
        <v>0774631251</v>
      </c>
      <c r="G686" s="2" t="str">
        <f ca="1">IFERROR(__xludf.DUMMYFUNCTION("""COMPUTED_VALUE"""),"106214432347")</f>
        <v>106214432347</v>
      </c>
      <c r="I686" s="2" t="str">
        <f ca="1">IFERROR(__xludf.DUMMYFUNCTION("""COMPUTED_VALUE"""),"Ma Phan Đức ")</f>
        <v xml:space="preserve">Ma Phan Đức </v>
      </c>
      <c r="J686" s="3" t="str">
        <f ca="1">IFERROR(__xludf.DUMMYFUNCTION("""COMPUTED_VALUE"""),"0394754283")</f>
        <v>0394754283</v>
      </c>
      <c r="K686" s="2" t="str">
        <f ca="1">IFERROR(__xludf.DUMMYFUNCTION("""COMPUTED_VALUE"""),"1742825605629")</f>
        <v>1742825605629</v>
      </c>
    </row>
    <row r="687" spans="1:11" ht="12.45">
      <c r="A687" s="2" t="str">
        <f ca="1">IFERROR(__xludf.DUMMYFUNCTION("""COMPUTED_VALUE"""),"1742825641467")</f>
        <v>1742825641467</v>
      </c>
      <c r="B687" s="2"/>
      <c r="C687" s="2" t="str">
        <v>0</v>
      </c>
      <c r="D687" s="2"/>
      <c r="E687" s="2">
        <f ca="1">IFERROR(__xludf.DUMMYFUNCTION("""COMPUTED_VALUE"""),946882941)</f>
        <v>946882941</v>
      </c>
      <c r="F687" s="2" t="str">
        <f ca="1"/>
        <v>0946882941</v>
      </c>
      <c r="G687" s="2" t="str">
        <f ca="1">IFERROR(__xludf.DUMMYFUNCTION("""COMPUTED_VALUE"""),"106214432415")</f>
        <v>106214432415</v>
      </c>
      <c r="I687" s="2" t="str">
        <f ca="1">IFERROR(__xludf.DUMMYFUNCTION("""COMPUTED_VALUE"""),"Trần Nguyễn Như Quỳnh")</f>
        <v>Trần Nguyễn Như Quỳnh</v>
      </c>
      <c r="J687" s="3" t="str">
        <f ca="1">IFERROR(__xludf.DUMMYFUNCTION("""COMPUTED_VALUE"""),"0397963954")</f>
        <v>0397963954</v>
      </c>
      <c r="K687" s="2" t="str">
        <f ca="1">IFERROR(__xludf.DUMMYFUNCTION("""COMPUTED_VALUE"""),"1742825641467")</f>
        <v>1742825641467</v>
      </c>
    </row>
    <row r="688" spans="1:11" ht="12.45">
      <c r="A688" s="2" t="str">
        <f ca="1">IFERROR(__xludf.DUMMYFUNCTION("""COMPUTED_VALUE"""),"1742825685586")</f>
        <v>1742825685586</v>
      </c>
      <c r="B688" s="2"/>
      <c r="C688" s="2" t="str">
        <v>0</v>
      </c>
      <c r="D688" s="2"/>
      <c r="E688" s="2">
        <f ca="1">IFERROR(__xludf.DUMMYFUNCTION("""COMPUTED_VALUE"""),393293097)</f>
        <v>393293097</v>
      </c>
      <c r="F688" s="2" t="str">
        <f ca="1"/>
        <v>0393293097</v>
      </c>
      <c r="G688" s="2" t="str">
        <f ca="1">IFERROR(__xludf.DUMMYFUNCTION("""COMPUTED_VALUE"""),"106214432555")</f>
        <v>106214432555</v>
      </c>
      <c r="I688" s="2" t="str">
        <f ca="1">IFERROR(__xludf.DUMMYFUNCTION("""COMPUTED_VALUE"""),"Hà Thanh Ngân ")</f>
        <v xml:space="preserve">Hà Thanh Ngân </v>
      </c>
      <c r="J688" s="3" t="str">
        <f ca="1">IFERROR(__xludf.DUMMYFUNCTION("""COMPUTED_VALUE"""),"0392038983")</f>
        <v>0392038983</v>
      </c>
      <c r="K688" s="2" t="str">
        <f ca="1">IFERROR(__xludf.DUMMYFUNCTION("""COMPUTED_VALUE"""),"1742825685586")</f>
        <v>1742825685586</v>
      </c>
    </row>
    <row r="689" spans="1:11" ht="12.45">
      <c r="A689" s="2" t="str">
        <f ca="1">IFERROR(__xludf.DUMMYFUNCTION("""COMPUTED_VALUE"""),"1740104364095")</f>
        <v>1740104364095</v>
      </c>
      <c r="B689" s="2"/>
      <c r="C689" s="2" t="str">
        <v>0</v>
      </c>
      <c r="D689" s="2"/>
      <c r="E689" s="2">
        <f ca="1">IFERROR(__xludf.DUMMYFUNCTION("""COMPUTED_VALUE"""),978701745)</f>
        <v>978701745</v>
      </c>
      <c r="F689" s="2" t="str">
        <f ca="1"/>
        <v>0978701745</v>
      </c>
      <c r="G689" s="2" t="str">
        <f ca="1">IFERROR(__xludf.DUMMYFUNCTION("""COMPUTED_VALUE"""),"106214432614")</f>
        <v>106214432614</v>
      </c>
      <c r="I689" s="2" t="str">
        <f ca="1">IFERROR(__xludf.DUMMYFUNCTION("""COMPUTED_VALUE"""),"Trần Hữu Duy")</f>
        <v>Trần Hữu Duy</v>
      </c>
      <c r="J689" s="3" t="str">
        <f ca="1">IFERROR(__xludf.DUMMYFUNCTION("""COMPUTED_VALUE"""),"0962845618")</f>
        <v>0962845618</v>
      </c>
      <c r="K689" s="2" t="str">
        <f ca="1">IFERROR(__xludf.DUMMYFUNCTION("""COMPUTED_VALUE"""),"1740104364095")</f>
        <v>1740104364095</v>
      </c>
    </row>
    <row r="690" spans="1:11" ht="12.45">
      <c r="A690" s="2" t="str">
        <f ca="1">IFERROR(__xludf.DUMMYFUNCTION("""COMPUTED_VALUE"""),"1742825736670")</f>
        <v>1742825736670</v>
      </c>
      <c r="B690" s="2"/>
      <c r="C690" s="2" t="str">
        <v>0</v>
      </c>
      <c r="D690" s="2"/>
      <c r="E690" s="2">
        <f ca="1">IFERROR(__xludf.DUMMYFUNCTION("""COMPUTED_VALUE"""),852500407)</f>
        <v>852500407</v>
      </c>
      <c r="F690" s="2" t="str">
        <f ca="1"/>
        <v>0852500407</v>
      </c>
      <c r="G690" s="2" t="str">
        <f ca="1">IFERROR(__xludf.DUMMYFUNCTION("""COMPUTED_VALUE"""),"106214432731")</f>
        <v>106214432731</v>
      </c>
      <c r="I690" s="2" t="str">
        <f ca="1">IFERROR(__xludf.DUMMYFUNCTION("""COMPUTED_VALUE"""),"Nguyễn Ngọc Anh")</f>
        <v>Nguyễn Ngọc Anh</v>
      </c>
      <c r="J690" s="3" t="str">
        <f ca="1">IFERROR(__xludf.DUMMYFUNCTION("""COMPUTED_VALUE"""),"0822223387")</f>
        <v>0822223387</v>
      </c>
      <c r="K690" s="2" t="str">
        <f ca="1">IFERROR(__xludf.DUMMYFUNCTION("""COMPUTED_VALUE"""),"1742825736670")</f>
        <v>1742825736670</v>
      </c>
    </row>
    <row r="691" spans="1:11" ht="12.45">
      <c r="A691" s="2" t="str">
        <f ca="1">IFERROR(__xludf.DUMMYFUNCTION("""COMPUTED_VALUE"""),"1742825774730")</f>
        <v>1742825774730</v>
      </c>
      <c r="B691" s="2"/>
      <c r="C691" s="2" t="str">
        <v>0</v>
      </c>
      <c r="D691" s="2"/>
      <c r="E691" s="2">
        <f ca="1">IFERROR(__xludf.DUMMYFUNCTION("""COMPUTED_VALUE"""),971003651)</f>
        <v>971003651</v>
      </c>
      <c r="F691" s="2" t="str">
        <f ca="1"/>
        <v>0971003651</v>
      </c>
      <c r="G691" s="2" t="str">
        <f ca="1">IFERROR(__xludf.DUMMYFUNCTION("""COMPUTED_VALUE"""),"106214432814")</f>
        <v>106214432814</v>
      </c>
      <c r="I691" s="2" t="str">
        <f ca="1">IFERROR(__xludf.DUMMYFUNCTION("""COMPUTED_VALUE"""),"TRẦN THỊ LAN LINH")</f>
        <v>TRẦN THỊ LAN LINH</v>
      </c>
      <c r="J691" s="3" t="str">
        <f ca="1">IFERROR(__xludf.DUMMYFUNCTION("""COMPUTED_VALUE"""),"0979505249")</f>
        <v>0979505249</v>
      </c>
      <c r="K691" s="2" t="str">
        <f ca="1">IFERROR(__xludf.DUMMYFUNCTION("""COMPUTED_VALUE"""),"1742825774730")</f>
        <v>1742825774730</v>
      </c>
    </row>
    <row r="692" spans="1:11" ht="12.45">
      <c r="A692" s="2" t="str">
        <f ca="1">IFERROR(__xludf.DUMMYFUNCTION("""COMPUTED_VALUE"""),"1742825813509")</f>
        <v>1742825813509</v>
      </c>
      <c r="B692" s="2"/>
      <c r="C692" s="2" t="str">
        <v>0</v>
      </c>
      <c r="D692" s="2"/>
      <c r="E692" s="2">
        <f ca="1">IFERROR(__xludf.DUMMYFUNCTION("""COMPUTED_VALUE"""),327388465)</f>
        <v>327388465</v>
      </c>
      <c r="F692" s="2" t="str">
        <f ca="1"/>
        <v>0327388465</v>
      </c>
      <c r="G692" s="2" t="str">
        <f ca="1">IFERROR(__xludf.DUMMYFUNCTION("""COMPUTED_VALUE"""),"106214432944")</f>
        <v>106214432944</v>
      </c>
      <c r="I692" s="2" t="str">
        <f ca="1">IFERROR(__xludf.DUMMYFUNCTION("""COMPUTED_VALUE"""),"nguyễn như bảo ngọc ")</f>
        <v xml:space="preserve">nguyễn như bảo ngọc </v>
      </c>
      <c r="J692" s="3" t="str">
        <f ca="1">IFERROR(__xludf.DUMMYFUNCTION("""COMPUTED_VALUE"""),"0949588913")</f>
        <v>0949588913</v>
      </c>
      <c r="K692" s="2" t="str">
        <f ca="1">IFERROR(__xludf.DUMMYFUNCTION("""COMPUTED_VALUE"""),"1742825813509")</f>
        <v>1742825813509</v>
      </c>
    </row>
    <row r="693" spans="1:11" ht="12.45">
      <c r="A693" s="2" t="str">
        <f ca="1">IFERROR(__xludf.DUMMYFUNCTION("""COMPUTED_VALUE"""),"1742825849574")</f>
        <v>1742825849574</v>
      </c>
      <c r="B693" s="2"/>
      <c r="C693" s="2" t="str">
        <v>0</v>
      </c>
      <c r="D693" s="2"/>
      <c r="E693" s="2">
        <f ca="1">IFERROR(__xludf.DUMMYFUNCTION("""COMPUTED_VALUE"""),985091245)</f>
        <v>985091245</v>
      </c>
      <c r="F693" s="2" t="str">
        <f ca="1"/>
        <v>0985091245</v>
      </c>
      <c r="G693" s="2" t="str">
        <f ca="1">IFERROR(__xludf.DUMMYFUNCTION("""COMPUTED_VALUE"""),"106214433059")</f>
        <v>106214433059</v>
      </c>
      <c r="I693" s="2" t="str">
        <f ca="1">IFERROR(__xludf.DUMMYFUNCTION("""COMPUTED_VALUE"""),"Trần Hà Anh")</f>
        <v>Trần Hà Anh</v>
      </c>
      <c r="J693" s="3" t="str">
        <f ca="1">IFERROR(__xludf.DUMMYFUNCTION("""COMPUTED_VALUE"""),"0384270707")</f>
        <v>0384270707</v>
      </c>
      <c r="K693" s="2" t="str">
        <f ca="1">IFERROR(__xludf.DUMMYFUNCTION("""COMPUTED_VALUE"""),"1742825849574")</f>
        <v>1742825849574</v>
      </c>
    </row>
    <row r="694" spans="1:11" ht="12.45">
      <c r="A694" s="2" t="str">
        <f ca="1">IFERROR(__xludf.DUMMYFUNCTION("""COMPUTED_VALUE"""),"1742825877231")</f>
        <v>1742825877231</v>
      </c>
      <c r="B694" s="2"/>
      <c r="C694" s="2" t="str">
        <v>0</v>
      </c>
      <c r="D694" s="2"/>
      <c r="E694" s="2">
        <f ca="1">IFERROR(__xludf.DUMMYFUNCTION("""COMPUTED_VALUE"""),858767103)</f>
        <v>858767103</v>
      </c>
      <c r="F694" s="2" t="str">
        <f ca="1"/>
        <v>0858767103</v>
      </c>
      <c r="G694" s="2" t="str">
        <f ca="1">IFERROR(__xludf.DUMMYFUNCTION("""COMPUTED_VALUE"""),"106214433130")</f>
        <v>106214433130</v>
      </c>
      <c r="I694" s="2" t="str">
        <f ca="1">IFERROR(__xludf.DUMMYFUNCTION("""COMPUTED_VALUE"""),"Nguyễn Huyền Diệp ")</f>
        <v xml:space="preserve">Nguyễn Huyền Diệp </v>
      </c>
      <c r="J694" s="3" t="str">
        <f ca="1">IFERROR(__xludf.DUMMYFUNCTION("""COMPUTED_VALUE"""),"0985983124")</f>
        <v>0985983124</v>
      </c>
      <c r="K694" s="2" t="str">
        <f ca="1">IFERROR(__xludf.DUMMYFUNCTION("""COMPUTED_VALUE"""),"1742825877231")</f>
        <v>1742825877231</v>
      </c>
    </row>
    <row r="695" spans="1:11" ht="12.45">
      <c r="A695" s="2" t="str">
        <f ca="1">IFERROR(__xludf.DUMMYFUNCTION("""COMPUTED_VALUE"""),"1742825908763")</f>
        <v>1742825908763</v>
      </c>
      <c r="B695" s="2"/>
      <c r="C695" s="2" t="str">
        <v>0</v>
      </c>
      <c r="D695" s="2"/>
      <c r="E695" s="2">
        <f ca="1">IFERROR(__xludf.DUMMYFUNCTION("""COMPUTED_VALUE"""),398564185)</f>
        <v>398564185</v>
      </c>
      <c r="F695" s="2" t="str">
        <f ca="1"/>
        <v>0398564185</v>
      </c>
      <c r="G695" s="2" t="str">
        <f ca="1">IFERROR(__xludf.DUMMYFUNCTION("""COMPUTED_VALUE"""),"106214433228")</f>
        <v>106214433228</v>
      </c>
      <c r="I695" s="2" t="str">
        <f ca="1">IFERROR(__xludf.DUMMYFUNCTION("""COMPUTED_VALUE"""),"Nguyễn Ngọc Thanh Thảo")</f>
        <v>Nguyễn Ngọc Thanh Thảo</v>
      </c>
      <c r="J695" s="3" t="str">
        <f ca="1">IFERROR(__xludf.DUMMYFUNCTION("""COMPUTED_VALUE"""),"0935968471")</f>
        <v>0935968471</v>
      </c>
      <c r="K695" s="2" t="str">
        <f ca="1">IFERROR(__xludf.DUMMYFUNCTION("""COMPUTED_VALUE"""),"1742825908763")</f>
        <v>1742825908763</v>
      </c>
    </row>
    <row r="696" spans="1:11" ht="12.45">
      <c r="A696" s="2" t="str">
        <f ca="1">IFERROR(__xludf.DUMMYFUNCTION("""COMPUTED_VALUE"""),"1742825947903")</f>
        <v>1742825947903</v>
      </c>
      <c r="B696" s="2"/>
      <c r="C696" s="2" t="str">
        <v>0</v>
      </c>
      <c r="D696" s="2"/>
      <c r="E696" s="2">
        <f ca="1">IFERROR(__xludf.DUMMYFUNCTION("""COMPUTED_VALUE"""),982599072)</f>
        <v>982599072</v>
      </c>
      <c r="F696" s="2" t="str">
        <f ca="1"/>
        <v>0982599072</v>
      </c>
      <c r="G696" s="2" t="str">
        <f ca="1">IFERROR(__xludf.DUMMYFUNCTION("""COMPUTED_VALUE"""),"106214433349")</f>
        <v>106214433349</v>
      </c>
      <c r="I696" s="2" t="str">
        <f ca="1">IFERROR(__xludf.DUMMYFUNCTION("""COMPUTED_VALUE"""),"Nguyễn Thanh Bình")</f>
        <v>Nguyễn Thanh Bình</v>
      </c>
      <c r="J696" s="3" t="str">
        <f ca="1">IFERROR(__xludf.DUMMYFUNCTION("""COMPUTED_VALUE"""),"0329160309")</f>
        <v>0329160309</v>
      </c>
      <c r="K696" s="2" t="str">
        <f ca="1">IFERROR(__xludf.DUMMYFUNCTION("""COMPUTED_VALUE"""),"1742825947903")</f>
        <v>1742825947903</v>
      </c>
    </row>
    <row r="697" spans="1:11" ht="12.45">
      <c r="A697" s="2" t="str">
        <f ca="1">IFERROR(__xludf.DUMMYFUNCTION("""COMPUTED_VALUE"""),"1742825983895")</f>
        <v>1742825983895</v>
      </c>
      <c r="B697" s="2"/>
      <c r="C697" s="2" t="str">
        <v>0</v>
      </c>
      <c r="D697" s="2"/>
      <c r="E697" s="2">
        <f ca="1">IFERROR(__xludf.DUMMYFUNCTION("""COMPUTED_VALUE"""),978068758)</f>
        <v>978068758</v>
      </c>
      <c r="F697" s="2" t="str">
        <f ca="1"/>
        <v>0978068758</v>
      </c>
      <c r="G697" s="2" t="str">
        <f ca="1">IFERROR(__xludf.DUMMYFUNCTION("""COMPUTED_VALUE"""),"106214433471")</f>
        <v>106214433471</v>
      </c>
      <c r="I697" s="2" t="str">
        <f ca="1">IFERROR(__xludf.DUMMYFUNCTION("""COMPUTED_VALUE"""),"Nguyễn Ngọc Minh Tâm")</f>
        <v>Nguyễn Ngọc Minh Tâm</v>
      </c>
      <c r="J697" s="3" t="str">
        <f ca="1">IFERROR(__xludf.DUMMYFUNCTION("""COMPUTED_VALUE"""),"0938821175")</f>
        <v>0938821175</v>
      </c>
      <c r="K697" s="2" t="str">
        <f ca="1">IFERROR(__xludf.DUMMYFUNCTION("""COMPUTED_VALUE"""),"1742825983895")</f>
        <v>1742825983895</v>
      </c>
    </row>
    <row r="698" spans="1:11" ht="12.45">
      <c r="A698" s="2" t="str">
        <f ca="1">IFERROR(__xludf.DUMMYFUNCTION("""COMPUTED_VALUE"""),"1742826044716")</f>
        <v>1742826044716</v>
      </c>
      <c r="B698" s="2"/>
      <c r="C698" s="2" t="str">
        <v>0</v>
      </c>
      <c r="D698" s="2"/>
      <c r="E698" s="2">
        <f ca="1">IFERROR(__xludf.DUMMYFUNCTION("""COMPUTED_VALUE"""),862162298)</f>
        <v>862162298</v>
      </c>
      <c r="F698" s="2" t="str">
        <f ca="1"/>
        <v>0862162298</v>
      </c>
      <c r="G698" s="2" t="str">
        <f ca="1">IFERROR(__xludf.DUMMYFUNCTION("""COMPUTED_VALUE"""),"106214433549")</f>
        <v>106214433549</v>
      </c>
      <c r="I698" s="2" t="str">
        <f ca="1">IFERROR(__xludf.DUMMYFUNCTION("""COMPUTED_VALUE"""),"Hoàng Thu Hà")</f>
        <v>Hoàng Thu Hà</v>
      </c>
      <c r="J698" s="3" t="str">
        <f ca="1">IFERROR(__xludf.DUMMYFUNCTION("""COMPUTED_VALUE"""),"0332892474")</f>
        <v>0332892474</v>
      </c>
      <c r="K698" s="2" t="str">
        <f ca="1">IFERROR(__xludf.DUMMYFUNCTION("""COMPUTED_VALUE"""),"1742826044716")</f>
        <v>1742826044716</v>
      </c>
    </row>
    <row r="699" spans="1:11" ht="12.45">
      <c r="A699" s="2" t="str">
        <f ca="1">IFERROR(__xludf.DUMMYFUNCTION("""COMPUTED_VALUE"""),"1742826081822")</f>
        <v>1742826081822</v>
      </c>
      <c r="B699" s="2"/>
      <c r="C699" s="2" t="str">
        <v>0</v>
      </c>
      <c r="D699" s="2"/>
      <c r="E699" s="2">
        <f ca="1">IFERROR(__xludf.DUMMYFUNCTION("""COMPUTED_VALUE"""),373507986)</f>
        <v>373507986</v>
      </c>
      <c r="F699" s="2" t="str">
        <f ca="1"/>
        <v>0373507986</v>
      </c>
      <c r="G699" s="2" t="str">
        <f ca="1">IFERROR(__xludf.DUMMYFUNCTION("""COMPUTED_VALUE"""),"106214433712")</f>
        <v>106214433712</v>
      </c>
      <c r="I699" s="2" t="str">
        <f ca="1">IFERROR(__xludf.DUMMYFUNCTION("""COMPUTED_VALUE"""),"Nguyễn Phạm Hoàn Mỹ")</f>
        <v>Nguyễn Phạm Hoàn Mỹ</v>
      </c>
      <c r="J699" s="3" t="str">
        <f ca="1">IFERROR(__xludf.DUMMYFUNCTION("""COMPUTED_VALUE"""),"0945021554")</f>
        <v>0945021554</v>
      </c>
      <c r="K699" s="2" t="str">
        <f ca="1">IFERROR(__xludf.DUMMYFUNCTION("""COMPUTED_VALUE"""),"1742826081822")</f>
        <v>1742826081822</v>
      </c>
    </row>
    <row r="700" spans="1:11" ht="12.45">
      <c r="A700" s="2" t="str">
        <f ca="1">IFERROR(__xludf.DUMMYFUNCTION("""COMPUTED_VALUE"""),"1742826119664")</f>
        <v>1742826119664</v>
      </c>
      <c r="B700" s="2"/>
      <c r="C700" s="2" t="str">
        <v>0</v>
      </c>
      <c r="D700" s="2"/>
      <c r="E700" s="2">
        <f ca="1">IFERROR(__xludf.DUMMYFUNCTION("""COMPUTED_VALUE"""),834865636)</f>
        <v>834865636</v>
      </c>
      <c r="F700" s="2" t="str">
        <f ca="1"/>
        <v>0834865636</v>
      </c>
      <c r="G700" s="2" t="str">
        <f ca="1">IFERROR(__xludf.DUMMYFUNCTION("""COMPUTED_VALUE"""),"106214433868")</f>
        <v>106214433868</v>
      </c>
      <c r="I700" s="2" t="str">
        <f ca="1">IFERROR(__xludf.DUMMYFUNCTION("""COMPUTED_VALUE"""),"Nguyễn Huệ Giang ")</f>
        <v xml:space="preserve">Nguyễn Huệ Giang </v>
      </c>
      <c r="J700" s="3" t="str">
        <f ca="1">IFERROR(__xludf.DUMMYFUNCTION("""COMPUTED_VALUE"""),"0856038423")</f>
        <v>0856038423</v>
      </c>
      <c r="K700" s="2" t="str">
        <f ca="1">IFERROR(__xludf.DUMMYFUNCTION("""COMPUTED_VALUE"""),"1742826119664")</f>
        <v>1742826119664</v>
      </c>
    </row>
    <row r="701" spans="1:11" ht="12.45">
      <c r="A701" s="2" t="str">
        <f ca="1">IFERROR(__xludf.DUMMYFUNCTION("""COMPUTED_VALUE"""),"1742826159214")</f>
        <v>1742826159214</v>
      </c>
      <c r="B701" s="2"/>
      <c r="C701" s="2" t="str">
        <v>0</v>
      </c>
      <c r="D701" s="2"/>
      <c r="E701" s="2">
        <f ca="1">IFERROR(__xludf.DUMMYFUNCTION("""COMPUTED_VALUE"""),355413811)</f>
        <v>355413811</v>
      </c>
      <c r="F701" s="2" t="str">
        <f ca="1"/>
        <v>0355413811</v>
      </c>
      <c r="G701" s="2" t="str">
        <f ca="1">IFERROR(__xludf.DUMMYFUNCTION("""COMPUTED_VALUE"""),"106214433939")</f>
        <v>106214433939</v>
      </c>
      <c r="I701" s="2" t="str">
        <f ca="1">IFERROR(__xludf.DUMMYFUNCTION("""COMPUTED_VALUE"""),"Nguyễn Lê Thảo Vân")</f>
        <v>Nguyễn Lê Thảo Vân</v>
      </c>
      <c r="J701" s="3" t="str">
        <f ca="1">IFERROR(__xludf.DUMMYFUNCTION("""COMPUTED_VALUE"""),"0386162407")</f>
        <v>0386162407</v>
      </c>
      <c r="K701" s="2" t="str">
        <f ca="1">IFERROR(__xludf.DUMMYFUNCTION("""COMPUTED_VALUE"""),"1742826159214")</f>
        <v>1742826159214</v>
      </c>
    </row>
    <row r="702" spans="1:11" ht="12.45">
      <c r="A702" s="2" t="str">
        <f ca="1">IFERROR(__xludf.DUMMYFUNCTION("""COMPUTED_VALUE"""),"1742826186125")</f>
        <v>1742826186125</v>
      </c>
      <c r="B702" s="2"/>
      <c r="C702" s="2" t="str">
        <v>0</v>
      </c>
      <c r="D702" s="2"/>
      <c r="E702" s="2">
        <f ca="1">IFERROR(__xludf.DUMMYFUNCTION("""COMPUTED_VALUE"""),396079200)</f>
        <v>396079200</v>
      </c>
      <c r="F702" s="2" t="str">
        <f ca="1"/>
        <v>0396079200</v>
      </c>
      <c r="G702" s="2" t="str">
        <f ca="1">IFERROR(__xludf.DUMMYFUNCTION("""COMPUTED_VALUE"""),"106214434021")</f>
        <v>106214434021</v>
      </c>
      <c r="I702" s="2" t="str">
        <f ca="1">IFERROR(__xludf.DUMMYFUNCTION("""COMPUTED_VALUE"""),"Nguyễn Khánh Linh")</f>
        <v>Nguyễn Khánh Linh</v>
      </c>
      <c r="J702" s="3" t="str">
        <f ca="1">IFERROR(__xludf.DUMMYFUNCTION("""COMPUTED_VALUE"""),"0981895254")</f>
        <v>0981895254</v>
      </c>
      <c r="K702" s="2" t="str">
        <f ca="1">IFERROR(__xludf.DUMMYFUNCTION("""COMPUTED_VALUE"""),"1742826186125")</f>
        <v>1742826186125</v>
      </c>
    </row>
    <row r="703" spans="1:11" ht="12.45">
      <c r="A703" s="2" t="str">
        <f ca="1">IFERROR(__xludf.DUMMYFUNCTION("""COMPUTED_VALUE"""),"1742826234040")</f>
        <v>1742826234040</v>
      </c>
      <c r="B703" s="2"/>
      <c r="C703" s="2" t="str">
        <v>0</v>
      </c>
      <c r="D703" s="2"/>
      <c r="E703" s="2">
        <f ca="1">IFERROR(__xludf.DUMMYFUNCTION("""COMPUTED_VALUE"""),853860002)</f>
        <v>853860002</v>
      </c>
      <c r="F703" s="2" t="str">
        <f ca="1"/>
        <v>0853860002</v>
      </c>
      <c r="G703" s="2" t="str">
        <f ca="1">IFERROR(__xludf.DUMMYFUNCTION("""COMPUTED_VALUE"""),"106214434142")</f>
        <v>106214434142</v>
      </c>
      <c r="I703" s="2" t="str">
        <f ca="1">IFERROR(__xludf.DUMMYFUNCTION("""COMPUTED_VALUE"""),"Huỳnh Lê Ngọc Hân")</f>
        <v>Huỳnh Lê Ngọc Hân</v>
      </c>
      <c r="J703" s="3" t="str">
        <f ca="1">IFERROR(__xludf.DUMMYFUNCTION("""COMPUTED_VALUE"""),"0354399881")</f>
        <v>0354399881</v>
      </c>
      <c r="K703" s="2" t="str">
        <f ca="1">IFERROR(__xludf.DUMMYFUNCTION("""COMPUTED_VALUE"""),"1742826234040")</f>
        <v>1742826234040</v>
      </c>
    </row>
    <row r="704" spans="1:11" ht="12.45">
      <c r="A704" s="2" t="str">
        <f ca="1">IFERROR(__xludf.DUMMYFUNCTION("""COMPUTED_VALUE"""),"1742826278721")</f>
        <v>1742826278721</v>
      </c>
      <c r="B704" s="2"/>
      <c r="C704" s="2" t="str">
        <v>0</v>
      </c>
      <c r="D704" s="2"/>
      <c r="E704" s="2">
        <f ca="1">IFERROR(__xludf.DUMMYFUNCTION("""COMPUTED_VALUE"""),942523431)</f>
        <v>942523431</v>
      </c>
      <c r="F704" s="2" t="str">
        <f ca="1"/>
        <v>0942523431</v>
      </c>
      <c r="G704" s="2" t="str">
        <f ca="1">IFERROR(__xludf.DUMMYFUNCTION("""COMPUTED_VALUE"""),"106214434278")</f>
        <v>106214434278</v>
      </c>
      <c r="I704" s="2" t="str">
        <f ca="1">IFERROR(__xludf.DUMMYFUNCTION("""COMPUTED_VALUE"""),"Trần Lê Phương Uyên ")</f>
        <v xml:space="preserve">Trần Lê Phương Uyên </v>
      </c>
      <c r="J704" s="3" t="str">
        <f ca="1">IFERROR(__xludf.DUMMYFUNCTION("""COMPUTED_VALUE"""),"0978850381")</f>
        <v>0978850381</v>
      </c>
      <c r="K704" s="2" t="str">
        <f ca="1">IFERROR(__xludf.DUMMYFUNCTION("""COMPUTED_VALUE"""),"1742826278721")</f>
        <v>1742826278721</v>
      </c>
    </row>
    <row r="705" spans="1:11" ht="12.45">
      <c r="A705" s="2" t="str">
        <f ca="1">IFERROR(__xludf.DUMMYFUNCTION("""COMPUTED_VALUE"""),"1742826318279")</f>
        <v>1742826318279</v>
      </c>
      <c r="B705" s="2"/>
      <c r="C705" s="2" t="str">
        <v>0</v>
      </c>
      <c r="D705" s="2"/>
      <c r="E705" s="2">
        <f ca="1">IFERROR(__xludf.DUMMYFUNCTION("""COMPUTED_VALUE"""),941708572)</f>
        <v>941708572</v>
      </c>
      <c r="F705" s="2" t="str">
        <f ca="1"/>
        <v>0941708572</v>
      </c>
      <c r="G705" s="2" t="str">
        <f ca="1">IFERROR(__xludf.DUMMYFUNCTION("""COMPUTED_VALUE"""),"106214434413")</f>
        <v>106214434413</v>
      </c>
      <c r="I705" s="2" t="str">
        <f ca="1">IFERROR(__xludf.DUMMYFUNCTION("""COMPUTED_VALUE"""),"Nguyễn Hồng Hân ")</f>
        <v xml:space="preserve">Nguyễn Hồng Hân </v>
      </c>
      <c r="J705" s="3" t="str">
        <f ca="1">IFERROR(__xludf.DUMMYFUNCTION("""COMPUTED_VALUE"""),"0919718156")</f>
        <v>0919718156</v>
      </c>
      <c r="K705" s="2" t="str">
        <f ca="1">IFERROR(__xludf.DUMMYFUNCTION("""COMPUTED_VALUE"""),"1742826318279")</f>
        <v>1742826318279</v>
      </c>
    </row>
    <row r="706" spans="1:11" ht="12.45">
      <c r="A706" s="2" t="str">
        <f ca="1">IFERROR(__xludf.DUMMYFUNCTION("""COMPUTED_VALUE"""),"1742826352383")</f>
        <v>1742826352383</v>
      </c>
      <c r="B706" s="2"/>
      <c r="C706" s="2" t="str">
        <v>0</v>
      </c>
      <c r="D706" s="2"/>
      <c r="E706" s="2">
        <f ca="1">IFERROR(__xludf.DUMMYFUNCTION("""COMPUTED_VALUE"""),949214802)</f>
        <v>949214802</v>
      </c>
      <c r="F706" s="2" t="str">
        <f ca="1"/>
        <v>0949214802</v>
      </c>
      <c r="G706" s="2" t="str">
        <f ca="1">IFERROR(__xludf.DUMMYFUNCTION("""COMPUTED_VALUE"""),"106214434511")</f>
        <v>106214434511</v>
      </c>
      <c r="I706" s="2" t="str">
        <f ca="1">IFERROR(__xludf.DUMMYFUNCTION("""COMPUTED_VALUE"""),"Lê nguyễn như quỳnh")</f>
        <v>Lê nguyễn như quỳnh</v>
      </c>
      <c r="J706" s="3" t="str">
        <f ca="1">IFERROR(__xludf.DUMMYFUNCTION("""COMPUTED_VALUE"""),"0862044642")</f>
        <v>0862044642</v>
      </c>
      <c r="K706" s="2" t="str">
        <f ca="1">IFERROR(__xludf.DUMMYFUNCTION("""COMPUTED_VALUE"""),"1742826352383")</f>
        <v>1742826352383</v>
      </c>
    </row>
    <row r="707" spans="1:11" ht="12.45">
      <c r="A707" s="2" t="str">
        <f ca="1">IFERROR(__xludf.DUMMYFUNCTION("""COMPUTED_VALUE"""),"1744797259929")</f>
        <v>1744797259929</v>
      </c>
      <c r="B707" s="2"/>
      <c r="C707" s="2" t="str">
        <v>0</v>
      </c>
      <c r="D707" s="2"/>
      <c r="E707" s="2">
        <f ca="1">IFERROR(__xludf.DUMMYFUNCTION("""COMPUTED_VALUE"""),354583716)</f>
        <v>354583716</v>
      </c>
      <c r="F707" s="2" t="str">
        <f ca="1"/>
        <v>0354583716</v>
      </c>
      <c r="G707" s="2" t="str">
        <f ca="1">IFERROR(__xludf.DUMMYFUNCTION("""COMPUTED_VALUE"""),"106214434696")</f>
        <v>106214434696</v>
      </c>
      <c r="I707" s="2" t="str">
        <f ca="1">IFERROR(__xludf.DUMMYFUNCTION("""COMPUTED_VALUE"""),"Nguyễn Thanh Huyền")</f>
        <v>Nguyễn Thanh Huyền</v>
      </c>
      <c r="J707" s="3" t="str">
        <f ca="1">IFERROR(__xludf.DUMMYFUNCTION("""COMPUTED_VALUE"""),"0387392051")</f>
        <v>0387392051</v>
      </c>
      <c r="K707" s="2" t="str">
        <f ca="1">IFERROR(__xludf.DUMMYFUNCTION("""COMPUTED_VALUE"""),"1744797259929")</f>
        <v>1744797259929</v>
      </c>
    </row>
    <row r="708" spans="1:11" ht="12.45">
      <c r="A708" s="2" t="str">
        <f ca="1">IFERROR(__xludf.DUMMYFUNCTION("""COMPUTED_VALUE"""),"1744797299265")</f>
        <v>1744797299265</v>
      </c>
      <c r="B708" s="2"/>
      <c r="C708" s="2" t="str">
        <v>0</v>
      </c>
      <c r="D708" s="2"/>
      <c r="E708" s="2">
        <f ca="1">IFERROR(__xludf.DUMMYFUNCTION("""COMPUTED_VALUE"""),358950747)</f>
        <v>358950747</v>
      </c>
      <c r="F708" s="2" t="str">
        <f ca="1"/>
        <v>0358950747</v>
      </c>
      <c r="G708" s="2" t="str">
        <f ca="1">IFERROR(__xludf.DUMMYFUNCTION("""COMPUTED_VALUE"""),"106214434748")</f>
        <v>106214434748</v>
      </c>
      <c r="I708" s="2" t="str">
        <f ca="1">IFERROR(__xludf.DUMMYFUNCTION("""COMPUTED_VALUE"""),"Nguyễn Hữu Toàn")</f>
        <v>Nguyễn Hữu Toàn</v>
      </c>
      <c r="J708" s="3" t="str">
        <f ca="1">IFERROR(__xludf.DUMMYFUNCTION("""COMPUTED_VALUE"""),"0342672086")</f>
        <v>0342672086</v>
      </c>
      <c r="K708" s="2" t="str">
        <f ca="1">IFERROR(__xludf.DUMMYFUNCTION("""COMPUTED_VALUE"""),"1744797299265")</f>
        <v>1744797299265</v>
      </c>
    </row>
    <row r="709" spans="1:11" ht="12.45">
      <c r="A709" s="2" t="str">
        <f ca="1">IFERROR(__xludf.DUMMYFUNCTION("""COMPUTED_VALUE"""),"1744797341744")</f>
        <v>1744797341744</v>
      </c>
      <c r="B709" s="2"/>
      <c r="C709" s="2" t="str">
        <v>0</v>
      </c>
      <c r="D709" s="2"/>
      <c r="E709" s="2">
        <f ca="1">IFERROR(__xludf.DUMMYFUNCTION("""COMPUTED_VALUE"""),359220537)</f>
        <v>359220537</v>
      </c>
      <c r="F709" s="2" t="str">
        <f ca="1"/>
        <v>0359220537</v>
      </c>
      <c r="G709" s="2" t="str">
        <f ca="1">IFERROR(__xludf.DUMMYFUNCTION("""COMPUTED_VALUE"""),"106214434823")</f>
        <v>106214434823</v>
      </c>
      <c r="I709" s="2" t="str">
        <f ca="1">IFERROR(__xludf.DUMMYFUNCTION("""COMPUTED_VALUE"""),"Nguyễn Thị Thủy Tiên")</f>
        <v>Nguyễn Thị Thủy Tiên</v>
      </c>
      <c r="J709" s="3" t="str">
        <f ca="1">IFERROR(__xludf.DUMMYFUNCTION("""COMPUTED_VALUE"""),"0984014277")</f>
        <v>0984014277</v>
      </c>
      <c r="K709" s="2" t="str">
        <f ca="1">IFERROR(__xludf.DUMMYFUNCTION("""COMPUTED_VALUE"""),"1744797341744")</f>
        <v>1744797341744</v>
      </c>
    </row>
    <row r="710" spans="1:11" ht="12.45">
      <c r="A710" s="2" t="str">
        <f ca="1">IFERROR(__xludf.DUMMYFUNCTION("""COMPUTED_VALUE"""),"1759202985573")</f>
        <v>1759202985573</v>
      </c>
      <c r="B710" s="2"/>
      <c r="C710" s="2" t="str">
        <v>0</v>
      </c>
      <c r="D710" s="2"/>
      <c r="E710" s="2">
        <f ca="1">IFERROR(__xludf.DUMMYFUNCTION("""COMPUTED_VALUE"""),773466860)</f>
        <v>773466860</v>
      </c>
      <c r="F710" s="2" t="str">
        <f ca="1"/>
        <v>0773466860</v>
      </c>
      <c r="G710" s="2" t="str">
        <f ca="1">IFERROR(__xludf.DUMMYFUNCTION("""COMPUTED_VALUE"""),"106214434995")</f>
        <v>106214434995</v>
      </c>
      <c r="I710" s="2" t="str">
        <f ca="1">IFERROR(__xludf.DUMMYFUNCTION("""COMPUTED_VALUE"""),"Nghiêm Lê Tuấn")</f>
        <v>Nghiêm Lê Tuấn</v>
      </c>
      <c r="J710" s="3" t="str">
        <f ca="1">IFERROR(__xludf.DUMMYFUNCTION("""COMPUTED_VALUE"""),"0365621632")</f>
        <v>0365621632</v>
      </c>
      <c r="K710" s="2" t="str">
        <f ca="1">IFERROR(__xludf.DUMMYFUNCTION("""COMPUTED_VALUE"""),"1759202985573")</f>
        <v>1759202985573</v>
      </c>
    </row>
    <row r="711" spans="1:11" ht="12.45">
      <c r="A711" s="2" t="str">
        <f ca="1">IFERROR(__xludf.DUMMYFUNCTION("""COMPUTED_VALUE"""),"1744797428390")</f>
        <v>1744797428390</v>
      </c>
      <c r="B711" s="2"/>
      <c r="C711" s="2" t="str">
        <v>0</v>
      </c>
      <c r="D711" s="2"/>
      <c r="E711" s="2">
        <f ca="1">IFERROR(__xludf.DUMMYFUNCTION("""COMPUTED_VALUE"""),969132531)</f>
        <v>969132531</v>
      </c>
      <c r="F711" s="2" t="str">
        <f ca="1"/>
        <v>0969132531</v>
      </c>
      <c r="G711" s="2" t="str">
        <f ca="1">IFERROR(__xludf.DUMMYFUNCTION("""COMPUTED_VALUE"""),"106214435038")</f>
        <v>106214435038</v>
      </c>
      <c r="I711" s="2" t="str">
        <f ca="1">IFERROR(__xludf.DUMMYFUNCTION("""COMPUTED_VALUE"""),"Nguyễn Huỳnh Ái Vân")</f>
        <v>Nguyễn Huỳnh Ái Vân</v>
      </c>
      <c r="J711" s="3" t="str">
        <f ca="1">IFERROR(__xludf.DUMMYFUNCTION("""COMPUTED_VALUE"""),"0862670097")</f>
        <v>0862670097</v>
      </c>
      <c r="K711" s="2" t="str">
        <f ca="1">IFERROR(__xludf.DUMMYFUNCTION("""COMPUTED_VALUE"""),"1744797428390")</f>
        <v>1744797428390</v>
      </c>
    </row>
    <row r="712" spans="1:11" ht="12.45">
      <c r="A712" s="2" t="str">
        <f ca="1">IFERROR(__xludf.DUMMYFUNCTION("""COMPUTED_VALUE"""),"1744797470322")</f>
        <v>1744797470322</v>
      </c>
      <c r="B712" s="2"/>
      <c r="C712" s="2" t="str">
        <v>0</v>
      </c>
      <c r="D712" s="2"/>
      <c r="E712" s="2">
        <f ca="1">IFERROR(__xludf.DUMMYFUNCTION("""COMPUTED_VALUE"""),939795658)</f>
        <v>939795658</v>
      </c>
      <c r="F712" s="2" t="str">
        <f ca="1"/>
        <v>0939795658</v>
      </c>
      <c r="G712" s="2" t="str">
        <f ca="1">IFERROR(__xludf.DUMMYFUNCTION("""COMPUTED_VALUE"""),"106214435187")</f>
        <v>106214435187</v>
      </c>
      <c r="I712" s="2" t="str">
        <f ca="1">IFERROR(__xludf.DUMMYFUNCTION("""COMPUTED_VALUE"""),"Nguyễn Thị Nhật Hà")</f>
        <v>Nguyễn Thị Nhật Hà</v>
      </c>
      <c r="J712" s="3" t="str">
        <f ca="1">IFERROR(__xludf.DUMMYFUNCTION("""COMPUTED_VALUE"""),"0344561599")</f>
        <v>0344561599</v>
      </c>
      <c r="K712" s="2" t="str">
        <f ca="1">IFERROR(__xludf.DUMMYFUNCTION("""COMPUTED_VALUE"""),"1744797470322")</f>
        <v>1744797470322</v>
      </c>
    </row>
    <row r="713" spans="1:11" ht="12.45">
      <c r="A713" s="2" t="str">
        <f ca="1">IFERROR(__xludf.DUMMYFUNCTION("""COMPUTED_VALUE"""),"1744797507662")</f>
        <v>1744797507662</v>
      </c>
      <c r="B713" s="2"/>
      <c r="C713" s="2" t="str">
        <v>0</v>
      </c>
      <c r="D713" s="2"/>
      <c r="E713" s="2">
        <f ca="1">IFERROR(__xludf.DUMMYFUNCTION("""COMPUTED_VALUE"""),963785401)</f>
        <v>963785401</v>
      </c>
      <c r="F713" s="2" t="str">
        <f ca="1"/>
        <v>0963785401</v>
      </c>
      <c r="G713" s="2" t="str">
        <f ca="1">IFERROR(__xludf.DUMMYFUNCTION("""COMPUTED_VALUE"""),"106214435232")</f>
        <v>106214435232</v>
      </c>
      <c r="I713" s="2" t="str">
        <f ca="1">IFERROR(__xludf.DUMMYFUNCTION("""COMPUTED_VALUE"""),"Vũ Hà Khánh Huyền ")</f>
        <v xml:space="preserve">Vũ Hà Khánh Huyền </v>
      </c>
      <c r="J713" s="3" t="str">
        <f ca="1">IFERROR(__xludf.DUMMYFUNCTION("""COMPUTED_VALUE"""),"0977840752")</f>
        <v>0977840752</v>
      </c>
      <c r="K713" s="2" t="str">
        <f ca="1">IFERROR(__xludf.DUMMYFUNCTION("""COMPUTED_VALUE"""),"1744797507662")</f>
        <v>1744797507662</v>
      </c>
    </row>
    <row r="714" spans="1:11" ht="12.45">
      <c r="A714" s="2" t="str">
        <f ca="1">IFERROR(__xludf.DUMMYFUNCTION("""COMPUTED_VALUE"""),"1744797537796")</f>
        <v>1744797537796</v>
      </c>
      <c r="B714" s="2"/>
      <c r="C714" s="2" t="str">
        <v>0</v>
      </c>
      <c r="D714" s="2"/>
      <c r="E714" s="2">
        <f ca="1">IFERROR(__xludf.DUMMYFUNCTION("""COMPUTED_VALUE"""),915044848)</f>
        <v>915044848</v>
      </c>
      <c r="F714" s="2" t="str">
        <f ca="1"/>
        <v>0915044848</v>
      </c>
      <c r="G714" s="2" t="str">
        <f ca="1">IFERROR(__xludf.DUMMYFUNCTION("""COMPUTED_VALUE"""),"106214435353")</f>
        <v>106214435353</v>
      </c>
      <c r="I714" s="2" t="str">
        <f ca="1">IFERROR(__xludf.DUMMYFUNCTION("""COMPUTED_VALUE"""),"Vi Minh Ngọc")</f>
        <v>Vi Minh Ngọc</v>
      </c>
      <c r="J714" s="3" t="str">
        <f ca="1">IFERROR(__xludf.DUMMYFUNCTION("""COMPUTED_VALUE"""),"0852643780")</f>
        <v>0852643780</v>
      </c>
      <c r="K714" s="2" t="str">
        <f ca="1">IFERROR(__xludf.DUMMYFUNCTION("""COMPUTED_VALUE"""),"1744797537796")</f>
        <v>1744797537796</v>
      </c>
    </row>
    <row r="715" spans="1:11" ht="12.45">
      <c r="A715" s="2" t="str">
        <f ca="1">IFERROR(__xludf.DUMMYFUNCTION("""COMPUTED_VALUE"""),"1744797574978")</f>
        <v>1744797574978</v>
      </c>
      <c r="B715" s="2"/>
      <c r="C715" s="2" t="str">
        <v>0</v>
      </c>
      <c r="D715" s="2"/>
      <c r="E715" s="2">
        <f ca="1">IFERROR(__xludf.DUMMYFUNCTION("""COMPUTED_VALUE"""),382409622)</f>
        <v>382409622</v>
      </c>
      <c r="F715" s="2" t="str">
        <f ca="1"/>
        <v>0382409622</v>
      </c>
      <c r="G715" s="2" t="str">
        <f ca="1">IFERROR(__xludf.DUMMYFUNCTION("""COMPUTED_VALUE"""),"106214435416")</f>
        <v>106214435416</v>
      </c>
      <c r="I715" s="2" t="str">
        <f ca="1">IFERROR(__xludf.DUMMYFUNCTION("""COMPUTED_VALUE"""),"Bùi Hoàng Trúc ")</f>
        <v xml:space="preserve">Bùi Hoàng Trúc </v>
      </c>
      <c r="J715" s="3" t="str">
        <f ca="1">IFERROR(__xludf.DUMMYFUNCTION("""COMPUTED_VALUE"""),"0327152854")</f>
        <v>0327152854</v>
      </c>
      <c r="K715" s="2" t="str">
        <f ca="1">IFERROR(__xludf.DUMMYFUNCTION("""COMPUTED_VALUE"""),"1744797574978")</f>
        <v>1744797574978</v>
      </c>
    </row>
    <row r="716" spans="1:11" ht="12.45">
      <c r="A716" s="2" t="str">
        <f ca="1">IFERROR(__xludf.DUMMYFUNCTION("""COMPUTED_VALUE"""),"1744797608535")</f>
        <v>1744797608535</v>
      </c>
      <c r="B716" s="2"/>
      <c r="C716" s="2" t="str">
        <v>0</v>
      </c>
      <c r="D716" s="2"/>
      <c r="E716" s="2">
        <f ca="1">IFERROR(__xludf.DUMMYFUNCTION("""COMPUTED_VALUE"""),822801307)</f>
        <v>822801307</v>
      </c>
      <c r="F716" s="2" t="str">
        <f ca="1"/>
        <v>0822801307</v>
      </c>
      <c r="G716" s="2" t="str">
        <f ca="1">IFERROR(__xludf.DUMMYFUNCTION("""COMPUTED_VALUE"""),"106214435533")</f>
        <v>106214435533</v>
      </c>
      <c r="I716" s="2" t="str">
        <f ca="1">IFERROR(__xludf.DUMMYFUNCTION("""COMPUTED_VALUE"""),"Nguyễn Thùy Linh")</f>
        <v>Nguyễn Thùy Linh</v>
      </c>
      <c r="J716" s="3" t="str">
        <f ca="1">IFERROR(__xludf.DUMMYFUNCTION("""COMPUTED_VALUE"""),"0772236176")</f>
        <v>0772236176</v>
      </c>
      <c r="K716" s="2" t="str">
        <f ca="1">IFERROR(__xludf.DUMMYFUNCTION("""COMPUTED_VALUE"""),"1744797608535")</f>
        <v>1744797608535</v>
      </c>
    </row>
    <row r="717" spans="1:11" ht="12.45">
      <c r="A717" s="2" t="str">
        <f ca="1">IFERROR(__xludf.DUMMYFUNCTION("""COMPUTED_VALUE"""),"1744797639669")</f>
        <v>1744797639669</v>
      </c>
      <c r="B717" s="2"/>
      <c r="C717" s="2" t="str">
        <v>0</v>
      </c>
      <c r="D717" s="2"/>
      <c r="E717" s="2">
        <f ca="1">IFERROR(__xludf.DUMMYFUNCTION("""COMPUTED_VALUE"""),329030902)</f>
        <v>329030902</v>
      </c>
      <c r="F717" s="2" t="str">
        <f ca="1"/>
        <v>0329030902</v>
      </c>
      <c r="G717" s="2" t="str">
        <f ca="1">IFERROR(__xludf.DUMMYFUNCTION("""COMPUTED_VALUE"""),"106214435614")</f>
        <v>106214435614</v>
      </c>
      <c r="I717" s="2" t="str">
        <f ca="1">IFERROR(__xludf.DUMMYFUNCTION("""COMPUTED_VALUE"""),"Trần thị Xuân nhi")</f>
        <v>Trần thị Xuân nhi</v>
      </c>
      <c r="J717" s="3" t="str">
        <f ca="1">IFERROR(__xludf.DUMMYFUNCTION("""COMPUTED_VALUE"""),"0373468905")</f>
        <v>0373468905</v>
      </c>
      <c r="K717" s="2" t="str">
        <f ca="1">IFERROR(__xludf.DUMMYFUNCTION("""COMPUTED_VALUE"""),"1744797639669")</f>
        <v>1744797639669</v>
      </c>
    </row>
    <row r="718" spans="1:11" ht="12.45">
      <c r="A718" s="2" t="str">
        <f ca="1">IFERROR(__xludf.DUMMYFUNCTION("""COMPUTED_VALUE"""),"1744797672885")</f>
        <v>1744797672885</v>
      </c>
      <c r="B718" s="2"/>
      <c r="C718" s="2" t="str">
        <v>0</v>
      </c>
      <c r="D718" s="2"/>
      <c r="E718" s="3" t="str">
        <f ca="1">IFERROR(__xludf.DUMMYFUNCTION("""COMPUTED_VALUE"""),"915794462")</f>
        <v>915794462</v>
      </c>
      <c r="F718" s="2" t="str">
        <f ca="1"/>
        <v>0915794462</v>
      </c>
      <c r="G718" s="2" t="str">
        <f ca="1">IFERROR(__xludf.DUMMYFUNCTION("""COMPUTED_VALUE"""),"106214435751")</f>
        <v>106214435751</v>
      </c>
      <c r="I718" s="2" t="str">
        <f ca="1">IFERROR(__xludf.DUMMYFUNCTION("""COMPUTED_VALUE"""),"Vũ Nhật Tú")</f>
        <v>Vũ Nhật Tú</v>
      </c>
      <c r="J718" s="3" t="str">
        <f ca="1">IFERROR(__xludf.DUMMYFUNCTION("""COMPUTED_VALUE"""),"0356184207")</f>
        <v>0356184207</v>
      </c>
      <c r="K718" s="2" t="str">
        <f ca="1">IFERROR(__xludf.DUMMYFUNCTION("""COMPUTED_VALUE"""),"1744797672885")</f>
        <v>1744797672885</v>
      </c>
    </row>
    <row r="719" spans="1:11" ht="12.45">
      <c r="A719" s="2" t="str">
        <f ca="1">IFERROR(__xludf.DUMMYFUNCTION("""COMPUTED_VALUE"""),"1744797709286")</f>
        <v>1744797709286</v>
      </c>
      <c r="B719" s="2"/>
      <c r="C719" s="2" t="str">
        <v>0</v>
      </c>
      <c r="D719" s="2"/>
      <c r="E719" s="3" t="str">
        <f ca="1">IFERROR(__xludf.DUMMYFUNCTION("""COMPUTED_VALUE"""),"384544003")</f>
        <v>384544003</v>
      </c>
      <c r="F719" s="2" t="str">
        <f ca="1"/>
        <v>0384544003</v>
      </c>
      <c r="G719" s="2" t="str">
        <f ca="1">IFERROR(__xludf.DUMMYFUNCTION("""COMPUTED_VALUE"""),"106214435831")</f>
        <v>106214435831</v>
      </c>
      <c r="I719" s="2" t="str">
        <f ca="1">IFERROR(__xludf.DUMMYFUNCTION("""COMPUTED_VALUE"""),"Nguyễn Thị Anh Thơ ")</f>
        <v xml:space="preserve">Nguyễn Thị Anh Thơ </v>
      </c>
      <c r="J719" s="3" t="str">
        <f ca="1">IFERROR(__xludf.DUMMYFUNCTION("""COMPUTED_VALUE"""),"0822737554")</f>
        <v>0822737554</v>
      </c>
      <c r="K719" s="2" t="str">
        <f ca="1">IFERROR(__xludf.DUMMYFUNCTION("""COMPUTED_VALUE"""),"1744797709286")</f>
        <v>1744797709286</v>
      </c>
    </row>
    <row r="720" spans="1:11" ht="12.45">
      <c r="A720" s="2" t="str">
        <f ca="1">IFERROR(__xludf.DUMMYFUNCTION("""COMPUTED_VALUE"""),"1744797742994")</f>
        <v>1744797742994</v>
      </c>
      <c r="B720" s="2"/>
      <c r="C720" s="2" t="str">
        <v>0</v>
      </c>
      <c r="D720" s="2"/>
      <c r="E720" s="3" t="str">
        <f ca="1">IFERROR(__xludf.DUMMYFUNCTION("""COMPUTED_VALUE"""),"829025200")</f>
        <v>829025200</v>
      </c>
      <c r="F720" s="2" t="str">
        <f ca="1"/>
        <v>0829025200</v>
      </c>
      <c r="G720" s="2" t="str">
        <f ca="1">IFERROR(__xludf.DUMMYFUNCTION("""COMPUTED_VALUE"""),"106214435923")</f>
        <v>106214435923</v>
      </c>
      <c r="I720" s="2" t="str">
        <f ca="1">IFERROR(__xludf.DUMMYFUNCTION("""COMPUTED_VALUE"""),"Đào Phạm Huyền Hà ")</f>
        <v xml:space="preserve">Đào Phạm Huyền Hà </v>
      </c>
      <c r="J720" s="3" t="str">
        <f ca="1">IFERROR(__xludf.DUMMYFUNCTION("""COMPUTED_VALUE"""),"0832378889")</f>
        <v>0832378889</v>
      </c>
      <c r="K720" s="2" t="str">
        <f ca="1">IFERROR(__xludf.DUMMYFUNCTION("""COMPUTED_VALUE"""),"1744797742994")</f>
        <v>1744797742994</v>
      </c>
    </row>
    <row r="721" spans="1:11" ht="12.45">
      <c r="A721" s="2" t="str">
        <f ca="1">IFERROR(__xludf.DUMMYFUNCTION("""COMPUTED_VALUE"""),"1744797780134")</f>
        <v>1744797780134</v>
      </c>
      <c r="B721" s="2"/>
      <c r="C721" s="2" t="str">
        <v>0</v>
      </c>
      <c r="D721" s="2"/>
      <c r="E721" s="3" t="str">
        <f ca="1">IFERROR(__xludf.DUMMYFUNCTION("""COMPUTED_VALUE"""),"942198469")</f>
        <v>942198469</v>
      </c>
      <c r="F721" s="2" t="str">
        <f ca="1"/>
        <v>0942198469</v>
      </c>
      <c r="G721" s="2" t="str">
        <f ca="1">IFERROR(__xludf.DUMMYFUNCTION("""COMPUTED_VALUE"""),"106214436049")</f>
        <v>106214436049</v>
      </c>
      <c r="I721" s="2" t="str">
        <f ca="1">IFERROR(__xludf.DUMMYFUNCTION("""COMPUTED_VALUE"""),"Nguyễn Thị Minh Ái ")</f>
        <v xml:space="preserve">Nguyễn Thị Minh Ái </v>
      </c>
      <c r="J721" s="3" t="str">
        <f ca="1">IFERROR(__xludf.DUMMYFUNCTION("""COMPUTED_VALUE"""),"0898220587")</f>
        <v>0898220587</v>
      </c>
      <c r="K721" s="2" t="str">
        <f ca="1">IFERROR(__xludf.DUMMYFUNCTION("""COMPUTED_VALUE"""),"1744797780134")</f>
        <v>1744797780134</v>
      </c>
    </row>
    <row r="722" spans="1:11" ht="12.45">
      <c r="A722" s="2" t="str">
        <f ca="1">IFERROR(__xludf.DUMMYFUNCTION("""COMPUTED_VALUE"""),"1744797815137")</f>
        <v>1744797815137</v>
      </c>
      <c r="B722" s="2"/>
      <c r="C722" s="2" t="str">
        <v>0</v>
      </c>
      <c r="D722" s="2"/>
      <c r="E722" s="2">
        <f ca="1">IFERROR(__xludf.DUMMYFUNCTION("""COMPUTED_VALUE"""),773321829)</f>
        <v>773321829</v>
      </c>
      <c r="F722" s="2" t="str">
        <f ca="1"/>
        <v>0773321829</v>
      </c>
      <c r="G722" s="2">
        <f ca="1">IFERROR(__xludf.DUMMYFUNCTION("""COMPUTED_VALUE"""),106609129175)</f>
        <v>106609129175</v>
      </c>
      <c r="I722" s="2" t="str">
        <f ca="1">IFERROR(__xludf.DUMMYFUNCTION("""COMPUTED_VALUE"""),"Huỳnh Đa Khiêm")</f>
        <v>Huỳnh Đa Khiêm</v>
      </c>
      <c r="J722" s="3" t="str">
        <f ca="1">IFERROR(__xludf.DUMMYFUNCTION("""COMPUTED_VALUE"""),"0374872757")</f>
        <v>0374872757</v>
      </c>
      <c r="K722" s="2" t="str">
        <f ca="1">IFERROR(__xludf.DUMMYFUNCTION("""COMPUTED_VALUE"""),"1744797815137")</f>
        <v>1744797815137</v>
      </c>
    </row>
    <row r="723" spans="1:11" ht="12.45">
      <c r="A723" s="2" t="str">
        <f ca="1">IFERROR(__xludf.DUMMYFUNCTION("""COMPUTED_VALUE"""),"1744797855898")</f>
        <v>1744797855898</v>
      </c>
      <c r="B723" s="2"/>
      <c r="C723" s="2" t="str">
        <v>0</v>
      </c>
      <c r="D723" s="2"/>
      <c r="E723" s="2">
        <f ca="1">IFERROR(__xludf.DUMMYFUNCTION("""COMPUTED_VALUE"""),328393113)</f>
        <v>328393113</v>
      </c>
      <c r="F723" s="2" t="str">
        <f ca="1"/>
        <v>0328393113</v>
      </c>
      <c r="G723" s="2" t="str">
        <f ca="1">IFERROR(__xludf.DUMMYFUNCTION("""COMPUTED_VALUE"""),"106214436117")</f>
        <v>106214436117</v>
      </c>
      <c r="I723" s="2" t="str">
        <f ca="1">IFERROR(__xludf.DUMMYFUNCTION("""COMPUTED_VALUE"""),"Phan Đặng Bảo Trâm")</f>
        <v>Phan Đặng Bảo Trâm</v>
      </c>
      <c r="J723" s="3" t="str">
        <f ca="1">IFERROR(__xludf.DUMMYFUNCTION("""COMPUTED_VALUE"""),"0858477164")</f>
        <v>0858477164</v>
      </c>
      <c r="K723" s="2" t="str">
        <f ca="1">IFERROR(__xludf.DUMMYFUNCTION("""COMPUTED_VALUE"""),"1744797855898")</f>
        <v>1744797855898</v>
      </c>
    </row>
    <row r="724" spans="1:11" ht="12.45">
      <c r="A724" s="2" t="str">
        <f ca="1">IFERROR(__xludf.DUMMYFUNCTION("""COMPUTED_VALUE"""),"1744797885070")</f>
        <v>1744797885070</v>
      </c>
      <c r="B724" s="2"/>
      <c r="C724" s="2" t="str">
        <v>0</v>
      </c>
      <c r="D724" s="2"/>
      <c r="E724" s="2">
        <f ca="1">IFERROR(__xludf.DUMMYFUNCTION("""COMPUTED_VALUE"""),788383863)</f>
        <v>788383863</v>
      </c>
      <c r="F724" s="2" t="str">
        <f ca="1"/>
        <v>0788383863</v>
      </c>
      <c r="G724" s="2" t="str">
        <f ca="1">IFERROR(__xludf.DUMMYFUNCTION("""COMPUTED_VALUE"""),"106214436221")</f>
        <v>106214436221</v>
      </c>
      <c r="I724" s="2" t="str">
        <f ca="1">IFERROR(__xludf.DUMMYFUNCTION("""COMPUTED_VALUE"""),"Nguyễn Ngọc Ánh")</f>
        <v>Nguyễn Ngọc Ánh</v>
      </c>
      <c r="J724" s="3" t="str">
        <f ca="1">IFERROR(__xludf.DUMMYFUNCTION("""COMPUTED_VALUE"""),"0383894614")</f>
        <v>0383894614</v>
      </c>
      <c r="K724" s="2" t="str">
        <f ca="1">IFERROR(__xludf.DUMMYFUNCTION("""COMPUTED_VALUE"""),"1744797885070")</f>
        <v>1744797885070</v>
      </c>
    </row>
    <row r="725" spans="1:11" ht="12.45">
      <c r="A725" s="2" t="str">
        <f ca="1">IFERROR(__xludf.DUMMYFUNCTION("""COMPUTED_VALUE"""),"1744797929112")</f>
        <v>1744797929112</v>
      </c>
      <c r="B725" s="2"/>
      <c r="C725" s="2" t="str">
        <v>0</v>
      </c>
      <c r="D725" s="2"/>
      <c r="E725" s="2">
        <f ca="1">IFERROR(__xludf.DUMMYFUNCTION("""COMPUTED_VALUE"""),835067138)</f>
        <v>835067138</v>
      </c>
      <c r="F725" s="2" t="str">
        <f ca="1"/>
        <v>0835067138</v>
      </c>
      <c r="G725" s="2" t="str">
        <f ca="1">IFERROR(__xludf.DUMMYFUNCTION("""COMPUTED_VALUE"""),"106214436483")</f>
        <v>106214436483</v>
      </c>
      <c r="I725" s="2" t="str">
        <f ca="1">IFERROR(__xludf.DUMMYFUNCTION("""COMPUTED_VALUE"""),"ĐINH LỘC ĐE")</f>
        <v>ĐINH LỘC ĐE</v>
      </c>
      <c r="J725" s="3" t="str">
        <f ca="1">IFERROR(__xludf.DUMMYFUNCTION("""COMPUTED_VALUE"""),"0382920533")</f>
        <v>0382920533</v>
      </c>
      <c r="K725" s="2" t="str">
        <f ca="1">IFERROR(__xludf.DUMMYFUNCTION("""COMPUTED_VALUE"""),"1744797929112")</f>
        <v>1744797929112</v>
      </c>
    </row>
    <row r="726" spans="1:11" ht="12.45">
      <c r="A726" s="2" t="str">
        <f ca="1">IFERROR(__xludf.DUMMYFUNCTION("""COMPUTED_VALUE"""),"1744797961797")</f>
        <v>1744797961797</v>
      </c>
      <c r="B726" s="2"/>
      <c r="C726" s="2" t="str">
        <v>0</v>
      </c>
      <c r="D726" s="2"/>
      <c r="E726" s="2">
        <f ca="1">IFERROR(__xludf.DUMMYFUNCTION("""COMPUTED_VALUE"""),349326511)</f>
        <v>349326511</v>
      </c>
      <c r="F726" s="2" t="str">
        <f ca="1"/>
        <v>0349326511</v>
      </c>
      <c r="G726" s="2" t="str">
        <f ca="1">IFERROR(__xludf.DUMMYFUNCTION("""COMPUTED_VALUE"""),"106214436569")</f>
        <v>106214436569</v>
      </c>
      <c r="I726" s="2" t="str">
        <f ca="1">IFERROR(__xludf.DUMMYFUNCTION("""COMPUTED_VALUE"""),"Vũ Diệp Anh")</f>
        <v>Vũ Diệp Anh</v>
      </c>
      <c r="J726" s="3" t="str">
        <f ca="1">IFERROR(__xludf.DUMMYFUNCTION("""COMPUTED_VALUE"""),"0357018399")</f>
        <v>0357018399</v>
      </c>
      <c r="K726" s="2" t="str">
        <f ca="1">IFERROR(__xludf.DUMMYFUNCTION("""COMPUTED_VALUE"""),"1744797961797")</f>
        <v>1744797961797</v>
      </c>
    </row>
    <row r="727" spans="1:11" ht="12.45">
      <c r="A727" s="2" t="str">
        <f ca="1">IFERROR(__xludf.DUMMYFUNCTION("""COMPUTED_VALUE"""),"1744797990344")</f>
        <v>1744797990344</v>
      </c>
      <c r="B727" s="2"/>
      <c r="C727" s="2" t="str">
        <v>0</v>
      </c>
      <c r="D727" s="2"/>
      <c r="E727" s="2">
        <f ca="1">IFERROR(__xludf.DUMMYFUNCTION("""COMPUTED_VALUE"""),964929010)</f>
        <v>964929010</v>
      </c>
      <c r="F727" s="2" t="str">
        <f ca="1"/>
        <v>0964929010</v>
      </c>
      <c r="G727" s="2" t="str">
        <f ca="1">IFERROR(__xludf.DUMMYFUNCTION("""COMPUTED_VALUE"""),"106214436670")</f>
        <v>106214436670</v>
      </c>
      <c r="I727" s="2" t="str">
        <f ca="1">IFERROR(__xludf.DUMMYFUNCTION("""COMPUTED_VALUE"""),"Nguyễn Hà Trang")</f>
        <v>Nguyễn Hà Trang</v>
      </c>
      <c r="J727" s="3" t="str">
        <f ca="1">IFERROR(__xludf.DUMMYFUNCTION("""COMPUTED_VALUE"""),"0354534607")</f>
        <v>0354534607</v>
      </c>
      <c r="K727" s="2" t="str">
        <f ca="1">IFERROR(__xludf.DUMMYFUNCTION("""COMPUTED_VALUE"""),"1744797990344")</f>
        <v>1744797990344</v>
      </c>
    </row>
    <row r="728" spans="1:11" ht="12.45">
      <c r="A728" s="2" t="str">
        <f ca="1">IFERROR(__xludf.DUMMYFUNCTION("""COMPUTED_VALUE"""),"1744798023062")</f>
        <v>1744798023062</v>
      </c>
      <c r="B728" s="2"/>
      <c r="C728" s="2" t="str">
        <v>0</v>
      </c>
      <c r="D728" s="2"/>
      <c r="E728" s="2">
        <f ca="1">IFERROR(__xludf.DUMMYFUNCTION("""COMPUTED_VALUE"""),914525306)</f>
        <v>914525306</v>
      </c>
      <c r="F728" s="2" t="str">
        <f ca="1"/>
        <v>0914525306</v>
      </c>
      <c r="G728" s="2">
        <f ca="1">IFERROR(__xludf.DUMMYFUNCTION("""COMPUTED_VALUE"""),106609129269)</f>
        <v>106609129269</v>
      </c>
      <c r="I728" s="2" t="str">
        <f ca="1">IFERROR(__xludf.DUMMYFUNCTION("""COMPUTED_VALUE"""),"Trần Khánh Hà")</f>
        <v>Trần Khánh Hà</v>
      </c>
      <c r="J728" s="3" t="str">
        <f ca="1">IFERROR(__xludf.DUMMYFUNCTION("""COMPUTED_VALUE"""),"0905771277")</f>
        <v>0905771277</v>
      </c>
      <c r="K728" s="2" t="str">
        <f ca="1">IFERROR(__xludf.DUMMYFUNCTION("""COMPUTED_VALUE"""),"1744798023062")</f>
        <v>1744798023062</v>
      </c>
    </row>
    <row r="729" spans="1:11" ht="12.45">
      <c r="A729" s="2" t="str">
        <f ca="1">IFERROR(__xludf.DUMMYFUNCTION("""COMPUTED_VALUE"""),"1744798059447")</f>
        <v>1744798059447</v>
      </c>
      <c r="B729" s="2"/>
      <c r="C729" s="2" t="str">
        <v>0</v>
      </c>
      <c r="D729" s="2"/>
      <c r="E729" s="2">
        <f ca="1">IFERROR(__xludf.DUMMYFUNCTION("""COMPUTED_VALUE"""),971839543)</f>
        <v>971839543</v>
      </c>
      <c r="F729" s="2" t="str">
        <f ca="1"/>
        <v>0971839543</v>
      </c>
      <c r="G729" s="2">
        <f ca="1">IFERROR(__xludf.DUMMYFUNCTION("""COMPUTED_VALUE"""),106609129398)</f>
        <v>106609129398</v>
      </c>
      <c r="I729" s="2" t="str">
        <f ca="1">IFERROR(__xludf.DUMMYFUNCTION("""COMPUTED_VALUE"""),"Nguyễn Ngọc Bảo Trân")</f>
        <v>Nguyễn Ngọc Bảo Trân</v>
      </c>
      <c r="J729" s="3" t="str">
        <f ca="1">IFERROR(__xludf.DUMMYFUNCTION("""COMPUTED_VALUE"""),"0336205007")</f>
        <v>0336205007</v>
      </c>
      <c r="K729" s="2" t="str">
        <f ca="1">IFERROR(__xludf.DUMMYFUNCTION("""COMPUTED_VALUE"""),"1744798059447")</f>
        <v>1744798059447</v>
      </c>
    </row>
    <row r="730" spans="1:11" ht="12.45">
      <c r="A730" s="2" t="str">
        <f ca="1">IFERROR(__xludf.DUMMYFUNCTION("""COMPUTED_VALUE"""),"1744798094674")</f>
        <v>1744798094674</v>
      </c>
      <c r="B730" s="2"/>
      <c r="C730" s="2" t="str">
        <v>0</v>
      </c>
      <c r="D730" s="2"/>
      <c r="E730" s="2">
        <f ca="1">IFERROR(__xludf.DUMMYFUNCTION("""COMPUTED_VALUE"""),377886811)</f>
        <v>377886811</v>
      </c>
      <c r="F730" s="2" t="str">
        <f ca="1"/>
        <v>0377886811</v>
      </c>
      <c r="G730" s="2">
        <f ca="1">IFERROR(__xludf.DUMMYFUNCTION("""COMPUTED_VALUE"""),106609129465)</f>
        <v>106609129465</v>
      </c>
      <c r="I730" s="2" t="str">
        <f ca="1">IFERROR(__xludf.DUMMYFUNCTION("""COMPUTED_VALUE"""),"Vũ Quang Minh")</f>
        <v>Vũ Quang Minh</v>
      </c>
      <c r="J730" s="2" t="str">
        <f ca="1">IFERROR(__xludf.DUMMYFUNCTION("""COMPUTED_VALUE"""),"08486879131")</f>
        <v>08486879131</v>
      </c>
      <c r="K730" s="2" t="str">
        <f ca="1">IFERROR(__xludf.DUMMYFUNCTION("""COMPUTED_VALUE"""),"1744798094674")</f>
        <v>1744798094674</v>
      </c>
    </row>
    <row r="731" spans="1:11" ht="12.45">
      <c r="A731" s="2" t="str">
        <f ca="1">IFERROR(__xludf.DUMMYFUNCTION("""COMPUTED_VALUE"""),"1744798137579")</f>
        <v>1744798137579</v>
      </c>
      <c r="B731" s="2"/>
      <c r="C731" s="2" t="str">
        <v>0</v>
      </c>
      <c r="D731" s="2"/>
      <c r="E731" s="2">
        <f ca="1">IFERROR(__xludf.DUMMYFUNCTION("""COMPUTED_VALUE"""),329207728)</f>
        <v>329207728</v>
      </c>
      <c r="F731" s="2" t="str">
        <f ca="1"/>
        <v>0329207728</v>
      </c>
      <c r="G731" s="2">
        <f ca="1">IFERROR(__xludf.DUMMYFUNCTION("""COMPUTED_VALUE"""),106609129542)</f>
        <v>106609129542</v>
      </c>
      <c r="I731" s="2" t="str">
        <f ca="1">IFERROR(__xludf.DUMMYFUNCTION("""COMPUTED_VALUE"""),"Đinh Thị Hoài Thu ")</f>
        <v xml:space="preserve">Đinh Thị Hoài Thu </v>
      </c>
      <c r="J731" s="3" t="str">
        <f ca="1">IFERROR(__xludf.DUMMYFUNCTION("""COMPUTED_VALUE"""),"0367357839")</f>
        <v>0367357839</v>
      </c>
      <c r="K731" s="2" t="str">
        <f ca="1">IFERROR(__xludf.DUMMYFUNCTION("""COMPUTED_VALUE"""),"1744798137579")</f>
        <v>1744798137579</v>
      </c>
    </row>
    <row r="732" spans="1:11" ht="12.45">
      <c r="A732" s="2" t="str">
        <f ca="1">IFERROR(__xludf.DUMMYFUNCTION("""COMPUTED_VALUE"""),"1744798175380")</f>
        <v>1744798175380</v>
      </c>
      <c r="B732" s="2"/>
      <c r="C732" s="2" t="str">
        <v>0</v>
      </c>
      <c r="D732" s="2"/>
      <c r="E732" s="2">
        <f ca="1">IFERROR(__xludf.DUMMYFUNCTION("""COMPUTED_VALUE"""),792949763)</f>
        <v>792949763</v>
      </c>
      <c r="F732" s="2" t="str">
        <f ca="1"/>
        <v>0792949763</v>
      </c>
      <c r="G732" s="2">
        <f ca="1">IFERROR(__xludf.DUMMYFUNCTION("""COMPUTED_VALUE"""),106609129739)</f>
        <v>106609129739</v>
      </c>
      <c r="I732" s="2" t="str">
        <f ca="1">IFERROR(__xludf.DUMMYFUNCTION("""COMPUTED_VALUE"""),"Trần Thị Ny Na")</f>
        <v>Trần Thị Ny Na</v>
      </c>
      <c r="J732" s="3" t="str">
        <f ca="1">IFERROR(__xludf.DUMMYFUNCTION("""COMPUTED_VALUE"""),"0867963527")</f>
        <v>0867963527</v>
      </c>
      <c r="K732" s="2" t="str">
        <f ca="1">IFERROR(__xludf.DUMMYFUNCTION("""COMPUTED_VALUE"""),"1744798175380")</f>
        <v>1744798175380</v>
      </c>
    </row>
    <row r="733" spans="1:11" ht="12.45">
      <c r="A733" s="2" t="str">
        <f ca="1">IFERROR(__xludf.DUMMYFUNCTION("""COMPUTED_VALUE"""),"1744798205655")</f>
        <v>1744798205655</v>
      </c>
      <c r="B733" s="2"/>
      <c r="C733" s="2" t="str">
        <v>0</v>
      </c>
      <c r="D733" s="2"/>
      <c r="E733" s="2">
        <f ca="1">IFERROR(__xludf.DUMMYFUNCTION("""COMPUTED_VALUE"""),913415853)</f>
        <v>913415853</v>
      </c>
      <c r="F733" s="2" t="str">
        <f ca="1"/>
        <v>0913415853</v>
      </c>
      <c r="G733" s="2">
        <f ca="1">IFERROR(__xludf.DUMMYFUNCTION("""COMPUTED_VALUE"""),106609129836)</f>
        <v>106609129836</v>
      </c>
      <c r="I733" s="2" t="str">
        <f ca="1">IFERROR(__xludf.DUMMYFUNCTION("""COMPUTED_VALUE"""),"Nguyễn Ngọc Quỳnh Anh")</f>
        <v>Nguyễn Ngọc Quỳnh Anh</v>
      </c>
      <c r="J733" s="3" t="str">
        <f ca="1">IFERROR(__xludf.DUMMYFUNCTION("""COMPUTED_VALUE"""),"0983983576")</f>
        <v>0983983576</v>
      </c>
      <c r="K733" s="2" t="str">
        <f ca="1">IFERROR(__xludf.DUMMYFUNCTION("""COMPUTED_VALUE"""),"1744798205655")</f>
        <v>1744798205655</v>
      </c>
    </row>
    <row r="734" spans="1:11" ht="12.45">
      <c r="A734" s="2" t="str">
        <f ca="1">IFERROR(__xludf.DUMMYFUNCTION("""COMPUTED_VALUE"""),"1744798246545")</f>
        <v>1744798246545</v>
      </c>
      <c r="B734" s="2"/>
      <c r="C734" s="2" t="str">
        <v>0</v>
      </c>
      <c r="D734" s="2"/>
      <c r="E734" s="2">
        <f ca="1">IFERROR(__xludf.DUMMYFUNCTION("""COMPUTED_VALUE"""),978551299)</f>
        <v>978551299</v>
      </c>
      <c r="F734" s="2" t="str">
        <f ca="1"/>
        <v>0978551299</v>
      </c>
      <c r="G734" s="2">
        <f ca="1">IFERROR(__xludf.DUMMYFUNCTION("""COMPUTED_VALUE"""),106609129931)</f>
        <v>106609129931</v>
      </c>
      <c r="I734" s="2" t="str">
        <f ca="1">IFERROR(__xludf.DUMMYFUNCTION("""COMPUTED_VALUE"""),"Tô Minh Hiền")</f>
        <v>Tô Minh Hiền</v>
      </c>
      <c r="J734" s="3" t="str">
        <f ca="1">IFERROR(__xludf.DUMMYFUNCTION("""COMPUTED_VALUE"""),"0837812954")</f>
        <v>0837812954</v>
      </c>
      <c r="K734" s="2" t="str">
        <f ca="1">IFERROR(__xludf.DUMMYFUNCTION("""COMPUTED_VALUE"""),"1744798246545")</f>
        <v>1744798246545</v>
      </c>
    </row>
    <row r="735" spans="1:11" ht="12.45">
      <c r="A735" s="2" t="str">
        <f ca="1">IFERROR(__xludf.DUMMYFUNCTION("""COMPUTED_VALUE"""),"1744798288641")</f>
        <v>1744798288641</v>
      </c>
      <c r="B735" s="2"/>
      <c r="C735" s="2" t="str">
        <v>0</v>
      </c>
      <c r="D735" s="2"/>
      <c r="E735" s="2">
        <f ca="1">IFERROR(__xludf.DUMMYFUNCTION("""COMPUTED_VALUE"""),865218135)</f>
        <v>865218135</v>
      </c>
      <c r="F735" s="2" t="str">
        <f ca="1"/>
        <v>0865218135</v>
      </c>
      <c r="G735" s="2">
        <f ca="1">IFERROR(__xludf.DUMMYFUNCTION("""COMPUTED_VALUE"""),106609130139)</f>
        <v>106609130139</v>
      </c>
      <c r="I735" s="2" t="str">
        <f ca="1">IFERROR(__xludf.DUMMYFUNCTION("""COMPUTED_VALUE"""),"Vi Thị Mai Anh")</f>
        <v>Vi Thị Mai Anh</v>
      </c>
      <c r="J735" s="3" t="str">
        <f ca="1">IFERROR(__xludf.DUMMYFUNCTION("""COMPUTED_VALUE"""),"0968551406")</f>
        <v>0968551406</v>
      </c>
      <c r="K735" s="2" t="str">
        <f ca="1">IFERROR(__xludf.DUMMYFUNCTION("""COMPUTED_VALUE"""),"1744798288641")</f>
        <v>1744798288641</v>
      </c>
    </row>
    <row r="736" spans="1:11" ht="12.45">
      <c r="A736" s="2" t="str">
        <f ca="1">IFERROR(__xludf.DUMMYFUNCTION("""COMPUTED_VALUE"""),"1744798325725")</f>
        <v>1744798325725</v>
      </c>
      <c r="B736" s="2"/>
      <c r="C736" s="2" t="str">
        <v>0</v>
      </c>
      <c r="D736" s="2"/>
      <c r="E736" s="2">
        <f ca="1">IFERROR(__xludf.DUMMYFUNCTION("""COMPUTED_VALUE"""),908476613)</f>
        <v>908476613</v>
      </c>
      <c r="F736" s="2" t="str">
        <f ca="1"/>
        <v>0908476613</v>
      </c>
      <c r="G736" s="2">
        <f ca="1">IFERROR(__xludf.DUMMYFUNCTION("""COMPUTED_VALUE"""),106609130254)</f>
        <v>106609130254</v>
      </c>
      <c r="I736" s="2" t="str">
        <f ca="1">IFERROR(__xludf.DUMMYFUNCTION("""COMPUTED_VALUE"""),"Lê Thị Huyền Châu ")</f>
        <v xml:space="preserve">Lê Thị Huyền Châu </v>
      </c>
      <c r="J736" s="3" t="str">
        <f ca="1">IFERROR(__xludf.DUMMYFUNCTION("""COMPUTED_VALUE"""),"0339325845")</f>
        <v>0339325845</v>
      </c>
      <c r="K736" s="2" t="str">
        <f ca="1">IFERROR(__xludf.DUMMYFUNCTION("""COMPUTED_VALUE"""),"1744798325725")</f>
        <v>1744798325725</v>
      </c>
    </row>
    <row r="737" spans="1:11" ht="12.45">
      <c r="A737" s="2" t="str">
        <f ca="1">IFERROR(__xludf.DUMMYFUNCTION("""COMPUTED_VALUE"""),"1744798365553")</f>
        <v>1744798365553</v>
      </c>
      <c r="B737" s="2"/>
      <c r="C737" s="2" t="str">
        <v>0</v>
      </c>
      <c r="D737" s="2"/>
      <c r="E737" s="2">
        <f ca="1">IFERROR(__xludf.DUMMYFUNCTION("""COMPUTED_VALUE"""),974785370)</f>
        <v>974785370</v>
      </c>
      <c r="F737" s="2" t="str">
        <f ca="1"/>
        <v>0974785370</v>
      </c>
      <c r="G737" s="2">
        <f ca="1">IFERROR(__xludf.DUMMYFUNCTION("""COMPUTED_VALUE"""),106609130346)</f>
        <v>106609130346</v>
      </c>
      <c r="I737" s="2" t="str">
        <f ca="1">IFERROR(__xludf.DUMMYFUNCTION("""COMPUTED_VALUE"""),"Phạm Mai Thanh Thảo")</f>
        <v>Phạm Mai Thanh Thảo</v>
      </c>
      <c r="J737" s="3" t="str">
        <f ca="1">IFERROR(__xludf.DUMMYFUNCTION("""COMPUTED_VALUE"""),"0984633479")</f>
        <v>0984633479</v>
      </c>
      <c r="K737" s="2" t="str">
        <f ca="1">IFERROR(__xludf.DUMMYFUNCTION("""COMPUTED_VALUE"""),"1744798365553")</f>
        <v>1744798365553</v>
      </c>
    </row>
    <row r="738" spans="1:11" ht="12.45">
      <c r="A738" s="2" t="str">
        <f ca="1">IFERROR(__xludf.DUMMYFUNCTION("""COMPUTED_VALUE"""),"1744798402042")</f>
        <v>1744798402042</v>
      </c>
      <c r="B738" s="2"/>
      <c r="C738" s="2" t="str">
        <v>0</v>
      </c>
      <c r="D738" s="2"/>
      <c r="E738" s="2">
        <f ca="1">IFERROR(__xludf.DUMMYFUNCTION("""COMPUTED_VALUE"""),962296118)</f>
        <v>962296118</v>
      </c>
      <c r="F738" s="2" t="str">
        <f ca="1"/>
        <v>0962296118</v>
      </c>
      <c r="G738" s="2">
        <f ca="1">IFERROR(__xludf.DUMMYFUNCTION("""COMPUTED_VALUE"""),106609130437)</f>
        <v>106609130437</v>
      </c>
      <c r="I738" s="2" t="str">
        <f ca="1">IFERROR(__xludf.DUMMYFUNCTION("""COMPUTED_VALUE"""),"Ngô phương anh ")</f>
        <v xml:space="preserve">Ngô phương anh </v>
      </c>
      <c r="J738" s="3" t="str">
        <f ca="1">IFERROR(__xludf.DUMMYFUNCTION("""COMPUTED_VALUE"""),"0775379799")</f>
        <v>0775379799</v>
      </c>
      <c r="K738" s="2" t="str">
        <f ca="1">IFERROR(__xludf.DUMMYFUNCTION("""COMPUTED_VALUE"""),"1744798402042")</f>
        <v>1744798402042</v>
      </c>
    </row>
    <row r="739" spans="1:11" ht="12.45">
      <c r="A739" s="2" t="str">
        <f ca="1">IFERROR(__xludf.DUMMYFUNCTION("""COMPUTED_VALUE"""),"1744798434057")</f>
        <v>1744798434057</v>
      </c>
      <c r="B739" s="2"/>
      <c r="C739" s="2" t="str">
        <v>0</v>
      </c>
      <c r="D739" s="2"/>
      <c r="E739" s="2">
        <f ca="1">IFERROR(__xludf.DUMMYFUNCTION("""COMPUTED_VALUE"""),972445168)</f>
        <v>972445168</v>
      </c>
      <c r="F739" s="2" t="str">
        <f ca="1"/>
        <v>0972445168</v>
      </c>
      <c r="G739" s="2">
        <f ca="1">IFERROR(__xludf.DUMMYFUNCTION("""COMPUTED_VALUE"""),106609130582)</f>
        <v>106609130582</v>
      </c>
      <c r="I739" s="2" t="str">
        <f ca="1">IFERROR(__xludf.DUMMYFUNCTION("""COMPUTED_VALUE"""),"Bùi Diệu Anh ")</f>
        <v xml:space="preserve">Bùi Diệu Anh </v>
      </c>
      <c r="J739" s="3" t="str">
        <f ca="1">IFERROR(__xludf.DUMMYFUNCTION("""COMPUTED_VALUE"""),"0983912848")</f>
        <v>0983912848</v>
      </c>
      <c r="K739" s="2" t="str">
        <f ca="1">IFERROR(__xludf.DUMMYFUNCTION("""COMPUTED_VALUE"""),"1744798434057")</f>
        <v>1744798434057</v>
      </c>
    </row>
    <row r="740" spans="1:11" ht="12.45">
      <c r="A740" s="2" t="str">
        <f ca="1">IFERROR(__xludf.DUMMYFUNCTION("""COMPUTED_VALUE"""),"1744798470654")</f>
        <v>1744798470654</v>
      </c>
      <c r="B740" s="2"/>
      <c r="C740" s="2" t="str">
        <v>0</v>
      </c>
      <c r="D740" s="2"/>
      <c r="E740" s="2">
        <f ca="1">IFERROR(__xludf.DUMMYFUNCTION("""COMPUTED_VALUE"""),964324454)</f>
        <v>964324454</v>
      </c>
      <c r="F740" s="2" t="str">
        <f ca="1"/>
        <v>0964324454</v>
      </c>
      <c r="G740" s="2">
        <f ca="1">IFERROR(__xludf.DUMMYFUNCTION("""COMPUTED_VALUE"""),106609130659)</f>
        <v>106609130659</v>
      </c>
      <c r="I740" s="2" t="str">
        <f ca="1">IFERROR(__xludf.DUMMYFUNCTION("""COMPUTED_VALUE"""),"Đỗ Minh Phương ")</f>
        <v xml:space="preserve">Đỗ Minh Phương </v>
      </c>
      <c r="J740" s="3" t="str">
        <f ca="1">IFERROR(__xludf.DUMMYFUNCTION("""COMPUTED_VALUE"""),"0396406427")</f>
        <v>0396406427</v>
      </c>
      <c r="K740" s="2" t="str">
        <f ca="1">IFERROR(__xludf.DUMMYFUNCTION("""COMPUTED_VALUE"""),"1744798470654")</f>
        <v>1744798470654</v>
      </c>
    </row>
    <row r="741" spans="1:11" ht="12.45">
      <c r="A741" s="2" t="str">
        <f ca="1">IFERROR(__xludf.DUMMYFUNCTION("""COMPUTED_VALUE"""),"1744798509203")</f>
        <v>1744798509203</v>
      </c>
      <c r="B741" s="2"/>
      <c r="C741" s="2" t="str">
        <v>0</v>
      </c>
      <c r="D741" s="2"/>
      <c r="E741" s="2">
        <f ca="1">IFERROR(__xludf.DUMMYFUNCTION("""COMPUTED_VALUE"""),911277177)</f>
        <v>911277177</v>
      </c>
      <c r="F741" s="2" t="str">
        <f ca="1"/>
        <v>0911277177</v>
      </c>
      <c r="G741" s="2">
        <f ca="1">IFERROR(__xludf.DUMMYFUNCTION("""COMPUTED_VALUE"""),106609130795)</f>
        <v>106609130795</v>
      </c>
      <c r="I741" s="2" t="str">
        <f ca="1">IFERROR(__xludf.DUMMYFUNCTION("""COMPUTED_VALUE"""),"Nguyễn Viết Tầng ")</f>
        <v xml:space="preserve">Nguyễn Viết Tầng </v>
      </c>
      <c r="J741" s="3" t="str">
        <f ca="1">IFERROR(__xludf.DUMMYFUNCTION("""COMPUTED_VALUE"""),"0368669272")</f>
        <v>0368669272</v>
      </c>
      <c r="K741" s="2" t="str">
        <f ca="1">IFERROR(__xludf.DUMMYFUNCTION("""COMPUTED_VALUE"""),"1744798509203")</f>
        <v>1744798509203</v>
      </c>
    </row>
    <row r="742" spans="1:11" ht="12.45">
      <c r="A742" s="2" t="str">
        <f ca="1">IFERROR(__xludf.DUMMYFUNCTION("""COMPUTED_VALUE"""),"1744798549094")</f>
        <v>1744798549094</v>
      </c>
      <c r="B742" s="2"/>
      <c r="C742" s="2" t="str">
        <v>0</v>
      </c>
      <c r="D742" s="2"/>
      <c r="E742" s="2">
        <f ca="1">IFERROR(__xludf.DUMMYFUNCTION("""COMPUTED_VALUE"""),967764827)</f>
        <v>967764827</v>
      </c>
      <c r="F742" s="2" t="str">
        <f ca="1"/>
        <v>0967764827</v>
      </c>
      <c r="G742" s="2">
        <f ca="1">IFERROR(__xludf.DUMMYFUNCTION("""COMPUTED_VALUE"""),106609130998)</f>
        <v>106609130998</v>
      </c>
      <c r="I742" s="2" t="str">
        <f ca="1">IFERROR(__xludf.DUMMYFUNCTION("""COMPUTED_VALUE"""),"Đinh Hương Giang ")</f>
        <v xml:space="preserve">Đinh Hương Giang </v>
      </c>
      <c r="J742" s="3" t="str">
        <f ca="1">IFERROR(__xludf.DUMMYFUNCTION("""COMPUTED_VALUE"""),"0855257299")</f>
        <v>0855257299</v>
      </c>
      <c r="K742" s="2" t="str">
        <f ca="1">IFERROR(__xludf.DUMMYFUNCTION("""COMPUTED_VALUE"""),"1744798549094")</f>
        <v>1744798549094</v>
      </c>
    </row>
    <row r="743" spans="1:11" ht="12.45">
      <c r="A743" s="2" t="str">
        <f ca="1">IFERROR(__xludf.DUMMYFUNCTION("""COMPUTED_VALUE"""),"1744798580001")</f>
        <v>1744798580001</v>
      </c>
      <c r="B743" s="2"/>
      <c r="C743" s="2" t="str">
        <v>0</v>
      </c>
      <c r="D743" s="2"/>
      <c r="E743" s="2">
        <f ca="1">IFERROR(__xludf.DUMMYFUNCTION("""COMPUTED_VALUE"""),922858707)</f>
        <v>922858707</v>
      </c>
      <c r="F743" s="2" t="str">
        <f ca="1"/>
        <v>0922858707</v>
      </c>
      <c r="G743" s="2">
        <f ca="1">IFERROR(__xludf.DUMMYFUNCTION("""COMPUTED_VALUE"""),106783940893)</f>
        <v>106783940893</v>
      </c>
      <c r="I743" s="2" t="str">
        <f ca="1">IFERROR(__xludf.DUMMYFUNCTION("""COMPUTED_VALUE"""),"Phạm Thị An Hoà")</f>
        <v>Phạm Thị An Hoà</v>
      </c>
      <c r="J743" s="3" t="str">
        <f ca="1">IFERROR(__xludf.DUMMYFUNCTION("""COMPUTED_VALUE"""),"0913349656")</f>
        <v>0913349656</v>
      </c>
      <c r="K743" s="2" t="str">
        <f ca="1">IFERROR(__xludf.DUMMYFUNCTION("""COMPUTED_VALUE"""),"1744798580001")</f>
        <v>1744798580001</v>
      </c>
    </row>
    <row r="744" spans="1:11" ht="12.45">
      <c r="A744" s="2" t="str">
        <f ca="1">IFERROR(__xludf.DUMMYFUNCTION("""COMPUTED_VALUE"""),"1744798613997")</f>
        <v>1744798613997</v>
      </c>
      <c r="B744" s="2"/>
      <c r="C744" s="2" t="str">
        <v>0</v>
      </c>
      <c r="D744" s="2"/>
      <c r="E744" s="2">
        <f ca="1">IFERROR(__xludf.DUMMYFUNCTION("""COMPUTED_VALUE"""),383214211)</f>
        <v>383214211</v>
      </c>
      <c r="F744" s="2" t="str">
        <f ca="1"/>
        <v>0383214211</v>
      </c>
      <c r="G744" s="2">
        <f ca="1">IFERROR(__xludf.DUMMYFUNCTION("""COMPUTED_VALUE"""),106783941017)</f>
        <v>106783941017</v>
      </c>
      <c r="I744" s="2" t="str">
        <f ca="1">IFERROR(__xludf.DUMMYFUNCTION("""COMPUTED_VALUE"""),"Nguyễn Mỹ Trang")</f>
        <v>Nguyễn Mỹ Trang</v>
      </c>
      <c r="J744" s="3" t="str">
        <f ca="1">IFERROR(__xludf.DUMMYFUNCTION("""COMPUTED_VALUE"""),"0795948495")</f>
        <v>0795948495</v>
      </c>
      <c r="K744" s="2" t="str">
        <f ca="1">IFERROR(__xludf.DUMMYFUNCTION("""COMPUTED_VALUE"""),"1744798613997")</f>
        <v>1744798613997</v>
      </c>
    </row>
    <row r="745" spans="1:11" ht="12.45">
      <c r="A745" s="2" t="str">
        <f ca="1">IFERROR(__xludf.DUMMYFUNCTION("""COMPUTED_VALUE"""),"1744798662164")</f>
        <v>1744798662164</v>
      </c>
      <c r="B745" s="2"/>
      <c r="C745" s="2" t="str">
        <v>0</v>
      </c>
      <c r="D745" s="2"/>
      <c r="E745" s="2">
        <f ca="1">IFERROR(__xludf.DUMMYFUNCTION("""COMPUTED_VALUE"""),332252715)</f>
        <v>332252715</v>
      </c>
      <c r="F745" s="2" t="str">
        <f ca="1"/>
        <v>0332252715</v>
      </c>
      <c r="G745" s="2">
        <f ca="1">IFERROR(__xludf.DUMMYFUNCTION("""COMPUTED_VALUE"""),106783941115)</f>
        <v>106783941115</v>
      </c>
      <c r="I745" s="2" t="str">
        <f ca="1">IFERROR(__xludf.DUMMYFUNCTION("""COMPUTED_VALUE"""),"Dương Quỳnh Anh")</f>
        <v>Dương Quỳnh Anh</v>
      </c>
      <c r="J745" s="3" t="str">
        <f ca="1">IFERROR(__xludf.DUMMYFUNCTION("""COMPUTED_VALUE"""),"0398085985")</f>
        <v>0398085985</v>
      </c>
      <c r="K745" s="2" t="str">
        <f ca="1">IFERROR(__xludf.DUMMYFUNCTION("""COMPUTED_VALUE"""),"1744798662164")</f>
        <v>1744798662164</v>
      </c>
    </row>
    <row r="746" spans="1:11" ht="12.45">
      <c r="A746" s="2" t="str">
        <f ca="1">IFERROR(__xludf.DUMMYFUNCTION("""COMPUTED_VALUE"""),"1744798705217")</f>
        <v>1744798705217</v>
      </c>
      <c r="B746" s="2"/>
      <c r="C746" s="2" t="str">
        <v>0</v>
      </c>
      <c r="D746" s="2"/>
      <c r="E746" s="2">
        <f ca="1">IFERROR(__xludf.DUMMYFUNCTION("""COMPUTED_VALUE"""),912861992)</f>
        <v>912861992</v>
      </c>
      <c r="F746" s="2" t="str">
        <f ca="1"/>
        <v>0912861992</v>
      </c>
      <c r="G746" s="2">
        <f ca="1">IFERROR(__xludf.DUMMYFUNCTION("""COMPUTED_VALUE"""),106783941266)</f>
        <v>106783941266</v>
      </c>
      <c r="I746" s="2" t="str">
        <f ca="1">IFERROR(__xludf.DUMMYFUNCTION("""COMPUTED_VALUE"""),"Bùi Ngọc Quế Trân")</f>
        <v>Bùi Ngọc Quế Trân</v>
      </c>
      <c r="J746" s="3" t="str">
        <f ca="1">IFERROR(__xludf.DUMMYFUNCTION("""COMPUTED_VALUE"""),"0941755224")</f>
        <v>0941755224</v>
      </c>
      <c r="K746" s="2" t="str">
        <f ca="1">IFERROR(__xludf.DUMMYFUNCTION("""COMPUTED_VALUE"""),"1744798705217")</f>
        <v>1744798705217</v>
      </c>
    </row>
    <row r="747" spans="1:11" ht="12.45">
      <c r="A747" s="2" t="str">
        <f ca="1">IFERROR(__xludf.DUMMYFUNCTION("""COMPUTED_VALUE"""),"1744798737259")</f>
        <v>1744798737259</v>
      </c>
      <c r="B747" s="2"/>
      <c r="C747" s="2" t="str">
        <v>0</v>
      </c>
      <c r="D747" s="2"/>
      <c r="E747" s="2">
        <f ca="1">IFERROR(__xludf.DUMMYFUNCTION("""COMPUTED_VALUE"""),826637500)</f>
        <v>826637500</v>
      </c>
      <c r="F747" s="2" t="str">
        <f ca="1"/>
        <v>0826637500</v>
      </c>
      <c r="G747" s="2">
        <f ca="1">IFERROR(__xludf.DUMMYFUNCTION("""COMPUTED_VALUE"""),106783941372)</f>
        <v>106783941372</v>
      </c>
      <c r="I747" s="2" t="str">
        <f ca="1">IFERROR(__xludf.DUMMYFUNCTION("""COMPUTED_VALUE"""),"Đoàn Hương Giang")</f>
        <v>Đoàn Hương Giang</v>
      </c>
      <c r="J747" s="3" t="str">
        <f ca="1">IFERROR(__xludf.DUMMYFUNCTION("""COMPUTED_VALUE"""),"0963128361")</f>
        <v>0963128361</v>
      </c>
      <c r="K747" s="2" t="str">
        <f ca="1">IFERROR(__xludf.DUMMYFUNCTION("""COMPUTED_VALUE"""),"1744798737259")</f>
        <v>1744798737259</v>
      </c>
    </row>
    <row r="748" spans="1:11" ht="12.45">
      <c r="A748" s="2" t="str">
        <f ca="1">IFERROR(__xludf.DUMMYFUNCTION("""COMPUTED_VALUE"""),"1744798768147")</f>
        <v>1744798768147</v>
      </c>
      <c r="B748" s="2"/>
      <c r="C748" s="2" t="str">
        <v>0</v>
      </c>
      <c r="D748" s="2"/>
      <c r="E748" s="2">
        <f ca="1">IFERROR(__xludf.DUMMYFUNCTION("""COMPUTED_VALUE"""),903991798)</f>
        <v>903991798</v>
      </c>
      <c r="F748" s="2" t="str">
        <f ca="1"/>
        <v>0903991798</v>
      </c>
      <c r="G748" s="2">
        <f ca="1">IFERROR(__xludf.DUMMYFUNCTION("""COMPUTED_VALUE"""),106783941453)</f>
        <v>106783941453</v>
      </c>
      <c r="I748" s="2" t="str">
        <f ca="1">IFERROR(__xludf.DUMMYFUNCTION("""COMPUTED_VALUE"""),"Đào Dương Quỳnh Như ")</f>
        <v xml:space="preserve">Đào Dương Quỳnh Như </v>
      </c>
      <c r="J748" s="3" t="str">
        <f ca="1">IFERROR(__xludf.DUMMYFUNCTION("""COMPUTED_VALUE"""),"0794771505")</f>
        <v>0794771505</v>
      </c>
      <c r="K748" s="2" t="str">
        <f ca="1">IFERROR(__xludf.DUMMYFUNCTION("""COMPUTED_VALUE"""),"1744798768147")</f>
        <v>1744798768147</v>
      </c>
    </row>
    <row r="749" spans="1:11" ht="12.45">
      <c r="A749" s="2" t="str">
        <f ca="1">IFERROR(__xludf.DUMMYFUNCTION("""COMPUTED_VALUE"""),"1744798803875")</f>
        <v>1744798803875</v>
      </c>
      <c r="B749" s="2"/>
      <c r="C749" s="2" t="str">
        <v>0</v>
      </c>
      <c r="D749" s="2"/>
      <c r="E749" s="2">
        <f ca="1">IFERROR(__xludf.DUMMYFUNCTION("""COMPUTED_VALUE"""),866890786)</f>
        <v>866890786</v>
      </c>
      <c r="F749" s="2" t="str">
        <f ca="1"/>
        <v>0866890786</v>
      </c>
      <c r="G749" s="2">
        <f ca="1">IFERROR(__xludf.DUMMYFUNCTION("""COMPUTED_VALUE"""),106856598285)</f>
        <v>106856598285</v>
      </c>
      <c r="I749" s="2" t="str">
        <f ca="1">IFERROR(__xludf.DUMMYFUNCTION("""COMPUTED_VALUE"""),"Nguyễn Mai Linh")</f>
        <v>Nguyễn Mai Linh</v>
      </c>
      <c r="J749" s="3" t="str">
        <f ca="1">IFERROR(__xludf.DUMMYFUNCTION("""COMPUTED_VALUE"""),"0358451217")</f>
        <v>0358451217</v>
      </c>
      <c r="K749" s="2" t="str">
        <f ca="1">IFERROR(__xludf.DUMMYFUNCTION("""COMPUTED_VALUE"""),"1744798803875")</f>
        <v>1744798803875</v>
      </c>
    </row>
    <row r="750" spans="1:11" ht="12.45">
      <c r="A750" s="2" t="str">
        <f ca="1">IFERROR(__xludf.DUMMYFUNCTION("""COMPUTED_VALUE"""),"1744798839030")</f>
        <v>1744798839030</v>
      </c>
      <c r="B750" s="2"/>
      <c r="C750" s="2" t="str">
        <v>0</v>
      </c>
      <c r="D750" s="2"/>
      <c r="E750" s="2">
        <f ca="1">IFERROR(__xludf.DUMMYFUNCTION("""COMPUTED_VALUE"""),842068807)</f>
        <v>842068807</v>
      </c>
      <c r="F750" s="2" t="str">
        <f ca="1"/>
        <v>0842068807</v>
      </c>
      <c r="G750" s="2">
        <f ca="1">IFERROR(__xludf.DUMMYFUNCTION("""COMPUTED_VALUE"""),106856598350)</f>
        <v>106856598350</v>
      </c>
      <c r="I750" s="2" t="str">
        <f ca="1">IFERROR(__xludf.DUMMYFUNCTION("""COMPUTED_VALUE"""),"Ngô Kim Chi ")</f>
        <v xml:space="preserve">Ngô Kim Chi </v>
      </c>
      <c r="J750" s="3" t="str">
        <f ca="1">IFERROR(__xludf.DUMMYFUNCTION("""COMPUTED_VALUE"""),"0359811243")</f>
        <v>0359811243</v>
      </c>
      <c r="K750" s="2" t="str">
        <f ca="1">IFERROR(__xludf.DUMMYFUNCTION("""COMPUTED_VALUE"""),"1744798839030")</f>
        <v>1744798839030</v>
      </c>
    </row>
    <row r="751" spans="1:11" ht="12.45">
      <c r="A751" s="2" t="str">
        <f ca="1">IFERROR(__xludf.DUMMYFUNCTION("""COMPUTED_VALUE"""),"1744798874165")</f>
        <v>1744798874165</v>
      </c>
      <c r="B751" s="2"/>
      <c r="C751" s="2" t="str">
        <v>0</v>
      </c>
      <c r="D751" s="2"/>
      <c r="E751" s="2">
        <f ca="1">IFERROR(__xludf.DUMMYFUNCTION("""COMPUTED_VALUE"""),393452577)</f>
        <v>393452577</v>
      </c>
      <c r="F751" s="2" t="str">
        <f ca="1"/>
        <v>0393452577</v>
      </c>
      <c r="G751" s="2">
        <f ca="1">IFERROR(__xludf.DUMMYFUNCTION("""COMPUTED_VALUE"""),106856598475)</f>
        <v>106856598475</v>
      </c>
      <c r="I751" s="2" t="str">
        <f ca="1">IFERROR(__xludf.DUMMYFUNCTION("""COMPUTED_VALUE"""),"Nguyễn Hà Linh")</f>
        <v>Nguyễn Hà Linh</v>
      </c>
      <c r="J751" s="3" t="str">
        <f ca="1">IFERROR(__xludf.DUMMYFUNCTION("""COMPUTED_VALUE"""),"0969110274")</f>
        <v>0969110274</v>
      </c>
      <c r="K751" s="2" t="str">
        <f ca="1">IFERROR(__xludf.DUMMYFUNCTION("""COMPUTED_VALUE"""),"1744798874165")</f>
        <v>1744798874165</v>
      </c>
    </row>
    <row r="752" spans="1:11" ht="12.45">
      <c r="A752" s="2" t="str">
        <f ca="1">IFERROR(__xludf.DUMMYFUNCTION("""COMPUTED_VALUE"""),"1744798906692")</f>
        <v>1744798906692</v>
      </c>
      <c r="B752" s="2"/>
      <c r="C752" s="2" t="str">
        <v>0</v>
      </c>
      <c r="D752" s="2"/>
      <c r="E752" s="2">
        <f ca="1">IFERROR(__xludf.DUMMYFUNCTION("""COMPUTED_VALUE"""),386087430)</f>
        <v>386087430</v>
      </c>
      <c r="F752" s="2" t="str">
        <f ca="1"/>
        <v>0386087430</v>
      </c>
      <c r="G752" s="2">
        <f ca="1">IFERROR(__xludf.DUMMYFUNCTION("""COMPUTED_VALUE"""),106856598563)</f>
        <v>106856598563</v>
      </c>
      <c r="I752" s="2" t="str">
        <f ca="1">IFERROR(__xludf.DUMMYFUNCTION("""COMPUTED_VALUE"""),"Nguyễn Thu Hoài")</f>
        <v>Nguyễn Thu Hoài</v>
      </c>
      <c r="J752" s="3" t="str">
        <f ca="1">IFERROR(__xludf.DUMMYFUNCTION("""COMPUTED_VALUE"""),"0961369961")</f>
        <v>0961369961</v>
      </c>
      <c r="K752" s="2" t="str">
        <f ca="1">IFERROR(__xludf.DUMMYFUNCTION("""COMPUTED_VALUE"""),"1744798906692")</f>
        <v>1744798906692</v>
      </c>
    </row>
    <row r="753" spans="1:11" ht="12.45">
      <c r="A753" s="2" t="str">
        <f ca="1">IFERROR(__xludf.DUMMYFUNCTION("""COMPUTED_VALUE"""),"1744798946602")</f>
        <v>1744798946602</v>
      </c>
      <c r="B753" s="2"/>
      <c r="C753" s="2" t="str">
        <v>0</v>
      </c>
      <c r="D753" s="2"/>
      <c r="E753" s="2">
        <f ca="1">IFERROR(__xludf.DUMMYFUNCTION("""COMPUTED_VALUE"""),813525189)</f>
        <v>813525189</v>
      </c>
      <c r="F753" s="2" t="str">
        <f ca="1"/>
        <v>0813525189</v>
      </c>
      <c r="G753" s="2">
        <f ca="1">IFERROR(__xludf.DUMMYFUNCTION("""COMPUTED_VALUE"""),106856598652)</f>
        <v>106856598652</v>
      </c>
      <c r="I753" s="2" t="str">
        <f ca="1">IFERROR(__xludf.DUMMYFUNCTION("""COMPUTED_VALUE"""),"Phạm Phương Thuý")</f>
        <v>Phạm Phương Thuý</v>
      </c>
      <c r="J753" s="3" t="str">
        <f ca="1">IFERROR(__xludf.DUMMYFUNCTION("""COMPUTED_VALUE"""),"0854624679")</f>
        <v>0854624679</v>
      </c>
      <c r="K753" s="2" t="str">
        <f ca="1">IFERROR(__xludf.DUMMYFUNCTION("""COMPUTED_VALUE"""),"1744798946602")</f>
        <v>1744798946602</v>
      </c>
    </row>
    <row r="754" spans="1:11" ht="12.45">
      <c r="A754" s="2" t="str">
        <f ca="1">IFERROR(__xludf.DUMMYFUNCTION("""COMPUTED_VALUE"""),"1744798972583")</f>
        <v>1744798972583</v>
      </c>
      <c r="B754" s="2"/>
      <c r="C754" s="2" t="str">
        <v>0</v>
      </c>
      <c r="D754" s="2"/>
      <c r="E754" s="2">
        <f ca="1">IFERROR(__xludf.DUMMYFUNCTION("""COMPUTED_VALUE"""),834964179)</f>
        <v>834964179</v>
      </c>
      <c r="F754" s="2" t="str">
        <f ca="1"/>
        <v>0834964179</v>
      </c>
      <c r="G754" s="2">
        <f ca="1">IFERROR(__xludf.DUMMYFUNCTION("""COMPUTED_VALUE"""),107054065462)</f>
        <v>107054065462</v>
      </c>
      <c r="I754" s="2" t="str">
        <f ca="1">IFERROR(__xludf.DUMMYFUNCTION("""COMPUTED_VALUE"""),"Nguyễn Thị Thanh Huyền ")</f>
        <v xml:space="preserve">Nguyễn Thị Thanh Huyền </v>
      </c>
      <c r="J754" s="3" t="str">
        <f ca="1">IFERROR(__xludf.DUMMYFUNCTION("""COMPUTED_VALUE"""),"0396929472")</f>
        <v>0396929472</v>
      </c>
      <c r="K754" s="2" t="str">
        <f ca="1">IFERROR(__xludf.DUMMYFUNCTION("""COMPUTED_VALUE"""),"1744798972583")</f>
        <v>1744798972583</v>
      </c>
    </row>
    <row r="755" spans="1:11" ht="12.45">
      <c r="A755" s="2" t="str">
        <f ca="1">IFERROR(__xludf.DUMMYFUNCTION("""COMPUTED_VALUE"""),"1744799006615")</f>
        <v>1744799006615</v>
      </c>
      <c r="B755" s="2"/>
      <c r="C755" s="2" t="str">
        <v>0</v>
      </c>
      <c r="D755" s="2"/>
      <c r="E755" s="2">
        <f ca="1">IFERROR(__xludf.DUMMYFUNCTION("""COMPUTED_VALUE"""),334486496)</f>
        <v>334486496</v>
      </c>
      <c r="F755" s="2" t="str">
        <f ca="1"/>
        <v>0334486496</v>
      </c>
      <c r="G755" s="2">
        <f ca="1">IFERROR(__xludf.DUMMYFUNCTION("""COMPUTED_VALUE"""),107054065584)</f>
        <v>107054065584</v>
      </c>
      <c r="I755" s="2" t="str">
        <f ca="1">IFERROR(__xludf.DUMMYFUNCTION("""COMPUTED_VALUE"""),"Đào Thanh Xuân")</f>
        <v>Đào Thanh Xuân</v>
      </c>
      <c r="J755" s="3" t="str">
        <f ca="1">IFERROR(__xludf.DUMMYFUNCTION("""COMPUTED_VALUE"""),"0854748808")</f>
        <v>0854748808</v>
      </c>
      <c r="K755" s="2" t="str">
        <f ca="1">IFERROR(__xludf.DUMMYFUNCTION("""COMPUTED_VALUE"""),"1744799006615")</f>
        <v>1744799006615</v>
      </c>
    </row>
    <row r="756" spans="1:11" ht="12.45">
      <c r="A756" s="2" t="str">
        <f ca="1">IFERROR(__xludf.DUMMYFUNCTION("""COMPUTED_VALUE"""),"1744799051829")</f>
        <v>1744799051829</v>
      </c>
      <c r="B756" s="2"/>
      <c r="C756" s="2" t="str">
        <v>0</v>
      </c>
      <c r="D756" s="2"/>
      <c r="E756" s="2">
        <f ca="1">IFERROR(__xludf.DUMMYFUNCTION("""COMPUTED_VALUE"""),904828138)</f>
        <v>904828138</v>
      </c>
      <c r="F756" s="2" t="str">
        <f ca="1"/>
        <v>0904828138</v>
      </c>
      <c r="G756" s="2">
        <f ca="1">IFERROR(__xludf.DUMMYFUNCTION("""COMPUTED_VALUE"""),107054065779)</f>
        <v>107054065779</v>
      </c>
      <c r="I756" s="2" t="str">
        <f ca="1">IFERROR(__xludf.DUMMYFUNCTION("""COMPUTED_VALUE"""),"Đồng Thị Thùy Trâm")</f>
        <v>Đồng Thị Thùy Trâm</v>
      </c>
      <c r="J756" s="3" t="str">
        <f ca="1">IFERROR(__xludf.DUMMYFUNCTION("""COMPUTED_VALUE"""),"0794830057")</f>
        <v>0794830057</v>
      </c>
      <c r="K756" s="2" t="str">
        <f ca="1">IFERROR(__xludf.DUMMYFUNCTION("""COMPUTED_VALUE"""),"1744799051829")</f>
        <v>1744799051829</v>
      </c>
    </row>
    <row r="757" spans="1:11" ht="12.45">
      <c r="A757" s="2" t="str">
        <f ca="1">IFERROR(__xludf.DUMMYFUNCTION("""COMPUTED_VALUE"""),"1744797383795")</f>
        <v>1744797383795</v>
      </c>
      <c r="B757" s="2"/>
      <c r="C757" s="2" t="str">
        <v>0</v>
      </c>
      <c r="D757" s="2"/>
      <c r="E757" s="2">
        <f ca="1">IFERROR(__xludf.DUMMYFUNCTION("""COMPUTED_VALUE"""),762712550)</f>
        <v>762712550</v>
      </c>
      <c r="F757" s="2" t="str">
        <f ca="1"/>
        <v>0762712550</v>
      </c>
      <c r="G757" s="2">
        <f ca="1">IFERROR(__xludf.DUMMYFUNCTION("""COMPUTED_VALUE"""),107054065868)</f>
        <v>107054065868</v>
      </c>
      <c r="I757" s="2" t="str">
        <f ca="1">IFERROR(__xludf.DUMMYFUNCTION("""COMPUTED_VALUE"""),"Lã Hà My")</f>
        <v>Lã Hà My</v>
      </c>
      <c r="J757" s="3" t="str">
        <f ca="1">IFERROR(__xludf.DUMMYFUNCTION("""COMPUTED_VALUE"""),"0865981091")</f>
        <v>0865981091</v>
      </c>
      <c r="K757" s="2" t="str">
        <f ca="1">IFERROR(__xludf.DUMMYFUNCTION("""COMPUTED_VALUE"""),"1744797383795")</f>
        <v>1744797383795</v>
      </c>
    </row>
    <row r="758" spans="1:11" ht="12.45">
      <c r="A758" s="2" t="str">
        <f ca="1">IFERROR(__xludf.DUMMYFUNCTION("""COMPUTED_VALUE"""),"1744997091079")</f>
        <v>1744997091079</v>
      </c>
      <c r="B758" s="2"/>
      <c r="C758" s="2" t="str">
        <v>0</v>
      </c>
      <c r="D758" s="2"/>
      <c r="E758" s="2">
        <f ca="1">IFERROR(__xludf.DUMMYFUNCTION("""COMPUTED_VALUE"""),862603419)</f>
        <v>862603419</v>
      </c>
      <c r="F758" s="2" t="str">
        <f ca="1"/>
        <v>0862603419</v>
      </c>
      <c r="G758" s="2" t="str">
        <f ca="1">IFERROR(__xludf.DUMMYFUNCTION("""COMPUTED_VALUE"""),"107153208271")</f>
        <v>107153208271</v>
      </c>
      <c r="I758" s="2" t="str">
        <f ca="1">IFERROR(__xludf.DUMMYFUNCTION("""COMPUTED_VALUE"""),"Lê Ngọc Minh Châu")</f>
        <v>Lê Ngọc Minh Châu</v>
      </c>
      <c r="J758" s="3" t="str">
        <f ca="1">IFERROR(__xludf.DUMMYFUNCTION("""COMPUTED_VALUE"""),"0834561530")</f>
        <v>0834561530</v>
      </c>
      <c r="K758" s="2" t="str">
        <f ca="1">IFERROR(__xludf.DUMMYFUNCTION("""COMPUTED_VALUE"""),"1744997091079")</f>
        <v>1744997091079</v>
      </c>
    </row>
    <row r="759" spans="1:11" ht="12.45">
      <c r="A759" s="2" t="str">
        <f ca="1">IFERROR(__xludf.DUMMYFUNCTION("""COMPUTED_VALUE"""),"1744997145461")</f>
        <v>1744997145461</v>
      </c>
      <c r="B759" s="2"/>
      <c r="C759" s="2" t="str">
        <v>0</v>
      </c>
      <c r="D759" s="2"/>
      <c r="E759" s="2">
        <f ca="1">IFERROR(__xludf.DUMMYFUNCTION("""COMPUTED_VALUE"""),975319618)</f>
        <v>975319618</v>
      </c>
      <c r="F759" s="2" t="str">
        <f ca="1"/>
        <v>0975319618</v>
      </c>
      <c r="G759" s="2" t="str">
        <f ca="1">IFERROR(__xludf.DUMMYFUNCTION("""COMPUTED_VALUE"""),"107153208325")</f>
        <v>107153208325</v>
      </c>
      <c r="I759" s="2" t="str">
        <f ca="1">IFERROR(__xludf.DUMMYFUNCTION("""COMPUTED_VALUE"""),"Nguyễn Bảo Ngân")</f>
        <v>Nguyễn Bảo Ngân</v>
      </c>
      <c r="J759" s="3" t="str">
        <f ca="1">IFERROR(__xludf.DUMMYFUNCTION("""COMPUTED_VALUE"""),"0327036649")</f>
        <v>0327036649</v>
      </c>
      <c r="K759" s="2" t="str">
        <f ca="1">IFERROR(__xludf.DUMMYFUNCTION("""COMPUTED_VALUE"""),"1744997145461")</f>
        <v>1744997145461</v>
      </c>
    </row>
    <row r="760" spans="1:11" ht="12.45">
      <c r="A760" s="2" t="str">
        <f ca="1">IFERROR(__xludf.DUMMYFUNCTION("""COMPUTED_VALUE"""),"1744997182416")</f>
        <v>1744997182416</v>
      </c>
      <c r="B760" s="2"/>
      <c r="C760" s="2" t="str">
        <v>0</v>
      </c>
      <c r="D760" s="2"/>
      <c r="E760" s="2">
        <f ca="1">IFERROR(__xludf.DUMMYFUNCTION("""COMPUTED_VALUE"""),908805096)</f>
        <v>908805096</v>
      </c>
      <c r="F760" s="2" t="str">
        <f ca="1"/>
        <v>0908805096</v>
      </c>
      <c r="G760" s="2" t="str">
        <f ca="1">IFERROR(__xludf.DUMMYFUNCTION("""COMPUTED_VALUE"""),"107153208479")</f>
        <v>107153208479</v>
      </c>
      <c r="I760" s="2" t="str">
        <f ca="1">IFERROR(__xludf.DUMMYFUNCTION("""COMPUTED_VALUE"""),"Võ Văn Linh ")</f>
        <v xml:space="preserve">Võ Văn Linh </v>
      </c>
      <c r="J760" s="3" t="str">
        <f ca="1">IFERROR(__xludf.DUMMYFUNCTION("""COMPUTED_VALUE"""),"0378250152")</f>
        <v>0378250152</v>
      </c>
      <c r="K760" s="2" t="str">
        <f ca="1">IFERROR(__xludf.DUMMYFUNCTION("""COMPUTED_VALUE"""),"1744997182416")</f>
        <v>1744997182416</v>
      </c>
    </row>
    <row r="761" spans="1:11" ht="12.45">
      <c r="A761" s="2" t="str">
        <f ca="1">IFERROR(__xludf.DUMMYFUNCTION("""COMPUTED_VALUE"""),"1744997223963")</f>
        <v>1744997223963</v>
      </c>
      <c r="B761" s="2"/>
      <c r="C761" s="2" t="str">
        <v>0</v>
      </c>
      <c r="D761" s="2"/>
      <c r="E761" s="2">
        <f ca="1">IFERROR(__xludf.DUMMYFUNCTION("""COMPUTED_VALUE"""),374018237)</f>
        <v>374018237</v>
      </c>
      <c r="F761" s="2" t="str">
        <f ca="1"/>
        <v>0374018237</v>
      </c>
      <c r="G761" s="2" t="str">
        <f ca="1">IFERROR(__xludf.DUMMYFUNCTION("""COMPUTED_VALUE"""),"107153208656")</f>
        <v>107153208656</v>
      </c>
      <c r="I761" s="2" t="str">
        <f ca="1">IFERROR(__xludf.DUMMYFUNCTION("""COMPUTED_VALUE"""),"Nguyễn Thị Thùy ")</f>
        <v xml:space="preserve">Nguyễn Thị Thùy </v>
      </c>
      <c r="J761" s="3" t="str">
        <f ca="1">IFERROR(__xludf.DUMMYFUNCTION("""COMPUTED_VALUE"""),"0973770231")</f>
        <v>0973770231</v>
      </c>
      <c r="K761" s="2" t="str">
        <f ca="1">IFERROR(__xludf.DUMMYFUNCTION("""COMPUTED_VALUE"""),"1744997223963")</f>
        <v>1744997223963</v>
      </c>
    </row>
    <row r="762" spans="1:11" ht="12.45">
      <c r="A762" s="2" t="str">
        <f ca="1">IFERROR(__xludf.DUMMYFUNCTION("""COMPUTED_VALUE"""),"1744997266544")</f>
        <v>1744997266544</v>
      </c>
      <c r="B762" s="2"/>
      <c r="C762" s="2" t="str">
        <v>0</v>
      </c>
      <c r="D762" s="2"/>
      <c r="E762" s="2">
        <f ca="1">IFERROR(__xludf.DUMMYFUNCTION("""COMPUTED_VALUE"""),386729670)</f>
        <v>386729670</v>
      </c>
      <c r="F762" s="2" t="str">
        <f ca="1"/>
        <v>0386729670</v>
      </c>
      <c r="G762" s="2" t="str">
        <f ca="1">IFERROR(__xludf.DUMMYFUNCTION("""COMPUTED_VALUE"""),"107153208742")</f>
        <v>107153208742</v>
      </c>
      <c r="I762" s="2" t="str">
        <f ca="1">IFERROR(__xludf.DUMMYFUNCTION("""COMPUTED_VALUE"""),"Phạm Ngọc Kiều My ")</f>
        <v xml:space="preserve">Phạm Ngọc Kiều My </v>
      </c>
      <c r="J762" s="3" t="str">
        <f ca="1">IFERROR(__xludf.DUMMYFUNCTION("""COMPUTED_VALUE"""),"0919704883")</f>
        <v>0919704883</v>
      </c>
      <c r="K762" s="2" t="str">
        <f ca="1">IFERROR(__xludf.DUMMYFUNCTION("""COMPUTED_VALUE"""),"1744997266544")</f>
        <v>1744997266544</v>
      </c>
    </row>
    <row r="763" spans="1:11" ht="12.45">
      <c r="A763" s="2" t="str">
        <f ca="1">IFERROR(__xludf.DUMMYFUNCTION("""COMPUTED_VALUE"""),"1744997299036")</f>
        <v>1744997299036</v>
      </c>
      <c r="B763" s="2"/>
      <c r="C763" s="2" t="str">
        <v>0</v>
      </c>
      <c r="D763" s="2"/>
      <c r="E763" s="2">
        <f ca="1">IFERROR(__xludf.DUMMYFUNCTION("""COMPUTED_VALUE"""),817573184)</f>
        <v>817573184</v>
      </c>
      <c r="F763" s="2" t="str">
        <f ca="1"/>
        <v>0817573184</v>
      </c>
      <c r="G763" s="2" t="str">
        <f ca="1">IFERROR(__xludf.DUMMYFUNCTION("""COMPUTED_VALUE"""),"107153208844")</f>
        <v>107153208844</v>
      </c>
      <c r="I763" s="2" t="str">
        <f ca="1">IFERROR(__xludf.DUMMYFUNCTION("""COMPUTED_VALUE"""),"Dương Thị Hải Yến")</f>
        <v>Dương Thị Hải Yến</v>
      </c>
      <c r="J763" s="3" t="str">
        <f ca="1">IFERROR(__xludf.DUMMYFUNCTION("""COMPUTED_VALUE"""),"0859500286")</f>
        <v>0859500286</v>
      </c>
      <c r="K763" s="2" t="str">
        <f ca="1">IFERROR(__xludf.DUMMYFUNCTION("""COMPUTED_VALUE"""),"1744997299036")</f>
        <v>1744997299036</v>
      </c>
    </row>
    <row r="764" spans="1:11" ht="12.45">
      <c r="A764" s="2" t="str">
        <f ca="1">IFERROR(__xludf.DUMMYFUNCTION("""COMPUTED_VALUE"""),"1744997327986")</f>
        <v>1744997327986</v>
      </c>
      <c r="B764" s="2"/>
      <c r="C764" s="2" t="str">
        <v>0</v>
      </c>
      <c r="D764" s="2"/>
      <c r="E764" s="2">
        <f ca="1">IFERROR(__xludf.DUMMYFUNCTION("""COMPUTED_VALUE"""),922071979)</f>
        <v>922071979</v>
      </c>
      <c r="F764" s="2" t="str">
        <f ca="1"/>
        <v>0922071979</v>
      </c>
      <c r="G764" s="2" t="str">
        <f ca="1">IFERROR(__xludf.DUMMYFUNCTION("""COMPUTED_VALUE"""),"107153208984")</f>
        <v>107153208984</v>
      </c>
      <c r="I764" s="2" t="str">
        <f ca="1">IFERROR(__xludf.DUMMYFUNCTION("""COMPUTED_VALUE"""),"Mai Thị Anh Thư ")</f>
        <v xml:space="preserve">Mai Thị Anh Thư </v>
      </c>
      <c r="J764" s="3" t="str">
        <f ca="1">IFERROR(__xludf.DUMMYFUNCTION("""COMPUTED_VALUE"""),"0384235826")</f>
        <v>0384235826</v>
      </c>
      <c r="K764" s="2" t="str">
        <f ca="1">IFERROR(__xludf.DUMMYFUNCTION("""COMPUTED_VALUE"""),"1744997327986")</f>
        <v>1744997327986</v>
      </c>
    </row>
    <row r="765" spans="1:11" ht="12.45">
      <c r="A765" s="2" t="str">
        <f ca="1">IFERROR(__xludf.DUMMYFUNCTION("""COMPUTED_VALUE"""),"1744997356812")</f>
        <v>1744997356812</v>
      </c>
      <c r="B765" s="2"/>
      <c r="C765" s="2" t="str">
        <v>0</v>
      </c>
      <c r="D765" s="2"/>
      <c r="E765" s="2">
        <f ca="1">IFERROR(__xludf.DUMMYFUNCTION("""COMPUTED_VALUE"""),793516216)</f>
        <v>793516216</v>
      </c>
      <c r="F765" s="2" t="str">
        <f ca="1"/>
        <v>0793516216</v>
      </c>
      <c r="G765" s="2" t="str">
        <f ca="1">IFERROR(__xludf.DUMMYFUNCTION("""COMPUTED_VALUE"""),"107153209033")</f>
        <v>107153209033</v>
      </c>
      <c r="I765" s="2" t="str">
        <f ca="1">IFERROR(__xludf.DUMMYFUNCTION("""COMPUTED_VALUE"""),"Nguyễn Khánh Linh")</f>
        <v>Nguyễn Khánh Linh</v>
      </c>
      <c r="J765" s="3" t="str">
        <f ca="1">IFERROR(__xludf.DUMMYFUNCTION("""COMPUTED_VALUE"""),"0973177393")</f>
        <v>0973177393</v>
      </c>
      <c r="K765" s="2" t="str">
        <f ca="1">IFERROR(__xludf.DUMMYFUNCTION("""COMPUTED_VALUE"""),"1744997356812")</f>
        <v>1744997356812</v>
      </c>
    </row>
    <row r="766" spans="1:11" ht="12.45">
      <c r="A766" s="2" t="str">
        <f ca="1">IFERROR(__xludf.DUMMYFUNCTION("""COMPUTED_VALUE"""),"1744997392143")</f>
        <v>1744997392143</v>
      </c>
      <c r="B766" s="2"/>
      <c r="C766" s="2" t="str">
        <v>0</v>
      </c>
      <c r="D766" s="2"/>
      <c r="E766" s="2">
        <f ca="1">IFERROR(__xludf.DUMMYFUNCTION("""COMPUTED_VALUE"""),939228380)</f>
        <v>939228380</v>
      </c>
      <c r="F766" s="2" t="str">
        <f ca="1"/>
        <v>0939228380</v>
      </c>
      <c r="G766" s="2" t="str">
        <f ca="1">IFERROR(__xludf.DUMMYFUNCTION("""COMPUTED_VALUE"""),"107153209116")</f>
        <v>107153209116</v>
      </c>
      <c r="I766" s="2" t="str">
        <f ca="1">IFERROR(__xludf.DUMMYFUNCTION("""COMPUTED_VALUE"""),"Bùi Ngọc Châu Anh")</f>
        <v>Bùi Ngọc Châu Anh</v>
      </c>
      <c r="J766" s="3" t="str">
        <f ca="1">IFERROR(__xludf.DUMMYFUNCTION("""COMPUTED_VALUE"""),"0988191596")</f>
        <v>0988191596</v>
      </c>
      <c r="K766" s="2" t="str">
        <f ca="1">IFERROR(__xludf.DUMMYFUNCTION("""COMPUTED_VALUE"""),"1744997392143")</f>
        <v>1744997392143</v>
      </c>
    </row>
    <row r="767" spans="1:11" ht="12.45">
      <c r="A767" s="2" t="str">
        <f ca="1">IFERROR(__xludf.DUMMYFUNCTION("""COMPUTED_VALUE"""),"1744997426626")</f>
        <v>1744997426626</v>
      </c>
      <c r="B767" s="2"/>
      <c r="C767" s="2" t="str">
        <v>0</v>
      </c>
      <c r="D767" s="2"/>
      <c r="E767" s="2">
        <f ca="1">IFERROR(__xludf.DUMMYFUNCTION("""COMPUTED_VALUE"""),392409158)</f>
        <v>392409158</v>
      </c>
      <c r="F767" s="2" t="str">
        <f ca="1"/>
        <v>0392409158</v>
      </c>
      <c r="G767" s="2" t="str">
        <f ca="1">IFERROR(__xludf.DUMMYFUNCTION("""COMPUTED_VALUE"""),"107153209348")</f>
        <v>107153209348</v>
      </c>
      <c r="I767" s="2" t="str">
        <f ca="1">IFERROR(__xludf.DUMMYFUNCTION("""COMPUTED_VALUE"""),"Từ Thu Thủy")</f>
        <v>Từ Thu Thủy</v>
      </c>
      <c r="J767" s="3" t="str">
        <f ca="1">IFERROR(__xludf.DUMMYFUNCTION("""COMPUTED_VALUE"""),"0828256357")</f>
        <v>0828256357</v>
      </c>
      <c r="K767" s="2" t="str">
        <f ca="1">IFERROR(__xludf.DUMMYFUNCTION("""COMPUTED_VALUE"""),"1744997426626")</f>
        <v>1744997426626</v>
      </c>
    </row>
    <row r="768" spans="1:11" ht="12.45">
      <c r="A768" s="2" t="str">
        <f ca="1">IFERROR(__xludf.DUMMYFUNCTION("""COMPUTED_VALUE"""),"1744997456620")</f>
        <v>1744997456620</v>
      </c>
      <c r="B768" s="2"/>
      <c r="C768" s="2" t="str">
        <v>0</v>
      </c>
      <c r="D768" s="2"/>
      <c r="E768" s="2">
        <f ca="1">IFERROR(__xludf.DUMMYFUNCTION("""COMPUTED_VALUE"""),842591133)</f>
        <v>842591133</v>
      </c>
      <c r="F768" s="2" t="str">
        <f ca="1"/>
        <v>0842591133</v>
      </c>
      <c r="G768" s="2" t="str">
        <f ca="1">IFERROR(__xludf.DUMMYFUNCTION("""COMPUTED_VALUE"""),"107153209431")</f>
        <v>107153209431</v>
      </c>
      <c r="I768" s="2" t="str">
        <f ca="1">IFERROR(__xludf.DUMMYFUNCTION("""COMPUTED_VALUE"""),"Phạm Trà My")</f>
        <v>Phạm Trà My</v>
      </c>
      <c r="J768" s="3" t="str">
        <f ca="1">IFERROR(__xludf.DUMMYFUNCTION("""COMPUTED_VALUE"""),"0334757629")</f>
        <v>0334757629</v>
      </c>
      <c r="K768" s="2" t="str">
        <f ca="1">IFERROR(__xludf.DUMMYFUNCTION("""COMPUTED_VALUE"""),"1744997456620")</f>
        <v>1744997456620</v>
      </c>
    </row>
    <row r="769" spans="1:11" ht="12.45">
      <c r="A769" s="2" t="str">
        <f ca="1">IFERROR(__xludf.DUMMYFUNCTION("""COMPUTED_VALUE"""),"1744997488636")</f>
        <v>1744997488636</v>
      </c>
      <c r="B769" s="2"/>
      <c r="C769" s="2" t="str">
        <v>0</v>
      </c>
      <c r="D769" s="2"/>
      <c r="E769" s="2">
        <f ca="1">IFERROR(__xludf.DUMMYFUNCTION("""COMPUTED_VALUE"""),835482845)</f>
        <v>835482845</v>
      </c>
      <c r="F769" s="2" t="str">
        <f ca="1"/>
        <v>0835482845</v>
      </c>
      <c r="G769" s="2" t="str">
        <f ca="1">IFERROR(__xludf.DUMMYFUNCTION("""COMPUTED_VALUE"""),"107153209678")</f>
        <v>107153209678</v>
      </c>
      <c r="I769" s="2" t="str">
        <f ca="1">IFERROR(__xludf.DUMMYFUNCTION("""COMPUTED_VALUE"""),"Trương Đình Gia Bảo")</f>
        <v>Trương Đình Gia Bảo</v>
      </c>
      <c r="J769" s="3" t="str">
        <f ca="1">IFERROR(__xludf.DUMMYFUNCTION("""COMPUTED_VALUE"""),"0334324289")</f>
        <v>0334324289</v>
      </c>
      <c r="K769" s="2" t="str">
        <f ca="1">IFERROR(__xludf.DUMMYFUNCTION("""COMPUTED_VALUE"""),"1744997488636")</f>
        <v>1744997488636</v>
      </c>
    </row>
    <row r="770" spans="1:11" ht="12.45">
      <c r="A770" s="2" t="str">
        <f ca="1">IFERROR(__xludf.DUMMYFUNCTION("""COMPUTED_VALUE"""),"1744997515150")</f>
        <v>1744997515150</v>
      </c>
      <c r="B770" s="2"/>
      <c r="C770" s="2" t="str">
        <v>0</v>
      </c>
      <c r="D770" s="2"/>
      <c r="E770" s="2">
        <f ca="1">IFERROR(__xludf.DUMMYFUNCTION("""COMPUTED_VALUE"""),906706580)</f>
        <v>906706580</v>
      </c>
      <c r="F770" s="2" t="str">
        <f ca="1"/>
        <v>0906706580</v>
      </c>
      <c r="G770" s="2" t="str">
        <f ca="1">IFERROR(__xludf.DUMMYFUNCTION("""COMPUTED_VALUE"""),"107153209729")</f>
        <v>107153209729</v>
      </c>
      <c r="I770" s="2" t="str">
        <f ca="1">IFERROR(__xludf.DUMMYFUNCTION("""COMPUTED_VALUE"""),"Lê thị Lan chi ")</f>
        <v xml:space="preserve">Lê thị Lan chi </v>
      </c>
      <c r="J770" s="3" t="str">
        <f ca="1">IFERROR(__xludf.DUMMYFUNCTION("""COMPUTED_VALUE"""),"0376783084")</f>
        <v>0376783084</v>
      </c>
      <c r="K770" s="2" t="str">
        <f ca="1">IFERROR(__xludf.DUMMYFUNCTION("""COMPUTED_VALUE"""),"1744997515150")</f>
        <v>1744997515150</v>
      </c>
    </row>
    <row r="771" spans="1:11" ht="12.45">
      <c r="A771" s="2" t="str">
        <f ca="1">IFERROR(__xludf.DUMMYFUNCTION("""COMPUTED_VALUE"""),"1744997544738")</f>
        <v>1744997544738</v>
      </c>
      <c r="B771" s="2"/>
      <c r="C771" s="2" t="str">
        <v>0</v>
      </c>
      <c r="D771" s="2"/>
      <c r="E771" s="2">
        <f ca="1">IFERROR(__xludf.DUMMYFUNCTION("""COMPUTED_VALUE"""),397417513)</f>
        <v>397417513</v>
      </c>
      <c r="F771" s="2" t="str">
        <f ca="1"/>
        <v>0397417513</v>
      </c>
      <c r="G771" s="2" t="str">
        <f ca="1">IFERROR(__xludf.DUMMYFUNCTION("""COMPUTED_VALUE"""),"107153209931")</f>
        <v>107153209931</v>
      </c>
      <c r="I771" s="2" t="str">
        <f ca="1">IFERROR(__xludf.DUMMYFUNCTION("""COMPUTED_VALUE"""),"Đỗ Phương Mai")</f>
        <v>Đỗ Phương Mai</v>
      </c>
      <c r="J771" s="3" t="str">
        <f ca="1">IFERROR(__xludf.DUMMYFUNCTION("""COMPUTED_VALUE"""),"0915908698")</f>
        <v>0915908698</v>
      </c>
      <c r="K771" s="2" t="str">
        <f ca="1">IFERROR(__xludf.DUMMYFUNCTION("""COMPUTED_VALUE"""),"1744997544738")</f>
        <v>1744997544738</v>
      </c>
    </row>
    <row r="772" spans="1:11" ht="12.45">
      <c r="A772" s="2" t="str">
        <f ca="1">IFERROR(__xludf.DUMMYFUNCTION("""COMPUTED_VALUE"""),"1744997577230")</f>
        <v>1744997577230</v>
      </c>
      <c r="B772" s="2"/>
      <c r="C772" s="2" t="str">
        <v>0</v>
      </c>
      <c r="D772" s="2"/>
      <c r="E772" s="2">
        <f ca="1">IFERROR(__xludf.DUMMYFUNCTION("""COMPUTED_VALUE"""),838464525)</f>
        <v>838464525</v>
      </c>
      <c r="F772" s="2" t="str">
        <f ca="1"/>
        <v>0838464525</v>
      </c>
      <c r="G772" s="2" t="str">
        <f ca="1">IFERROR(__xludf.DUMMYFUNCTION("""COMPUTED_VALUE"""),"107153210043")</f>
        <v>107153210043</v>
      </c>
      <c r="I772" s="2" t="str">
        <f ca="1">IFERROR(__xludf.DUMMYFUNCTION("""COMPUTED_VALUE"""),"Nguyễn Phương Uyên")</f>
        <v>Nguyễn Phương Uyên</v>
      </c>
      <c r="J772" s="3" t="str">
        <f ca="1">IFERROR(__xludf.DUMMYFUNCTION("""COMPUTED_VALUE"""),"0866936013")</f>
        <v>0866936013</v>
      </c>
      <c r="K772" s="2" t="str">
        <f ca="1">IFERROR(__xludf.DUMMYFUNCTION("""COMPUTED_VALUE"""),"1744997577230")</f>
        <v>1744997577230</v>
      </c>
    </row>
    <row r="773" spans="1:11" ht="12.45">
      <c r="A773" s="2" t="str">
        <f ca="1">IFERROR(__xludf.DUMMYFUNCTION("""COMPUTED_VALUE"""),"1744997608553")</f>
        <v>1744997608553</v>
      </c>
      <c r="B773" s="2"/>
      <c r="C773" s="2" t="str">
        <v>0</v>
      </c>
      <c r="D773" s="2"/>
      <c r="E773" s="2">
        <f ca="1">IFERROR(__xludf.DUMMYFUNCTION("""COMPUTED_VALUE"""),345333033)</f>
        <v>345333033</v>
      </c>
      <c r="F773" s="2" t="str">
        <f ca="1"/>
        <v>0345333033</v>
      </c>
      <c r="G773" s="2" t="str">
        <f ca="1">IFERROR(__xludf.DUMMYFUNCTION("""COMPUTED_VALUE"""),"107153210184")</f>
        <v>107153210184</v>
      </c>
      <c r="I773" s="2" t="str">
        <f ca="1">IFERROR(__xludf.DUMMYFUNCTION("""COMPUTED_VALUE"""),"Phùng Kim Thoa")</f>
        <v>Phùng Kim Thoa</v>
      </c>
      <c r="J773" s="3" t="str">
        <f ca="1">IFERROR(__xludf.DUMMYFUNCTION("""COMPUTED_VALUE"""),"0364851128")</f>
        <v>0364851128</v>
      </c>
      <c r="K773" s="2" t="str">
        <f ca="1">IFERROR(__xludf.DUMMYFUNCTION("""COMPUTED_VALUE"""),"1744997608553")</f>
        <v>1744997608553</v>
      </c>
    </row>
    <row r="774" spans="1:11" ht="12.45">
      <c r="A774" s="2" t="str">
        <f ca="1">IFERROR(__xludf.DUMMYFUNCTION("""COMPUTED_VALUE"""),"1744997645666")</f>
        <v>1744997645666</v>
      </c>
      <c r="B774" s="2"/>
      <c r="C774" s="2" t="str">
        <v>0</v>
      </c>
      <c r="D774" s="2"/>
      <c r="E774" s="2">
        <f ca="1">IFERROR(__xludf.DUMMYFUNCTION("""COMPUTED_VALUE"""),389619032)</f>
        <v>389619032</v>
      </c>
      <c r="F774" s="2" t="str">
        <f ca="1"/>
        <v>0389619032</v>
      </c>
      <c r="G774" s="2" t="str">
        <f ca="1">IFERROR(__xludf.DUMMYFUNCTION("""COMPUTED_VALUE"""),"107153210272")</f>
        <v>107153210272</v>
      </c>
      <c r="I774" s="2" t="str">
        <f ca="1">IFERROR(__xludf.DUMMYFUNCTION("""COMPUTED_VALUE"""),"Ngô Thị Vân Anh")</f>
        <v>Ngô Thị Vân Anh</v>
      </c>
      <c r="J774" s="3" t="str">
        <f ca="1">IFERROR(__xludf.DUMMYFUNCTION("""COMPUTED_VALUE"""),"0383050709")</f>
        <v>0383050709</v>
      </c>
      <c r="K774" s="2" t="str">
        <f ca="1">IFERROR(__xludf.DUMMYFUNCTION("""COMPUTED_VALUE"""),"1744997645666")</f>
        <v>1744997645666</v>
      </c>
    </row>
    <row r="775" spans="1:11" ht="12.45">
      <c r="A775" s="2" t="str">
        <f ca="1">IFERROR(__xludf.DUMMYFUNCTION("""COMPUTED_VALUE"""),"1744997683206")</f>
        <v>1744997683206</v>
      </c>
      <c r="B775" s="2"/>
      <c r="C775" s="2" t="str">
        <v>0</v>
      </c>
      <c r="D775" s="2"/>
      <c r="E775" s="2">
        <f ca="1">IFERROR(__xludf.DUMMYFUNCTION("""COMPUTED_VALUE"""),947330936)</f>
        <v>947330936</v>
      </c>
      <c r="F775" s="2" t="str">
        <f ca="1"/>
        <v>0947330936</v>
      </c>
      <c r="G775" s="2" t="str">
        <f ca="1">IFERROR(__xludf.DUMMYFUNCTION("""COMPUTED_VALUE"""),"107153210355")</f>
        <v>107153210355</v>
      </c>
      <c r="I775" s="2" t="str">
        <f ca="1">IFERROR(__xludf.DUMMYFUNCTION("""COMPUTED_VALUE"""),"Nguyễn Hoàng Yến")</f>
        <v>Nguyễn Hoàng Yến</v>
      </c>
      <c r="J775" s="3" t="str">
        <f ca="1">IFERROR(__xludf.DUMMYFUNCTION("""COMPUTED_VALUE"""),"0989070224")</f>
        <v>0989070224</v>
      </c>
      <c r="K775" s="2" t="str">
        <f ca="1">IFERROR(__xludf.DUMMYFUNCTION("""COMPUTED_VALUE"""),"1744997683206")</f>
        <v>1744997683206</v>
      </c>
    </row>
    <row r="776" spans="1:11" ht="12.45">
      <c r="A776" s="2" t="str">
        <f ca="1">IFERROR(__xludf.DUMMYFUNCTION("""COMPUTED_VALUE"""),"1744997715744")</f>
        <v>1744997715744</v>
      </c>
      <c r="B776" s="2"/>
      <c r="C776" s="2" t="str">
        <v>0</v>
      </c>
      <c r="D776" s="2"/>
      <c r="E776" s="2">
        <f ca="1">IFERROR(__xludf.DUMMYFUNCTION("""COMPUTED_VALUE"""),787130320)</f>
        <v>787130320</v>
      </c>
      <c r="F776" s="2" t="str">
        <f ca="1"/>
        <v>0787130320</v>
      </c>
      <c r="G776" s="2" t="str">
        <f ca="1">IFERROR(__xludf.DUMMYFUNCTION("""COMPUTED_VALUE"""),"107153208156")</f>
        <v>107153208156</v>
      </c>
      <c r="I776" s="2" t="str">
        <f ca="1">IFERROR(__xludf.DUMMYFUNCTION("""COMPUTED_VALUE"""),"Phạm Ngọc Hà")</f>
        <v>Phạm Ngọc Hà</v>
      </c>
      <c r="J776" s="3" t="str">
        <f ca="1">IFERROR(__xludf.DUMMYFUNCTION("""COMPUTED_VALUE"""),"0817120830")</f>
        <v>0817120830</v>
      </c>
      <c r="K776" s="2" t="str">
        <f ca="1">IFERROR(__xludf.DUMMYFUNCTION("""COMPUTED_VALUE"""),"1744997715744")</f>
        <v>1744997715744</v>
      </c>
    </row>
    <row r="777" spans="1:11" ht="12.45">
      <c r="A777" s="2" t="str">
        <f ca="1">IFERROR(__xludf.DUMMYFUNCTION("""COMPUTED_VALUE"""),"1744997764360")</f>
        <v>1744997764360</v>
      </c>
      <c r="B777" s="2"/>
      <c r="C777" s="2" t="str">
        <v>0</v>
      </c>
      <c r="D777" s="2"/>
      <c r="E777" s="2">
        <f ca="1">IFERROR(__xludf.DUMMYFUNCTION("""COMPUTED_VALUE"""),961844507)</f>
        <v>961844507</v>
      </c>
      <c r="F777" s="2" t="str">
        <f ca="1"/>
        <v>0961844507</v>
      </c>
      <c r="G777" s="2" t="str">
        <f ca="1">IFERROR(__xludf.DUMMYFUNCTION("""COMPUTED_VALUE"""),"107153210570")</f>
        <v>107153210570</v>
      </c>
      <c r="I777" s="2" t="str">
        <f ca="1">IFERROR(__xludf.DUMMYFUNCTION("""COMPUTED_VALUE"""),"Phan Hồng Quyên")</f>
        <v>Phan Hồng Quyên</v>
      </c>
      <c r="J777" s="3" t="str">
        <f ca="1">IFERROR(__xludf.DUMMYFUNCTION("""COMPUTED_VALUE"""),"0961712676")</f>
        <v>0961712676</v>
      </c>
      <c r="K777" s="2" t="str">
        <f ca="1">IFERROR(__xludf.DUMMYFUNCTION("""COMPUTED_VALUE"""),"1744997764360")</f>
        <v>1744997764360</v>
      </c>
    </row>
    <row r="778" spans="1:11" ht="12.45">
      <c r="A778" s="2" t="str">
        <f ca="1">IFERROR(__xludf.DUMMYFUNCTION("""COMPUTED_VALUE"""),"1744997813900")</f>
        <v>1744997813900</v>
      </c>
      <c r="B778" s="2"/>
      <c r="C778" s="2" t="str">
        <v>0</v>
      </c>
      <c r="D778" s="2"/>
      <c r="E778" s="2">
        <f ca="1">IFERROR(__xludf.DUMMYFUNCTION("""COMPUTED_VALUE"""),812008827)</f>
        <v>812008827</v>
      </c>
      <c r="F778" s="2" t="str">
        <f ca="1"/>
        <v>0812008827</v>
      </c>
      <c r="G778" s="2" t="str">
        <f ca="1">IFERROR(__xludf.DUMMYFUNCTION("""COMPUTED_VALUE"""),"107153210772")</f>
        <v>107153210772</v>
      </c>
      <c r="I778" s="2" t="str">
        <f ca="1">IFERROR(__xludf.DUMMYFUNCTION("""COMPUTED_VALUE"""),"Đỗ Huỳnh Tú Sương ")</f>
        <v xml:space="preserve">Đỗ Huỳnh Tú Sương </v>
      </c>
      <c r="J778" s="3" t="str">
        <f ca="1">IFERROR(__xludf.DUMMYFUNCTION("""COMPUTED_VALUE"""),"0379536917")</f>
        <v>0379536917</v>
      </c>
      <c r="K778" s="2" t="str">
        <f ca="1">IFERROR(__xludf.DUMMYFUNCTION("""COMPUTED_VALUE"""),"1744997813900")</f>
        <v>1744997813900</v>
      </c>
    </row>
    <row r="779" spans="1:11" ht="12.45">
      <c r="A779" s="2" t="str">
        <f ca="1">IFERROR(__xludf.DUMMYFUNCTION("""COMPUTED_VALUE"""),"1744997853048")</f>
        <v>1744997853048</v>
      </c>
      <c r="B779" s="2"/>
      <c r="C779" s="2" t="str">
        <v>0</v>
      </c>
      <c r="D779" s="2"/>
      <c r="E779" s="2">
        <f ca="1">IFERROR(__xludf.DUMMYFUNCTION("""COMPUTED_VALUE"""),842770207)</f>
        <v>842770207</v>
      </c>
      <c r="F779" s="2" t="str">
        <f ca="1"/>
        <v>0842770207</v>
      </c>
      <c r="G779" s="2" t="str">
        <f ca="1">IFERROR(__xludf.DUMMYFUNCTION("""COMPUTED_VALUE"""),"107153210985")</f>
        <v>107153210985</v>
      </c>
      <c r="I779" s="2" t="str">
        <f ca="1">IFERROR(__xludf.DUMMYFUNCTION("""COMPUTED_VALUE"""),"Nguyễn Trà My")</f>
        <v>Nguyễn Trà My</v>
      </c>
      <c r="J779" s="3" t="str">
        <f ca="1">IFERROR(__xludf.DUMMYFUNCTION("""COMPUTED_VALUE"""),"0357913677")</f>
        <v>0357913677</v>
      </c>
      <c r="K779" s="2" t="str">
        <f ca="1">IFERROR(__xludf.DUMMYFUNCTION("""COMPUTED_VALUE"""),"1744997853048")</f>
        <v>1744997853048</v>
      </c>
    </row>
    <row r="780" spans="1:11" ht="12.45">
      <c r="A780" s="2" t="str">
        <f ca="1">IFERROR(__xludf.DUMMYFUNCTION("""COMPUTED_VALUE"""),"1744997889495")</f>
        <v>1744997889495</v>
      </c>
      <c r="B780" s="2"/>
      <c r="C780" s="2" t="str">
        <v>0</v>
      </c>
      <c r="D780" s="2"/>
      <c r="E780" s="2">
        <f ca="1">IFERROR(__xludf.DUMMYFUNCTION("""COMPUTED_VALUE"""),854242152)</f>
        <v>854242152</v>
      </c>
      <c r="F780" s="2" t="str">
        <f ca="1"/>
        <v>0854242152</v>
      </c>
      <c r="G780" s="2" t="str">
        <f ca="1">IFERROR(__xludf.DUMMYFUNCTION("""COMPUTED_VALUE"""),"107153211073")</f>
        <v>107153211073</v>
      </c>
      <c r="I780" s="2" t="str">
        <f ca="1">IFERROR(__xludf.DUMMYFUNCTION("""COMPUTED_VALUE"""),"Lâm Thị Tuyết Vy")</f>
        <v>Lâm Thị Tuyết Vy</v>
      </c>
      <c r="J780" s="3" t="str">
        <f ca="1">IFERROR(__xludf.DUMMYFUNCTION("""COMPUTED_VALUE"""),"0358388469")</f>
        <v>0358388469</v>
      </c>
      <c r="K780" s="2" t="str">
        <f ca="1">IFERROR(__xludf.DUMMYFUNCTION("""COMPUTED_VALUE"""),"1744997889495")</f>
        <v>1744997889495</v>
      </c>
    </row>
    <row r="781" spans="1:11" ht="12.45">
      <c r="A781" s="2" t="str">
        <f ca="1">IFERROR(__xludf.DUMMYFUNCTION("""COMPUTED_VALUE"""),"1744997919678")</f>
        <v>1744997919678</v>
      </c>
      <c r="B781" s="2"/>
      <c r="C781" s="2" t="str">
        <v>0</v>
      </c>
      <c r="D781" s="2"/>
      <c r="E781" s="2">
        <f ca="1">IFERROR(__xludf.DUMMYFUNCTION("""COMPUTED_VALUE"""),398038916)</f>
        <v>398038916</v>
      </c>
      <c r="F781" s="2" t="str">
        <f ca="1"/>
        <v>0398038916</v>
      </c>
      <c r="G781" s="2">
        <f ca="1">IFERROR(__xludf.DUMMYFUNCTION("""COMPUTED_VALUE"""),107409946111)</f>
        <v>107409946111</v>
      </c>
      <c r="I781" s="2" t="str">
        <f ca="1">IFERROR(__xludf.DUMMYFUNCTION("""COMPUTED_VALUE"""),"Nguyễn Phan Chí Nghị")</f>
        <v>Nguyễn Phan Chí Nghị</v>
      </c>
      <c r="J781" s="3" t="str">
        <f ca="1">IFERROR(__xludf.DUMMYFUNCTION("""COMPUTED_VALUE"""),"0817349343")</f>
        <v>0817349343</v>
      </c>
      <c r="K781" s="2" t="str">
        <f ca="1">IFERROR(__xludf.DUMMYFUNCTION("""COMPUTED_VALUE"""),"1744997919678")</f>
        <v>1744997919678</v>
      </c>
    </row>
    <row r="782" spans="1:11" ht="12.45">
      <c r="A782" s="2" t="str">
        <f ca="1">IFERROR(__xludf.DUMMYFUNCTION("""COMPUTED_VALUE"""),"1744997951801")</f>
        <v>1744997951801</v>
      </c>
      <c r="B782" s="2"/>
      <c r="C782" s="2" t="str">
        <v>0</v>
      </c>
      <c r="D782" s="2"/>
      <c r="E782" s="2">
        <f ca="1">IFERROR(__xludf.DUMMYFUNCTION("""COMPUTED_VALUE"""),904213254)</f>
        <v>904213254</v>
      </c>
      <c r="F782" s="2" t="str">
        <f ca="1"/>
        <v>0904213254</v>
      </c>
      <c r="G782" s="2">
        <f ca="1">IFERROR(__xludf.DUMMYFUNCTION("""COMPUTED_VALUE"""),107409946226)</f>
        <v>107409946226</v>
      </c>
      <c r="I782" s="2" t="str">
        <f ca="1">IFERROR(__xludf.DUMMYFUNCTION("""COMPUTED_VALUE"""),"Nguyễn Hoàng Nam Anh")</f>
        <v>Nguyễn Hoàng Nam Anh</v>
      </c>
      <c r="J782" s="3" t="str">
        <f ca="1">IFERROR(__xludf.DUMMYFUNCTION("""COMPUTED_VALUE"""),"0913937063")</f>
        <v>0913937063</v>
      </c>
      <c r="K782" s="2" t="str">
        <f ca="1">IFERROR(__xludf.DUMMYFUNCTION("""COMPUTED_VALUE"""),"1744997951801")</f>
        <v>1744997951801</v>
      </c>
    </row>
    <row r="783" spans="1:11" ht="12.45">
      <c r="A783" s="2" t="str">
        <f ca="1">IFERROR(__xludf.DUMMYFUNCTION("""COMPUTED_VALUE"""),"1744997974384")</f>
        <v>1744997974384</v>
      </c>
      <c r="B783" s="2"/>
      <c r="C783" s="2" t="str">
        <v>0</v>
      </c>
      <c r="D783" s="2"/>
      <c r="E783" s="2">
        <f ca="1">IFERROR(__xludf.DUMMYFUNCTION("""COMPUTED_VALUE"""),382044765)</f>
        <v>382044765</v>
      </c>
      <c r="F783" s="2" t="str">
        <f ca="1"/>
        <v>0382044765</v>
      </c>
      <c r="G783" s="2">
        <f ca="1">IFERROR(__xludf.DUMMYFUNCTION("""COMPUTED_VALUE"""),107409946343)</f>
        <v>107409946343</v>
      </c>
      <c r="I783" s="2" t="str">
        <f ca="1">IFERROR(__xludf.DUMMYFUNCTION("""COMPUTED_VALUE"""),"Kiều Xuân Kiên ")</f>
        <v xml:space="preserve">Kiều Xuân Kiên </v>
      </c>
      <c r="J783" s="3" t="str">
        <f ca="1">IFERROR(__xludf.DUMMYFUNCTION("""COMPUTED_VALUE"""),"0334321186")</f>
        <v>0334321186</v>
      </c>
      <c r="K783" s="2" t="str">
        <f ca="1">IFERROR(__xludf.DUMMYFUNCTION("""COMPUTED_VALUE"""),"1744997974384")</f>
        <v>1744997974384</v>
      </c>
    </row>
    <row r="784" spans="1:11" ht="12.45">
      <c r="A784" s="2" t="str">
        <f ca="1">IFERROR(__xludf.DUMMYFUNCTION("""COMPUTED_VALUE"""),"1744998005875")</f>
        <v>1744998005875</v>
      </c>
      <c r="B784" s="2"/>
      <c r="C784" s="2" t="str">
        <v>0</v>
      </c>
      <c r="D784" s="2"/>
      <c r="E784" s="2">
        <f ca="1">IFERROR(__xludf.DUMMYFUNCTION("""COMPUTED_VALUE"""),856218264)</f>
        <v>856218264</v>
      </c>
      <c r="F784" s="2" t="str">
        <f ca="1"/>
        <v>0856218264</v>
      </c>
      <c r="G784" s="2">
        <f ca="1">IFERROR(__xludf.DUMMYFUNCTION("""COMPUTED_VALUE"""),107409946490)</f>
        <v>107409946490</v>
      </c>
      <c r="I784" s="2" t="str">
        <f ca="1">IFERROR(__xludf.DUMMYFUNCTION("""COMPUTED_VALUE"""),"Lê Ngọc Hân")</f>
        <v>Lê Ngọc Hân</v>
      </c>
      <c r="J784" s="3" t="str">
        <f ca="1">IFERROR(__xludf.DUMMYFUNCTION("""COMPUTED_VALUE"""),"0816884524")</f>
        <v>0816884524</v>
      </c>
      <c r="K784" s="2" t="str">
        <f ca="1">IFERROR(__xludf.DUMMYFUNCTION("""COMPUTED_VALUE"""),"1744998005875")</f>
        <v>1744998005875</v>
      </c>
    </row>
    <row r="785" spans="1:11" ht="12.45">
      <c r="A785" s="2" t="str">
        <f ca="1">IFERROR(__xludf.DUMMYFUNCTION("""COMPUTED_VALUE"""),"1744998035127")</f>
        <v>1744998035127</v>
      </c>
      <c r="B785" s="2"/>
      <c r="C785" s="2" t="str">
        <v>0</v>
      </c>
      <c r="D785" s="2"/>
      <c r="E785" s="2">
        <f ca="1">IFERROR(__xludf.DUMMYFUNCTION("""COMPUTED_VALUE"""),937640844)</f>
        <v>937640844</v>
      </c>
      <c r="F785" s="2" t="str">
        <f ca="1"/>
        <v>0937640844</v>
      </c>
      <c r="G785" s="2"/>
      <c r="I785" s="2" t="str">
        <f ca="1">IFERROR(__xludf.DUMMYFUNCTION("""COMPUTED_VALUE"""),"Lương Thúy Nga")</f>
        <v>Lương Thúy Nga</v>
      </c>
      <c r="J785" s="3" t="str">
        <f ca="1">IFERROR(__xludf.DUMMYFUNCTION("""COMPUTED_VALUE"""),"0565488792")</f>
        <v>0565488792</v>
      </c>
      <c r="K785" s="2" t="str">
        <f ca="1">IFERROR(__xludf.DUMMYFUNCTION("""COMPUTED_VALUE"""),"1744998035127")</f>
        <v>1744998035127</v>
      </c>
    </row>
    <row r="786" spans="1:11" ht="12.45">
      <c r="A786" s="2" t="str">
        <f ca="1">IFERROR(__xludf.DUMMYFUNCTION("""COMPUTED_VALUE"""),"1744998064817")</f>
        <v>1744998064817</v>
      </c>
      <c r="B786" s="2"/>
      <c r="C786" s="2" t="str">
        <v>0</v>
      </c>
      <c r="D786" s="2"/>
      <c r="E786" s="2">
        <f ca="1">IFERROR(__xludf.DUMMYFUNCTION("""COMPUTED_VALUE"""),364965899)</f>
        <v>364965899</v>
      </c>
      <c r="F786" s="2" t="str">
        <f ca="1"/>
        <v>0364965899</v>
      </c>
      <c r="G786" s="2"/>
      <c r="I786" s="2" t="str">
        <f ca="1">IFERROR(__xludf.DUMMYFUNCTION("""COMPUTED_VALUE"""),"Hoàng Khánh Linh")</f>
        <v>Hoàng Khánh Linh</v>
      </c>
      <c r="J786" s="3" t="str">
        <f ca="1">IFERROR(__xludf.DUMMYFUNCTION("""COMPUTED_VALUE"""),"0339619066")</f>
        <v>0339619066</v>
      </c>
      <c r="K786" s="2" t="str">
        <f ca="1">IFERROR(__xludf.DUMMYFUNCTION("""COMPUTED_VALUE"""),"1744998064817")</f>
        <v>1744998064817</v>
      </c>
    </row>
    <row r="787" spans="1:11" ht="12.45">
      <c r="A787" s="2" t="str">
        <f ca="1">IFERROR(__xludf.DUMMYFUNCTION("""COMPUTED_VALUE"""),"1744998092401")</f>
        <v>1744998092401</v>
      </c>
      <c r="B787" s="2"/>
      <c r="C787" s="2" t="str">
        <v>0</v>
      </c>
      <c r="D787" s="2"/>
      <c r="E787" s="2"/>
      <c r="F787" s="2" t="str">
        <v>0</v>
      </c>
      <c r="G787" s="2"/>
      <c r="I787" s="2" t="str">
        <f ca="1">IFERROR(__xludf.DUMMYFUNCTION("""COMPUTED_VALUE"""),"Vũ Việt Loan")</f>
        <v>Vũ Việt Loan</v>
      </c>
      <c r="J787" s="3" t="str">
        <f ca="1">IFERROR(__xludf.DUMMYFUNCTION("""COMPUTED_VALUE"""),"0387909938")</f>
        <v>0387909938</v>
      </c>
      <c r="K787" s="2" t="str">
        <f ca="1">IFERROR(__xludf.DUMMYFUNCTION("""COMPUTED_VALUE"""),"1744998092401")</f>
        <v>1744998092401</v>
      </c>
    </row>
    <row r="788" spans="1:11" ht="12.45">
      <c r="A788" s="2" t="str">
        <f ca="1">IFERROR(__xludf.DUMMYFUNCTION("""COMPUTED_VALUE"""),"1744998126250")</f>
        <v>1744998126250</v>
      </c>
      <c r="B788" s="2"/>
      <c r="C788" s="2" t="str">
        <v>0</v>
      </c>
      <c r="D788" s="2"/>
      <c r="E788" s="2"/>
      <c r="F788" s="2" t="str">
        <v>0</v>
      </c>
      <c r="G788" s="2"/>
      <c r="I788" s="2" t="str">
        <f ca="1">IFERROR(__xludf.DUMMYFUNCTION("""COMPUTED_VALUE"""),"Nguyễn Thị Phương Uyên")</f>
        <v>Nguyễn Thị Phương Uyên</v>
      </c>
      <c r="J788" s="3" t="str">
        <f ca="1">IFERROR(__xludf.DUMMYFUNCTION("""COMPUTED_VALUE"""),"0796770420")</f>
        <v>0796770420</v>
      </c>
      <c r="K788" s="2" t="str">
        <f ca="1">IFERROR(__xludf.DUMMYFUNCTION("""COMPUTED_VALUE"""),"1744998126250")</f>
        <v>1744998126250</v>
      </c>
    </row>
    <row r="789" spans="1:11" ht="12.45">
      <c r="A789" s="2" t="str">
        <f ca="1">IFERROR(__xludf.DUMMYFUNCTION("""COMPUTED_VALUE"""),"1744998158550")</f>
        <v>1744998158550</v>
      </c>
      <c r="B789" s="2"/>
      <c r="C789" s="2" t="str">
        <v>0</v>
      </c>
      <c r="D789" s="2"/>
      <c r="E789" s="2"/>
      <c r="F789" s="2" t="str">
        <v>0</v>
      </c>
      <c r="G789" s="2"/>
      <c r="I789" s="2" t="str">
        <f ca="1">IFERROR(__xludf.DUMMYFUNCTION("""COMPUTED_VALUE"""),"Dương Ngọc Anh")</f>
        <v>Dương Ngọc Anh</v>
      </c>
      <c r="J789" s="3" t="str">
        <f ca="1">IFERROR(__xludf.DUMMYFUNCTION("""COMPUTED_VALUE"""),"0708201107")</f>
        <v>0708201107</v>
      </c>
      <c r="K789" s="2" t="str">
        <f ca="1">IFERROR(__xludf.DUMMYFUNCTION("""COMPUTED_VALUE"""),"1744998158550")</f>
        <v>1744998158550</v>
      </c>
    </row>
    <row r="790" spans="1:11" ht="12.45">
      <c r="A790" s="2" t="str">
        <f ca="1">IFERROR(__xludf.DUMMYFUNCTION("""COMPUTED_VALUE"""),"1744998196306")</f>
        <v>1744998196306</v>
      </c>
      <c r="B790" s="2"/>
      <c r="C790" s="2" t="str">
        <v>0</v>
      </c>
      <c r="D790" s="2"/>
      <c r="E790" s="2"/>
      <c r="F790" s="2" t="str">
        <v>0</v>
      </c>
      <c r="G790" s="2"/>
      <c r="I790" s="2" t="str">
        <f ca="1">IFERROR(__xludf.DUMMYFUNCTION("""COMPUTED_VALUE"""),"Nguyễn Việt Minh Tú")</f>
        <v>Nguyễn Việt Minh Tú</v>
      </c>
      <c r="J790" s="3" t="str">
        <f ca="1">IFERROR(__xludf.DUMMYFUNCTION("""COMPUTED_VALUE"""),"0396221364")</f>
        <v>0396221364</v>
      </c>
      <c r="K790" s="2" t="str">
        <f ca="1">IFERROR(__xludf.DUMMYFUNCTION("""COMPUTED_VALUE"""),"1744998196306")</f>
        <v>1744998196306</v>
      </c>
    </row>
    <row r="791" spans="1:11" ht="12.45">
      <c r="A791" s="2" t="str">
        <f ca="1">IFERROR(__xludf.DUMMYFUNCTION("""COMPUTED_VALUE"""),"1744998235438")</f>
        <v>1744998235438</v>
      </c>
      <c r="B791" s="2"/>
      <c r="C791" s="2" t="str">
        <v>0</v>
      </c>
      <c r="D791" s="2"/>
      <c r="E791" s="2"/>
      <c r="F791" s="2" t="str">
        <v>0</v>
      </c>
      <c r="G791" s="2"/>
      <c r="I791" s="2" t="str">
        <f ca="1">IFERROR(__xludf.DUMMYFUNCTION("""COMPUTED_VALUE"""),"Nguyễn Thị Thu Phương")</f>
        <v>Nguyễn Thị Thu Phương</v>
      </c>
      <c r="J791" s="3" t="str">
        <f ca="1">IFERROR(__xludf.DUMMYFUNCTION("""COMPUTED_VALUE"""),"0396431671")</f>
        <v>0396431671</v>
      </c>
      <c r="K791" s="2" t="str">
        <f ca="1">IFERROR(__xludf.DUMMYFUNCTION("""COMPUTED_VALUE"""),"1744998235438")</f>
        <v>1744998235438</v>
      </c>
    </row>
    <row r="792" spans="1:11" ht="12.45">
      <c r="A792" s="2" t="str">
        <f ca="1">IFERROR(__xludf.DUMMYFUNCTION("""COMPUTED_VALUE"""),"1744998266901")</f>
        <v>1744998266901</v>
      </c>
      <c r="B792" s="2"/>
      <c r="C792" s="2" t="str">
        <v>0</v>
      </c>
      <c r="D792" s="2"/>
      <c r="E792" s="2"/>
      <c r="F792" s="2" t="str">
        <v>0</v>
      </c>
      <c r="G792" s="2"/>
      <c r="I792" s="2" t="str">
        <f ca="1">IFERROR(__xludf.DUMMYFUNCTION("""COMPUTED_VALUE"""),"Đào Thị Ngần")</f>
        <v>Đào Thị Ngần</v>
      </c>
      <c r="J792" s="3" t="str">
        <f ca="1">IFERROR(__xludf.DUMMYFUNCTION("""COMPUTED_VALUE"""),"0343010645")</f>
        <v>0343010645</v>
      </c>
      <c r="K792" s="2" t="str">
        <f ca="1">IFERROR(__xludf.DUMMYFUNCTION("""COMPUTED_VALUE"""),"1744998266901")</f>
        <v>1744998266901</v>
      </c>
    </row>
    <row r="793" spans="1:11" ht="12.45">
      <c r="A793" s="2" t="str">
        <f ca="1">IFERROR(__xludf.DUMMYFUNCTION("""COMPUTED_VALUE"""),"1744998305194")</f>
        <v>1744998305194</v>
      </c>
      <c r="B793" s="2"/>
      <c r="C793" s="2" t="str">
        <v>0</v>
      </c>
      <c r="D793" s="2"/>
      <c r="E793" s="2"/>
      <c r="F793" s="2" t="str">
        <v>0</v>
      </c>
      <c r="G793" s="2"/>
      <c r="I793" s="2" t="str">
        <f ca="1">IFERROR(__xludf.DUMMYFUNCTION("""COMPUTED_VALUE"""),"Nguyễn Thị Phương Linh")</f>
        <v>Nguyễn Thị Phương Linh</v>
      </c>
      <c r="J793" s="3" t="str">
        <f ca="1">IFERROR(__xludf.DUMMYFUNCTION("""COMPUTED_VALUE"""),"0822441980")</f>
        <v>0822441980</v>
      </c>
      <c r="K793" s="2" t="str">
        <f ca="1">IFERROR(__xludf.DUMMYFUNCTION("""COMPUTED_VALUE"""),"1744998305194")</f>
        <v>1744998305194</v>
      </c>
    </row>
    <row r="794" spans="1:11" ht="12.45">
      <c r="A794" s="2" t="str">
        <f ca="1">IFERROR(__xludf.DUMMYFUNCTION("""COMPUTED_VALUE"""),"1744998350908")</f>
        <v>1744998350908</v>
      </c>
      <c r="B794" s="2"/>
      <c r="C794" s="2" t="str">
        <v>0</v>
      </c>
      <c r="D794" s="2"/>
      <c r="E794" s="2"/>
      <c r="F794" s="2" t="str">
        <v>0</v>
      </c>
      <c r="G794" s="2"/>
      <c r="I794" s="2" t="str">
        <f ca="1">IFERROR(__xludf.DUMMYFUNCTION("""COMPUTED_VALUE"""),"Nguyễn Phùng Ánh Tuyết")</f>
        <v>Nguyễn Phùng Ánh Tuyết</v>
      </c>
      <c r="J794" s="3" t="str">
        <f ca="1">IFERROR(__xludf.DUMMYFUNCTION("""COMPUTED_VALUE"""),"0325288910")</f>
        <v>0325288910</v>
      </c>
      <c r="K794" s="2" t="str">
        <f ca="1">IFERROR(__xludf.DUMMYFUNCTION("""COMPUTED_VALUE"""),"1744998350908")</f>
        <v>1744998350908</v>
      </c>
    </row>
    <row r="795" spans="1:11" ht="12.45">
      <c r="A795" s="2" t="str">
        <f ca="1">IFERROR(__xludf.DUMMYFUNCTION("""COMPUTED_VALUE"""),"1744998381922")</f>
        <v>1744998381922</v>
      </c>
      <c r="B795" s="2"/>
      <c r="C795" s="2" t="str">
        <v>0</v>
      </c>
      <c r="D795" s="2"/>
      <c r="E795" s="2"/>
      <c r="F795" s="2" t="str">
        <v>0</v>
      </c>
      <c r="G795" s="2"/>
      <c r="I795" s="2" t="str">
        <f ca="1">IFERROR(__xludf.DUMMYFUNCTION("""COMPUTED_VALUE"""),"Trần Nhật Vy")</f>
        <v>Trần Nhật Vy</v>
      </c>
      <c r="J795" s="3" t="str">
        <f ca="1">IFERROR(__xludf.DUMMYFUNCTION("""COMPUTED_VALUE"""),"0962424179")</f>
        <v>0962424179</v>
      </c>
      <c r="K795" s="2" t="str">
        <f ca="1">IFERROR(__xludf.DUMMYFUNCTION("""COMPUTED_VALUE"""),"1744998381922")</f>
        <v>1744998381922</v>
      </c>
    </row>
    <row r="796" spans="1:11" ht="12.45">
      <c r="A796" s="2" t="str">
        <f ca="1">IFERROR(__xludf.DUMMYFUNCTION("""COMPUTED_VALUE"""),"1744998416664")</f>
        <v>1744998416664</v>
      </c>
      <c r="B796" s="2"/>
      <c r="C796" s="2" t="str">
        <v>0</v>
      </c>
      <c r="D796" s="2"/>
      <c r="E796" s="2"/>
      <c r="F796" s="2" t="str">
        <v>0</v>
      </c>
      <c r="G796" s="2"/>
      <c r="I796" s="2" t="str">
        <f ca="1">IFERROR(__xludf.DUMMYFUNCTION("""COMPUTED_VALUE"""),"Hồ Nguyễn Gia Như")</f>
        <v>Hồ Nguyễn Gia Như</v>
      </c>
      <c r="J796" s="3" t="str">
        <f ca="1">IFERROR(__xludf.DUMMYFUNCTION("""COMPUTED_VALUE"""),"0813813309")</f>
        <v>0813813309</v>
      </c>
      <c r="K796" s="2" t="str">
        <f ca="1">IFERROR(__xludf.DUMMYFUNCTION("""COMPUTED_VALUE"""),"1744998416664")</f>
        <v>1744998416664</v>
      </c>
    </row>
    <row r="797" spans="1:11" ht="12.45">
      <c r="A797" s="2" t="str">
        <f ca="1">IFERROR(__xludf.DUMMYFUNCTION("""COMPUTED_VALUE"""),"1744998450642")</f>
        <v>1744998450642</v>
      </c>
      <c r="B797" s="2"/>
      <c r="C797" s="2" t="str">
        <v>0</v>
      </c>
      <c r="D797" s="2"/>
      <c r="E797" s="2"/>
      <c r="F797" s="2" t="str">
        <v>0</v>
      </c>
      <c r="G797" s="2"/>
      <c r="I797" s="2" t="str">
        <f ca="1">IFERROR(__xludf.DUMMYFUNCTION("""COMPUTED_VALUE"""),"Bùi Quốc Việt")</f>
        <v>Bùi Quốc Việt</v>
      </c>
      <c r="J797" s="3" t="str">
        <f ca="1">IFERROR(__xludf.DUMMYFUNCTION("""COMPUTED_VALUE"""),"0906181339")</f>
        <v>0906181339</v>
      </c>
      <c r="K797" s="2" t="str">
        <f ca="1">IFERROR(__xludf.DUMMYFUNCTION("""COMPUTED_VALUE"""),"1744998450642")</f>
        <v>1744998450642</v>
      </c>
    </row>
    <row r="798" spans="1:11" ht="12.45">
      <c r="A798" s="2" t="str">
        <f ca="1">IFERROR(__xludf.DUMMYFUNCTION("""COMPUTED_VALUE"""),"1744998488183")</f>
        <v>1744998488183</v>
      </c>
      <c r="B798" s="2"/>
      <c r="C798" s="2" t="str">
        <v>0</v>
      </c>
      <c r="D798" s="2"/>
      <c r="E798" s="2"/>
      <c r="F798" s="2" t="str">
        <v>0</v>
      </c>
      <c r="G798" s="2"/>
      <c r="I798" s="2" t="str">
        <f ca="1">IFERROR(__xludf.DUMMYFUNCTION("""COMPUTED_VALUE"""),"Lê Hồng Minh")</f>
        <v>Lê Hồng Minh</v>
      </c>
      <c r="J798" s="3" t="str">
        <f ca="1">IFERROR(__xludf.DUMMYFUNCTION("""COMPUTED_VALUE"""),"0377020919")</f>
        <v>0377020919</v>
      </c>
      <c r="K798" s="2" t="str">
        <f ca="1">IFERROR(__xludf.DUMMYFUNCTION("""COMPUTED_VALUE"""),"1744998488183")</f>
        <v>1744998488183</v>
      </c>
    </row>
    <row r="799" spans="1:11" ht="12.45">
      <c r="A799" s="2" t="str">
        <f ca="1">IFERROR(__xludf.DUMMYFUNCTION("""COMPUTED_VALUE"""),"1744998538403")</f>
        <v>1744998538403</v>
      </c>
      <c r="B799" s="2"/>
      <c r="C799" s="2" t="str">
        <v>0</v>
      </c>
      <c r="D799" s="2"/>
      <c r="E799" s="2"/>
      <c r="F799" s="2" t="str">
        <v>0</v>
      </c>
      <c r="G799" s="2"/>
      <c r="I799" s="2" t="str">
        <f ca="1">IFERROR(__xludf.DUMMYFUNCTION("""COMPUTED_VALUE"""),"Đặng Thuỳ Dung")</f>
        <v>Đặng Thuỳ Dung</v>
      </c>
      <c r="J799" s="3" t="str">
        <f ca="1">IFERROR(__xludf.DUMMYFUNCTION("""COMPUTED_VALUE"""),"0914477832")</f>
        <v>0914477832</v>
      </c>
      <c r="K799" s="2" t="str">
        <f ca="1">IFERROR(__xludf.DUMMYFUNCTION("""COMPUTED_VALUE"""),"1744998538403")</f>
        <v>1744998538403</v>
      </c>
    </row>
    <row r="800" spans="1:11" ht="12.45">
      <c r="A800" s="2" t="str">
        <f ca="1">IFERROR(__xludf.DUMMYFUNCTION("""COMPUTED_VALUE"""),"1744998584186")</f>
        <v>1744998584186</v>
      </c>
      <c r="B800" s="2"/>
      <c r="C800" s="2" t="str">
        <v>0</v>
      </c>
      <c r="D800" s="2"/>
      <c r="E800" s="2"/>
      <c r="F800" s="2" t="str">
        <v>0</v>
      </c>
      <c r="G800" s="2"/>
      <c r="I800" s="2" t="str">
        <f ca="1">IFERROR(__xludf.DUMMYFUNCTION("""COMPUTED_VALUE"""),"Lê Công Tiến")</f>
        <v>Lê Công Tiến</v>
      </c>
      <c r="J800" s="3" t="str">
        <f ca="1">IFERROR(__xludf.DUMMYFUNCTION("""COMPUTED_VALUE"""),"0989671921")</f>
        <v>0989671921</v>
      </c>
      <c r="K800" s="2" t="str">
        <f ca="1">IFERROR(__xludf.DUMMYFUNCTION("""COMPUTED_VALUE"""),"1744998584186")</f>
        <v>1744998584186</v>
      </c>
    </row>
    <row r="801" spans="1:11" ht="12.45">
      <c r="A801" s="2" t="str">
        <f ca="1">IFERROR(__xludf.DUMMYFUNCTION("""COMPUTED_VALUE"""),"1744998633448")</f>
        <v>1744998633448</v>
      </c>
      <c r="B801" s="2"/>
      <c r="C801" s="2" t="str">
        <v>0</v>
      </c>
      <c r="D801" s="2"/>
      <c r="E801" s="2"/>
      <c r="F801" s="2" t="str">
        <v>0</v>
      </c>
      <c r="G801" s="2"/>
      <c r="I801" s="2" t="str">
        <f ca="1">IFERROR(__xludf.DUMMYFUNCTION("""COMPUTED_VALUE"""),"Lê Dương Nhung")</f>
        <v>Lê Dương Nhung</v>
      </c>
      <c r="J801" s="3" t="str">
        <f ca="1">IFERROR(__xludf.DUMMYFUNCTION("""COMPUTED_VALUE"""),"0865202142")</f>
        <v>0865202142</v>
      </c>
      <c r="K801" s="2" t="str">
        <f ca="1">IFERROR(__xludf.DUMMYFUNCTION("""COMPUTED_VALUE"""),"1744998633448")</f>
        <v>1744998633448</v>
      </c>
    </row>
    <row r="802" spans="1:11" ht="12.45">
      <c r="A802" s="2" t="str">
        <f ca="1">IFERROR(__xludf.DUMMYFUNCTION("""COMPUTED_VALUE"""),"1744998680204")</f>
        <v>1744998680204</v>
      </c>
      <c r="B802" s="2"/>
      <c r="C802" s="2" t="str">
        <v>0</v>
      </c>
      <c r="D802" s="2"/>
      <c r="E802" s="2"/>
      <c r="F802" s="2" t="str">
        <v>0</v>
      </c>
      <c r="G802" s="2"/>
      <c r="I802" s="2" t="str">
        <f ca="1">IFERROR(__xludf.DUMMYFUNCTION("""COMPUTED_VALUE"""),"Nguyễn Minh Thư")</f>
        <v>Nguyễn Minh Thư</v>
      </c>
      <c r="J802" s="3" t="str">
        <f ca="1">IFERROR(__xludf.DUMMYFUNCTION("""COMPUTED_VALUE"""),"0903278016")</f>
        <v>0903278016</v>
      </c>
      <c r="K802" s="2" t="str">
        <f ca="1">IFERROR(__xludf.DUMMYFUNCTION("""COMPUTED_VALUE"""),"1744998680204")</f>
        <v>1744998680204</v>
      </c>
    </row>
    <row r="803" spans="1:11" ht="12.45">
      <c r="A803" s="2" t="str">
        <f ca="1">IFERROR(__xludf.DUMMYFUNCTION("""COMPUTED_VALUE"""),"1744998727271")</f>
        <v>1744998727271</v>
      </c>
      <c r="B803" s="2"/>
      <c r="C803" s="2" t="str">
        <v>0</v>
      </c>
      <c r="D803" s="2"/>
      <c r="E803" s="2"/>
      <c r="F803" s="2" t="str">
        <v>0</v>
      </c>
      <c r="G803" s="2"/>
      <c r="I803" s="2" t="str">
        <f ca="1">IFERROR(__xludf.DUMMYFUNCTION("""COMPUTED_VALUE"""),"Nguyễn Thị Khánh Ly")</f>
        <v>Nguyễn Thị Khánh Ly</v>
      </c>
      <c r="J803" s="3" t="str">
        <f ca="1">IFERROR(__xludf.DUMMYFUNCTION("""COMPUTED_VALUE"""),"0987415014")</f>
        <v>0987415014</v>
      </c>
      <c r="K803" s="2" t="str">
        <f ca="1">IFERROR(__xludf.DUMMYFUNCTION("""COMPUTED_VALUE"""),"1744998727271")</f>
        <v>1744998727271</v>
      </c>
    </row>
    <row r="804" spans="1:11" ht="12.45">
      <c r="A804" s="2" t="str">
        <f ca="1">IFERROR(__xludf.DUMMYFUNCTION("""COMPUTED_VALUE"""),"1744998798668")</f>
        <v>1744998798668</v>
      </c>
      <c r="B804" s="2"/>
      <c r="C804" s="2" t="str">
        <v>0</v>
      </c>
      <c r="D804" s="2"/>
      <c r="E804" s="2"/>
      <c r="F804" s="2" t="str">
        <v>0</v>
      </c>
      <c r="G804" s="2"/>
      <c r="I804" s="2" t="str">
        <f ca="1">IFERROR(__xludf.DUMMYFUNCTION("""COMPUTED_VALUE"""),"Nguyễn Ngọc Bảo Trân ")</f>
        <v xml:space="preserve">Nguyễn Ngọc Bảo Trân </v>
      </c>
      <c r="J804" s="3" t="str">
        <f ca="1">IFERROR(__xludf.DUMMYFUNCTION("""COMPUTED_VALUE"""),"0336469455")</f>
        <v>0336469455</v>
      </c>
      <c r="K804" s="2" t="str">
        <f ca="1">IFERROR(__xludf.DUMMYFUNCTION("""COMPUTED_VALUE"""),"1744998798668")</f>
        <v>1744998798668</v>
      </c>
    </row>
    <row r="805" spans="1:11" ht="12.45">
      <c r="A805" s="2" t="str">
        <f ca="1">IFERROR(__xludf.DUMMYFUNCTION("""COMPUTED_VALUE"""),"1744998853784")</f>
        <v>1744998853784</v>
      </c>
      <c r="B805" s="2"/>
      <c r="C805" s="2" t="str">
        <v>0</v>
      </c>
      <c r="D805" s="2"/>
      <c r="E805" s="2"/>
      <c r="F805" s="2" t="str">
        <v>0</v>
      </c>
      <c r="G805" s="2"/>
      <c r="I805" s="2" t="str">
        <f ca="1">IFERROR(__xludf.DUMMYFUNCTION("""COMPUTED_VALUE"""),"Đặng Thu Phương")</f>
        <v>Đặng Thu Phương</v>
      </c>
      <c r="J805" s="3" t="str">
        <f ca="1">IFERROR(__xludf.DUMMYFUNCTION("""COMPUTED_VALUE"""),"0931504000")</f>
        <v>0931504000</v>
      </c>
      <c r="K805" s="2" t="str">
        <f ca="1">IFERROR(__xludf.DUMMYFUNCTION("""COMPUTED_VALUE"""),"1744998853784")</f>
        <v>1744998853784</v>
      </c>
    </row>
    <row r="806" spans="1:11" ht="12.45">
      <c r="A806" s="2" t="str">
        <f ca="1">IFERROR(__xludf.DUMMYFUNCTION("""COMPUTED_VALUE"""),"1744998891408")</f>
        <v>1744998891408</v>
      </c>
      <c r="B806" s="2"/>
      <c r="C806" s="2" t="str">
        <v>0</v>
      </c>
      <c r="D806" s="2"/>
      <c r="E806" s="2"/>
      <c r="F806" s="2" t="str">
        <v>0</v>
      </c>
      <c r="G806" s="2"/>
      <c r="I806" s="2" t="str">
        <f ca="1">IFERROR(__xludf.DUMMYFUNCTION("""COMPUTED_VALUE"""),"Võ Thị Mỹ Hoa ")</f>
        <v xml:space="preserve">Võ Thị Mỹ Hoa </v>
      </c>
      <c r="J806" s="3" t="str">
        <f ca="1">IFERROR(__xludf.DUMMYFUNCTION("""COMPUTED_VALUE"""),"0918408235")</f>
        <v>0918408235</v>
      </c>
      <c r="K806" s="2" t="str">
        <f ca="1">IFERROR(__xludf.DUMMYFUNCTION("""COMPUTED_VALUE"""),"1744998891408")</f>
        <v>1744998891408</v>
      </c>
    </row>
    <row r="807" spans="1:11" ht="12.45">
      <c r="A807" s="2" t="str">
        <f ca="1">IFERROR(__xludf.DUMMYFUNCTION("""COMPUTED_VALUE"""),"1744998935167")</f>
        <v>1744998935167</v>
      </c>
      <c r="B807" s="2"/>
      <c r="C807" s="2" t="str">
        <v>0</v>
      </c>
      <c r="D807" s="2"/>
      <c r="E807" s="2"/>
      <c r="F807" s="2" t="str">
        <v>0</v>
      </c>
      <c r="G807" s="2"/>
      <c r="I807" s="2" t="str">
        <f ca="1">IFERROR(__xludf.DUMMYFUNCTION("""COMPUTED_VALUE"""),"Nguyễn Thùy Linh ")</f>
        <v xml:space="preserve">Nguyễn Thùy Linh </v>
      </c>
      <c r="J807" s="3" t="str">
        <f ca="1">IFERROR(__xludf.DUMMYFUNCTION("""COMPUTED_VALUE"""),"0832715881")</f>
        <v>0832715881</v>
      </c>
      <c r="K807" s="2" t="str">
        <f ca="1">IFERROR(__xludf.DUMMYFUNCTION("""COMPUTED_VALUE"""),"1744998935167")</f>
        <v>1744998935167</v>
      </c>
    </row>
    <row r="808" spans="1:11" ht="12.45">
      <c r="A808" s="2" t="str">
        <f ca="1">IFERROR(__xludf.DUMMYFUNCTION("""COMPUTED_VALUE"""),"1745954669105")</f>
        <v>1745954669105</v>
      </c>
      <c r="B808" s="2"/>
      <c r="C808" s="2" t="str">
        <v>0</v>
      </c>
      <c r="D808" s="2"/>
      <c r="E808" s="2"/>
      <c r="F808" s="2" t="str">
        <v>0</v>
      </c>
      <c r="G808" s="2"/>
      <c r="I808" s="2" t="str">
        <f ca="1">IFERROR(__xludf.DUMMYFUNCTION("""COMPUTED_VALUE"""),"Lê Nguyễn Anh Thư")</f>
        <v>Lê Nguyễn Anh Thư</v>
      </c>
      <c r="J808" s="3" t="str">
        <f ca="1">IFERROR(__xludf.DUMMYFUNCTION("""COMPUTED_VALUE"""),"0373699301")</f>
        <v>0373699301</v>
      </c>
      <c r="K808" s="2" t="str">
        <f ca="1">IFERROR(__xludf.DUMMYFUNCTION("""COMPUTED_VALUE"""),"1745954669105")</f>
        <v>1745954669105</v>
      </c>
    </row>
    <row r="809" spans="1:11" ht="12.45">
      <c r="A809" s="2" t="str">
        <f ca="1">IFERROR(__xludf.DUMMYFUNCTION("""COMPUTED_VALUE"""),"1745954734833")</f>
        <v>1745954734833</v>
      </c>
      <c r="B809" s="2"/>
      <c r="C809" s="2" t="str">
        <v>0</v>
      </c>
      <c r="D809" s="2"/>
      <c r="E809" s="2"/>
      <c r="F809" s="2" t="str">
        <v>0</v>
      </c>
      <c r="G809" s="2"/>
      <c r="I809" s="2" t="str">
        <f ca="1">IFERROR(__xludf.DUMMYFUNCTION("""COMPUTED_VALUE"""),"Lương Thảo Vân")</f>
        <v>Lương Thảo Vân</v>
      </c>
      <c r="J809" s="3" t="str">
        <f ca="1">IFERROR(__xludf.DUMMYFUNCTION("""COMPUTED_VALUE"""),"0962195852")</f>
        <v>0962195852</v>
      </c>
      <c r="K809" s="2" t="str">
        <f ca="1">IFERROR(__xludf.DUMMYFUNCTION("""COMPUTED_VALUE"""),"1745954734833")</f>
        <v>1745954734833</v>
      </c>
    </row>
    <row r="810" spans="1:11" ht="12.45">
      <c r="A810" s="2" t="str">
        <f ca="1">IFERROR(__xludf.DUMMYFUNCTION("""COMPUTED_VALUE"""),"1745954773432")</f>
        <v>1745954773432</v>
      </c>
      <c r="B810" s="2"/>
      <c r="C810" s="2" t="str">
        <v>0</v>
      </c>
      <c r="D810" s="2"/>
      <c r="E810" s="2"/>
      <c r="F810" s="2" t="str">
        <v>0</v>
      </c>
      <c r="G810" s="2"/>
      <c r="I810" s="2" t="str">
        <f ca="1">IFERROR(__xludf.DUMMYFUNCTION("""COMPUTED_VALUE"""),"Vũ Quỳnh Chi")</f>
        <v>Vũ Quỳnh Chi</v>
      </c>
      <c r="J810" s="3" t="str">
        <f ca="1">IFERROR(__xludf.DUMMYFUNCTION("""COMPUTED_VALUE"""),"0343201865")</f>
        <v>0343201865</v>
      </c>
      <c r="K810" s="2" t="str">
        <f ca="1">IFERROR(__xludf.DUMMYFUNCTION("""COMPUTED_VALUE"""),"1745954773432")</f>
        <v>1745954773432</v>
      </c>
    </row>
    <row r="811" spans="1:11" ht="12.45">
      <c r="A811" s="2" t="str">
        <f ca="1">IFERROR(__xludf.DUMMYFUNCTION("""COMPUTED_VALUE"""),"1745954817597")</f>
        <v>1745954817597</v>
      </c>
      <c r="B811" s="2"/>
      <c r="C811" s="2" t="str">
        <v>0</v>
      </c>
      <c r="D811" s="2"/>
      <c r="E811" s="2"/>
      <c r="F811" s="2" t="str">
        <v>0</v>
      </c>
      <c r="G811" s="2"/>
      <c r="I811" s="2" t="str">
        <f ca="1">IFERROR(__xludf.DUMMYFUNCTION("""COMPUTED_VALUE"""),"Hồ Hoàng Phúc ")</f>
        <v xml:space="preserve">Hồ Hoàng Phúc </v>
      </c>
      <c r="J811" s="3" t="str">
        <f ca="1">IFERROR(__xludf.DUMMYFUNCTION("""COMPUTED_VALUE"""),"0336073219")</f>
        <v>0336073219</v>
      </c>
      <c r="K811" s="2" t="str">
        <f ca="1">IFERROR(__xludf.DUMMYFUNCTION("""COMPUTED_VALUE"""),"1745954817597")</f>
        <v>1745954817597</v>
      </c>
    </row>
    <row r="812" spans="1:11" ht="12.45">
      <c r="A812" s="2" t="str">
        <f ca="1">IFERROR(__xludf.DUMMYFUNCTION("""COMPUTED_VALUE"""),"1745954869275")</f>
        <v>1745954869275</v>
      </c>
      <c r="B812" s="2"/>
      <c r="C812" s="2" t="str">
        <v>0</v>
      </c>
      <c r="D812" s="2"/>
      <c r="E812" s="2"/>
      <c r="F812" s="2" t="str">
        <v>0</v>
      </c>
      <c r="G812" s="2"/>
      <c r="I812" s="2" t="str">
        <f ca="1">IFERROR(__xludf.DUMMYFUNCTION("""COMPUTED_VALUE"""),"Nguyễn thị phương Uyên ")</f>
        <v xml:space="preserve">Nguyễn thị phương Uyên </v>
      </c>
      <c r="J812" s="3" t="str">
        <f ca="1">IFERROR(__xludf.DUMMYFUNCTION("""COMPUTED_VALUE"""),"0339621774")</f>
        <v>0339621774</v>
      </c>
      <c r="K812" s="2" t="str">
        <f ca="1">IFERROR(__xludf.DUMMYFUNCTION("""COMPUTED_VALUE"""),"1745954869275")</f>
        <v>1745954869275</v>
      </c>
    </row>
    <row r="813" spans="1:11" ht="12.45">
      <c r="A813" s="2" t="str">
        <f ca="1">IFERROR(__xludf.DUMMYFUNCTION("""COMPUTED_VALUE"""),"1745954905694")</f>
        <v>1745954905694</v>
      </c>
      <c r="B813" s="2"/>
      <c r="C813" s="2" t="str">
        <v>0</v>
      </c>
      <c r="D813" s="2"/>
      <c r="E813" s="2"/>
      <c r="F813" s="2" t="str">
        <v>0</v>
      </c>
      <c r="G813" s="2"/>
      <c r="I813" s="2" t="str">
        <f ca="1">IFERROR(__xludf.DUMMYFUNCTION("""COMPUTED_VALUE"""),"Lê Thị Ngọc Chi")</f>
        <v>Lê Thị Ngọc Chi</v>
      </c>
      <c r="J813" s="3" t="str">
        <f ca="1">IFERROR(__xludf.DUMMYFUNCTION("""COMPUTED_VALUE"""),"0904343673")</f>
        <v>0904343673</v>
      </c>
      <c r="K813" s="2" t="str">
        <f ca="1">IFERROR(__xludf.DUMMYFUNCTION("""COMPUTED_VALUE"""),"1745954905694")</f>
        <v>1745954905694</v>
      </c>
    </row>
    <row r="814" spans="1:11" ht="12.45">
      <c r="A814" s="2" t="str">
        <f ca="1">IFERROR(__xludf.DUMMYFUNCTION("""COMPUTED_VALUE"""),"1745954940082")</f>
        <v>1745954940082</v>
      </c>
      <c r="B814" s="2"/>
      <c r="C814" s="2" t="str">
        <v>0</v>
      </c>
      <c r="D814" s="2"/>
      <c r="E814" s="2"/>
      <c r="F814" s="2" t="str">
        <v>0</v>
      </c>
      <c r="G814" s="2"/>
      <c r="I814" s="2" t="str">
        <f ca="1">IFERROR(__xludf.DUMMYFUNCTION("""COMPUTED_VALUE"""),"Nguyễn Thị Minh Hằng ")</f>
        <v xml:space="preserve">Nguyễn Thị Minh Hằng </v>
      </c>
      <c r="J814" s="3" t="str">
        <f ca="1">IFERROR(__xludf.DUMMYFUNCTION("""COMPUTED_VALUE"""),"0879864390")</f>
        <v>0879864390</v>
      </c>
      <c r="K814" s="2" t="str">
        <f ca="1">IFERROR(__xludf.DUMMYFUNCTION("""COMPUTED_VALUE"""),"1745954940082")</f>
        <v>1745954940082</v>
      </c>
    </row>
    <row r="815" spans="1:11" ht="12.45">
      <c r="A815" s="2" t="str">
        <f ca="1">IFERROR(__xludf.DUMMYFUNCTION("""COMPUTED_VALUE"""),"1745954974043")</f>
        <v>1745954974043</v>
      </c>
      <c r="B815" s="2"/>
      <c r="C815" s="2" t="str">
        <v>0</v>
      </c>
      <c r="D815" s="2"/>
      <c r="E815" s="2"/>
      <c r="F815" s="2" t="str">
        <v>0</v>
      </c>
      <c r="G815" s="2"/>
      <c r="I815" s="2" t="str">
        <f ca="1">IFERROR(__xludf.DUMMYFUNCTION("""COMPUTED_VALUE"""),"Nguyễn Ngọc Bảo Hoà")</f>
        <v>Nguyễn Ngọc Bảo Hoà</v>
      </c>
      <c r="J815" s="3" t="str">
        <f ca="1">IFERROR(__xludf.DUMMYFUNCTION("""COMPUTED_VALUE"""),"0845805999")</f>
        <v>0845805999</v>
      </c>
      <c r="K815" s="2" t="str">
        <f ca="1">IFERROR(__xludf.DUMMYFUNCTION("""COMPUTED_VALUE"""),"1745954974043")</f>
        <v>1745954974043</v>
      </c>
    </row>
    <row r="816" spans="1:11" ht="12.45">
      <c r="A816" s="2" t="str">
        <f ca="1">IFERROR(__xludf.DUMMYFUNCTION("""COMPUTED_VALUE"""),"1745955009231")</f>
        <v>1745955009231</v>
      </c>
      <c r="B816" s="2"/>
      <c r="C816" s="2" t="str">
        <v>0</v>
      </c>
      <c r="D816" s="2"/>
      <c r="E816" s="2"/>
      <c r="F816" s="2" t="str">
        <v>0</v>
      </c>
      <c r="G816" s="2"/>
      <c r="I816" s="2" t="str">
        <f ca="1">IFERROR(__xludf.DUMMYFUNCTION("""COMPUTED_VALUE"""),"Phạm Mai Phương")</f>
        <v>Phạm Mai Phương</v>
      </c>
      <c r="J816" s="3" t="str">
        <f ca="1">IFERROR(__xludf.DUMMYFUNCTION("""COMPUTED_VALUE"""),"0364669810")</f>
        <v>0364669810</v>
      </c>
      <c r="K816" s="2" t="str">
        <f ca="1">IFERROR(__xludf.DUMMYFUNCTION("""COMPUTED_VALUE"""),"1745955009231")</f>
        <v>1745955009231</v>
      </c>
    </row>
    <row r="817" spans="1:11" ht="12.45">
      <c r="A817" s="2" t="str">
        <f ca="1">IFERROR(__xludf.DUMMYFUNCTION("""COMPUTED_VALUE"""),"1745955042766")</f>
        <v>1745955042766</v>
      </c>
      <c r="B817" s="2"/>
      <c r="C817" s="2" t="str">
        <v>0</v>
      </c>
      <c r="D817" s="2"/>
      <c r="E817" s="2"/>
      <c r="F817" s="2" t="str">
        <v>0</v>
      </c>
      <c r="G817" s="2"/>
      <c r="I817" s="2" t="str">
        <f ca="1">IFERROR(__xludf.DUMMYFUNCTION("""COMPUTED_VALUE"""),"Nguyễn Ngọc Trà My")</f>
        <v>Nguyễn Ngọc Trà My</v>
      </c>
      <c r="J817" s="3" t="str">
        <f ca="1">IFERROR(__xludf.DUMMYFUNCTION("""COMPUTED_VALUE"""),"0917227581")</f>
        <v>0917227581</v>
      </c>
      <c r="K817" s="2" t="str">
        <f ca="1">IFERROR(__xludf.DUMMYFUNCTION("""COMPUTED_VALUE"""),"1745955042766")</f>
        <v>1745955042766</v>
      </c>
    </row>
    <row r="818" spans="1:11" ht="12.45">
      <c r="A818" s="2" t="str">
        <f ca="1">IFERROR(__xludf.DUMMYFUNCTION("""COMPUTED_VALUE"""),"1745955095103")</f>
        <v>1745955095103</v>
      </c>
      <c r="B818" s="2"/>
      <c r="C818" s="2" t="str">
        <v>0</v>
      </c>
      <c r="D818" s="2"/>
      <c r="E818" s="2"/>
      <c r="F818" s="2" t="str">
        <v>0</v>
      </c>
      <c r="G818" s="2"/>
      <c r="I818" s="2" t="str">
        <f ca="1">IFERROR(__xludf.DUMMYFUNCTION("""COMPUTED_VALUE"""),"Lương Mai Chi")</f>
        <v>Lương Mai Chi</v>
      </c>
      <c r="J818" s="3" t="str">
        <f ca="1">IFERROR(__xludf.DUMMYFUNCTION("""COMPUTED_VALUE"""),"0869166905")</f>
        <v>0869166905</v>
      </c>
      <c r="K818" s="2" t="str">
        <f ca="1">IFERROR(__xludf.DUMMYFUNCTION("""COMPUTED_VALUE"""),"1745955095103")</f>
        <v>1745955095103</v>
      </c>
    </row>
    <row r="819" spans="1:11" ht="12.45">
      <c r="A819" s="2" t="str">
        <f ca="1">IFERROR(__xludf.DUMMYFUNCTION("""COMPUTED_VALUE"""),"1745955139886")</f>
        <v>1745955139886</v>
      </c>
      <c r="B819" s="2"/>
      <c r="C819" s="2" t="str">
        <v>0</v>
      </c>
      <c r="D819" s="2"/>
      <c r="E819" s="2"/>
      <c r="F819" s="2" t="str">
        <v>0</v>
      </c>
      <c r="G819" s="2"/>
      <c r="I819" s="2" t="str">
        <f ca="1">IFERROR(__xludf.DUMMYFUNCTION("""COMPUTED_VALUE"""),"Phạm Thị Thu Thủy ")</f>
        <v xml:space="preserve">Phạm Thị Thu Thủy </v>
      </c>
      <c r="J819" s="3" t="str">
        <f ca="1">IFERROR(__xludf.DUMMYFUNCTION("""COMPUTED_VALUE"""),"0976480190")</f>
        <v>0976480190</v>
      </c>
      <c r="K819" s="2" t="str">
        <f ca="1">IFERROR(__xludf.DUMMYFUNCTION("""COMPUTED_VALUE"""),"1745955139886")</f>
        <v>1745955139886</v>
      </c>
    </row>
    <row r="820" spans="1:11" ht="12.45">
      <c r="A820" s="2" t="str">
        <f ca="1">IFERROR(__xludf.DUMMYFUNCTION("""COMPUTED_VALUE"""),"1745955201817")</f>
        <v>1745955201817</v>
      </c>
      <c r="B820" s="2"/>
      <c r="C820" s="2" t="str">
        <v>0</v>
      </c>
      <c r="D820" s="2"/>
      <c r="E820" s="2"/>
      <c r="F820" s="2" t="str">
        <v>0</v>
      </c>
      <c r="G820" s="2"/>
      <c r="I820" s="2" t="str">
        <f ca="1">IFERROR(__xludf.DUMMYFUNCTION("""COMPUTED_VALUE"""),"Phan Thị Quỳnh Anh ")</f>
        <v xml:space="preserve">Phan Thị Quỳnh Anh </v>
      </c>
      <c r="J820" s="3" t="str">
        <f ca="1">IFERROR(__xludf.DUMMYFUNCTION("""COMPUTED_VALUE"""),"0916037888")</f>
        <v>0916037888</v>
      </c>
      <c r="K820" s="2" t="str">
        <f ca="1">IFERROR(__xludf.DUMMYFUNCTION("""COMPUTED_VALUE"""),"1745955201817")</f>
        <v>1745955201817</v>
      </c>
    </row>
    <row r="821" spans="1:11" ht="12.45">
      <c r="A821" s="2" t="str">
        <f ca="1">IFERROR(__xludf.DUMMYFUNCTION("""COMPUTED_VALUE"""),"1745955248232")</f>
        <v>1745955248232</v>
      </c>
      <c r="B821" s="2"/>
      <c r="C821" s="2" t="str">
        <v>0</v>
      </c>
      <c r="D821" s="2"/>
      <c r="E821" s="2"/>
      <c r="F821" s="2" t="str">
        <v>0</v>
      </c>
      <c r="G821" s="2"/>
      <c r="I821" s="2" t="str">
        <f ca="1">IFERROR(__xludf.DUMMYFUNCTION("""COMPUTED_VALUE"""),"Đào Thị Phương Anh ")</f>
        <v xml:space="preserve">Đào Thị Phương Anh </v>
      </c>
      <c r="J821" s="3" t="str">
        <f ca="1">IFERROR(__xludf.DUMMYFUNCTION("""COMPUTED_VALUE"""),"0818042555")</f>
        <v>0818042555</v>
      </c>
      <c r="K821" s="2" t="str">
        <f ca="1">IFERROR(__xludf.DUMMYFUNCTION("""COMPUTED_VALUE"""),"1745955248232")</f>
        <v>1745955248232</v>
      </c>
    </row>
    <row r="822" spans="1:11" ht="12.45">
      <c r="A822" s="2" t="str">
        <f ca="1">IFERROR(__xludf.DUMMYFUNCTION("""COMPUTED_VALUE"""),"1745955301990")</f>
        <v>1745955301990</v>
      </c>
      <c r="B822" s="2"/>
      <c r="C822" s="2" t="str">
        <v>0</v>
      </c>
      <c r="D822" s="2"/>
      <c r="E822" s="2"/>
      <c r="F822" s="2" t="str">
        <v>0</v>
      </c>
      <c r="G822" s="2"/>
      <c r="I822" s="2" t="str">
        <f ca="1">IFERROR(__xludf.DUMMYFUNCTION("""COMPUTED_VALUE"""),"Đàm Thị Bảo Yến")</f>
        <v>Đàm Thị Bảo Yến</v>
      </c>
      <c r="J822" s="3" t="str">
        <f ca="1">IFERROR(__xludf.DUMMYFUNCTION("""COMPUTED_VALUE"""),"0979332197")</f>
        <v>0979332197</v>
      </c>
      <c r="K822" s="2" t="str">
        <f ca="1">IFERROR(__xludf.DUMMYFUNCTION("""COMPUTED_VALUE"""),"1745955301990")</f>
        <v>1745955301990</v>
      </c>
    </row>
    <row r="823" spans="1:11" ht="12.45">
      <c r="A823" s="2" t="str">
        <f ca="1">IFERROR(__xludf.DUMMYFUNCTION("""COMPUTED_VALUE"""),"1745955348193")</f>
        <v>1745955348193</v>
      </c>
      <c r="B823" s="2"/>
      <c r="C823" s="2" t="str">
        <v>0</v>
      </c>
      <c r="D823" s="2"/>
      <c r="E823" s="2"/>
      <c r="F823" s="2" t="str">
        <v>0</v>
      </c>
      <c r="G823" s="2"/>
      <c r="I823" s="2" t="str">
        <f ca="1">IFERROR(__xludf.DUMMYFUNCTION("""COMPUTED_VALUE"""),"Nguyễn Thị Kim Chí")</f>
        <v>Nguyễn Thị Kim Chí</v>
      </c>
      <c r="J823" s="3" t="str">
        <f ca="1">IFERROR(__xludf.DUMMYFUNCTION("""COMPUTED_VALUE"""),"0349703979")</f>
        <v>0349703979</v>
      </c>
      <c r="K823" s="2" t="str">
        <f ca="1">IFERROR(__xludf.DUMMYFUNCTION("""COMPUTED_VALUE"""),"1745955348193")</f>
        <v>1745955348193</v>
      </c>
    </row>
    <row r="824" spans="1:11" ht="12.45">
      <c r="A824" s="2" t="str">
        <f ca="1">IFERROR(__xludf.DUMMYFUNCTION("""COMPUTED_VALUE"""),"1745955395097")</f>
        <v>1745955395097</v>
      </c>
      <c r="B824" s="2"/>
      <c r="C824" s="2" t="str">
        <v>0</v>
      </c>
      <c r="D824" s="2"/>
      <c r="E824" s="2"/>
      <c r="F824" s="2" t="str">
        <v>0</v>
      </c>
      <c r="G824" s="2"/>
      <c r="I824" s="2" t="str">
        <f ca="1">IFERROR(__xludf.DUMMYFUNCTION("""COMPUTED_VALUE"""),"Phạm Quỳnh Anh")</f>
        <v>Phạm Quỳnh Anh</v>
      </c>
      <c r="J824" s="3" t="str">
        <f ca="1">IFERROR(__xludf.DUMMYFUNCTION("""COMPUTED_VALUE"""),"0378657680")</f>
        <v>0378657680</v>
      </c>
      <c r="K824" s="2" t="str">
        <f ca="1">IFERROR(__xludf.DUMMYFUNCTION("""COMPUTED_VALUE"""),"1745955395097")</f>
        <v>1745955395097</v>
      </c>
    </row>
    <row r="825" spans="1:11" ht="12.45">
      <c r="A825" s="2" t="str">
        <f ca="1">IFERROR(__xludf.DUMMYFUNCTION("""COMPUTED_VALUE"""),"1745955430356")</f>
        <v>1745955430356</v>
      </c>
      <c r="B825" s="2"/>
      <c r="C825" s="2" t="str">
        <v>0</v>
      </c>
      <c r="D825" s="2"/>
      <c r="E825" s="2"/>
      <c r="F825" s="2" t="str">
        <v>0</v>
      </c>
      <c r="G825" s="2"/>
      <c r="I825" s="2" t="str">
        <f ca="1">IFERROR(__xludf.DUMMYFUNCTION("""COMPUTED_VALUE"""),"Nguyễn Phương Linh")</f>
        <v>Nguyễn Phương Linh</v>
      </c>
      <c r="J825" s="3" t="str">
        <f ca="1">IFERROR(__xludf.DUMMYFUNCTION("""COMPUTED_VALUE"""),"0824843209")</f>
        <v>0824843209</v>
      </c>
      <c r="K825" s="2" t="str">
        <f ca="1">IFERROR(__xludf.DUMMYFUNCTION("""COMPUTED_VALUE"""),"1745955430356")</f>
        <v>1745955430356</v>
      </c>
    </row>
    <row r="826" spans="1:11" ht="12.45">
      <c r="A826" s="2" t="str">
        <f ca="1">IFERROR(__xludf.DUMMYFUNCTION("""COMPUTED_VALUE"""),"1745955466010")</f>
        <v>1745955466010</v>
      </c>
      <c r="B826" s="2"/>
      <c r="C826" s="2" t="str">
        <v>0</v>
      </c>
      <c r="D826" s="2"/>
      <c r="E826" s="2"/>
      <c r="F826" s="2" t="str">
        <v>0</v>
      </c>
      <c r="G826" s="2"/>
      <c r="I826" s="2" t="str">
        <f ca="1">IFERROR(__xludf.DUMMYFUNCTION("""COMPUTED_VALUE"""),"Dư Nguyên Giang")</f>
        <v>Dư Nguyên Giang</v>
      </c>
      <c r="J826" s="3" t="str">
        <f ca="1">IFERROR(__xludf.DUMMYFUNCTION("""COMPUTED_VALUE"""),"0899570083")</f>
        <v>0899570083</v>
      </c>
      <c r="K826" s="2" t="str">
        <f ca="1">IFERROR(__xludf.DUMMYFUNCTION("""COMPUTED_VALUE"""),"1745955466010")</f>
        <v>1745955466010</v>
      </c>
    </row>
    <row r="827" spans="1:11" ht="12.45">
      <c r="A827" s="2" t="str">
        <f ca="1">IFERROR(__xludf.DUMMYFUNCTION("""COMPUTED_VALUE"""),"1745955496864")</f>
        <v>1745955496864</v>
      </c>
      <c r="B827" s="2"/>
      <c r="C827" s="2" t="str">
        <v>0</v>
      </c>
      <c r="D827" s="2"/>
      <c r="E827" s="2"/>
      <c r="F827" s="2" t="str">
        <v>0</v>
      </c>
      <c r="G827" s="2"/>
      <c r="I827" s="2" t="str">
        <f ca="1">IFERROR(__xludf.DUMMYFUNCTION("""COMPUTED_VALUE"""),"Trần Trúc Quỳnh")</f>
        <v>Trần Trúc Quỳnh</v>
      </c>
      <c r="J827" s="3" t="str">
        <f ca="1">IFERROR(__xludf.DUMMYFUNCTION("""COMPUTED_VALUE"""),"0965771062")</f>
        <v>0965771062</v>
      </c>
      <c r="K827" s="2" t="str">
        <f ca="1">IFERROR(__xludf.DUMMYFUNCTION("""COMPUTED_VALUE"""),"1745955496864")</f>
        <v>1745955496864</v>
      </c>
    </row>
    <row r="828" spans="1:11" ht="12.45">
      <c r="A828" s="2" t="str">
        <f ca="1">IFERROR(__xludf.DUMMYFUNCTION("""COMPUTED_VALUE"""),"1745955535634")</f>
        <v>1745955535634</v>
      </c>
      <c r="B828" s="2"/>
      <c r="C828" s="2" t="str">
        <v>0</v>
      </c>
      <c r="D828" s="2"/>
      <c r="E828" s="2"/>
      <c r="F828" s="2" t="str">
        <v>0</v>
      </c>
      <c r="G828" s="2"/>
      <c r="I828" s="2" t="str">
        <f ca="1">IFERROR(__xludf.DUMMYFUNCTION("""COMPUTED_VALUE"""),"Hà Duy Khánh")</f>
        <v>Hà Duy Khánh</v>
      </c>
      <c r="J828" s="3" t="str">
        <f ca="1">IFERROR(__xludf.DUMMYFUNCTION("""COMPUTED_VALUE"""),"0982228021")</f>
        <v>0982228021</v>
      </c>
      <c r="K828" s="2" t="str">
        <f ca="1">IFERROR(__xludf.DUMMYFUNCTION("""COMPUTED_VALUE"""),"1745955535634")</f>
        <v>1745955535634</v>
      </c>
    </row>
    <row r="829" spans="1:11" ht="12.45">
      <c r="A829" s="2" t="str">
        <f ca="1">IFERROR(__xludf.DUMMYFUNCTION("""COMPUTED_VALUE"""),"1745955565999")</f>
        <v>1745955565999</v>
      </c>
      <c r="B829" s="2"/>
      <c r="C829" s="2" t="str">
        <v>0</v>
      </c>
      <c r="D829" s="2"/>
      <c r="E829" s="2"/>
      <c r="F829" s="2" t="str">
        <v>0</v>
      </c>
      <c r="G829" s="2"/>
      <c r="I829" s="2" t="str">
        <f ca="1">IFERROR(__xludf.DUMMYFUNCTION("""COMPUTED_VALUE"""),"Nguyễn Minh Huyền")</f>
        <v>Nguyễn Minh Huyền</v>
      </c>
      <c r="J829" s="3" t="str">
        <f ca="1">IFERROR(__xludf.DUMMYFUNCTION("""COMPUTED_VALUE"""),"0343831453")</f>
        <v>0343831453</v>
      </c>
      <c r="K829" s="2" t="str">
        <f ca="1">IFERROR(__xludf.DUMMYFUNCTION("""COMPUTED_VALUE"""),"1745955565999")</f>
        <v>1745955565999</v>
      </c>
    </row>
    <row r="830" spans="1:11" ht="12.45">
      <c r="A830" s="2" t="str">
        <f ca="1">IFERROR(__xludf.DUMMYFUNCTION("""COMPUTED_VALUE"""),"1745955596305")</f>
        <v>1745955596305</v>
      </c>
      <c r="B830" s="2"/>
      <c r="C830" s="2" t="str">
        <v>0</v>
      </c>
      <c r="D830" s="2"/>
      <c r="E830" s="2"/>
      <c r="F830" s="2" t="str">
        <v>0</v>
      </c>
      <c r="G830" s="2"/>
      <c r="I830" s="2" t="str">
        <f ca="1">IFERROR(__xludf.DUMMYFUNCTION("""COMPUTED_VALUE"""),"nguyễn thị kim ngân ")</f>
        <v xml:space="preserve">nguyễn thị kim ngân </v>
      </c>
      <c r="J830" s="3" t="str">
        <f ca="1">IFERROR(__xludf.DUMMYFUNCTION("""COMPUTED_VALUE"""),"0393423534")</f>
        <v>0393423534</v>
      </c>
      <c r="K830" s="2" t="str">
        <f ca="1">IFERROR(__xludf.DUMMYFUNCTION("""COMPUTED_VALUE"""),"1745955596305")</f>
        <v>1745955596305</v>
      </c>
    </row>
    <row r="831" spans="1:11" ht="12.45">
      <c r="A831" s="2" t="str">
        <f ca="1">IFERROR(__xludf.DUMMYFUNCTION("""COMPUTED_VALUE"""),"1745955630267")</f>
        <v>1745955630267</v>
      </c>
      <c r="B831" s="2"/>
      <c r="C831" s="2" t="str">
        <v>0</v>
      </c>
      <c r="D831" s="2"/>
      <c r="E831" s="2"/>
      <c r="F831" s="2" t="str">
        <v>0</v>
      </c>
      <c r="G831" s="2"/>
      <c r="I831" s="2" t="str">
        <f ca="1">IFERROR(__xludf.DUMMYFUNCTION("""COMPUTED_VALUE"""),"Trần Thị Ngọc Giang")</f>
        <v>Trần Thị Ngọc Giang</v>
      </c>
      <c r="J831" s="3" t="str">
        <f ca="1">IFERROR(__xludf.DUMMYFUNCTION("""COMPUTED_VALUE"""),"0912780593")</f>
        <v>0912780593</v>
      </c>
      <c r="K831" s="2" t="str">
        <f ca="1">IFERROR(__xludf.DUMMYFUNCTION("""COMPUTED_VALUE"""),"1745955630267")</f>
        <v>1745955630267</v>
      </c>
    </row>
    <row r="832" spans="1:11" ht="12.45">
      <c r="A832" s="2" t="str">
        <f ca="1">IFERROR(__xludf.DUMMYFUNCTION("""COMPUTED_VALUE"""),"1745955662082")</f>
        <v>1745955662082</v>
      </c>
      <c r="B832" s="2"/>
      <c r="C832" s="2" t="str">
        <v>0</v>
      </c>
      <c r="D832" s="2"/>
      <c r="E832" s="2"/>
      <c r="F832" s="2" t="str">
        <v>0</v>
      </c>
      <c r="G832" s="2"/>
      <c r="I832" s="2" t="str">
        <f ca="1">IFERROR(__xludf.DUMMYFUNCTION("""COMPUTED_VALUE"""),"Phạm Thị Kim Huyên")</f>
        <v>Phạm Thị Kim Huyên</v>
      </c>
      <c r="J832" s="3" t="str">
        <f ca="1">IFERROR(__xludf.DUMMYFUNCTION("""COMPUTED_VALUE"""),"0932508574")</f>
        <v>0932508574</v>
      </c>
      <c r="K832" s="2" t="str">
        <f ca="1">IFERROR(__xludf.DUMMYFUNCTION("""COMPUTED_VALUE"""),"1745955662082")</f>
        <v>1745955662082</v>
      </c>
    </row>
    <row r="833" spans="1:11" ht="12.45">
      <c r="A833" s="2" t="str">
        <f ca="1">IFERROR(__xludf.DUMMYFUNCTION("""COMPUTED_VALUE"""),"1745955696177")</f>
        <v>1745955696177</v>
      </c>
      <c r="B833" s="2"/>
      <c r="C833" s="2" t="str">
        <v>0</v>
      </c>
      <c r="D833" s="2"/>
      <c r="E833" s="2"/>
      <c r="F833" s="2" t="str">
        <v>0</v>
      </c>
      <c r="G833" s="2"/>
      <c r="I833" s="2" t="str">
        <f ca="1">IFERROR(__xludf.DUMMYFUNCTION("""COMPUTED_VALUE"""),"Nguyễn Bá Huy")</f>
        <v>Nguyễn Bá Huy</v>
      </c>
      <c r="J833" s="3" t="str">
        <f ca="1">IFERROR(__xludf.DUMMYFUNCTION("""COMPUTED_VALUE"""),"0374562895")</f>
        <v>0374562895</v>
      </c>
      <c r="K833" s="2" t="str">
        <f ca="1">IFERROR(__xludf.DUMMYFUNCTION("""COMPUTED_VALUE"""),"1745955696177")</f>
        <v>1745955696177</v>
      </c>
    </row>
    <row r="834" spans="1:11" ht="12.45">
      <c r="A834" s="2" t="str">
        <f ca="1">IFERROR(__xludf.DUMMYFUNCTION("""COMPUTED_VALUE"""),"1745955735902")</f>
        <v>1745955735902</v>
      </c>
      <c r="B834" s="2"/>
      <c r="C834" s="2" t="str">
        <v>0</v>
      </c>
      <c r="D834" s="2"/>
      <c r="E834" s="2"/>
      <c r="F834" s="2" t="str">
        <v>0</v>
      </c>
      <c r="G834" s="2"/>
      <c r="I834" s="2" t="str">
        <f ca="1">IFERROR(__xludf.DUMMYFUNCTION("""COMPUTED_VALUE"""),"Trần Minh Phương")</f>
        <v>Trần Minh Phương</v>
      </c>
      <c r="J834" s="3" t="str">
        <f ca="1">IFERROR(__xludf.DUMMYFUNCTION("""COMPUTED_VALUE"""),"0343985195")</f>
        <v>0343985195</v>
      </c>
      <c r="K834" s="2" t="str">
        <f ca="1">IFERROR(__xludf.DUMMYFUNCTION("""COMPUTED_VALUE"""),"1745955735902")</f>
        <v>1745955735902</v>
      </c>
    </row>
    <row r="835" spans="1:11" ht="12.45">
      <c r="A835" s="2" t="str">
        <f ca="1">IFERROR(__xludf.DUMMYFUNCTION("""COMPUTED_VALUE"""),"1745955773682")</f>
        <v>1745955773682</v>
      </c>
      <c r="B835" s="2"/>
      <c r="C835" s="2" t="str">
        <v>0</v>
      </c>
      <c r="D835" s="2"/>
      <c r="E835" s="2"/>
      <c r="F835" s="2" t="str">
        <v>0</v>
      </c>
      <c r="G835" s="2"/>
      <c r="I835" s="2" t="str">
        <f ca="1">IFERROR(__xludf.DUMMYFUNCTION("""COMPUTED_VALUE"""),"Nguyễn Diệu Linh")</f>
        <v>Nguyễn Diệu Linh</v>
      </c>
      <c r="J835" s="3" t="str">
        <f ca="1">IFERROR(__xludf.DUMMYFUNCTION("""COMPUTED_VALUE"""),"0359356037")</f>
        <v>0359356037</v>
      </c>
      <c r="K835" s="2" t="str">
        <f ca="1">IFERROR(__xludf.DUMMYFUNCTION("""COMPUTED_VALUE"""),"1745955773682")</f>
        <v>1745955773682</v>
      </c>
    </row>
    <row r="836" spans="1:11" ht="12.45">
      <c r="A836" s="2" t="str">
        <f ca="1">IFERROR(__xludf.DUMMYFUNCTION("""COMPUTED_VALUE"""),"1745955806020")</f>
        <v>1745955806020</v>
      </c>
      <c r="B836" s="2"/>
      <c r="C836" s="2" t="str">
        <v>0</v>
      </c>
      <c r="D836" s="2"/>
      <c r="E836" s="2"/>
      <c r="F836" s="2" t="str">
        <v>0</v>
      </c>
      <c r="G836" s="2"/>
      <c r="I836" s="2" t="str">
        <f ca="1">IFERROR(__xludf.DUMMYFUNCTION("""COMPUTED_VALUE"""),"Phạm Thiên An")</f>
        <v>Phạm Thiên An</v>
      </c>
      <c r="J836" s="3" t="str">
        <f ca="1">IFERROR(__xludf.DUMMYFUNCTION("""COMPUTED_VALUE"""),"0901452006")</f>
        <v>0901452006</v>
      </c>
      <c r="K836" s="2" t="str">
        <f ca="1">IFERROR(__xludf.DUMMYFUNCTION("""COMPUTED_VALUE"""),"1745955806020")</f>
        <v>1745955806020</v>
      </c>
    </row>
    <row r="837" spans="1:11" ht="12.45">
      <c r="A837" s="2" t="str">
        <f ca="1">IFERROR(__xludf.DUMMYFUNCTION("""COMPUTED_VALUE"""),"1745955838294")</f>
        <v>1745955838294</v>
      </c>
      <c r="B837" s="2"/>
      <c r="C837" s="2" t="str">
        <v>0</v>
      </c>
      <c r="D837" s="2"/>
      <c r="E837" s="2"/>
      <c r="F837" s="2" t="str">
        <v>0</v>
      </c>
      <c r="G837" s="2"/>
      <c r="I837" s="2" t="str">
        <f ca="1">IFERROR(__xludf.DUMMYFUNCTION("""COMPUTED_VALUE"""),"Nguyễn Minh Anh ")</f>
        <v xml:space="preserve">Nguyễn Minh Anh </v>
      </c>
      <c r="J837" s="3" t="str">
        <f ca="1">IFERROR(__xludf.DUMMYFUNCTION("""COMPUTED_VALUE"""),"0856561575")</f>
        <v>0856561575</v>
      </c>
      <c r="K837" s="2" t="str">
        <f ca="1">IFERROR(__xludf.DUMMYFUNCTION("""COMPUTED_VALUE"""),"1745955838294")</f>
        <v>1745955838294</v>
      </c>
    </row>
    <row r="838" spans="1:11" ht="12.45">
      <c r="A838" s="2" t="str">
        <f ca="1">IFERROR(__xludf.DUMMYFUNCTION("""COMPUTED_VALUE"""),"1745955876696")</f>
        <v>1745955876696</v>
      </c>
      <c r="B838" s="2"/>
      <c r="C838" s="2" t="str">
        <v>0</v>
      </c>
      <c r="D838" s="2"/>
      <c r="E838" s="2"/>
      <c r="F838" s="2" t="str">
        <v>0</v>
      </c>
      <c r="G838" s="2"/>
      <c r="I838" s="2" t="str">
        <f ca="1">IFERROR(__xludf.DUMMYFUNCTION("""COMPUTED_VALUE"""),"Đỗ Hoàng Ngọc Ánh ")</f>
        <v xml:space="preserve">Đỗ Hoàng Ngọc Ánh </v>
      </c>
      <c r="J838" s="3" t="str">
        <f ca="1">IFERROR(__xludf.DUMMYFUNCTION("""COMPUTED_VALUE"""),"0332864064")</f>
        <v>0332864064</v>
      </c>
      <c r="K838" s="2" t="str">
        <f ca="1">IFERROR(__xludf.DUMMYFUNCTION("""COMPUTED_VALUE"""),"1745955876696")</f>
        <v>1745955876696</v>
      </c>
    </row>
    <row r="839" spans="1:11" ht="12.45">
      <c r="A839" s="2" t="str">
        <f ca="1">IFERROR(__xludf.DUMMYFUNCTION("""COMPUTED_VALUE"""),"1745955916002")</f>
        <v>1745955916002</v>
      </c>
      <c r="B839" s="2"/>
      <c r="C839" s="2" t="str">
        <v>0</v>
      </c>
      <c r="D839" s="2"/>
      <c r="E839" s="2"/>
      <c r="F839" s="2" t="str">
        <v>0</v>
      </c>
      <c r="G839" s="2"/>
      <c r="I839" s="2" t="str">
        <f ca="1">IFERROR(__xludf.DUMMYFUNCTION("""COMPUTED_VALUE"""),"Nguyễn Thị Hoài Phương")</f>
        <v>Nguyễn Thị Hoài Phương</v>
      </c>
      <c r="J839" s="3" t="str">
        <f ca="1">IFERROR(__xludf.DUMMYFUNCTION("""COMPUTED_VALUE"""),"0397828309")</f>
        <v>0397828309</v>
      </c>
      <c r="K839" s="2" t="str">
        <f ca="1">IFERROR(__xludf.DUMMYFUNCTION("""COMPUTED_VALUE"""),"1745955916002")</f>
        <v>1745955916002</v>
      </c>
    </row>
    <row r="840" spans="1:11" ht="12.45">
      <c r="A840" s="2" t="str">
        <f ca="1">IFERROR(__xludf.DUMMYFUNCTION("""COMPUTED_VALUE"""),"1745955957283")</f>
        <v>1745955957283</v>
      </c>
      <c r="B840" s="2"/>
      <c r="C840" s="2" t="str">
        <v>0</v>
      </c>
      <c r="D840" s="2"/>
      <c r="E840" s="2"/>
      <c r="F840" s="2" t="str">
        <v>0</v>
      </c>
      <c r="G840" s="2"/>
      <c r="I840" s="2" t="str">
        <f ca="1">IFERROR(__xludf.DUMMYFUNCTION("""COMPUTED_VALUE"""),"NGUYỄN PHƯƠNG UYÊN")</f>
        <v>NGUYỄN PHƯƠNG UYÊN</v>
      </c>
      <c r="J840" s="3" t="str">
        <f ca="1">IFERROR(__xludf.DUMMYFUNCTION("""COMPUTED_VALUE"""),"0853002192")</f>
        <v>0853002192</v>
      </c>
      <c r="K840" s="2" t="str">
        <f ca="1">IFERROR(__xludf.DUMMYFUNCTION("""COMPUTED_VALUE"""),"1745955957283")</f>
        <v>1745955957283</v>
      </c>
    </row>
    <row r="841" spans="1:11" ht="12.45">
      <c r="A841" s="2" t="str">
        <f ca="1">IFERROR(__xludf.DUMMYFUNCTION("""COMPUTED_VALUE"""),"1745955991519")</f>
        <v>1745955991519</v>
      </c>
      <c r="B841" s="2"/>
      <c r="C841" s="2" t="str">
        <v>0</v>
      </c>
      <c r="D841" s="2"/>
      <c r="E841" s="2"/>
      <c r="F841" s="2" t="str">
        <v>0</v>
      </c>
      <c r="G841" s="2"/>
      <c r="I841" s="2" t="str">
        <f ca="1">IFERROR(__xludf.DUMMYFUNCTION("""COMPUTED_VALUE"""),"Hoàng Khả Tú")</f>
        <v>Hoàng Khả Tú</v>
      </c>
      <c r="J841" s="3" t="str">
        <f ca="1">IFERROR(__xludf.DUMMYFUNCTION("""COMPUTED_VALUE"""),"0964204347")</f>
        <v>0964204347</v>
      </c>
      <c r="K841" s="2" t="str">
        <f ca="1">IFERROR(__xludf.DUMMYFUNCTION("""COMPUTED_VALUE"""),"1745955991519")</f>
        <v>1745955991519</v>
      </c>
    </row>
    <row r="842" spans="1:11" ht="12.45">
      <c r="A842" s="2" t="str">
        <f ca="1">IFERROR(__xludf.DUMMYFUNCTION("""COMPUTED_VALUE"""),"1745956040744")</f>
        <v>1745956040744</v>
      </c>
      <c r="B842" s="2"/>
      <c r="C842" s="2" t="str">
        <v>0</v>
      </c>
      <c r="D842" s="2"/>
      <c r="E842" s="2"/>
      <c r="F842" s="2" t="str">
        <v>0</v>
      </c>
      <c r="G842" s="2"/>
      <c r="I842" s="2" t="str">
        <f ca="1">IFERROR(__xludf.DUMMYFUNCTION("""COMPUTED_VALUE"""),"Phạm Thị Lan")</f>
        <v>Phạm Thị Lan</v>
      </c>
      <c r="J842" s="3" t="str">
        <f ca="1">IFERROR(__xludf.DUMMYFUNCTION("""COMPUTED_VALUE"""),"0815603560")</f>
        <v>0815603560</v>
      </c>
      <c r="K842" s="2" t="str">
        <f ca="1">IFERROR(__xludf.DUMMYFUNCTION("""COMPUTED_VALUE"""),"1745956040744")</f>
        <v>1745956040744</v>
      </c>
    </row>
    <row r="843" spans="1:11" ht="12.45">
      <c r="A843" s="2" t="str">
        <f ca="1">IFERROR(__xludf.DUMMYFUNCTION("""COMPUTED_VALUE"""),"1745956082361")</f>
        <v>1745956082361</v>
      </c>
      <c r="B843" s="2"/>
      <c r="C843" s="2" t="str">
        <v>0</v>
      </c>
      <c r="D843" s="2"/>
      <c r="E843" s="2"/>
      <c r="F843" s="2" t="str">
        <v>0</v>
      </c>
      <c r="G843" s="2"/>
      <c r="I843" s="2" t="str">
        <f ca="1">IFERROR(__xludf.DUMMYFUNCTION("""COMPUTED_VALUE"""),"Phạm Phúc Thiên Ân")</f>
        <v>Phạm Phúc Thiên Ân</v>
      </c>
      <c r="J843" s="3" t="str">
        <f ca="1">IFERROR(__xludf.DUMMYFUNCTION("""COMPUTED_VALUE"""),"0987429148")</f>
        <v>0987429148</v>
      </c>
      <c r="K843" s="2" t="str">
        <f ca="1">IFERROR(__xludf.DUMMYFUNCTION("""COMPUTED_VALUE"""),"1745956082361")</f>
        <v>1745956082361</v>
      </c>
    </row>
    <row r="844" spans="1:11" ht="12.45">
      <c r="A844" s="2" t="str">
        <f ca="1">IFERROR(__xludf.DUMMYFUNCTION("""COMPUTED_VALUE"""),"1745956128056")</f>
        <v>1745956128056</v>
      </c>
      <c r="B844" s="2"/>
      <c r="C844" s="2" t="str">
        <v>0</v>
      </c>
      <c r="D844" s="2"/>
      <c r="E844" s="2"/>
      <c r="F844" s="2" t="str">
        <v>0</v>
      </c>
      <c r="G844" s="2"/>
      <c r="I844" s="2" t="str">
        <f ca="1">IFERROR(__xludf.DUMMYFUNCTION("""COMPUTED_VALUE"""),"Lê Quỳnh Anh ")</f>
        <v xml:space="preserve">Lê Quỳnh Anh </v>
      </c>
      <c r="J844" s="3" t="str">
        <f ca="1">IFERROR(__xludf.DUMMYFUNCTION("""COMPUTED_VALUE"""),"0833672207")</f>
        <v>0833672207</v>
      </c>
      <c r="K844" s="2" t="str">
        <f ca="1">IFERROR(__xludf.DUMMYFUNCTION("""COMPUTED_VALUE"""),"1745956128056")</f>
        <v>1745956128056</v>
      </c>
    </row>
    <row r="845" spans="1:11" ht="12.45">
      <c r="A845" s="2" t="str">
        <f ca="1">IFERROR(__xludf.DUMMYFUNCTION("""COMPUTED_VALUE"""),"1745956169510")</f>
        <v>1745956169510</v>
      </c>
      <c r="B845" s="2"/>
      <c r="C845" s="2" t="str">
        <v>0</v>
      </c>
      <c r="D845" s="2"/>
      <c r="E845" s="2"/>
      <c r="F845" s="2" t="str">
        <v>0</v>
      </c>
      <c r="G845" s="2"/>
      <c r="I845" s="2" t="str">
        <f ca="1">IFERROR(__xludf.DUMMYFUNCTION("""COMPUTED_VALUE"""),"Phạm Thuỳ Dung")</f>
        <v>Phạm Thuỳ Dung</v>
      </c>
      <c r="J845" s="3" t="str">
        <f ca="1">IFERROR(__xludf.DUMMYFUNCTION("""COMPUTED_VALUE"""),"0934839402")</f>
        <v>0934839402</v>
      </c>
      <c r="K845" s="2" t="str">
        <f ca="1">IFERROR(__xludf.DUMMYFUNCTION("""COMPUTED_VALUE"""),"1745956169510")</f>
        <v>1745956169510</v>
      </c>
    </row>
    <row r="846" spans="1:11" ht="12.45">
      <c r="A846" s="2" t="str">
        <f ca="1">IFERROR(__xludf.DUMMYFUNCTION("""COMPUTED_VALUE"""),"1745956203248")</f>
        <v>1745956203248</v>
      </c>
      <c r="B846" s="2"/>
      <c r="C846" s="2" t="str">
        <v>0</v>
      </c>
      <c r="D846" s="2"/>
      <c r="E846" s="2"/>
      <c r="F846" s="2" t="str">
        <v>0</v>
      </c>
      <c r="G846" s="2"/>
      <c r="I846" s="2" t="str">
        <f ca="1">IFERROR(__xludf.DUMMYFUNCTION("""COMPUTED_VALUE"""),"Võ Ngọc Tường Vy")</f>
        <v>Võ Ngọc Tường Vy</v>
      </c>
      <c r="J846" s="3" t="str">
        <f ca="1">IFERROR(__xludf.DUMMYFUNCTION("""COMPUTED_VALUE"""),"0938516035")</f>
        <v>0938516035</v>
      </c>
      <c r="K846" s="2" t="str">
        <f ca="1">IFERROR(__xludf.DUMMYFUNCTION("""COMPUTED_VALUE"""),"1745956203248")</f>
        <v>1745956203248</v>
      </c>
    </row>
    <row r="847" spans="1:11" ht="12.45">
      <c r="A847" s="2" t="str">
        <f ca="1">IFERROR(__xludf.DUMMYFUNCTION("""COMPUTED_VALUE"""),"1745956239657")</f>
        <v>1745956239657</v>
      </c>
      <c r="B847" s="2"/>
      <c r="C847" s="2" t="str">
        <v>0</v>
      </c>
      <c r="D847" s="2"/>
      <c r="E847" s="2"/>
      <c r="F847" s="2" t="str">
        <v>0</v>
      </c>
      <c r="G847" s="2"/>
      <c r="I847" s="2" t="str">
        <f ca="1">IFERROR(__xludf.DUMMYFUNCTION("""COMPUTED_VALUE"""),"Trịnh Hồng Quân")</f>
        <v>Trịnh Hồng Quân</v>
      </c>
      <c r="J847" s="3" t="str">
        <f ca="1">IFERROR(__xludf.DUMMYFUNCTION("""COMPUTED_VALUE"""),"0901294474")</f>
        <v>0901294474</v>
      </c>
      <c r="K847" s="2" t="str">
        <f ca="1">IFERROR(__xludf.DUMMYFUNCTION("""COMPUTED_VALUE"""),"1745956239657")</f>
        <v>1745956239657</v>
      </c>
    </row>
    <row r="848" spans="1:11" ht="12.45">
      <c r="A848" s="2" t="str">
        <f ca="1">IFERROR(__xludf.DUMMYFUNCTION("""COMPUTED_VALUE"""),"1745956269192")</f>
        <v>1745956269192</v>
      </c>
      <c r="B848" s="2"/>
      <c r="C848" s="2" t="str">
        <v>0</v>
      </c>
      <c r="D848" s="2"/>
      <c r="E848" s="2"/>
      <c r="F848" s="2" t="str">
        <v>0</v>
      </c>
      <c r="G848" s="2"/>
      <c r="I848" s="2" t="str">
        <f ca="1">IFERROR(__xludf.DUMMYFUNCTION("""COMPUTED_VALUE"""),"Nguyễn Thanh Anh")</f>
        <v>Nguyễn Thanh Anh</v>
      </c>
      <c r="J848" s="3" t="str">
        <f ca="1">IFERROR(__xludf.DUMMYFUNCTION("""COMPUTED_VALUE"""),"0942140000")</f>
        <v>0942140000</v>
      </c>
      <c r="K848" s="2" t="str">
        <f ca="1">IFERROR(__xludf.DUMMYFUNCTION("""COMPUTED_VALUE"""),"1745956269192")</f>
        <v>1745956269192</v>
      </c>
    </row>
    <row r="849" spans="1:11" ht="12.45">
      <c r="A849" s="2" t="str">
        <f ca="1">IFERROR(__xludf.DUMMYFUNCTION("""COMPUTED_VALUE"""),"1745956310810")</f>
        <v>1745956310810</v>
      </c>
      <c r="B849" s="2"/>
      <c r="C849" s="2" t="str">
        <v>0</v>
      </c>
      <c r="D849" s="2"/>
      <c r="E849" s="2"/>
      <c r="F849" s="2" t="str">
        <v>0</v>
      </c>
      <c r="G849" s="2"/>
      <c r="I849" s="2" t="str">
        <f ca="1">IFERROR(__xludf.DUMMYFUNCTION("""COMPUTED_VALUE"""),"Nguyễn Tài Nhật Vi")</f>
        <v>Nguyễn Tài Nhật Vi</v>
      </c>
      <c r="J849" s="3" t="str">
        <f ca="1">IFERROR(__xludf.DUMMYFUNCTION("""COMPUTED_VALUE"""),"0334021230")</f>
        <v>0334021230</v>
      </c>
      <c r="K849" s="2" t="str">
        <f ca="1">IFERROR(__xludf.DUMMYFUNCTION("""COMPUTED_VALUE"""),"1745956310810")</f>
        <v>1745956310810</v>
      </c>
    </row>
    <row r="850" spans="1:11" ht="12.45">
      <c r="A850" s="2" t="str">
        <f ca="1">IFERROR(__xludf.DUMMYFUNCTION("""COMPUTED_VALUE"""),"1745956354997")</f>
        <v>1745956354997</v>
      </c>
      <c r="B850" s="2"/>
      <c r="C850" s="2" t="str">
        <v>0</v>
      </c>
      <c r="D850" s="2"/>
      <c r="E850" s="2"/>
      <c r="F850" s="2" t="str">
        <v>0</v>
      </c>
      <c r="G850" s="2"/>
      <c r="I850" s="2" t="str">
        <f ca="1">IFERROR(__xludf.DUMMYFUNCTION("""COMPUTED_VALUE"""),"Huỳnh Thị Thu Thủy ")</f>
        <v xml:space="preserve">Huỳnh Thị Thu Thủy </v>
      </c>
      <c r="J850" s="3" t="str">
        <f ca="1">IFERROR(__xludf.DUMMYFUNCTION("""COMPUTED_VALUE"""),"0905076948")</f>
        <v>0905076948</v>
      </c>
      <c r="K850" s="2" t="str">
        <f ca="1">IFERROR(__xludf.DUMMYFUNCTION("""COMPUTED_VALUE"""),"1745956354997")</f>
        <v>1745956354997</v>
      </c>
    </row>
    <row r="851" spans="1:11" ht="12.45">
      <c r="A851" s="2" t="str">
        <f ca="1">IFERROR(__xludf.DUMMYFUNCTION("""COMPUTED_VALUE"""),"1745956393556")</f>
        <v>1745956393556</v>
      </c>
      <c r="B851" s="2"/>
      <c r="C851" s="2" t="str">
        <v>0</v>
      </c>
      <c r="D851" s="2"/>
      <c r="E851" s="2"/>
      <c r="F851" s="2" t="str">
        <v>0</v>
      </c>
      <c r="G851" s="2"/>
      <c r="I851" s="2" t="str">
        <f ca="1">IFERROR(__xludf.DUMMYFUNCTION("""COMPUTED_VALUE"""),"Ngô Nguyễn Bảo Ngọc")</f>
        <v>Ngô Nguyễn Bảo Ngọc</v>
      </c>
      <c r="J851" s="3" t="str">
        <f ca="1">IFERROR(__xludf.DUMMYFUNCTION("""COMPUTED_VALUE"""),"0917993560")</f>
        <v>0917993560</v>
      </c>
      <c r="K851" s="2" t="str">
        <f ca="1">IFERROR(__xludf.DUMMYFUNCTION("""COMPUTED_VALUE"""),"1745956393556")</f>
        <v>1745956393556</v>
      </c>
    </row>
    <row r="852" spans="1:11" ht="12.45">
      <c r="A852" s="2" t="str">
        <f ca="1">IFERROR(__xludf.DUMMYFUNCTION("""COMPUTED_VALUE"""),"1745956432038")</f>
        <v>1745956432038</v>
      </c>
      <c r="B852" s="2"/>
      <c r="C852" s="2" t="str">
        <v>0</v>
      </c>
      <c r="D852" s="2"/>
      <c r="E852" s="2"/>
      <c r="F852" s="2" t="str">
        <v>0</v>
      </c>
      <c r="G852" s="2"/>
      <c r="I852" s="2" t="str">
        <f ca="1">IFERROR(__xludf.DUMMYFUNCTION("""COMPUTED_VALUE"""),"Vũ Thị Minh Thư")</f>
        <v>Vũ Thị Minh Thư</v>
      </c>
      <c r="J852" s="3" t="str">
        <f ca="1">IFERROR(__xludf.DUMMYFUNCTION("""COMPUTED_VALUE"""),"0355831191")</f>
        <v>0355831191</v>
      </c>
      <c r="K852" s="2" t="str">
        <f ca="1">IFERROR(__xludf.DUMMYFUNCTION("""COMPUTED_VALUE"""),"1745956432038")</f>
        <v>1745956432038</v>
      </c>
    </row>
    <row r="853" spans="1:11" ht="12.45">
      <c r="A853" s="2" t="str">
        <f ca="1">IFERROR(__xludf.DUMMYFUNCTION("""COMPUTED_VALUE"""),"1745956463651")</f>
        <v>1745956463651</v>
      </c>
      <c r="B853" s="2"/>
      <c r="C853" s="2" t="str">
        <v>0</v>
      </c>
      <c r="D853" s="2"/>
      <c r="E853" s="2"/>
      <c r="F853" s="2" t="str">
        <v>0</v>
      </c>
      <c r="G853" s="2"/>
      <c r="I853" s="2" t="str">
        <f ca="1">IFERROR(__xludf.DUMMYFUNCTION("""COMPUTED_VALUE"""),"Nguyễn Trâm anh")</f>
        <v>Nguyễn Trâm anh</v>
      </c>
      <c r="J853" s="3" t="str">
        <f ca="1">IFERROR(__xludf.DUMMYFUNCTION("""COMPUTED_VALUE"""),"0984623138")</f>
        <v>0984623138</v>
      </c>
      <c r="K853" s="2" t="str">
        <f ca="1">IFERROR(__xludf.DUMMYFUNCTION("""COMPUTED_VALUE"""),"1745956463651")</f>
        <v>1745956463651</v>
      </c>
    </row>
    <row r="854" spans="1:11" ht="12.45">
      <c r="A854" s="2" t="str">
        <f ca="1">IFERROR(__xludf.DUMMYFUNCTION("""COMPUTED_VALUE"""),"1745956507229")</f>
        <v>1745956507229</v>
      </c>
      <c r="B854" s="2"/>
      <c r="C854" s="2" t="str">
        <v>0</v>
      </c>
      <c r="D854" s="2"/>
      <c r="E854" s="2"/>
      <c r="F854" s="2" t="str">
        <v>0</v>
      </c>
      <c r="G854" s="2"/>
      <c r="I854" s="2" t="str">
        <f ca="1">IFERROR(__xludf.DUMMYFUNCTION("""COMPUTED_VALUE"""),"Lê Thuỳ Trang")</f>
        <v>Lê Thuỳ Trang</v>
      </c>
      <c r="J854" s="3" t="str">
        <f ca="1">IFERROR(__xludf.DUMMYFUNCTION("""COMPUTED_VALUE"""),"0368667075")</f>
        <v>0368667075</v>
      </c>
      <c r="K854" s="2" t="str">
        <f ca="1">IFERROR(__xludf.DUMMYFUNCTION("""COMPUTED_VALUE"""),"1745956507229")</f>
        <v>1745956507229</v>
      </c>
    </row>
    <row r="855" spans="1:11" ht="12.45">
      <c r="A855" s="2" t="str">
        <f ca="1">IFERROR(__xludf.DUMMYFUNCTION("""COMPUTED_VALUE"""),"1745956544825")</f>
        <v>1745956544825</v>
      </c>
      <c r="B855" s="2"/>
      <c r="C855" s="2" t="str">
        <v>0</v>
      </c>
      <c r="D855" s="2"/>
      <c r="E855" s="2"/>
      <c r="F855" s="2" t="str">
        <v>0</v>
      </c>
      <c r="G855" s="2"/>
      <c r="I855" s="2" t="str">
        <f ca="1">IFERROR(__xludf.DUMMYFUNCTION("""COMPUTED_VALUE"""),"Nguyễn Ngọc Gia Uyên")</f>
        <v>Nguyễn Ngọc Gia Uyên</v>
      </c>
      <c r="J855" s="3" t="str">
        <f ca="1">IFERROR(__xludf.DUMMYFUNCTION("""COMPUTED_VALUE"""),"0829322307")</f>
        <v>0829322307</v>
      </c>
      <c r="K855" s="2" t="str">
        <f ca="1">IFERROR(__xludf.DUMMYFUNCTION("""COMPUTED_VALUE"""),"1745956544825")</f>
        <v>1745956544825</v>
      </c>
    </row>
    <row r="856" spans="1:11" ht="12.45">
      <c r="A856" s="2" t="str">
        <f ca="1">IFERROR(__xludf.DUMMYFUNCTION("""COMPUTED_VALUE"""),"1745956578347")</f>
        <v>1745956578347</v>
      </c>
      <c r="B856" s="2"/>
      <c r="C856" s="2" t="str">
        <v>0</v>
      </c>
      <c r="D856" s="2"/>
      <c r="E856" s="2"/>
      <c r="F856" s="2" t="str">
        <v>0</v>
      </c>
      <c r="G856" s="2"/>
      <c r="I856" s="2" t="str">
        <f ca="1">IFERROR(__xludf.DUMMYFUNCTION("""COMPUTED_VALUE"""),"Cấn Thị Cẩm Giang")</f>
        <v>Cấn Thị Cẩm Giang</v>
      </c>
      <c r="J856" s="3" t="str">
        <f ca="1">IFERROR(__xludf.DUMMYFUNCTION("""COMPUTED_VALUE"""),"0857658677")</f>
        <v>0857658677</v>
      </c>
      <c r="K856" s="2" t="str">
        <f ca="1">IFERROR(__xludf.DUMMYFUNCTION("""COMPUTED_VALUE"""),"1745956578347")</f>
        <v>1745956578347</v>
      </c>
    </row>
    <row r="857" spans="1:11" ht="12.45">
      <c r="A857" s="2" t="str">
        <f ca="1">IFERROR(__xludf.DUMMYFUNCTION("""COMPUTED_VALUE"""),"1745956619941")</f>
        <v>1745956619941</v>
      </c>
      <c r="B857" s="2"/>
      <c r="C857" s="2" t="str">
        <v>0</v>
      </c>
      <c r="D857" s="2"/>
      <c r="E857" s="2"/>
      <c r="F857" s="2" t="str">
        <v>0</v>
      </c>
      <c r="G857" s="2"/>
      <c r="I857" s="2" t="str">
        <f ca="1">IFERROR(__xludf.DUMMYFUNCTION("""COMPUTED_VALUE"""),"Đào Hoàng Như Ý")</f>
        <v>Đào Hoàng Như Ý</v>
      </c>
      <c r="J857" s="3" t="str">
        <f ca="1">IFERROR(__xludf.DUMMYFUNCTION("""COMPUTED_VALUE"""),"0848301106")</f>
        <v>0848301106</v>
      </c>
      <c r="K857" s="2" t="str">
        <f ca="1">IFERROR(__xludf.DUMMYFUNCTION("""COMPUTED_VALUE"""),"1745956619941")</f>
        <v>1745956619941</v>
      </c>
    </row>
    <row r="858" spans="1:11" ht="12.45">
      <c r="A858" s="2" t="str">
        <f ca="1">IFERROR(__xludf.DUMMYFUNCTION("""COMPUTED_VALUE"""),"1746362461839")</f>
        <v>1746362461839</v>
      </c>
      <c r="B858" s="2"/>
      <c r="C858" s="2" t="str">
        <v>0</v>
      </c>
      <c r="D858" s="2"/>
      <c r="E858" s="2"/>
      <c r="F858" s="2" t="str">
        <v>0</v>
      </c>
      <c r="G858" s="2"/>
      <c r="I858" s="2" t="str">
        <f ca="1">IFERROR(__xludf.DUMMYFUNCTION("""COMPUTED_VALUE"""),"Nguyen Thi Lan Anh")</f>
        <v>Nguyen Thi Lan Anh</v>
      </c>
      <c r="J858" s="3" t="str">
        <f ca="1">IFERROR(__xludf.DUMMYFUNCTION("""COMPUTED_VALUE"""),"0943634041")</f>
        <v>0943634041</v>
      </c>
      <c r="K858" s="2" t="str">
        <f ca="1">IFERROR(__xludf.DUMMYFUNCTION("""COMPUTED_VALUE"""),"1746362461839")</f>
        <v>1746362461839</v>
      </c>
    </row>
    <row r="859" spans="1:11" ht="12.45">
      <c r="A859" s="2" t="str">
        <f ca="1">IFERROR(__xludf.DUMMYFUNCTION("""COMPUTED_VALUE"""),"1746362502215")</f>
        <v>1746362502215</v>
      </c>
      <c r="B859" s="2"/>
      <c r="C859" s="2" t="str">
        <v>0</v>
      </c>
      <c r="D859" s="2"/>
      <c r="E859" s="2"/>
      <c r="F859" s="2" t="str">
        <v>0</v>
      </c>
      <c r="G859" s="2"/>
      <c r="I859" s="2" t="str">
        <f ca="1">IFERROR(__xludf.DUMMYFUNCTION("""COMPUTED_VALUE"""),"Trần Ngọc Thơ")</f>
        <v>Trần Ngọc Thơ</v>
      </c>
      <c r="J859" s="3" t="str">
        <f ca="1">IFERROR(__xludf.DUMMYFUNCTION("""COMPUTED_VALUE"""),"0946455765")</f>
        <v>0946455765</v>
      </c>
      <c r="K859" s="2" t="str">
        <f ca="1">IFERROR(__xludf.DUMMYFUNCTION("""COMPUTED_VALUE"""),"1746362502215")</f>
        <v>1746362502215</v>
      </c>
    </row>
    <row r="860" spans="1:11" ht="12.45">
      <c r="A860" s="2" t="str">
        <f ca="1">IFERROR(__xludf.DUMMYFUNCTION("""COMPUTED_VALUE"""),"1746362532479")</f>
        <v>1746362532479</v>
      </c>
      <c r="B860" s="2"/>
      <c r="C860" s="2" t="str">
        <v>0</v>
      </c>
      <c r="D860" s="2"/>
      <c r="E860" s="2"/>
      <c r="F860" s="2" t="str">
        <v>0</v>
      </c>
      <c r="G860" s="2"/>
      <c r="I860" s="2" t="str">
        <f ca="1">IFERROR(__xludf.DUMMYFUNCTION("""COMPUTED_VALUE"""),"Tô Uyên Nhi")</f>
        <v>Tô Uyên Nhi</v>
      </c>
      <c r="J860" s="3" t="str">
        <f ca="1">IFERROR(__xludf.DUMMYFUNCTION("""COMPUTED_VALUE"""),"0369486331")</f>
        <v>0369486331</v>
      </c>
      <c r="K860" s="2" t="str">
        <f ca="1">IFERROR(__xludf.DUMMYFUNCTION("""COMPUTED_VALUE"""),"1746362532479")</f>
        <v>1746362532479</v>
      </c>
    </row>
    <row r="861" spans="1:11" ht="12.45">
      <c r="A861" s="2" t="str">
        <f ca="1">IFERROR(__xludf.DUMMYFUNCTION("""COMPUTED_VALUE"""),"1746362567424")</f>
        <v>1746362567424</v>
      </c>
      <c r="B861" s="2"/>
      <c r="C861" s="2" t="str">
        <v>0</v>
      </c>
      <c r="D861" s="2"/>
      <c r="E861" s="2"/>
      <c r="F861" s="2" t="str">
        <v>0</v>
      </c>
      <c r="G861" s="2"/>
      <c r="I861" s="2" t="str">
        <f ca="1">IFERROR(__xludf.DUMMYFUNCTION("""COMPUTED_VALUE"""),"Lê Thục Linh")</f>
        <v>Lê Thục Linh</v>
      </c>
      <c r="J861" s="3" t="str">
        <f ca="1">IFERROR(__xludf.DUMMYFUNCTION("""COMPUTED_VALUE"""),"0397871261")</f>
        <v>0397871261</v>
      </c>
      <c r="K861" s="2" t="str">
        <f ca="1">IFERROR(__xludf.DUMMYFUNCTION("""COMPUTED_VALUE"""),"1746362567424")</f>
        <v>1746362567424</v>
      </c>
    </row>
    <row r="862" spans="1:11" ht="12.45">
      <c r="A862" s="2" t="str">
        <f ca="1">IFERROR(__xludf.DUMMYFUNCTION("""COMPUTED_VALUE"""),"1746362596150")</f>
        <v>1746362596150</v>
      </c>
      <c r="B862" s="2"/>
      <c r="C862" s="2" t="str">
        <v>0</v>
      </c>
      <c r="D862" s="2"/>
      <c r="E862" s="2"/>
      <c r="F862" s="2" t="str">
        <v>0</v>
      </c>
      <c r="G862" s="2"/>
      <c r="I862" s="2" t="str">
        <f ca="1">IFERROR(__xludf.DUMMYFUNCTION("""COMPUTED_VALUE"""),"Hán Phạm Thuỳ Linh")</f>
        <v>Hán Phạm Thuỳ Linh</v>
      </c>
      <c r="J862" s="3" t="str">
        <f ca="1">IFERROR(__xludf.DUMMYFUNCTION("""COMPUTED_VALUE"""),"0922833929")</f>
        <v>0922833929</v>
      </c>
      <c r="K862" s="2" t="str">
        <f ca="1">IFERROR(__xludf.DUMMYFUNCTION("""COMPUTED_VALUE"""),"1746362596150")</f>
        <v>1746362596150</v>
      </c>
    </row>
    <row r="863" spans="1:11" ht="12.45">
      <c r="A863" s="2" t="str">
        <f ca="1">IFERROR(__xludf.DUMMYFUNCTION("""COMPUTED_VALUE"""),"1746362629492")</f>
        <v>1746362629492</v>
      </c>
      <c r="B863" s="2"/>
      <c r="C863" s="2" t="str">
        <v>0</v>
      </c>
      <c r="D863" s="2"/>
      <c r="E863" s="2"/>
      <c r="F863" s="2" t="str">
        <v>0</v>
      </c>
      <c r="G863" s="2"/>
      <c r="I863" s="2" t="str">
        <f ca="1">IFERROR(__xludf.DUMMYFUNCTION("""COMPUTED_VALUE"""),"NGUYỄN THỊ VÂN KHÁNH")</f>
        <v>NGUYỄN THỊ VÂN KHÁNH</v>
      </c>
      <c r="J863" s="3" t="str">
        <f ca="1">IFERROR(__xludf.DUMMYFUNCTION("""COMPUTED_VALUE"""),"0372385780")</f>
        <v>0372385780</v>
      </c>
      <c r="K863" s="2" t="str">
        <f ca="1">IFERROR(__xludf.DUMMYFUNCTION("""COMPUTED_VALUE"""),"1746362629492")</f>
        <v>1746362629492</v>
      </c>
    </row>
    <row r="864" spans="1:11" ht="12.45">
      <c r="A864" s="2" t="str">
        <f ca="1">IFERROR(__xludf.DUMMYFUNCTION("""COMPUTED_VALUE"""),"1746362661745")</f>
        <v>1746362661745</v>
      </c>
      <c r="B864" s="2"/>
      <c r="C864" s="2" t="str">
        <v>0</v>
      </c>
      <c r="D864" s="2"/>
      <c r="E864" s="2"/>
      <c r="F864" s="2" t="str">
        <v>0</v>
      </c>
      <c r="G864" s="2"/>
      <c r="I864" s="2" t="str">
        <f ca="1">IFERROR(__xludf.DUMMYFUNCTION("""COMPUTED_VALUE"""),"Tạ Hải Đăng ")</f>
        <v xml:space="preserve">Tạ Hải Đăng </v>
      </c>
      <c r="J864" s="3" t="str">
        <f ca="1">IFERROR(__xludf.DUMMYFUNCTION("""COMPUTED_VALUE"""),"0941399242")</f>
        <v>0941399242</v>
      </c>
      <c r="K864" s="2" t="str">
        <f ca="1">IFERROR(__xludf.DUMMYFUNCTION("""COMPUTED_VALUE"""),"1746362661745")</f>
        <v>1746362661745</v>
      </c>
    </row>
    <row r="865" spans="1:11" ht="12.45">
      <c r="A865" s="2" t="str">
        <f ca="1">IFERROR(__xludf.DUMMYFUNCTION("""COMPUTED_VALUE"""),"1746362696027")</f>
        <v>1746362696027</v>
      </c>
      <c r="B865" s="2"/>
      <c r="C865" s="2" t="str">
        <v>0</v>
      </c>
      <c r="D865" s="2"/>
      <c r="E865" s="2"/>
      <c r="F865" s="2" t="str">
        <v>0</v>
      </c>
      <c r="G865" s="2"/>
      <c r="I865" s="2" t="str">
        <f ca="1">IFERROR(__xludf.DUMMYFUNCTION("""COMPUTED_VALUE"""),"Phùng Thị Huyền Thương")</f>
        <v>Phùng Thị Huyền Thương</v>
      </c>
      <c r="J865" s="3" t="str">
        <f ca="1">IFERROR(__xludf.DUMMYFUNCTION("""COMPUTED_VALUE"""),"0335076415")</f>
        <v>0335076415</v>
      </c>
      <c r="K865" s="2" t="str">
        <f ca="1">IFERROR(__xludf.DUMMYFUNCTION("""COMPUTED_VALUE"""),"1746362696027")</f>
        <v>1746362696027</v>
      </c>
    </row>
    <row r="866" spans="1:11" ht="12.45">
      <c r="A866" s="2" t="str">
        <f ca="1">IFERROR(__xludf.DUMMYFUNCTION("""COMPUTED_VALUE"""),"1746362724217")</f>
        <v>1746362724217</v>
      </c>
      <c r="B866" s="2"/>
      <c r="C866" s="2" t="str">
        <v>0</v>
      </c>
      <c r="D866" s="2"/>
      <c r="E866" s="2"/>
      <c r="F866" s="2" t="str">
        <v>0</v>
      </c>
      <c r="G866" s="2"/>
      <c r="I866" s="2" t="str">
        <f ca="1">IFERROR(__xludf.DUMMYFUNCTION("""COMPUTED_VALUE"""),"Nghiêm Thị Tú Uyên ")</f>
        <v xml:space="preserve">Nghiêm Thị Tú Uyên </v>
      </c>
      <c r="J866" s="3" t="str">
        <f ca="1">IFERROR(__xludf.DUMMYFUNCTION("""COMPUTED_VALUE"""),"0345669697")</f>
        <v>0345669697</v>
      </c>
      <c r="K866" s="2" t="str">
        <f ca="1">IFERROR(__xludf.DUMMYFUNCTION("""COMPUTED_VALUE"""),"1746362724217")</f>
        <v>1746362724217</v>
      </c>
    </row>
    <row r="867" spans="1:11" ht="12.45">
      <c r="A867" s="2" t="str">
        <f ca="1">IFERROR(__xludf.DUMMYFUNCTION("""COMPUTED_VALUE"""),"1746362753991")</f>
        <v>1746362753991</v>
      </c>
      <c r="B867" s="2"/>
      <c r="C867" s="2" t="str">
        <v>0</v>
      </c>
      <c r="D867" s="2"/>
      <c r="E867" s="2"/>
      <c r="F867" s="2" t="str">
        <v>0</v>
      </c>
      <c r="G867" s="2"/>
      <c r="I867" s="2" t="str">
        <f ca="1">IFERROR(__xludf.DUMMYFUNCTION("""COMPUTED_VALUE"""),"Phạm Thị Tuyết Nhung ")</f>
        <v xml:space="preserve">Phạm Thị Tuyết Nhung </v>
      </c>
      <c r="J867" s="3" t="str">
        <f ca="1">IFERROR(__xludf.DUMMYFUNCTION("""COMPUTED_VALUE"""),"0905014887")</f>
        <v>0905014887</v>
      </c>
      <c r="K867" s="2" t="str">
        <f ca="1">IFERROR(__xludf.DUMMYFUNCTION("""COMPUTED_VALUE"""),"1746362753991")</f>
        <v>1746362753991</v>
      </c>
    </row>
    <row r="868" spans="1:11" ht="12.45">
      <c r="A868" s="2" t="str">
        <f ca="1">IFERROR(__xludf.DUMMYFUNCTION("""COMPUTED_VALUE"""),"1746362785206")</f>
        <v>1746362785206</v>
      </c>
      <c r="B868" s="2"/>
      <c r="C868" s="2" t="str">
        <v>0</v>
      </c>
      <c r="D868" s="2"/>
      <c r="E868" s="2"/>
      <c r="F868" s="2" t="str">
        <v>0</v>
      </c>
      <c r="G868" s="2"/>
      <c r="I868" s="2" t="str">
        <f ca="1">IFERROR(__xludf.DUMMYFUNCTION("""COMPUTED_VALUE"""),"Ngô Thị Quỳnh Hương")</f>
        <v>Ngô Thị Quỳnh Hương</v>
      </c>
      <c r="J868" s="3" t="str">
        <f ca="1">IFERROR(__xludf.DUMMYFUNCTION("""COMPUTED_VALUE"""),"0977860079")</f>
        <v>0977860079</v>
      </c>
      <c r="K868" s="2" t="str">
        <f ca="1">IFERROR(__xludf.DUMMYFUNCTION("""COMPUTED_VALUE"""),"1746362785206")</f>
        <v>1746362785206</v>
      </c>
    </row>
    <row r="869" spans="1:11" ht="12.45">
      <c r="A869" s="2" t="str">
        <f ca="1">IFERROR(__xludf.DUMMYFUNCTION("""COMPUTED_VALUE"""),"1746362813299")</f>
        <v>1746362813299</v>
      </c>
      <c r="B869" s="2"/>
      <c r="C869" s="2" t="str">
        <v>0</v>
      </c>
      <c r="D869" s="2"/>
      <c r="E869" s="2"/>
      <c r="F869" s="2" t="str">
        <v>0</v>
      </c>
      <c r="G869" s="2"/>
      <c r="I869" s="2" t="str">
        <f ca="1">IFERROR(__xludf.DUMMYFUNCTION("""COMPUTED_VALUE"""),"Đào Lê Phương Ánh ")</f>
        <v xml:space="preserve">Đào Lê Phương Ánh </v>
      </c>
      <c r="J869" s="3" t="str">
        <f ca="1">IFERROR(__xludf.DUMMYFUNCTION("""COMPUTED_VALUE"""),"0973382142")</f>
        <v>0973382142</v>
      </c>
      <c r="K869" s="2" t="str">
        <f ca="1">IFERROR(__xludf.DUMMYFUNCTION("""COMPUTED_VALUE"""),"1746362813299")</f>
        <v>1746362813299</v>
      </c>
    </row>
    <row r="870" spans="1:11" ht="12.45">
      <c r="A870" s="2" t="str">
        <f ca="1">IFERROR(__xludf.DUMMYFUNCTION("""COMPUTED_VALUE"""),"1746362850419")</f>
        <v>1746362850419</v>
      </c>
      <c r="B870" s="2"/>
      <c r="C870" s="2" t="str">
        <v>0</v>
      </c>
      <c r="D870" s="2"/>
      <c r="E870" s="2"/>
      <c r="F870" s="2" t="str">
        <v>0</v>
      </c>
      <c r="G870" s="2"/>
      <c r="I870" s="2" t="str">
        <f ca="1">IFERROR(__xludf.DUMMYFUNCTION("""COMPUTED_VALUE"""),"Lê Minh Nguyệt")</f>
        <v>Lê Minh Nguyệt</v>
      </c>
      <c r="J870" s="3" t="str">
        <f ca="1">IFERROR(__xludf.DUMMYFUNCTION("""COMPUTED_VALUE"""),"0376037258")</f>
        <v>0376037258</v>
      </c>
      <c r="K870" s="2" t="str">
        <f ca="1">IFERROR(__xludf.DUMMYFUNCTION("""COMPUTED_VALUE"""),"1746362850419")</f>
        <v>1746362850419</v>
      </c>
    </row>
    <row r="871" spans="1:11" ht="12.45">
      <c r="A871" s="2" t="str">
        <f ca="1">IFERROR(__xludf.DUMMYFUNCTION("""COMPUTED_VALUE"""),"1746362884798")</f>
        <v>1746362884798</v>
      </c>
      <c r="B871" s="2"/>
      <c r="C871" s="2" t="str">
        <v>0</v>
      </c>
      <c r="D871" s="2"/>
      <c r="E871" s="2"/>
      <c r="F871" s="2" t="str">
        <v>0</v>
      </c>
      <c r="G871" s="2"/>
      <c r="I871" s="2" t="str">
        <f ca="1">IFERROR(__xludf.DUMMYFUNCTION("""COMPUTED_VALUE"""),"Vũ Trần Yến Nhi")</f>
        <v>Vũ Trần Yến Nhi</v>
      </c>
      <c r="J871" s="3" t="str">
        <f ca="1">IFERROR(__xludf.DUMMYFUNCTION("""COMPUTED_VALUE"""),"0879317597")</f>
        <v>0879317597</v>
      </c>
      <c r="K871" s="2" t="str">
        <f ca="1">IFERROR(__xludf.DUMMYFUNCTION("""COMPUTED_VALUE"""),"1746362884798")</f>
        <v>1746362884798</v>
      </c>
    </row>
    <row r="872" spans="1:11" ht="12.45">
      <c r="A872" s="2" t="str">
        <f ca="1">IFERROR(__xludf.DUMMYFUNCTION("""COMPUTED_VALUE"""),"1746362913689")</f>
        <v>1746362913689</v>
      </c>
      <c r="B872" s="2"/>
      <c r="C872" s="2" t="str">
        <v>0</v>
      </c>
      <c r="D872" s="2"/>
      <c r="E872" s="2"/>
      <c r="F872" s="2" t="str">
        <v>0</v>
      </c>
      <c r="G872" s="2"/>
      <c r="I872" s="2" t="str">
        <f ca="1">IFERROR(__xludf.DUMMYFUNCTION("""COMPUTED_VALUE"""),"Đinh Anh Tú ")</f>
        <v xml:space="preserve">Đinh Anh Tú </v>
      </c>
      <c r="J872" s="3" t="str">
        <f ca="1">IFERROR(__xludf.DUMMYFUNCTION("""COMPUTED_VALUE"""),"0842003592")</f>
        <v>0842003592</v>
      </c>
      <c r="K872" s="2" t="str">
        <f ca="1">IFERROR(__xludf.DUMMYFUNCTION("""COMPUTED_VALUE"""),"1746362913689")</f>
        <v>1746362913689</v>
      </c>
    </row>
    <row r="873" spans="1:11" ht="12.45">
      <c r="A873" s="2" t="str">
        <f ca="1">IFERROR(__xludf.DUMMYFUNCTION("""COMPUTED_VALUE"""),"1746362942693")</f>
        <v>1746362942693</v>
      </c>
      <c r="B873" s="2"/>
      <c r="C873" s="2" t="str">
        <v>0</v>
      </c>
      <c r="D873" s="2"/>
      <c r="E873" s="2"/>
      <c r="F873" s="2" t="str">
        <v>0</v>
      </c>
      <c r="G873" s="2"/>
      <c r="I873" s="2" t="str">
        <f ca="1">IFERROR(__xludf.DUMMYFUNCTION("""COMPUTED_VALUE"""),"Văn Phú Tài")</f>
        <v>Văn Phú Tài</v>
      </c>
      <c r="J873" s="3" t="str">
        <f ca="1">IFERROR(__xludf.DUMMYFUNCTION("""COMPUTED_VALUE"""),"0382405712")</f>
        <v>0382405712</v>
      </c>
      <c r="K873" s="2" t="str">
        <f ca="1">IFERROR(__xludf.DUMMYFUNCTION("""COMPUTED_VALUE"""),"1746362942693")</f>
        <v>1746362942693</v>
      </c>
    </row>
    <row r="874" spans="1:11" ht="12.45">
      <c r="A874" s="2" t="str">
        <f ca="1">IFERROR(__xludf.DUMMYFUNCTION("""COMPUTED_VALUE"""),"1746362970185")</f>
        <v>1746362970185</v>
      </c>
      <c r="B874" s="2"/>
      <c r="C874" s="2" t="str">
        <v>0</v>
      </c>
      <c r="D874" s="2"/>
      <c r="E874" s="2"/>
      <c r="F874" s="2" t="str">
        <v>0</v>
      </c>
      <c r="G874" s="2"/>
      <c r="I874" s="2" t="str">
        <f ca="1">IFERROR(__xludf.DUMMYFUNCTION("""COMPUTED_VALUE"""),"Đỗ Thanh Trâm")</f>
        <v>Đỗ Thanh Trâm</v>
      </c>
      <c r="J874" s="3" t="str">
        <f ca="1">IFERROR(__xludf.DUMMYFUNCTION("""COMPUTED_VALUE"""),"0965467367")</f>
        <v>0965467367</v>
      </c>
      <c r="K874" s="2" t="str">
        <f ca="1">IFERROR(__xludf.DUMMYFUNCTION("""COMPUTED_VALUE"""),"1746362970185")</f>
        <v>1746362970185</v>
      </c>
    </row>
    <row r="875" spans="1:11" ht="12.45">
      <c r="A875" s="2" t="str">
        <f ca="1">IFERROR(__xludf.DUMMYFUNCTION("""COMPUTED_VALUE"""),"1746362997666")</f>
        <v>1746362997666</v>
      </c>
      <c r="B875" s="2"/>
      <c r="C875" s="2" t="str">
        <v>0</v>
      </c>
      <c r="D875" s="2"/>
      <c r="E875" s="2"/>
      <c r="F875" s="2" t="str">
        <v>0</v>
      </c>
      <c r="G875" s="2"/>
      <c r="I875" s="2" t="str">
        <f ca="1">IFERROR(__xludf.DUMMYFUNCTION("""COMPUTED_VALUE"""),"Bùi Thị Mỹ Lệ")</f>
        <v>Bùi Thị Mỹ Lệ</v>
      </c>
      <c r="J875" s="3" t="str">
        <f ca="1">IFERROR(__xludf.DUMMYFUNCTION("""COMPUTED_VALUE"""),"0397769282")</f>
        <v>0397769282</v>
      </c>
      <c r="K875" s="2" t="str">
        <f ca="1">IFERROR(__xludf.DUMMYFUNCTION("""COMPUTED_VALUE"""),"1746362997666")</f>
        <v>1746362997666</v>
      </c>
    </row>
    <row r="876" spans="1:11" ht="12.45">
      <c r="A876" s="2" t="str">
        <f ca="1">IFERROR(__xludf.DUMMYFUNCTION("""COMPUTED_VALUE"""),"1746363028983")</f>
        <v>1746363028983</v>
      </c>
      <c r="B876" s="2"/>
      <c r="C876" s="2" t="str">
        <v>0</v>
      </c>
      <c r="D876" s="2"/>
      <c r="E876" s="2"/>
      <c r="F876" s="2" t="str">
        <v>0</v>
      </c>
      <c r="G876" s="2"/>
      <c r="I876" s="2" t="str">
        <f ca="1">IFERROR(__xludf.DUMMYFUNCTION("""COMPUTED_VALUE"""),"Bùi Phạm Trà Nhi")</f>
        <v>Bùi Phạm Trà Nhi</v>
      </c>
      <c r="J876" s="3" t="str">
        <f ca="1">IFERROR(__xludf.DUMMYFUNCTION("""COMPUTED_VALUE"""),"0982380615")</f>
        <v>0982380615</v>
      </c>
      <c r="K876" s="2" t="str">
        <f ca="1">IFERROR(__xludf.DUMMYFUNCTION("""COMPUTED_VALUE"""),"1746363028983")</f>
        <v>1746363028983</v>
      </c>
    </row>
    <row r="877" spans="1:11" ht="12.45">
      <c r="A877" s="2" t="str">
        <f ca="1">IFERROR(__xludf.DUMMYFUNCTION("""COMPUTED_VALUE"""),"1746363063219")</f>
        <v>1746363063219</v>
      </c>
      <c r="B877" s="2"/>
      <c r="C877" s="2" t="str">
        <v>0</v>
      </c>
      <c r="D877" s="2"/>
      <c r="E877" s="2"/>
      <c r="F877" s="2" t="str">
        <v>0</v>
      </c>
      <c r="G877" s="2"/>
      <c r="I877" s="2" t="str">
        <f ca="1">IFERROR(__xludf.DUMMYFUNCTION("""COMPUTED_VALUE"""),"Huỳnh Thị Mỹ Tiên")</f>
        <v>Huỳnh Thị Mỹ Tiên</v>
      </c>
      <c r="J877" s="3" t="str">
        <f ca="1">IFERROR(__xludf.DUMMYFUNCTION("""COMPUTED_VALUE"""),"0978875044")</f>
        <v>0978875044</v>
      </c>
      <c r="K877" s="2" t="str">
        <f ca="1">IFERROR(__xludf.DUMMYFUNCTION("""COMPUTED_VALUE"""),"1746363063219")</f>
        <v>1746363063219</v>
      </c>
    </row>
    <row r="878" spans="1:11" ht="12.45">
      <c r="A878" s="2" t="str">
        <f ca="1">IFERROR(__xludf.DUMMYFUNCTION("""COMPUTED_VALUE"""),"1746363096659")</f>
        <v>1746363096659</v>
      </c>
      <c r="B878" s="2"/>
      <c r="C878" s="2" t="str">
        <v>0</v>
      </c>
      <c r="D878" s="2"/>
      <c r="E878" s="2"/>
      <c r="F878" s="2" t="str">
        <v>0</v>
      </c>
      <c r="G878" s="2"/>
      <c r="I878" s="2" t="str">
        <f ca="1">IFERROR(__xludf.DUMMYFUNCTION("""COMPUTED_VALUE"""),"Nguyễn Thái Phương Thảo")</f>
        <v>Nguyễn Thái Phương Thảo</v>
      </c>
      <c r="J878" s="3" t="str">
        <f ca="1">IFERROR(__xludf.DUMMYFUNCTION("""COMPUTED_VALUE"""),"0869382694")</f>
        <v>0869382694</v>
      </c>
      <c r="K878" s="2" t="str">
        <f ca="1">IFERROR(__xludf.DUMMYFUNCTION("""COMPUTED_VALUE"""),"1746363096659")</f>
        <v>1746363096659</v>
      </c>
    </row>
    <row r="879" spans="1:11" ht="12.45">
      <c r="A879" s="2" t="str">
        <f ca="1">IFERROR(__xludf.DUMMYFUNCTION("""COMPUTED_VALUE"""),"1746363132360")</f>
        <v>1746363132360</v>
      </c>
      <c r="B879" s="2"/>
      <c r="C879" s="2" t="str">
        <v>0</v>
      </c>
      <c r="D879" s="2"/>
      <c r="E879" s="2"/>
      <c r="F879" s="2" t="str">
        <v>0</v>
      </c>
      <c r="G879" s="2"/>
      <c r="I879" s="2" t="str">
        <f ca="1">IFERROR(__xludf.DUMMYFUNCTION("""COMPUTED_VALUE"""),"Võ Hồ Khánh Huệ ")</f>
        <v xml:space="preserve">Võ Hồ Khánh Huệ </v>
      </c>
      <c r="J879" s="3" t="str">
        <f ca="1">IFERROR(__xludf.DUMMYFUNCTION("""COMPUTED_VALUE"""),"0332771034")</f>
        <v>0332771034</v>
      </c>
      <c r="K879" s="2" t="str">
        <f ca="1">IFERROR(__xludf.DUMMYFUNCTION("""COMPUTED_VALUE"""),"1746363132360")</f>
        <v>1746363132360</v>
      </c>
    </row>
    <row r="880" spans="1:11" ht="12.45">
      <c r="A880" s="2" t="str">
        <f ca="1">IFERROR(__xludf.DUMMYFUNCTION("""COMPUTED_VALUE"""),"1746363155912")</f>
        <v>1746363155912</v>
      </c>
      <c r="B880" s="2"/>
      <c r="C880" s="2" t="str">
        <v>0</v>
      </c>
      <c r="D880" s="2"/>
      <c r="E880" s="2"/>
      <c r="F880" s="2" t="str">
        <v>0</v>
      </c>
      <c r="G880" s="2"/>
      <c r="I880" s="2" t="str">
        <f ca="1">IFERROR(__xludf.DUMMYFUNCTION("""COMPUTED_VALUE"""),"Phan Minh Ngọc")</f>
        <v>Phan Minh Ngọc</v>
      </c>
      <c r="J880" s="3" t="str">
        <f ca="1">IFERROR(__xludf.DUMMYFUNCTION("""COMPUTED_VALUE"""),"0392714822")</f>
        <v>0392714822</v>
      </c>
      <c r="K880" s="2" t="str">
        <f ca="1">IFERROR(__xludf.DUMMYFUNCTION("""COMPUTED_VALUE"""),"1746363155912")</f>
        <v>1746363155912</v>
      </c>
    </row>
    <row r="881" spans="1:11" ht="12.45">
      <c r="A881" s="2" t="str">
        <f ca="1">IFERROR(__xludf.DUMMYFUNCTION("""COMPUTED_VALUE"""),"1746363185486")</f>
        <v>1746363185486</v>
      </c>
      <c r="B881" s="2"/>
      <c r="C881" s="2" t="str">
        <v>0</v>
      </c>
      <c r="D881" s="2"/>
      <c r="E881" s="2"/>
      <c r="F881" s="2" t="str">
        <v>0</v>
      </c>
      <c r="G881" s="2"/>
      <c r="I881" s="2" t="str">
        <f ca="1">IFERROR(__xludf.DUMMYFUNCTION("""COMPUTED_VALUE"""),"Trương Hoàng Phúc")</f>
        <v>Trương Hoàng Phúc</v>
      </c>
      <c r="J881" s="3" t="str">
        <f ca="1">IFERROR(__xludf.DUMMYFUNCTION("""COMPUTED_VALUE"""),"0889175956")</f>
        <v>0889175956</v>
      </c>
      <c r="K881" s="2" t="str">
        <f ca="1">IFERROR(__xludf.DUMMYFUNCTION("""COMPUTED_VALUE"""),"1746363185486")</f>
        <v>1746363185486</v>
      </c>
    </row>
    <row r="882" spans="1:11" ht="12.45">
      <c r="A882" s="2" t="str">
        <f ca="1">IFERROR(__xludf.DUMMYFUNCTION("""COMPUTED_VALUE"""),"1746363216759")</f>
        <v>1746363216759</v>
      </c>
      <c r="B882" s="2"/>
      <c r="C882" s="2" t="str">
        <v>0</v>
      </c>
      <c r="D882" s="2"/>
      <c r="E882" s="2"/>
      <c r="F882" s="2" t="str">
        <v>0</v>
      </c>
      <c r="G882" s="2"/>
      <c r="I882" s="2" t="str">
        <f ca="1">IFERROR(__xludf.DUMMYFUNCTION("""COMPUTED_VALUE"""),"Đoàn Thảo Trâm")</f>
        <v>Đoàn Thảo Trâm</v>
      </c>
      <c r="J882" s="3" t="str">
        <f ca="1">IFERROR(__xludf.DUMMYFUNCTION("""COMPUTED_VALUE"""),"0901740213")</f>
        <v>0901740213</v>
      </c>
      <c r="K882" s="2" t="str">
        <f ca="1">IFERROR(__xludf.DUMMYFUNCTION("""COMPUTED_VALUE"""),"1746363216759")</f>
        <v>1746363216759</v>
      </c>
    </row>
    <row r="883" spans="1:11" ht="12.45">
      <c r="A883" s="2" t="str">
        <f ca="1">IFERROR(__xludf.DUMMYFUNCTION("""COMPUTED_VALUE"""),"1746363250784")</f>
        <v>1746363250784</v>
      </c>
      <c r="B883" s="2"/>
      <c r="C883" s="2" t="str">
        <v>0</v>
      </c>
      <c r="D883" s="2"/>
      <c r="E883" s="2"/>
      <c r="F883" s="2" t="str">
        <v>0</v>
      </c>
      <c r="G883" s="2"/>
      <c r="I883" s="2" t="str">
        <f ca="1">IFERROR(__xludf.DUMMYFUNCTION("""COMPUTED_VALUE"""),"Nông Thị Khánh Ly")</f>
        <v>Nông Thị Khánh Ly</v>
      </c>
      <c r="J883" s="3" t="str">
        <f ca="1">IFERROR(__xludf.DUMMYFUNCTION("""COMPUTED_VALUE"""),"0339454207")</f>
        <v>0339454207</v>
      </c>
      <c r="K883" s="2" t="str">
        <f ca="1">IFERROR(__xludf.DUMMYFUNCTION("""COMPUTED_VALUE"""),"1746363250784")</f>
        <v>1746363250784</v>
      </c>
    </row>
    <row r="884" spans="1:11" ht="12.45">
      <c r="A884" s="2" t="str">
        <f ca="1">IFERROR(__xludf.DUMMYFUNCTION("""COMPUTED_VALUE"""),"1746363282419")</f>
        <v>1746363282419</v>
      </c>
      <c r="B884" s="2"/>
      <c r="C884" s="2" t="str">
        <v>0</v>
      </c>
      <c r="D884" s="2"/>
      <c r="E884" s="2"/>
      <c r="F884" s="2" t="str">
        <v>0</v>
      </c>
      <c r="G884" s="2"/>
      <c r="I884" s="2" t="str">
        <f ca="1">IFERROR(__xludf.DUMMYFUNCTION("""COMPUTED_VALUE"""),"Đinh Thị Khánh Nhi")</f>
        <v>Đinh Thị Khánh Nhi</v>
      </c>
      <c r="J884" s="3" t="str">
        <f ca="1">IFERROR(__xludf.DUMMYFUNCTION("""COMPUTED_VALUE"""),"0333026456")</f>
        <v>0333026456</v>
      </c>
      <c r="K884" s="2" t="str">
        <f ca="1">IFERROR(__xludf.DUMMYFUNCTION("""COMPUTED_VALUE"""),"1746363282419")</f>
        <v>1746363282419</v>
      </c>
    </row>
    <row r="885" spans="1:11" ht="12.45">
      <c r="A885" s="2" t="str">
        <f ca="1">IFERROR(__xludf.DUMMYFUNCTION("""COMPUTED_VALUE"""),"1746363308052")</f>
        <v>1746363308052</v>
      </c>
      <c r="B885" s="2"/>
      <c r="C885" s="2" t="str">
        <v>0</v>
      </c>
      <c r="D885" s="2"/>
      <c r="E885" s="2"/>
      <c r="F885" s="2" t="str">
        <v>0</v>
      </c>
      <c r="G885" s="2"/>
      <c r="I885" s="2" t="str">
        <f ca="1">IFERROR(__xludf.DUMMYFUNCTION("""COMPUTED_VALUE"""),"Cao Thị Thanh Nhàn")</f>
        <v>Cao Thị Thanh Nhàn</v>
      </c>
      <c r="J885" s="3" t="str">
        <f ca="1">IFERROR(__xludf.DUMMYFUNCTION("""COMPUTED_VALUE"""),"0355579446")</f>
        <v>0355579446</v>
      </c>
      <c r="K885" s="2" t="str">
        <f ca="1">IFERROR(__xludf.DUMMYFUNCTION("""COMPUTED_VALUE"""),"1746363308052")</f>
        <v>1746363308052</v>
      </c>
    </row>
    <row r="886" spans="1:11" ht="12.45">
      <c r="A886" s="2" t="str">
        <f ca="1">IFERROR(__xludf.DUMMYFUNCTION("""COMPUTED_VALUE"""),"1746363336140")</f>
        <v>1746363336140</v>
      </c>
      <c r="B886" s="2"/>
      <c r="C886" s="2" t="str">
        <v>0</v>
      </c>
      <c r="D886" s="2"/>
      <c r="E886" s="2"/>
      <c r="F886" s="2" t="str">
        <v>0</v>
      </c>
      <c r="G886" s="2"/>
      <c r="I886" s="2" t="str">
        <f ca="1">IFERROR(__xludf.DUMMYFUNCTION("""COMPUTED_VALUE"""),"Lò Thị Phương Thúy")</f>
        <v>Lò Thị Phương Thúy</v>
      </c>
      <c r="J886" s="3" t="str">
        <f ca="1">IFERROR(__xludf.DUMMYFUNCTION("""COMPUTED_VALUE"""),"0387702655")</f>
        <v>0387702655</v>
      </c>
      <c r="K886" s="2" t="str">
        <f ca="1">IFERROR(__xludf.DUMMYFUNCTION("""COMPUTED_VALUE"""),"1746363336140")</f>
        <v>1746363336140</v>
      </c>
    </row>
    <row r="887" spans="1:11" ht="12.45">
      <c r="A887" s="2" t="str">
        <f ca="1">IFERROR(__xludf.DUMMYFUNCTION("""COMPUTED_VALUE"""),"1746363362309")</f>
        <v>1746363362309</v>
      </c>
      <c r="B887" s="2"/>
      <c r="C887" s="2" t="str">
        <v>0</v>
      </c>
      <c r="D887" s="2"/>
      <c r="E887" s="2"/>
      <c r="F887" s="2" t="str">
        <v>0</v>
      </c>
      <c r="G887" s="2"/>
      <c r="I887" s="2" t="str">
        <f ca="1">IFERROR(__xludf.DUMMYFUNCTION("""COMPUTED_VALUE"""),"Trần Thanh Trang")</f>
        <v>Trần Thanh Trang</v>
      </c>
      <c r="J887" s="3" t="str">
        <f ca="1">IFERROR(__xludf.DUMMYFUNCTION("""COMPUTED_VALUE"""),"0375760793")</f>
        <v>0375760793</v>
      </c>
      <c r="K887" s="2" t="str">
        <f ca="1">IFERROR(__xludf.DUMMYFUNCTION("""COMPUTED_VALUE"""),"1746363362309")</f>
        <v>1746363362309</v>
      </c>
    </row>
    <row r="888" spans="1:11" ht="12.45">
      <c r="A888" s="2" t="str">
        <f ca="1">IFERROR(__xludf.DUMMYFUNCTION("""COMPUTED_VALUE"""),"1746363389899")</f>
        <v>1746363389899</v>
      </c>
      <c r="B888" s="2"/>
      <c r="C888" s="2" t="str">
        <v>0</v>
      </c>
      <c r="D888" s="2"/>
      <c r="E888" s="2"/>
      <c r="F888" s="2" t="str">
        <v>0</v>
      </c>
      <c r="G888" s="2"/>
      <c r="I888" s="2" t="str">
        <f ca="1">IFERROR(__xludf.DUMMYFUNCTION("""COMPUTED_VALUE"""),"Hà Minh Nghĩa")</f>
        <v>Hà Minh Nghĩa</v>
      </c>
      <c r="J888" s="3" t="str">
        <f ca="1">IFERROR(__xludf.DUMMYFUNCTION("""COMPUTED_VALUE"""),"0327084657")</f>
        <v>0327084657</v>
      </c>
      <c r="K888" s="2" t="str">
        <f ca="1">IFERROR(__xludf.DUMMYFUNCTION("""COMPUTED_VALUE"""),"1746363389899")</f>
        <v>1746363389899</v>
      </c>
    </row>
    <row r="889" spans="1:11" ht="12.45">
      <c r="A889" s="2" t="str">
        <f ca="1">IFERROR(__xludf.DUMMYFUNCTION("""COMPUTED_VALUE"""),"1746363419937")</f>
        <v>1746363419937</v>
      </c>
      <c r="B889" s="2"/>
      <c r="C889" s="2" t="str">
        <v>0</v>
      </c>
      <c r="D889" s="2"/>
      <c r="E889" s="2"/>
      <c r="F889" s="2" t="str">
        <v>0</v>
      </c>
      <c r="G889" s="2"/>
      <c r="I889" s="2" t="str">
        <f ca="1">IFERROR(__xludf.DUMMYFUNCTION("""COMPUTED_VALUE"""),"Trần mai linh")</f>
        <v>Trần mai linh</v>
      </c>
      <c r="J889" s="3" t="str">
        <f ca="1">IFERROR(__xludf.DUMMYFUNCTION("""COMPUTED_VALUE"""),"0397545156")</f>
        <v>0397545156</v>
      </c>
      <c r="K889" s="2" t="str">
        <f ca="1">IFERROR(__xludf.DUMMYFUNCTION("""COMPUTED_VALUE"""),"1746363419937")</f>
        <v>1746363419937</v>
      </c>
    </row>
    <row r="890" spans="1:11" ht="12.45">
      <c r="A890" s="2" t="str">
        <f ca="1">IFERROR(__xludf.DUMMYFUNCTION("""COMPUTED_VALUE"""),"1746363450757")</f>
        <v>1746363450757</v>
      </c>
      <c r="B890" s="2"/>
      <c r="C890" s="2" t="str">
        <v>0</v>
      </c>
      <c r="D890" s="2"/>
      <c r="E890" s="2"/>
      <c r="F890" s="2" t="str">
        <v>0</v>
      </c>
      <c r="G890" s="2"/>
      <c r="I890" s="2" t="str">
        <f ca="1">IFERROR(__xludf.DUMMYFUNCTION("""COMPUTED_VALUE"""),"Ngô Thúy Nguyên")</f>
        <v>Ngô Thúy Nguyên</v>
      </c>
      <c r="J890" s="3" t="str">
        <f ca="1">IFERROR(__xludf.DUMMYFUNCTION("""COMPUTED_VALUE"""),"0829307623")</f>
        <v>0829307623</v>
      </c>
      <c r="K890" s="2" t="str">
        <f ca="1">IFERROR(__xludf.DUMMYFUNCTION("""COMPUTED_VALUE"""),"1746363450757")</f>
        <v>1746363450757</v>
      </c>
    </row>
    <row r="891" spans="1:11" ht="12.45">
      <c r="A891" s="2" t="str">
        <f ca="1">IFERROR(__xludf.DUMMYFUNCTION("""COMPUTED_VALUE"""),"1746363483616")</f>
        <v>1746363483616</v>
      </c>
      <c r="B891" s="2"/>
      <c r="C891" s="2" t="str">
        <v>0</v>
      </c>
      <c r="D891" s="2"/>
      <c r="E891" s="2"/>
      <c r="F891" s="2" t="str">
        <v>0</v>
      </c>
      <c r="G891" s="2"/>
      <c r="I891" s="2" t="str">
        <f ca="1">IFERROR(__xludf.DUMMYFUNCTION("""COMPUTED_VALUE"""),"Lê Thị Thanh Ngân ")</f>
        <v xml:space="preserve">Lê Thị Thanh Ngân </v>
      </c>
      <c r="J891" s="3" t="str">
        <f ca="1">IFERROR(__xludf.DUMMYFUNCTION("""COMPUTED_VALUE"""),"0326269349")</f>
        <v>0326269349</v>
      </c>
      <c r="K891" s="2" t="str">
        <f ca="1">IFERROR(__xludf.DUMMYFUNCTION("""COMPUTED_VALUE"""),"1746363483616")</f>
        <v>1746363483616</v>
      </c>
    </row>
    <row r="892" spans="1:11" ht="12.45">
      <c r="A892" s="2" t="str">
        <f ca="1">IFERROR(__xludf.DUMMYFUNCTION("""COMPUTED_VALUE"""),"1746363516614")</f>
        <v>1746363516614</v>
      </c>
      <c r="B892" s="2"/>
      <c r="C892" s="2" t="str">
        <v>0</v>
      </c>
      <c r="D892" s="2"/>
      <c r="E892" s="2"/>
      <c r="F892" s="2" t="str">
        <v>0</v>
      </c>
      <c r="G892" s="2"/>
      <c r="I892" s="2" t="str">
        <f ca="1">IFERROR(__xludf.DUMMYFUNCTION("""COMPUTED_VALUE"""),"Hồ Như Quỳnh")</f>
        <v>Hồ Như Quỳnh</v>
      </c>
      <c r="J892" s="3" t="str">
        <f ca="1">IFERROR(__xludf.DUMMYFUNCTION("""COMPUTED_VALUE"""),"0898185080")</f>
        <v>0898185080</v>
      </c>
      <c r="K892" s="2" t="str">
        <f ca="1">IFERROR(__xludf.DUMMYFUNCTION("""COMPUTED_VALUE"""),"1746363516614")</f>
        <v>1746363516614</v>
      </c>
    </row>
    <row r="893" spans="1:11" ht="12.45">
      <c r="A893" s="2" t="str">
        <f ca="1">IFERROR(__xludf.DUMMYFUNCTION("""COMPUTED_VALUE"""),"1746363543154")</f>
        <v>1746363543154</v>
      </c>
      <c r="B893" s="2"/>
      <c r="C893" s="2" t="str">
        <v>0</v>
      </c>
      <c r="D893" s="2"/>
      <c r="E893" s="2"/>
      <c r="F893" s="2" t="str">
        <v>0</v>
      </c>
      <c r="G893" s="2"/>
      <c r="I893" s="2" t="str">
        <f ca="1">IFERROR(__xludf.DUMMYFUNCTION("""COMPUTED_VALUE"""),"Trần Phương Linh")</f>
        <v>Trần Phương Linh</v>
      </c>
      <c r="J893" s="3" t="str">
        <f ca="1">IFERROR(__xludf.DUMMYFUNCTION("""COMPUTED_VALUE"""),"0374793489")</f>
        <v>0374793489</v>
      </c>
      <c r="K893" s="2" t="str">
        <f ca="1">IFERROR(__xludf.DUMMYFUNCTION("""COMPUTED_VALUE"""),"1746363543154")</f>
        <v>1746363543154</v>
      </c>
    </row>
    <row r="894" spans="1:11" ht="12.45">
      <c r="A894" s="2" t="str">
        <f ca="1">IFERROR(__xludf.DUMMYFUNCTION("""COMPUTED_VALUE"""),"1746363574670")</f>
        <v>1746363574670</v>
      </c>
      <c r="B894" s="2"/>
      <c r="C894" s="2" t="str">
        <v>0</v>
      </c>
      <c r="D894" s="2"/>
      <c r="E894" s="2"/>
      <c r="F894" s="2" t="str">
        <v>0</v>
      </c>
      <c r="G894" s="2"/>
      <c r="I894" s="2" t="str">
        <f ca="1">IFERROR(__xludf.DUMMYFUNCTION("""COMPUTED_VALUE"""),"Trần Thị Ngọc Bích")</f>
        <v>Trần Thị Ngọc Bích</v>
      </c>
      <c r="J894" s="3" t="str">
        <f ca="1">IFERROR(__xludf.DUMMYFUNCTION("""COMPUTED_VALUE"""),"0868949015")</f>
        <v>0868949015</v>
      </c>
      <c r="K894" s="2" t="str">
        <f ca="1">IFERROR(__xludf.DUMMYFUNCTION("""COMPUTED_VALUE"""),"1746363574670")</f>
        <v>1746363574670</v>
      </c>
    </row>
    <row r="895" spans="1:11" ht="12.45">
      <c r="A895" s="2" t="str">
        <f ca="1">IFERROR(__xludf.DUMMYFUNCTION("""COMPUTED_VALUE"""),"1746363608883")</f>
        <v>1746363608883</v>
      </c>
      <c r="B895" s="2"/>
      <c r="C895" s="2" t="str">
        <v>0</v>
      </c>
      <c r="D895" s="2"/>
      <c r="E895" s="2"/>
      <c r="F895" s="2" t="str">
        <v>0</v>
      </c>
      <c r="G895" s="2"/>
      <c r="I895" s="2" t="str">
        <f ca="1">IFERROR(__xludf.DUMMYFUNCTION("""COMPUTED_VALUE"""),"Đặng Nguyễn Như Thương ")</f>
        <v xml:space="preserve">Đặng Nguyễn Như Thương </v>
      </c>
      <c r="J895" s="3" t="str">
        <f ca="1">IFERROR(__xludf.DUMMYFUNCTION("""COMPUTED_VALUE"""),"0355132776")</f>
        <v>0355132776</v>
      </c>
      <c r="K895" s="2" t="str">
        <f ca="1">IFERROR(__xludf.DUMMYFUNCTION("""COMPUTED_VALUE"""),"1746363608883")</f>
        <v>1746363608883</v>
      </c>
    </row>
    <row r="896" spans="1:11" ht="12.45">
      <c r="A896" s="2" t="str">
        <f ca="1">IFERROR(__xludf.DUMMYFUNCTION("""COMPUTED_VALUE"""),"1746363640574")</f>
        <v>1746363640574</v>
      </c>
      <c r="B896" s="2"/>
      <c r="C896" s="2" t="str">
        <v>0</v>
      </c>
      <c r="D896" s="2"/>
      <c r="E896" s="2"/>
      <c r="F896" s="2" t="str">
        <v>0</v>
      </c>
      <c r="G896" s="2"/>
      <c r="I896" s="2" t="str">
        <f ca="1">IFERROR(__xludf.DUMMYFUNCTION("""COMPUTED_VALUE"""),"Bùi Thảo Linh")</f>
        <v>Bùi Thảo Linh</v>
      </c>
      <c r="J896" s="3" t="str">
        <f ca="1">IFERROR(__xludf.DUMMYFUNCTION("""COMPUTED_VALUE"""),"0963216850")</f>
        <v>0963216850</v>
      </c>
      <c r="K896" s="2" t="str">
        <f ca="1">IFERROR(__xludf.DUMMYFUNCTION("""COMPUTED_VALUE"""),"1746363640574")</f>
        <v>1746363640574</v>
      </c>
    </row>
    <row r="897" spans="1:11" ht="12.45">
      <c r="A897" s="2" t="str">
        <f ca="1">IFERROR(__xludf.DUMMYFUNCTION("""COMPUTED_VALUE"""),"1746363682112")</f>
        <v>1746363682112</v>
      </c>
      <c r="B897" s="2"/>
      <c r="C897" s="2" t="str">
        <v>0</v>
      </c>
      <c r="D897" s="2"/>
      <c r="E897" s="2"/>
      <c r="F897" s="2" t="str">
        <v>0</v>
      </c>
      <c r="G897" s="2"/>
      <c r="I897" s="2" t="str">
        <f ca="1">IFERROR(__xludf.DUMMYFUNCTION("""COMPUTED_VALUE"""),"Lê Thị Yến Linh")</f>
        <v>Lê Thị Yến Linh</v>
      </c>
      <c r="J897" s="3" t="str">
        <f ca="1">IFERROR(__xludf.DUMMYFUNCTION("""COMPUTED_VALUE"""),"0909792712")</f>
        <v>0909792712</v>
      </c>
      <c r="K897" s="2" t="str">
        <f ca="1">IFERROR(__xludf.DUMMYFUNCTION("""COMPUTED_VALUE"""),"1746363682112")</f>
        <v>1746363682112</v>
      </c>
    </row>
    <row r="898" spans="1:11" ht="12.45">
      <c r="A898" s="2" t="str">
        <f ca="1">IFERROR(__xludf.DUMMYFUNCTION("""COMPUTED_VALUE"""),"1746363738962")</f>
        <v>1746363738962</v>
      </c>
      <c r="B898" s="2"/>
      <c r="C898" s="2" t="str">
        <v>0</v>
      </c>
      <c r="D898" s="2"/>
      <c r="E898" s="2"/>
      <c r="F898" s="2" t="str">
        <v>0</v>
      </c>
      <c r="G898" s="2"/>
      <c r="I898" s="2" t="str">
        <f ca="1">IFERROR(__xludf.DUMMYFUNCTION("""COMPUTED_VALUE"""),"Trần Thị Quỳnh Chi ")</f>
        <v xml:space="preserve">Trần Thị Quỳnh Chi </v>
      </c>
      <c r="J898" s="3" t="str">
        <f ca="1">IFERROR(__xludf.DUMMYFUNCTION("""COMPUTED_VALUE"""),"0794152062")</f>
        <v>0794152062</v>
      </c>
      <c r="K898" s="2" t="str">
        <f ca="1">IFERROR(__xludf.DUMMYFUNCTION("""COMPUTED_VALUE"""),"1746363738962")</f>
        <v>1746363738962</v>
      </c>
    </row>
    <row r="899" spans="1:11" ht="12.45">
      <c r="A899" s="2" t="str">
        <f ca="1">IFERROR(__xludf.DUMMYFUNCTION("""COMPUTED_VALUE"""),"1746363775677")</f>
        <v>1746363775677</v>
      </c>
      <c r="B899" s="2"/>
      <c r="C899" s="2" t="str">
        <v>0</v>
      </c>
      <c r="D899" s="2"/>
      <c r="E899" s="2"/>
      <c r="F899" s="2" t="str">
        <v>0</v>
      </c>
      <c r="G899" s="2"/>
      <c r="I899" s="2" t="str">
        <f ca="1">IFERROR(__xludf.DUMMYFUNCTION("""COMPUTED_VALUE"""),"Hoàng thị kim hoa")</f>
        <v>Hoàng thị kim hoa</v>
      </c>
      <c r="J899" s="3" t="str">
        <f ca="1">IFERROR(__xludf.DUMMYFUNCTION("""COMPUTED_VALUE"""),"0389821398")</f>
        <v>0389821398</v>
      </c>
      <c r="K899" s="2" t="str">
        <f ca="1">IFERROR(__xludf.DUMMYFUNCTION("""COMPUTED_VALUE"""),"1746363775677")</f>
        <v>1746363775677</v>
      </c>
    </row>
    <row r="900" spans="1:11" ht="12.45">
      <c r="A900" s="2" t="str">
        <f ca="1">IFERROR(__xludf.DUMMYFUNCTION("""COMPUTED_VALUE"""),"1746363809200")</f>
        <v>1746363809200</v>
      </c>
      <c r="B900" s="2"/>
      <c r="C900" s="2" t="str">
        <v>0</v>
      </c>
      <c r="D900" s="2"/>
      <c r="E900" s="2"/>
      <c r="F900" s="2" t="str">
        <v>0</v>
      </c>
      <c r="G900" s="2"/>
      <c r="I900" s="2" t="str">
        <f ca="1">IFERROR(__xludf.DUMMYFUNCTION("""COMPUTED_VALUE"""),"Tạ Thị Ngọc Trân")</f>
        <v>Tạ Thị Ngọc Trân</v>
      </c>
      <c r="J900" s="3" t="str">
        <f ca="1">IFERROR(__xludf.DUMMYFUNCTION("""COMPUTED_VALUE"""),"0354489239")</f>
        <v>0354489239</v>
      </c>
      <c r="K900" s="2" t="str">
        <f ca="1">IFERROR(__xludf.DUMMYFUNCTION("""COMPUTED_VALUE"""),"1746363809200")</f>
        <v>1746363809200</v>
      </c>
    </row>
    <row r="901" spans="1:11" ht="12.45">
      <c r="A901" s="2" t="str">
        <f ca="1">IFERROR(__xludf.DUMMYFUNCTION("""COMPUTED_VALUE"""),"1746363839260")</f>
        <v>1746363839260</v>
      </c>
      <c r="B901" s="2"/>
      <c r="C901" s="2" t="str">
        <v>0</v>
      </c>
      <c r="D901" s="2"/>
      <c r="E901" s="2"/>
      <c r="F901" s="2" t="str">
        <v>0</v>
      </c>
      <c r="G901" s="2"/>
      <c r="I901" s="2" t="str">
        <f ca="1">IFERROR(__xludf.DUMMYFUNCTION("""COMPUTED_VALUE"""),"Vũ Minh Nhật")</f>
        <v>Vũ Minh Nhật</v>
      </c>
      <c r="J901" s="3" t="str">
        <f ca="1">IFERROR(__xludf.DUMMYFUNCTION("""COMPUTED_VALUE"""),"0329871270")</f>
        <v>0329871270</v>
      </c>
      <c r="K901" s="2" t="str">
        <f ca="1">IFERROR(__xludf.DUMMYFUNCTION("""COMPUTED_VALUE"""),"1746363839260")</f>
        <v>1746363839260</v>
      </c>
    </row>
    <row r="902" spans="1:11" ht="12.45">
      <c r="A902" s="2" t="str">
        <f ca="1">IFERROR(__xludf.DUMMYFUNCTION("""COMPUTED_VALUE"""),"1732645930087")</f>
        <v>1732645930087</v>
      </c>
      <c r="B902" s="2"/>
      <c r="C902" s="2" t="str">
        <v>0</v>
      </c>
      <c r="D902" s="2"/>
      <c r="E902" s="2"/>
      <c r="F902" s="2" t="str">
        <v>0</v>
      </c>
      <c r="G902" s="2"/>
      <c r="I902" s="2" t="str">
        <f ca="1">IFERROR(__xludf.DUMMYFUNCTION("""COMPUTED_VALUE"""),"Nguyễn Thị Tuyết Nhung")</f>
        <v>Nguyễn Thị Tuyết Nhung</v>
      </c>
      <c r="J902" s="3" t="str">
        <f ca="1">IFERROR(__xludf.DUMMYFUNCTION("""COMPUTED_VALUE"""),"0944677110")</f>
        <v>0944677110</v>
      </c>
      <c r="K902" s="2" t="str">
        <f ca="1">IFERROR(__xludf.DUMMYFUNCTION("""COMPUTED_VALUE"""),"1732645930087")</f>
        <v>1732645930087</v>
      </c>
    </row>
    <row r="903" spans="1:11" ht="12.45">
      <c r="A903" s="2" t="str">
        <f ca="1">IFERROR(__xludf.DUMMYFUNCTION("""COMPUTED_VALUE"""),"1746363872739")</f>
        <v>1746363872739</v>
      </c>
      <c r="B903" s="2"/>
      <c r="C903" s="2" t="str">
        <v>0</v>
      </c>
      <c r="D903" s="2"/>
      <c r="E903" s="2"/>
      <c r="F903" s="2" t="str">
        <v>0</v>
      </c>
      <c r="G903" s="2"/>
      <c r="I903" s="2" t="str">
        <f ca="1">IFERROR(__xludf.DUMMYFUNCTION("""COMPUTED_VALUE"""),"Phạm Thị Thanh Huyền")</f>
        <v>Phạm Thị Thanh Huyền</v>
      </c>
      <c r="J903" s="3" t="str">
        <f ca="1">IFERROR(__xludf.DUMMYFUNCTION("""COMPUTED_VALUE"""),"0368864471")</f>
        <v>0368864471</v>
      </c>
      <c r="K903" s="2" t="str">
        <f ca="1">IFERROR(__xludf.DUMMYFUNCTION("""COMPUTED_VALUE"""),"1746363872739")</f>
        <v>1746363872739</v>
      </c>
    </row>
    <row r="904" spans="1:11" ht="12.45">
      <c r="A904" s="2" t="str">
        <f ca="1">IFERROR(__xludf.DUMMYFUNCTION("""COMPUTED_VALUE"""),"1746363905903")</f>
        <v>1746363905903</v>
      </c>
      <c r="B904" s="2"/>
      <c r="C904" s="2" t="str">
        <v>0</v>
      </c>
      <c r="D904" s="2"/>
      <c r="E904" s="2"/>
      <c r="F904" s="2" t="str">
        <v>0</v>
      </c>
      <c r="G904" s="2"/>
      <c r="I904" s="2" t="str">
        <f ca="1">IFERROR(__xludf.DUMMYFUNCTION("""COMPUTED_VALUE"""),"Nghiêm Thị Mai Phương")</f>
        <v>Nghiêm Thị Mai Phương</v>
      </c>
      <c r="J904" s="3" t="str">
        <f ca="1">IFERROR(__xludf.DUMMYFUNCTION("""COMPUTED_VALUE"""),"0972522321")</f>
        <v>0972522321</v>
      </c>
      <c r="K904" s="2" t="str">
        <f ca="1">IFERROR(__xludf.DUMMYFUNCTION("""COMPUTED_VALUE"""),"1746363905903")</f>
        <v>1746363905903</v>
      </c>
    </row>
    <row r="905" spans="1:11" ht="12.45">
      <c r="A905" s="2" t="str">
        <f ca="1">IFERROR(__xludf.DUMMYFUNCTION("""COMPUTED_VALUE"""),"1746363982794")</f>
        <v>1746363982794</v>
      </c>
      <c r="B905" s="2"/>
      <c r="C905" s="2" t="str">
        <v>0</v>
      </c>
      <c r="D905" s="2"/>
      <c r="E905" s="2"/>
      <c r="F905" s="2" t="str">
        <v>0</v>
      </c>
      <c r="G905" s="2"/>
      <c r="I905" s="2" t="str">
        <f ca="1">IFERROR(__xludf.DUMMYFUNCTION("""COMPUTED_VALUE"""),"Nguyễn Thảo Linh ")</f>
        <v xml:space="preserve">Nguyễn Thảo Linh </v>
      </c>
      <c r="J905" s="3" t="str">
        <f ca="1">IFERROR(__xludf.DUMMYFUNCTION("""COMPUTED_VALUE"""),"0332607312")</f>
        <v>0332607312</v>
      </c>
      <c r="K905" s="2" t="str">
        <f ca="1">IFERROR(__xludf.DUMMYFUNCTION("""COMPUTED_VALUE"""),"1746363982794")</f>
        <v>1746363982794</v>
      </c>
    </row>
    <row r="906" spans="1:11" ht="12.45">
      <c r="A906" s="2" t="str">
        <f ca="1">IFERROR(__xludf.DUMMYFUNCTION("""COMPUTED_VALUE"""),"1746364032849")</f>
        <v>1746364032849</v>
      </c>
      <c r="B906" s="2"/>
      <c r="C906" s="2" t="str">
        <v>0</v>
      </c>
      <c r="D906" s="2"/>
      <c r="E906" s="2"/>
      <c r="F906" s="2" t="str">
        <v>0</v>
      </c>
      <c r="G906" s="2"/>
      <c r="I906" s="2" t="str">
        <f ca="1">IFERROR(__xludf.DUMMYFUNCTION("""COMPUTED_VALUE"""),"PHẠM PHƯƠNG LOAN")</f>
        <v>PHẠM PHƯƠNG LOAN</v>
      </c>
      <c r="J906" s="3" t="str">
        <f ca="1">IFERROR(__xludf.DUMMYFUNCTION("""COMPUTED_VALUE"""),"0867969427")</f>
        <v>0867969427</v>
      </c>
      <c r="K906" s="2" t="str">
        <f ca="1">IFERROR(__xludf.DUMMYFUNCTION("""COMPUTED_VALUE"""),"1746364032849")</f>
        <v>1746364032849</v>
      </c>
    </row>
    <row r="907" spans="1:11" ht="12.45">
      <c r="A907" s="2" t="str">
        <f ca="1">IFERROR(__xludf.DUMMYFUNCTION("""COMPUTED_VALUE"""),"1746364061152")</f>
        <v>1746364061152</v>
      </c>
      <c r="B907" s="2"/>
      <c r="C907" s="2" t="str">
        <v>0</v>
      </c>
      <c r="D907" s="2"/>
      <c r="E907" s="2"/>
      <c r="F907" s="2" t="str">
        <v>0</v>
      </c>
      <c r="G907" s="2"/>
      <c r="I907" s="2" t="str">
        <f ca="1">IFERROR(__xludf.DUMMYFUNCTION("""COMPUTED_VALUE"""),"Lê Đặng Thanh Vy")</f>
        <v>Lê Đặng Thanh Vy</v>
      </c>
      <c r="J907" s="3" t="str">
        <f ca="1">IFERROR(__xludf.DUMMYFUNCTION("""COMPUTED_VALUE"""),"0383247470")</f>
        <v>0383247470</v>
      </c>
      <c r="K907" s="2" t="str">
        <f ca="1">IFERROR(__xludf.DUMMYFUNCTION("""COMPUTED_VALUE"""),"1746364061152")</f>
        <v>1746364061152</v>
      </c>
    </row>
    <row r="908" spans="1:11" ht="12.45">
      <c r="A908" s="2" t="str">
        <f ca="1">IFERROR(__xludf.DUMMYFUNCTION("""COMPUTED_VALUE"""),"1746364089705")</f>
        <v>1746364089705</v>
      </c>
      <c r="B908" s="2"/>
      <c r="C908" s="2" t="str">
        <v>0</v>
      </c>
      <c r="D908" s="2"/>
      <c r="E908" s="2"/>
      <c r="F908" s="2" t="str">
        <v>0</v>
      </c>
      <c r="G908" s="2"/>
      <c r="I908" s="2" t="str">
        <f ca="1">IFERROR(__xludf.DUMMYFUNCTION("""COMPUTED_VALUE"""),"Võ Trương Xuân Huyền ")</f>
        <v xml:space="preserve">Võ Trương Xuân Huyền </v>
      </c>
      <c r="J908" s="3" t="str">
        <f ca="1">IFERROR(__xludf.DUMMYFUNCTION("""COMPUTED_VALUE"""),"0813375060")</f>
        <v>0813375060</v>
      </c>
      <c r="K908" s="2" t="str">
        <f ca="1">IFERROR(__xludf.DUMMYFUNCTION("""COMPUTED_VALUE"""),"1746364089705")</f>
        <v>1746364089705</v>
      </c>
    </row>
    <row r="909" spans="1:11" ht="12.45">
      <c r="A909" s="2" t="str">
        <f ca="1">IFERROR(__xludf.DUMMYFUNCTION("""COMPUTED_VALUE"""),"1747177979981")</f>
        <v>1747177979981</v>
      </c>
      <c r="B909" s="2"/>
      <c r="C909" s="2" t="str">
        <v>0</v>
      </c>
      <c r="D909" s="2"/>
      <c r="E909" s="2"/>
      <c r="F909" s="2" t="str">
        <v>0</v>
      </c>
      <c r="G909" s="2"/>
      <c r="I909" s="2" t="str">
        <f ca="1">IFERROR(__xludf.DUMMYFUNCTION("""COMPUTED_VALUE"""),"Trương Thị Trà My ")</f>
        <v xml:space="preserve">Trương Thị Trà My </v>
      </c>
      <c r="J909" s="3" t="str">
        <f ca="1">IFERROR(__xludf.DUMMYFUNCTION("""COMPUTED_VALUE"""),"0373372533")</f>
        <v>0373372533</v>
      </c>
      <c r="K909" s="2" t="str">
        <f ca="1">IFERROR(__xludf.DUMMYFUNCTION("""COMPUTED_VALUE"""),"1747177979981")</f>
        <v>1747177979981</v>
      </c>
    </row>
    <row r="910" spans="1:11" ht="12.45">
      <c r="A910" s="2" t="str">
        <f ca="1">IFERROR(__xludf.DUMMYFUNCTION("""COMPUTED_VALUE"""),"1747178016717")</f>
        <v>1747178016717</v>
      </c>
      <c r="B910" s="2"/>
      <c r="C910" s="2" t="str">
        <v>0</v>
      </c>
      <c r="D910" s="2"/>
      <c r="E910" s="2"/>
      <c r="F910" s="2" t="str">
        <v>0</v>
      </c>
      <c r="G910" s="2"/>
      <c r="I910" s="2" t="str">
        <f ca="1">IFERROR(__xludf.DUMMYFUNCTION("""COMPUTED_VALUE"""),"Nguyễn Thị Thanh Miền")</f>
        <v>Nguyễn Thị Thanh Miền</v>
      </c>
      <c r="J910" s="3" t="str">
        <f ca="1">IFERROR(__xludf.DUMMYFUNCTION("""COMPUTED_VALUE"""),"0708550839")</f>
        <v>0708550839</v>
      </c>
      <c r="K910" s="2" t="str">
        <f ca="1">IFERROR(__xludf.DUMMYFUNCTION("""COMPUTED_VALUE"""),"1747178016717")</f>
        <v>1747178016717</v>
      </c>
    </row>
    <row r="911" spans="1:11" ht="12.45">
      <c r="A911" s="2" t="str">
        <f ca="1">IFERROR(__xludf.DUMMYFUNCTION("""COMPUTED_VALUE"""),"1747178052238")</f>
        <v>1747178052238</v>
      </c>
      <c r="B911" s="2"/>
      <c r="C911" s="2" t="str">
        <v>0</v>
      </c>
      <c r="D911" s="2"/>
      <c r="E911" s="2"/>
      <c r="F911" s="2" t="str">
        <v>0</v>
      </c>
      <c r="G911" s="2"/>
      <c r="I911" s="2" t="str">
        <f ca="1">IFERROR(__xludf.DUMMYFUNCTION("""COMPUTED_VALUE"""),"Nguyễn Thị Minh Thúy")</f>
        <v>Nguyễn Thị Minh Thúy</v>
      </c>
      <c r="J911" s="3" t="str">
        <f ca="1">IFERROR(__xludf.DUMMYFUNCTION("""COMPUTED_VALUE"""),"0867937347")</f>
        <v>0867937347</v>
      </c>
      <c r="K911" s="2" t="str">
        <f ca="1">IFERROR(__xludf.DUMMYFUNCTION("""COMPUTED_VALUE"""),"1747178052238")</f>
        <v>1747178052238</v>
      </c>
    </row>
    <row r="912" spans="1:11" ht="12.45">
      <c r="A912" s="2" t="str">
        <f ca="1">IFERROR(__xludf.DUMMYFUNCTION("""COMPUTED_VALUE"""),"1747178085030")</f>
        <v>1747178085030</v>
      </c>
      <c r="B912" s="2"/>
      <c r="C912" s="2" t="str">
        <v>0</v>
      </c>
      <c r="D912" s="2"/>
      <c r="E912" s="2"/>
      <c r="F912" s="2" t="str">
        <v>0</v>
      </c>
      <c r="G912" s="2"/>
      <c r="I912" s="2" t="str">
        <f ca="1">IFERROR(__xludf.DUMMYFUNCTION("""COMPUTED_VALUE"""),"Minh Thư")</f>
        <v>Minh Thư</v>
      </c>
      <c r="J912" s="3" t="str">
        <f ca="1">IFERROR(__xludf.DUMMYFUNCTION("""COMPUTED_VALUE"""),"0379789652")</f>
        <v>0379789652</v>
      </c>
      <c r="K912" s="2" t="str">
        <f ca="1">IFERROR(__xludf.DUMMYFUNCTION("""COMPUTED_VALUE"""),"1747178085030")</f>
        <v>1747178085030</v>
      </c>
    </row>
    <row r="913" spans="1:11" ht="12.45">
      <c r="A913" s="2" t="str">
        <f ca="1">IFERROR(__xludf.DUMMYFUNCTION("""COMPUTED_VALUE"""),"1747178122032")</f>
        <v>1747178122032</v>
      </c>
      <c r="B913" s="2"/>
      <c r="C913" s="2" t="str">
        <v>0</v>
      </c>
      <c r="D913" s="2"/>
      <c r="E913" s="2"/>
      <c r="F913" s="2" t="str">
        <v>0</v>
      </c>
      <c r="G913" s="2"/>
      <c r="I913" s="2" t="str">
        <f ca="1">IFERROR(__xludf.DUMMYFUNCTION("""COMPUTED_VALUE"""),"Đào Thị Tuyết Như ")</f>
        <v xml:space="preserve">Đào Thị Tuyết Như </v>
      </c>
      <c r="J913" s="2" t="str">
        <f ca="1">IFERROR(__xludf.DUMMYFUNCTION("""COMPUTED_VALUE"""),"08486658785")</f>
        <v>08486658785</v>
      </c>
      <c r="K913" s="2" t="str">
        <f ca="1">IFERROR(__xludf.DUMMYFUNCTION("""COMPUTED_VALUE"""),"1747178122032")</f>
        <v>1747178122032</v>
      </c>
    </row>
    <row r="914" spans="1:11" ht="12.45">
      <c r="A914" s="2" t="str">
        <f ca="1">IFERROR(__xludf.DUMMYFUNCTION("""COMPUTED_VALUE"""),"1747178156696")</f>
        <v>1747178156696</v>
      </c>
      <c r="B914" s="2"/>
      <c r="C914" s="2" t="str">
        <v>0</v>
      </c>
      <c r="D914" s="2"/>
      <c r="E914" s="2"/>
      <c r="F914" s="2" t="str">
        <v>0</v>
      </c>
      <c r="G914" s="2"/>
      <c r="I914" s="2" t="str">
        <f ca="1">IFERROR(__xludf.DUMMYFUNCTION("""COMPUTED_VALUE"""),"Nguyễn Thị Ngọc Muội ")</f>
        <v xml:space="preserve">Nguyễn Thị Ngọc Muội </v>
      </c>
      <c r="J914" s="3" t="str">
        <f ca="1">IFERROR(__xludf.DUMMYFUNCTION("""COMPUTED_VALUE"""),"0772823018")</f>
        <v>0772823018</v>
      </c>
      <c r="K914" s="2" t="str">
        <f ca="1">IFERROR(__xludf.DUMMYFUNCTION("""COMPUTED_VALUE"""),"1747178156696")</f>
        <v>1747178156696</v>
      </c>
    </row>
    <row r="915" spans="1:11" ht="12.45">
      <c r="A915" s="2" t="str">
        <f ca="1">IFERROR(__xludf.DUMMYFUNCTION("""COMPUTED_VALUE"""),"1747178190615")</f>
        <v>1747178190615</v>
      </c>
      <c r="B915" s="2"/>
      <c r="C915" s="2" t="str">
        <v>0</v>
      </c>
      <c r="D915" s="2"/>
      <c r="E915" s="2"/>
      <c r="F915" s="2" t="str">
        <v>0</v>
      </c>
      <c r="G915" s="2"/>
      <c r="I915" s="2" t="str">
        <f ca="1">IFERROR(__xludf.DUMMYFUNCTION("""COMPUTED_VALUE"""),"Nguyễn Hoàng Việt")</f>
        <v>Nguyễn Hoàng Việt</v>
      </c>
      <c r="J915" s="3" t="str">
        <f ca="1">IFERROR(__xludf.DUMMYFUNCTION("""COMPUTED_VALUE"""),"0364054704")</f>
        <v>0364054704</v>
      </c>
      <c r="K915" s="2" t="str">
        <f ca="1">IFERROR(__xludf.DUMMYFUNCTION("""COMPUTED_VALUE"""),"1747178190615")</f>
        <v>1747178190615</v>
      </c>
    </row>
    <row r="916" spans="1:11" ht="12.45">
      <c r="A916" s="2" t="str">
        <f ca="1">IFERROR(__xludf.DUMMYFUNCTION("""COMPUTED_VALUE"""),"1747178223183")</f>
        <v>1747178223183</v>
      </c>
      <c r="B916" s="2"/>
      <c r="C916" s="2" t="str">
        <v>0</v>
      </c>
      <c r="D916" s="2"/>
      <c r="E916" s="2"/>
      <c r="F916" s="2" t="str">
        <v>0</v>
      </c>
      <c r="G916" s="2"/>
      <c r="I916" s="2" t="str">
        <f ca="1">IFERROR(__xludf.DUMMYFUNCTION("""COMPUTED_VALUE"""),"Ngô Thị Ngọc Trân")</f>
        <v>Ngô Thị Ngọc Trân</v>
      </c>
      <c r="J916" s="3" t="str">
        <f ca="1">IFERROR(__xludf.DUMMYFUNCTION("""COMPUTED_VALUE"""),"0362787951")</f>
        <v>0362787951</v>
      </c>
      <c r="K916" s="2" t="str">
        <f ca="1">IFERROR(__xludf.DUMMYFUNCTION("""COMPUTED_VALUE"""),"1747178223183")</f>
        <v>1747178223183</v>
      </c>
    </row>
    <row r="917" spans="1:11" ht="12.45">
      <c r="A917" s="2" t="str">
        <f ca="1">IFERROR(__xludf.DUMMYFUNCTION("""COMPUTED_VALUE"""),"1747178261706")</f>
        <v>1747178261706</v>
      </c>
      <c r="B917" s="2"/>
      <c r="C917" s="2" t="str">
        <v>0</v>
      </c>
      <c r="D917" s="2"/>
      <c r="E917" s="2"/>
      <c r="F917" s="2" t="str">
        <v>0</v>
      </c>
      <c r="G917" s="2"/>
      <c r="I917" s="2" t="str">
        <f ca="1">IFERROR(__xludf.DUMMYFUNCTION("""COMPUTED_VALUE"""),"Trịnh Dương Hòa ")</f>
        <v xml:space="preserve">Trịnh Dương Hòa </v>
      </c>
      <c r="J917" s="3" t="str">
        <f ca="1">IFERROR(__xludf.DUMMYFUNCTION("""COMPUTED_VALUE"""),"0394515720")</f>
        <v>0394515720</v>
      </c>
      <c r="K917" s="2" t="str">
        <f ca="1">IFERROR(__xludf.DUMMYFUNCTION("""COMPUTED_VALUE"""),"1747178261706")</f>
        <v>1747178261706</v>
      </c>
    </row>
    <row r="918" spans="1:11" ht="12.45">
      <c r="A918" s="2" t="str">
        <f ca="1">IFERROR(__xludf.DUMMYFUNCTION("""COMPUTED_VALUE"""),"1747178288836")</f>
        <v>1747178288836</v>
      </c>
      <c r="B918" s="2"/>
      <c r="C918" s="2" t="str">
        <v>0</v>
      </c>
      <c r="D918" s="2"/>
      <c r="E918" s="2"/>
      <c r="F918" s="2" t="str">
        <v>0</v>
      </c>
      <c r="G918" s="2"/>
      <c r="I918" s="2" t="str">
        <f ca="1">IFERROR(__xludf.DUMMYFUNCTION("""COMPUTED_VALUE"""),"Phan Thanh Huyền ")</f>
        <v xml:space="preserve">Phan Thanh Huyền </v>
      </c>
      <c r="J918" s="3" t="str">
        <f ca="1">IFERROR(__xludf.DUMMYFUNCTION("""COMPUTED_VALUE"""),"0334299731")</f>
        <v>0334299731</v>
      </c>
      <c r="K918" s="2" t="str">
        <f ca="1">IFERROR(__xludf.DUMMYFUNCTION("""COMPUTED_VALUE"""),"1747178288836")</f>
        <v>1747178288836</v>
      </c>
    </row>
    <row r="919" spans="1:11" ht="12.45">
      <c r="A919" s="2" t="str">
        <f ca="1">IFERROR(__xludf.DUMMYFUNCTION("""COMPUTED_VALUE"""),"1747178331697")</f>
        <v>1747178331697</v>
      </c>
      <c r="B919" s="2"/>
      <c r="C919" s="2" t="str">
        <v>0</v>
      </c>
      <c r="D919" s="2"/>
      <c r="E919" s="2"/>
      <c r="F919" s="2" t="str">
        <v>0</v>
      </c>
      <c r="G919" s="2"/>
      <c r="I919" s="2" t="str">
        <f ca="1">IFERROR(__xludf.DUMMYFUNCTION("""COMPUTED_VALUE"""),"Lê Thị Khánh Linh ")</f>
        <v xml:space="preserve">Lê Thị Khánh Linh </v>
      </c>
      <c r="J919" s="3" t="str">
        <f ca="1">IFERROR(__xludf.DUMMYFUNCTION("""COMPUTED_VALUE"""),"0387983446")</f>
        <v>0387983446</v>
      </c>
      <c r="K919" s="2" t="str">
        <f ca="1">IFERROR(__xludf.DUMMYFUNCTION("""COMPUTED_VALUE"""),"1747178331697")</f>
        <v>1747178331697</v>
      </c>
    </row>
    <row r="920" spans="1:11" ht="12.45">
      <c r="A920" s="2" t="str">
        <f ca="1">IFERROR(__xludf.DUMMYFUNCTION("""COMPUTED_VALUE"""),"1747178372533")</f>
        <v>1747178372533</v>
      </c>
      <c r="B920" s="2"/>
      <c r="C920" s="2" t="str">
        <v>0</v>
      </c>
      <c r="D920" s="2"/>
      <c r="E920" s="2"/>
      <c r="F920" s="2" t="str">
        <v>0</v>
      </c>
      <c r="G920" s="2"/>
      <c r="I920" s="2" t="str">
        <f ca="1">IFERROR(__xludf.DUMMYFUNCTION("""COMPUTED_VALUE"""),"Trần Thanh Hương")</f>
        <v>Trần Thanh Hương</v>
      </c>
      <c r="J920" s="3" t="str">
        <f ca="1">IFERROR(__xludf.DUMMYFUNCTION("""COMPUTED_VALUE"""),"0876305506")</f>
        <v>0876305506</v>
      </c>
      <c r="K920" s="2" t="str">
        <f ca="1">IFERROR(__xludf.DUMMYFUNCTION("""COMPUTED_VALUE"""),"1747178372533")</f>
        <v>1747178372533</v>
      </c>
    </row>
    <row r="921" spans="1:11" ht="12.45">
      <c r="A921" s="2" t="str">
        <f ca="1">IFERROR(__xludf.DUMMYFUNCTION("""COMPUTED_VALUE"""),"1747178411047")</f>
        <v>1747178411047</v>
      </c>
      <c r="B921" s="2"/>
      <c r="C921" s="2" t="str">
        <v>0</v>
      </c>
      <c r="D921" s="2"/>
      <c r="E921" s="2"/>
      <c r="F921" s="2" t="str">
        <v>0</v>
      </c>
      <c r="G921" s="2"/>
      <c r="I921" s="2" t="str">
        <f ca="1">IFERROR(__xludf.DUMMYFUNCTION("""COMPUTED_VALUE"""),"Lê Thanh Trúc")</f>
        <v>Lê Thanh Trúc</v>
      </c>
      <c r="J921" s="3" t="str">
        <f ca="1">IFERROR(__xludf.DUMMYFUNCTION("""COMPUTED_VALUE"""),"0394737603")</f>
        <v>0394737603</v>
      </c>
      <c r="K921" s="2" t="str">
        <f ca="1">IFERROR(__xludf.DUMMYFUNCTION("""COMPUTED_VALUE"""),"1747178411047")</f>
        <v>1747178411047</v>
      </c>
    </row>
    <row r="922" spans="1:11" ht="12.45">
      <c r="A922" s="2" t="str">
        <f ca="1">IFERROR(__xludf.DUMMYFUNCTION("""COMPUTED_VALUE"""),"1747178451074")</f>
        <v>1747178451074</v>
      </c>
      <c r="B922" s="2"/>
      <c r="C922" s="2" t="str">
        <v>0</v>
      </c>
      <c r="D922" s="2"/>
      <c r="E922" s="2"/>
      <c r="F922" s="2" t="str">
        <v>0</v>
      </c>
      <c r="G922" s="2"/>
      <c r="I922" s="2" t="str">
        <f ca="1">IFERROR(__xludf.DUMMYFUNCTION("""COMPUTED_VALUE"""),"Đinh Ngọc Trâm Anh")</f>
        <v>Đinh Ngọc Trâm Anh</v>
      </c>
      <c r="J922" s="3" t="str">
        <f ca="1">IFERROR(__xludf.DUMMYFUNCTION("""COMPUTED_VALUE"""),"0362418536")</f>
        <v>0362418536</v>
      </c>
      <c r="K922" s="2" t="str">
        <f ca="1">IFERROR(__xludf.DUMMYFUNCTION("""COMPUTED_VALUE"""),"1747178451074")</f>
        <v>1747178451074</v>
      </c>
    </row>
    <row r="923" spans="1:11" ht="12.45">
      <c r="A923" s="2" t="str">
        <f ca="1">IFERROR(__xludf.DUMMYFUNCTION("""COMPUTED_VALUE"""),"1747178481150")</f>
        <v>1747178481150</v>
      </c>
      <c r="B923" s="2"/>
      <c r="C923" s="2" t="str">
        <v>0</v>
      </c>
      <c r="D923" s="2"/>
      <c r="E923" s="2"/>
      <c r="F923" s="2" t="str">
        <v>0</v>
      </c>
      <c r="G923" s="2"/>
      <c r="I923" s="2" t="str">
        <f ca="1">IFERROR(__xludf.DUMMYFUNCTION("""COMPUTED_VALUE"""),"Lê Xuân Ánh Dương")</f>
        <v>Lê Xuân Ánh Dương</v>
      </c>
      <c r="J923" s="3" t="str">
        <f ca="1">IFERROR(__xludf.DUMMYFUNCTION("""COMPUTED_VALUE"""),"0965667519")</f>
        <v>0965667519</v>
      </c>
      <c r="K923" s="2" t="str">
        <f ca="1">IFERROR(__xludf.DUMMYFUNCTION("""COMPUTED_VALUE"""),"1747178481150")</f>
        <v>1747178481150</v>
      </c>
    </row>
    <row r="924" spans="1:11" ht="12.45">
      <c r="A924" s="2" t="str">
        <f ca="1">IFERROR(__xludf.DUMMYFUNCTION("""COMPUTED_VALUE"""),"1747178537684")</f>
        <v>1747178537684</v>
      </c>
      <c r="B924" s="2"/>
      <c r="C924" s="2" t="str">
        <v>0</v>
      </c>
      <c r="D924" s="2"/>
      <c r="E924" s="2"/>
      <c r="F924" s="2" t="str">
        <v>0</v>
      </c>
      <c r="G924" s="2"/>
      <c r="I924" s="2" t="str">
        <f ca="1">IFERROR(__xludf.DUMMYFUNCTION("""COMPUTED_VALUE"""),"Đặng Trần Thanh Tuyền")</f>
        <v>Đặng Trần Thanh Tuyền</v>
      </c>
      <c r="J924" s="3" t="str">
        <f ca="1">IFERROR(__xludf.DUMMYFUNCTION("""COMPUTED_VALUE"""),"0385980915")</f>
        <v>0385980915</v>
      </c>
      <c r="K924" s="2" t="str">
        <f ca="1">IFERROR(__xludf.DUMMYFUNCTION("""COMPUTED_VALUE"""),"1747178537684")</f>
        <v>1747178537684</v>
      </c>
    </row>
    <row r="925" spans="1:11" ht="12.45">
      <c r="A925" s="2" t="str">
        <f ca="1">IFERROR(__xludf.DUMMYFUNCTION("""COMPUTED_VALUE"""),"1747178571745")</f>
        <v>1747178571745</v>
      </c>
      <c r="B925" s="2"/>
      <c r="C925" s="2" t="str">
        <v>0</v>
      </c>
      <c r="D925" s="2"/>
      <c r="E925" s="2"/>
      <c r="F925" s="2" t="str">
        <v>0</v>
      </c>
      <c r="G925" s="2"/>
      <c r="I925" s="2" t="str">
        <f ca="1">IFERROR(__xludf.DUMMYFUNCTION("""COMPUTED_VALUE"""),"Đỗ Huỳnh Như Ý ")</f>
        <v xml:space="preserve">Đỗ Huỳnh Như Ý </v>
      </c>
      <c r="J925" s="3" t="str">
        <f ca="1">IFERROR(__xludf.DUMMYFUNCTION("""COMPUTED_VALUE"""),"0865134596")</f>
        <v>0865134596</v>
      </c>
      <c r="K925" s="2" t="str">
        <f ca="1">IFERROR(__xludf.DUMMYFUNCTION("""COMPUTED_VALUE"""),"1747178571745")</f>
        <v>1747178571745</v>
      </c>
    </row>
    <row r="926" spans="1:11" ht="12.45">
      <c r="A926" s="2" t="str">
        <f ca="1">IFERROR(__xludf.DUMMYFUNCTION("""COMPUTED_VALUE"""),"1747178605361")</f>
        <v>1747178605361</v>
      </c>
      <c r="B926" s="2"/>
      <c r="C926" s="2" t="str">
        <v>0</v>
      </c>
      <c r="D926" s="2"/>
      <c r="E926" s="2"/>
      <c r="F926" s="2" t="str">
        <v>0</v>
      </c>
      <c r="G926" s="2"/>
      <c r="I926" s="2" t="str">
        <f ca="1">IFERROR(__xludf.DUMMYFUNCTION("""COMPUTED_VALUE"""),"Nguyễn Khánh Quyên")</f>
        <v>Nguyễn Khánh Quyên</v>
      </c>
      <c r="J926" s="3" t="str">
        <f ca="1">IFERROR(__xludf.DUMMYFUNCTION("""COMPUTED_VALUE"""),"0336804016")</f>
        <v>0336804016</v>
      </c>
      <c r="K926" s="2" t="str">
        <f ca="1">IFERROR(__xludf.DUMMYFUNCTION("""COMPUTED_VALUE"""),"1747178605361")</f>
        <v>1747178605361</v>
      </c>
    </row>
    <row r="927" spans="1:11" ht="12.45">
      <c r="A927" s="2" t="str">
        <f ca="1">IFERROR(__xludf.DUMMYFUNCTION("""COMPUTED_VALUE"""),"1747178632782")</f>
        <v>1747178632782</v>
      </c>
      <c r="B927" s="2"/>
      <c r="C927" s="2" t="str">
        <v>0</v>
      </c>
      <c r="D927" s="2"/>
      <c r="E927" s="2"/>
      <c r="F927" s="2" t="str">
        <v>0</v>
      </c>
      <c r="G927" s="2"/>
      <c r="I927" s="2" t="str">
        <f ca="1">IFERROR(__xludf.DUMMYFUNCTION("""COMPUTED_VALUE"""),"Nguyễn Duy Khánh")</f>
        <v>Nguyễn Duy Khánh</v>
      </c>
      <c r="J927" s="3" t="str">
        <f ca="1">IFERROR(__xludf.DUMMYFUNCTION("""COMPUTED_VALUE"""),"0334585444")</f>
        <v>0334585444</v>
      </c>
      <c r="K927" s="2" t="str">
        <f ca="1">IFERROR(__xludf.DUMMYFUNCTION("""COMPUTED_VALUE"""),"1747178632782")</f>
        <v>1747178632782</v>
      </c>
    </row>
    <row r="928" spans="1:11" ht="12.45">
      <c r="A928" s="2" t="str">
        <f ca="1">IFERROR(__xludf.DUMMYFUNCTION("""COMPUTED_VALUE"""),"1747178671838")</f>
        <v>1747178671838</v>
      </c>
      <c r="B928" s="2"/>
      <c r="C928" s="2" t="str">
        <v>0</v>
      </c>
      <c r="D928" s="2"/>
      <c r="E928" s="2"/>
      <c r="F928" s="2" t="str">
        <v>0</v>
      </c>
      <c r="G928" s="2"/>
      <c r="I928" s="2" t="str">
        <f ca="1">IFERROR(__xludf.DUMMYFUNCTION("""COMPUTED_VALUE"""),"Nguyễn Thị Hồng Phương ")</f>
        <v xml:space="preserve">Nguyễn Thị Hồng Phương </v>
      </c>
      <c r="J928" s="3" t="str">
        <f ca="1">IFERROR(__xludf.DUMMYFUNCTION("""COMPUTED_VALUE"""),"0344298242")</f>
        <v>0344298242</v>
      </c>
      <c r="K928" s="2" t="str">
        <f ca="1">IFERROR(__xludf.DUMMYFUNCTION("""COMPUTED_VALUE"""),"1747178671838")</f>
        <v>1747178671838</v>
      </c>
    </row>
    <row r="929" spans="1:11" ht="12.45">
      <c r="A929" s="2" t="str">
        <f ca="1">IFERROR(__xludf.DUMMYFUNCTION("""COMPUTED_VALUE"""),"1747178706772")</f>
        <v>1747178706772</v>
      </c>
      <c r="B929" s="2"/>
      <c r="C929" s="2" t="str">
        <v>0</v>
      </c>
      <c r="D929" s="2"/>
      <c r="E929" s="2"/>
      <c r="F929" s="2" t="str">
        <v>0</v>
      </c>
      <c r="G929" s="2"/>
      <c r="I929" s="2" t="str">
        <f ca="1">IFERROR(__xludf.DUMMYFUNCTION("""COMPUTED_VALUE"""),"Dương Thị Yến Chi")</f>
        <v>Dương Thị Yến Chi</v>
      </c>
      <c r="J929" s="3" t="str">
        <f ca="1">IFERROR(__xludf.DUMMYFUNCTION("""COMPUTED_VALUE"""),"0827353824")</f>
        <v>0827353824</v>
      </c>
      <c r="K929" s="2" t="str">
        <f ca="1">IFERROR(__xludf.DUMMYFUNCTION("""COMPUTED_VALUE"""),"1747178706772")</f>
        <v>1747178706772</v>
      </c>
    </row>
    <row r="930" spans="1:11" ht="12.45">
      <c r="A930" s="2" t="str">
        <f ca="1">IFERROR(__xludf.DUMMYFUNCTION("""COMPUTED_VALUE"""),"1747178740463")</f>
        <v>1747178740463</v>
      </c>
      <c r="B930" s="2"/>
      <c r="C930" s="2" t="str">
        <v>0</v>
      </c>
      <c r="D930" s="2"/>
      <c r="E930" s="2"/>
      <c r="F930" s="2" t="str">
        <v>0</v>
      </c>
      <c r="G930" s="2"/>
      <c r="I930" s="2" t="str">
        <f ca="1">IFERROR(__xludf.DUMMYFUNCTION("""COMPUTED_VALUE"""),"Trần Thị Thanh Huyền")</f>
        <v>Trần Thị Thanh Huyền</v>
      </c>
      <c r="J930" s="3" t="str">
        <f ca="1">IFERROR(__xludf.DUMMYFUNCTION("""COMPUTED_VALUE"""),"0962780062")</f>
        <v>0962780062</v>
      </c>
      <c r="K930" s="2" t="str">
        <f ca="1">IFERROR(__xludf.DUMMYFUNCTION("""COMPUTED_VALUE"""),"1747178740463")</f>
        <v>1747178740463</v>
      </c>
    </row>
    <row r="931" spans="1:11" ht="12.45">
      <c r="A931" s="2" t="str">
        <f ca="1">IFERROR(__xludf.DUMMYFUNCTION("""COMPUTED_VALUE"""),"1747178774879")</f>
        <v>1747178774879</v>
      </c>
      <c r="B931" s="2"/>
      <c r="C931" s="2" t="str">
        <v>0</v>
      </c>
      <c r="D931" s="2"/>
      <c r="E931" s="2"/>
      <c r="F931" s="2" t="str">
        <v>0</v>
      </c>
      <c r="G931" s="2"/>
      <c r="I931" s="2" t="str">
        <f ca="1">IFERROR(__xludf.DUMMYFUNCTION("""COMPUTED_VALUE"""),"Trần Thảo Hương")</f>
        <v>Trần Thảo Hương</v>
      </c>
      <c r="J931" s="3" t="str">
        <f ca="1">IFERROR(__xludf.DUMMYFUNCTION("""COMPUTED_VALUE"""),"0347837622")</f>
        <v>0347837622</v>
      </c>
      <c r="K931" s="2" t="str">
        <f ca="1">IFERROR(__xludf.DUMMYFUNCTION("""COMPUTED_VALUE"""),"1747178774879")</f>
        <v>1747178774879</v>
      </c>
    </row>
    <row r="932" spans="1:11" ht="12.45">
      <c r="A932" s="2" t="str">
        <f ca="1">IFERROR(__xludf.DUMMYFUNCTION("""COMPUTED_VALUE"""),"1747178800456")</f>
        <v>1747178800456</v>
      </c>
      <c r="B932" s="2"/>
      <c r="C932" s="2" t="str">
        <v>0</v>
      </c>
      <c r="D932" s="2"/>
      <c r="E932" s="2"/>
      <c r="F932" s="2" t="str">
        <v>0</v>
      </c>
      <c r="G932" s="2"/>
      <c r="I932" s="2" t="str">
        <f ca="1">IFERROR(__xludf.DUMMYFUNCTION("""COMPUTED_VALUE"""),"ĐÀO THANH LOAN")</f>
        <v>ĐÀO THANH LOAN</v>
      </c>
      <c r="J932" s="3" t="str">
        <f ca="1">IFERROR(__xludf.DUMMYFUNCTION("""COMPUTED_VALUE"""),"0988989636")</f>
        <v>0988989636</v>
      </c>
      <c r="K932" s="2" t="str">
        <f ca="1">IFERROR(__xludf.DUMMYFUNCTION("""COMPUTED_VALUE"""),"1747178800456")</f>
        <v>1747178800456</v>
      </c>
    </row>
    <row r="933" spans="1:11" ht="12.45">
      <c r="A933" s="2" t="str">
        <f ca="1">IFERROR(__xludf.DUMMYFUNCTION("""COMPUTED_VALUE"""),"1747178831009")</f>
        <v>1747178831009</v>
      </c>
      <c r="B933" s="2"/>
      <c r="C933" s="2" t="str">
        <v>0</v>
      </c>
      <c r="D933" s="2"/>
      <c r="E933" s="2"/>
      <c r="F933" s="2" t="str">
        <v>0</v>
      </c>
      <c r="G933" s="2"/>
      <c r="I933" s="2" t="str">
        <f ca="1">IFERROR(__xludf.DUMMYFUNCTION("""COMPUTED_VALUE"""),"Nguyễn Kim Anh ")</f>
        <v xml:space="preserve">Nguyễn Kim Anh </v>
      </c>
      <c r="J933" s="3" t="str">
        <f ca="1">IFERROR(__xludf.DUMMYFUNCTION("""COMPUTED_VALUE"""),"0336915622")</f>
        <v>0336915622</v>
      </c>
      <c r="K933" s="2" t="str">
        <f ca="1">IFERROR(__xludf.DUMMYFUNCTION("""COMPUTED_VALUE"""),"1747178831009")</f>
        <v>1747178831009</v>
      </c>
    </row>
    <row r="934" spans="1:11" ht="12.45">
      <c r="A934" s="2" t="str">
        <f ca="1">IFERROR(__xludf.DUMMYFUNCTION("""COMPUTED_VALUE"""),"1747178863383")</f>
        <v>1747178863383</v>
      </c>
      <c r="B934" s="2"/>
      <c r="C934" s="2" t="str">
        <v>0</v>
      </c>
      <c r="D934" s="2"/>
      <c r="E934" s="2"/>
      <c r="F934" s="2" t="str">
        <v>0</v>
      </c>
      <c r="G934" s="2"/>
      <c r="I934" s="2" t="str">
        <f ca="1">IFERROR(__xludf.DUMMYFUNCTION("""COMPUTED_VALUE"""),"Nguyễn Thị Ngọc Anh")</f>
        <v>Nguyễn Thị Ngọc Anh</v>
      </c>
      <c r="J934" s="3" t="str">
        <f ca="1">IFERROR(__xludf.DUMMYFUNCTION("""COMPUTED_VALUE"""),"0364716538")</f>
        <v>0364716538</v>
      </c>
      <c r="K934" s="2" t="str">
        <f ca="1">IFERROR(__xludf.DUMMYFUNCTION("""COMPUTED_VALUE"""),"1747178863383")</f>
        <v>1747178863383</v>
      </c>
    </row>
    <row r="935" spans="1:11" ht="12.45">
      <c r="A935" s="2" t="str">
        <f ca="1">IFERROR(__xludf.DUMMYFUNCTION("""COMPUTED_VALUE"""),"1747178894083")</f>
        <v>1747178894083</v>
      </c>
      <c r="B935" s="2"/>
      <c r="C935" s="2" t="str">
        <v>0</v>
      </c>
      <c r="D935" s="2"/>
      <c r="E935" s="2"/>
      <c r="F935" s="2" t="str">
        <v>0</v>
      </c>
      <c r="G935" s="2"/>
      <c r="I935" s="2" t="str">
        <f ca="1">IFERROR(__xludf.DUMMYFUNCTION("""COMPUTED_VALUE"""),"Trần Đặng Xuân Trúc ")</f>
        <v xml:space="preserve">Trần Đặng Xuân Trúc </v>
      </c>
      <c r="J935" s="3" t="str">
        <f ca="1">IFERROR(__xludf.DUMMYFUNCTION("""COMPUTED_VALUE"""),"0326324824")</f>
        <v>0326324824</v>
      </c>
      <c r="K935" s="2" t="str">
        <f ca="1">IFERROR(__xludf.DUMMYFUNCTION("""COMPUTED_VALUE"""),"1747178894083")</f>
        <v>1747178894083</v>
      </c>
    </row>
    <row r="936" spans="1:11" ht="12.45">
      <c r="A936" s="2" t="str">
        <f ca="1">IFERROR(__xludf.DUMMYFUNCTION("""COMPUTED_VALUE"""),"1747178927338")</f>
        <v>1747178927338</v>
      </c>
      <c r="B936" s="2"/>
      <c r="C936" s="2" t="str">
        <v>0</v>
      </c>
      <c r="D936" s="2"/>
      <c r="E936" s="2"/>
      <c r="F936" s="2" t="str">
        <v>0</v>
      </c>
      <c r="G936" s="2"/>
      <c r="I936" s="2" t="str">
        <f ca="1">IFERROR(__xludf.DUMMYFUNCTION("""COMPUTED_VALUE"""),"Ma Diệu Thảo")</f>
        <v>Ma Diệu Thảo</v>
      </c>
      <c r="J936" s="3" t="str">
        <f ca="1">IFERROR(__xludf.DUMMYFUNCTION("""COMPUTED_VALUE"""),"0349322383")</f>
        <v>0349322383</v>
      </c>
      <c r="K936" s="2" t="str">
        <f ca="1">IFERROR(__xludf.DUMMYFUNCTION("""COMPUTED_VALUE"""),"1747178927338")</f>
        <v>1747178927338</v>
      </c>
    </row>
    <row r="937" spans="1:11" ht="12.45">
      <c r="A937" s="2" t="str">
        <f ca="1">IFERROR(__xludf.DUMMYFUNCTION("""COMPUTED_VALUE"""),"1747178963865")</f>
        <v>1747178963865</v>
      </c>
      <c r="B937" s="2"/>
      <c r="C937" s="2" t="str">
        <v>0</v>
      </c>
      <c r="D937" s="2"/>
      <c r="E937" s="2"/>
      <c r="F937" s="2" t="str">
        <v>0</v>
      </c>
      <c r="G937" s="2"/>
      <c r="I937" s="2" t="str">
        <f ca="1">IFERROR(__xludf.DUMMYFUNCTION("""COMPUTED_VALUE"""),"PHAN MINH THƯ")</f>
        <v>PHAN MINH THƯ</v>
      </c>
      <c r="J937" s="3" t="str">
        <f ca="1">IFERROR(__xludf.DUMMYFUNCTION("""COMPUTED_VALUE"""),"0862603435")</f>
        <v>0862603435</v>
      </c>
      <c r="K937" s="2" t="str">
        <f ca="1">IFERROR(__xludf.DUMMYFUNCTION("""COMPUTED_VALUE"""),"1747178963865")</f>
        <v>1747178963865</v>
      </c>
    </row>
    <row r="938" spans="1:11" ht="12.45">
      <c r="A938" s="2" t="str">
        <f ca="1">IFERROR(__xludf.DUMMYFUNCTION("""COMPUTED_VALUE"""),"1747178994225")</f>
        <v>1747178994225</v>
      </c>
      <c r="B938" s="2"/>
      <c r="C938" s="2" t="str">
        <v>0</v>
      </c>
      <c r="D938" s="2"/>
      <c r="E938" s="2"/>
      <c r="F938" s="2" t="str">
        <v>0</v>
      </c>
      <c r="G938" s="2"/>
      <c r="I938" s="2" t="str">
        <f ca="1">IFERROR(__xludf.DUMMYFUNCTION("""COMPUTED_VALUE"""),"Nguyễn Nhật Huy")</f>
        <v>Nguyễn Nhật Huy</v>
      </c>
      <c r="J938" s="3" t="str">
        <f ca="1">IFERROR(__xludf.DUMMYFUNCTION("""COMPUTED_VALUE"""),"0924397125")</f>
        <v>0924397125</v>
      </c>
      <c r="K938" s="2" t="str">
        <f ca="1">IFERROR(__xludf.DUMMYFUNCTION("""COMPUTED_VALUE"""),"1747178994225")</f>
        <v>1747178994225</v>
      </c>
    </row>
    <row r="939" spans="1:11" ht="12.45">
      <c r="A939" s="2" t="str">
        <f ca="1">IFERROR(__xludf.DUMMYFUNCTION("""COMPUTED_VALUE"""),"1747179025179")</f>
        <v>1747179025179</v>
      </c>
      <c r="B939" s="2"/>
      <c r="C939" s="2" t="str">
        <v>0</v>
      </c>
      <c r="D939" s="2"/>
      <c r="E939" s="2"/>
      <c r="F939" s="2" t="str">
        <v>0</v>
      </c>
      <c r="G939" s="2"/>
      <c r="I939" s="2" t="str">
        <f ca="1">IFERROR(__xludf.DUMMYFUNCTION("""COMPUTED_VALUE"""),"Nguyễn Vân Anh")</f>
        <v>Nguyễn Vân Anh</v>
      </c>
      <c r="J939" s="3" t="str">
        <f ca="1">IFERROR(__xludf.DUMMYFUNCTION("""COMPUTED_VALUE"""),"0869069680")</f>
        <v>0869069680</v>
      </c>
      <c r="K939" s="2" t="str">
        <f ca="1">IFERROR(__xludf.DUMMYFUNCTION("""COMPUTED_VALUE"""),"1747179025179")</f>
        <v>1747179025179</v>
      </c>
    </row>
    <row r="940" spans="1:11" ht="12.45">
      <c r="A940" s="2" t="str">
        <f ca="1">IFERROR(__xludf.DUMMYFUNCTION("""COMPUTED_VALUE"""),"1747179053604")</f>
        <v>1747179053604</v>
      </c>
      <c r="B940" s="2"/>
      <c r="C940" s="2" t="str">
        <v>0</v>
      </c>
      <c r="D940" s="2"/>
      <c r="E940" s="2"/>
      <c r="F940" s="2" t="str">
        <v>0</v>
      </c>
      <c r="G940" s="2"/>
      <c r="I940" s="2" t="str">
        <f ca="1">IFERROR(__xludf.DUMMYFUNCTION("""COMPUTED_VALUE"""),".Trần Thảo Trâm")</f>
        <v>.Trần Thảo Trâm</v>
      </c>
      <c r="J940" s="3" t="str">
        <f ca="1">IFERROR(__xludf.DUMMYFUNCTION("""COMPUTED_VALUE"""),"0943543957")</f>
        <v>0943543957</v>
      </c>
      <c r="K940" s="2" t="str">
        <f ca="1">IFERROR(__xludf.DUMMYFUNCTION("""COMPUTED_VALUE"""),"1747179053604")</f>
        <v>1747179053604</v>
      </c>
    </row>
    <row r="941" spans="1:11" ht="12.45">
      <c r="A941" s="2" t="str">
        <f ca="1">IFERROR(__xludf.DUMMYFUNCTION("""COMPUTED_VALUE"""),"1747179085377")</f>
        <v>1747179085377</v>
      </c>
      <c r="B941" s="2"/>
      <c r="C941" s="2" t="str">
        <v>0</v>
      </c>
      <c r="D941" s="2"/>
      <c r="E941" s="2"/>
      <c r="F941" s="2" t="str">
        <v>0</v>
      </c>
      <c r="G941" s="2"/>
      <c r="I941" s="2" t="str">
        <f ca="1">IFERROR(__xludf.DUMMYFUNCTION("""COMPUTED_VALUE"""),"Trần Thị Thủy")</f>
        <v>Trần Thị Thủy</v>
      </c>
      <c r="J941" s="3" t="str">
        <f ca="1">IFERROR(__xludf.DUMMYFUNCTION("""COMPUTED_VALUE"""),"0986266084")</f>
        <v>0986266084</v>
      </c>
      <c r="K941" s="2" t="str">
        <f ca="1">IFERROR(__xludf.DUMMYFUNCTION("""COMPUTED_VALUE"""),"1747179085377")</f>
        <v>1747179085377</v>
      </c>
    </row>
    <row r="942" spans="1:11" ht="12.45">
      <c r="A942" s="2" t="str">
        <f ca="1">IFERROR(__xludf.DUMMYFUNCTION("""COMPUTED_VALUE"""),"1747179112888")</f>
        <v>1747179112888</v>
      </c>
      <c r="B942" s="2"/>
      <c r="C942" s="2" t="str">
        <v>0</v>
      </c>
      <c r="D942" s="2"/>
      <c r="E942" s="2"/>
      <c r="F942" s="2" t="str">
        <v>0</v>
      </c>
      <c r="G942" s="2"/>
      <c r="I942" s="2" t="str">
        <f ca="1">IFERROR(__xludf.DUMMYFUNCTION("""COMPUTED_VALUE"""),"Nguyễn Thị Uyên")</f>
        <v>Nguyễn Thị Uyên</v>
      </c>
      <c r="J942" s="3" t="str">
        <f ca="1">IFERROR(__xludf.DUMMYFUNCTION("""COMPUTED_VALUE"""),"0355649464")</f>
        <v>0355649464</v>
      </c>
      <c r="K942" s="2" t="str">
        <f ca="1">IFERROR(__xludf.DUMMYFUNCTION("""COMPUTED_VALUE"""),"1747179112888")</f>
        <v>1747179112888</v>
      </c>
    </row>
    <row r="943" spans="1:11" ht="12.45">
      <c r="A943" s="2" t="str">
        <f ca="1">IFERROR(__xludf.DUMMYFUNCTION("""COMPUTED_VALUE"""),"1747179141364")</f>
        <v>1747179141364</v>
      </c>
      <c r="B943" s="2"/>
      <c r="C943" s="2" t="str">
        <v>0</v>
      </c>
      <c r="D943" s="2"/>
      <c r="E943" s="2"/>
      <c r="F943" s="2" t="str">
        <v>0</v>
      </c>
      <c r="G943" s="2"/>
      <c r="I943" s="2" t="str">
        <f ca="1">IFERROR(__xludf.DUMMYFUNCTION("""COMPUTED_VALUE"""),"Đinh Thị Kiều Giang ")</f>
        <v xml:space="preserve">Đinh Thị Kiều Giang </v>
      </c>
      <c r="J943" s="3" t="str">
        <f ca="1">IFERROR(__xludf.DUMMYFUNCTION("""COMPUTED_VALUE"""),"0985820419")</f>
        <v>0985820419</v>
      </c>
      <c r="K943" s="2" t="str">
        <f ca="1">IFERROR(__xludf.DUMMYFUNCTION("""COMPUTED_VALUE"""),"1747179141364")</f>
        <v>1747179141364</v>
      </c>
    </row>
    <row r="944" spans="1:11" ht="12.45">
      <c r="A944" s="2" t="str">
        <f ca="1">IFERROR(__xludf.DUMMYFUNCTION("""COMPUTED_VALUE"""),"1747179173717")</f>
        <v>1747179173717</v>
      </c>
      <c r="B944" s="2"/>
      <c r="C944" s="2" t="str">
        <v>0</v>
      </c>
      <c r="D944" s="2"/>
      <c r="E944" s="2"/>
      <c r="F944" s="2" t="str">
        <v>0</v>
      </c>
      <c r="G944" s="2"/>
      <c r="I944" s="2" t="str">
        <f ca="1">IFERROR(__xludf.DUMMYFUNCTION("""COMPUTED_VALUE"""),"Đặng Ngọc Trầm")</f>
        <v>Đặng Ngọc Trầm</v>
      </c>
      <c r="J944" s="3" t="str">
        <f ca="1">IFERROR(__xludf.DUMMYFUNCTION("""COMPUTED_VALUE"""),"0386005098")</f>
        <v>0386005098</v>
      </c>
      <c r="K944" s="2" t="str">
        <f ca="1">IFERROR(__xludf.DUMMYFUNCTION("""COMPUTED_VALUE"""),"1747179173717")</f>
        <v>1747179173717</v>
      </c>
    </row>
    <row r="945" spans="1:11" ht="12.45">
      <c r="A945" s="2" t="str">
        <f ca="1">IFERROR(__xludf.DUMMYFUNCTION("""COMPUTED_VALUE"""),"1747179207435")</f>
        <v>1747179207435</v>
      </c>
      <c r="B945" s="2"/>
      <c r="C945" s="2" t="str">
        <v>0</v>
      </c>
      <c r="D945" s="2"/>
      <c r="E945" s="2"/>
      <c r="F945" s="2" t="str">
        <v>0</v>
      </c>
      <c r="G945" s="2"/>
      <c r="I945" s="2" t="str">
        <f ca="1">IFERROR(__xludf.DUMMYFUNCTION("""COMPUTED_VALUE"""),"Vàng thị thương")</f>
        <v>Vàng thị thương</v>
      </c>
      <c r="J945" s="3" t="str">
        <f ca="1">IFERROR(__xludf.DUMMYFUNCTION("""COMPUTED_VALUE"""),"0852417055")</f>
        <v>0852417055</v>
      </c>
      <c r="K945" s="2" t="str">
        <f ca="1">IFERROR(__xludf.DUMMYFUNCTION("""COMPUTED_VALUE"""),"1747179207435")</f>
        <v>1747179207435</v>
      </c>
    </row>
    <row r="946" spans="1:11" ht="12.45">
      <c r="A946" s="2" t="str">
        <f ca="1">IFERROR(__xludf.DUMMYFUNCTION("""COMPUTED_VALUE"""),"1747179234579")</f>
        <v>1747179234579</v>
      </c>
      <c r="B946" s="2"/>
      <c r="C946" s="2" t="str">
        <v>0</v>
      </c>
      <c r="D946" s="2"/>
      <c r="E946" s="2"/>
      <c r="F946" s="2" t="str">
        <v>0</v>
      </c>
      <c r="G946" s="2"/>
      <c r="I946" s="2" t="str">
        <f ca="1">IFERROR(__xludf.DUMMYFUNCTION("""COMPUTED_VALUE"""),"Dương Thị Phương Linh")</f>
        <v>Dương Thị Phương Linh</v>
      </c>
      <c r="J946" s="3" t="str">
        <f ca="1">IFERROR(__xludf.DUMMYFUNCTION("""COMPUTED_VALUE"""),"0988658363")</f>
        <v>0988658363</v>
      </c>
      <c r="K946" s="2" t="str">
        <f ca="1">IFERROR(__xludf.DUMMYFUNCTION("""COMPUTED_VALUE"""),"1747179234579")</f>
        <v>1747179234579</v>
      </c>
    </row>
    <row r="947" spans="1:11" ht="12.45">
      <c r="A947" s="2" t="str">
        <f ca="1">IFERROR(__xludf.DUMMYFUNCTION("""COMPUTED_VALUE"""),"1748266762318")</f>
        <v>1748266762318</v>
      </c>
      <c r="B947" s="2"/>
      <c r="C947" s="2" t="str">
        <v>0</v>
      </c>
      <c r="D947" s="2"/>
      <c r="E947" s="2"/>
      <c r="F947" s="2" t="str">
        <v>0</v>
      </c>
      <c r="G947" s="2"/>
      <c r="I947" s="2" t="str">
        <f ca="1">IFERROR(__xludf.DUMMYFUNCTION("""COMPUTED_VALUE"""),"LANG VĂN HIẾU")</f>
        <v>LANG VĂN HIẾU</v>
      </c>
      <c r="J947" s="3" t="str">
        <f ca="1">IFERROR(__xludf.DUMMYFUNCTION("""COMPUTED_VALUE"""),"0385802874")</f>
        <v>0385802874</v>
      </c>
      <c r="K947" s="2" t="str">
        <f ca="1">IFERROR(__xludf.DUMMYFUNCTION("""COMPUTED_VALUE"""),"1748266762318")</f>
        <v>1748266762318</v>
      </c>
    </row>
    <row r="948" spans="1:11" ht="12.45">
      <c r="A948" s="2" t="str">
        <f ca="1">IFERROR(__xludf.DUMMYFUNCTION("""COMPUTED_VALUE"""),"1747179298754")</f>
        <v>1747179298754</v>
      </c>
      <c r="B948" s="2"/>
      <c r="C948" s="2" t="str">
        <v>0</v>
      </c>
      <c r="D948" s="2"/>
      <c r="E948" s="2"/>
      <c r="F948" s="2" t="str">
        <v>0</v>
      </c>
      <c r="G948" s="2"/>
      <c r="I948" s="2" t="str">
        <f ca="1">IFERROR(__xludf.DUMMYFUNCTION("""COMPUTED_VALUE"""),"Nguyễn Thu Lành")</f>
        <v>Nguyễn Thu Lành</v>
      </c>
      <c r="J948" s="3" t="str">
        <f ca="1">IFERROR(__xludf.DUMMYFUNCTION("""COMPUTED_VALUE"""),"0395343407")</f>
        <v>0395343407</v>
      </c>
      <c r="K948" s="2" t="str">
        <f ca="1">IFERROR(__xludf.DUMMYFUNCTION("""COMPUTED_VALUE"""),"1747179298754")</f>
        <v>1747179298754</v>
      </c>
    </row>
    <row r="949" spans="1:11" ht="12.45">
      <c r="A949" s="2" t="str">
        <f ca="1">IFERROR(__xludf.DUMMYFUNCTION("""COMPUTED_VALUE"""),"1747179339276")</f>
        <v>1747179339276</v>
      </c>
      <c r="B949" s="2"/>
      <c r="C949" s="2" t="str">
        <v>0</v>
      </c>
      <c r="D949" s="2"/>
      <c r="E949" s="2"/>
      <c r="F949" s="2" t="str">
        <v>0</v>
      </c>
      <c r="G949" s="2"/>
      <c r="I949" s="2" t="str">
        <f ca="1">IFERROR(__xludf.DUMMYFUNCTION("""COMPUTED_VALUE"""),"Trần Yến Nhi")</f>
        <v>Trần Yến Nhi</v>
      </c>
      <c r="J949" s="3" t="str">
        <f ca="1">IFERROR(__xludf.DUMMYFUNCTION("""COMPUTED_VALUE"""),"0332542468")</f>
        <v>0332542468</v>
      </c>
      <c r="K949" s="2" t="str">
        <f ca="1">IFERROR(__xludf.DUMMYFUNCTION("""COMPUTED_VALUE"""),"1747179339276")</f>
        <v>1747179339276</v>
      </c>
    </row>
    <row r="950" spans="1:11" ht="12.45">
      <c r="A950" s="2" t="str">
        <f ca="1">IFERROR(__xludf.DUMMYFUNCTION("""COMPUTED_VALUE"""),"1747179387011")</f>
        <v>1747179387011</v>
      </c>
      <c r="B950" s="2"/>
      <c r="C950" s="2" t="str">
        <v>0</v>
      </c>
      <c r="D950" s="2"/>
      <c r="E950" s="2"/>
      <c r="F950" s="2" t="str">
        <v>0</v>
      </c>
      <c r="G950" s="2"/>
      <c r="I950" s="2" t="str">
        <f ca="1">IFERROR(__xludf.DUMMYFUNCTION("""COMPUTED_VALUE"""),"Phùng Huệ Anh")</f>
        <v>Phùng Huệ Anh</v>
      </c>
      <c r="J950" s="3" t="str">
        <f ca="1">IFERROR(__xludf.DUMMYFUNCTION("""COMPUTED_VALUE"""),"0968017537")</f>
        <v>0968017537</v>
      </c>
      <c r="K950" s="2" t="str">
        <f ca="1">IFERROR(__xludf.DUMMYFUNCTION("""COMPUTED_VALUE"""),"1747179387011")</f>
        <v>1747179387011</v>
      </c>
    </row>
    <row r="951" spans="1:11" ht="12.45">
      <c r="A951" s="2" t="str">
        <f ca="1">IFERROR(__xludf.DUMMYFUNCTION("""COMPUTED_VALUE"""),"1747179432474")</f>
        <v>1747179432474</v>
      </c>
      <c r="B951" s="2"/>
      <c r="C951" s="2" t="str">
        <v>0</v>
      </c>
      <c r="D951" s="2"/>
      <c r="E951" s="2"/>
      <c r="F951" s="2" t="str">
        <v>0</v>
      </c>
      <c r="G951" s="2"/>
      <c r="I951" s="2" t="str">
        <f ca="1">IFERROR(__xludf.DUMMYFUNCTION("""COMPUTED_VALUE"""),"Dương Thùy Linh ")</f>
        <v xml:space="preserve">Dương Thùy Linh </v>
      </c>
      <c r="J951" s="3" t="str">
        <f ca="1">IFERROR(__xludf.DUMMYFUNCTION("""COMPUTED_VALUE"""),"0788490259")</f>
        <v>0788490259</v>
      </c>
      <c r="K951" s="2" t="str">
        <f ca="1">IFERROR(__xludf.DUMMYFUNCTION("""COMPUTED_VALUE"""),"1747179432474")</f>
        <v>1747179432474</v>
      </c>
    </row>
    <row r="952" spans="1:11" ht="12.45">
      <c r="A952" s="2" t="str">
        <f ca="1">IFERROR(__xludf.DUMMYFUNCTION("""COMPUTED_VALUE"""),"1747179475934")</f>
        <v>1747179475934</v>
      </c>
      <c r="B952" s="2"/>
      <c r="C952" s="2" t="str">
        <v>0</v>
      </c>
      <c r="D952" s="2"/>
      <c r="E952" s="2"/>
      <c r="F952" s="2" t="str">
        <v>0</v>
      </c>
      <c r="G952" s="2"/>
      <c r="I952" s="2" t="str">
        <f ca="1">IFERROR(__xludf.DUMMYFUNCTION("""COMPUTED_VALUE"""),"Nguyễn Thị Bích Liên ")</f>
        <v xml:space="preserve">Nguyễn Thị Bích Liên </v>
      </c>
      <c r="J952" s="3" t="str">
        <f ca="1">IFERROR(__xludf.DUMMYFUNCTION("""COMPUTED_VALUE"""),"0868076198")</f>
        <v>0868076198</v>
      </c>
      <c r="K952" s="2" t="str">
        <f ca="1">IFERROR(__xludf.DUMMYFUNCTION("""COMPUTED_VALUE"""),"1747179475934")</f>
        <v>1747179475934</v>
      </c>
    </row>
    <row r="953" spans="1:11" ht="12.45">
      <c r="A953" s="2" t="str">
        <f ca="1">IFERROR(__xludf.DUMMYFUNCTION("""COMPUTED_VALUE"""),"1747179517817")</f>
        <v>1747179517817</v>
      </c>
      <c r="B953" s="2"/>
      <c r="C953" s="2" t="str">
        <v>0</v>
      </c>
      <c r="D953" s="2"/>
      <c r="E953" s="2"/>
      <c r="F953" s="2" t="str">
        <v>0</v>
      </c>
      <c r="G953" s="2"/>
      <c r="I953" s="2" t="str">
        <f ca="1">IFERROR(__xludf.DUMMYFUNCTION("""COMPUTED_VALUE"""),"Nguyễn Quỳnh Trang ")</f>
        <v xml:space="preserve">Nguyễn Quỳnh Trang </v>
      </c>
      <c r="J953" s="3" t="str">
        <f ca="1">IFERROR(__xludf.DUMMYFUNCTION("""COMPUTED_VALUE"""),"0964964122")</f>
        <v>0964964122</v>
      </c>
      <c r="K953" s="2" t="str">
        <f ca="1">IFERROR(__xludf.DUMMYFUNCTION("""COMPUTED_VALUE"""),"1747179517817")</f>
        <v>1747179517817</v>
      </c>
    </row>
    <row r="954" spans="1:11" ht="12.45">
      <c r="A954" s="2" t="str">
        <f ca="1">IFERROR(__xludf.DUMMYFUNCTION("""COMPUTED_VALUE"""),"1747179553461")</f>
        <v>1747179553461</v>
      </c>
      <c r="B954" s="2"/>
      <c r="C954" s="2" t="str">
        <v>0</v>
      </c>
      <c r="D954" s="2"/>
      <c r="E954" s="2"/>
      <c r="F954" s="2" t="str">
        <v>0</v>
      </c>
      <c r="G954" s="2"/>
      <c r="I954" s="2" t="str">
        <f ca="1">IFERROR(__xludf.DUMMYFUNCTION("""COMPUTED_VALUE"""),"Mạch Khả Hân")</f>
        <v>Mạch Khả Hân</v>
      </c>
      <c r="J954" s="3" t="str">
        <f ca="1">IFERROR(__xludf.DUMMYFUNCTION("""COMPUTED_VALUE"""),"0899348407")</f>
        <v>0899348407</v>
      </c>
      <c r="K954" s="2" t="str">
        <f ca="1">IFERROR(__xludf.DUMMYFUNCTION("""COMPUTED_VALUE"""),"1747179553461")</f>
        <v>1747179553461</v>
      </c>
    </row>
    <row r="955" spans="1:11" ht="12.45">
      <c r="A955" s="2" t="str">
        <f ca="1">IFERROR(__xludf.DUMMYFUNCTION("""COMPUTED_VALUE"""),"1747179579410")</f>
        <v>1747179579410</v>
      </c>
      <c r="B955" s="2"/>
      <c r="C955" s="2" t="str">
        <v>0</v>
      </c>
      <c r="D955" s="2"/>
      <c r="E955" s="2"/>
      <c r="F955" s="2" t="str">
        <v>0</v>
      </c>
      <c r="G955" s="2"/>
      <c r="I955" s="2" t="str">
        <f ca="1">IFERROR(__xludf.DUMMYFUNCTION("""COMPUTED_VALUE"""),"Lê Quỳnh Anh")</f>
        <v>Lê Quỳnh Anh</v>
      </c>
      <c r="J955" s="3" t="str">
        <f ca="1">IFERROR(__xludf.DUMMYFUNCTION("""COMPUTED_VALUE"""),"0344205516")</f>
        <v>0344205516</v>
      </c>
      <c r="K955" s="2" t="str">
        <f ca="1">IFERROR(__xludf.DUMMYFUNCTION("""COMPUTED_VALUE"""),"1747179579410")</f>
        <v>1747179579410</v>
      </c>
    </row>
    <row r="956" spans="1:11" ht="12.45">
      <c r="A956" s="2" t="str">
        <f ca="1">IFERROR(__xludf.DUMMYFUNCTION("""COMPUTED_VALUE"""),"1747179622321")</f>
        <v>1747179622321</v>
      </c>
      <c r="B956" s="2"/>
      <c r="C956" s="2" t="str">
        <v>0</v>
      </c>
      <c r="D956" s="2"/>
      <c r="E956" s="2"/>
      <c r="F956" s="2" t="str">
        <v>0</v>
      </c>
      <c r="G956" s="2"/>
      <c r="I956" s="2" t="str">
        <f ca="1">IFERROR(__xludf.DUMMYFUNCTION("""COMPUTED_VALUE"""),"Võ Thị Bích Thảo")</f>
        <v>Võ Thị Bích Thảo</v>
      </c>
      <c r="J956" s="3" t="str">
        <f ca="1">IFERROR(__xludf.DUMMYFUNCTION("""COMPUTED_VALUE"""),"0762415504")</f>
        <v>0762415504</v>
      </c>
      <c r="K956" s="2" t="str">
        <f ca="1">IFERROR(__xludf.DUMMYFUNCTION("""COMPUTED_VALUE"""),"1747179622321")</f>
        <v>1747179622321</v>
      </c>
    </row>
    <row r="957" spans="1:11" ht="12.45">
      <c r="A957" s="2" t="str">
        <f ca="1">IFERROR(__xludf.DUMMYFUNCTION("""COMPUTED_VALUE"""),"1747179657442")</f>
        <v>1747179657442</v>
      </c>
      <c r="B957" s="2"/>
      <c r="C957" s="2" t="str">
        <v>0</v>
      </c>
      <c r="D957" s="2"/>
      <c r="E957" s="2"/>
      <c r="F957" s="2" t="str">
        <v>0</v>
      </c>
      <c r="G957" s="2"/>
      <c r="I957" s="2" t="str">
        <f ca="1">IFERROR(__xludf.DUMMYFUNCTION("""COMPUTED_VALUE"""),"Nguyễn Thị Phương Uyên ")</f>
        <v xml:space="preserve">Nguyễn Thị Phương Uyên </v>
      </c>
      <c r="J957" s="3" t="str">
        <f ca="1">IFERROR(__xludf.DUMMYFUNCTION("""COMPUTED_VALUE"""),"0353209355")</f>
        <v>0353209355</v>
      </c>
      <c r="K957" s="2" t="str">
        <f ca="1">IFERROR(__xludf.DUMMYFUNCTION("""COMPUTED_VALUE"""),"1747179657442")</f>
        <v>1747179657442</v>
      </c>
    </row>
    <row r="958" spans="1:11" ht="12.45">
      <c r="A958" s="2" t="str">
        <f ca="1">IFERROR(__xludf.DUMMYFUNCTION("""COMPUTED_VALUE"""),"1747179685312")</f>
        <v>1747179685312</v>
      </c>
      <c r="B958" s="2"/>
      <c r="C958" s="2" t="str">
        <v>0</v>
      </c>
      <c r="D958" s="2"/>
      <c r="E958" s="2"/>
      <c r="F958" s="2" t="str">
        <v>0</v>
      </c>
      <c r="G958" s="2"/>
      <c r="I958" s="2" t="str">
        <f ca="1">IFERROR(__xludf.DUMMYFUNCTION("""COMPUTED_VALUE"""),"Lê Thị Kim Oanh")</f>
        <v>Lê Thị Kim Oanh</v>
      </c>
      <c r="J958" s="3" t="str">
        <f ca="1">IFERROR(__xludf.DUMMYFUNCTION("""COMPUTED_VALUE"""),"0376767918")</f>
        <v>0376767918</v>
      </c>
      <c r="K958" s="2" t="str">
        <f ca="1">IFERROR(__xludf.DUMMYFUNCTION("""COMPUTED_VALUE"""),"1747179685312")</f>
        <v>1747179685312</v>
      </c>
    </row>
    <row r="959" spans="1:11" ht="12.45">
      <c r="A959" s="2" t="str">
        <f ca="1">IFERROR(__xludf.DUMMYFUNCTION("""COMPUTED_VALUE"""),"1754560536227")</f>
        <v>1754560536227</v>
      </c>
      <c r="B959" s="2"/>
      <c r="C959" s="2" t="str">
        <v>0</v>
      </c>
      <c r="D959" s="2"/>
      <c r="E959" s="2"/>
      <c r="F959" s="2" t="str">
        <v>0</v>
      </c>
      <c r="G959" s="2"/>
      <c r="I959" s="2" t="str">
        <f ca="1">IFERROR(__xludf.DUMMYFUNCTION("""COMPUTED_VALUE"""),"Hoàng Trần Bảo Phước")</f>
        <v>Hoàng Trần Bảo Phước</v>
      </c>
      <c r="J959" s="3" t="str">
        <f ca="1">IFERROR(__xludf.DUMMYFUNCTION("""COMPUTED_VALUE"""),"0362234637")</f>
        <v>0362234637</v>
      </c>
      <c r="K959" s="2" t="str">
        <f ca="1">IFERROR(__xludf.DUMMYFUNCTION("""COMPUTED_VALUE"""),"1754560536227")</f>
        <v>1754560536227</v>
      </c>
    </row>
    <row r="960" spans="1:11" ht="12.45">
      <c r="A960" s="2" t="str">
        <f ca="1">IFERROR(__xludf.DUMMYFUNCTION("""COMPUTED_VALUE"""),"1754560569751")</f>
        <v>1754560569751</v>
      </c>
      <c r="B960" s="2"/>
      <c r="C960" s="2" t="str">
        <v>0</v>
      </c>
      <c r="D960" s="2"/>
      <c r="E960" s="2"/>
      <c r="F960" s="2" t="str">
        <v>0</v>
      </c>
      <c r="G960" s="2"/>
      <c r="I960" s="2" t="str">
        <f ca="1">IFERROR(__xludf.DUMMYFUNCTION("""COMPUTED_VALUE"""),"Nguyễn Ngọc Khánh")</f>
        <v>Nguyễn Ngọc Khánh</v>
      </c>
      <c r="J960" s="3" t="str">
        <f ca="1">IFERROR(__xludf.DUMMYFUNCTION("""COMPUTED_VALUE"""),"0936320301")</f>
        <v>0936320301</v>
      </c>
      <c r="K960" s="2" t="str">
        <f ca="1">IFERROR(__xludf.DUMMYFUNCTION("""COMPUTED_VALUE"""),"1754560569751")</f>
        <v>1754560569751</v>
      </c>
    </row>
    <row r="961" spans="1:11" ht="12.45">
      <c r="A961" s="2" t="str">
        <f ca="1">IFERROR(__xludf.DUMMYFUNCTION("""COMPUTED_VALUE"""),"1754560603002")</f>
        <v>1754560603002</v>
      </c>
      <c r="B961" s="2"/>
      <c r="C961" s="2" t="str">
        <v>0</v>
      </c>
      <c r="D961" s="2"/>
      <c r="E961" s="2"/>
      <c r="F961" s="2" t="str">
        <v>0</v>
      </c>
      <c r="G961" s="2"/>
      <c r="I961" s="2" t="str">
        <f ca="1">IFERROR(__xludf.DUMMYFUNCTION("""COMPUTED_VALUE"""),"Hoàng T. Hồng N")</f>
        <v>Hoàng T. Hồng N</v>
      </c>
      <c r="J961" s="3" t="str">
        <f ca="1">IFERROR(__xludf.DUMMYFUNCTION("""COMPUTED_VALUE"""),"0904920715")</f>
        <v>0904920715</v>
      </c>
      <c r="K961" s="2" t="str">
        <f ca="1">IFERROR(__xludf.DUMMYFUNCTION("""COMPUTED_VALUE"""),"1754560603002")</f>
        <v>1754560603002</v>
      </c>
    </row>
    <row r="962" spans="1:11" ht="12.45">
      <c r="A962" s="2" t="str">
        <f ca="1">IFERROR(__xludf.DUMMYFUNCTION("""COMPUTED_VALUE"""),"1754560639553")</f>
        <v>1754560639553</v>
      </c>
      <c r="B962" s="2"/>
      <c r="C962" s="2" t="str">
        <v>0</v>
      </c>
      <c r="D962" s="2"/>
      <c r="E962" s="2"/>
      <c r="F962" s="2" t="str">
        <v>0</v>
      </c>
      <c r="G962" s="2"/>
      <c r="I962" s="2" t="str">
        <f ca="1">IFERROR(__xludf.DUMMYFUNCTION("""COMPUTED_VALUE"""),"Đinh Gia Huy")</f>
        <v>Đinh Gia Huy</v>
      </c>
      <c r="J962" s="3" t="str">
        <f ca="1">IFERROR(__xludf.DUMMYFUNCTION("""COMPUTED_VALUE"""),"0985224897")</f>
        <v>0985224897</v>
      </c>
      <c r="K962" s="2" t="str">
        <f ca="1">IFERROR(__xludf.DUMMYFUNCTION("""COMPUTED_VALUE"""),"1754560639553")</f>
        <v>1754560639553</v>
      </c>
    </row>
    <row r="963" spans="1:11" ht="12.45">
      <c r="A963" s="2" t="str">
        <f ca="1">IFERROR(__xludf.DUMMYFUNCTION("""COMPUTED_VALUE"""),"1754560674233")</f>
        <v>1754560674233</v>
      </c>
      <c r="B963" s="2"/>
      <c r="C963" s="2" t="str">
        <v>0</v>
      </c>
      <c r="D963" s="2"/>
      <c r="E963" s="2"/>
      <c r="F963" s="2" t="str">
        <v>0</v>
      </c>
      <c r="G963" s="2"/>
      <c r="I963" s="2" t="str">
        <f ca="1">IFERROR(__xludf.DUMMYFUNCTION("""COMPUTED_VALUE"""),"Đặng Phương Linh")</f>
        <v>Đặng Phương Linh</v>
      </c>
      <c r="J963" s="3" t="str">
        <f ca="1">IFERROR(__xludf.DUMMYFUNCTION("""COMPUTED_VALUE"""),"0772399093")</f>
        <v>0772399093</v>
      </c>
      <c r="K963" s="2" t="str">
        <f ca="1">IFERROR(__xludf.DUMMYFUNCTION("""COMPUTED_VALUE"""),"1754560674233")</f>
        <v>1754560674233</v>
      </c>
    </row>
    <row r="964" spans="1:11" ht="12.45">
      <c r="A964" s="2" t="str">
        <f ca="1">IFERROR(__xludf.DUMMYFUNCTION("""COMPUTED_VALUE"""),"1754560714487")</f>
        <v>1754560714487</v>
      </c>
      <c r="B964" s="2"/>
      <c r="C964" s="2" t="str">
        <v>0</v>
      </c>
      <c r="D964" s="2"/>
      <c r="E964" s="2"/>
      <c r="F964" s="2" t="str">
        <v>0</v>
      </c>
      <c r="G964" s="2"/>
      <c r="I964" s="2" t="str">
        <f ca="1">IFERROR(__xludf.DUMMYFUNCTION("""COMPUTED_VALUE"""),"Nguyễn Hà Bảo Anh")</f>
        <v>Nguyễn Hà Bảo Anh</v>
      </c>
      <c r="J964" s="3" t="str">
        <f ca="1">IFERROR(__xludf.DUMMYFUNCTION("""COMPUTED_VALUE"""),"0786831689")</f>
        <v>0786831689</v>
      </c>
      <c r="K964" s="2" t="str">
        <f ca="1">IFERROR(__xludf.DUMMYFUNCTION("""COMPUTED_VALUE"""),"1754560714487")</f>
        <v>1754560714487</v>
      </c>
    </row>
    <row r="965" spans="1:11" ht="12.45">
      <c r="A965" s="2" t="str">
        <f ca="1">IFERROR(__xludf.DUMMYFUNCTION("""COMPUTED_VALUE"""),"1754560747883")</f>
        <v>1754560747883</v>
      </c>
      <c r="B965" s="2"/>
      <c r="C965" s="2" t="str">
        <v>0</v>
      </c>
      <c r="D965" s="2"/>
      <c r="E965" s="2"/>
      <c r="F965" s="2" t="str">
        <v>0</v>
      </c>
      <c r="G965" s="2"/>
      <c r="I965" s="2" t="str">
        <f ca="1">IFERROR(__xludf.DUMMYFUNCTION("""COMPUTED_VALUE"""),"Trần Thủy Ngọc Uyên")</f>
        <v>Trần Thủy Ngọc Uyên</v>
      </c>
      <c r="J965" s="3" t="str">
        <f ca="1">IFERROR(__xludf.DUMMYFUNCTION("""COMPUTED_VALUE"""),"0366513397")</f>
        <v>0366513397</v>
      </c>
      <c r="K965" s="2" t="str">
        <f ca="1">IFERROR(__xludf.DUMMYFUNCTION("""COMPUTED_VALUE"""),"1754560747883")</f>
        <v>1754560747883</v>
      </c>
    </row>
    <row r="966" spans="1:11" ht="12.45">
      <c r="A966" s="2" t="str">
        <f ca="1">IFERROR(__xludf.DUMMYFUNCTION("""COMPUTED_VALUE"""),"1754560794088")</f>
        <v>1754560794088</v>
      </c>
      <c r="B966" s="2"/>
      <c r="C966" s="2" t="str">
        <v>0</v>
      </c>
      <c r="D966" s="2"/>
      <c r="E966" s="2"/>
      <c r="F966" s="2" t="str">
        <v>0</v>
      </c>
      <c r="G966" s="2"/>
      <c r="I966" s="2" t="str">
        <f ca="1">IFERROR(__xludf.DUMMYFUNCTION("""COMPUTED_VALUE"""),"Hoàng Diệu Hương")</f>
        <v>Hoàng Diệu Hương</v>
      </c>
      <c r="J966" s="3" t="str">
        <f ca="1">IFERROR(__xludf.DUMMYFUNCTION("""COMPUTED_VALUE"""),"0915769599")</f>
        <v>0915769599</v>
      </c>
      <c r="K966" s="2" t="str">
        <f ca="1">IFERROR(__xludf.DUMMYFUNCTION("""COMPUTED_VALUE"""),"1754560794088")</f>
        <v>1754560794088</v>
      </c>
    </row>
    <row r="967" spans="1:11" ht="12.45">
      <c r="A967" s="2" t="str">
        <f ca="1">IFERROR(__xludf.DUMMYFUNCTION("""COMPUTED_VALUE"""),"1754560837456")</f>
        <v>1754560837456</v>
      </c>
      <c r="B967" s="2"/>
      <c r="C967" s="2" t="str">
        <v>0</v>
      </c>
      <c r="D967" s="2"/>
      <c r="E967" s="2"/>
      <c r="F967" s="2" t="str">
        <v>0</v>
      </c>
      <c r="G967" s="2"/>
      <c r="I967" s="2" t="str">
        <f ca="1">IFERROR(__xludf.DUMMYFUNCTION("""COMPUTED_VALUE"""),"Lê Quỳnh Như")</f>
        <v>Lê Quỳnh Như</v>
      </c>
      <c r="J967" s="3" t="str">
        <f ca="1">IFERROR(__xludf.DUMMYFUNCTION("""COMPUTED_VALUE"""),"0333617707")</f>
        <v>0333617707</v>
      </c>
      <c r="K967" s="2" t="str">
        <f ca="1">IFERROR(__xludf.DUMMYFUNCTION("""COMPUTED_VALUE"""),"1754560837456")</f>
        <v>1754560837456</v>
      </c>
    </row>
    <row r="968" spans="1:11" ht="12.45">
      <c r="A968" s="2" t="str">
        <f ca="1">IFERROR(__xludf.DUMMYFUNCTION("""COMPUTED_VALUE"""),"1754560880663")</f>
        <v>1754560880663</v>
      </c>
      <c r="B968" s="2"/>
      <c r="C968" s="2" t="str">
        <v>0</v>
      </c>
      <c r="D968" s="2"/>
      <c r="E968" s="2"/>
      <c r="F968" s="2" t="str">
        <v>0</v>
      </c>
      <c r="G968" s="2"/>
      <c r="I968" s="2" t="str">
        <f ca="1">IFERROR(__xludf.DUMMYFUNCTION("""COMPUTED_VALUE"""),"Lê Thị Kim Thúy ")</f>
        <v xml:space="preserve">Lê Thị Kim Thúy </v>
      </c>
      <c r="J968" s="3" t="str">
        <f ca="1">IFERROR(__xludf.DUMMYFUNCTION("""COMPUTED_VALUE"""),"0707391248")</f>
        <v>0707391248</v>
      </c>
      <c r="K968" s="2" t="str">
        <f ca="1">IFERROR(__xludf.DUMMYFUNCTION("""COMPUTED_VALUE"""),"1754560880663")</f>
        <v>1754560880663</v>
      </c>
    </row>
    <row r="969" spans="1:11" ht="12.45">
      <c r="A969" s="2" t="str">
        <f ca="1">IFERROR(__xludf.DUMMYFUNCTION("""COMPUTED_VALUE"""),"1754560927735")</f>
        <v>1754560927735</v>
      </c>
      <c r="B969" s="2"/>
      <c r="C969" s="2" t="str">
        <v>0</v>
      </c>
      <c r="D969" s="2"/>
      <c r="E969" s="2"/>
      <c r="F969" s="2" t="str">
        <v>0</v>
      </c>
      <c r="G969" s="2"/>
      <c r="I969" s="2" t="str">
        <f ca="1">IFERROR(__xludf.DUMMYFUNCTION("""COMPUTED_VALUE"""),"Nguyễn Thị Bích Diệp ")</f>
        <v xml:space="preserve">Nguyễn Thị Bích Diệp </v>
      </c>
      <c r="J969" s="3" t="str">
        <f ca="1">IFERROR(__xludf.DUMMYFUNCTION("""COMPUTED_VALUE"""),"0394477683")</f>
        <v>0394477683</v>
      </c>
      <c r="K969" s="2" t="str">
        <f ca="1">IFERROR(__xludf.DUMMYFUNCTION("""COMPUTED_VALUE"""),"1754560927735")</f>
        <v>1754560927735</v>
      </c>
    </row>
    <row r="970" spans="1:11" ht="12.45">
      <c r="A970" s="2" t="str">
        <f ca="1">IFERROR(__xludf.DUMMYFUNCTION("""COMPUTED_VALUE"""),"1754560975576")</f>
        <v>1754560975576</v>
      </c>
      <c r="B970" s="2"/>
      <c r="C970" s="2" t="str">
        <v>0</v>
      </c>
      <c r="D970" s="2"/>
      <c r="E970" s="2"/>
      <c r="F970" s="2" t="str">
        <v>0</v>
      </c>
      <c r="G970" s="2"/>
      <c r="I970" s="2" t="str">
        <f ca="1">IFERROR(__xludf.DUMMYFUNCTION("""COMPUTED_VALUE"""),"Bùi Nguyễn Thu Giang ")</f>
        <v xml:space="preserve">Bùi Nguyễn Thu Giang </v>
      </c>
      <c r="J970" s="3" t="str">
        <f ca="1">IFERROR(__xludf.DUMMYFUNCTION("""COMPUTED_VALUE"""),"0335828936")</f>
        <v>0335828936</v>
      </c>
      <c r="K970" s="2" t="str">
        <f ca="1">IFERROR(__xludf.DUMMYFUNCTION("""COMPUTED_VALUE"""),"1754560975576")</f>
        <v>1754560975576</v>
      </c>
    </row>
    <row r="971" spans="1:11" ht="12.45">
      <c r="A971" s="2" t="str">
        <f ca="1">IFERROR(__xludf.DUMMYFUNCTION("""COMPUTED_VALUE"""),"1754561026999")</f>
        <v>1754561026999</v>
      </c>
      <c r="B971" s="2"/>
      <c r="C971" s="2" t="str">
        <v>0</v>
      </c>
      <c r="D971" s="2"/>
      <c r="E971" s="2"/>
      <c r="F971" s="2" t="str">
        <v>0</v>
      </c>
      <c r="G971" s="2"/>
      <c r="I971" s="2" t="str">
        <f ca="1">IFERROR(__xludf.DUMMYFUNCTION("""COMPUTED_VALUE"""),"Nguyễn Thị Thanh Huyền ")</f>
        <v xml:space="preserve">Nguyễn Thị Thanh Huyền </v>
      </c>
      <c r="J971" s="3" t="str">
        <f ca="1">IFERROR(__xludf.DUMMYFUNCTION("""COMPUTED_VALUE"""),"0337250037")</f>
        <v>0337250037</v>
      </c>
      <c r="K971" s="2" t="str">
        <f ca="1">IFERROR(__xludf.DUMMYFUNCTION("""COMPUTED_VALUE"""),"1754561026999")</f>
        <v>1754561026999</v>
      </c>
    </row>
    <row r="972" spans="1:11" ht="12.45">
      <c r="A972" s="2" t="str">
        <f ca="1">IFERROR(__xludf.DUMMYFUNCTION("""COMPUTED_VALUE"""),"1754561081433")</f>
        <v>1754561081433</v>
      </c>
      <c r="B972" s="2"/>
      <c r="C972" s="2" t="str">
        <v>0</v>
      </c>
      <c r="D972" s="2"/>
      <c r="E972" s="2"/>
      <c r="F972" s="2" t="str">
        <v>0</v>
      </c>
      <c r="G972" s="2"/>
      <c r="I972" s="2" t="str">
        <f ca="1">IFERROR(__xludf.DUMMYFUNCTION("""COMPUTED_VALUE"""),"Nguyễn Văn Tin")</f>
        <v>Nguyễn Văn Tin</v>
      </c>
      <c r="J972" s="3" t="str">
        <f ca="1">IFERROR(__xludf.DUMMYFUNCTION("""COMPUTED_VALUE"""),"0326862150")</f>
        <v>0326862150</v>
      </c>
      <c r="K972" s="2" t="str">
        <f ca="1">IFERROR(__xludf.DUMMYFUNCTION("""COMPUTED_VALUE"""),"1754561081433")</f>
        <v>1754561081433</v>
      </c>
    </row>
    <row r="973" spans="1:11" ht="12.45">
      <c r="A973" s="2" t="str">
        <f ca="1">IFERROR(__xludf.DUMMYFUNCTION("""COMPUTED_VALUE"""),"1754561143556")</f>
        <v>1754561143556</v>
      </c>
      <c r="B973" s="2"/>
      <c r="C973" s="2" t="str">
        <v>0</v>
      </c>
      <c r="D973" s="2"/>
      <c r="E973" s="2"/>
      <c r="F973" s="2" t="str">
        <v>0</v>
      </c>
      <c r="G973" s="2"/>
      <c r="I973" s="2" t="str">
        <f ca="1">IFERROR(__xludf.DUMMYFUNCTION("""COMPUTED_VALUE"""),"Nguyễn Minh Anh")</f>
        <v>Nguyễn Minh Anh</v>
      </c>
      <c r="J973" s="3" t="str">
        <f ca="1">IFERROR(__xludf.DUMMYFUNCTION("""COMPUTED_VALUE"""),"0862171107")</f>
        <v>0862171107</v>
      </c>
      <c r="K973" s="2" t="str">
        <f ca="1">IFERROR(__xludf.DUMMYFUNCTION("""COMPUTED_VALUE"""),"1754561143556")</f>
        <v>1754561143556</v>
      </c>
    </row>
    <row r="974" spans="1:11" ht="12.45">
      <c r="A974" s="2" t="str">
        <f ca="1">IFERROR(__xludf.DUMMYFUNCTION("""COMPUTED_VALUE"""),"1754561204348")</f>
        <v>1754561204348</v>
      </c>
      <c r="B974" s="2"/>
      <c r="C974" s="2" t="str">
        <v>0</v>
      </c>
      <c r="D974" s="2"/>
      <c r="E974" s="2"/>
      <c r="F974" s="2" t="str">
        <v>0</v>
      </c>
      <c r="G974" s="2"/>
      <c r="I974" s="2" t="str">
        <f ca="1">IFERROR(__xludf.DUMMYFUNCTION("""COMPUTED_VALUE"""),"Lưu Hà An")</f>
        <v>Lưu Hà An</v>
      </c>
      <c r="J974" s="3" t="str">
        <f ca="1">IFERROR(__xludf.DUMMYFUNCTION("""COMPUTED_VALUE"""),"0389791972")</f>
        <v>0389791972</v>
      </c>
      <c r="K974" s="2" t="str">
        <f ca="1">IFERROR(__xludf.DUMMYFUNCTION("""COMPUTED_VALUE"""),"1754561204348")</f>
        <v>1754561204348</v>
      </c>
    </row>
    <row r="975" spans="1:11" ht="12.45">
      <c r="A975" s="2" t="str">
        <f ca="1">IFERROR(__xludf.DUMMYFUNCTION("""COMPUTED_VALUE"""),"1754561259388")</f>
        <v>1754561259388</v>
      </c>
      <c r="B975" s="2"/>
      <c r="C975" s="2" t="str">
        <v>0</v>
      </c>
      <c r="D975" s="2"/>
      <c r="E975" s="2"/>
      <c r="F975" s="2" t="str">
        <v>0</v>
      </c>
      <c r="G975" s="2"/>
      <c r="I975" s="2" t="str">
        <f ca="1">IFERROR(__xludf.DUMMYFUNCTION("""COMPUTED_VALUE"""),"Tạ Thị Thanh Hiền")</f>
        <v>Tạ Thị Thanh Hiền</v>
      </c>
      <c r="J975" s="3" t="str">
        <f ca="1">IFERROR(__xludf.DUMMYFUNCTION("""COMPUTED_VALUE"""),"0962910526")</f>
        <v>0962910526</v>
      </c>
      <c r="K975" s="2" t="str">
        <f ca="1">IFERROR(__xludf.DUMMYFUNCTION("""COMPUTED_VALUE"""),"1754561259388")</f>
        <v>1754561259388</v>
      </c>
    </row>
    <row r="976" spans="1:11" ht="12.45">
      <c r="A976" s="2" t="str">
        <f ca="1">IFERROR(__xludf.DUMMYFUNCTION("""COMPUTED_VALUE"""),"1754561310310")</f>
        <v>1754561310310</v>
      </c>
      <c r="B976" s="2"/>
      <c r="C976" s="2" t="str">
        <v>0</v>
      </c>
      <c r="D976" s="2"/>
      <c r="E976" s="2"/>
      <c r="F976" s="2" t="str">
        <v>0</v>
      </c>
      <c r="G976" s="2"/>
      <c r="I976" s="2" t="str">
        <f ca="1">IFERROR(__xludf.DUMMYFUNCTION("""COMPUTED_VALUE"""),"Đoàn Thị Thanh Tâm")</f>
        <v>Đoàn Thị Thanh Tâm</v>
      </c>
      <c r="J976" s="3" t="str">
        <f ca="1">IFERROR(__xludf.DUMMYFUNCTION("""COMPUTED_VALUE"""),"0399461343")</f>
        <v>0399461343</v>
      </c>
      <c r="K976" s="2" t="str">
        <f ca="1">IFERROR(__xludf.DUMMYFUNCTION("""COMPUTED_VALUE"""),"1754561310310")</f>
        <v>1754561310310</v>
      </c>
    </row>
    <row r="977" spans="1:11" ht="12.45">
      <c r="A977" s="2" t="str">
        <f ca="1">IFERROR(__xludf.DUMMYFUNCTION("""COMPUTED_VALUE"""),"1754561352062")</f>
        <v>1754561352062</v>
      </c>
      <c r="B977" s="2"/>
      <c r="C977" s="2" t="str">
        <v>0</v>
      </c>
      <c r="D977" s="2"/>
      <c r="E977" s="2"/>
      <c r="F977" s="2" t="str">
        <v>0</v>
      </c>
      <c r="G977" s="2"/>
      <c r="I977" s="2" t="str">
        <f ca="1">IFERROR(__xludf.DUMMYFUNCTION("""COMPUTED_VALUE"""),"Chu Phương Linh")</f>
        <v>Chu Phương Linh</v>
      </c>
      <c r="J977" s="3" t="str">
        <f ca="1">IFERROR(__xludf.DUMMYFUNCTION("""COMPUTED_VALUE"""),"0815518228")</f>
        <v>0815518228</v>
      </c>
      <c r="K977" s="2" t="str">
        <f ca="1">IFERROR(__xludf.DUMMYFUNCTION("""COMPUTED_VALUE"""),"1754561352062")</f>
        <v>1754561352062</v>
      </c>
    </row>
    <row r="978" spans="1:11" ht="12.45">
      <c r="A978" s="2" t="str">
        <f ca="1">IFERROR(__xludf.DUMMYFUNCTION("""COMPUTED_VALUE"""),"1754561392328")</f>
        <v>1754561392328</v>
      </c>
      <c r="B978" s="2"/>
      <c r="C978" s="2" t="str">
        <v>0</v>
      </c>
      <c r="D978" s="2"/>
      <c r="E978" s="2"/>
      <c r="F978" s="2" t="str">
        <v>0</v>
      </c>
      <c r="G978" s="2"/>
      <c r="I978" s="2" t="str">
        <f ca="1">IFERROR(__xludf.DUMMYFUNCTION("""COMPUTED_VALUE"""),"Nguyễn Trà My ")</f>
        <v xml:space="preserve">Nguyễn Trà My </v>
      </c>
      <c r="J978" s="3" t="str">
        <f ca="1">IFERROR(__xludf.DUMMYFUNCTION("""COMPUTED_VALUE"""),"0334513118")</f>
        <v>0334513118</v>
      </c>
      <c r="K978" s="2" t="str">
        <f ca="1">IFERROR(__xludf.DUMMYFUNCTION("""COMPUTED_VALUE"""),"1754561392328")</f>
        <v>1754561392328</v>
      </c>
    </row>
    <row r="979" spans="1:11" ht="12.45">
      <c r="A979" s="2" t="str">
        <f ca="1">IFERROR(__xludf.DUMMYFUNCTION("""COMPUTED_VALUE"""),"1754561440119")</f>
        <v>1754561440119</v>
      </c>
      <c r="B979" s="2"/>
      <c r="C979" s="2" t="str">
        <v>0</v>
      </c>
      <c r="D979" s="2"/>
      <c r="E979" s="2"/>
      <c r="F979" s="2" t="str">
        <v>0</v>
      </c>
      <c r="G979" s="2"/>
      <c r="I979" s="2" t="str">
        <f ca="1">IFERROR(__xludf.DUMMYFUNCTION("""COMPUTED_VALUE"""),"Nguyễn Ngọc Thuỳ Trang")</f>
        <v>Nguyễn Ngọc Thuỳ Trang</v>
      </c>
      <c r="J979" s="3" t="str">
        <f ca="1">IFERROR(__xludf.DUMMYFUNCTION("""COMPUTED_VALUE"""),"0763470207")</f>
        <v>0763470207</v>
      </c>
      <c r="K979" s="2" t="str">
        <f ca="1">IFERROR(__xludf.DUMMYFUNCTION("""COMPUTED_VALUE"""),"1754561440119")</f>
        <v>1754561440119</v>
      </c>
    </row>
    <row r="980" spans="1:11" ht="12.45">
      <c r="A980" s="2" t="str">
        <f ca="1">IFERROR(__xludf.DUMMYFUNCTION("""COMPUTED_VALUE"""),"1754561490104")</f>
        <v>1754561490104</v>
      </c>
      <c r="B980" s="2"/>
      <c r="C980" s="2" t="str">
        <v>0</v>
      </c>
      <c r="D980" s="2"/>
      <c r="E980" s="2"/>
      <c r="F980" s="2" t="str">
        <v>0</v>
      </c>
      <c r="G980" s="2"/>
      <c r="I980" s="2" t="str">
        <f ca="1">IFERROR(__xludf.DUMMYFUNCTION("""COMPUTED_VALUE"""),"Hoàng Thu Trang")</f>
        <v>Hoàng Thu Trang</v>
      </c>
      <c r="J980" s="3" t="str">
        <f ca="1">IFERROR(__xludf.DUMMYFUNCTION("""COMPUTED_VALUE"""),"0763416278")</f>
        <v>0763416278</v>
      </c>
      <c r="K980" s="2" t="str">
        <f ca="1">IFERROR(__xludf.DUMMYFUNCTION("""COMPUTED_VALUE"""),"1754561490104")</f>
        <v>1754561490104</v>
      </c>
    </row>
    <row r="981" spans="1:11" ht="12.45">
      <c r="A981" s="2" t="str">
        <f ca="1">IFERROR(__xludf.DUMMYFUNCTION("""COMPUTED_VALUE"""),"1754561532515")</f>
        <v>1754561532515</v>
      </c>
      <c r="B981" s="2"/>
      <c r="C981" s="2" t="str">
        <v>0</v>
      </c>
      <c r="D981" s="2"/>
      <c r="E981" s="2"/>
      <c r="F981" s="2" t="str">
        <v>0</v>
      </c>
      <c r="G981" s="2"/>
      <c r="I981" s="2" t="str">
        <f ca="1">IFERROR(__xludf.DUMMYFUNCTION("""COMPUTED_VALUE"""),"Hà lan hương")</f>
        <v>Hà lan hương</v>
      </c>
      <c r="J981" s="3" t="str">
        <f ca="1">IFERROR(__xludf.DUMMYFUNCTION("""COMPUTED_VALUE"""),"0911002686")</f>
        <v>0911002686</v>
      </c>
      <c r="K981" s="2" t="str">
        <f ca="1">IFERROR(__xludf.DUMMYFUNCTION("""COMPUTED_VALUE"""),"1754561532515")</f>
        <v>1754561532515</v>
      </c>
    </row>
    <row r="982" spans="1:11" ht="12.45">
      <c r="A982" s="2" t="str">
        <f ca="1">IFERROR(__xludf.DUMMYFUNCTION("""COMPUTED_VALUE"""),"1754561582365")</f>
        <v>1754561582365</v>
      </c>
      <c r="B982" s="2"/>
      <c r="C982" s="2" t="str">
        <v>0</v>
      </c>
      <c r="D982" s="2"/>
      <c r="E982" s="2"/>
      <c r="F982" s="2" t="str">
        <v>0</v>
      </c>
      <c r="G982" s="2"/>
      <c r="I982" s="2" t="str">
        <f ca="1">IFERROR(__xludf.DUMMYFUNCTION("""COMPUTED_VALUE"""),"Nguyễn Kim Chi")</f>
        <v>Nguyễn Kim Chi</v>
      </c>
      <c r="J982" s="3" t="str">
        <f ca="1">IFERROR(__xludf.DUMMYFUNCTION("""COMPUTED_VALUE"""),"0827799298")</f>
        <v>0827799298</v>
      </c>
      <c r="K982" s="2" t="str">
        <f ca="1">IFERROR(__xludf.DUMMYFUNCTION("""COMPUTED_VALUE"""),"1754561582365")</f>
        <v>1754561582365</v>
      </c>
    </row>
    <row r="983" spans="1:11" ht="12.45">
      <c r="A983" s="2" t="str">
        <f ca="1">IFERROR(__xludf.DUMMYFUNCTION("""COMPUTED_VALUE"""),"1754561627680")</f>
        <v>1754561627680</v>
      </c>
      <c r="B983" s="2"/>
      <c r="C983" s="2" t="str">
        <v>0</v>
      </c>
      <c r="D983" s="2"/>
      <c r="E983" s="2"/>
      <c r="F983" s="2" t="str">
        <v>0</v>
      </c>
      <c r="G983" s="2"/>
      <c r="I983" s="2" t="str">
        <f ca="1">IFERROR(__xludf.DUMMYFUNCTION("""COMPUTED_VALUE"""),"Đặng Hoàng Vân Nhi")</f>
        <v>Đặng Hoàng Vân Nhi</v>
      </c>
      <c r="J983" s="3" t="str">
        <f ca="1">IFERROR(__xludf.DUMMYFUNCTION("""COMPUTED_VALUE"""),"0963863179")</f>
        <v>0963863179</v>
      </c>
      <c r="K983" s="2" t="str">
        <f ca="1">IFERROR(__xludf.DUMMYFUNCTION("""COMPUTED_VALUE"""),"1754561627680")</f>
        <v>1754561627680</v>
      </c>
    </row>
    <row r="984" spans="1:11" ht="12.45">
      <c r="A984" s="2" t="str">
        <f ca="1">IFERROR(__xludf.DUMMYFUNCTION("""COMPUTED_VALUE"""),"1754561682660")</f>
        <v>1754561682660</v>
      </c>
      <c r="B984" s="2"/>
      <c r="C984" s="2" t="str">
        <v>0</v>
      </c>
      <c r="D984" s="2"/>
      <c r="E984" s="2"/>
      <c r="F984" s="2" t="str">
        <v>0</v>
      </c>
      <c r="G984" s="2"/>
      <c r="I984" s="2" t="str">
        <f ca="1">IFERROR(__xludf.DUMMYFUNCTION("""COMPUTED_VALUE"""),"Đinh Thị Mỹ Hảo")</f>
        <v>Đinh Thị Mỹ Hảo</v>
      </c>
      <c r="J984" s="3" t="str">
        <f ca="1">IFERROR(__xludf.DUMMYFUNCTION("""COMPUTED_VALUE"""),"0369461149")</f>
        <v>0369461149</v>
      </c>
      <c r="K984" s="2" t="str">
        <f ca="1">IFERROR(__xludf.DUMMYFUNCTION("""COMPUTED_VALUE"""),"1754561682660")</f>
        <v>1754561682660</v>
      </c>
    </row>
    <row r="985" spans="1:11" ht="12.45">
      <c r="A985" s="2" t="str">
        <f ca="1">IFERROR(__xludf.DUMMYFUNCTION("""COMPUTED_VALUE"""),"1754561736411")</f>
        <v>1754561736411</v>
      </c>
      <c r="B985" s="2"/>
      <c r="C985" s="2" t="str">
        <v>0</v>
      </c>
      <c r="D985" s="2"/>
      <c r="E985" s="2"/>
      <c r="F985" s="2" t="str">
        <v>0</v>
      </c>
      <c r="G985" s="2"/>
      <c r="I985" s="2" t="str">
        <f ca="1">IFERROR(__xludf.DUMMYFUNCTION("""COMPUTED_VALUE"""),"Lê Thái Hà ")</f>
        <v xml:space="preserve">Lê Thái Hà </v>
      </c>
      <c r="J985" s="3" t="str">
        <f ca="1">IFERROR(__xludf.DUMMYFUNCTION("""COMPUTED_VALUE"""),"0346929078")</f>
        <v>0346929078</v>
      </c>
      <c r="K985" s="2" t="str">
        <f ca="1">IFERROR(__xludf.DUMMYFUNCTION("""COMPUTED_VALUE"""),"1754561736411")</f>
        <v>1754561736411</v>
      </c>
    </row>
    <row r="986" spans="1:11" ht="12.45">
      <c r="A986" s="2" t="str">
        <f ca="1">IFERROR(__xludf.DUMMYFUNCTION("""COMPUTED_VALUE"""),"1754561779201")</f>
        <v>1754561779201</v>
      </c>
      <c r="B986" s="2"/>
      <c r="C986" s="2" t="str">
        <v>0</v>
      </c>
      <c r="D986" s="2"/>
      <c r="E986" s="2"/>
      <c r="F986" s="2" t="str">
        <v>0</v>
      </c>
      <c r="G986" s="2"/>
      <c r="I986" s="2" t="str">
        <f ca="1">IFERROR(__xludf.DUMMYFUNCTION("""COMPUTED_VALUE"""),"Huỳnh Ánh Sao ")</f>
        <v xml:space="preserve">Huỳnh Ánh Sao </v>
      </c>
      <c r="J986" s="3" t="str">
        <f ca="1">IFERROR(__xludf.DUMMYFUNCTION("""COMPUTED_VALUE"""),"0862421804")</f>
        <v>0862421804</v>
      </c>
      <c r="K986" s="2" t="str">
        <f ca="1">IFERROR(__xludf.DUMMYFUNCTION("""COMPUTED_VALUE"""),"1754561779201")</f>
        <v>1754561779201</v>
      </c>
    </row>
    <row r="987" spans="1:11" ht="12.45">
      <c r="A987" s="2" t="str">
        <f ca="1">IFERROR(__xludf.DUMMYFUNCTION("""COMPUTED_VALUE"""),"1754561809088")</f>
        <v>1754561809088</v>
      </c>
      <c r="B987" s="2"/>
      <c r="C987" s="2" t="str">
        <v>0</v>
      </c>
      <c r="D987" s="2"/>
      <c r="E987" s="2"/>
      <c r="F987" s="2" t="str">
        <v>0</v>
      </c>
      <c r="G987" s="2"/>
      <c r="I987" s="2" t="str">
        <f ca="1">IFERROR(__xludf.DUMMYFUNCTION("""COMPUTED_VALUE"""),"Nguyễn Lan Hương")</f>
        <v>Nguyễn Lan Hương</v>
      </c>
      <c r="J987" s="3" t="str">
        <f ca="1">IFERROR(__xludf.DUMMYFUNCTION("""COMPUTED_VALUE"""),"0967817122")</f>
        <v>0967817122</v>
      </c>
      <c r="K987" s="2" t="str">
        <f ca="1">IFERROR(__xludf.DUMMYFUNCTION("""COMPUTED_VALUE"""),"1754561809088")</f>
        <v>1754561809088</v>
      </c>
    </row>
    <row r="988" spans="1:11" ht="12.45">
      <c r="A988" s="2" t="str">
        <f ca="1">IFERROR(__xludf.DUMMYFUNCTION("""COMPUTED_VALUE"""),"1754561854765")</f>
        <v>1754561854765</v>
      </c>
      <c r="B988" s="2"/>
      <c r="C988" s="2" t="str">
        <v>0</v>
      </c>
      <c r="D988" s="2"/>
      <c r="E988" s="2"/>
      <c r="F988" s="2" t="str">
        <v>0</v>
      </c>
      <c r="G988" s="2"/>
      <c r="I988" s="2" t="str">
        <f ca="1">IFERROR(__xludf.DUMMYFUNCTION("""COMPUTED_VALUE"""),"Đặng Trần Phương Vy")</f>
        <v>Đặng Trần Phương Vy</v>
      </c>
      <c r="J988" s="3" t="str">
        <f ca="1">IFERROR(__xludf.DUMMYFUNCTION("""COMPUTED_VALUE"""),"0919360627")</f>
        <v>0919360627</v>
      </c>
      <c r="K988" s="2" t="str">
        <f ca="1">IFERROR(__xludf.DUMMYFUNCTION("""COMPUTED_VALUE"""),"1754561854765")</f>
        <v>1754561854765</v>
      </c>
    </row>
    <row r="989" spans="1:11" ht="12.45">
      <c r="A989" s="2" t="str">
        <f ca="1">IFERROR(__xludf.DUMMYFUNCTION("""COMPUTED_VALUE"""),"1754561899714")</f>
        <v>1754561899714</v>
      </c>
      <c r="B989" s="2"/>
      <c r="C989" s="2" t="str">
        <v>0</v>
      </c>
      <c r="D989" s="2"/>
      <c r="E989" s="2"/>
      <c r="F989" s="2" t="str">
        <v>0</v>
      </c>
      <c r="G989" s="2"/>
      <c r="I989" s="2" t="str">
        <f ca="1">IFERROR(__xludf.DUMMYFUNCTION("""COMPUTED_VALUE"""),"Đinh Thị Lan Hương")</f>
        <v>Đinh Thị Lan Hương</v>
      </c>
      <c r="J989" s="3" t="str">
        <f ca="1">IFERROR(__xludf.DUMMYFUNCTION("""COMPUTED_VALUE"""),"0945497690")</f>
        <v>0945497690</v>
      </c>
      <c r="K989" s="2" t="str">
        <f ca="1">IFERROR(__xludf.DUMMYFUNCTION("""COMPUTED_VALUE"""),"1754561899714")</f>
        <v>1754561899714</v>
      </c>
    </row>
    <row r="990" spans="1:11" ht="12.45">
      <c r="A990" s="2" t="str">
        <f ca="1">IFERROR(__xludf.DUMMYFUNCTION("""COMPUTED_VALUE"""),"1754561936754")</f>
        <v>1754561936754</v>
      </c>
      <c r="B990" s="2"/>
      <c r="C990" s="2" t="str">
        <v>0</v>
      </c>
      <c r="D990" s="2"/>
      <c r="E990" s="2"/>
      <c r="F990" s="2" t="str">
        <v>0</v>
      </c>
      <c r="G990" s="2"/>
      <c r="I990" s="2" t="str">
        <f ca="1">IFERROR(__xludf.DUMMYFUNCTION("""COMPUTED_VALUE"""),"Trần Thị Tuyết Mai")</f>
        <v>Trần Thị Tuyết Mai</v>
      </c>
      <c r="J990" s="3" t="str">
        <f ca="1">IFERROR(__xludf.DUMMYFUNCTION("""COMPUTED_VALUE"""),"0356418372")</f>
        <v>0356418372</v>
      </c>
      <c r="K990" s="2" t="str">
        <f ca="1">IFERROR(__xludf.DUMMYFUNCTION("""COMPUTED_VALUE"""),"1754561936754")</f>
        <v>1754561936754</v>
      </c>
    </row>
    <row r="991" spans="1:11" ht="12.45">
      <c r="A991" s="2" t="str">
        <f ca="1">IFERROR(__xludf.DUMMYFUNCTION("""COMPUTED_VALUE"""),"1754561986430")</f>
        <v>1754561986430</v>
      </c>
      <c r="B991" s="2"/>
      <c r="C991" s="2" t="str">
        <v>0</v>
      </c>
      <c r="D991" s="2"/>
      <c r="E991" s="2"/>
      <c r="F991" s="2" t="str">
        <v>0</v>
      </c>
      <c r="G991" s="2"/>
      <c r="I991" s="2" t="str">
        <f ca="1">IFERROR(__xludf.DUMMYFUNCTION("""COMPUTED_VALUE"""),"Nguyễn Thành Long")</f>
        <v>Nguyễn Thành Long</v>
      </c>
      <c r="J991" s="3" t="str">
        <f ca="1">IFERROR(__xludf.DUMMYFUNCTION("""COMPUTED_VALUE"""),"0965351343")</f>
        <v>0965351343</v>
      </c>
      <c r="K991" s="2" t="str">
        <f ca="1">IFERROR(__xludf.DUMMYFUNCTION("""COMPUTED_VALUE"""),"1754561986430")</f>
        <v>1754561986430</v>
      </c>
    </row>
    <row r="992" spans="1:11" ht="12.45">
      <c r="A992" s="2" t="str">
        <f ca="1">IFERROR(__xludf.DUMMYFUNCTION("""COMPUTED_VALUE"""),"1754562034879")</f>
        <v>1754562034879</v>
      </c>
      <c r="B992" s="2"/>
      <c r="C992" s="2" t="str">
        <v>0</v>
      </c>
      <c r="D992" s="2"/>
      <c r="E992" s="2"/>
      <c r="F992" s="2" t="str">
        <v>0</v>
      </c>
      <c r="G992" s="2"/>
      <c r="I992" s="2" t="str">
        <f ca="1">IFERROR(__xludf.DUMMYFUNCTION("""COMPUTED_VALUE"""),"Lại Thị Huyền Trang")</f>
        <v>Lại Thị Huyền Trang</v>
      </c>
      <c r="J992" s="3" t="str">
        <f ca="1">IFERROR(__xludf.DUMMYFUNCTION("""COMPUTED_VALUE"""),"0332439719")</f>
        <v>0332439719</v>
      </c>
      <c r="K992" s="2" t="str">
        <f ca="1">IFERROR(__xludf.DUMMYFUNCTION("""COMPUTED_VALUE"""),"1754562034879")</f>
        <v>1754562034879</v>
      </c>
    </row>
    <row r="993" spans="1:11" ht="12.45">
      <c r="A993" s="2" t="str">
        <f ca="1">IFERROR(__xludf.DUMMYFUNCTION("""COMPUTED_VALUE"""),"1754562081796")</f>
        <v>1754562081796</v>
      </c>
      <c r="B993" s="2"/>
      <c r="C993" s="2" t="str">
        <v>0</v>
      </c>
      <c r="D993" s="2"/>
      <c r="E993" s="2"/>
      <c r="F993" s="2" t="str">
        <v>0</v>
      </c>
      <c r="G993" s="2"/>
      <c r="I993" s="2" t="str">
        <f ca="1">IFERROR(__xludf.DUMMYFUNCTION("""COMPUTED_VALUE"""),"Nguyễn Thị Thu Ngọc ")</f>
        <v xml:space="preserve">Nguyễn Thị Thu Ngọc </v>
      </c>
      <c r="J993" s="3" t="str">
        <f ca="1">IFERROR(__xludf.DUMMYFUNCTION("""COMPUTED_VALUE"""),"0824040245")</f>
        <v>0824040245</v>
      </c>
      <c r="K993" s="2" t="str">
        <f ca="1">IFERROR(__xludf.DUMMYFUNCTION("""COMPUTED_VALUE"""),"1754562081796")</f>
        <v>1754562081796</v>
      </c>
    </row>
    <row r="994" spans="1:11" ht="12.45">
      <c r="A994" s="2" t="str">
        <f ca="1">IFERROR(__xludf.DUMMYFUNCTION("""COMPUTED_VALUE"""),"1754562114304")</f>
        <v>1754562114304</v>
      </c>
      <c r="B994" s="2"/>
      <c r="C994" s="2" t="str">
        <v>0</v>
      </c>
      <c r="D994" s="2"/>
      <c r="E994" s="2"/>
      <c r="F994" s="2" t="str">
        <v>0</v>
      </c>
      <c r="G994" s="2"/>
      <c r="I994" s="2" t="str">
        <f ca="1">IFERROR(__xludf.DUMMYFUNCTION("""COMPUTED_VALUE"""),"Đoàn Minh Khang ")</f>
        <v xml:space="preserve">Đoàn Minh Khang </v>
      </c>
      <c r="J994" s="3" t="str">
        <f ca="1">IFERROR(__xludf.DUMMYFUNCTION("""COMPUTED_VALUE"""),"0865163425")</f>
        <v>0865163425</v>
      </c>
      <c r="K994" s="2" t="str">
        <f ca="1">IFERROR(__xludf.DUMMYFUNCTION("""COMPUTED_VALUE"""),"1754562114304")</f>
        <v>1754562114304</v>
      </c>
    </row>
    <row r="995" spans="1:11" ht="12.45">
      <c r="A995" s="2" t="str">
        <f ca="1">IFERROR(__xludf.DUMMYFUNCTION("""COMPUTED_VALUE"""),"1754562153677")</f>
        <v>1754562153677</v>
      </c>
      <c r="B995" s="2"/>
      <c r="C995" s="2" t="str">
        <v>0</v>
      </c>
      <c r="D995" s="2"/>
      <c r="E995" s="2"/>
      <c r="F995" s="2" t="str">
        <v>0</v>
      </c>
      <c r="G995" s="2"/>
      <c r="I995" s="2" t="str">
        <f ca="1">IFERROR(__xludf.DUMMYFUNCTION("""COMPUTED_VALUE"""),"Nguyễn Vũ Thu An")</f>
        <v>Nguyễn Vũ Thu An</v>
      </c>
      <c r="J995" s="3" t="str">
        <f ca="1">IFERROR(__xludf.DUMMYFUNCTION("""COMPUTED_VALUE"""),"0846060068")</f>
        <v>0846060068</v>
      </c>
      <c r="K995" s="2" t="str">
        <f ca="1">IFERROR(__xludf.DUMMYFUNCTION("""COMPUTED_VALUE"""),"1754562153677")</f>
        <v>1754562153677</v>
      </c>
    </row>
    <row r="996" spans="1:11" ht="12.45">
      <c r="A996" s="2" t="str">
        <f ca="1">IFERROR(__xludf.DUMMYFUNCTION("""COMPUTED_VALUE"""),"1754562192456")</f>
        <v>1754562192456</v>
      </c>
      <c r="B996" s="2"/>
      <c r="C996" s="2" t="str">
        <v>0</v>
      </c>
      <c r="D996" s="2"/>
      <c r="E996" s="2"/>
      <c r="F996" s="2" t="str">
        <v>0</v>
      </c>
      <c r="G996" s="2"/>
      <c r="I996" s="2" t="str">
        <f ca="1">IFERROR(__xludf.DUMMYFUNCTION("""COMPUTED_VALUE"""),"Trần Thị Ly Băng")</f>
        <v>Trần Thị Ly Băng</v>
      </c>
      <c r="J996" s="3" t="str">
        <f ca="1">IFERROR(__xludf.DUMMYFUNCTION("""COMPUTED_VALUE"""),"0354782007")</f>
        <v>0354782007</v>
      </c>
      <c r="K996" s="2" t="str">
        <f ca="1">IFERROR(__xludf.DUMMYFUNCTION("""COMPUTED_VALUE"""),"1754562192456")</f>
        <v>1754562192456</v>
      </c>
    </row>
    <row r="997" spans="1:11" ht="12.45">
      <c r="A997" s="2" t="str">
        <f ca="1">IFERROR(__xludf.DUMMYFUNCTION("""COMPUTED_VALUE"""),"1754562232143")</f>
        <v>1754562232143</v>
      </c>
      <c r="B997" s="2"/>
      <c r="C997" s="2" t="str">
        <v>0</v>
      </c>
      <c r="D997" s="2"/>
      <c r="E997" s="2"/>
      <c r="F997" s="2" t="str">
        <v>0</v>
      </c>
      <c r="G997" s="2"/>
      <c r="I997" s="2" t="str">
        <f ca="1">IFERROR(__xludf.DUMMYFUNCTION("""COMPUTED_VALUE"""),"Lê Phạm Bảo Linh ")</f>
        <v xml:space="preserve">Lê Phạm Bảo Linh </v>
      </c>
      <c r="J997" s="3" t="str">
        <f ca="1">IFERROR(__xludf.DUMMYFUNCTION("""COMPUTED_VALUE"""),"0329393605")</f>
        <v>0329393605</v>
      </c>
      <c r="K997" s="2" t="str">
        <f ca="1">IFERROR(__xludf.DUMMYFUNCTION("""COMPUTED_VALUE"""),"1754562232143")</f>
        <v>1754562232143</v>
      </c>
    </row>
    <row r="998" spans="1:11" ht="12.45">
      <c r="A998" s="2" t="str">
        <f ca="1">IFERROR(__xludf.DUMMYFUNCTION("""COMPUTED_VALUE"""),"1754562278419")</f>
        <v>1754562278419</v>
      </c>
      <c r="B998" s="2"/>
      <c r="C998" s="2" t="str">
        <v>0</v>
      </c>
      <c r="D998" s="2"/>
      <c r="E998" s="2"/>
      <c r="F998" s="2" t="str">
        <v>0</v>
      </c>
      <c r="G998" s="2"/>
      <c r="I998" s="2" t="str">
        <f ca="1">IFERROR(__xludf.DUMMYFUNCTION("""COMPUTED_VALUE"""),"Đoàn Thị Như Ngọc")</f>
        <v>Đoàn Thị Như Ngọc</v>
      </c>
      <c r="J998" s="3" t="str">
        <f ca="1">IFERROR(__xludf.DUMMYFUNCTION("""COMPUTED_VALUE"""),"0367154730")</f>
        <v>0367154730</v>
      </c>
      <c r="K998" s="2" t="str">
        <f ca="1">IFERROR(__xludf.DUMMYFUNCTION("""COMPUTED_VALUE"""),"1754562278419")</f>
        <v>1754562278419</v>
      </c>
    </row>
    <row r="999" spans="1:11" ht="12.45">
      <c r="A999" s="2" t="str">
        <f ca="1">IFERROR(__xludf.DUMMYFUNCTION("""COMPUTED_VALUE"""),"1754562324407")</f>
        <v>1754562324407</v>
      </c>
      <c r="B999" s="2"/>
      <c r="C999" s="2" t="str">
        <v>0</v>
      </c>
      <c r="D999" s="2"/>
      <c r="E999" s="2"/>
      <c r="F999" s="2" t="str">
        <v>0</v>
      </c>
      <c r="G999" s="2"/>
      <c r="I999" s="2" t="str">
        <f ca="1">IFERROR(__xludf.DUMMYFUNCTION("""COMPUTED_VALUE"""),"Nguyễn Đức Huy")</f>
        <v>Nguyễn Đức Huy</v>
      </c>
      <c r="J999" s="3" t="str">
        <f ca="1">IFERROR(__xludf.DUMMYFUNCTION("""COMPUTED_VALUE"""),"0373770745")</f>
        <v>0373770745</v>
      </c>
      <c r="K999" s="2" t="str">
        <f ca="1">IFERROR(__xludf.DUMMYFUNCTION("""COMPUTED_VALUE"""),"1754562324407")</f>
        <v>1754562324407</v>
      </c>
    </row>
    <row r="1000" spans="1:11" ht="12.45">
      <c r="A1000" s="2" t="str">
        <f ca="1">IFERROR(__xludf.DUMMYFUNCTION("""COMPUTED_VALUE"""),"1754562395166")</f>
        <v>1754562395166</v>
      </c>
      <c r="B1000" s="2"/>
      <c r="C1000" s="2" t="str">
        <v>0</v>
      </c>
      <c r="D1000" s="2"/>
      <c r="E1000" s="2"/>
      <c r="F1000" s="2" t="str">
        <v>0</v>
      </c>
      <c r="G1000" s="2"/>
      <c r="I1000" s="2" t="str">
        <f ca="1">IFERROR(__xludf.DUMMYFUNCTION("""COMPUTED_VALUE"""),"Nguyễn Vũ Song Lam ")</f>
        <v xml:space="preserve">Nguyễn Vũ Song Lam </v>
      </c>
      <c r="J1000" s="3" t="str">
        <f ca="1">IFERROR(__xludf.DUMMYFUNCTION("""COMPUTED_VALUE"""),"0833588007")</f>
        <v>0833588007</v>
      </c>
      <c r="K1000" s="2" t="str">
        <f ca="1">IFERROR(__xludf.DUMMYFUNCTION("""COMPUTED_VALUE"""),"1754562395166")</f>
        <v>1754562395166</v>
      </c>
    </row>
    <row r="1001" spans="1:11" ht="12.45">
      <c r="A1001" s="2" t="str">
        <f ca="1">IFERROR(__xludf.DUMMYFUNCTION("""COMPUTED_VALUE"""),"1754562479878")</f>
        <v>1754562479878</v>
      </c>
      <c r="B1001" s="2"/>
      <c r="C1001" s="2" t="str">
        <v>0</v>
      </c>
      <c r="D1001" s="2"/>
      <c r="E1001" s="2"/>
      <c r="F1001" s="2" t="str">
        <v>0</v>
      </c>
      <c r="G1001" s="2"/>
      <c r="I1001" s="2" t="str">
        <f ca="1">IFERROR(__xludf.DUMMYFUNCTION("""COMPUTED_VALUE"""),"Vũ Thư")</f>
        <v>Vũ Thư</v>
      </c>
      <c r="J1001" s="3" t="str">
        <f ca="1">IFERROR(__xludf.DUMMYFUNCTION("""COMPUTED_VALUE"""),"0917005269")</f>
        <v>0917005269</v>
      </c>
      <c r="K1001" s="2" t="str">
        <f ca="1">IFERROR(__xludf.DUMMYFUNCTION("""COMPUTED_VALUE"""),"1754562479878")</f>
        <v>1754562479878</v>
      </c>
    </row>
    <row r="1002" spans="1:11" ht="12.45">
      <c r="A1002" s="2" t="str">
        <f ca="1">IFERROR(__xludf.DUMMYFUNCTION("""COMPUTED_VALUE"""),"1754562517273")</f>
        <v>1754562517273</v>
      </c>
      <c r="B1002" s="2"/>
      <c r="C1002" s="2" t="str">
        <v>0</v>
      </c>
      <c r="D1002" s="2"/>
      <c r="E1002" s="2"/>
      <c r="F1002" s="2" t="str">
        <v>0</v>
      </c>
      <c r="G1002" s="2"/>
      <c r="I1002" s="2" t="str">
        <f ca="1">IFERROR(__xludf.DUMMYFUNCTION("""COMPUTED_VALUE"""),"Vũ Hoàng Oanh")</f>
        <v>Vũ Hoàng Oanh</v>
      </c>
      <c r="J1002" s="3" t="str">
        <f ca="1">IFERROR(__xludf.DUMMYFUNCTION("""COMPUTED_VALUE"""),"0886915515")</f>
        <v>0886915515</v>
      </c>
      <c r="K1002" s="2" t="str">
        <f ca="1">IFERROR(__xludf.DUMMYFUNCTION("""COMPUTED_VALUE"""),"1754562517273")</f>
        <v>1754562517273</v>
      </c>
    </row>
    <row r="1003" spans="1:11" ht="12.45">
      <c r="A1003" s="2" t="str">
        <f ca="1">IFERROR(__xludf.DUMMYFUNCTION("""COMPUTED_VALUE"""),"1754562568574")</f>
        <v>1754562568574</v>
      </c>
      <c r="B1003" s="2"/>
      <c r="C1003" s="2" t="str">
        <v>0</v>
      </c>
      <c r="D1003" s="2"/>
      <c r="E1003" s="2"/>
      <c r="F1003" s="2" t="str">
        <v>0</v>
      </c>
      <c r="G1003" s="2"/>
      <c r="I1003" s="2" t="str">
        <f ca="1">IFERROR(__xludf.DUMMYFUNCTION("""COMPUTED_VALUE"""),"Trần Nguyên Anh Thơ ")</f>
        <v xml:space="preserve">Trần Nguyên Anh Thơ </v>
      </c>
      <c r="J1003" s="3" t="str">
        <f ca="1">IFERROR(__xludf.DUMMYFUNCTION("""COMPUTED_VALUE"""),"0905083121")</f>
        <v>0905083121</v>
      </c>
      <c r="K1003" s="2" t="str">
        <f ca="1">IFERROR(__xludf.DUMMYFUNCTION("""COMPUTED_VALUE"""),"1754562568574")</f>
        <v>1754562568574</v>
      </c>
    </row>
    <row r="1004" spans="1:11" ht="12.45">
      <c r="A1004" s="2" t="str">
        <f ca="1">IFERROR(__xludf.DUMMYFUNCTION("""COMPUTED_VALUE"""),"1754562616626")</f>
        <v>1754562616626</v>
      </c>
      <c r="B1004" s="2"/>
      <c r="C1004" s="2" t="str">
        <v>0</v>
      </c>
      <c r="D1004" s="2"/>
      <c r="E1004" s="2"/>
      <c r="F1004" s="2" t="str">
        <v>0</v>
      </c>
      <c r="G1004" s="2"/>
      <c r="I1004" s="2" t="str">
        <f ca="1">IFERROR(__xludf.DUMMYFUNCTION("""COMPUTED_VALUE"""),"Nguyễn Ngọc Hà")</f>
        <v>Nguyễn Ngọc Hà</v>
      </c>
      <c r="J1004" s="3" t="str">
        <f ca="1">IFERROR(__xludf.DUMMYFUNCTION("""COMPUTED_VALUE"""),"0849245686")</f>
        <v>0849245686</v>
      </c>
      <c r="K1004" s="2" t="str">
        <f ca="1">IFERROR(__xludf.DUMMYFUNCTION("""COMPUTED_VALUE"""),"1754562616626")</f>
        <v>1754562616626</v>
      </c>
    </row>
    <row r="1005" spans="1:11" ht="12.45">
      <c r="A1005" s="2" t="str">
        <f ca="1">IFERROR(__xludf.DUMMYFUNCTION("""COMPUTED_VALUE"""),"1754562645824")</f>
        <v>1754562645824</v>
      </c>
      <c r="B1005" s="2"/>
      <c r="C1005" s="2" t="str">
        <v>0</v>
      </c>
      <c r="D1005" s="2"/>
      <c r="E1005" s="2"/>
      <c r="F1005" s="2" t="str">
        <v>0</v>
      </c>
      <c r="G1005" s="2"/>
      <c r="I1005" s="2" t="str">
        <f ca="1">IFERROR(__xludf.DUMMYFUNCTION("""COMPUTED_VALUE"""),"Nguyễn Thu Nhi")</f>
        <v>Nguyễn Thu Nhi</v>
      </c>
      <c r="J1005" s="3" t="str">
        <f ca="1">IFERROR(__xludf.DUMMYFUNCTION("""COMPUTED_VALUE"""),"0365300643")</f>
        <v>0365300643</v>
      </c>
      <c r="K1005" s="2" t="str">
        <f ca="1">IFERROR(__xludf.DUMMYFUNCTION("""COMPUTED_VALUE"""),"1754562645824")</f>
        <v>1754562645824</v>
      </c>
    </row>
    <row r="1006" spans="1:11" ht="12.45">
      <c r="A1006" s="2" t="str">
        <f ca="1">IFERROR(__xludf.DUMMYFUNCTION("""COMPUTED_VALUE"""),"1754562682498")</f>
        <v>1754562682498</v>
      </c>
      <c r="B1006" s="2"/>
      <c r="C1006" s="2" t="str">
        <v>0</v>
      </c>
      <c r="D1006" s="2"/>
      <c r="E1006" s="2"/>
      <c r="F1006" s="2" t="str">
        <v>0</v>
      </c>
      <c r="G1006" s="2"/>
      <c r="I1006" s="2" t="str">
        <f ca="1">IFERROR(__xludf.DUMMYFUNCTION("""COMPUTED_VALUE"""),"Phạm Quốc Hungg")</f>
        <v>Phạm Quốc Hungg</v>
      </c>
      <c r="J1006" s="3" t="str">
        <f ca="1">IFERROR(__xludf.DUMMYFUNCTION("""COMPUTED_VALUE"""),"0916236436")</f>
        <v>0916236436</v>
      </c>
      <c r="K1006" s="2" t="str">
        <f ca="1">IFERROR(__xludf.DUMMYFUNCTION("""COMPUTED_VALUE"""),"1754562682498")</f>
        <v>1754562682498</v>
      </c>
    </row>
    <row r="1007" spans="1:11" ht="12.45">
      <c r="A1007" s="2" t="str">
        <f ca="1">IFERROR(__xludf.DUMMYFUNCTION("""COMPUTED_VALUE"""),"1754562743831")</f>
        <v>1754562743831</v>
      </c>
      <c r="B1007" s="2"/>
      <c r="C1007" s="2" t="str">
        <v>0</v>
      </c>
      <c r="D1007" s="2"/>
      <c r="E1007" s="2"/>
      <c r="F1007" s="2" t="str">
        <v>0</v>
      </c>
      <c r="G1007" s="2"/>
      <c r="I1007" s="2" t="str">
        <f ca="1">IFERROR(__xludf.DUMMYFUNCTION("""COMPUTED_VALUE"""),"Bùi Yến Ngọc")</f>
        <v>Bùi Yến Ngọc</v>
      </c>
      <c r="J1007" s="3" t="str">
        <f ca="1">IFERROR(__xludf.DUMMYFUNCTION("""COMPUTED_VALUE"""),"0908992167")</f>
        <v>0908992167</v>
      </c>
      <c r="K1007" s="2" t="str">
        <f ca="1">IFERROR(__xludf.DUMMYFUNCTION("""COMPUTED_VALUE"""),"1754562743831")</f>
        <v>1754562743831</v>
      </c>
    </row>
    <row r="1008" spans="1:11" ht="12.45">
      <c r="A1008" s="2" t="str">
        <f ca="1">IFERROR(__xludf.DUMMYFUNCTION("""COMPUTED_VALUE"""),"1754562781880")</f>
        <v>1754562781880</v>
      </c>
      <c r="B1008" s="2"/>
      <c r="C1008" s="2" t="str">
        <v>0</v>
      </c>
      <c r="D1008" s="2"/>
      <c r="E1008" s="2"/>
      <c r="F1008" s="2" t="str">
        <v>0</v>
      </c>
      <c r="G1008" s="2"/>
      <c r="I1008" s="2" t="str">
        <f ca="1">IFERROR(__xludf.DUMMYFUNCTION("""COMPUTED_VALUE"""),"Nguyễn Thanh Quy")</f>
        <v>Nguyễn Thanh Quy</v>
      </c>
      <c r="J1008" s="3" t="str">
        <f ca="1">IFERROR(__xludf.DUMMYFUNCTION("""COMPUTED_VALUE"""),"0772802624")</f>
        <v>0772802624</v>
      </c>
      <c r="K1008" s="2" t="str">
        <f ca="1">IFERROR(__xludf.DUMMYFUNCTION("""COMPUTED_VALUE"""),"1754562781880")</f>
        <v>1754562781880</v>
      </c>
    </row>
    <row r="1009" spans="1:11" ht="12.45">
      <c r="A1009" s="2" t="str">
        <f ca="1">IFERROR(__xludf.DUMMYFUNCTION("""COMPUTED_VALUE"""),"1754562830338")</f>
        <v>1754562830338</v>
      </c>
      <c r="B1009" s="2"/>
      <c r="C1009" s="2" t="str">
        <v>0</v>
      </c>
      <c r="D1009" s="2"/>
      <c r="E1009" s="2"/>
      <c r="F1009" s="2" t="str">
        <v>0</v>
      </c>
      <c r="G1009" s="2"/>
      <c r="I1009" s="2" t="str">
        <f ca="1">IFERROR(__xludf.DUMMYFUNCTION("""COMPUTED_VALUE"""),"Nguyễn Gia Mỹ ")</f>
        <v xml:space="preserve">Nguyễn Gia Mỹ </v>
      </c>
      <c r="J1009" s="3" t="str">
        <f ca="1">IFERROR(__xludf.DUMMYFUNCTION("""COMPUTED_VALUE"""),"0366604398")</f>
        <v>0366604398</v>
      </c>
      <c r="K1009" s="2" t="str">
        <f ca="1">IFERROR(__xludf.DUMMYFUNCTION("""COMPUTED_VALUE"""),"1754562830338")</f>
        <v>1754562830338</v>
      </c>
    </row>
    <row r="1010" spans="1:11" ht="12.45">
      <c r="A1010" s="2" t="str">
        <f ca="1">IFERROR(__xludf.DUMMYFUNCTION("""COMPUTED_VALUE"""),"1754562893372")</f>
        <v>1754562893372</v>
      </c>
      <c r="B1010" s="2"/>
      <c r="C1010" s="2" t="str">
        <v>0</v>
      </c>
      <c r="D1010" s="2"/>
      <c r="E1010" s="2"/>
      <c r="F1010" s="2" t="str">
        <v>0</v>
      </c>
      <c r="G1010" s="2"/>
      <c r="I1010" s="2" t="str">
        <f ca="1">IFERROR(__xludf.DUMMYFUNCTION("""COMPUTED_VALUE"""),"Lê Kim Khánh ")</f>
        <v xml:space="preserve">Lê Kim Khánh </v>
      </c>
      <c r="J1010" s="3" t="str">
        <f ca="1">IFERROR(__xludf.DUMMYFUNCTION("""COMPUTED_VALUE"""),"0903097607")</f>
        <v>0903097607</v>
      </c>
      <c r="K1010" s="2" t="str">
        <f ca="1">IFERROR(__xludf.DUMMYFUNCTION("""COMPUTED_VALUE"""),"1754562893372")</f>
        <v>1754562893372</v>
      </c>
    </row>
    <row r="1011" spans="1:11" ht="12.45">
      <c r="A1011" s="2" t="str">
        <f ca="1">IFERROR(__xludf.DUMMYFUNCTION("""COMPUTED_VALUE"""),"1754562946101")</f>
        <v>1754562946101</v>
      </c>
      <c r="B1011" s="2"/>
      <c r="C1011" s="2" t="str">
        <v>0</v>
      </c>
      <c r="D1011" s="2"/>
      <c r="E1011" s="2"/>
      <c r="F1011" s="2" t="str">
        <v>0</v>
      </c>
      <c r="G1011" s="2"/>
      <c r="I1011" s="2" t="str">
        <f ca="1">IFERROR(__xludf.DUMMYFUNCTION("""COMPUTED_VALUE"""),"Văn Thị Mỹ Vi")</f>
        <v>Văn Thị Mỹ Vi</v>
      </c>
      <c r="J1011" s="3" t="str">
        <f ca="1">IFERROR(__xludf.DUMMYFUNCTION("""COMPUTED_VALUE"""),"0826722077")</f>
        <v>0826722077</v>
      </c>
      <c r="K1011" s="2" t="str">
        <f ca="1">IFERROR(__xludf.DUMMYFUNCTION("""COMPUTED_VALUE"""),"1754562946101")</f>
        <v>1754562946101</v>
      </c>
    </row>
    <row r="1012" spans="1:11" ht="12.45">
      <c r="A1012" s="2" t="str">
        <f ca="1">IFERROR(__xludf.DUMMYFUNCTION("""COMPUTED_VALUE"""),"1754562990553")</f>
        <v>1754562990553</v>
      </c>
      <c r="B1012" s="2"/>
      <c r="C1012" s="2" t="str">
        <v>0</v>
      </c>
      <c r="D1012" s="2"/>
      <c r="E1012" s="2"/>
      <c r="F1012" s="2" t="str">
        <v>0</v>
      </c>
      <c r="G1012" s="2"/>
      <c r="I1012" s="2" t="str">
        <f ca="1">IFERROR(__xludf.DUMMYFUNCTION("""COMPUTED_VALUE"""),"Nguyễn Thị Yến Quy ")</f>
        <v xml:space="preserve">Nguyễn Thị Yến Quy </v>
      </c>
      <c r="J1012" s="3" t="str">
        <f ca="1">IFERROR(__xludf.DUMMYFUNCTION("""COMPUTED_VALUE"""),"0886760703")</f>
        <v>0886760703</v>
      </c>
      <c r="K1012" s="2" t="str">
        <f ca="1">IFERROR(__xludf.DUMMYFUNCTION("""COMPUTED_VALUE"""),"1754562990553")</f>
        <v>1754562990553</v>
      </c>
    </row>
    <row r="1013" spans="1:11" ht="12.45">
      <c r="A1013" s="2" t="str">
        <f ca="1">IFERROR(__xludf.DUMMYFUNCTION("""COMPUTED_VALUE"""),"1754563053883")</f>
        <v>1754563053883</v>
      </c>
      <c r="B1013" s="2"/>
      <c r="C1013" s="2" t="str">
        <v>0</v>
      </c>
      <c r="D1013" s="2"/>
      <c r="E1013" s="2"/>
      <c r="F1013" s="2" t="str">
        <v>0</v>
      </c>
      <c r="G1013" s="2"/>
      <c r="I1013" s="2" t="str">
        <f ca="1">IFERROR(__xludf.DUMMYFUNCTION("""COMPUTED_VALUE"""),"Lê Trần Như Ngọc")</f>
        <v>Lê Trần Như Ngọc</v>
      </c>
      <c r="J1013" s="3" t="str">
        <f ca="1">IFERROR(__xludf.DUMMYFUNCTION("""COMPUTED_VALUE"""),"0326781742")</f>
        <v>0326781742</v>
      </c>
      <c r="K1013" s="2" t="str">
        <f ca="1">IFERROR(__xludf.DUMMYFUNCTION("""COMPUTED_VALUE"""),"1754563053883")</f>
        <v>1754563053883</v>
      </c>
    </row>
    <row r="1014" spans="1:11" ht="12.45">
      <c r="A1014" s="2" t="str">
        <f ca="1">IFERROR(__xludf.DUMMYFUNCTION("""COMPUTED_VALUE"""),"1754563088890")</f>
        <v>1754563088890</v>
      </c>
      <c r="B1014" s="2"/>
      <c r="C1014" s="2" t="str">
        <v>0</v>
      </c>
      <c r="D1014" s="2"/>
      <c r="E1014" s="2"/>
      <c r="F1014" s="2" t="str">
        <v>0</v>
      </c>
      <c r="G1014" s="2"/>
      <c r="I1014" s="2" t="str">
        <f ca="1">IFERROR(__xludf.DUMMYFUNCTION("""COMPUTED_VALUE"""),"Trần Huỳnh Mẫn Nghi")</f>
        <v>Trần Huỳnh Mẫn Nghi</v>
      </c>
      <c r="J1014" s="3" t="str">
        <f ca="1">IFERROR(__xludf.DUMMYFUNCTION("""COMPUTED_VALUE"""),"0902670934")</f>
        <v>0902670934</v>
      </c>
      <c r="K1014" s="2" t="str">
        <f ca="1">IFERROR(__xludf.DUMMYFUNCTION("""COMPUTED_VALUE"""),"1754563088890")</f>
        <v>1754563088890</v>
      </c>
    </row>
    <row r="1015" spans="1:11" ht="12.45">
      <c r="A1015" s="2" t="str">
        <f ca="1">IFERROR(__xludf.DUMMYFUNCTION("""COMPUTED_VALUE"""),"1754563133384")</f>
        <v>1754563133384</v>
      </c>
      <c r="B1015" s="2"/>
      <c r="C1015" s="2" t="str">
        <v>0</v>
      </c>
      <c r="D1015" s="2"/>
      <c r="E1015" s="2"/>
      <c r="F1015" s="2" t="str">
        <v>0</v>
      </c>
      <c r="G1015" s="2"/>
      <c r="I1015" s="2" t="str">
        <f ca="1">IFERROR(__xludf.DUMMYFUNCTION("""COMPUTED_VALUE"""),"Vũ Ngọc Lam")</f>
        <v>Vũ Ngọc Lam</v>
      </c>
      <c r="J1015" s="3" t="str">
        <f ca="1">IFERROR(__xludf.DUMMYFUNCTION("""COMPUTED_VALUE"""),"0353251719")</f>
        <v>0353251719</v>
      </c>
      <c r="K1015" s="2" t="str">
        <f ca="1">IFERROR(__xludf.DUMMYFUNCTION("""COMPUTED_VALUE"""),"1754563133384")</f>
        <v>1754563133384</v>
      </c>
    </row>
    <row r="1016" spans="1:11" ht="12.45">
      <c r="A1016" s="2" t="str">
        <f ca="1">IFERROR(__xludf.DUMMYFUNCTION("""COMPUTED_VALUE"""),"1754563167070")</f>
        <v>1754563167070</v>
      </c>
      <c r="B1016" s="2"/>
      <c r="C1016" s="2" t="str">
        <v>0</v>
      </c>
      <c r="D1016" s="2"/>
      <c r="E1016" s="2"/>
      <c r="F1016" s="2" t="str">
        <v>0</v>
      </c>
      <c r="G1016" s="2"/>
      <c r="I1016" s="2" t="str">
        <f ca="1">IFERROR(__xludf.DUMMYFUNCTION("""COMPUTED_VALUE"""),"Lê Đoàn Anh Thư")</f>
        <v>Lê Đoàn Anh Thư</v>
      </c>
      <c r="J1016" s="3" t="str">
        <f ca="1">IFERROR(__xludf.DUMMYFUNCTION("""COMPUTED_VALUE"""),"0327505207")</f>
        <v>0327505207</v>
      </c>
      <c r="K1016" s="2" t="str">
        <f ca="1">IFERROR(__xludf.DUMMYFUNCTION("""COMPUTED_VALUE"""),"1754563167070")</f>
        <v>1754563167070</v>
      </c>
    </row>
    <row r="1017" spans="1:11" ht="12.45">
      <c r="A1017" s="2" t="str">
        <f ca="1">IFERROR(__xludf.DUMMYFUNCTION("""COMPUTED_VALUE"""),"1754563225185")</f>
        <v>1754563225185</v>
      </c>
      <c r="B1017" s="2"/>
      <c r="C1017" s="2" t="str">
        <v>0</v>
      </c>
      <c r="D1017" s="2"/>
      <c r="E1017" s="2"/>
      <c r="F1017" s="2" t="str">
        <v>0</v>
      </c>
      <c r="G1017" s="2"/>
      <c r="I1017" s="2" t="str">
        <f ca="1">IFERROR(__xludf.DUMMYFUNCTION("""COMPUTED_VALUE"""),"Phạm Ngọc Mai")</f>
        <v>Phạm Ngọc Mai</v>
      </c>
      <c r="J1017" s="3" t="str">
        <f ca="1">IFERROR(__xludf.DUMMYFUNCTION("""COMPUTED_VALUE"""),"0787057323")</f>
        <v>0787057323</v>
      </c>
      <c r="K1017" s="2" t="str">
        <f ca="1">IFERROR(__xludf.DUMMYFUNCTION("""COMPUTED_VALUE"""),"1754563225185")</f>
        <v>1754563225185</v>
      </c>
    </row>
    <row r="1018" spans="1:11" ht="12.45">
      <c r="A1018" s="2" t="str">
        <f ca="1">IFERROR(__xludf.DUMMYFUNCTION("""COMPUTED_VALUE"""),"1754563279033")</f>
        <v>1754563279033</v>
      </c>
      <c r="B1018" s="2"/>
      <c r="C1018" s="2" t="str">
        <v>0</v>
      </c>
      <c r="D1018" s="2"/>
      <c r="E1018" s="2"/>
      <c r="F1018" s="2" t="str">
        <v>0</v>
      </c>
      <c r="G1018" s="2"/>
      <c r="I1018" s="2" t="str">
        <f ca="1">IFERROR(__xludf.DUMMYFUNCTION("""COMPUTED_VALUE"""),"Ngô Tâm Đoan")</f>
        <v>Ngô Tâm Đoan</v>
      </c>
      <c r="J1018" s="3" t="str">
        <f ca="1">IFERROR(__xludf.DUMMYFUNCTION("""COMPUTED_VALUE"""),"0375041544")</f>
        <v>0375041544</v>
      </c>
      <c r="K1018" s="2" t="str">
        <f ca="1">IFERROR(__xludf.DUMMYFUNCTION("""COMPUTED_VALUE"""),"1754563279033")</f>
        <v>1754563279033</v>
      </c>
    </row>
    <row r="1019" spans="1:11" ht="12.45">
      <c r="A1019" s="2" t="str">
        <f ca="1">IFERROR(__xludf.DUMMYFUNCTION("""COMPUTED_VALUE"""),"1754563327475")</f>
        <v>1754563327475</v>
      </c>
      <c r="B1019" s="2"/>
      <c r="C1019" s="2" t="str">
        <v>0</v>
      </c>
      <c r="D1019" s="2"/>
      <c r="E1019" s="2"/>
      <c r="F1019" s="2" t="str">
        <v>0</v>
      </c>
      <c r="G1019" s="2"/>
      <c r="I1019" s="2" t="str">
        <f ca="1">IFERROR(__xludf.DUMMYFUNCTION("""COMPUTED_VALUE"""),"Bùi Thị Hương Giang ")</f>
        <v xml:space="preserve">Bùi Thị Hương Giang </v>
      </c>
      <c r="J1019" s="3" t="str">
        <f ca="1">IFERROR(__xludf.DUMMYFUNCTION("""COMPUTED_VALUE"""),"0797567265")</f>
        <v>0797567265</v>
      </c>
      <c r="K1019" s="2" t="str">
        <f ca="1">IFERROR(__xludf.DUMMYFUNCTION("""COMPUTED_VALUE"""),"1754563327475")</f>
        <v>1754563327475</v>
      </c>
    </row>
    <row r="1020" spans="1:11" ht="12.45">
      <c r="A1020" s="2" t="str">
        <f ca="1">IFERROR(__xludf.DUMMYFUNCTION("""COMPUTED_VALUE"""),"1754563361922")</f>
        <v>1754563361922</v>
      </c>
      <c r="B1020" s="2"/>
      <c r="C1020" s="2" t="str">
        <v>0</v>
      </c>
      <c r="D1020" s="2"/>
      <c r="E1020" s="2"/>
      <c r="F1020" s="2" t="str">
        <v>0</v>
      </c>
      <c r="G1020" s="2"/>
      <c r="I1020" s="2" t="str">
        <f ca="1">IFERROR(__xludf.DUMMYFUNCTION("""COMPUTED_VALUE"""),"Vũ Khánh Linh")</f>
        <v>Vũ Khánh Linh</v>
      </c>
      <c r="J1020" s="3" t="str">
        <f ca="1">IFERROR(__xludf.DUMMYFUNCTION("""COMPUTED_VALUE"""),"0974376813")</f>
        <v>0974376813</v>
      </c>
      <c r="K1020" s="2" t="str">
        <f ca="1">IFERROR(__xludf.DUMMYFUNCTION("""COMPUTED_VALUE"""),"1754563361922")</f>
        <v>1754563361922</v>
      </c>
    </row>
    <row r="1021" spans="1:11" ht="12.45">
      <c r="A1021" s="2" t="str">
        <f ca="1">IFERROR(__xludf.DUMMYFUNCTION("""COMPUTED_VALUE"""),"1754563428337")</f>
        <v>1754563428337</v>
      </c>
      <c r="B1021" s="2"/>
      <c r="C1021" s="2" t="str">
        <v>0</v>
      </c>
      <c r="D1021" s="2"/>
      <c r="E1021" s="2"/>
      <c r="F1021" s="2" t="str">
        <v>0</v>
      </c>
      <c r="G1021" s="2"/>
      <c r="I1021" s="2" t="str">
        <f ca="1">IFERROR(__xludf.DUMMYFUNCTION("""COMPUTED_VALUE"""),"Võ Đoàn Gia Hân")</f>
        <v>Võ Đoàn Gia Hân</v>
      </c>
      <c r="J1021" s="3" t="str">
        <f ca="1">IFERROR(__xludf.DUMMYFUNCTION("""COMPUTED_VALUE"""),"0975841826")</f>
        <v>0975841826</v>
      </c>
      <c r="K1021" s="2" t="str">
        <f ca="1">IFERROR(__xludf.DUMMYFUNCTION("""COMPUTED_VALUE"""),"1754563428337")</f>
        <v>1754563428337</v>
      </c>
    </row>
    <row r="1022" spans="1:11" ht="12.45">
      <c r="A1022" s="2" t="str">
        <f ca="1">IFERROR(__xludf.DUMMYFUNCTION("""COMPUTED_VALUE"""),"1754563478713")</f>
        <v>1754563478713</v>
      </c>
      <c r="B1022" s="2"/>
      <c r="C1022" s="2" t="str">
        <v>0</v>
      </c>
      <c r="D1022" s="2"/>
      <c r="E1022" s="2"/>
      <c r="F1022" s="2" t="str">
        <v>0</v>
      </c>
      <c r="G1022" s="2"/>
      <c r="I1022" s="2" t="str">
        <f ca="1">IFERROR(__xludf.DUMMYFUNCTION("""COMPUTED_VALUE"""),"Nguyễn Hương Giang")</f>
        <v>Nguyễn Hương Giang</v>
      </c>
      <c r="J1022" s="3" t="str">
        <f ca="1">IFERROR(__xludf.DUMMYFUNCTION("""COMPUTED_VALUE"""),"0948863855")</f>
        <v>0948863855</v>
      </c>
      <c r="K1022" s="2" t="str">
        <f ca="1">IFERROR(__xludf.DUMMYFUNCTION("""COMPUTED_VALUE"""),"1754563478713")</f>
        <v>1754563478713</v>
      </c>
    </row>
    <row r="1023" spans="1:11" ht="12.45">
      <c r="A1023" s="2" t="str">
        <f ca="1">IFERROR(__xludf.DUMMYFUNCTION("""COMPUTED_VALUE"""),"1754563528957")</f>
        <v>1754563528957</v>
      </c>
      <c r="B1023" s="2"/>
      <c r="C1023" s="2" t="str">
        <v>0</v>
      </c>
      <c r="D1023" s="2"/>
      <c r="E1023" s="2"/>
      <c r="F1023" s="2" t="str">
        <v>0</v>
      </c>
      <c r="G1023" s="2"/>
      <c r="I1023" s="2" t="str">
        <f ca="1">IFERROR(__xludf.DUMMYFUNCTION("""COMPUTED_VALUE"""),"Khổng Thị Thanh Bình ")</f>
        <v xml:space="preserve">Khổng Thị Thanh Bình </v>
      </c>
      <c r="J1023" s="3" t="str">
        <f ca="1">IFERROR(__xludf.DUMMYFUNCTION("""COMPUTED_VALUE"""),"0962908962")</f>
        <v>0962908962</v>
      </c>
      <c r="K1023" s="2" t="str">
        <f ca="1">IFERROR(__xludf.DUMMYFUNCTION("""COMPUTED_VALUE"""),"1754563528957")</f>
        <v>1754563528957</v>
      </c>
    </row>
    <row r="1024" spans="1:11" ht="12.45">
      <c r="A1024" s="2" t="str">
        <f ca="1">IFERROR(__xludf.DUMMYFUNCTION("""COMPUTED_VALUE"""),"1754563568472")</f>
        <v>1754563568472</v>
      </c>
      <c r="B1024" s="2"/>
      <c r="C1024" s="2" t="str">
        <v>0</v>
      </c>
      <c r="D1024" s="2"/>
      <c r="E1024" s="2"/>
      <c r="F1024" s="2" t="str">
        <v>0</v>
      </c>
      <c r="G1024" s="2"/>
      <c r="I1024" s="2" t="str">
        <f ca="1">IFERROR(__xludf.DUMMYFUNCTION("""COMPUTED_VALUE"""),"Nguyễn Thị Hồng Nhung")</f>
        <v>Nguyễn Thị Hồng Nhung</v>
      </c>
      <c r="J1024" s="3" t="str">
        <f ca="1">IFERROR(__xludf.DUMMYFUNCTION("""COMPUTED_VALUE"""),"0964016420")</f>
        <v>0964016420</v>
      </c>
      <c r="K1024" s="2" t="str">
        <f ca="1">IFERROR(__xludf.DUMMYFUNCTION("""COMPUTED_VALUE"""),"1754563568472")</f>
        <v>1754563568472</v>
      </c>
    </row>
    <row r="1025" spans="1:11" ht="12.45">
      <c r="A1025" s="2" t="str">
        <f ca="1">IFERROR(__xludf.DUMMYFUNCTION("""COMPUTED_VALUE"""),"1754563610669")</f>
        <v>1754563610669</v>
      </c>
      <c r="B1025" s="2"/>
      <c r="C1025" s="2" t="str">
        <v>0</v>
      </c>
      <c r="D1025" s="2"/>
      <c r="E1025" s="2"/>
      <c r="F1025" s="2" t="str">
        <v>0</v>
      </c>
      <c r="G1025" s="2"/>
      <c r="I1025" s="2" t="str">
        <f ca="1">IFERROR(__xludf.DUMMYFUNCTION("""COMPUTED_VALUE"""),"Đinh Thị Mai Anh")</f>
        <v>Đinh Thị Mai Anh</v>
      </c>
      <c r="J1025" s="3" t="str">
        <f ca="1">IFERROR(__xludf.DUMMYFUNCTION("""COMPUTED_VALUE"""),"0385944745")</f>
        <v>0385944745</v>
      </c>
      <c r="K1025" s="2" t="str">
        <f ca="1">IFERROR(__xludf.DUMMYFUNCTION("""COMPUTED_VALUE"""),"1754563610669")</f>
        <v>1754563610669</v>
      </c>
    </row>
    <row r="1026" spans="1:11" ht="12.45">
      <c r="A1026" s="2" t="str">
        <f ca="1">IFERROR(__xludf.DUMMYFUNCTION("""COMPUTED_VALUE"""),"1754563641304")</f>
        <v>1754563641304</v>
      </c>
      <c r="B1026" s="2"/>
      <c r="C1026" s="2" t="str">
        <v>0</v>
      </c>
      <c r="D1026" s="2"/>
      <c r="E1026" s="2"/>
      <c r="F1026" s="2" t="str">
        <v>0</v>
      </c>
      <c r="G1026" s="2"/>
      <c r="I1026" s="2" t="str">
        <f ca="1">IFERROR(__xludf.DUMMYFUNCTION("""COMPUTED_VALUE"""),"Lê Thị Quỳnh Như ")</f>
        <v xml:space="preserve">Lê Thị Quỳnh Như </v>
      </c>
      <c r="J1026" s="3" t="str">
        <f ca="1">IFERROR(__xludf.DUMMYFUNCTION("""COMPUTED_VALUE"""),"0937063298")</f>
        <v>0937063298</v>
      </c>
      <c r="K1026" s="2" t="str">
        <f ca="1">IFERROR(__xludf.DUMMYFUNCTION("""COMPUTED_VALUE"""),"1754563641304")</f>
        <v>1754563641304</v>
      </c>
    </row>
    <row r="1027" spans="1:11" ht="12.45">
      <c r="A1027" s="2" t="str">
        <f ca="1">IFERROR(__xludf.DUMMYFUNCTION("""COMPUTED_VALUE"""),"1754563678511")</f>
        <v>1754563678511</v>
      </c>
      <c r="B1027" s="2"/>
      <c r="C1027" s="2" t="str">
        <v>0</v>
      </c>
      <c r="D1027" s="2"/>
      <c r="E1027" s="2"/>
      <c r="F1027" s="2" t="str">
        <v>0</v>
      </c>
      <c r="G1027" s="2"/>
      <c r="I1027" s="2" t="str">
        <f ca="1">IFERROR(__xludf.DUMMYFUNCTION("""COMPUTED_VALUE"""),"Phạm Hà Trang ")</f>
        <v xml:space="preserve">Phạm Hà Trang </v>
      </c>
      <c r="J1027" s="3" t="str">
        <f ca="1">IFERROR(__xludf.DUMMYFUNCTION("""COMPUTED_VALUE"""),"0965186748")</f>
        <v>0965186748</v>
      </c>
      <c r="K1027" s="2" t="str">
        <f ca="1">IFERROR(__xludf.DUMMYFUNCTION("""COMPUTED_VALUE"""),"1754563678511")</f>
        <v>1754563678511</v>
      </c>
    </row>
    <row r="1028" spans="1:11" ht="12.45">
      <c r="A1028" s="2" t="str">
        <f ca="1">IFERROR(__xludf.DUMMYFUNCTION("""COMPUTED_VALUE"""),"1754563719244")</f>
        <v>1754563719244</v>
      </c>
      <c r="B1028" s="2"/>
      <c r="C1028" s="2" t="str">
        <v>0</v>
      </c>
      <c r="D1028" s="2"/>
      <c r="E1028" s="2"/>
      <c r="F1028" s="2" t="str">
        <v>0</v>
      </c>
      <c r="G1028" s="2"/>
      <c r="I1028" s="2" t="str">
        <f ca="1">IFERROR(__xludf.DUMMYFUNCTION("""COMPUTED_VALUE"""),"Trần Hoàng Mỹ Duyên")</f>
        <v>Trần Hoàng Mỹ Duyên</v>
      </c>
      <c r="J1028" s="3" t="str">
        <f ca="1">IFERROR(__xludf.DUMMYFUNCTION("""COMPUTED_VALUE"""),"0393496050")</f>
        <v>0393496050</v>
      </c>
      <c r="K1028" s="2" t="str">
        <f ca="1">IFERROR(__xludf.DUMMYFUNCTION("""COMPUTED_VALUE"""),"1754563719244")</f>
        <v>1754563719244</v>
      </c>
    </row>
    <row r="1029" spans="1:11" ht="12.45">
      <c r="A1029" s="2" t="str">
        <f ca="1">IFERROR(__xludf.DUMMYFUNCTION("""COMPUTED_VALUE"""),"1754563767481")</f>
        <v>1754563767481</v>
      </c>
      <c r="B1029" s="2"/>
      <c r="C1029" s="2" t="str">
        <v>0</v>
      </c>
      <c r="D1029" s="2"/>
      <c r="E1029" s="2"/>
      <c r="F1029" s="2" t="str">
        <v>0</v>
      </c>
      <c r="G1029" s="2"/>
      <c r="I1029" s="2" t="str">
        <f ca="1">IFERROR(__xludf.DUMMYFUNCTION("""COMPUTED_VALUE"""),"Trần Trường An")</f>
        <v>Trần Trường An</v>
      </c>
      <c r="J1029" s="3" t="str">
        <f ca="1">IFERROR(__xludf.DUMMYFUNCTION("""COMPUTED_VALUE"""),"0398863440")</f>
        <v>0398863440</v>
      </c>
      <c r="K1029" s="2" t="str">
        <f ca="1">IFERROR(__xludf.DUMMYFUNCTION("""COMPUTED_VALUE"""),"1754563767481")</f>
        <v>1754563767481</v>
      </c>
    </row>
    <row r="1030" spans="1:11" ht="12.45">
      <c r="A1030" s="2" t="str">
        <f ca="1">IFERROR(__xludf.DUMMYFUNCTION("""COMPUTED_VALUE"""),"1754563805842")</f>
        <v>1754563805842</v>
      </c>
      <c r="B1030" s="2"/>
      <c r="C1030" s="2" t="str">
        <v>0</v>
      </c>
      <c r="D1030" s="2"/>
      <c r="E1030" s="2"/>
      <c r="F1030" s="2" t="str">
        <v>0</v>
      </c>
      <c r="G1030" s="2"/>
      <c r="I1030" s="2" t="str">
        <f ca="1">IFERROR(__xludf.DUMMYFUNCTION("""COMPUTED_VALUE"""),"Đặng Nguyễn Quỳnh Như")</f>
        <v>Đặng Nguyễn Quỳnh Như</v>
      </c>
      <c r="J1030" s="3" t="str">
        <f ca="1">IFERROR(__xludf.DUMMYFUNCTION("""COMPUTED_VALUE"""),"0348146106")</f>
        <v>0348146106</v>
      </c>
      <c r="K1030" s="2" t="str">
        <f ca="1">IFERROR(__xludf.DUMMYFUNCTION("""COMPUTED_VALUE"""),"1754563805842")</f>
        <v>1754563805842</v>
      </c>
    </row>
    <row r="1031" spans="1:11" ht="12.45">
      <c r="A1031" s="2" t="str">
        <f ca="1">IFERROR(__xludf.DUMMYFUNCTION("""COMPUTED_VALUE"""),"1754563839149")</f>
        <v>1754563839149</v>
      </c>
      <c r="B1031" s="2"/>
      <c r="C1031" s="2" t="str">
        <v>0</v>
      </c>
      <c r="D1031" s="2"/>
      <c r="E1031" s="2"/>
      <c r="F1031" s="2" t="str">
        <v>0</v>
      </c>
      <c r="G1031" s="2"/>
      <c r="I1031" s="2" t="str">
        <f ca="1">IFERROR(__xludf.DUMMYFUNCTION("""COMPUTED_VALUE"""),"Hà Yến Chi")</f>
        <v>Hà Yến Chi</v>
      </c>
      <c r="J1031" s="3" t="str">
        <f ca="1">IFERROR(__xludf.DUMMYFUNCTION("""COMPUTED_VALUE"""),"0325724713")</f>
        <v>0325724713</v>
      </c>
      <c r="K1031" s="2" t="str">
        <f ca="1">IFERROR(__xludf.DUMMYFUNCTION("""COMPUTED_VALUE"""),"1754563839149")</f>
        <v>1754563839149</v>
      </c>
    </row>
    <row r="1032" spans="1:11" ht="12.45">
      <c r="A1032" s="2" t="str">
        <f ca="1">IFERROR(__xludf.DUMMYFUNCTION("""COMPUTED_VALUE"""),"1754563878365")</f>
        <v>1754563878365</v>
      </c>
      <c r="B1032" s="2"/>
      <c r="C1032" s="2" t="str">
        <v>0</v>
      </c>
      <c r="D1032" s="2"/>
      <c r="E1032" s="2"/>
      <c r="F1032" s="2" t="str">
        <v>0</v>
      </c>
      <c r="G1032" s="2"/>
      <c r="I1032" s="2" t="str">
        <f ca="1">IFERROR(__xludf.DUMMYFUNCTION("""COMPUTED_VALUE"""),"Hoàng vân ann")</f>
        <v>Hoàng vân ann</v>
      </c>
      <c r="J1032" s="3" t="str">
        <f ca="1">IFERROR(__xludf.DUMMYFUNCTION("""COMPUTED_VALUE"""),"0944103922")</f>
        <v>0944103922</v>
      </c>
      <c r="K1032" s="2" t="str">
        <f ca="1">IFERROR(__xludf.DUMMYFUNCTION("""COMPUTED_VALUE"""),"1754563878365")</f>
        <v>1754563878365</v>
      </c>
    </row>
    <row r="1033" spans="1:11" ht="12.45">
      <c r="A1033" s="2" t="str">
        <f ca="1">IFERROR(__xludf.DUMMYFUNCTION("""COMPUTED_VALUE"""),"1754563922291")</f>
        <v>1754563922291</v>
      </c>
      <c r="B1033" s="2"/>
      <c r="C1033" s="2" t="str">
        <v>0</v>
      </c>
      <c r="D1033" s="2"/>
      <c r="E1033" s="2"/>
      <c r="F1033" s="2" t="str">
        <v>0</v>
      </c>
      <c r="G1033" s="2"/>
      <c r="I1033" s="2" t="str">
        <f ca="1">IFERROR(__xludf.DUMMYFUNCTION("""COMPUTED_VALUE"""),"Võ Thị Ngọc Trầm")</f>
        <v>Võ Thị Ngọc Trầm</v>
      </c>
      <c r="J1033" s="3" t="str">
        <f ca="1">IFERROR(__xludf.DUMMYFUNCTION("""COMPUTED_VALUE"""),"0865494229")</f>
        <v>0865494229</v>
      </c>
      <c r="K1033" s="2" t="str">
        <f ca="1">IFERROR(__xludf.DUMMYFUNCTION("""COMPUTED_VALUE"""),"1754563922291")</f>
        <v>1754563922291</v>
      </c>
    </row>
    <row r="1034" spans="1:11" ht="12.45">
      <c r="A1034" s="2" t="str">
        <f ca="1">IFERROR(__xludf.DUMMYFUNCTION("""COMPUTED_VALUE"""),"1754563993409")</f>
        <v>1754563993409</v>
      </c>
      <c r="B1034" s="2"/>
      <c r="C1034" s="2" t="str">
        <v>0</v>
      </c>
      <c r="D1034" s="2"/>
      <c r="E1034" s="2"/>
      <c r="F1034" s="2" t="str">
        <v>0</v>
      </c>
      <c r="G1034" s="2"/>
      <c r="I1034" s="2" t="str">
        <f ca="1">IFERROR(__xludf.DUMMYFUNCTION("""COMPUTED_VALUE"""),"Châu Thị Huỳnh Yến")</f>
        <v>Châu Thị Huỳnh Yến</v>
      </c>
      <c r="J1034" s="3" t="str">
        <f ca="1">IFERROR(__xludf.DUMMYFUNCTION("""COMPUTED_VALUE"""),"0799663635")</f>
        <v>0799663635</v>
      </c>
      <c r="K1034" s="2" t="str">
        <f ca="1">IFERROR(__xludf.DUMMYFUNCTION("""COMPUTED_VALUE"""),"1754563993409")</f>
        <v>1754563993409</v>
      </c>
    </row>
    <row r="1035" spans="1:11" ht="12.45">
      <c r="A1035" s="2" t="str">
        <f ca="1">IFERROR(__xludf.DUMMYFUNCTION("""COMPUTED_VALUE"""),"1754564038731")</f>
        <v>1754564038731</v>
      </c>
      <c r="B1035" s="2"/>
      <c r="C1035" s="2" t="str">
        <v>0</v>
      </c>
      <c r="D1035" s="2"/>
      <c r="E1035" s="2"/>
      <c r="F1035" s="2" t="str">
        <v>0</v>
      </c>
      <c r="G1035" s="2"/>
      <c r="I1035" s="2" t="str">
        <f ca="1">IFERROR(__xludf.DUMMYFUNCTION("""COMPUTED_VALUE"""),"Nguyễn Ngọc Linh")</f>
        <v>Nguyễn Ngọc Linh</v>
      </c>
      <c r="J1035" s="3" t="str">
        <f ca="1">IFERROR(__xludf.DUMMYFUNCTION("""COMPUTED_VALUE"""),"0379809954")</f>
        <v>0379809954</v>
      </c>
      <c r="K1035" s="2" t="str">
        <f ca="1">IFERROR(__xludf.DUMMYFUNCTION("""COMPUTED_VALUE"""),"1754564038731")</f>
        <v>1754564038731</v>
      </c>
    </row>
    <row r="1036" spans="1:11" ht="12.45">
      <c r="A1036" s="2" t="str">
        <f ca="1">IFERROR(__xludf.DUMMYFUNCTION("""COMPUTED_VALUE"""),"1754564074768")</f>
        <v>1754564074768</v>
      </c>
      <c r="B1036" s="2"/>
      <c r="C1036" s="2" t="str">
        <v>0</v>
      </c>
      <c r="D1036" s="2"/>
      <c r="E1036" s="2"/>
      <c r="F1036" s="2" t="str">
        <v>0</v>
      </c>
      <c r="G1036" s="2"/>
      <c r="I1036" s="2" t="str">
        <f ca="1">IFERROR(__xludf.DUMMYFUNCTION("""COMPUTED_VALUE"""),"Trần Thị Diệu Linh ")</f>
        <v xml:space="preserve">Trần Thị Diệu Linh </v>
      </c>
      <c r="J1036" s="3" t="str">
        <f ca="1">IFERROR(__xludf.DUMMYFUNCTION("""COMPUTED_VALUE"""),"0377863062")</f>
        <v>0377863062</v>
      </c>
      <c r="K1036" s="2" t="str">
        <f ca="1">IFERROR(__xludf.DUMMYFUNCTION("""COMPUTED_VALUE"""),"1754564074768")</f>
        <v>1754564074768</v>
      </c>
    </row>
    <row r="1037" spans="1:11" ht="12.45">
      <c r="A1037" s="2" t="str">
        <f ca="1">IFERROR(__xludf.DUMMYFUNCTION("""COMPUTED_VALUE"""),"1754564339172")</f>
        <v>1754564339172</v>
      </c>
      <c r="B1037" s="2"/>
      <c r="C1037" s="2" t="str">
        <v>0</v>
      </c>
      <c r="D1037" s="2"/>
      <c r="E1037" s="2"/>
      <c r="F1037" s="2" t="str">
        <v>0</v>
      </c>
      <c r="G1037" s="2"/>
      <c r="I1037" s="2" t="str">
        <f ca="1">IFERROR(__xludf.DUMMYFUNCTION("""COMPUTED_VALUE"""),"Nguyễn Bảo Linh Đan ")</f>
        <v xml:space="preserve">Nguyễn Bảo Linh Đan </v>
      </c>
      <c r="J1037" s="3" t="str">
        <f ca="1">IFERROR(__xludf.DUMMYFUNCTION("""COMPUTED_VALUE"""),"0359227888")</f>
        <v>0359227888</v>
      </c>
      <c r="K1037" s="2" t="str">
        <f ca="1">IFERROR(__xludf.DUMMYFUNCTION("""COMPUTED_VALUE"""),"1754564339172")</f>
        <v>1754564339172</v>
      </c>
    </row>
    <row r="1038" spans="1:11" ht="12.45">
      <c r="A1038" s="2" t="str">
        <f ca="1">IFERROR(__xludf.DUMMYFUNCTION("""COMPUTED_VALUE"""),"1754564392043")</f>
        <v>1754564392043</v>
      </c>
      <c r="B1038" s="2"/>
      <c r="C1038" s="2" t="str">
        <v>0</v>
      </c>
      <c r="D1038" s="2"/>
      <c r="E1038" s="2"/>
      <c r="F1038" s="2" t="str">
        <v>0</v>
      </c>
      <c r="G1038" s="2"/>
      <c r="I1038" s="2" t="str">
        <f ca="1">IFERROR(__xludf.DUMMYFUNCTION("""COMPUTED_VALUE"""),"Phan Thị Diệu Linh")</f>
        <v>Phan Thị Diệu Linh</v>
      </c>
      <c r="J1038" s="3" t="str">
        <f ca="1">IFERROR(__xludf.DUMMYFUNCTION("""COMPUTED_VALUE"""),"0917550199")</f>
        <v>0917550199</v>
      </c>
      <c r="K1038" s="2" t="str">
        <f ca="1">IFERROR(__xludf.DUMMYFUNCTION("""COMPUTED_VALUE"""),"1754564392043")</f>
        <v>1754564392043</v>
      </c>
    </row>
    <row r="1039" spans="1:11" ht="12.45">
      <c r="A1039" s="2" t="str">
        <f ca="1">IFERROR(__xludf.DUMMYFUNCTION("""COMPUTED_VALUE"""),"1754564446746")</f>
        <v>1754564446746</v>
      </c>
      <c r="B1039" s="2"/>
      <c r="C1039" s="2" t="str">
        <v>0</v>
      </c>
      <c r="D1039" s="2"/>
      <c r="E1039" s="2"/>
      <c r="F1039" s="2" t="str">
        <v>0</v>
      </c>
      <c r="G1039" s="2"/>
      <c r="I1039" s="2" t="str">
        <f ca="1">IFERROR(__xludf.DUMMYFUNCTION("""COMPUTED_VALUE"""),"Phạm Nguyễn Tú Uyên ")</f>
        <v xml:space="preserve">Phạm Nguyễn Tú Uyên </v>
      </c>
      <c r="J1039" s="3" t="str">
        <f ca="1">IFERROR(__xludf.DUMMYFUNCTION("""COMPUTED_VALUE"""),"0979457059")</f>
        <v>0979457059</v>
      </c>
      <c r="K1039" s="2" t="str">
        <f ca="1">IFERROR(__xludf.DUMMYFUNCTION("""COMPUTED_VALUE"""),"1754564446746")</f>
        <v>1754564446746</v>
      </c>
    </row>
    <row r="1040" spans="1:11" ht="12.45">
      <c r="A1040" s="2" t="str">
        <f ca="1">IFERROR(__xludf.DUMMYFUNCTION("""COMPUTED_VALUE"""),"1754564494686")</f>
        <v>1754564494686</v>
      </c>
      <c r="B1040" s="2"/>
      <c r="C1040" s="2" t="str">
        <v>0</v>
      </c>
      <c r="D1040" s="2"/>
      <c r="E1040" s="2"/>
      <c r="F1040" s="2" t="str">
        <v>0</v>
      </c>
      <c r="G1040" s="2"/>
      <c r="I1040" s="2" t="str">
        <f ca="1">IFERROR(__xludf.DUMMYFUNCTION("""COMPUTED_VALUE"""),"Huỳnh Ngọc Châu")</f>
        <v>Huỳnh Ngọc Châu</v>
      </c>
      <c r="J1040" s="3" t="str">
        <f ca="1">IFERROR(__xludf.DUMMYFUNCTION("""COMPUTED_VALUE"""),"0916351439")</f>
        <v>0916351439</v>
      </c>
      <c r="K1040" s="2" t="str">
        <f ca="1">IFERROR(__xludf.DUMMYFUNCTION("""COMPUTED_VALUE"""),"1754564494686")</f>
        <v>1754564494686</v>
      </c>
    </row>
    <row r="1041" spans="1:11" ht="12.45">
      <c r="A1041" s="2" t="str">
        <f ca="1">IFERROR(__xludf.DUMMYFUNCTION("""COMPUTED_VALUE"""),"1754564542202")</f>
        <v>1754564542202</v>
      </c>
      <c r="B1041" s="2"/>
      <c r="C1041" s="2" t="str">
        <v>0</v>
      </c>
      <c r="D1041" s="2"/>
      <c r="E1041" s="2"/>
      <c r="F1041" s="2" t="str">
        <v>0</v>
      </c>
      <c r="G1041" s="2"/>
      <c r="I1041" s="2" t="str">
        <f ca="1">IFERROR(__xludf.DUMMYFUNCTION("""COMPUTED_VALUE"""),"Phạm Như Ý")</f>
        <v>Phạm Như Ý</v>
      </c>
      <c r="J1041" s="3" t="str">
        <f ca="1">IFERROR(__xludf.DUMMYFUNCTION("""COMPUTED_VALUE"""),"0972067819")</f>
        <v>0972067819</v>
      </c>
      <c r="K1041" s="2" t="str">
        <f ca="1">IFERROR(__xludf.DUMMYFUNCTION("""COMPUTED_VALUE"""),"1754564542202")</f>
        <v>1754564542202</v>
      </c>
    </row>
    <row r="1042" spans="1:11" ht="12.45">
      <c r="A1042" s="2" t="str">
        <f ca="1">IFERROR(__xludf.DUMMYFUNCTION("""COMPUTED_VALUE"""),"1754564605229")</f>
        <v>1754564605229</v>
      </c>
      <c r="B1042" s="2"/>
      <c r="C1042" s="2" t="str">
        <v>0</v>
      </c>
      <c r="D1042" s="2"/>
      <c r="E1042" s="2"/>
      <c r="F1042" s="2" t="str">
        <v>0</v>
      </c>
      <c r="G1042" s="2"/>
      <c r="I1042" s="2" t="str">
        <f ca="1">IFERROR(__xludf.DUMMYFUNCTION("""COMPUTED_VALUE"""),"Nguyễn Cao Hà Vy")</f>
        <v>Nguyễn Cao Hà Vy</v>
      </c>
      <c r="J1042" s="3" t="str">
        <f ca="1">IFERROR(__xludf.DUMMYFUNCTION("""COMPUTED_VALUE"""),"0777437207")</f>
        <v>0777437207</v>
      </c>
      <c r="K1042" s="2" t="str">
        <f ca="1">IFERROR(__xludf.DUMMYFUNCTION("""COMPUTED_VALUE"""),"1754564605229")</f>
        <v>1754564605229</v>
      </c>
    </row>
    <row r="1043" spans="1:11" ht="12.45">
      <c r="A1043" s="2" t="str">
        <f ca="1">IFERROR(__xludf.DUMMYFUNCTION("""COMPUTED_VALUE"""),"1754564666446")</f>
        <v>1754564666446</v>
      </c>
      <c r="B1043" s="2"/>
      <c r="C1043" s="2" t="str">
        <v>0</v>
      </c>
      <c r="D1043" s="2"/>
      <c r="E1043" s="2"/>
      <c r="F1043" s="2" t="str">
        <v>0</v>
      </c>
      <c r="G1043" s="2"/>
      <c r="I1043" s="2" t="str">
        <f ca="1">IFERROR(__xludf.DUMMYFUNCTION("""COMPUTED_VALUE""")," Nguyễn Gia Hân")</f>
        <v xml:space="preserve"> Nguyễn Gia Hân</v>
      </c>
      <c r="J1043" s="3" t="str">
        <f ca="1">IFERROR(__xludf.DUMMYFUNCTION("""COMPUTED_VALUE"""),"0941464982")</f>
        <v>0941464982</v>
      </c>
      <c r="K1043" s="2" t="str">
        <f ca="1">IFERROR(__xludf.DUMMYFUNCTION("""COMPUTED_VALUE"""),"1754564666446")</f>
        <v>1754564666446</v>
      </c>
    </row>
    <row r="1044" spans="1:11" ht="12.45">
      <c r="A1044" s="2" t="str">
        <f ca="1">IFERROR(__xludf.DUMMYFUNCTION("""COMPUTED_VALUE"""),"1754564699817")</f>
        <v>1754564699817</v>
      </c>
      <c r="B1044" s="2"/>
      <c r="C1044" s="2" t="str">
        <v>0</v>
      </c>
      <c r="D1044" s="2"/>
      <c r="E1044" s="2"/>
      <c r="F1044" s="2" t="str">
        <v>0</v>
      </c>
      <c r="G1044" s="2"/>
      <c r="I1044" s="2" t="str">
        <f ca="1">IFERROR(__xludf.DUMMYFUNCTION("""COMPUTED_VALUE"""),"Nguyễn Thị Thảo Nguyên")</f>
        <v>Nguyễn Thị Thảo Nguyên</v>
      </c>
      <c r="J1044" s="3" t="str">
        <f ca="1">IFERROR(__xludf.DUMMYFUNCTION("""COMPUTED_VALUE"""),"0822229788")</f>
        <v>0822229788</v>
      </c>
      <c r="K1044" s="2" t="str">
        <f ca="1">IFERROR(__xludf.DUMMYFUNCTION("""COMPUTED_VALUE"""),"1754564699817")</f>
        <v>1754564699817</v>
      </c>
    </row>
    <row r="1045" spans="1:11" ht="12.45">
      <c r="A1045" s="2" t="str">
        <f ca="1">IFERROR(__xludf.DUMMYFUNCTION("""COMPUTED_VALUE"""),"1754564735844")</f>
        <v>1754564735844</v>
      </c>
      <c r="B1045" s="2"/>
      <c r="C1045" s="2" t="str">
        <v>0</v>
      </c>
      <c r="D1045" s="2"/>
      <c r="E1045" s="2"/>
      <c r="F1045" s="2" t="str">
        <v>0</v>
      </c>
      <c r="G1045" s="2"/>
      <c r="I1045" s="2" t="str">
        <f ca="1">IFERROR(__xludf.DUMMYFUNCTION("""COMPUTED_VALUE"""),"Nguyễn Thị Hồng Chuyên")</f>
        <v>Nguyễn Thị Hồng Chuyên</v>
      </c>
      <c r="J1045" s="3" t="str">
        <f ca="1">IFERROR(__xludf.DUMMYFUNCTION("""COMPUTED_VALUE"""),"0373305726")</f>
        <v>0373305726</v>
      </c>
      <c r="K1045" s="2" t="str">
        <f ca="1">IFERROR(__xludf.DUMMYFUNCTION("""COMPUTED_VALUE"""),"1754564735844")</f>
        <v>1754564735844</v>
      </c>
    </row>
    <row r="1046" spans="1:11" ht="12.45">
      <c r="A1046" s="2" t="str">
        <f ca="1">IFERROR(__xludf.DUMMYFUNCTION("""COMPUTED_VALUE"""),"1754564777992")</f>
        <v>1754564777992</v>
      </c>
      <c r="B1046" s="2"/>
      <c r="C1046" s="2" t="str">
        <v>0</v>
      </c>
      <c r="D1046" s="2"/>
      <c r="E1046" s="2"/>
      <c r="F1046" s="2" t="str">
        <v>0</v>
      </c>
      <c r="G1046" s="2"/>
      <c r="I1046" s="2" t="str">
        <f ca="1">IFERROR(__xludf.DUMMYFUNCTION("""COMPUTED_VALUE"""),"Cù Thị Thanh ")</f>
        <v xml:space="preserve">Cù Thị Thanh </v>
      </c>
      <c r="J1046" s="3" t="str">
        <f ca="1">IFERROR(__xludf.DUMMYFUNCTION("""COMPUTED_VALUE"""),"0354106293")</f>
        <v>0354106293</v>
      </c>
      <c r="K1046" s="2" t="str">
        <f ca="1">IFERROR(__xludf.DUMMYFUNCTION("""COMPUTED_VALUE"""),"1754564777992")</f>
        <v>1754564777992</v>
      </c>
    </row>
    <row r="1047" spans="1:11" ht="12.45">
      <c r="A1047" s="2" t="str">
        <f ca="1">IFERROR(__xludf.DUMMYFUNCTION("""COMPUTED_VALUE"""),"1754564832975")</f>
        <v>1754564832975</v>
      </c>
      <c r="B1047" s="2"/>
      <c r="C1047" s="2" t="str">
        <v>0</v>
      </c>
      <c r="D1047" s="2"/>
      <c r="E1047" s="2"/>
      <c r="F1047" s="2" t="str">
        <v>0</v>
      </c>
      <c r="G1047" s="2"/>
      <c r="I1047" s="2" t="str">
        <f ca="1">IFERROR(__xludf.DUMMYFUNCTION("""COMPUTED_VALUE"""),"Lương Thị Kim Ngân ")</f>
        <v xml:space="preserve">Lương Thị Kim Ngân </v>
      </c>
      <c r="J1047" s="3" t="str">
        <f ca="1">IFERROR(__xludf.DUMMYFUNCTION("""COMPUTED_VALUE"""),"0399189031")</f>
        <v>0399189031</v>
      </c>
      <c r="K1047" s="2" t="str">
        <f ca="1">IFERROR(__xludf.DUMMYFUNCTION("""COMPUTED_VALUE"""),"1754564832975")</f>
        <v>1754564832975</v>
      </c>
    </row>
    <row r="1048" spans="1:11" ht="12.45">
      <c r="A1048" s="2" t="str">
        <f ca="1">IFERROR(__xludf.DUMMYFUNCTION("""COMPUTED_VALUE"""),"1754564873432")</f>
        <v>1754564873432</v>
      </c>
      <c r="B1048" s="2"/>
      <c r="C1048" s="2" t="str">
        <v>0</v>
      </c>
      <c r="D1048" s="2"/>
      <c r="E1048" s="2"/>
      <c r="F1048" s="2" t="str">
        <v>0</v>
      </c>
      <c r="G1048" s="2"/>
      <c r="I1048" s="2" t="str">
        <f ca="1">IFERROR(__xludf.DUMMYFUNCTION("""COMPUTED_VALUE"""),"Đinh Lê Thuỳ Linh")</f>
        <v>Đinh Lê Thuỳ Linh</v>
      </c>
      <c r="J1048" s="3" t="str">
        <f ca="1">IFERROR(__xludf.DUMMYFUNCTION("""COMPUTED_VALUE"""),"0395541895")</f>
        <v>0395541895</v>
      </c>
      <c r="K1048" s="2" t="str">
        <f ca="1">IFERROR(__xludf.DUMMYFUNCTION("""COMPUTED_VALUE"""),"1754564873432")</f>
        <v>1754564873432</v>
      </c>
    </row>
    <row r="1049" spans="1:11" ht="12.45">
      <c r="A1049" s="2" t="str">
        <f ca="1">IFERROR(__xludf.DUMMYFUNCTION("""COMPUTED_VALUE"""),"1754564905080")</f>
        <v>1754564905080</v>
      </c>
      <c r="B1049" s="2"/>
      <c r="C1049" s="2" t="str">
        <v>0</v>
      </c>
      <c r="D1049" s="2"/>
      <c r="E1049" s="2"/>
      <c r="F1049" s="2" t="str">
        <v>0</v>
      </c>
      <c r="G1049" s="2"/>
      <c r="I1049" s="2" t="str">
        <f ca="1">IFERROR(__xludf.DUMMYFUNCTION("""COMPUTED_VALUE"""),"Lê Thị Kim Oanh")</f>
        <v>Lê Thị Kim Oanh</v>
      </c>
      <c r="J1049" s="3" t="str">
        <f ca="1">IFERROR(__xludf.DUMMYFUNCTION("""COMPUTED_VALUE"""),"0327020645")</f>
        <v>0327020645</v>
      </c>
      <c r="K1049" s="2" t="str">
        <f ca="1">IFERROR(__xludf.DUMMYFUNCTION("""COMPUTED_VALUE"""),"1754564905080")</f>
        <v>1754564905080</v>
      </c>
    </row>
    <row r="1050" spans="1:11" ht="12.45">
      <c r="A1050" s="2" t="str">
        <f ca="1">IFERROR(__xludf.DUMMYFUNCTION("""COMPUTED_VALUE"""),"1754564939274")</f>
        <v>1754564939274</v>
      </c>
      <c r="B1050" s="2"/>
      <c r="C1050" s="2" t="str">
        <v>0</v>
      </c>
      <c r="D1050" s="2"/>
      <c r="E1050" s="2"/>
      <c r="F1050" s="2" t="str">
        <v>0</v>
      </c>
      <c r="G1050" s="2"/>
      <c r="I1050" s="2" t="str">
        <f ca="1">IFERROR(__xludf.DUMMYFUNCTION("""COMPUTED_VALUE"""),"Nguyễn Thị Hà My")</f>
        <v>Nguyễn Thị Hà My</v>
      </c>
      <c r="J1050" s="3" t="str">
        <f ca="1">IFERROR(__xludf.DUMMYFUNCTION("""COMPUTED_VALUE"""),"0342401107")</f>
        <v>0342401107</v>
      </c>
      <c r="K1050" s="2" t="str">
        <f ca="1">IFERROR(__xludf.DUMMYFUNCTION("""COMPUTED_VALUE"""),"1754564939274")</f>
        <v>1754564939274</v>
      </c>
    </row>
    <row r="1051" spans="1:11" ht="12.45">
      <c r="A1051" s="2" t="str">
        <f ca="1">IFERROR(__xludf.DUMMYFUNCTION("""COMPUTED_VALUE"""),"1754564975643")</f>
        <v>1754564975643</v>
      </c>
      <c r="B1051" s="2"/>
      <c r="C1051" s="2" t="str">
        <v>0</v>
      </c>
      <c r="D1051" s="2"/>
      <c r="E1051" s="2"/>
      <c r="F1051" s="2" t="str">
        <v>0</v>
      </c>
      <c r="G1051" s="2"/>
      <c r="I1051" s="2" t="str">
        <f ca="1">IFERROR(__xludf.DUMMYFUNCTION("""COMPUTED_VALUE"""),"Tạ Phương Anh")</f>
        <v>Tạ Phương Anh</v>
      </c>
      <c r="J1051" s="3" t="str">
        <f ca="1">IFERROR(__xludf.DUMMYFUNCTION("""COMPUTED_VALUE"""),"0343725986")</f>
        <v>0343725986</v>
      </c>
      <c r="K1051" s="2" t="str">
        <f ca="1">IFERROR(__xludf.DUMMYFUNCTION("""COMPUTED_VALUE"""),"1754564975643")</f>
        <v>1754564975643</v>
      </c>
    </row>
    <row r="1052" spans="1:11" ht="12.45">
      <c r="A1052" s="2" t="str">
        <f ca="1">IFERROR(__xludf.DUMMYFUNCTION("""COMPUTED_VALUE"""),"1754565028314")</f>
        <v>1754565028314</v>
      </c>
      <c r="B1052" s="2"/>
      <c r="C1052" s="2" t="str">
        <v>0</v>
      </c>
      <c r="D1052" s="2"/>
      <c r="E1052" s="2"/>
      <c r="F1052" s="2" t="str">
        <v>0</v>
      </c>
      <c r="G1052" s="2"/>
      <c r="I1052" s="2" t="str">
        <f ca="1">IFERROR(__xludf.DUMMYFUNCTION("""COMPUTED_VALUE"""),"Nguyễn Đình Hoàng")</f>
        <v>Nguyễn Đình Hoàng</v>
      </c>
      <c r="J1052" s="3" t="str">
        <f ca="1">IFERROR(__xludf.DUMMYFUNCTION("""COMPUTED_VALUE"""),"0363480025")</f>
        <v>0363480025</v>
      </c>
      <c r="K1052" s="2" t="str">
        <f ca="1">IFERROR(__xludf.DUMMYFUNCTION("""COMPUTED_VALUE"""),"1754565028314")</f>
        <v>1754565028314</v>
      </c>
    </row>
    <row r="1053" spans="1:11" ht="12.45">
      <c r="A1053" s="2" t="str">
        <f ca="1">IFERROR(__xludf.DUMMYFUNCTION("""COMPUTED_VALUE"""),"1754565187343")</f>
        <v>1754565187343</v>
      </c>
      <c r="B1053" s="2"/>
      <c r="C1053" s="2" t="str">
        <v>0</v>
      </c>
      <c r="D1053" s="2"/>
      <c r="E1053" s="2"/>
      <c r="F1053" s="2" t="str">
        <v>0</v>
      </c>
      <c r="G1053" s="2"/>
      <c r="I1053" s="2" t="str">
        <f ca="1">IFERROR(__xludf.DUMMYFUNCTION("""COMPUTED_VALUE"""),"Nguyễn Thảo Linh")</f>
        <v>Nguyễn Thảo Linh</v>
      </c>
      <c r="J1053" s="3" t="str">
        <f ca="1">IFERROR(__xludf.DUMMYFUNCTION("""COMPUTED_VALUE"""),"0865391907")</f>
        <v>0865391907</v>
      </c>
      <c r="K1053" s="2" t="str">
        <f ca="1">IFERROR(__xludf.DUMMYFUNCTION("""COMPUTED_VALUE"""),"1754565187343")</f>
        <v>1754565187343</v>
      </c>
    </row>
    <row r="1054" spans="1:11" ht="12.45">
      <c r="A1054" s="2" t="str">
        <f ca="1">IFERROR(__xludf.DUMMYFUNCTION("""COMPUTED_VALUE"""),"1754565561232")</f>
        <v>1754565561232</v>
      </c>
      <c r="B1054" s="2"/>
      <c r="C1054" s="2" t="str">
        <v>0</v>
      </c>
      <c r="D1054" s="2"/>
      <c r="E1054" s="2"/>
      <c r="F1054" s="2" t="str">
        <v>0</v>
      </c>
      <c r="G1054" s="2"/>
      <c r="I1054" s="2" t="str">
        <f ca="1">IFERROR(__xludf.DUMMYFUNCTION("""COMPUTED_VALUE"""),"CAO THỊ YẾN LĨNH")</f>
        <v>CAO THỊ YẾN LĨNH</v>
      </c>
      <c r="J1054" s="3" t="str">
        <f ca="1">IFERROR(__xludf.DUMMYFUNCTION("""COMPUTED_VALUE"""),"0325628476")</f>
        <v>0325628476</v>
      </c>
      <c r="K1054" s="2" t="str">
        <f ca="1">IFERROR(__xludf.DUMMYFUNCTION("""COMPUTED_VALUE"""),"1754565561232")</f>
        <v>1754565561232</v>
      </c>
    </row>
    <row r="1055" spans="1:11" ht="12.45">
      <c r="A1055" s="2" t="str">
        <f ca="1">IFERROR(__xludf.DUMMYFUNCTION("""COMPUTED_VALUE"""),"1754565627044")</f>
        <v>1754565627044</v>
      </c>
      <c r="B1055" s="2"/>
      <c r="C1055" s="2" t="str">
        <v>0</v>
      </c>
      <c r="D1055" s="2"/>
      <c r="E1055" s="2"/>
      <c r="F1055" s="2" t="str">
        <v>0</v>
      </c>
      <c r="G1055" s="2"/>
      <c r="I1055" s="2" t="str">
        <f ca="1">IFERROR(__xludf.DUMMYFUNCTION("""COMPUTED_VALUE"""),"Phạm Khánh Linh")</f>
        <v>Phạm Khánh Linh</v>
      </c>
      <c r="J1055" s="3" t="str">
        <f ca="1">IFERROR(__xludf.DUMMYFUNCTION("""COMPUTED_VALUE"""),"0338572690")</f>
        <v>0338572690</v>
      </c>
      <c r="K1055" s="2" t="str">
        <f ca="1">IFERROR(__xludf.DUMMYFUNCTION("""COMPUTED_VALUE"""),"1754565627044")</f>
        <v>1754565627044</v>
      </c>
    </row>
    <row r="1056" spans="1:11" ht="12.45">
      <c r="A1056" s="2" t="str">
        <f ca="1">IFERROR(__xludf.DUMMYFUNCTION("""COMPUTED_VALUE"""),"1754565674648")</f>
        <v>1754565674648</v>
      </c>
      <c r="B1056" s="2"/>
      <c r="C1056" s="2" t="str">
        <v>0</v>
      </c>
      <c r="D1056" s="2"/>
      <c r="E1056" s="2"/>
      <c r="F1056" s="2" t="str">
        <v>0</v>
      </c>
      <c r="G1056" s="2"/>
      <c r="I1056" s="2" t="str">
        <f ca="1">IFERROR(__xludf.DUMMYFUNCTION("""COMPUTED_VALUE"""),"Nguyễn Phương Nhi")</f>
        <v>Nguyễn Phương Nhi</v>
      </c>
      <c r="J1056" s="3" t="str">
        <f ca="1">IFERROR(__xludf.DUMMYFUNCTION("""COMPUTED_VALUE"""),"0869661801")</f>
        <v>0869661801</v>
      </c>
      <c r="K1056" s="2" t="str">
        <f ca="1">IFERROR(__xludf.DUMMYFUNCTION("""COMPUTED_VALUE"""),"1754565674648")</f>
        <v>1754565674648</v>
      </c>
    </row>
    <row r="1057" spans="1:11" ht="12.45">
      <c r="A1057" s="2" t="str">
        <f ca="1">IFERROR(__xludf.DUMMYFUNCTION("""COMPUTED_VALUE"""),"1754565719533")</f>
        <v>1754565719533</v>
      </c>
      <c r="B1057" s="2"/>
      <c r="C1057" s="2" t="str">
        <v>0</v>
      </c>
      <c r="D1057" s="2"/>
      <c r="E1057" s="2"/>
      <c r="F1057" s="2" t="str">
        <v>0</v>
      </c>
      <c r="G1057" s="2"/>
      <c r="I1057" s="2" t="str">
        <f ca="1">IFERROR(__xludf.DUMMYFUNCTION("""COMPUTED_VALUE"""),"Nguyễn Thị Nhã An ")</f>
        <v xml:space="preserve">Nguyễn Thị Nhã An </v>
      </c>
      <c r="J1057" s="3" t="str">
        <f ca="1">IFERROR(__xludf.DUMMYFUNCTION("""COMPUTED_VALUE"""),"0377032378")</f>
        <v>0377032378</v>
      </c>
      <c r="K1057" s="2" t="str">
        <f ca="1">IFERROR(__xludf.DUMMYFUNCTION("""COMPUTED_VALUE"""),"1754565719533")</f>
        <v>1754565719533</v>
      </c>
    </row>
    <row r="1058" spans="1:11" ht="12.45">
      <c r="A1058" s="2" t="str">
        <f ca="1">IFERROR(__xludf.DUMMYFUNCTION("""COMPUTED_VALUE"""),"1754565778522")</f>
        <v>1754565778522</v>
      </c>
      <c r="B1058" s="2"/>
      <c r="C1058" s="2" t="str">
        <v>0</v>
      </c>
      <c r="D1058" s="2"/>
      <c r="E1058" s="2"/>
      <c r="F1058" s="2" t="str">
        <v>0</v>
      </c>
      <c r="G1058" s="2"/>
      <c r="I1058" s="2" t="str">
        <f ca="1">IFERROR(__xludf.DUMMYFUNCTION("""COMPUTED_VALUE"""),"Nguyễn thị thu trang")</f>
        <v>Nguyễn thị thu trang</v>
      </c>
      <c r="J1058" s="3" t="str">
        <f ca="1">IFERROR(__xludf.DUMMYFUNCTION("""COMPUTED_VALUE"""),"0365033860")</f>
        <v>0365033860</v>
      </c>
      <c r="K1058" s="2" t="str">
        <f ca="1">IFERROR(__xludf.DUMMYFUNCTION("""COMPUTED_VALUE"""),"1754565778522")</f>
        <v>1754565778522</v>
      </c>
    </row>
    <row r="1059" spans="1:11" ht="12.45">
      <c r="A1059" s="2" t="str">
        <f ca="1">IFERROR(__xludf.DUMMYFUNCTION("""COMPUTED_VALUE"""),"1753012575137")</f>
        <v>1753012575137</v>
      </c>
      <c r="B1059" s="2"/>
      <c r="C1059" s="2" t="str">
        <v>0</v>
      </c>
      <c r="D1059" s="2"/>
      <c r="E1059" s="2"/>
      <c r="F1059" s="2" t="str">
        <v>0</v>
      </c>
      <c r="G1059" s="2"/>
      <c r="I1059" s="2" t="str">
        <f ca="1">IFERROR(__xludf.DUMMYFUNCTION("""COMPUTED_VALUE"""),"Phạm Thanh Huyền")</f>
        <v>Phạm Thanh Huyền</v>
      </c>
      <c r="J1059" s="3" t="str">
        <f ca="1">IFERROR(__xludf.DUMMYFUNCTION("""COMPUTED_VALUE"""),"0334969689")</f>
        <v>0334969689</v>
      </c>
      <c r="K1059" s="2" t="str">
        <f ca="1">IFERROR(__xludf.DUMMYFUNCTION("""COMPUTED_VALUE"""),"1753012575137")</f>
        <v>1753012575137</v>
      </c>
    </row>
    <row r="1060" spans="1:11" ht="12.45">
      <c r="A1060" s="2" t="str">
        <f ca="1">IFERROR(__xludf.DUMMYFUNCTION("""COMPUTED_VALUE"""),"1753012614566")</f>
        <v>1753012614566</v>
      </c>
      <c r="B1060" s="2"/>
      <c r="C1060" s="2" t="str">
        <v>0</v>
      </c>
      <c r="D1060" s="2"/>
      <c r="E1060" s="2"/>
      <c r="F1060" s="2" t="str">
        <v>0</v>
      </c>
      <c r="G1060" s="2"/>
      <c r="I1060" s="2" t="str">
        <f ca="1">IFERROR(__xludf.DUMMYFUNCTION("""COMPUTED_VALUE"""),"Lưu Nhật Tiên")</f>
        <v>Lưu Nhật Tiên</v>
      </c>
      <c r="J1060" s="3" t="str">
        <f ca="1">IFERROR(__xludf.DUMMYFUNCTION("""COMPUTED_VALUE"""),"0325894177")</f>
        <v>0325894177</v>
      </c>
      <c r="K1060" s="2" t="str">
        <f ca="1">IFERROR(__xludf.DUMMYFUNCTION("""COMPUTED_VALUE"""),"1753012614566")</f>
        <v>1753012614566</v>
      </c>
    </row>
    <row r="1061" spans="1:11" ht="12.45">
      <c r="A1061" s="2" t="str">
        <f ca="1">IFERROR(__xludf.DUMMYFUNCTION("""COMPUTED_VALUE"""),"1753012660491")</f>
        <v>1753012660491</v>
      </c>
      <c r="B1061" s="2"/>
      <c r="C1061" s="2" t="str">
        <v>0</v>
      </c>
      <c r="D1061" s="2"/>
      <c r="E1061" s="2"/>
      <c r="F1061" s="2" t="str">
        <v>0</v>
      </c>
      <c r="G1061" s="2"/>
      <c r="I1061" s="2" t="str">
        <f ca="1">IFERROR(__xludf.DUMMYFUNCTION("""COMPUTED_VALUE"""),"Nguyễn Thành Đạt ")</f>
        <v xml:space="preserve">Nguyễn Thành Đạt </v>
      </c>
      <c r="J1061" s="3" t="str">
        <f ca="1">IFERROR(__xludf.DUMMYFUNCTION("""COMPUTED_VALUE"""),"0522731324")</f>
        <v>0522731324</v>
      </c>
      <c r="K1061" s="2" t="str">
        <f ca="1">IFERROR(__xludf.DUMMYFUNCTION("""COMPUTED_VALUE"""),"1753012660491")</f>
        <v>1753012660491</v>
      </c>
    </row>
    <row r="1062" spans="1:11" ht="12.45">
      <c r="A1062" s="2" t="str">
        <f ca="1">IFERROR(__xludf.DUMMYFUNCTION("""COMPUTED_VALUE"""),"1753012696512")</f>
        <v>1753012696512</v>
      </c>
      <c r="B1062" s="2"/>
      <c r="C1062" s="2" t="str">
        <v>0</v>
      </c>
      <c r="D1062" s="2"/>
      <c r="E1062" s="2"/>
      <c r="F1062" s="2" t="str">
        <v>0</v>
      </c>
      <c r="G1062" s="2"/>
      <c r="I1062" s="2" t="str">
        <f ca="1">IFERROR(__xludf.DUMMYFUNCTION("""COMPUTED_VALUE"""),"Vũ Anh Thi")</f>
        <v>Vũ Anh Thi</v>
      </c>
      <c r="J1062" s="3" t="str">
        <f ca="1">IFERROR(__xludf.DUMMYFUNCTION("""COMPUTED_VALUE"""),"0388484618")</f>
        <v>0388484618</v>
      </c>
      <c r="K1062" s="2" t="str">
        <f ca="1">IFERROR(__xludf.DUMMYFUNCTION("""COMPUTED_VALUE"""),"1753012696512")</f>
        <v>1753012696512</v>
      </c>
    </row>
    <row r="1063" spans="1:11" ht="12.45">
      <c r="A1063" s="2" t="str">
        <f ca="1">IFERROR(__xludf.DUMMYFUNCTION("""COMPUTED_VALUE"""),"1753012751078")</f>
        <v>1753012751078</v>
      </c>
      <c r="B1063" s="2"/>
      <c r="C1063" s="2" t="str">
        <v>0</v>
      </c>
      <c r="D1063" s="2"/>
      <c r="E1063" s="2"/>
      <c r="F1063" s="2" t="str">
        <v>0</v>
      </c>
      <c r="G1063" s="2"/>
      <c r="I1063" s="2" t="str">
        <f ca="1">IFERROR(__xludf.DUMMYFUNCTION("""COMPUTED_VALUE"""),"Nguyễn Phạm Mỹ Ngọc")</f>
        <v>Nguyễn Phạm Mỹ Ngọc</v>
      </c>
      <c r="J1063" s="3" t="str">
        <f ca="1">IFERROR(__xludf.DUMMYFUNCTION("""COMPUTED_VALUE"""),"0382815049")</f>
        <v>0382815049</v>
      </c>
      <c r="K1063" s="2" t="str">
        <f ca="1">IFERROR(__xludf.DUMMYFUNCTION("""COMPUTED_VALUE"""),"1753012751078")</f>
        <v>1753012751078</v>
      </c>
    </row>
    <row r="1064" spans="1:11" ht="12.45">
      <c r="A1064" s="2" t="str">
        <f ca="1">IFERROR(__xludf.DUMMYFUNCTION("""COMPUTED_VALUE"""),"1753012806819")</f>
        <v>1753012806819</v>
      </c>
      <c r="B1064" s="2"/>
      <c r="C1064" s="2" t="str">
        <v>0</v>
      </c>
      <c r="D1064" s="2"/>
      <c r="E1064" s="2"/>
      <c r="F1064" s="2" t="str">
        <v>0</v>
      </c>
      <c r="G1064" s="2"/>
      <c r="I1064" s="2" t="str">
        <f ca="1">IFERROR(__xludf.DUMMYFUNCTION("""COMPUTED_VALUE"""),"Bùi Anh Quý")</f>
        <v>Bùi Anh Quý</v>
      </c>
      <c r="J1064" s="3" t="str">
        <f ca="1">IFERROR(__xludf.DUMMYFUNCTION("""COMPUTED_VALUE"""),"0356866327")</f>
        <v>0356866327</v>
      </c>
      <c r="K1064" s="2" t="str">
        <f ca="1">IFERROR(__xludf.DUMMYFUNCTION("""COMPUTED_VALUE"""),"1753012806819")</f>
        <v>1753012806819</v>
      </c>
    </row>
    <row r="1065" spans="1:11" ht="12.45">
      <c r="A1065" s="2" t="str">
        <f ca="1">IFERROR(__xludf.DUMMYFUNCTION("""COMPUTED_VALUE"""),"1753012846318")</f>
        <v>1753012846318</v>
      </c>
      <c r="B1065" s="2"/>
      <c r="C1065" s="2" t="str">
        <v>0</v>
      </c>
      <c r="D1065" s="2"/>
      <c r="E1065" s="2"/>
      <c r="F1065" s="2" t="str">
        <v>0</v>
      </c>
      <c r="G1065" s="2"/>
      <c r="I1065" s="2" t="str">
        <f ca="1">IFERROR(__xludf.DUMMYFUNCTION("""COMPUTED_VALUE"""),"Nguyễn Phương Nghi ")</f>
        <v xml:space="preserve">Nguyễn Phương Nghi </v>
      </c>
      <c r="J1065" s="3" t="str">
        <f ca="1">IFERROR(__xludf.DUMMYFUNCTION("""COMPUTED_VALUE"""),"0867954548")</f>
        <v>0867954548</v>
      </c>
      <c r="K1065" s="2" t="str">
        <f ca="1">IFERROR(__xludf.DUMMYFUNCTION("""COMPUTED_VALUE"""),"1753012846318")</f>
        <v>1753012846318</v>
      </c>
    </row>
    <row r="1066" spans="1:11" ht="12.45">
      <c r="A1066" s="2" t="str">
        <f ca="1">IFERROR(__xludf.DUMMYFUNCTION("""COMPUTED_VALUE"""),"1753012908114")</f>
        <v>1753012908114</v>
      </c>
      <c r="B1066" s="2"/>
      <c r="C1066" s="2" t="str">
        <v>0</v>
      </c>
      <c r="D1066" s="2"/>
      <c r="E1066" s="2"/>
      <c r="F1066" s="2" t="str">
        <v>0</v>
      </c>
      <c r="G1066" s="2"/>
      <c r="I1066" s="2" t="str">
        <f ca="1">IFERROR(__xludf.DUMMYFUNCTION("""COMPUTED_VALUE"""),"Nguyễn Lê Hoài Trinh")</f>
        <v>Nguyễn Lê Hoài Trinh</v>
      </c>
      <c r="J1066" s="3" t="str">
        <f ca="1">IFERROR(__xludf.DUMMYFUNCTION("""COMPUTED_VALUE"""),"0797069179")</f>
        <v>0797069179</v>
      </c>
      <c r="K1066" s="2" t="str">
        <f ca="1">IFERROR(__xludf.DUMMYFUNCTION("""COMPUTED_VALUE"""),"1753012908114")</f>
        <v>1753012908114</v>
      </c>
    </row>
    <row r="1067" spans="1:11" ht="12.45">
      <c r="A1067" s="2" t="str">
        <f ca="1">IFERROR(__xludf.DUMMYFUNCTION("""COMPUTED_VALUE"""),"1753012964002")</f>
        <v>1753012964002</v>
      </c>
      <c r="B1067" s="2"/>
      <c r="C1067" s="2" t="str">
        <v>0</v>
      </c>
      <c r="D1067" s="2"/>
      <c r="E1067" s="2"/>
      <c r="F1067" s="2" t="str">
        <v>0</v>
      </c>
      <c r="G1067" s="2"/>
      <c r="I1067" s="2" t="str">
        <f ca="1">IFERROR(__xludf.DUMMYFUNCTION("""COMPUTED_VALUE"""),"Phạm Thị Thuỳ Dương")</f>
        <v>Phạm Thị Thuỳ Dương</v>
      </c>
      <c r="J1067" s="3" t="str">
        <f ca="1">IFERROR(__xludf.DUMMYFUNCTION("""COMPUTED_VALUE"""),"0972008214")</f>
        <v>0972008214</v>
      </c>
      <c r="K1067" s="2" t="str">
        <f ca="1">IFERROR(__xludf.DUMMYFUNCTION("""COMPUTED_VALUE"""),"1753012964002")</f>
        <v>1753012964002</v>
      </c>
    </row>
    <row r="1068" spans="1:11" ht="12.45">
      <c r="A1068" s="2" t="str">
        <f ca="1">IFERROR(__xludf.DUMMYFUNCTION("""COMPUTED_VALUE"""),"1753013019005")</f>
        <v>1753013019005</v>
      </c>
      <c r="B1068" s="2"/>
      <c r="C1068" s="2" t="str">
        <v>0</v>
      </c>
      <c r="D1068" s="2"/>
      <c r="E1068" s="2"/>
      <c r="F1068" s="2" t="str">
        <v>0</v>
      </c>
      <c r="G1068" s="2"/>
      <c r="I1068" s="2" t="str">
        <f ca="1">IFERROR(__xludf.DUMMYFUNCTION("""COMPUTED_VALUE"""),"Cao Thị Yến Thi")</f>
        <v>Cao Thị Yến Thi</v>
      </c>
      <c r="J1068" s="3" t="str">
        <f ca="1">IFERROR(__xludf.DUMMYFUNCTION("""COMPUTED_VALUE"""),"0332021739")</f>
        <v>0332021739</v>
      </c>
      <c r="K1068" s="2" t="str">
        <f ca="1">IFERROR(__xludf.DUMMYFUNCTION("""COMPUTED_VALUE"""),"1753013019005")</f>
        <v>1753013019005</v>
      </c>
    </row>
    <row r="1069" spans="1:11" ht="12.45">
      <c r="A1069" s="2" t="str">
        <f ca="1">IFERROR(__xludf.DUMMYFUNCTION("""COMPUTED_VALUE"""),"1753013082165")</f>
        <v>1753013082165</v>
      </c>
      <c r="B1069" s="2"/>
      <c r="C1069" s="2" t="str">
        <v>0</v>
      </c>
      <c r="D1069" s="2"/>
      <c r="E1069" s="2"/>
      <c r="F1069" s="2" t="str">
        <v>0</v>
      </c>
      <c r="G1069" s="2"/>
      <c r="I1069" s="2" t="str">
        <f ca="1">IFERROR(__xludf.DUMMYFUNCTION("""COMPUTED_VALUE"""),"Lê Bé Thảo")</f>
        <v>Lê Bé Thảo</v>
      </c>
      <c r="J1069" s="3" t="str">
        <f ca="1">IFERROR(__xludf.DUMMYFUNCTION("""COMPUTED_VALUE"""),"0941543681")</f>
        <v>0941543681</v>
      </c>
      <c r="K1069" s="2" t="str">
        <f ca="1">IFERROR(__xludf.DUMMYFUNCTION("""COMPUTED_VALUE"""),"1753013082165")</f>
        <v>1753013082165</v>
      </c>
    </row>
    <row r="1070" spans="1:11" ht="12.45">
      <c r="A1070" s="2" t="str">
        <f ca="1">IFERROR(__xludf.DUMMYFUNCTION("""COMPUTED_VALUE"""),"1753013168006")</f>
        <v>1753013168006</v>
      </c>
      <c r="B1070" s="2"/>
      <c r="C1070" s="2" t="str">
        <v>0</v>
      </c>
      <c r="D1070" s="2"/>
      <c r="E1070" s="2"/>
      <c r="F1070" s="2" t="str">
        <v>0</v>
      </c>
      <c r="G1070" s="2"/>
      <c r="I1070" s="2" t="str">
        <f ca="1">IFERROR(__xludf.DUMMYFUNCTION("""COMPUTED_VALUE"""),"Lê Minh Anh")</f>
        <v>Lê Minh Anh</v>
      </c>
      <c r="J1070" s="3" t="str">
        <f ca="1">IFERROR(__xludf.DUMMYFUNCTION("""COMPUTED_VALUE"""),"0944322149")</f>
        <v>0944322149</v>
      </c>
      <c r="K1070" s="2" t="str">
        <f ca="1">IFERROR(__xludf.DUMMYFUNCTION("""COMPUTED_VALUE"""),"1753013168006")</f>
        <v>1753013168006</v>
      </c>
    </row>
    <row r="1071" spans="1:11" ht="12.45">
      <c r="A1071" s="2" t="str">
        <f ca="1">IFERROR(__xludf.DUMMYFUNCTION("""COMPUTED_VALUE"""),"1753013235942")</f>
        <v>1753013235942</v>
      </c>
      <c r="B1071" s="2"/>
      <c r="C1071" s="2" t="str">
        <v>0</v>
      </c>
      <c r="D1071" s="2"/>
      <c r="E1071" s="2"/>
      <c r="F1071" s="2" t="str">
        <v>0</v>
      </c>
      <c r="G1071" s="2"/>
      <c r="I1071" s="2" t="str">
        <f ca="1">IFERROR(__xludf.DUMMYFUNCTION("""COMPUTED_VALUE"""),"Tạ Phương Linh ")</f>
        <v xml:space="preserve">Tạ Phương Linh </v>
      </c>
      <c r="J1071" s="3" t="str">
        <f ca="1">IFERROR(__xludf.DUMMYFUNCTION("""COMPUTED_VALUE"""),"0979130057")</f>
        <v>0979130057</v>
      </c>
      <c r="K1071" s="2" t="str">
        <f ca="1">IFERROR(__xludf.DUMMYFUNCTION("""COMPUTED_VALUE"""),"1753013235942")</f>
        <v>1753013235942</v>
      </c>
    </row>
    <row r="1072" spans="1:11" ht="12.45">
      <c r="A1072" s="2" t="str">
        <f ca="1">IFERROR(__xludf.DUMMYFUNCTION("""COMPUTED_VALUE"""),"1753013288597")</f>
        <v>1753013288597</v>
      </c>
      <c r="B1072" s="2"/>
      <c r="C1072" s="2" t="str">
        <v>0</v>
      </c>
      <c r="D1072" s="2"/>
      <c r="E1072" s="2"/>
      <c r="F1072" s="2" t="str">
        <v>0</v>
      </c>
      <c r="G1072" s="2"/>
      <c r="I1072" s="2" t="str">
        <f ca="1">IFERROR(__xludf.DUMMYFUNCTION("""COMPUTED_VALUE"""),"Nguyễn Thị Quỳnh Nhi")</f>
        <v>Nguyễn Thị Quỳnh Nhi</v>
      </c>
      <c r="J1072" s="3" t="str">
        <f ca="1">IFERROR(__xludf.DUMMYFUNCTION("""COMPUTED_VALUE"""),"0977795996")</f>
        <v>0977795996</v>
      </c>
      <c r="K1072" s="2" t="str">
        <f ca="1">IFERROR(__xludf.DUMMYFUNCTION("""COMPUTED_VALUE"""),"1753013288597")</f>
        <v>1753013288597</v>
      </c>
    </row>
    <row r="1073" spans="1:11" ht="12.45">
      <c r="A1073" s="2" t="str">
        <f ca="1">IFERROR(__xludf.DUMMYFUNCTION("""COMPUTED_VALUE"""),"1753013352130")</f>
        <v>1753013352130</v>
      </c>
      <c r="B1073" s="2"/>
      <c r="C1073" s="2" t="str">
        <v>0</v>
      </c>
      <c r="D1073" s="2"/>
      <c r="E1073" s="2"/>
      <c r="F1073" s="2" t="str">
        <v>0</v>
      </c>
      <c r="G1073" s="2"/>
      <c r="I1073" s="2" t="str">
        <f ca="1">IFERROR(__xludf.DUMMYFUNCTION("""COMPUTED_VALUE"""),"Lê Khánh Ngọc Như")</f>
        <v>Lê Khánh Ngọc Như</v>
      </c>
      <c r="J1073" s="3" t="str">
        <f ca="1">IFERROR(__xludf.DUMMYFUNCTION("""COMPUTED_VALUE"""),"0396564506")</f>
        <v>0396564506</v>
      </c>
      <c r="K1073" s="2" t="str">
        <f ca="1">IFERROR(__xludf.DUMMYFUNCTION("""COMPUTED_VALUE"""),"1753013352130")</f>
        <v>1753013352130</v>
      </c>
    </row>
    <row r="1074" spans="1:11" ht="12.45">
      <c r="A1074" s="2" t="str">
        <f ca="1">IFERROR(__xludf.DUMMYFUNCTION("""COMPUTED_VALUE"""),"1753013407472")</f>
        <v>1753013407472</v>
      </c>
      <c r="B1074" s="2"/>
      <c r="C1074" s="2" t="str">
        <v>0</v>
      </c>
      <c r="D1074" s="2"/>
      <c r="E1074" s="2"/>
      <c r="F1074" s="2" t="str">
        <v>0</v>
      </c>
      <c r="G1074" s="2"/>
      <c r="I1074" s="2" t="str">
        <f ca="1">IFERROR(__xludf.DUMMYFUNCTION("""COMPUTED_VALUE"""),"Nguyễn Thị Trà My ")</f>
        <v xml:space="preserve">Nguyễn Thị Trà My </v>
      </c>
      <c r="J1074" s="3" t="str">
        <f ca="1">IFERROR(__xludf.DUMMYFUNCTION("""COMPUTED_VALUE"""),"0397625596")</f>
        <v>0397625596</v>
      </c>
      <c r="K1074" s="2" t="str">
        <f ca="1">IFERROR(__xludf.DUMMYFUNCTION("""COMPUTED_VALUE"""),"1753013407472")</f>
        <v>1753013407472</v>
      </c>
    </row>
    <row r="1075" spans="1:11" ht="12.45">
      <c r="A1075" s="2" t="str">
        <f ca="1">IFERROR(__xludf.DUMMYFUNCTION("""COMPUTED_VALUE"""),"1753013456513")</f>
        <v>1753013456513</v>
      </c>
      <c r="B1075" s="2"/>
      <c r="C1075" s="2" t="str">
        <v>0</v>
      </c>
      <c r="D1075" s="2"/>
      <c r="E1075" s="2"/>
      <c r="F1075" s="2" t="str">
        <v>0</v>
      </c>
      <c r="G1075" s="2"/>
      <c r="I1075" s="2" t="str">
        <f ca="1">IFERROR(__xludf.DUMMYFUNCTION("""COMPUTED_VALUE"""),"Nguyễn Thị Hồng Hải ")</f>
        <v xml:space="preserve">Nguyễn Thị Hồng Hải </v>
      </c>
      <c r="J1075" s="3" t="str">
        <f ca="1">IFERROR(__xludf.DUMMYFUNCTION("""COMPUTED_VALUE"""),"0888203865")</f>
        <v>0888203865</v>
      </c>
      <c r="K1075" s="2" t="str">
        <f ca="1">IFERROR(__xludf.DUMMYFUNCTION("""COMPUTED_VALUE"""),"1753013456513")</f>
        <v>1753013456513</v>
      </c>
    </row>
    <row r="1076" spans="1:11" ht="12.45">
      <c r="A1076" s="2" t="str">
        <f ca="1">IFERROR(__xludf.DUMMYFUNCTION("""COMPUTED_VALUE"""),"1753013491991")</f>
        <v>1753013491991</v>
      </c>
      <c r="B1076" s="2"/>
      <c r="C1076" s="2" t="str">
        <v>0</v>
      </c>
      <c r="D1076" s="2"/>
      <c r="E1076" s="2"/>
      <c r="F1076" s="2" t="str">
        <v>0</v>
      </c>
      <c r="G1076" s="2"/>
      <c r="I1076" s="2" t="str">
        <f ca="1">IFERROR(__xludf.DUMMYFUNCTION("""COMPUTED_VALUE"""),"Lê Phương Thuỳ")</f>
        <v>Lê Phương Thuỳ</v>
      </c>
      <c r="J1076" s="3" t="str">
        <f ca="1">IFERROR(__xludf.DUMMYFUNCTION("""COMPUTED_VALUE"""),"0961009690")</f>
        <v>0961009690</v>
      </c>
      <c r="K1076" s="2" t="str">
        <f ca="1">IFERROR(__xludf.DUMMYFUNCTION("""COMPUTED_VALUE"""),"1753013491991")</f>
        <v>1753013491991</v>
      </c>
    </row>
    <row r="1077" spans="1:11" ht="12.45">
      <c r="A1077" s="2" t="str">
        <f ca="1">IFERROR(__xludf.DUMMYFUNCTION("""COMPUTED_VALUE"""),"1753013536202")</f>
        <v>1753013536202</v>
      </c>
      <c r="B1077" s="2"/>
      <c r="C1077" s="2" t="str">
        <v>0</v>
      </c>
      <c r="D1077" s="2"/>
      <c r="E1077" s="2"/>
      <c r="F1077" s="2" t="str">
        <v>0</v>
      </c>
      <c r="G1077" s="2"/>
      <c r="I1077" s="2" t="str">
        <f ca="1">IFERROR(__xludf.DUMMYFUNCTION("""COMPUTED_VALUE"""),"Phan yến nhi")</f>
        <v>Phan yến nhi</v>
      </c>
      <c r="J1077" s="3" t="str">
        <f ca="1">IFERROR(__xludf.DUMMYFUNCTION("""COMPUTED_VALUE"""),"0399216980")</f>
        <v>0399216980</v>
      </c>
      <c r="K1077" s="2" t="str">
        <f ca="1">IFERROR(__xludf.DUMMYFUNCTION("""COMPUTED_VALUE"""),"1753013536202")</f>
        <v>1753013536202</v>
      </c>
    </row>
    <row r="1078" spans="1:11" ht="12.45">
      <c r="A1078" s="2" t="str">
        <f ca="1">IFERROR(__xludf.DUMMYFUNCTION("""COMPUTED_VALUE"""),"1753013580716")</f>
        <v>1753013580716</v>
      </c>
      <c r="B1078" s="2"/>
      <c r="C1078" s="2" t="str">
        <v>0</v>
      </c>
      <c r="D1078" s="2"/>
      <c r="E1078" s="2"/>
      <c r="F1078" s="2" t="str">
        <v>0</v>
      </c>
      <c r="G1078" s="2"/>
      <c r="I1078" s="2" t="str">
        <f ca="1">IFERROR(__xludf.DUMMYFUNCTION("""COMPUTED_VALUE"""),"Quách Quỳnh Phương")</f>
        <v>Quách Quỳnh Phương</v>
      </c>
      <c r="J1078" s="3" t="str">
        <f ca="1">IFERROR(__xludf.DUMMYFUNCTION("""COMPUTED_VALUE"""),"0862690143")</f>
        <v>0862690143</v>
      </c>
      <c r="K1078" s="2" t="str">
        <f ca="1">IFERROR(__xludf.DUMMYFUNCTION("""COMPUTED_VALUE"""),"1753013580716")</f>
        <v>1753013580716</v>
      </c>
    </row>
    <row r="1079" spans="1:11" ht="12.45">
      <c r="A1079" s="2" t="str">
        <f ca="1">IFERROR(__xludf.DUMMYFUNCTION("""COMPUTED_VALUE"""),"1753013607896")</f>
        <v>1753013607896</v>
      </c>
      <c r="B1079" s="2"/>
      <c r="C1079" s="2" t="str">
        <v>0</v>
      </c>
      <c r="D1079" s="2"/>
      <c r="E1079" s="2"/>
      <c r="F1079" s="2" t="str">
        <v>0</v>
      </c>
      <c r="G1079" s="2"/>
      <c r="I1079" s="2" t="str">
        <f ca="1">IFERROR(__xludf.DUMMYFUNCTION("""COMPUTED_VALUE"""),"Trần Thị Minh Thu ")</f>
        <v xml:space="preserve">Trần Thị Minh Thu </v>
      </c>
      <c r="J1079" s="3" t="str">
        <f ca="1">IFERROR(__xludf.DUMMYFUNCTION("""COMPUTED_VALUE"""),"0365212534")</f>
        <v>0365212534</v>
      </c>
      <c r="K1079" s="2" t="str">
        <f ca="1">IFERROR(__xludf.DUMMYFUNCTION("""COMPUTED_VALUE"""),"1753013607896")</f>
        <v>1753013607896</v>
      </c>
    </row>
    <row r="1080" spans="1:11" ht="12.45">
      <c r="A1080" s="2" t="str">
        <f ca="1">IFERROR(__xludf.DUMMYFUNCTION("""COMPUTED_VALUE"""),"1753013642265")</f>
        <v>1753013642265</v>
      </c>
      <c r="B1080" s="2"/>
      <c r="C1080" s="2" t="str">
        <v>0</v>
      </c>
      <c r="D1080" s="2"/>
      <c r="E1080" s="2"/>
      <c r="F1080" s="2" t="str">
        <v>0</v>
      </c>
      <c r="G1080" s="2"/>
      <c r="I1080" s="2" t="str">
        <f ca="1">IFERROR(__xludf.DUMMYFUNCTION("""COMPUTED_VALUE"""),"Hồ Minh Nhựt")</f>
        <v>Hồ Minh Nhựt</v>
      </c>
      <c r="J1080" s="3" t="str">
        <f ca="1">IFERROR(__xludf.DUMMYFUNCTION("""COMPUTED_VALUE"""),"0799337323")</f>
        <v>0799337323</v>
      </c>
      <c r="K1080" s="2" t="str">
        <f ca="1">IFERROR(__xludf.DUMMYFUNCTION("""COMPUTED_VALUE"""),"1753013642265")</f>
        <v>1753013642265</v>
      </c>
    </row>
    <row r="1081" spans="1:11" ht="12.45">
      <c r="A1081" s="2" t="str">
        <f ca="1">IFERROR(__xludf.DUMMYFUNCTION("""COMPUTED_VALUE"""),"1753013677074")</f>
        <v>1753013677074</v>
      </c>
      <c r="B1081" s="2"/>
      <c r="C1081" s="2" t="str">
        <v>0</v>
      </c>
      <c r="D1081" s="2"/>
      <c r="E1081" s="2"/>
      <c r="F1081" s="2" t="str">
        <v>0</v>
      </c>
      <c r="G1081" s="2"/>
      <c r="I1081" s="2" t="str">
        <f ca="1">IFERROR(__xludf.DUMMYFUNCTION("""COMPUTED_VALUE"""),"Nguyễn Phạm Thảo Nguyên ")</f>
        <v xml:space="preserve">Nguyễn Phạm Thảo Nguyên </v>
      </c>
      <c r="J1081" s="3" t="str">
        <f ca="1">IFERROR(__xludf.DUMMYFUNCTION("""COMPUTED_VALUE"""),"0367006518")</f>
        <v>0367006518</v>
      </c>
      <c r="K1081" s="2" t="str">
        <f ca="1">IFERROR(__xludf.DUMMYFUNCTION("""COMPUTED_VALUE"""),"1753013677074")</f>
        <v>1753013677074</v>
      </c>
    </row>
    <row r="1082" spans="1:11" ht="12.45">
      <c r="A1082" s="2" t="str">
        <f ca="1">IFERROR(__xludf.DUMMYFUNCTION("""COMPUTED_VALUE"""),"1753013712993")</f>
        <v>1753013712993</v>
      </c>
      <c r="B1082" s="2"/>
      <c r="C1082" s="2" t="str">
        <v>0</v>
      </c>
      <c r="D1082" s="2"/>
      <c r="E1082" s="2"/>
      <c r="F1082" s="2" t="str">
        <v>0</v>
      </c>
      <c r="G1082" s="2"/>
      <c r="I1082" s="2" t="str">
        <f ca="1">IFERROR(__xludf.DUMMYFUNCTION("""COMPUTED_VALUE"""),"Nguyễn Khánh Huyền")</f>
        <v>Nguyễn Khánh Huyền</v>
      </c>
      <c r="J1082" s="3" t="str">
        <f ca="1">IFERROR(__xludf.DUMMYFUNCTION("""COMPUTED_VALUE"""),"0358629008")</f>
        <v>0358629008</v>
      </c>
      <c r="K1082" s="2" t="str">
        <f ca="1">IFERROR(__xludf.DUMMYFUNCTION("""COMPUTED_VALUE"""),"1753013712993")</f>
        <v>1753013712993</v>
      </c>
    </row>
    <row r="1083" spans="1:11" ht="12.45">
      <c r="A1083" s="2" t="str">
        <f ca="1">IFERROR(__xludf.DUMMYFUNCTION("""COMPUTED_VALUE"""),"1753013753675")</f>
        <v>1753013753675</v>
      </c>
      <c r="B1083" s="2"/>
      <c r="C1083" s="2" t="str">
        <v>0</v>
      </c>
      <c r="D1083" s="2"/>
      <c r="E1083" s="2"/>
      <c r="F1083" s="2" t="str">
        <v>0</v>
      </c>
      <c r="G1083" s="2"/>
      <c r="I1083" s="2" t="str">
        <f ca="1">IFERROR(__xludf.DUMMYFUNCTION("""COMPUTED_VALUE"""),"Nguyễn Thị Phan Thu")</f>
        <v>Nguyễn Thị Phan Thu</v>
      </c>
      <c r="J1083" s="3" t="str">
        <f ca="1">IFERROR(__xludf.DUMMYFUNCTION("""COMPUTED_VALUE"""),"0816517078")</f>
        <v>0816517078</v>
      </c>
      <c r="K1083" s="2" t="str">
        <f ca="1">IFERROR(__xludf.DUMMYFUNCTION("""COMPUTED_VALUE"""),"1753013753675")</f>
        <v>1753013753675</v>
      </c>
    </row>
    <row r="1084" spans="1:11" ht="12.45">
      <c r="A1084" s="2" t="str">
        <f ca="1">IFERROR(__xludf.DUMMYFUNCTION("""COMPUTED_VALUE"""),"1753013786387")</f>
        <v>1753013786387</v>
      </c>
      <c r="B1084" s="2"/>
      <c r="C1084" s="2" t="str">
        <v>0</v>
      </c>
      <c r="D1084" s="2"/>
      <c r="E1084" s="2"/>
      <c r="F1084" s="2" t="str">
        <v>0</v>
      </c>
      <c r="G1084" s="2"/>
      <c r="I1084" s="2" t="str">
        <f ca="1">IFERROR(__xludf.DUMMYFUNCTION("""COMPUTED_VALUE"""),"Nguyễn Thị Hoài Thương")</f>
        <v>Nguyễn Thị Hoài Thương</v>
      </c>
      <c r="J1084" s="3" t="str">
        <f ca="1">IFERROR(__xludf.DUMMYFUNCTION("""COMPUTED_VALUE"""),"0877943436")</f>
        <v>0877943436</v>
      </c>
      <c r="K1084" s="2" t="str">
        <f ca="1">IFERROR(__xludf.DUMMYFUNCTION("""COMPUTED_VALUE"""),"1753013786387")</f>
        <v>1753013786387</v>
      </c>
    </row>
    <row r="1085" spans="1:11" ht="12.45">
      <c r="A1085" s="2" t="str">
        <f ca="1">IFERROR(__xludf.DUMMYFUNCTION("""COMPUTED_VALUE"""),"1753013825032")</f>
        <v>1753013825032</v>
      </c>
      <c r="B1085" s="2"/>
      <c r="C1085" s="2" t="str">
        <v>0</v>
      </c>
      <c r="D1085" s="2"/>
      <c r="E1085" s="2"/>
      <c r="F1085" s="2" t="str">
        <v>0</v>
      </c>
      <c r="G1085" s="2"/>
      <c r="I1085" s="2" t="str">
        <f ca="1">IFERROR(__xludf.DUMMYFUNCTION("""COMPUTED_VALUE"""),"Đinh Thị Yến Nhi")</f>
        <v>Đinh Thị Yến Nhi</v>
      </c>
      <c r="J1085" s="3" t="str">
        <f ca="1">IFERROR(__xludf.DUMMYFUNCTION("""COMPUTED_VALUE"""),"0373430177")</f>
        <v>0373430177</v>
      </c>
      <c r="K1085" s="2" t="str">
        <f ca="1">IFERROR(__xludf.DUMMYFUNCTION("""COMPUTED_VALUE"""),"1753013825032")</f>
        <v>1753013825032</v>
      </c>
    </row>
    <row r="1086" spans="1:11" ht="12.45">
      <c r="A1086" s="2" t="str">
        <f ca="1">IFERROR(__xludf.DUMMYFUNCTION("""COMPUTED_VALUE"""),"1753013864965")</f>
        <v>1753013864965</v>
      </c>
      <c r="B1086" s="2"/>
      <c r="C1086" s="2" t="str">
        <v>0</v>
      </c>
      <c r="D1086" s="2"/>
      <c r="E1086" s="2"/>
      <c r="F1086" s="2" t="str">
        <v>0</v>
      </c>
      <c r="G1086" s="2"/>
      <c r="I1086" s="2" t="str">
        <f ca="1">IFERROR(__xludf.DUMMYFUNCTION("""COMPUTED_VALUE"""),"Nguyễn Thị Bích Vi ")</f>
        <v xml:space="preserve">Nguyễn Thị Bích Vi </v>
      </c>
      <c r="J1086" s="3" t="str">
        <f ca="1">IFERROR(__xludf.DUMMYFUNCTION("""COMPUTED_VALUE"""),"0368908101")</f>
        <v>0368908101</v>
      </c>
      <c r="K1086" s="2" t="str">
        <f ca="1">IFERROR(__xludf.DUMMYFUNCTION("""COMPUTED_VALUE"""),"1753013864965")</f>
        <v>1753013864965</v>
      </c>
    </row>
    <row r="1087" spans="1:11" ht="12.45">
      <c r="A1087" s="2" t="str">
        <f ca="1">IFERROR(__xludf.DUMMYFUNCTION("""COMPUTED_VALUE"""),"1753013904052")</f>
        <v>1753013904052</v>
      </c>
      <c r="B1087" s="2"/>
      <c r="C1087" s="2" t="str">
        <v>0</v>
      </c>
      <c r="D1087" s="2"/>
      <c r="E1087" s="2"/>
      <c r="F1087" s="2" t="str">
        <v>0</v>
      </c>
      <c r="G1087" s="2"/>
      <c r="I1087" s="2" t="str">
        <f ca="1">IFERROR(__xludf.DUMMYFUNCTION("""COMPUTED_VALUE"""),"Đỗ Bích Thuỷ")</f>
        <v>Đỗ Bích Thuỷ</v>
      </c>
      <c r="J1087" s="3" t="str">
        <f ca="1">IFERROR(__xludf.DUMMYFUNCTION("""COMPUTED_VALUE"""),"0345065686")</f>
        <v>0345065686</v>
      </c>
      <c r="K1087" s="2" t="str">
        <f ca="1">IFERROR(__xludf.DUMMYFUNCTION("""COMPUTED_VALUE"""),"1753013904052")</f>
        <v>1753013904052</v>
      </c>
    </row>
    <row r="1088" spans="1:11" ht="12.45">
      <c r="A1088" s="2" t="str">
        <f ca="1">IFERROR(__xludf.DUMMYFUNCTION("""COMPUTED_VALUE"""),"1753013941655")</f>
        <v>1753013941655</v>
      </c>
      <c r="B1088" s="2"/>
      <c r="C1088" s="2" t="str">
        <v>0</v>
      </c>
      <c r="D1088" s="2"/>
      <c r="E1088" s="2"/>
      <c r="F1088" s="2" t="str">
        <v>0</v>
      </c>
      <c r="G1088" s="2"/>
      <c r="I1088" s="2" t="str">
        <f ca="1">IFERROR(__xludf.DUMMYFUNCTION("""COMPUTED_VALUE"""),"Trần Ngọc Loan Nhật")</f>
        <v>Trần Ngọc Loan Nhật</v>
      </c>
      <c r="J1088" s="3" t="str">
        <f ca="1">IFERROR(__xludf.DUMMYFUNCTION("""COMPUTED_VALUE"""),"0847282152")</f>
        <v>0847282152</v>
      </c>
      <c r="K1088" s="2" t="str">
        <f ca="1">IFERROR(__xludf.DUMMYFUNCTION("""COMPUTED_VALUE"""),"1753013941655")</f>
        <v>1753013941655</v>
      </c>
    </row>
    <row r="1089" spans="1:11" ht="12.45">
      <c r="A1089" s="2" t="str">
        <f ca="1">IFERROR(__xludf.DUMMYFUNCTION("""COMPUTED_VALUE"""),"1753013980793")</f>
        <v>1753013980793</v>
      </c>
      <c r="B1089" s="2"/>
      <c r="C1089" s="2" t="str">
        <v>0</v>
      </c>
      <c r="D1089" s="2"/>
      <c r="E1089" s="2"/>
      <c r="F1089" s="2" t="str">
        <v>0</v>
      </c>
      <c r="G1089" s="2"/>
      <c r="I1089" s="2" t="str">
        <f ca="1">IFERROR(__xludf.DUMMYFUNCTION("""COMPUTED_VALUE"""),"Phạm Gia Anh ")</f>
        <v xml:space="preserve">Phạm Gia Anh </v>
      </c>
      <c r="J1089" s="3" t="str">
        <f ca="1">IFERROR(__xludf.DUMMYFUNCTION("""COMPUTED_VALUE"""),"0778334363")</f>
        <v>0778334363</v>
      </c>
      <c r="K1089" s="2" t="str">
        <f ca="1">IFERROR(__xludf.DUMMYFUNCTION("""COMPUTED_VALUE"""),"1753013980793")</f>
        <v>1753013980793</v>
      </c>
    </row>
    <row r="1090" spans="1:11" ht="12.45">
      <c r="A1090" s="2" t="str">
        <f ca="1">IFERROR(__xludf.DUMMYFUNCTION("""COMPUTED_VALUE"""),"1753014010021")</f>
        <v>1753014010021</v>
      </c>
      <c r="B1090" s="2"/>
      <c r="C1090" s="2" t="str">
        <v>0</v>
      </c>
      <c r="D1090" s="2"/>
      <c r="E1090" s="2"/>
      <c r="F1090" s="2" t="str">
        <v>0</v>
      </c>
      <c r="G1090" s="2"/>
      <c r="I1090" s="2" t="str">
        <f ca="1">IFERROR(__xludf.DUMMYFUNCTION("""COMPUTED_VALUE"""),"Nguyễn Trần Tú Quyên")</f>
        <v>Nguyễn Trần Tú Quyên</v>
      </c>
      <c r="J1090" s="3" t="str">
        <f ca="1">IFERROR(__xludf.DUMMYFUNCTION("""COMPUTED_VALUE"""),"0392469780")</f>
        <v>0392469780</v>
      </c>
      <c r="K1090" s="2" t="str">
        <f ca="1">IFERROR(__xludf.DUMMYFUNCTION("""COMPUTED_VALUE"""),"1753014010021")</f>
        <v>1753014010021</v>
      </c>
    </row>
    <row r="1091" spans="1:11" ht="12.45">
      <c r="A1091" s="2" t="str">
        <f ca="1">IFERROR(__xludf.DUMMYFUNCTION("""COMPUTED_VALUE"""),"1753014032464")</f>
        <v>1753014032464</v>
      </c>
      <c r="B1091" s="2"/>
      <c r="C1091" s="2" t="str">
        <v>0</v>
      </c>
      <c r="D1091" s="2"/>
      <c r="E1091" s="2"/>
      <c r="F1091" s="2" t="str">
        <v>0</v>
      </c>
      <c r="G1091" s="2"/>
      <c r="I1091" s="2" t="str">
        <f ca="1">IFERROR(__xludf.DUMMYFUNCTION("""COMPUTED_VALUE"""),"Nguyễn Ngọc Anh")</f>
        <v>Nguyễn Ngọc Anh</v>
      </c>
      <c r="J1091" s="3" t="str">
        <f ca="1">IFERROR(__xludf.DUMMYFUNCTION("""COMPUTED_VALUE"""),"0394848782")</f>
        <v>0394848782</v>
      </c>
      <c r="K1091" s="2" t="str">
        <f ca="1">IFERROR(__xludf.DUMMYFUNCTION("""COMPUTED_VALUE"""),"1753014032464")</f>
        <v>1753014032464</v>
      </c>
    </row>
    <row r="1092" spans="1:11" ht="12.45">
      <c r="A1092" s="2" t="str">
        <f ca="1">IFERROR(__xludf.DUMMYFUNCTION("""COMPUTED_VALUE"""),"1753014064321")</f>
        <v>1753014064321</v>
      </c>
      <c r="B1092" s="2"/>
      <c r="C1092" s="2" t="str">
        <v>0</v>
      </c>
      <c r="D1092" s="2"/>
      <c r="E1092" s="2"/>
      <c r="F1092" s="2" t="str">
        <v>0</v>
      </c>
      <c r="G1092" s="2"/>
      <c r="I1092" s="2" t="str">
        <f ca="1">IFERROR(__xludf.DUMMYFUNCTION("""COMPUTED_VALUE"""),"Nguyễn thu phương")</f>
        <v>Nguyễn thu phương</v>
      </c>
      <c r="J1092" s="3" t="str">
        <f ca="1">IFERROR(__xludf.DUMMYFUNCTION("""COMPUTED_VALUE"""),"0981187406")</f>
        <v>0981187406</v>
      </c>
      <c r="K1092" s="2" t="str">
        <f ca="1">IFERROR(__xludf.DUMMYFUNCTION("""COMPUTED_VALUE"""),"1753014064321")</f>
        <v>1753014064321</v>
      </c>
    </row>
    <row r="1093" spans="1:11" ht="12.45">
      <c r="A1093" s="2" t="str">
        <f ca="1">IFERROR(__xludf.DUMMYFUNCTION("""COMPUTED_VALUE"""),"1753014124854")</f>
        <v>1753014124854</v>
      </c>
      <c r="B1093" s="2"/>
      <c r="C1093" s="2" t="str">
        <v>0</v>
      </c>
      <c r="D1093" s="2"/>
      <c r="E1093" s="2"/>
      <c r="F1093" s="2" t="str">
        <v>0</v>
      </c>
      <c r="G1093" s="2"/>
      <c r="I1093" s="2" t="str">
        <f ca="1">IFERROR(__xludf.DUMMYFUNCTION("""COMPUTED_VALUE"""),"Nguyễn Thanh Thúy ")</f>
        <v xml:space="preserve">Nguyễn Thanh Thúy </v>
      </c>
      <c r="J1093" s="3" t="str">
        <f ca="1">IFERROR(__xludf.DUMMYFUNCTION("""COMPUTED_VALUE"""),"0817631019")</f>
        <v>0817631019</v>
      </c>
      <c r="K1093" s="2" t="str">
        <f ca="1">IFERROR(__xludf.DUMMYFUNCTION("""COMPUTED_VALUE"""),"1753014124854")</f>
        <v>1753014124854</v>
      </c>
    </row>
    <row r="1094" spans="1:11" ht="12.45">
      <c r="A1094" s="2" t="str">
        <f ca="1">IFERROR(__xludf.DUMMYFUNCTION("""COMPUTED_VALUE"""),"1753014163767")</f>
        <v>1753014163767</v>
      </c>
      <c r="B1094" s="2"/>
      <c r="C1094" s="2" t="str">
        <v>0</v>
      </c>
      <c r="D1094" s="2"/>
      <c r="E1094" s="2"/>
      <c r="F1094" s="2" t="str">
        <v>0</v>
      </c>
      <c r="G1094" s="2"/>
      <c r="I1094" s="2" t="str">
        <f ca="1">IFERROR(__xludf.DUMMYFUNCTION("""COMPUTED_VALUE"""),"Phan Thị Xuân Phước")</f>
        <v>Phan Thị Xuân Phước</v>
      </c>
      <c r="J1094" s="3" t="str">
        <f ca="1">IFERROR(__xludf.DUMMYFUNCTION("""COMPUTED_VALUE"""),"0398808510")</f>
        <v>0398808510</v>
      </c>
      <c r="K1094" s="2" t="str">
        <f ca="1">IFERROR(__xludf.DUMMYFUNCTION("""COMPUTED_VALUE"""),"1753014163767")</f>
        <v>1753014163767</v>
      </c>
    </row>
    <row r="1095" spans="1:11" ht="12.45">
      <c r="A1095" s="2" t="str">
        <f ca="1">IFERROR(__xludf.DUMMYFUNCTION("""COMPUTED_VALUE"""),"1753014206955")</f>
        <v>1753014206955</v>
      </c>
      <c r="B1095" s="2"/>
      <c r="C1095" s="2" t="str">
        <v>0</v>
      </c>
      <c r="D1095" s="2"/>
      <c r="E1095" s="2"/>
      <c r="F1095" s="2" t="str">
        <v>0</v>
      </c>
      <c r="G1095" s="2"/>
      <c r="I1095" s="2" t="str">
        <f ca="1">IFERROR(__xludf.DUMMYFUNCTION("""COMPUTED_VALUE"""),"Võ Thanh Phương Mai ")</f>
        <v xml:space="preserve">Võ Thanh Phương Mai </v>
      </c>
      <c r="J1095" s="3" t="str">
        <f ca="1">IFERROR(__xludf.DUMMYFUNCTION("""COMPUTED_VALUE"""),"0357921175")</f>
        <v>0357921175</v>
      </c>
      <c r="K1095" s="2" t="str">
        <f ca="1">IFERROR(__xludf.DUMMYFUNCTION("""COMPUTED_VALUE"""),"1753014206955")</f>
        <v>1753014206955</v>
      </c>
    </row>
    <row r="1096" spans="1:11" ht="12.45">
      <c r="A1096" s="2" t="str">
        <f ca="1">IFERROR(__xludf.DUMMYFUNCTION("""COMPUTED_VALUE"""),"1753014251957")</f>
        <v>1753014251957</v>
      </c>
      <c r="B1096" s="2"/>
      <c r="C1096" s="2" t="str">
        <v>0</v>
      </c>
      <c r="D1096" s="2"/>
      <c r="E1096" s="2"/>
      <c r="F1096" s="2" t="str">
        <v>0</v>
      </c>
      <c r="G1096" s="2"/>
      <c r="I1096" s="2" t="str">
        <f ca="1">IFERROR(__xludf.DUMMYFUNCTION("""COMPUTED_VALUE"""),"Quách Ngọc Quyên")</f>
        <v>Quách Ngọc Quyên</v>
      </c>
      <c r="J1096" s="3" t="str">
        <f ca="1">IFERROR(__xludf.DUMMYFUNCTION("""COMPUTED_VALUE"""),"0858349242")</f>
        <v>0858349242</v>
      </c>
      <c r="K1096" s="2" t="str">
        <f ca="1">IFERROR(__xludf.DUMMYFUNCTION("""COMPUTED_VALUE"""),"1753014251957")</f>
        <v>1753014251957</v>
      </c>
    </row>
    <row r="1097" spans="1:11" ht="12.45">
      <c r="A1097" s="2" t="str">
        <f ca="1">IFERROR(__xludf.DUMMYFUNCTION("""COMPUTED_VALUE"""),"1753014291520")</f>
        <v>1753014291520</v>
      </c>
      <c r="B1097" s="2"/>
      <c r="C1097" s="2" t="str">
        <v>0</v>
      </c>
      <c r="D1097" s="2"/>
      <c r="E1097" s="2"/>
      <c r="F1097" s="2" t="str">
        <v>0</v>
      </c>
      <c r="G1097" s="2"/>
      <c r="I1097" s="2" t="str">
        <f ca="1">IFERROR(__xludf.DUMMYFUNCTION("""COMPUTED_VALUE"""),"Trịnh Hoàng Ánh Ngọc")</f>
        <v>Trịnh Hoàng Ánh Ngọc</v>
      </c>
      <c r="J1097" s="3" t="str">
        <f ca="1">IFERROR(__xludf.DUMMYFUNCTION("""COMPUTED_VALUE"""),"0814668831")</f>
        <v>0814668831</v>
      </c>
      <c r="K1097" s="2" t="str">
        <f ca="1">IFERROR(__xludf.DUMMYFUNCTION("""COMPUTED_VALUE"""),"1753014291520")</f>
        <v>1753014291520</v>
      </c>
    </row>
    <row r="1098" spans="1:11" ht="12.45">
      <c r="A1098" s="2" t="str">
        <f ca="1">IFERROR(__xludf.DUMMYFUNCTION("""COMPUTED_VALUE"""),"1753014335324")</f>
        <v>1753014335324</v>
      </c>
      <c r="B1098" s="2"/>
      <c r="C1098" s="2" t="str">
        <v>0</v>
      </c>
      <c r="D1098" s="2"/>
      <c r="E1098" s="2"/>
      <c r="F1098" s="2" t="str">
        <v>0</v>
      </c>
      <c r="G1098" s="2"/>
      <c r="I1098" s="2" t="str">
        <f ca="1">IFERROR(__xludf.DUMMYFUNCTION("""COMPUTED_VALUE"""),"Lê Thị Kim Khánh")</f>
        <v>Lê Thị Kim Khánh</v>
      </c>
      <c r="J1098" s="3" t="str">
        <f ca="1">IFERROR(__xludf.DUMMYFUNCTION("""COMPUTED_VALUE"""),"0974614987")</f>
        <v>0974614987</v>
      </c>
      <c r="K1098" s="2" t="str">
        <f ca="1">IFERROR(__xludf.DUMMYFUNCTION("""COMPUTED_VALUE"""),"1753014335324")</f>
        <v>1753014335324</v>
      </c>
    </row>
    <row r="1099" spans="1:11" ht="12.45">
      <c r="A1099" s="2" t="str">
        <f ca="1">IFERROR(__xludf.DUMMYFUNCTION("""COMPUTED_VALUE"""),"1753014414926")</f>
        <v>1753014414926</v>
      </c>
      <c r="B1099" s="2"/>
      <c r="C1099" s="2" t="str">
        <v>0</v>
      </c>
      <c r="D1099" s="2"/>
      <c r="E1099" s="2"/>
      <c r="F1099" s="2" t="str">
        <v>0</v>
      </c>
      <c r="G1099" s="2"/>
      <c r="I1099" s="2" t="str">
        <f ca="1">IFERROR(__xludf.DUMMYFUNCTION("""COMPUTED_VALUE"""),"Trần Thị Tuyết Mai")</f>
        <v>Trần Thị Tuyết Mai</v>
      </c>
      <c r="J1099" s="3" t="str">
        <f ca="1">IFERROR(__xludf.DUMMYFUNCTION("""COMPUTED_VALUE"""),"0386338413")</f>
        <v>0386338413</v>
      </c>
      <c r="K1099" s="2" t="str">
        <f ca="1">IFERROR(__xludf.DUMMYFUNCTION("""COMPUTED_VALUE"""),"1753014414926")</f>
        <v>1753014414926</v>
      </c>
    </row>
    <row r="1100" spans="1:11" ht="12.45">
      <c r="A1100" s="2" t="str">
        <f ca="1">IFERROR(__xludf.DUMMYFUNCTION("""COMPUTED_VALUE"""),"1753014457906")</f>
        <v>1753014457906</v>
      </c>
      <c r="B1100" s="2"/>
      <c r="C1100" s="2" t="str">
        <v>0</v>
      </c>
      <c r="D1100" s="2"/>
      <c r="E1100" s="2"/>
      <c r="F1100" s="2" t="str">
        <v>0</v>
      </c>
      <c r="G1100" s="2"/>
      <c r="I1100" s="2" t="str">
        <f ca="1">IFERROR(__xludf.DUMMYFUNCTION("""COMPUTED_VALUE"""),"Đặng Thị Minh Phương")</f>
        <v>Đặng Thị Minh Phương</v>
      </c>
      <c r="J1100" s="3" t="str">
        <f ca="1">IFERROR(__xludf.DUMMYFUNCTION("""COMPUTED_VALUE"""),"0975661069")</f>
        <v>0975661069</v>
      </c>
      <c r="K1100" s="2" t="str">
        <f ca="1">IFERROR(__xludf.DUMMYFUNCTION("""COMPUTED_VALUE"""),"1753014457906")</f>
        <v>1753014457906</v>
      </c>
    </row>
    <row r="1101" spans="1:11" ht="12.45">
      <c r="A1101" s="2" t="str">
        <f ca="1">IFERROR(__xludf.DUMMYFUNCTION("""COMPUTED_VALUE"""),"1753014492026")</f>
        <v>1753014492026</v>
      </c>
      <c r="B1101" s="2"/>
      <c r="C1101" s="2" t="str">
        <v>0</v>
      </c>
      <c r="D1101" s="2"/>
      <c r="E1101" s="2"/>
      <c r="F1101" s="2" t="str">
        <v>0</v>
      </c>
      <c r="G1101" s="2"/>
      <c r="I1101" s="2" t="str">
        <f ca="1">IFERROR(__xludf.DUMMYFUNCTION("""COMPUTED_VALUE"""),"Trần Thanh Trà")</f>
        <v>Trần Thanh Trà</v>
      </c>
      <c r="J1101" s="3" t="str">
        <f ca="1">IFERROR(__xludf.DUMMYFUNCTION("""COMPUTED_VALUE"""),"0984322798")</f>
        <v>0984322798</v>
      </c>
      <c r="K1101" s="2" t="str">
        <f ca="1">IFERROR(__xludf.DUMMYFUNCTION("""COMPUTED_VALUE"""),"1753014492026")</f>
        <v>1753014492026</v>
      </c>
    </row>
    <row r="1102" spans="1:11" ht="12.45">
      <c r="A1102" s="2" t="str">
        <f ca="1">IFERROR(__xludf.DUMMYFUNCTION("""COMPUTED_VALUE"""),"1753014526970")</f>
        <v>1753014526970</v>
      </c>
      <c r="B1102" s="2"/>
      <c r="C1102" s="2" t="str">
        <v>0</v>
      </c>
      <c r="D1102" s="2"/>
      <c r="E1102" s="2"/>
      <c r="F1102" s="2" t="str">
        <v>0</v>
      </c>
      <c r="G1102" s="2"/>
      <c r="I1102" s="2" t="str">
        <f ca="1">IFERROR(__xludf.DUMMYFUNCTION("""COMPUTED_VALUE"""),"Diệp Phan Bảo Nhi")</f>
        <v>Diệp Phan Bảo Nhi</v>
      </c>
      <c r="J1102" s="3" t="str">
        <f ca="1">IFERROR(__xludf.DUMMYFUNCTION("""COMPUTED_VALUE"""),"0862643273")</f>
        <v>0862643273</v>
      </c>
      <c r="K1102" s="2" t="str">
        <f ca="1">IFERROR(__xludf.DUMMYFUNCTION("""COMPUTED_VALUE"""),"1753014526970")</f>
        <v>1753014526970</v>
      </c>
    </row>
    <row r="1103" spans="1:11" ht="12.45">
      <c r="A1103" s="2" t="str">
        <f ca="1">IFERROR(__xludf.DUMMYFUNCTION("""COMPUTED_VALUE"""),"1753014573860")</f>
        <v>1753014573860</v>
      </c>
      <c r="B1103" s="2"/>
      <c r="C1103" s="2" t="str">
        <v>0</v>
      </c>
      <c r="D1103" s="2"/>
      <c r="E1103" s="2"/>
      <c r="F1103" s="2" t="str">
        <v>0</v>
      </c>
      <c r="G1103" s="2"/>
      <c r="I1103" s="2" t="str">
        <f ca="1">IFERROR(__xludf.DUMMYFUNCTION("""COMPUTED_VALUE"""),"Nguyễn Thị Lan Anh ")</f>
        <v xml:space="preserve">Nguyễn Thị Lan Anh </v>
      </c>
      <c r="J1103" s="3" t="str">
        <f ca="1">IFERROR(__xludf.DUMMYFUNCTION("""COMPUTED_VALUE"""),"0788053869")</f>
        <v>0788053869</v>
      </c>
      <c r="K1103" s="2" t="str">
        <f ca="1">IFERROR(__xludf.DUMMYFUNCTION("""COMPUTED_VALUE"""),"1753014573860")</f>
        <v>1753014573860</v>
      </c>
    </row>
    <row r="1104" spans="1:11" ht="12.45">
      <c r="A1104" s="2" t="str">
        <f ca="1">IFERROR(__xludf.DUMMYFUNCTION("""COMPUTED_VALUE"""),"1753014607416")</f>
        <v>1753014607416</v>
      </c>
      <c r="B1104" s="2"/>
      <c r="C1104" s="2" t="str">
        <v>0</v>
      </c>
      <c r="D1104" s="2"/>
      <c r="E1104" s="2"/>
      <c r="F1104" s="2" t="str">
        <v>0</v>
      </c>
      <c r="G1104" s="2"/>
      <c r="I1104" s="2" t="str">
        <f ca="1">IFERROR(__xludf.DUMMYFUNCTION("""COMPUTED_VALUE"""),"Anh Thư")</f>
        <v>Anh Thư</v>
      </c>
      <c r="J1104" s="3" t="str">
        <f ca="1">IFERROR(__xludf.DUMMYFUNCTION("""COMPUTED_VALUE"""),"0366849252")</f>
        <v>0366849252</v>
      </c>
      <c r="K1104" s="2" t="str">
        <f ca="1">IFERROR(__xludf.DUMMYFUNCTION("""COMPUTED_VALUE"""),"1753014607416")</f>
        <v>1753014607416</v>
      </c>
    </row>
    <row r="1105" spans="1:11" ht="12.45">
      <c r="A1105" s="2" t="str">
        <f ca="1">IFERROR(__xludf.DUMMYFUNCTION("""COMPUTED_VALUE"""),"1753014647773")</f>
        <v>1753014647773</v>
      </c>
      <c r="B1105" s="2"/>
      <c r="C1105" s="2" t="str">
        <v>0</v>
      </c>
      <c r="D1105" s="2"/>
      <c r="E1105" s="2"/>
      <c r="F1105" s="2" t="str">
        <v>0</v>
      </c>
      <c r="G1105" s="2"/>
      <c r="I1105" s="2" t="str">
        <f ca="1">IFERROR(__xludf.DUMMYFUNCTION("""COMPUTED_VALUE"""),"NGUYỄN THỊ THU TRANG ")</f>
        <v xml:space="preserve">NGUYỄN THỊ THU TRANG </v>
      </c>
      <c r="J1105" s="3" t="str">
        <f ca="1">IFERROR(__xludf.DUMMYFUNCTION("""COMPUTED_VALUE"""),"0374181764")</f>
        <v>0374181764</v>
      </c>
      <c r="K1105" s="2" t="str">
        <f ca="1">IFERROR(__xludf.DUMMYFUNCTION("""COMPUTED_VALUE"""),"1753014647773")</f>
        <v>1753014647773</v>
      </c>
    </row>
    <row r="1106" spans="1:11" ht="12.45">
      <c r="A1106" s="2" t="str">
        <f ca="1">IFERROR(__xludf.DUMMYFUNCTION("""COMPUTED_VALUE"""),"1753014682345")</f>
        <v>1753014682345</v>
      </c>
      <c r="B1106" s="2"/>
      <c r="C1106" s="2" t="str">
        <v>0</v>
      </c>
      <c r="D1106" s="2"/>
      <c r="E1106" s="2"/>
      <c r="F1106" s="2" t="str">
        <v>0</v>
      </c>
      <c r="G1106" s="2"/>
      <c r="I1106" s="2" t="str">
        <f ca="1">IFERROR(__xludf.DUMMYFUNCTION("""COMPUTED_VALUE"""),"Hứa Hiền Anh ")</f>
        <v xml:space="preserve">Hứa Hiền Anh </v>
      </c>
      <c r="J1106" s="3" t="str">
        <f ca="1">IFERROR(__xludf.DUMMYFUNCTION("""COMPUTED_VALUE"""),"0833202007")</f>
        <v>0833202007</v>
      </c>
      <c r="K1106" s="2" t="str">
        <f ca="1">IFERROR(__xludf.DUMMYFUNCTION("""COMPUTED_VALUE"""),"1753014682345")</f>
        <v>1753014682345</v>
      </c>
    </row>
    <row r="1107" spans="1:11" ht="12.45">
      <c r="A1107" s="2" t="str">
        <f ca="1">IFERROR(__xludf.DUMMYFUNCTION("""COMPUTED_VALUE"""),"1753014712926")</f>
        <v>1753014712926</v>
      </c>
      <c r="B1107" s="2"/>
      <c r="C1107" s="2" t="str">
        <v>0</v>
      </c>
      <c r="D1107" s="2"/>
      <c r="E1107" s="2"/>
      <c r="F1107" s="2" t="str">
        <v>0</v>
      </c>
      <c r="G1107" s="2"/>
      <c r="I1107" s="2" t="str">
        <f ca="1">IFERROR(__xludf.DUMMYFUNCTION("""COMPUTED_VALUE"""),"Nguyễn Thị Hạnh Dung")</f>
        <v>Nguyễn Thị Hạnh Dung</v>
      </c>
      <c r="J1107" s="3" t="str">
        <f ca="1">IFERROR(__xludf.DUMMYFUNCTION("""COMPUTED_VALUE"""),"0817431563")</f>
        <v>0817431563</v>
      </c>
      <c r="K1107" s="2" t="str">
        <f ca="1">IFERROR(__xludf.DUMMYFUNCTION("""COMPUTED_VALUE"""),"1753014712926")</f>
        <v>1753014712926</v>
      </c>
    </row>
    <row r="1108" spans="1:11" ht="12.45">
      <c r="A1108" s="2" t="str">
        <f ca="1">IFERROR(__xludf.DUMMYFUNCTION("""COMPUTED_VALUE"""),"1753014751008")</f>
        <v>1753014751008</v>
      </c>
      <c r="B1108" s="2"/>
      <c r="C1108" s="2" t="str">
        <v>0</v>
      </c>
      <c r="D1108" s="2"/>
      <c r="E1108" s="2"/>
      <c r="F1108" s="2" t="str">
        <v>0</v>
      </c>
      <c r="G1108" s="2"/>
      <c r="I1108" s="2" t="str">
        <f ca="1">IFERROR(__xludf.DUMMYFUNCTION("""COMPUTED_VALUE"""),"Lê Thị Hà My")</f>
        <v>Lê Thị Hà My</v>
      </c>
      <c r="J1108" s="3" t="str">
        <f ca="1">IFERROR(__xludf.DUMMYFUNCTION("""COMPUTED_VALUE"""),"0339901208")</f>
        <v>0339901208</v>
      </c>
      <c r="K1108" s="2" t="str">
        <f ca="1">IFERROR(__xludf.DUMMYFUNCTION("""COMPUTED_VALUE"""),"1753014751008")</f>
        <v>1753014751008</v>
      </c>
    </row>
    <row r="1109" spans="1:11" ht="12.45">
      <c r="A1109" s="2" t="str">
        <f ca="1">IFERROR(__xludf.DUMMYFUNCTION("""COMPUTED_VALUE"""),"1753014782374")</f>
        <v>1753014782374</v>
      </c>
      <c r="B1109" s="2"/>
      <c r="C1109" s="2" t="str">
        <v>0</v>
      </c>
      <c r="D1109" s="2"/>
      <c r="E1109" s="2"/>
      <c r="F1109" s="2" t="str">
        <v>0</v>
      </c>
      <c r="G1109" s="2"/>
      <c r="I1109" s="2" t="str">
        <f ca="1">IFERROR(__xludf.DUMMYFUNCTION("""COMPUTED_VALUE"""),"Huỳnh Trương Anh Thư")</f>
        <v>Huỳnh Trương Anh Thư</v>
      </c>
      <c r="J1109" s="3" t="str">
        <f ca="1">IFERROR(__xludf.DUMMYFUNCTION("""COMPUTED_VALUE"""),"0933291539")</f>
        <v>0933291539</v>
      </c>
      <c r="K1109" s="2" t="str">
        <f ca="1">IFERROR(__xludf.DUMMYFUNCTION("""COMPUTED_VALUE"""),"1753014782374")</f>
        <v>1753014782374</v>
      </c>
    </row>
    <row r="1110" spans="1:11" ht="12.45">
      <c r="A1110" s="2" t="str">
        <f ca="1">IFERROR(__xludf.DUMMYFUNCTION("""COMPUTED_VALUE"""),"1753014823144")</f>
        <v>1753014823144</v>
      </c>
      <c r="B1110" s="2"/>
      <c r="C1110" s="2" t="str">
        <v>0</v>
      </c>
      <c r="D1110" s="2"/>
      <c r="E1110" s="2"/>
      <c r="F1110" s="2" t="str">
        <v>0</v>
      </c>
      <c r="G1110" s="2"/>
      <c r="I1110" s="2" t="str">
        <f ca="1">IFERROR(__xludf.DUMMYFUNCTION("""COMPUTED_VALUE"""),"Huỳnh Anh Kiện ")</f>
        <v xml:space="preserve">Huỳnh Anh Kiện </v>
      </c>
      <c r="J1110" s="3" t="str">
        <f ca="1">IFERROR(__xludf.DUMMYFUNCTION("""COMPUTED_VALUE"""),"0333314008")</f>
        <v>0333314008</v>
      </c>
      <c r="K1110" s="2" t="str">
        <f ca="1">IFERROR(__xludf.DUMMYFUNCTION("""COMPUTED_VALUE"""),"1753014823144")</f>
        <v>1753014823144</v>
      </c>
    </row>
    <row r="1111" spans="1:11" ht="12.45">
      <c r="A1111" s="2" t="str">
        <f ca="1">IFERROR(__xludf.DUMMYFUNCTION("""COMPUTED_VALUE"""),"1753014852428")</f>
        <v>1753014852428</v>
      </c>
      <c r="B1111" s="2"/>
      <c r="C1111" s="2" t="str">
        <v>0</v>
      </c>
      <c r="D1111" s="2"/>
      <c r="E1111" s="2"/>
      <c r="F1111" s="2" t="str">
        <v>0</v>
      </c>
      <c r="G1111" s="2"/>
      <c r="I1111" s="2" t="str">
        <f ca="1">IFERROR(__xludf.DUMMYFUNCTION("""COMPUTED_VALUE"""),"Nguyễn Nga My")</f>
        <v>Nguyễn Nga My</v>
      </c>
      <c r="J1111" s="3" t="str">
        <f ca="1">IFERROR(__xludf.DUMMYFUNCTION("""COMPUTED_VALUE"""),"0963472296")</f>
        <v>0963472296</v>
      </c>
      <c r="K1111" s="2" t="str">
        <f ca="1">IFERROR(__xludf.DUMMYFUNCTION("""COMPUTED_VALUE"""),"1753014852428")</f>
        <v>1753014852428</v>
      </c>
    </row>
    <row r="1112" spans="1:11" ht="12.45">
      <c r="A1112" s="2" t="str">
        <f ca="1">IFERROR(__xludf.DUMMYFUNCTION("""COMPUTED_VALUE"""),"1753014892014")</f>
        <v>1753014892014</v>
      </c>
      <c r="B1112" s="2"/>
      <c r="C1112" s="2" t="str">
        <v>0</v>
      </c>
      <c r="D1112" s="2"/>
      <c r="E1112" s="2"/>
      <c r="F1112" s="2" t="str">
        <v>0</v>
      </c>
      <c r="G1112" s="2"/>
      <c r="I1112" s="2" t="str">
        <f ca="1">IFERROR(__xludf.DUMMYFUNCTION("""COMPUTED_VALUE"""),"Trần Thị Tuyết Nhi")</f>
        <v>Trần Thị Tuyết Nhi</v>
      </c>
      <c r="J1112" s="3" t="str">
        <f ca="1">IFERROR(__xludf.DUMMYFUNCTION("""COMPUTED_VALUE"""),"0359262290")</f>
        <v>0359262290</v>
      </c>
      <c r="K1112" s="2" t="str">
        <f ca="1">IFERROR(__xludf.DUMMYFUNCTION("""COMPUTED_VALUE"""),"1753014892014")</f>
        <v>1753014892014</v>
      </c>
    </row>
    <row r="1113" spans="1:11" ht="12.45">
      <c r="A1113" s="2" t="str">
        <f ca="1">IFERROR(__xludf.DUMMYFUNCTION("""COMPUTED_VALUE"""),"1753014928156")</f>
        <v>1753014928156</v>
      </c>
      <c r="B1113" s="2"/>
      <c r="C1113" s="2" t="str">
        <v>0</v>
      </c>
      <c r="D1113" s="2"/>
      <c r="E1113" s="2"/>
      <c r="F1113" s="2" t="str">
        <v>0</v>
      </c>
      <c r="G1113" s="2"/>
      <c r="I1113" s="2" t="str">
        <f ca="1">IFERROR(__xludf.DUMMYFUNCTION("""COMPUTED_VALUE"""),"Phan Thị Mai Thi")</f>
        <v>Phan Thị Mai Thi</v>
      </c>
      <c r="J1113" s="3" t="str">
        <f ca="1">IFERROR(__xludf.DUMMYFUNCTION("""COMPUTED_VALUE"""),"0854012511")</f>
        <v>0854012511</v>
      </c>
      <c r="K1113" s="2" t="str">
        <f ca="1">IFERROR(__xludf.DUMMYFUNCTION("""COMPUTED_VALUE"""),"1753014928156")</f>
        <v>1753014928156</v>
      </c>
    </row>
    <row r="1114" spans="1:11" ht="12.45">
      <c r="A1114" s="2" t="str">
        <f ca="1">IFERROR(__xludf.DUMMYFUNCTION("""COMPUTED_VALUE"""),"1753014960689")</f>
        <v>1753014960689</v>
      </c>
      <c r="B1114" s="2"/>
      <c r="C1114" s="2" t="str">
        <v>0</v>
      </c>
      <c r="D1114" s="2"/>
      <c r="E1114" s="2"/>
      <c r="F1114" s="2" t="str">
        <v>0</v>
      </c>
      <c r="G1114" s="2"/>
      <c r="I1114" s="2" t="str">
        <f ca="1">IFERROR(__xludf.DUMMYFUNCTION("""COMPUTED_VALUE"""),"Võ Minh Trí")</f>
        <v>Võ Minh Trí</v>
      </c>
      <c r="J1114" s="3" t="str">
        <f ca="1">IFERROR(__xludf.DUMMYFUNCTION("""COMPUTED_VALUE"""),"0365550457")</f>
        <v>0365550457</v>
      </c>
      <c r="K1114" s="2" t="str">
        <f ca="1">IFERROR(__xludf.DUMMYFUNCTION("""COMPUTED_VALUE"""),"1753014960689")</f>
        <v>1753014960689</v>
      </c>
    </row>
    <row r="1115" spans="1:11" ht="12.45">
      <c r="A1115" s="2" t="str">
        <f ca="1">IFERROR(__xludf.DUMMYFUNCTION("""COMPUTED_VALUE"""),"1753015000624")</f>
        <v>1753015000624</v>
      </c>
      <c r="B1115" s="2"/>
      <c r="C1115" s="2" t="str">
        <v>0</v>
      </c>
      <c r="D1115" s="2"/>
      <c r="E1115" s="2"/>
      <c r="F1115" s="2" t="str">
        <v>0</v>
      </c>
      <c r="G1115" s="2"/>
      <c r="I1115" s="2" t="str">
        <f ca="1">IFERROR(__xludf.DUMMYFUNCTION("""COMPUTED_VALUE"""),"Phạm Linh Trang")</f>
        <v>Phạm Linh Trang</v>
      </c>
      <c r="J1115" s="3" t="str">
        <f ca="1">IFERROR(__xludf.DUMMYFUNCTION("""COMPUTED_VALUE"""),"0857511727")</f>
        <v>0857511727</v>
      </c>
      <c r="K1115" s="2" t="str">
        <f ca="1">IFERROR(__xludf.DUMMYFUNCTION("""COMPUTED_VALUE"""),"1753015000624")</f>
        <v>1753015000624</v>
      </c>
    </row>
    <row r="1116" spans="1:11" ht="12.45">
      <c r="A1116" s="2" t="str">
        <f ca="1">IFERROR(__xludf.DUMMYFUNCTION("""COMPUTED_VALUE"""),"1753015029970")</f>
        <v>1753015029970</v>
      </c>
      <c r="B1116" s="2"/>
      <c r="C1116" s="2" t="str">
        <v>0</v>
      </c>
      <c r="D1116" s="2"/>
      <c r="E1116" s="2"/>
      <c r="F1116" s="2" t="str">
        <v>0</v>
      </c>
      <c r="G1116" s="2"/>
      <c r="I1116" s="2" t="str">
        <f ca="1">IFERROR(__xludf.DUMMYFUNCTION("""COMPUTED_VALUE"""),"Lê Thị Ngọc Ánh ")</f>
        <v xml:space="preserve">Lê Thị Ngọc Ánh </v>
      </c>
      <c r="J1116" s="3" t="str">
        <f ca="1">IFERROR(__xludf.DUMMYFUNCTION("""COMPUTED_VALUE"""),"0386800026")</f>
        <v>0386800026</v>
      </c>
      <c r="K1116" s="2" t="str">
        <f ca="1">IFERROR(__xludf.DUMMYFUNCTION("""COMPUTED_VALUE"""),"1753015029970")</f>
        <v>1753015029970</v>
      </c>
    </row>
    <row r="1117" spans="1:11" ht="12.45">
      <c r="A1117" s="2" t="str">
        <f ca="1">IFERROR(__xludf.DUMMYFUNCTION("""COMPUTED_VALUE"""),"1753015061544")</f>
        <v>1753015061544</v>
      </c>
      <c r="B1117" s="2"/>
      <c r="C1117" s="2" t="str">
        <v>0</v>
      </c>
      <c r="D1117" s="2"/>
      <c r="E1117" s="2"/>
      <c r="F1117" s="2" t="str">
        <v>0</v>
      </c>
      <c r="G1117" s="2"/>
      <c r="I1117" s="2" t="str">
        <f ca="1">IFERROR(__xludf.DUMMYFUNCTION("""COMPUTED_VALUE"""),"Trần Cẩm Ly")</f>
        <v>Trần Cẩm Ly</v>
      </c>
      <c r="J1117" s="3" t="str">
        <f ca="1">IFERROR(__xludf.DUMMYFUNCTION("""COMPUTED_VALUE"""),"0394808442")</f>
        <v>0394808442</v>
      </c>
      <c r="K1117" s="2" t="str">
        <f ca="1">IFERROR(__xludf.DUMMYFUNCTION("""COMPUTED_VALUE"""),"1753015061544")</f>
        <v>1753015061544</v>
      </c>
    </row>
    <row r="1118" spans="1:11" ht="12.45">
      <c r="A1118" s="2" t="str">
        <f ca="1">IFERROR(__xludf.DUMMYFUNCTION("""COMPUTED_VALUE"""),"1753015093920")</f>
        <v>1753015093920</v>
      </c>
      <c r="B1118" s="2"/>
      <c r="C1118" s="2" t="str">
        <v>0</v>
      </c>
      <c r="D1118" s="2"/>
      <c r="E1118" s="2"/>
      <c r="F1118" s="2" t="str">
        <v>0</v>
      </c>
      <c r="G1118" s="2"/>
      <c r="I1118" s="2" t="str">
        <f ca="1">IFERROR(__xludf.DUMMYFUNCTION("""COMPUTED_VALUE"""),"Hoàng Thị Mỹ Hạnh")</f>
        <v>Hoàng Thị Mỹ Hạnh</v>
      </c>
      <c r="J1118" s="3" t="str">
        <f ca="1">IFERROR(__xludf.DUMMYFUNCTION("""COMPUTED_VALUE"""),"0942987728")</f>
        <v>0942987728</v>
      </c>
      <c r="K1118" s="2" t="str">
        <f ca="1">IFERROR(__xludf.DUMMYFUNCTION("""COMPUTED_VALUE"""),"1753015093920")</f>
        <v>1753015093920</v>
      </c>
    </row>
    <row r="1119" spans="1:11" ht="12.45">
      <c r="A1119" s="2" t="str">
        <f ca="1">IFERROR(__xludf.DUMMYFUNCTION("""COMPUTED_VALUE"""),"1753015140113")</f>
        <v>1753015140113</v>
      </c>
      <c r="B1119" s="2"/>
      <c r="C1119" s="2" t="str">
        <v>0</v>
      </c>
      <c r="D1119" s="2"/>
      <c r="E1119" s="2"/>
      <c r="F1119" s="2" t="str">
        <v>0</v>
      </c>
      <c r="G1119" s="2"/>
      <c r="I1119" s="2" t="str">
        <f ca="1">IFERROR(__xludf.DUMMYFUNCTION("""COMPUTED_VALUE"""),"Lê Khánh Linh")</f>
        <v>Lê Khánh Linh</v>
      </c>
      <c r="J1119" s="3" t="str">
        <f ca="1">IFERROR(__xludf.DUMMYFUNCTION("""COMPUTED_VALUE"""),"0886308207")</f>
        <v>0886308207</v>
      </c>
      <c r="K1119" s="2" t="str">
        <f ca="1">IFERROR(__xludf.DUMMYFUNCTION("""COMPUTED_VALUE"""),"1753015140113")</f>
        <v>1753015140113</v>
      </c>
    </row>
    <row r="1120" spans="1:11" ht="12.45">
      <c r="A1120" s="2" t="str">
        <f ca="1">IFERROR(__xludf.DUMMYFUNCTION("""COMPUTED_VALUE"""),"1753015191951")</f>
        <v>1753015191951</v>
      </c>
      <c r="B1120" s="2"/>
      <c r="C1120" s="2" t="str">
        <v>0</v>
      </c>
      <c r="D1120" s="2"/>
      <c r="E1120" s="2"/>
      <c r="F1120" s="2" t="str">
        <v>0</v>
      </c>
      <c r="G1120" s="2"/>
      <c r="I1120" s="2" t="str">
        <f ca="1">IFERROR(__xludf.DUMMYFUNCTION("""COMPUTED_VALUE"""),"Phạm Nguyễn Hà Vy")</f>
        <v>Phạm Nguyễn Hà Vy</v>
      </c>
      <c r="J1120" s="3" t="str">
        <f ca="1">IFERROR(__xludf.DUMMYFUNCTION("""COMPUTED_VALUE"""),"0347365519")</f>
        <v>0347365519</v>
      </c>
      <c r="K1120" s="2" t="str">
        <f ca="1">IFERROR(__xludf.DUMMYFUNCTION("""COMPUTED_VALUE"""),"1753015191951")</f>
        <v>1753015191951</v>
      </c>
    </row>
    <row r="1121" spans="1:11" ht="12.45">
      <c r="A1121" s="2" t="str">
        <f ca="1">IFERROR(__xludf.DUMMYFUNCTION("""COMPUTED_VALUE"""),"1753015243659")</f>
        <v>1753015243659</v>
      </c>
      <c r="B1121" s="2"/>
      <c r="C1121" s="2" t="str">
        <v>0</v>
      </c>
      <c r="D1121" s="2"/>
      <c r="E1121" s="2"/>
      <c r="F1121" s="2" t="str">
        <v>0</v>
      </c>
      <c r="G1121" s="2"/>
      <c r="I1121" s="2" t="str">
        <f ca="1">IFERROR(__xludf.DUMMYFUNCTION("""COMPUTED_VALUE"""),"Đặng Quỳnh Mai")</f>
        <v>Đặng Quỳnh Mai</v>
      </c>
      <c r="J1121" s="3" t="str">
        <f ca="1">IFERROR(__xludf.DUMMYFUNCTION("""COMPUTED_VALUE"""),"0582947765")</f>
        <v>0582947765</v>
      </c>
      <c r="K1121" s="2" t="str">
        <f ca="1">IFERROR(__xludf.DUMMYFUNCTION("""COMPUTED_VALUE"""),"1753015243659")</f>
        <v>1753015243659</v>
      </c>
    </row>
    <row r="1122" spans="1:11" ht="12.45">
      <c r="A1122" s="2" t="str">
        <f ca="1">IFERROR(__xludf.DUMMYFUNCTION("""COMPUTED_VALUE"""),"1753015291943")</f>
        <v>1753015291943</v>
      </c>
      <c r="B1122" s="2"/>
      <c r="C1122" s="2" t="str">
        <v>0</v>
      </c>
      <c r="D1122" s="2"/>
      <c r="E1122" s="2"/>
      <c r="F1122" s="2" t="str">
        <v>0</v>
      </c>
      <c r="G1122" s="2"/>
      <c r="I1122" s="2" t="str">
        <f ca="1">IFERROR(__xludf.DUMMYFUNCTION("""COMPUTED_VALUE"""),"Nông Thuỷ Tiên ")</f>
        <v xml:space="preserve">Nông Thuỷ Tiên </v>
      </c>
      <c r="J1122" s="3" t="str">
        <f ca="1">IFERROR(__xludf.DUMMYFUNCTION("""COMPUTED_VALUE"""),"0837340850")</f>
        <v>0837340850</v>
      </c>
      <c r="K1122" s="2" t="str">
        <f ca="1">IFERROR(__xludf.DUMMYFUNCTION("""COMPUTED_VALUE"""),"1753015291943")</f>
        <v>1753015291943</v>
      </c>
    </row>
    <row r="1123" spans="1:11" ht="12.45">
      <c r="A1123" s="2" t="str">
        <f ca="1">IFERROR(__xludf.DUMMYFUNCTION("""COMPUTED_VALUE"""),"1753015331256")</f>
        <v>1753015331256</v>
      </c>
      <c r="B1123" s="2"/>
      <c r="C1123" s="2" t="str">
        <v>0</v>
      </c>
      <c r="D1123" s="2"/>
      <c r="E1123" s="2"/>
      <c r="F1123" s="2" t="str">
        <v>0</v>
      </c>
      <c r="G1123" s="2"/>
      <c r="I1123" s="2" t="str">
        <f ca="1">IFERROR(__xludf.DUMMYFUNCTION("""COMPUTED_VALUE"""),"Nguyễn Thị Cẩm Huỳnh")</f>
        <v>Nguyễn Thị Cẩm Huỳnh</v>
      </c>
      <c r="J1123" s="3" t="str">
        <f ca="1">IFERROR(__xludf.DUMMYFUNCTION("""COMPUTED_VALUE"""),"0977724148")</f>
        <v>0977724148</v>
      </c>
      <c r="K1123" s="2" t="str">
        <f ca="1">IFERROR(__xludf.DUMMYFUNCTION("""COMPUTED_VALUE"""),"1753015331256")</f>
        <v>1753015331256</v>
      </c>
    </row>
    <row r="1124" spans="1:11" ht="12.45">
      <c r="A1124" s="2" t="str">
        <f ca="1">IFERROR(__xludf.DUMMYFUNCTION("""COMPUTED_VALUE"""),"1753015376214")</f>
        <v>1753015376214</v>
      </c>
      <c r="B1124" s="2"/>
      <c r="C1124" s="2" t="str">
        <v>0</v>
      </c>
      <c r="D1124" s="2"/>
      <c r="E1124" s="2"/>
      <c r="F1124" s="2" t="str">
        <v>0</v>
      </c>
      <c r="G1124" s="2"/>
      <c r="I1124" s="2" t="str">
        <f ca="1">IFERROR(__xludf.DUMMYFUNCTION("""COMPUTED_VALUE"""),"Nguyễn Thành Trung ")</f>
        <v xml:space="preserve">Nguyễn Thành Trung </v>
      </c>
      <c r="J1124" s="3" t="str">
        <f ca="1">IFERROR(__xludf.DUMMYFUNCTION("""COMPUTED_VALUE"""),"0703173308")</f>
        <v>0703173308</v>
      </c>
      <c r="K1124" s="2" t="str">
        <f ca="1">IFERROR(__xludf.DUMMYFUNCTION("""COMPUTED_VALUE"""),"1753015376214")</f>
        <v>1753015376214</v>
      </c>
    </row>
    <row r="1125" spans="1:11" ht="12.45">
      <c r="A1125" s="2" t="str">
        <f ca="1">IFERROR(__xludf.DUMMYFUNCTION("""COMPUTED_VALUE"""),"1753015417797")</f>
        <v>1753015417797</v>
      </c>
      <c r="B1125" s="2"/>
      <c r="C1125" s="2" t="str">
        <v>0</v>
      </c>
      <c r="D1125" s="2"/>
      <c r="E1125" s="2"/>
      <c r="F1125" s="2" t="str">
        <v>0</v>
      </c>
      <c r="G1125" s="2"/>
      <c r="I1125" s="2" t="str">
        <f ca="1">IFERROR(__xludf.DUMMYFUNCTION("""COMPUTED_VALUE"""),"Trương Khả Vân ")</f>
        <v xml:space="preserve">Trương Khả Vân </v>
      </c>
      <c r="J1125" s="3" t="str">
        <f ca="1">IFERROR(__xludf.DUMMYFUNCTION("""COMPUTED_VALUE"""),"0898088059")</f>
        <v>0898088059</v>
      </c>
      <c r="K1125" s="2" t="str">
        <f ca="1">IFERROR(__xludf.DUMMYFUNCTION("""COMPUTED_VALUE"""),"1753015417797")</f>
        <v>1753015417797</v>
      </c>
    </row>
    <row r="1126" spans="1:11" ht="12.45">
      <c r="A1126" s="2" t="str">
        <f ca="1">IFERROR(__xludf.DUMMYFUNCTION("""COMPUTED_VALUE"""),"1753015470942")</f>
        <v>1753015470942</v>
      </c>
      <c r="B1126" s="2"/>
      <c r="C1126" s="2" t="str">
        <v>0</v>
      </c>
      <c r="D1126" s="2"/>
      <c r="E1126" s="2"/>
      <c r="F1126" s="2" t="str">
        <v>0</v>
      </c>
      <c r="G1126" s="2"/>
      <c r="I1126" s="2" t="str">
        <f ca="1">IFERROR(__xludf.DUMMYFUNCTION("""COMPUTED_VALUE"""),"Lê Yến Linh")</f>
        <v>Lê Yến Linh</v>
      </c>
      <c r="J1126" s="3" t="str">
        <f ca="1">IFERROR(__xludf.DUMMYFUNCTION("""COMPUTED_VALUE"""),"0817900696")</f>
        <v>0817900696</v>
      </c>
      <c r="K1126" s="2" t="str">
        <f ca="1">IFERROR(__xludf.DUMMYFUNCTION("""COMPUTED_VALUE"""),"1753015470942")</f>
        <v>1753015470942</v>
      </c>
    </row>
    <row r="1127" spans="1:11" ht="12.45">
      <c r="A1127" s="2" t="str">
        <f ca="1">IFERROR(__xludf.DUMMYFUNCTION("""COMPUTED_VALUE"""),"1753015520306")</f>
        <v>1753015520306</v>
      </c>
      <c r="B1127" s="2"/>
      <c r="C1127" s="2" t="str">
        <v>0</v>
      </c>
      <c r="D1127" s="2"/>
      <c r="E1127" s="2"/>
      <c r="F1127" s="2" t="str">
        <v>0</v>
      </c>
      <c r="G1127" s="2"/>
      <c r="I1127" s="2" t="str">
        <f ca="1">IFERROR(__xludf.DUMMYFUNCTION("""COMPUTED_VALUE"""),"Ma Thị Liên")</f>
        <v>Ma Thị Liên</v>
      </c>
      <c r="J1127" s="3" t="str">
        <f ca="1">IFERROR(__xludf.DUMMYFUNCTION("""COMPUTED_VALUE"""),"0385714726")</f>
        <v>0385714726</v>
      </c>
      <c r="K1127" s="2" t="str">
        <f ca="1">IFERROR(__xludf.DUMMYFUNCTION("""COMPUTED_VALUE"""),"1753015520306")</f>
        <v>1753015520306</v>
      </c>
    </row>
    <row r="1128" spans="1:11" ht="12.45">
      <c r="A1128" s="2" t="str">
        <f ca="1">IFERROR(__xludf.DUMMYFUNCTION("""COMPUTED_VALUE"""),"1753015585227")</f>
        <v>1753015585227</v>
      </c>
      <c r="B1128" s="2"/>
      <c r="C1128" s="2" t="str">
        <v>0</v>
      </c>
      <c r="D1128" s="2"/>
      <c r="E1128" s="2"/>
      <c r="F1128" s="2" t="str">
        <v>0</v>
      </c>
      <c r="G1128" s="2"/>
      <c r="I1128" s="2" t="str">
        <f ca="1">IFERROR(__xludf.DUMMYFUNCTION("""COMPUTED_VALUE"""),"Bùi Lâm Như")</f>
        <v>Bùi Lâm Như</v>
      </c>
      <c r="J1128" s="3" t="str">
        <f ca="1">IFERROR(__xludf.DUMMYFUNCTION("""COMPUTED_VALUE"""),"0942343127")</f>
        <v>0942343127</v>
      </c>
      <c r="K1128" s="2" t="str">
        <f ca="1">IFERROR(__xludf.DUMMYFUNCTION("""COMPUTED_VALUE"""),"1753015585227")</f>
        <v>1753015585227</v>
      </c>
    </row>
    <row r="1129" spans="1:11" ht="12.45">
      <c r="A1129" s="2" t="str">
        <f ca="1">IFERROR(__xludf.DUMMYFUNCTION("""COMPUTED_VALUE"""),"1753015656136")</f>
        <v>1753015656136</v>
      </c>
      <c r="B1129" s="2"/>
      <c r="C1129" s="2" t="str">
        <v>0</v>
      </c>
      <c r="D1129" s="2"/>
      <c r="E1129" s="2"/>
      <c r="F1129" s="2" t="str">
        <v>0</v>
      </c>
      <c r="G1129" s="2"/>
      <c r="I1129" s="2" t="str">
        <f ca="1">IFERROR(__xludf.DUMMYFUNCTION("""COMPUTED_VALUE"""),"Trần Thị Thanh Hăng")</f>
        <v>Trần Thị Thanh Hăng</v>
      </c>
      <c r="J1129" s="3" t="str">
        <f ca="1">IFERROR(__xludf.DUMMYFUNCTION("""COMPUTED_VALUE"""),"0346047584")</f>
        <v>0346047584</v>
      </c>
      <c r="K1129" s="2" t="str">
        <f ca="1">IFERROR(__xludf.DUMMYFUNCTION("""COMPUTED_VALUE"""),"1753015656136")</f>
        <v>1753015656136</v>
      </c>
    </row>
    <row r="1130" spans="1:11" ht="12.45">
      <c r="A1130" s="2" t="str">
        <f ca="1">IFERROR(__xludf.DUMMYFUNCTION("""COMPUTED_VALUE"""),"1753015711275")</f>
        <v>1753015711275</v>
      </c>
      <c r="B1130" s="2"/>
      <c r="C1130" s="2" t="str">
        <v>0</v>
      </c>
      <c r="D1130" s="2"/>
      <c r="E1130" s="2"/>
      <c r="F1130" s="2" t="str">
        <v>0</v>
      </c>
      <c r="G1130" s="2"/>
      <c r="I1130" s="2" t="str">
        <f ca="1">IFERROR(__xludf.DUMMYFUNCTION("""COMPUTED_VALUE"""),"Lê Thị Thuỳ Trang")</f>
        <v>Lê Thị Thuỳ Trang</v>
      </c>
      <c r="J1130" s="3" t="str">
        <f ca="1">IFERROR(__xludf.DUMMYFUNCTION("""COMPUTED_VALUE"""),"0356890038")</f>
        <v>0356890038</v>
      </c>
      <c r="K1130" s="2" t="str">
        <f ca="1">IFERROR(__xludf.DUMMYFUNCTION("""COMPUTED_VALUE"""),"1753015711275")</f>
        <v>1753015711275</v>
      </c>
    </row>
    <row r="1131" spans="1:11" ht="12.45">
      <c r="A1131" s="2" t="str">
        <f ca="1">IFERROR(__xludf.DUMMYFUNCTION("""COMPUTED_VALUE"""),"1753015760494")</f>
        <v>1753015760494</v>
      </c>
      <c r="B1131" s="2"/>
      <c r="C1131" s="2" t="str">
        <v>0</v>
      </c>
      <c r="D1131" s="2"/>
      <c r="E1131" s="2"/>
      <c r="F1131" s="2" t="str">
        <v>0</v>
      </c>
      <c r="G1131" s="2"/>
      <c r="I1131" s="2" t="str">
        <f ca="1">IFERROR(__xludf.DUMMYFUNCTION("""COMPUTED_VALUE"""),"Dương Nguyệt Ánh")</f>
        <v>Dương Nguyệt Ánh</v>
      </c>
      <c r="J1131" s="3" t="str">
        <f ca="1">IFERROR(__xludf.DUMMYFUNCTION("""COMPUTED_VALUE"""),"0988381085")</f>
        <v>0988381085</v>
      </c>
      <c r="K1131" s="2" t="str">
        <f ca="1">IFERROR(__xludf.DUMMYFUNCTION("""COMPUTED_VALUE"""),"1753015760494")</f>
        <v>1753015760494</v>
      </c>
    </row>
    <row r="1132" spans="1:11" ht="12.45">
      <c r="A1132" s="2" t="str">
        <f ca="1">IFERROR(__xludf.DUMMYFUNCTION("""COMPUTED_VALUE"""),"1753015802777")</f>
        <v>1753015802777</v>
      </c>
      <c r="B1132" s="2"/>
      <c r="C1132" s="2" t="str">
        <v>0</v>
      </c>
      <c r="D1132" s="2"/>
      <c r="E1132" s="2"/>
      <c r="F1132" s="2" t="str">
        <v>0</v>
      </c>
      <c r="G1132" s="2"/>
      <c r="I1132" s="2" t="str">
        <f ca="1">IFERROR(__xludf.DUMMYFUNCTION("""COMPUTED_VALUE"""),"Nguyễn Việt Anh ")</f>
        <v xml:space="preserve">Nguyễn Việt Anh </v>
      </c>
      <c r="J1132" s="3" t="str">
        <f ca="1">IFERROR(__xludf.DUMMYFUNCTION("""COMPUTED_VALUE"""),"0374822287")</f>
        <v>0374822287</v>
      </c>
      <c r="K1132" s="2" t="str">
        <f ca="1">IFERROR(__xludf.DUMMYFUNCTION("""COMPUTED_VALUE"""),"1753015802777")</f>
        <v>1753015802777</v>
      </c>
    </row>
    <row r="1133" spans="1:11" ht="12.45">
      <c r="A1133" s="2" t="str">
        <f ca="1">IFERROR(__xludf.DUMMYFUNCTION("""COMPUTED_VALUE"""),"1753015869718")</f>
        <v>1753015869718</v>
      </c>
      <c r="B1133" s="2"/>
      <c r="C1133" s="2" t="str">
        <v>0</v>
      </c>
      <c r="D1133" s="2"/>
      <c r="E1133" s="2"/>
      <c r="F1133" s="2" t="str">
        <v>0</v>
      </c>
      <c r="G1133" s="2"/>
      <c r="I1133" s="2" t="str">
        <f ca="1">IFERROR(__xludf.DUMMYFUNCTION("""COMPUTED_VALUE"""),"Huỳnh Hân")</f>
        <v>Huỳnh Hân</v>
      </c>
      <c r="J1133" s="3" t="str">
        <f ca="1">IFERROR(__xludf.DUMMYFUNCTION("""COMPUTED_VALUE"""),"0979948105")</f>
        <v>0979948105</v>
      </c>
      <c r="K1133" s="2" t="str">
        <f ca="1">IFERROR(__xludf.DUMMYFUNCTION("""COMPUTED_VALUE"""),"1753015869718")</f>
        <v>1753015869718</v>
      </c>
    </row>
    <row r="1134" spans="1:11" ht="12.45">
      <c r="A1134" s="2" t="str">
        <f ca="1">IFERROR(__xludf.DUMMYFUNCTION("""COMPUTED_VALUE"""),"1753015911561")</f>
        <v>1753015911561</v>
      </c>
      <c r="B1134" s="2"/>
      <c r="C1134" s="2" t="str">
        <v>0</v>
      </c>
      <c r="D1134" s="2"/>
      <c r="E1134" s="2"/>
      <c r="F1134" s="2" t="str">
        <v>0</v>
      </c>
      <c r="G1134" s="2"/>
      <c r="I1134" s="2" t="str">
        <f ca="1">IFERROR(__xludf.DUMMYFUNCTION("""COMPUTED_VALUE"""),"Nguyễn Trần Thúc Nhiên ")</f>
        <v xml:space="preserve">Nguyễn Trần Thúc Nhiên </v>
      </c>
      <c r="J1134" s="3" t="str">
        <f ca="1">IFERROR(__xludf.DUMMYFUNCTION("""COMPUTED_VALUE"""),"0914609379")</f>
        <v>0914609379</v>
      </c>
      <c r="K1134" s="2" t="str">
        <f ca="1">IFERROR(__xludf.DUMMYFUNCTION("""COMPUTED_VALUE"""),"1753015911561")</f>
        <v>1753015911561</v>
      </c>
    </row>
    <row r="1135" spans="1:11" ht="12.45">
      <c r="A1135" s="2" t="str">
        <f ca="1">IFERROR(__xludf.DUMMYFUNCTION("""COMPUTED_VALUE"""),"1753015954482")</f>
        <v>1753015954482</v>
      </c>
      <c r="B1135" s="2"/>
      <c r="C1135" s="2" t="str">
        <v>0</v>
      </c>
      <c r="D1135" s="2"/>
      <c r="E1135" s="2"/>
      <c r="F1135" s="2" t="str">
        <v>0</v>
      </c>
      <c r="G1135" s="2"/>
      <c r="I1135" s="2" t="str">
        <f ca="1">IFERROR(__xludf.DUMMYFUNCTION("""COMPUTED_VALUE"""),"Lê Thị Hà Vy")</f>
        <v>Lê Thị Hà Vy</v>
      </c>
      <c r="J1135" s="3" t="str">
        <f ca="1">IFERROR(__xludf.DUMMYFUNCTION("""COMPUTED_VALUE"""),"0374112007")</f>
        <v>0374112007</v>
      </c>
      <c r="K1135" s="2" t="str">
        <f ca="1">IFERROR(__xludf.DUMMYFUNCTION("""COMPUTED_VALUE"""),"1753015954482")</f>
        <v>1753015954482</v>
      </c>
    </row>
    <row r="1136" spans="1:11" ht="12.45">
      <c r="A1136" s="2" t="str">
        <f ca="1">IFERROR(__xludf.DUMMYFUNCTION("""COMPUTED_VALUE"""),"1753016007270")</f>
        <v>1753016007270</v>
      </c>
      <c r="B1136" s="2"/>
      <c r="C1136" s="2" t="str">
        <v>0</v>
      </c>
      <c r="D1136" s="2"/>
      <c r="E1136" s="2"/>
      <c r="F1136" s="2" t="str">
        <v>0</v>
      </c>
      <c r="G1136" s="2"/>
      <c r="I1136" s="2" t="str">
        <f ca="1">IFERROR(__xludf.DUMMYFUNCTION("""COMPUTED_VALUE"""),"Doãn Thị Mai Hương ")</f>
        <v xml:space="preserve">Doãn Thị Mai Hương </v>
      </c>
      <c r="J1136" s="3" t="str">
        <f ca="1">IFERROR(__xludf.DUMMYFUNCTION("""COMPUTED_VALUE"""),"0328874307")</f>
        <v>0328874307</v>
      </c>
      <c r="K1136" s="2" t="str">
        <f ca="1">IFERROR(__xludf.DUMMYFUNCTION("""COMPUTED_VALUE"""),"1753016007270")</f>
        <v>1753016007270</v>
      </c>
    </row>
    <row r="1137" spans="1:11" ht="12.45">
      <c r="A1137" s="2" t="str">
        <f ca="1">IFERROR(__xludf.DUMMYFUNCTION("""COMPUTED_VALUE"""),"1753016100231")</f>
        <v>1753016100231</v>
      </c>
      <c r="B1137" s="2"/>
      <c r="C1137" s="2" t="str">
        <v>0</v>
      </c>
      <c r="D1137" s="2"/>
      <c r="E1137" s="2"/>
      <c r="F1137" s="2" t="str">
        <v>0</v>
      </c>
      <c r="G1137" s="2"/>
      <c r="I1137" s="2" t="str">
        <f ca="1">IFERROR(__xludf.DUMMYFUNCTION("""COMPUTED_VALUE"""),"Phạm Minh Ánh ")</f>
        <v xml:space="preserve">Phạm Minh Ánh </v>
      </c>
      <c r="J1137" s="2" t="str">
        <f ca="1">IFERROR(__xludf.DUMMYFUNCTION("""COMPUTED_VALUE"""),"08439855752")</f>
        <v>08439855752</v>
      </c>
      <c r="K1137" s="2" t="str">
        <f ca="1">IFERROR(__xludf.DUMMYFUNCTION("""COMPUTED_VALUE"""),"1753016100231")</f>
        <v>1753016100231</v>
      </c>
    </row>
    <row r="1138" spans="1:11" ht="12.45">
      <c r="A1138" s="2" t="str">
        <f ca="1">IFERROR(__xludf.DUMMYFUNCTION("""COMPUTED_VALUE"""),"1753016145472")</f>
        <v>1753016145472</v>
      </c>
      <c r="B1138" s="2"/>
      <c r="C1138" s="2" t="str">
        <v>0</v>
      </c>
      <c r="D1138" s="2"/>
      <c r="E1138" s="2"/>
      <c r="F1138" s="2" t="str">
        <v>0</v>
      </c>
      <c r="G1138" s="2"/>
      <c r="I1138" s="2" t="str">
        <f ca="1">IFERROR(__xludf.DUMMYFUNCTION("""COMPUTED_VALUE"""),"Nguyễn Anh Thư")</f>
        <v>Nguyễn Anh Thư</v>
      </c>
      <c r="J1138" s="3" t="str">
        <f ca="1">IFERROR(__xludf.DUMMYFUNCTION("""COMPUTED_VALUE"""),"0932998233")</f>
        <v>0932998233</v>
      </c>
      <c r="K1138" s="2" t="str">
        <f ca="1">IFERROR(__xludf.DUMMYFUNCTION("""COMPUTED_VALUE"""),"1753016145472")</f>
        <v>1753016145472</v>
      </c>
    </row>
    <row r="1139" spans="1:11" ht="12.45">
      <c r="A1139" s="2" t="str">
        <f ca="1">IFERROR(__xludf.DUMMYFUNCTION("""COMPUTED_VALUE"""),"1753016191910")</f>
        <v>1753016191910</v>
      </c>
      <c r="B1139" s="2"/>
      <c r="C1139" s="2" t="str">
        <v>0</v>
      </c>
      <c r="D1139" s="2"/>
      <c r="E1139" s="2"/>
      <c r="F1139" s="2" t="str">
        <v>0</v>
      </c>
      <c r="G1139" s="2"/>
      <c r="I1139" s="2" t="str">
        <f ca="1">IFERROR(__xludf.DUMMYFUNCTION("""COMPUTED_VALUE"""),"Lê Bạch Dương ")</f>
        <v xml:space="preserve">Lê Bạch Dương </v>
      </c>
      <c r="J1139" s="3" t="str">
        <f ca="1">IFERROR(__xludf.DUMMYFUNCTION("""COMPUTED_VALUE"""),"0974780586")</f>
        <v>0974780586</v>
      </c>
      <c r="K1139" s="2" t="str">
        <f ca="1">IFERROR(__xludf.DUMMYFUNCTION("""COMPUTED_VALUE"""),"1753016191910")</f>
        <v>1753016191910</v>
      </c>
    </row>
    <row r="1140" spans="1:11" ht="12.45">
      <c r="A1140" s="2" t="str">
        <f ca="1">IFERROR(__xludf.DUMMYFUNCTION("""COMPUTED_VALUE"""),"1753016268713")</f>
        <v>1753016268713</v>
      </c>
      <c r="B1140" s="2"/>
      <c r="C1140" s="2" t="str">
        <v>0</v>
      </c>
      <c r="D1140" s="2"/>
      <c r="E1140" s="2"/>
      <c r="F1140" s="2" t="str">
        <v>0</v>
      </c>
      <c r="G1140" s="2"/>
      <c r="I1140" s="2" t="str">
        <f ca="1">IFERROR(__xludf.DUMMYFUNCTION("""COMPUTED_VALUE"""),"TRI UYÊN NHI")</f>
        <v>TRI UYÊN NHI</v>
      </c>
      <c r="J1140" s="3" t="str">
        <f ca="1">IFERROR(__xludf.DUMMYFUNCTION("""COMPUTED_VALUE"""),"0973130823")</f>
        <v>0973130823</v>
      </c>
      <c r="K1140" s="2" t="str">
        <f ca="1">IFERROR(__xludf.DUMMYFUNCTION("""COMPUTED_VALUE"""),"1753016268713")</f>
        <v>1753016268713</v>
      </c>
    </row>
    <row r="1141" spans="1:11" ht="12.45">
      <c r="A1141" s="2" t="str">
        <f ca="1">IFERROR(__xludf.DUMMYFUNCTION("""COMPUTED_VALUE"""),"1753016321089")</f>
        <v>1753016321089</v>
      </c>
      <c r="B1141" s="2"/>
      <c r="C1141" s="2" t="str">
        <v>0</v>
      </c>
      <c r="D1141" s="2"/>
      <c r="E1141" s="2"/>
      <c r="F1141" s="2" t="str">
        <v>0</v>
      </c>
      <c r="G1141" s="2"/>
      <c r="I1141" s="2" t="str">
        <f ca="1">IFERROR(__xludf.DUMMYFUNCTION("""COMPUTED_VALUE"""),"Đỗ Khánh Linh ")</f>
        <v xml:space="preserve">Đỗ Khánh Linh </v>
      </c>
      <c r="J1141" s="3" t="str">
        <f ca="1">IFERROR(__xludf.DUMMYFUNCTION("""COMPUTED_VALUE"""),"0385513441")</f>
        <v>0385513441</v>
      </c>
      <c r="K1141" s="2" t="str">
        <f ca="1">IFERROR(__xludf.DUMMYFUNCTION("""COMPUTED_VALUE"""),"1753016321089")</f>
        <v>1753016321089</v>
      </c>
    </row>
    <row r="1142" spans="1:11" ht="12.45">
      <c r="A1142" s="2" t="str">
        <f ca="1">IFERROR(__xludf.DUMMYFUNCTION("""COMPUTED_VALUE"""),"1753016377643")</f>
        <v>1753016377643</v>
      </c>
      <c r="B1142" s="2"/>
      <c r="C1142" s="2" t="str">
        <v>0</v>
      </c>
      <c r="D1142" s="2"/>
      <c r="E1142" s="2"/>
      <c r="F1142" s="2" t="str">
        <v>0</v>
      </c>
      <c r="G1142" s="2"/>
      <c r="I1142" s="2" t="str">
        <f ca="1">IFERROR(__xludf.DUMMYFUNCTION("""COMPUTED_VALUE"""),"Nguyễn Huỳnh Tâm Như ")</f>
        <v xml:space="preserve">Nguyễn Huỳnh Tâm Như </v>
      </c>
      <c r="J1142" s="3" t="str">
        <f ca="1">IFERROR(__xludf.DUMMYFUNCTION("""COMPUTED_VALUE"""),"0983138172")</f>
        <v>0983138172</v>
      </c>
      <c r="K1142" s="2" t="str">
        <f ca="1">IFERROR(__xludf.DUMMYFUNCTION("""COMPUTED_VALUE"""),"1753016377643")</f>
        <v>1753016377643</v>
      </c>
    </row>
    <row r="1143" spans="1:11" ht="12.45">
      <c r="A1143" s="2" t="str">
        <f ca="1">IFERROR(__xludf.DUMMYFUNCTION("""COMPUTED_VALUE"""),"1753016473014")</f>
        <v>1753016473014</v>
      </c>
      <c r="B1143" s="2"/>
      <c r="C1143" s="2" t="str">
        <v>0</v>
      </c>
      <c r="D1143" s="2"/>
      <c r="E1143" s="2"/>
      <c r="F1143" s="2" t="str">
        <v>0</v>
      </c>
      <c r="G1143" s="2"/>
      <c r="I1143" s="2" t="str">
        <f ca="1">IFERROR(__xludf.DUMMYFUNCTION("""COMPUTED_VALUE"""),"KHƯU NGỌC GIA HÂN")</f>
        <v>KHƯU NGỌC GIA HÂN</v>
      </c>
      <c r="J1143" s="3" t="str">
        <f ca="1">IFERROR(__xludf.DUMMYFUNCTION("""COMPUTED_VALUE"""),"0949662232")</f>
        <v>0949662232</v>
      </c>
      <c r="K1143" s="2" t="str">
        <f ca="1">IFERROR(__xludf.DUMMYFUNCTION("""COMPUTED_VALUE"""),"1753016473014")</f>
        <v>1753016473014</v>
      </c>
    </row>
    <row r="1144" spans="1:11" ht="12.45">
      <c r="A1144" s="2" t="str">
        <f ca="1">IFERROR(__xludf.DUMMYFUNCTION("""COMPUTED_VALUE"""),"1753016518312")</f>
        <v>1753016518312</v>
      </c>
      <c r="B1144" s="2"/>
      <c r="C1144" s="2" t="str">
        <v>0</v>
      </c>
      <c r="D1144" s="2"/>
      <c r="E1144" s="2"/>
      <c r="F1144" s="2" t="str">
        <v>0</v>
      </c>
      <c r="G1144" s="2"/>
      <c r="I1144" s="2" t="str">
        <f ca="1">IFERROR(__xludf.DUMMYFUNCTION("""COMPUTED_VALUE"""),"Phạm Yến Ngọc")</f>
        <v>Phạm Yến Ngọc</v>
      </c>
      <c r="J1144" s="3" t="str">
        <f ca="1">IFERROR(__xludf.DUMMYFUNCTION("""COMPUTED_VALUE"""),"0359169559")</f>
        <v>0359169559</v>
      </c>
      <c r="K1144" s="2" t="str">
        <f ca="1">IFERROR(__xludf.DUMMYFUNCTION("""COMPUTED_VALUE"""),"1753016518312")</f>
        <v>1753016518312</v>
      </c>
    </row>
    <row r="1145" spans="1:11" ht="12.45">
      <c r="A1145" s="2" t="str">
        <f ca="1">IFERROR(__xludf.DUMMYFUNCTION("""COMPUTED_VALUE"""),"1753016570558")</f>
        <v>1753016570558</v>
      </c>
      <c r="B1145" s="2"/>
      <c r="C1145" s="2" t="str">
        <v>0</v>
      </c>
      <c r="D1145" s="2"/>
      <c r="E1145" s="2"/>
      <c r="F1145" s="2" t="str">
        <v>0</v>
      </c>
      <c r="G1145" s="2"/>
      <c r="I1145" s="2" t="str">
        <f ca="1">IFERROR(__xludf.DUMMYFUNCTION("""COMPUTED_VALUE"""),"Nguyễn Hương Trà ")</f>
        <v xml:space="preserve">Nguyễn Hương Trà </v>
      </c>
      <c r="J1145" s="3" t="str">
        <f ca="1">IFERROR(__xludf.DUMMYFUNCTION("""COMPUTED_VALUE"""),"0985969054")</f>
        <v>0985969054</v>
      </c>
      <c r="K1145" s="2" t="str">
        <f ca="1">IFERROR(__xludf.DUMMYFUNCTION("""COMPUTED_VALUE"""),"1753016570558")</f>
        <v>1753016570558</v>
      </c>
    </row>
    <row r="1146" spans="1:11" ht="12.45">
      <c r="A1146" s="2" t="str">
        <f ca="1">IFERROR(__xludf.DUMMYFUNCTION("""COMPUTED_VALUE"""),"1753016616016")</f>
        <v>1753016616016</v>
      </c>
      <c r="B1146" s="2"/>
      <c r="C1146" s="2" t="str">
        <v>0</v>
      </c>
      <c r="D1146" s="2"/>
      <c r="E1146" s="2"/>
      <c r="F1146" s="2" t="str">
        <v>0</v>
      </c>
      <c r="G1146" s="2"/>
      <c r="I1146" s="2" t="str">
        <f ca="1">IFERROR(__xludf.DUMMYFUNCTION("""COMPUTED_VALUE"""),"Vũ Diệp Anh")</f>
        <v>Vũ Diệp Anh</v>
      </c>
      <c r="J1146" s="3" t="str">
        <f ca="1">IFERROR(__xludf.DUMMYFUNCTION("""COMPUTED_VALUE"""),"0971877450")</f>
        <v>0971877450</v>
      </c>
      <c r="K1146" s="2" t="str">
        <f ca="1">IFERROR(__xludf.DUMMYFUNCTION("""COMPUTED_VALUE"""),"1753016616016")</f>
        <v>1753016616016</v>
      </c>
    </row>
    <row r="1147" spans="1:11" ht="12.45">
      <c r="A1147" s="2" t="str">
        <f ca="1">IFERROR(__xludf.DUMMYFUNCTION("""COMPUTED_VALUE"""),"1753016654110")</f>
        <v>1753016654110</v>
      </c>
      <c r="B1147" s="2"/>
      <c r="C1147" s="2" t="str">
        <v>0</v>
      </c>
      <c r="D1147" s="2"/>
      <c r="E1147" s="2"/>
      <c r="F1147" s="2" t="str">
        <v>0</v>
      </c>
      <c r="G1147" s="2"/>
      <c r="I1147" s="2" t="str">
        <f ca="1">IFERROR(__xludf.DUMMYFUNCTION("""COMPUTED_VALUE"""),"Lê Thị Hương Trà")</f>
        <v>Lê Thị Hương Trà</v>
      </c>
      <c r="J1147" s="3" t="str">
        <f ca="1">IFERROR(__xludf.DUMMYFUNCTION("""COMPUTED_VALUE"""),"0354164798")</f>
        <v>0354164798</v>
      </c>
      <c r="K1147" s="2" t="str">
        <f ca="1">IFERROR(__xludf.DUMMYFUNCTION("""COMPUTED_VALUE"""),"1753016654110")</f>
        <v>1753016654110</v>
      </c>
    </row>
    <row r="1148" spans="1:11" ht="12.45">
      <c r="A1148" s="2" t="str">
        <f ca="1">IFERROR(__xludf.DUMMYFUNCTION("""COMPUTED_VALUE"""),"1753016714138")</f>
        <v>1753016714138</v>
      </c>
      <c r="B1148" s="2"/>
      <c r="C1148" s="2" t="str">
        <v>0</v>
      </c>
      <c r="D1148" s="2"/>
      <c r="E1148" s="2"/>
      <c r="F1148" s="2" t="str">
        <v>0</v>
      </c>
      <c r="G1148" s="2"/>
      <c r="I1148" s="2" t="str">
        <f ca="1">IFERROR(__xludf.DUMMYFUNCTION("""COMPUTED_VALUE"""),"lê thi diễm my")</f>
        <v>lê thi diễm my</v>
      </c>
      <c r="J1148" s="3" t="str">
        <f ca="1">IFERROR(__xludf.DUMMYFUNCTION("""COMPUTED_VALUE"""),"0339594704")</f>
        <v>0339594704</v>
      </c>
      <c r="K1148" s="2" t="str">
        <f ca="1">IFERROR(__xludf.DUMMYFUNCTION("""COMPUTED_VALUE"""),"1753016714138")</f>
        <v>1753016714138</v>
      </c>
    </row>
    <row r="1149" spans="1:11" ht="12.45">
      <c r="A1149" s="2" t="str">
        <f ca="1">IFERROR(__xludf.DUMMYFUNCTION("""COMPUTED_VALUE"""),"1753016810943")</f>
        <v>1753016810943</v>
      </c>
      <c r="B1149" s="2"/>
      <c r="C1149" s="2" t="str">
        <v>0</v>
      </c>
      <c r="D1149" s="2"/>
      <c r="E1149" s="2"/>
      <c r="F1149" s="2" t="str">
        <v>0</v>
      </c>
      <c r="G1149" s="2"/>
      <c r="I1149" s="2" t="str">
        <f ca="1">IFERROR(__xludf.DUMMYFUNCTION("""COMPUTED_VALUE"""),"Nguyễn Sỹ Anh")</f>
        <v>Nguyễn Sỹ Anh</v>
      </c>
      <c r="J1149" s="3" t="str">
        <f ca="1">IFERROR(__xludf.DUMMYFUNCTION("""COMPUTED_VALUE"""),"0396346442")</f>
        <v>0396346442</v>
      </c>
      <c r="K1149" s="2" t="str">
        <f ca="1">IFERROR(__xludf.DUMMYFUNCTION("""COMPUTED_VALUE"""),"1753016810943")</f>
        <v>1753016810943</v>
      </c>
    </row>
    <row r="1150" spans="1:11" ht="12.45">
      <c r="A1150" s="2" t="str">
        <f ca="1">IFERROR(__xludf.DUMMYFUNCTION("""COMPUTED_VALUE"""),"1753016863827")</f>
        <v>1753016863827</v>
      </c>
      <c r="B1150" s="2"/>
      <c r="C1150" s="2" t="str">
        <v>0</v>
      </c>
      <c r="D1150" s="2"/>
      <c r="E1150" s="2"/>
      <c r="F1150" s="2" t="str">
        <v>0</v>
      </c>
      <c r="G1150" s="2"/>
      <c r="I1150" s="2" t="str">
        <f ca="1">IFERROR(__xludf.DUMMYFUNCTION("""COMPUTED_VALUE"""),"Nguyễn Thị Thanh ")</f>
        <v xml:space="preserve">Nguyễn Thị Thanh </v>
      </c>
      <c r="J1150" s="3" t="str">
        <f ca="1">IFERROR(__xludf.DUMMYFUNCTION("""COMPUTED_VALUE"""),"0963651527")</f>
        <v>0963651527</v>
      </c>
      <c r="K1150" s="2" t="str">
        <f ca="1">IFERROR(__xludf.DUMMYFUNCTION("""COMPUTED_VALUE"""),"1753016863827")</f>
        <v>1753016863827</v>
      </c>
    </row>
    <row r="1151" spans="1:11" ht="12.45">
      <c r="A1151" s="2" t="str">
        <f ca="1">IFERROR(__xludf.DUMMYFUNCTION("""COMPUTED_VALUE"""),"1753016922822")</f>
        <v>1753016922822</v>
      </c>
      <c r="B1151" s="2"/>
      <c r="C1151" s="2" t="str">
        <v>0</v>
      </c>
      <c r="D1151" s="2"/>
      <c r="E1151" s="2"/>
      <c r="F1151" s="2" t="str">
        <v>0</v>
      </c>
      <c r="G1151" s="2"/>
      <c r="I1151" s="2" t="str">
        <f ca="1">IFERROR(__xludf.DUMMYFUNCTION("""COMPUTED_VALUE"""),"Đào Thu Phương")</f>
        <v>Đào Thu Phương</v>
      </c>
      <c r="J1151" s="3" t="str">
        <f ca="1">IFERROR(__xludf.DUMMYFUNCTION("""COMPUTED_VALUE"""),"0397608669")</f>
        <v>0397608669</v>
      </c>
      <c r="K1151" s="2" t="str">
        <f ca="1">IFERROR(__xludf.DUMMYFUNCTION("""COMPUTED_VALUE"""),"1753016922822")</f>
        <v>1753016922822</v>
      </c>
    </row>
    <row r="1152" spans="1:11" ht="12.45">
      <c r="A1152" s="2" t="str">
        <f ca="1">IFERROR(__xludf.DUMMYFUNCTION("""COMPUTED_VALUE"""),"1753016963962")</f>
        <v>1753016963962</v>
      </c>
      <c r="B1152" s="2"/>
      <c r="C1152" s="2" t="str">
        <v>0</v>
      </c>
      <c r="D1152" s="2"/>
      <c r="E1152" s="2"/>
      <c r="F1152" s="2" t="str">
        <v>0</v>
      </c>
      <c r="G1152" s="2"/>
      <c r="I1152" s="2" t="str">
        <f ca="1">IFERROR(__xludf.DUMMYFUNCTION("""COMPUTED_VALUE"""),"HOÀNG NHI THƯ ")</f>
        <v xml:space="preserve">HOÀNG NHI THƯ </v>
      </c>
      <c r="J1152" s="3" t="str">
        <f ca="1">IFERROR(__xludf.DUMMYFUNCTION("""COMPUTED_VALUE"""),"0386091355")</f>
        <v>0386091355</v>
      </c>
      <c r="K1152" s="2" t="str">
        <f ca="1">IFERROR(__xludf.DUMMYFUNCTION("""COMPUTED_VALUE"""),"1753016963962")</f>
        <v>1753016963962</v>
      </c>
    </row>
    <row r="1153" spans="1:11" ht="12.45">
      <c r="A1153" s="2" t="str">
        <f ca="1">IFERROR(__xludf.DUMMYFUNCTION("""COMPUTED_VALUE"""),"1753017048755")</f>
        <v>1753017048755</v>
      </c>
      <c r="B1153" s="2"/>
      <c r="C1153" s="2" t="str">
        <v>0</v>
      </c>
      <c r="D1153" s="2"/>
      <c r="E1153" s="2"/>
      <c r="F1153" s="2" t="str">
        <v>0</v>
      </c>
      <c r="G1153" s="2"/>
      <c r="I1153" s="2" t="str">
        <f ca="1">IFERROR(__xludf.DUMMYFUNCTION("""COMPUTED_VALUE"""),"Nguyễn Thị Quỳnh Anh ")</f>
        <v xml:space="preserve">Nguyễn Thị Quỳnh Anh </v>
      </c>
      <c r="J1153" s="3" t="str">
        <f ca="1">IFERROR(__xludf.DUMMYFUNCTION("""COMPUTED_VALUE"""),"0916880436")</f>
        <v>0916880436</v>
      </c>
      <c r="K1153" s="2" t="str">
        <f ca="1">IFERROR(__xludf.DUMMYFUNCTION("""COMPUTED_VALUE"""),"1753017048755")</f>
        <v>1753017048755</v>
      </c>
    </row>
    <row r="1154" spans="1:11" ht="12.45">
      <c r="A1154" s="2" t="str">
        <f ca="1">IFERROR(__xludf.DUMMYFUNCTION("""COMPUTED_VALUE"""),"1753017091405")</f>
        <v>1753017091405</v>
      </c>
      <c r="B1154" s="2"/>
      <c r="C1154" s="2" t="str">
        <v>0</v>
      </c>
      <c r="D1154" s="2"/>
      <c r="E1154" s="2"/>
      <c r="F1154" s="2" t="str">
        <v>0</v>
      </c>
      <c r="G1154" s="2"/>
      <c r="I1154" s="2" t="str">
        <f ca="1">IFERROR(__xludf.DUMMYFUNCTION("""COMPUTED_VALUE"""),"Hà Thị Hồng Hạnh")</f>
        <v>Hà Thị Hồng Hạnh</v>
      </c>
      <c r="J1154" s="3" t="str">
        <f ca="1">IFERROR(__xludf.DUMMYFUNCTION("""COMPUTED_VALUE"""),"0906120018")</f>
        <v>0906120018</v>
      </c>
      <c r="K1154" s="2" t="str">
        <f ca="1">IFERROR(__xludf.DUMMYFUNCTION("""COMPUTED_VALUE"""),"1753017091405")</f>
        <v>1753017091405</v>
      </c>
    </row>
    <row r="1155" spans="1:11" ht="12.45">
      <c r="A1155" s="2" t="str">
        <f ca="1">IFERROR(__xludf.DUMMYFUNCTION("""COMPUTED_VALUE"""),"1753017132426")</f>
        <v>1753017132426</v>
      </c>
      <c r="B1155" s="2"/>
      <c r="C1155" s="2" t="str">
        <v>0</v>
      </c>
      <c r="D1155" s="2"/>
      <c r="E1155" s="2"/>
      <c r="F1155" s="2" t="str">
        <v>0</v>
      </c>
      <c r="G1155" s="2"/>
      <c r="I1155" s="2" t="str">
        <f ca="1">IFERROR(__xludf.DUMMYFUNCTION("""COMPUTED_VALUE"""),"Lê Phương Ngọc Nhi")</f>
        <v>Lê Phương Ngọc Nhi</v>
      </c>
      <c r="J1155" s="3" t="str">
        <f ca="1">IFERROR(__xludf.DUMMYFUNCTION("""COMPUTED_VALUE"""),"0925949286")</f>
        <v>0925949286</v>
      </c>
      <c r="K1155" s="2" t="str">
        <f ca="1">IFERROR(__xludf.DUMMYFUNCTION("""COMPUTED_VALUE"""),"1753017132426")</f>
        <v>1753017132426</v>
      </c>
    </row>
    <row r="1156" spans="1:11" ht="12.45">
      <c r="A1156" s="2" t="str">
        <f ca="1">IFERROR(__xludf.DUMMYFUNCTION("""COMPUTED_VALUE"""),"1753017167887")</f>
        <v>1753017167887</v>
      </c>
      <c r="B1156" s="2"/>
      <c r="C1156" s="2" t="str">
        <v>0</v>
      </c>
      <c r="D1156" s="2"/>
      <c r="E1156" s="2"/>
      <c r="F1156" s="2" t="str">
        <v>0</v>
      </c>
      <c r="G1156" s="2"/>
      <c r="I1156" s="2" t="str">
        <f ca="1">IFERROR(__xludf.DUMMYFUNCTION("""COMPUTED_VALUE"""),"Đàm Quỳnh Anh")</f>
        <v>Đàm Quỳnh Anh</v>
      </c>
      <c r="J1156" s="3" t="str">
        <f ca="1">IFERROR(__xludf.DUMMYFUNCTION("""COMPUTED_VALUE"""),"0329281702")</f>
        <v>0329281702</v>
      </c>
      <c r="K1156" s="2" t="str">
        <f ca="1">IFERROR(__xludf.DUMMYFUNCTION("""COMPUTED_VALUE"""),"1753017167887")</f>
        <v>1753017167887</v>
      </c>
    </row>
    <row r="1157" spans="1:11" ht="12.45">
      <c r="A1157" s="2" t="str">
        <f ca="1">IFERROR(__xludf.DUMMYFUNCTION("""COMPUTED_VALUE"""),"1753201443395")</f>
        <v>1753201443395</v>
      </c>
      <c r="B1157" s="2"/>
      <c r="C1157" s="2" t="str">
        <v>0</v>
      </c>
      <c r="D1157" s="2"/>
      <c r="E1157" s="2"/>
      <c r="F1157" s="2" t="str">
        <v>0</v>
      </c>
      <c r="G1157" s="2"/>
      <c r="I1157" s="2" t="str">
        <f ca="1">IFERROR(__xludf.DUMMYFUNCTION("""COMPUTED_VALUE"""),"Nguyễn Trà My")</f>
        <v>Nguyễn Trà My</v>
      </c>
      <c r="J1157" s="3" t="str">
        <f ca="1">IFERROR(__xludf.DUMMYFUNCTION("""COMPUTED_VALUE"""),"0963171202")</f>
        <v>0963171202</v>
      </c>
      <c r="K1157" s="2" t="str">
        <f ca="1">IFERROR(__xludf.DUMMYFUNCTION("""COMPUTED_VALUE"""),"1753201443395")</f>
        <v>1753201443395</v>
      </c>
    </row>
    <row r="1158" spans="1:11" ht="12.45">
      <c r="A1158" s="2" t="str">
        <f ca="1">IFERROR(__xludf.DUMMYFUNCTION("""COMPUTED_VALUE"""),"1753201484491")</f>
        <v>1753201484491</v>
      </c>
      <c r="B1158" s="2"/>
      <c r="C1158" s="2" t="str">
        <v>0</v>
      </c>
      <c r="D1158" s="2"/>
      <c r="E1158" s="2"/>
      <c r="F1158" s="2" t="str">
        <v>0</v>
      </c>
      <c r="G1158" s="2"/>
      <c r="I1158" s="2" t="str">
        <f ca="1">IFERROR(__xludf.DUMMYFUNCTION("""COMPUTED_VALUE"""),"Nguyễn Lê Như Quỳnh ")</f>
        <v xml:space="preserve">Nguyễn Lê Như Quỳnh </v>
      </c>
      <c r="J1158" s="3" t="str">
        <f ca="1">IFERROR(__xludf.DUMMYFUNCTION("""COMPUTED_VALUE"""),"0378682178")</f>
        <v>0378682178</v>
      </c>
      <c r="K1158" s="2" t="str">
        <f ca="1">IFERROR(__xludf.DUMMYFUNCTION("""COMPUTED_VALUE"""),"1753201484491")</f>
        <v>1753201484491</v>
      </c>
    </row>
    <row r="1159" spans="1:11" ht="12.45">
      <c r="A1159" s="2" t="str">
        <f ca="1">IFERROR(__xludf.DUMMYFUNCTION("""COMPUTED_VALUE"""),"1753201535651")</f>
        <v>1753201535651</v>
      </c>
      <c r="B1159" s="2"/>
      <c r="C1159" s="2" t="str">
        <v>0</v>
      </c>
      <c r="D1159" s="2"/>
      <c r="E1159" s="2"/>
      <c r="F1159" s="2" t="str">
        <v>0</v>
      </c>
      <c r="G1159" s="2"/>
      <c r="I1159" s="2" t="str">
        <f ca="1">IFERROR(__xludf.DUMMYFUNCTION("""COMPUTED_VALUE"""),"Nguyễn Nguyễn Phương Anh")</f>
        <v>Nguyễn Nguyễn Phương Anh</v>
      </c>
      <c r="J1159" s="3" t="str">
        <f ca="1">IFERROR(__xludf.DUMMYFUNCTION("""COMPUTED_VALUE"""),"0817301007")</f>
        <v>0817301007</v>
      </c>
      <c r="K1159" s="2" t="str">
        <f ca="1">IFERROR(__xludf.DUMMYFUNCTION("""COMPUTED_VALUE"""),"1753201535651")</f>
        <v>1753201535651</v>
      </c>
    </row>
    <row r="1160" spans="1:11" ht="12.45">
      <c r="A1160" s="2" t="str">
        <f ca="1">IFERROR(__xludf.DUMMYFUNCTION("""COMPUTED_VALUE"""),"1753201574219")</f>
        <v>1753201574219</v>
      </c>
      <c r="B1160" s="2"/>
      <c r="C1160" s="2" t="str">
        <v>0</v>
      </c>
      <c r="D1160" s="2"/>
      <c r="E1160" s="2"/>
      <c r="F1160" s="2" t="str">
        <v>0</v>
      </c>
      <c r="G1160" s="2"/>
      <c r="I1160" s="2" t="str">
        <f ca="1">IFERROR(__xludf.DUMMYFUNCTION("""COMPUTED_VALUE"""),"Nguyễn Văn Hậu")</f>
        <v>Nguyễn Văn Hậu</v>
      </c>
      <c r="J1160" s="3" t="str">
        <f ca="1">IFERROR(__xludf.DUMMYFUNCTION("""COMPUTED_VALUE"""),"0949745564")</f>
        <v>0949745564</v>
      </c>
      <c r="K1160" s="2" t="str">
        <f ca="1">IFERROR(__xludf.DUMMYFUNCTION("""COMPUTED_VALUE"""),"1753201574219")</f>
        <v>1753201574219</v>
      </c>
    </row>
    <row r="1161" spans="1:11" ht="12.45">
      <c r="A1161" s="2" t="str">
        <f ca="1">IFERROR(__xludf.DUMMYFUNCTION("""COMPUTED_VALUE"""),"1753201614090")</f>
        <v>1753201614090</v>
      </c>
      <c r="B1161" s="2"/>
      <c r="C1161" s="2" t="str">
        <v>0</v>
      </c>
      <c r="D1161" s="2"/>
      <c r="E1161" s="2"/>
      <c r="F1161" s="2" t="str">
        <v>0</v>
      </c>
      <c r="G1161" s="2"/>
      <c r="I1161" s="2" t="str">
        <f ca="1">IFERROR(__xludf.DUMMYFUNCTION("""COMPUTED_VALUE"""),"Đồng Xuân Định")</f>
        <v>Đồng Xuân Định</v>
      </c>
      <c r="J1161" s="3" t="str">
        <f ca="1">IFERROR(__xludf.DUMMYFUNCTION("""COMPUTED_VALUE"""),"0398358827")</f>
        <v>0398358827</v>
      </c>
      <c r="K1161" s="2" t="str">
        <f ca="1">IFERROR(__xludf.DUMMYFUNCTION("""COMPUTED_VALUE"""),"1753201614090")</f>
        <v>1753201614090</v>
      </c>
    </row>
    <row r="1162" spans="1:11" ht="12.45">
      <c r="A1162" s="2" t="str">
        <f ca="1">IFERROR(__xludf.DUMMYFUNCTION("""COMPUTED_VALUE"""),"1753201647744")</f>
        <v>1753201647744</v>
      </c>
      <c r="B1162" s="2"/>
      <c r="C1162" s="2" t="str">
        <v>0</v>
      </c>
      <c r="D1162" s="2"/>
      <c r="E1162" s="2"/>
      <c r="F1162" s="2" t="str">
        <v>0</v>
      </c>
      <c r="G1162" s="2"/>
      <c r="I1162" s="2" t="str">
        <f ca="1">IFERROR(__xludf.DUMMYFUNCTION("""COMPUTED_VALUE"""),"Lâm Quỳnh Anh")</f>
        <v>Lâm Quỳnh Anh</v>
      </c>
      <c r="J1162" s="3" t="str">
        <f ca="1">IFERROR(__xludf.DUMMYFUNCTION("""COMPUTED_VALUE"""),"0393172421")</f>
        <v>0393172421</v>
      </c>
      <c r="K1162" s="2" t="str">
        <f ca="1">IFERROR(__xludf.DUMMYFUNCTION("""COMPUTED_VALUE"""),"1753201647744")</f>
        <v>1753201647744</v>
      </c>
    </row>
    <row r="1163" spans="1:11" ht="12.45">
      <c r="A1163" s="2" t="str">
        <f ca="1">IFERROR(__xludf.DUMMYFUNCTION("""COMPUTED_VALUE"""),"1753201685076")</f>
        <v>1753201685076</v>
      </c>
      <c r="B1163" s="2"/>
      <c r="C1163" s="2" t="str">
        <v>0</v>
      </c>
      <c r="D1163" s="2"/>
      <c r="E1163" s="2"/>
      <c r="F1163" s="2" t="str">
        <v>0</v>
      </c>
      <c r="G1163" s="2"/>
      <c r="I1163" s="2" t="str">
        <f ca="1">IFERROR(__xludf.DUMMYFUNCTION("""COMPUTED_VALUE"""),"Tạ Việt Hưng")</f>
        <v>Tạ Việt Hưng</v>
      </c>
      <c r="J1163" s="3" t="str">
        <f ca="1">IFERROR(__xludf.DUMMYFUNCTION("""COMPUTED_VALUE"""),"0379007786")</f>
        <v>0379007786</v>
      </c>
      <c r="K1163" s="2" t="str">
        <f ca="1">IFERROR(__xludf.DUMMYFUNCTION("""COMPUTED_VALUE"""),"1753201685076")</f>
        <v>1753201685076</v>
      </c>
    </row>
    <row r="1164" spans="1:11" ht="12.45">
      <c r="A1164" s="2" t="str">
        <f ca="1">IFERROR(__xludf.DUMMYFUNCTION("""COMPUTED_VALUE"""),"1753201721803")</f>
        <v>1753201721803</v>
      </c>
      <c r="B1164" s="2"/>
      <c r="C1164" s="2" t="str">
        <v>0</v>
      </c>
      <c r="D1164" s="2"/>
      <c r="E1164" s="2"/>
      <c r="F1164" s="2" t="str">
        <v>0</v>
      </c>
      <c r="G1164" s="2"/>
      <c r="I1164" s="2" t="str">
        <f ca="1">IFERROR(__xludf.DUMMYFUNCTION("""COMPUTED_VALUE"""),"Phạm Nguyễn Thảo Linh")</f>
        <v>Phạm Nguyễn Thảo Linh</v>
      </c>
      <c r="J1164" s="3" t="str">
        <f ca="1">IFERROR(__xludf.DUMMYFUNCTION("""COMPUTED_VALUE"""),"0913989442")</f>
        <v>0913989442</v>
      </c>
      <c r="K1164" s="2" t="str">
        <f ca="1">IFERROR(__xludf.DUMMYFUNCTION("""COMPUTED_VALUE"""),"1753201721803")</f>
        <v>1753201721803</v>
      </c>
    </row>
    <row r="1165" spans="1:11" ht="12.45">
      <c r="A1165" s="2" t="str">
        <f ca="1">IFERROR(__xludf.DUMMYFUNCTION("""COMPUTED_VALUE"""),"1753201755941")</f>
        <v>1753201755941</v>
      </c>
      <c r="B1165" s="2"/>
      <c r="C1165" s="2" t="str">
        <v>0</v>
      </c>
      <c r="D1165" s="2"/>
      <c r="E1165" s="2"/>
      <c r="F1165" s="2" t="str">
        <v>0</v>
      </c>
      <c r="G1165" s="2"/>
      <c r="I1165" s="2" t="str">
        <f ca="1">IFERROR(__xludf.DUMMYFUNCTION("""COMPUTED_VALUE"""),"Lê Thanh Vân")</f>
        <v>Lê Thanh Vân</v>
      </c>
      <c r="J1165" s="3" t="str">
        <f ca="1">IFERROR(__xludf.DUMMYFUNCTION("""COMPUTED_VALUE"""),"0325747207")</f>
        <v>0325747207</v>
      </c>
      <c r="K1165" s="2" t="str">
        <f ca="1">IFERROR(__xludf.DUMMYFUNCTION("""COMPUTED_VALUE"""),"1753201755941")</f>
        <v>1753201755941</v>
      </c>
    </row>
    <row r="1166" spans="1:11" ht="12.45">
      <c r="A1166" s="2" t="str">
        <f ca="1">IFERROR(__xludf.DUMMYFUNCTION("""COMPUTED_VALUE"""),"1753201801734")</f>
        <v>1753201801734</v>
      </c>
      <c r="B1166" s="2"/>
      <c r="C1166" s="2" t="str">
        <v>0</v>
      </c>
      <c r="D1166" s="2"/>
      <c r="E1166" s="2"/>
      <c r="F1166" s="2" t="str">
        <v>0</v>
      </c>
      <c r="G1166" s="2"/>
      <c r="I1166" s="2" t="str">
        <f ca="1">IFERROR(__xludf.DUMMYFUNCTION("""COMPUTED_VALUE"""),"NGUYỄN VÕ TỐ NA")</f>
        <v>NGUYỄN VÕ TỐ NA</v>
      </c>
      <c r="J1166" s="3" t="str">
        <f ca="1">IFERROR(__xludf.DUMMYFUNCTION("""COMPUTED_VALUE"""),"0337984607")</f>
        <v>0337984607</v>
      </c>
      <c r="K1166" s="2" t="str">
        <f ca="1">IFERROR(__xludf.DUMMYFUNCTION("""COMPUTED_VALUE"""),"1753201801734")</f>
        <v>1753201801734</v>
      </c>
    </row>
    <row r="1167" spans="1:11" ht="12.45">
      <c r="A1167" s="2" t="str">
        <f ca="1">IFERROR(__xludf.DUMMYFUNCTION("""COMPUTED_VALUE"""),"1753201867022")</f>
        <v>1753201867022</v>
      </c>
      <c r="B1167" s="2"/>
      <c r="C1167" s="2" t="str">
        <v>0</v>
      </c>
      <c r="D1167" s="2"/>
      <c r="E1167" s="2"/>
      <c r="F1167" s="2" t="str">
        <v>0</v>
      </c>
      <c r="G1167" s="2"/>
      <c r="I1167" s="2" t="str">
        <f ca="1">IFERROR(__xludf.DUMMYFUNCTION("""COMPUTED_VALUE"""),"Phạm Thị Thu Hiền")</f>
        <v>Phạm Thị Thu Hiền</v>
      </c>
      <c r="J1167" s="3" t="str">
        <f ca="1">IFERROR(__xludf.DUMMYFUNCTION("""COMPUTED_VALUE"""),"0342642609")</f>
        <v>0342642609</v>
      </c>
      <c r="K1167" s="2" t="str">
        <f ca="1">IFERROR(__xludf.DUMMYFUNCTION("""COMPUTED_VALUE"""),"1753201867022")</f>
        <v>1753201867022</v>
      </c>
    </row>
    <row r="1168" spans="1:11" ht="12.45">
      <c r="A1168" s="2" t="str">
        <f ca="1">IFERROR(__xludf.DUMMYFUNCTION("""COMPUTED_VALUE"""),"1753201956760")</f>
        <v>1753201956760</v>
      </c>
      <c r="B1168" s="2"/>
      <c r="C1168" s="2" t="str">
        <v>0</v>
      </c>
      <c r="D1168" s="2"/>
      <c r="E1168" s="2"/>
      <c r="F1168" s="2" t="str">
        <v>0</v>
      </c>
      <c r="G1168" s="2"/>
      <c r="I1168" s="2" t="str">
        <f ca="1">IFERROR(__xludf.DUMMYFUNCTION("""COMPUTED_VALUE"""),"Thái Nguyễn Bảo Trâm")</f>
        <v>Thái Nguyễn Bảo Trâm</v>
      </c>
      <c r="J1168" s="3" t="str">
        <f ca="1">IFERROR(__xludf.DUMMYFUNCTION("""COMPUTED_VALUE"""),"0886649118")</f>
        <v>0886649118</v>
      </c>
      <c r="K1168" s="2" t="str">
        <f ca="1">IFERROR(__xludf.DUMMYFUNCTION("""COMPUTED_VALUE"""),"1753201956760")</f>
        <v>1753201956760</v>
      </c>
    </row>
    <row r="1169" spans="1:11" ht="12.45">
      <c r="A1169" s="2" t="str">
        <f ca="1">IFERROR(__xludf.DUMMYFUNCTION("""COMPUTED_VALUE"""),"1753202033102")</f>
        <v>1753202033102</v>
      </c>
      <c r="B1169" s="2"/>
      <c r="C1169" s="2" t="str">
        <v>0</v>
      </c>
      <c r="D1169" s="2"/>
      <c r="E1169" s="2"/>
      <c r="F1169" s="2" t="str">
        <v>0</v>
      </c>
      <c r="G1169" s="2"/>
      <c r="I1169" s="2" t="str">
        <f ca="1">IFERROR(__xludf.DUMMYFUNCTION("""COMPUTED_VALUE"""),"Nguyễn Thị Dương ")</f>
        <v xml:space="preserve">Nguyễn Thị Dương </v>
      </c>
      <c r="J1169" s="3" t="str">
        <f ca="1">IFERROR(__xludf.DUMMYFUNCTION("""COMPUTED_VALUE"""),"0961000327")</f>
        <v>0961000327</v>
      </c>
      <c r="K1169" s="2" t="str">
        <f ca="1">IFERROR(__xludf.DUMMYFUNCTION("""COMPUTED_VALUE"""),"1753202033102")</f>
        <v>1753202033102</v>
      </c>
    </row>
    <row r="1170" spans="1:11" ht="12.45">
      <c r="A1170" s="2" t="str">
        <f ca="1">IFERROR(__xludf.DUMMYFUNCTION("""COMPUTED_VALUE"""),"1753202070565")</f>
        <v>1753202070565</v>
      </c>
      <c r="B1170" s="2"/>
      <c r="C1170" s="2" t="str">
        <v>0</v>
      </c>
      <c r="D1170" s="2"/>
      <c r="E1170" s="2"/>
      <c r="F1170" s="2" t="str">
        <v>0</v>
      </c>
      <c r="G1170" s="2"/>
      <c r="I1170" s="2" t="str">
        <f ca="1">IFERROR(__xludf.DUMMYFUNCTION("""COMPUTED_VALUE"""),"Phạm Đỗ Thanh Lam")</f>
        <v>Phạm Đỗ Thanh Lam</v>
      </c>
      <c r="J1170" s="3" t="str">
        <f ca="1">IFERROR(__xludf.DUMMYFUNCTION("""COMPUTED_VALUE"""),"0362236500")</f>
        <v>0362236500</v>
      </c>
      <c r="K1170" s="2" t="str">
        <f ca="1">IFERROR(__xludf.DUMMYFUNCTION("""COMPUTED_VALUE"""),"1753202070565")</f>
        <v>1753202070565</v>
      </c>
    </row>
    <row r="1171" spans="1:11" ht="12.45">
      <c r="A1171" s="2" t="str">
        <f ca="1">IFERROR(__xludf.DUMMYFUNCTION("""COMPUTED_VALUE"""),"1753202099651")</f>
        <v>1753202099651</v>
      </c>
      <c r="B1171" s="2"/>
      <c r="C1171" s="2" t="str">
        <v>0</v>
      </c>
      <c r="D1171" s="2"/>
      <c r="E1171" s="2"/>
      <c r="F1171" s="2" t="str">
        <v>0</v>
      </c>
      <c r="G1171" s="2"/>
      <c r="I1171" s="2" t="str">
        <f ca="1">IFERROR(__xludf.DUMMYFUNCTION("""COMPUTED_VALUE"""),"Vũ Bá Nghĩa")</f>
        <v>Vũ Bá Nghĩa</v>
      </c>
      <c r="J1171" s="3" t="str">
        <f ca="1">IFERROR(__xludf.DUMMYFUNCTION("""COMPUTED_VALUE"""),"0326375863")</f>
        <v>0326375863</v>
      </c>
      <c r="K1171" s="2" t="str">
        <f ca="1">IFERROR(__xludf.DUMMYFUNCTION("""COMPUTED_VALUE"""),"1753202099651")</f>
        <v>1753202099651</v>
      </c>
    </row>
    <row r="1172" spans="1:11" ht="12.45">
      <c r="A1172" s="2" t="str">
        <f ca="1">IFERROR(__xludf.DUMMYFUNCTION("""COMPUTED_VALUE"""),"1753202132120")</f>
        <v>1753202132120</v>
      </c>
      <c r="B1172" s="2"/>
      <c r="C1172" s="2" t="str">
        <v>0</v>
      </c>
      <c r="D1172" s="2"/>
      <c r="E1172" s="2"/>
      <c r="F1172" s="2" t="str">
        <v>0</v>
      </c>
      <c r="G1172" s="2"/>
      <c r="I1172" s="2" t="str">
        <f ca="1">IFERROR(__xludf.DUMMYFUNCTION("""COMPUTED_VALUE"""),"Huỳnh Ngọc Lan")</f>
        <v>Huỳnh Ngọc Lan</v>
      </c>
      <c r="J1172" s="3" t="str">
        <f ca="1">IFERROR(__xludf.DUMMYFUNCTION("""COMPUTED_VALUE"""),"0982449904")</f>
        <v>0982449904</v>
      </c>
      <c r="K1172" s="2" t="str">
        <f ca="1">IFERROR(__xludf.DUMMYFUNCTION("""COMPUTED_VALUE"""),"1753202132120")</f>
        <v>1753202132120</v>
      </c>
    </row>
    <row r="1173" spans="1:11" ht="12.45">
      <c r="A1173" s="2" t="str">
        <f ca="1">IFERROR(__xludf.DUMMYFUNCTION("""COMPUTED_VALUE"""),"1753202207714")</f>
        <v>1753202207714</v>
      </c>
      <c r="B1173" s="2"/>
      <c r="C1173" s="2" t="str">
        <v>0</v>
      </c>
      <c r="D1173" s="2"/>
      <c r="E1173" s="2"/>
      <c r="F1173" s="2" t="str">
        <v>0</v>
      </c>
      <c r="G1173" s="2"/>
      <c r="I1173" s="2" t="str">
        <f ca="1">IFERROR(__xludf.DUMMYFUNCTION("""COMPUTED_VALUE"""),"Nguyễn Phước Anh Ánh")</f>
        <v>Nguyễn Phước Anh Ánh</v>
      </c>
      <c r="J1173" s="3" t="str">
        <f ca="1">IFERROR(__xludf.DUMMYFUNCTION("""COMPUTED_VALUE"""),"0788665158")</f>
        <v>0788665158</v>
      </c>
      <c r="K1173" s="2" t="str">
        <f ca="1">IFERROR(__xludf.DUMMYFUNCTION("""COMPUTED_VALUE"""),"1753202207714")</f>
        <v>1753202207714</v>
      </c>
    </row>
    <row r="1174" spans="1:11" ht="12.45">
      <c r="A1174" s="2" t="str">
        <f ca="1">IFERROR(__xludf.DUMMYFUNCTION("""COMPUTED_VALUE"""),"1753202273946")</f>
        <v>1753202273946</v>
      </c>
      <c r="B1174" s="2"/>
      <c r="C1174" s="2" t="str">
        <v>0</v>
      </c>
      <c r="D1174" s="2"/>
      <c r="E1174" s="2"/>
      <c r="F1174" s="2" t="str">
        <v>0</v>
      </c>
      <c r="G1174" s="2"/>
      <c r="I1174" s="2" t="str">
        <f ca="1">IFERROR(__xludf.DUMMYFUNCTION("""COMPUTED_VALUE"""),"Nguyễn thảo")</f>
        <v>Nguyễn thảo</v>
      </c>
      <c r="J1174" s="3" t="str">
        <f ca="1">IFERROR(__xludf.DUMMYFUNCTION("""COMPUTED_VALUE"""),"0984034164")</f>
        <v>0984034164</v>
      </c>
      <c r="K1174" s="2" t="str">
        <f ca="1">IFERROR(__xludf.DUMMYFUNCTION("""COMPUTED_VALUE"""),"1753202273946")</f>
        <v>1753202273946</v>
      </c>
    </row>
    <row r="1175" spans="1:11" ht="12.45">
      <c r="A1175" s="2" t="str">
        <f ca="1">IFERROR(__xludf.DUMMYFUNCTION("""COMPUTED_VALUE"""),"1753202303833")</f>
        <v>1753202303833</v>
      </c>
      <c r="B1175" s="2"/>
      <c r="C1175" s="2" t="str">
        <v>0</v>
      </c>
      <c r="D1175" s="2"/>
      <c r="E1175" s="2"/>
      <c r="F1175" s="2" t="str">
        <v>0</v>
      </c>
      <c r="G1175" s="2"/>
      <c r="I1175" s="2" t="str">
        <f ca="1">IFERROR(__xludf.DUMMYFUNCTION("""COMPUTED_VALUE"""),"Vũ Quỳnh Anh")</f>
        <v>Vũ Quỳnh Anh</v>
      </c>
      <c r="J1175" s="3" t="str">
        <f ca="1">IFERROR(__xludf.DUMMYFUNCTION("""COMPUTED_VALUE"""),"0982279124")</f>
        <v>0982279124</v>
      </c>
      <c r="K1175" s="2" t="str">
        <f ca="1">IFERROR(__xludf.DUMMYFUNCTION("""COMPUTED_VALUE"""),"1753202303833")</f>
        <v>1753202303833</v>
      </c>
    </row>
    <row r="1176" spans="1:11" ht="12.45">
      <c r="A1176" s="2" t="str">
        <f ca="1">IFERROR(__xludf.DUMMYFUNCTION("""COMPUTED_VALUE"""),"1753202350209")</f>
        <v>1753202350209</v>
      </c>
      <c r="B1176" s="2"/>
      <c r="C1176" s="2" t="str">
        <v>0</v>
      </c>
      <c r="D1176" s="2"/>
      <c r="E1176" s="2"/>
      <c r="F1176" s="2" t="str">
        <v>0</v>
      </c>
      <c r="G1176" s="2"/>
      <c r="I1176" s="2" t="str">
        <f ca="1">IFERROR(__xludf.DUMMYFUNCTION("""COMPUTED_VALUE"""),"Phan Thuỳ Linh")</f>
        <v>Phan Thuỳ Linh</v>
      </c>
      <c r="J1176" s="3" t="str">
        <f ca="1">IFERROR(__xludf.DUMMYFUNCTION("""COMPUTED_VALUE"""),"0338552154")</f>
        <v>0338552154</v>
      </c>
      <c r="K1176" s="2" t="str">
        <f ca="1">IFERROR(__xludf.DUMMYFUNCTION("""COMPUTED_VALUE"""),"1753202350209")</f>
        <v>1753202350209</v>
      </c>
    </row>
    <row r="1177" spans="1:11" ht="12.45">
      <c r="A1177" s="2" t="str">
        <f ca="1">IFERROR(__xludf.DUMMYFUNCTION("""COMPUTED_VALUE"""),"1753202433766")</f>
        <v>1753202433766</v>
      </c>
      <c r="B1177" s="2"/>
      <c r="C1177" s="2" t="str">
        <v>0</v>
      </c>
      <c r="D1177" s="2"/>
      <c r="E1177" s="2"/>
      <c r="F1177" s="2" t="str">
        <v>0</v>
      </c>
      <c r="G1177" s="2"/>
      <c r="I1177" s="2" t="str">
        <f ca="1">IFERROR(__xludf.DUMMYFUNCTION("""COMPUTED_VALUE"""),"Lê Thị Lan Hương")</f>
        <v>Lê Thị Lan Hương</v>
      </c>
      <c r="J1177" s="3" t="str">
        <f ca="1">IFERROR(__xludf.DUMMYFUNCTION("""COMPUTED_VALUE"""),"0362307246")</f>
        <v>0362307246</v>
      </c>
      <c r="K1177" s="2" t="str">
        <f ca="1">IFERROR(__xludf.DUMMYFUNCTION("""COMPUTED_VALUE"""),"1753202433766")</f>
        <v>1753202433766</v>
      </c>
    </row>
    <row r="1178" spans="1:11" ht="12.45">
      <c r="A1178" s="2" t="str">
        <f ca="1">IFERROR(__xludf.DUMMYFUNCTION("""COMPUTED_VALUE"""),"1753202498822")</f>
        <v>1753202498822</v>
      </c>
      <c r="B1178" s="2"/>
      <c r="C1178" s="2" t="str">
        <v>0</v>
      </c>
      <c r="D1178" s="2"/>
      <c r="E1178" s="2"/>
      <c r="F1178" s="2" t="str">
        <v>0</v>
      </c>
      <c r="G1178" s="2"/>
      <c r="I1178" s="2" t="str">
        <f ca="1">IFERROR(__xludf.DUMMYFUNCTION("""COMPUTED_VALUE"""),"Lê Quỳnh Anh")</f>
        <v>Lê Quỳnh Anh</v>
      </c>
      <c r="J1178" s="3" t="str">
        <f ca="1">IFERROR(__xludf.DUMMYFUNCTION("""COMPUTED_VALUE"""),"0969185346")</f>
        <v>0969185346</v>
      </c>
      <c r="K1178" s="2" t="str">
        <f ca="1">IFERROR(__xludf.DUMMYFUNCTION("""COMPUTED_VALUE"""),"1753202498822")</f>
        <v>1753202498822</v>
      </c>
    </row>
    <row r="1179" spans="1:11" ht="12.45">
      <c r="A1179" s="2" t="str">
        <f ca="1">IFERROR(__xludf.DUMMYFUNCTION("""COMPUTED_VALUE"""),"1753202566152")</f>
        <v>1753202566152</v>
      </c>
      <c r="B1179" s="2"/>
      <c r="C1179" s="2" t="str">
        <v>0</v>
      </c>
      <c r="D1179" s="2"/>
      <c r="E1179" s="2"/>
      <c r="F1179" s="2" t="str">
        <v>0</v>
      </c>
      <c r="G1179" s="2"/>
      <c r="I1179" s="2" t="str">
        <f ca="1">IFERROR(__xludf.DUMMYFUNCTION("""COMPUTED_VALUE"""),"Trần Thảo Trang")</f>
        <v>Trần Thảo Trang</v>
      </c>
      <c r="J1179" s="3" t="str">
        <f ca="1">IFERROR(__xludf.DUMMYFUNCTION("""COMPUTED_VALUE"""),"0948554285")</f>
        <v>0948554285</v>
      </c>
      <c r="K1179" s="2" t="str">
        <f ca="1">IFERROR(__xludf.DUMMYFUNCTION("""COMPUTED_VALUE"""),"1753202566152")</f>
        <v>1753202566152</v>
      </c>
    </row>
    <row r="1180" spans="1:11" ht="12.45">
      <c r="A1180" s="2" t="str">
        <f ca="1">IFERROR(__xludf.DUMMYFUNCTION("""COMPUTED_VALUE"""),"1753202641728")</f>
        <v>1753202641728</v>
      </c>
      <c r="B1180" s="2"/>
      <c r="C1180" s="2" t="str">
        <v>0</v>
      </c>
      <c r="D1180" s="2"/>
      <c r="E1180" s="2"/>
      <c r="F1180" s="2" t="str">
        <v>0</v>
      </c>
      <c r="G1180" s="2"/>
      <c r="I1180" s="2" t="str">
        <f ca="1">IFERROR(__xludf.DUMMYFUNCTION("""COMPUTED_VALUE"""),"Phạm Thanh Hải ")</f>
        <v xml:space="preserve">Phạm Thanh Hải </v>
      </c>
      <c r="J1180" s="3" t="str">
        <f ca="1">IFERROR(__xludf.DUMMYFUNCTION("""COMPUTED_VALUE"""),"0372765156")</f>
        <v>0372765156</v>
      </c>
      <c r="K1180" s="2" t="str">
        <f ca="1">IFERROR(__xludf.DUMMYFUNCTION("""COMPUTED_VALUE"""),"1753202641728")</f>
        <v>1753202641728</v>
      </c>
    </row>
    <row r="1181" spans="1:11" ht="12.45">
      <c r="A1181" s="2" t="str">
        <f ca="1">IFERROR(__xludf.DUMMYFUNCTION("""COMPUTED_VALUE"""),"1753202713076")</f>
        <v>1753202713076</v>
      </c>
      <c r="B1181" s="2"/>
      <c r="C1181" s="2" t="str">
        <v>0</v>
      </c>
      <c r="D1181" s="2"/>
      <c r="E1181" s="2"/>
      <c r="F1181" s="2" t="str">
        <v>0</v>
      </c>
      <c r="G1181" s="2"/>
      <c r="I1181" s="2" t="str">
        <f ca="1">IFERROR(__xludf.DUMMYFUNCTION("""COMPUTED_VALUE"""),"Lê Nguyễn Đức Danh")</f>
        <v>Lê Nguyễn Đức Danh</v>
      </c>
      <c r="J1181" s="3" t="str">
        <f ca="1">IFERROR(__xludf.DUMMYFUNCTION("""COMPUTED_VALUE"""),"0975015439")</f>
        <v>0975015439</v>
      </c>
      <c r="K1181" s="2" t="str">
        <f ca="1">IFERROR(__xludf.DUMMYFUNCTION("""COMPUTED_VALUE"""),"1753202713076")</f>
        <v>1753202713076</v>
      </c>
    </row>
    <row r="1182" spans="1:11" ht="12.45">
      <c r="A1182" s="2" t="str">
        <f ca="1">IFERROR(__xludf.DUMMYFUNCTION("""COMPUTED_VALUE"""),"1753202775161")</f>
        <v>1753202775161</v>
      </c>
      <c r="B1182" s="2"/>
      <c r="C1182" s="2" t="str">
        <v>0</v>
      </c>
      <c r="D1182" s="2"/>
      <c r="E1182" s="2"/>
      <c r="F1182" s="2" t="str">
        <v>0</v>
      </c>
      <c r="G1182" s="2"/>
      <c r="I1182" s="2" t="str">
        <f ca="1">IFERROR(__xludf.DUMMYFUNCTION("""COMPUTED_VALUE"""),"Hoàng Thị Bảo Quyên")</f>
        <v>Hoàng Thị Bảo Quyên</v>
      </c>
      <c r="J1182" s="3" t="str">
        <f ca="1">IFERROR(__xludf.DUMMYFUNCTION("""COMPUTED_VALUE"""),"0383401092")</f>
        <v>0383401092</v>
      </c>
      <c r="K1182" s="2" t="str">
        <f ca="1">IFERROR(__xludf.DUMMYFUNCTION("""COMPUTED_VALUE"""),"1753202775161")</f>
        <v>1753202775161</v>
      </c>
    </row>
    <row r="1183" spans="1:11" ht="12.45">
      <c r="A1183" s="2" t="str">
        <f ca="1">IFERROR(__xludf.DUMMYFUNCTION("""COMPUTED_VALUE"""),"1753202835391")</f>
        <v>1753202835391</v>
      </c>
      <c r="B1183" s="2"/>
      <c r="C1183" s="2" t="str">
        <v>0</v>
      </c>
      <c r="D1183" s="2"/>
      <c r="E1183" s="2"/>
      <c r="F1183" s="2" t="str">
        <v>0</v>
      </c>
      <c r="G1183" s="2"/>
      <c r="I1183" s="2" t="str">
        <f ca="1">IFERROR(__xludf.DUMMYFUNCTION("""COMPUTED_VALUE"""),"Hoàng Thị Phương Thuỳ")</f>
        <v>Hoàng Thị Phương Thuỳ</v>
      </c>
      <c r="J1183" s="3" t="str">
        <f ca="1">IFERROR(__xludf.DUMMYFUNCTION("""COMPUTED_VALUE"""),"0962556983")</f>
        <v>0962556983</v>
      </c>
      <c r="K1183" s="2" t="str">
        <f ca="1">IFERROR(__xludf.DUMMYFUNCTION("""COMPUTED_VALUE"""),"1753202835391")</f>
        <v>1753202835391</v>
      </c>
    </row>
    <row r="1184" spans="1:11" ht="12.45">
      <c r="A1184" s="2" t="str">
        <f ca="1">IFERROR(__xludf.DUMMYFUNCTION("""COMPUTED_VALUE"""),"1753202933882")</f>
        <v>1753202933882</v>
      </c>
      <c r="B1184" s="2"/>
      <c r="C1184" s="2" t="str">
        <v>0</v>
      </c>
      <c r="D1184" s="2"/>
      <c r="E1184" s="2"/>
      <c r="F1184" s="2" t="str">
        <v>0</v>
      </c>
      <c r="G1184" s="2"/>
      <c r="I1184" s="2" t="str">
        <f ca="1">IFERROR(__xludf.DUMMYFUNCTION("""COMPUTED_VALUE"""),"Nguyễn Thị Trúc Nhi ")</f>
        <v xml:space="preserve">Nguyễn Thị Trúc Nhi </v>
      </c>
      <c r="J1184" s="3" t="str">
        <f ca="1">IFERROR(__xludf.DUMMYFUNCTION("""COMPUTED_VALUE"""),"0355585138")</f>
        <v>0355585138</v>
      </c>
      <c r="K1184" s="2" t="str">
        <f ca="1">IFERROR(__xludf.DUMMYFUNCTION("""COMPUTED_VALUE"""),"1753202933882")</f>
        <v>1753202933882</v>
      </c>
    </row>
    <row r="1185" spans="1:11" ht="12.45">
      <c r="A1185" s="2" t="str">
        <f ca="1">IFERROR(__xludf.DUMMYFUNCTION("""COMPUTED_VALUE"""),"1753203003559")</f>
        <v>1753203003559</v>
      </c>
      <c r="B1185" s="2"/>
      <c r="C1185" s="2" t="str">
        <v>0</v>
      </c>
      <c r="D1185" s="2"/>
      <c r="E1185" s="2"/>
      <c r="F1185" s="2" t="str">
        <v>0</v>
      </c>
      <c r="G1185" s="2"/>
      <c r="I1185" s="2" t="str">
        <f ca="1">IFERROR(__xludf.DUMMYFUNCTION("""COMPUTED_VALUE"""),"Nguyễn Phương Trang")</f>
        <v>Nguyễn Phương Trang</v>
      </c>
      <c r="J1185" s="3" t="str">
        <f ca="1">IFERROR(__xludf.DUMMYFUNCTION("""COMPUTED_VALUE"""),"0337930772")</f>
        <v>0337930772</v>
      </c>
      <c r="K1185" s="2" t="str">
        <f ca="1">IFERROR(__xludf.DUMMYFUNCTION("""COMPUTED_VALUE"""),"1753203003559")</f>
        <v>1753203003559</v>
      </c>
    </row>
    <row r="1186" spans="1:11" ht="12.45">
      <c r="A1186" s="2" t="str">
        <f ca="1">IFERROR(__xludf.DUMMYFUNCTION("""COMPUTED_VALUE"""),"1753203088787")</f>
        <v>1753203088787</v>
      </c>
      <c r="B1186" s="2"/>
      <c r="C1186" s="2" t="str">
        <v>0</v>
      </c>
      <c r="D1186" s="2"/>
      <c r="E1186" s="2"/>
      <c r="F1186" s="2" t="str">
        <v>0</v>
      </c>
      <c r="G1186" s="2"/>
      <c r="I1186" s="2" t="str">
        <f ca="1">IFERROR(__xludf.DUMMYFUNCTION("""COMPUTED_VALUE"""),"Nguyễn Ánh Nga")</f>
        <v>Nguyễn Ánh Nga</v>
      </c>
      <c r="J1186" s="3" t="str">
        <f ca="1">IFERROR(__xludf.DUMMYFUNCTION("""COMPUTED_VALUE"""),"0388118733")</f>
        <v>0388118733</v>
      </c>
      <c r="K1186" s="2" t="str">
        <f ca="1">IFERROR(__xludf.DUMMYFUNCTION("""COMPUTED_VALUE"""),"1753203088787")</f>
        <v>1753203088787</v>
      </c>
    </row>
    <row r="1187" spans="1:11" ht="12.45">
      <c r="A1187" s="2" t="str">
        <f ca="1">IFERROR(__xludf.DUMMYFUNCTION("""COMPUTED_VALUE"""),"1753203176857")</f>
        <v>1753203176857</v>
      </c>
      <c r="B1187" s="2"/>
      <c r="C1187" s="2" t="str">
        <v>0</v>
      </c>
      <c r="D1187" s="2"/>
      <c r="E1187" s="2"/>
      <c r="F1187" s="2" t="str">
        <v>0</v>
      </c>
      <c r="G1187" s="2"/>
      <c r="I1187" s="2" t="str">
        <f ca="1">IFERROR(__xludf.DUMMYFUNCTION("""COMPUTED_VALUE"""),"Lê Hồng Trúc My")</f>
        <v>Lê Hồng Trúc My</v>
      </c>
      <c r="J1187" s="3" t="str">
        <f ca="1">IFERROR(__xludf.DUMMYFUNCTION("""COMPUTED_VALUE"""),"0788637615")</f>
        <v>0788637615</v>
      </c>
      <c r="K1187" s="2" t="str">
        <f ca="1">IFERROR(__xludf.DUMMYFUNCTION("""COMPUTED_VALUE"""),"1753203176857")</f>
        <v>1753203176857</v>
      </c>
    </row>
    <row r="1188" spans="1:11" ht="12.45">
      <c r="A1188" s="2" t="str">
        <f ca="1">IFERROR(__xludf.DUMMYFUNCTION("""COMPUTED_VALUE"""),"1753203252187")</f>
        <v>1753203252187</v>
      </c>
      <c r="B1188" s="2"/>
      <c r="C1188" s="2" t="str">
        <v>0</v>
      </c>
      <c r="D1188" s="2"/>
      <c r="E1188" s="2"/>
      <c r="F1188" s="2" t="str">
        <v>0</v>
      </c>
      <c r="G1188" s="2"/>
      <c r="I1188" s="2" t="str">
        <f ca="1">IFERROR(__xludf.DUMMYFUNCTION("""COMPUTED_VALUE"""),"Nguyễn Hương Giang ")</f>
        <v xml:space="preserve">Nguyễn Hương Giang </v>
      </c>
      <c r="J1188" s="3" t="str">
        <f ca="1">IFERROR(__xludf.DUMMYFUNCTION("""COMPUTED_VALUE"""),"0889013219")</f>
        <v>0889013219</v>
      </c>
      <c r="K1188" s="2" t="str">
        <f ca="1">IFERROR(__xludf.DUMMYFUNCTION("""COMPUTED_VALUE"""),"1753203252187")</f>
        <v>1753203252187</v>
      </c>
    </row>
    <row r="1189" spans="1:11" ht="12.45">
      <c r="A1189" s="2" t="str">
        <f ca="1">IFERROR(__xludf.DUMMYFUNCTION("""COMPUTED_VALUE"""),"1753203306361")</f>
        <v>1753203306361</v>
      </c>
      <c r="B1189" s="2"/>
      <c r="C1189" s="2" t="str">
        <v>0</v>
      </c>
      <c r="D1189" s="2"/>
      <c r="E1189" s="2"/>
      <c r="F1189" s="2" t="str">
        <v>0</v>
      </c>
      <c r="G1189" s="2"/>
      <c r="I1189" s="2" t="str">
        <f ca="1">IFERROR(__xludf.DUMMYFUNCTION("""COMPUTED_VALUE"""),"Lê Văn Hiến")</f>
        <v>Lê Văn Hiến</v>
      </c>
      <c r="J1189" s="3" t="str">
        <f ca="1">IFERROR(__xludf.DUMMYFUNCTION("""COMPUTED_VALUE"""),"0865225251")</f>
        <v>0865225251</v>
      </c>
      <c r="K1189" s="2" t="str">
        <f ca="1">IFERROR(__xludf.DUMMYFUNCTION("""COMPUTED_VALUE"""),"1753203306361")</f>
        <v>1753203306361</v>
      </c>
    </row>
    <row r="1190" spans="1:11" ht="12.45">
      <c r="A1190" s="2" t="str">
        <f ca="1">IFERROR(__xludf.DUMMYFUNCTION("""COMPUTED_VALUE"""),"1753203341443")</f>
        <v>1753203341443</v>
      </c>
      <c r="B1190" s="2"/>
      <c r="C1190" s="2" t="str">
        <v>0</v>
      </c>
      <c r="D1190" s="2"/>
      <c r="E1190" s="2"/>
      <c r="F1190" s="2" t="str">
        <v>0</v>
      </c>
      <c r="G1190" s="2"/>
      <c r="I1190" s="2" t="str">
        <f ca="1">IFERROR(__xludf.DUMMYFUNCTION("""COMPUTED_VALUE"""),"Bùi Lê Ngọc Anh")</f>
        <v>Bùi Lê Ngọc Anh</v>
      </c>
      <c r="J1190" s="3" t="str">
        <f ca="1">IFERROR(__xludf.DUMMYFUNCTION("""COMPUTED_VALUE"""),"0868591589")</f>
        <v>0868591589</v>
      </c>
      <c r="K1190" s="2" t="str">
        <f ca="1">IFERROR(__xludf.DUMMYFUNCTION("""COMPUTED_VALUE"""),"1753203341443")</f>
        <v>1753203341443</v>
      </c>
    </row>
    <row r="1191" spans="1:11" ht="12.45">
      <c r="A1191" s="2" t="str">
        <f ca="1">IFERROR(__xludf.DUMMYFUNCTION("""COMPUTED_VALUE"""),"1753203372764")</f>
        <v>1753203372764</v>
      </c>
      <c r="B1191" s="2"/>
      <c r="C1191" s="2" t="str">
        <v>0</v>
      </c>
      <c r="D1191" s="2"/>
      <c r="E1191" s="2"/>
      <c r="F1191" s="2" t="str">
        <v>0</v>
      </c>
      <c r="G1191" s="2"/>
      <c r="I1191" s="2" t="str">
        <f ca="1">IFERROR(__xludf.DUMMYFUNCTION("""COMPUTED_VALUE"""),"Nguyễn Thu Trang")</f>
        <v>Nguyễn Thu Trang</v>
      </c>
      <c r="J1191" s="3" t="str">
        <f ca="1">IFERROR(__xludf.DUMMYFUNCTION("""COMPUTED_VALUE"""),"0348832671")</f>
        <v>0348832671</v>
      </c>
      <c r="K1191" s="2" t="str">
        <f ca="1">IFERROR(__xludf.DUMMYFUNCTION("""COMPUTED_VALUE"""),"1753203372764")</f>
        <v>1753203372764</v>
      </c>
    </row>
    <row r="1192" spans="1:11" ht="12.45">
      <c r="A1192" s="2" t="str">
        <f ca="1">IFERROR(__xludf.DUMMYFUNCTION("""COMPUTED_VALUE"""),"1753203419150")</f>
        <v>1753203419150</v>
      </c>
      <c r="B1192" s="2"/>
      <c r="C1192" s="2" t="str">
        <v>0</v>
      </c>
      <c r="D1192" s="2"/>
      <c r="E1192" s="2"/>
      <c r="F1192" s="2" t="str">
        <v>0</v>
      </c>
      <c r="G1192" s="2"/>
      <c r="I1192" s="2" t="str">
        <f ca="1">IFERROR(__xludf.DUMMYFUNCTION("""COMPUTED_VALUE"""),"ĐINH THỊ THẢO NGUYÊN")</f>
        <v>ĐINH THỊ THẢO NGUYÊN</v>
      </c>
      <c r="J1192" s="3" t="str">
        <f ca="1">IFERROR(__xludf.DUMMYFUNCTION("""COMPUTED_VALUE"""),"0812280919")</f>
        <v>0812280919</v>
      </c>
      <c r="K1192" s="2" t="str">
        <f ca="1">IFERROR(__xludf.DUMMYFUNCTION("""COMPUTED_VALUE"""),"1753203419150")</f>
        <v>1753203419150</v>
      </c>
    </row>
    <row r="1193" spans="1:11" ht="12.45">
      <c r="A1193" s="2" t="str">
        <f ca="1">IFERROR(__xludf.DUMMYFUNCTION("""COMPUTED_VALUE"""),"1753203471300")</f>
        <v>1753203471300</v>
      </c>
      <c r="B1193" s="2"/>
      <c r="C1193" s="2" t="str">
        <v>0</v>
      </c>
      <c r="D1193" s="2"/>
      <c r="E1193" s="2"/>
      <c r="F1193" s="2" t="str">
        <v>0</v>
      </c>
      <c r="G1193" s="2"/>
      <c r="I1193" s="2" t="str">
        <f ca="1">IFERROR(__xludf.DUMMYFUNCTION("""COMPUTED_VALUE"""),"Chiến Nguyễn Trọng")</f>
        <v>Chiến Nguyễn Trọng</v>
      </c>
      <c r="J1193" s="3" t="str">
        <f ca="1">IFERROR(__xludf.DUMMYFUNCTION("""COMPUTED_VALUE"""),"0372257980")</f>
        <v>0372257980</v>
      </c>
      <c r="K1193" s="2" t="str">
        <f ca="1">IFERROR(__xludf.DUMMYFUNCTION("""COMPUTED_VALUE"""),"1753203471300")</f>
        <v>1753203471300</v>
      </c>
    </row>
    <row r="1194" spans="1:11" ht="12.45">
      <c r="A1194" s="2" t="str">
        <f ca="1">IFERROR(__xludf.DUMMYFUNCTION("""COMPUTED_VALUE"""),"1753203509641")</f>
        <v>1753203509641</v>
      </c>
      <c r="B1194" s="2"/>
      <c r="C1194" s="2" t="str">
        <v>0</v>
      </c>
      <c r="D1194" s="2"/>
      <c r="E1194" s="2"/>
      <c r="F1194" s="2" t="str">
        <v>0</v>
      </c>
      <c r="G1194" s="2"/>
      <c r="I1194" s="2" t="str">
        <f ca="1">IFERROR(__xludf.DUMMYFUNCTION("""COMPUTED_VALUE"""),"Nguyễn Ngọc Nhã Trúc")</f>
        <v>Nguyễn Ngọc Nhã Trúc</v>
      </c>
      <c r="J1194" s="3" t="str">
        <f ca="1">IFERROR(__xludf.DUMMYFUNCTION("""COMPUTED_VALUE"""),"0338251833")</f>
        <v>0338251833</v>
      </c>
      <c r="K1194" s="2" t="str">
        <f ca="1">IFERROR(__xludf.DUMMYFUNCTION("""COMPUTED_VALUE"""),"1753203509641")</f>
        <v>1753203509641</v>
      </c>
    </row>
    <row r="1195" spans="1:11" ht="12.45">
      <c r="A1195" s="2" t="str">
        <f ca="1">IFERROR(__xludf.DUMMYFUNCTION("""COMPUTED_VALUE"""),"1753203544893")</f>
        <v>1753203544893</v>
      </c>
      <c r="B1195" s="2"/>
      <c r="C1195" s="2" t="str">
        <v>0</v>
      </c>
      <c r="D1195" s="2"/>
      <c r="E1195" s="2"/>
      <c r="F1195" s="2" t="str">
        <v>0</v>
      </c>
      <c r="G1195" s="2"/>
      <c r="I1195" s="2" t="str">
        <f ca="1">IFERROR(__xludf.DUMMYFUNCTION("""COMPUTED_VALUE"""),"Dương Hương Mai")</f>
        <v>Dương Hương Mai</v>
      </c>
      <c r="J1195" s="3" t="str">
        <f ca="1">IFERROR(__xludf.DUMMYFUNCTION("""COMPUTED_VALUE"""),"0982092907")</f>
        <v>0982092907</v>
      </c>
      <c r="K1195" s="2" t="str">
        <f ca="1">IFERROR(__xludf.DUMMYFUNCTION("""COMPUTED_VALUE"""),"1753203544893")</f>
        <v>1753203544893</v>
      </c>
    </row>
    <row r="1196" spans="1:11" ht="12.45">
      <c r="A1196" s="2" t="str">
        <f ca="1">IFERROR(__xludf.DUMMYFUNCTION("""COMPUTED_VALUE"""),"1753203587577")</f>
        <v>1753203587577</v>
      </c>
      <c r="B1196" s="2"/>
      <c r="C1196" s="2" t="str">
        <v>0</v>
      </c>
      <c r="D1196" s="2"/>
      <c r="E1196" s="2"/>
      <c r="F1196" s="2" t="str">
        <v>0</v>
      </c>
      <c r="G1196" s="2"/>
      <c r="I1196" s="2" t="str">
        <f ca="1">IFERROR(__xludf.DUMMYFUNCTION("""COMPUTED_VALUE"""),"Hoàng Đình Duy")</f>
        <v>Hoàng Đình Duy</v>
      </c>
      <c r="J1196" s="3" t="str">
        <f ca="1">IFERROR(__xludf.DUMMYFUNCTION("""COMPUTED_VALUE"""),"0848015246")</f>
        <v>0848015246</v>
      </c>
      <c r="K1196" s="2" t="str">
        <f ca="1">IFERROR(__xludf.DUMMYFUNCTION("""COMPUTED_VALUE"""),"1753203587577")</f>
        <v>1753203587577</v>
      </c>
    </row>
    <row r="1197" spans="1:11" ht="12.45">
      <c r="A1197" s="2" t="str">
        <f ca="1">IFERROR(__xludf.DUMMYFUNCTION("""COMPUTED_VALUE"""),"1753203638143")</f>
        <v>1753203638143</v>
      </c>
      <c r="B1197" s="2"/>
      <c r="C1197" s="2" t="str">
        <v>0</v>
      </c>
      <c r="D1197" s="2"/>
      <c r="E1197" s="2"/>
      <c r="F1197" s="2" t="str">
        <v>0</v>
      </c>
      <c r="G1197" s="2"/>
      <c r="I1197" s="2" t="str">
        <f ca="1">IFERROR(__xludf.DUMMYFUNCTION("""COMPUTED_VALUE"""),"Quyền Tú Anh")</f>
        <v>Quyền Tú Anh</v>
      </c>
      <c r="J1197" s="3" t="str">
        <f ca="1">IFERROR(__xludf.DUMMYFUNCTION("""COMPUTED_VALUE"""),"0367991206")</f>
        <v>0367991206</v>
      </c>
      <c r="K1197" s="2" t="str">
        <f ca="1">IFERROR(__xludf.DUMMYFUNCTION("""COMPUTED_VALUE"""),"1753203638143")</f>
        <v>1753203638143</v>
      </c>
    </row>
    <row r="1198" spans="1:11" ht="12.45">
      <c r="A1198" s="2" t="str">
        <f ca="1">IFERROR(__xludf.DUMMYFUNCTION("""COMPUTED_VALUE"""),"1753203686960")</f>
        <v>1753203686960</v>
      </c>
      <c r="B1198" s="2"/>
      <c r="C1198" s="2" t="str">
        <v>0</v>
      </c>
      <c r="D1198" s="2"/>
      <c r="E1198" s="2"/>
      <c r="F1198" s="2" t="str">
        <v>0</v>
      </c>
      <c r="G1198" s="2"/>
      <c r="I1198" s="2" t="str">
        <f ca="1">IFERROR(__xludf.DUMMYFUNCTION("""COMPUTED_VALUE"""),"Mai Vũ Văn Hiệp")</f>
        <v>Mai Vũ Văn Hiệp</v>
      </c>
      <c r="J1198" s="3" t="str">
        <f ca="1">IFERROR(__xludf.DUMMYFUNCTION("""COMPUTED_VALUE"""),"0966751040")</f>
        <v>0966751040</v>
      </c>
      <c r="K1198" s="2" t="str">
        <f ca="1">IFERROR(__xludf.DUMMYFUNCTION("""COMPUTED_VALUE"""),"1753203686960")</f>
        <v>1753203686960</v>
      </c>
    </row>
    <row r="1199" spans="1:11" ht="12.45">
      <c r="A1199" s="2" t="str">
        <f ca="1">IFERROR(__xludf.DUMMYFUNCTION("""COMPUTED_VALUE"""),"1753203741790")</f>
        <v>1753203741790</v>
      </c>
      <c r="B1199" s="2"/>
      <c r="C1199" s="2" t="str">
        <v>0</v>
      </c>
      <c r="D1199" s="2"/>
      <c r="E1199" s="2"/>
      <c r="F1199" s="2" t="str">
        <v>0</v>
      </c>
      <c r="G1199" s="2"/>
      <c r="I1199" s="2" t="str">
        <f ca="1">IFERROR(__xludf.DUMMYFUNCTION("""COMPUTED_VALUE"""),"Nguyễn Nữ Như Quỳnh")</f>
        <v>Nguyễn Nữ Như Quỳnh</v>
      </c>
      <c r="J1199" s="3" t="str">
        <f ca="1">IFERROR(__xludf.DUMMYFUNCTION("""COMPUTED_VALUE"""),"0862859237")</f>
        <v>0862859237</v>
      </c>
      <c r="K1199" s="2" t="str">
        <f ca="1">IFERROR(__xludf.DUMMYFUNCTION("""COMPUTED_VALUE"""),"1753203741790")</f>
        <v>1753203741790</v>
      </c>
    </row>
    <row r="1200" spans="1:11" ht="12.45">
      <c r="A1200" s="2" t="str">
        <f ca="1">IFERROR(__xludf.DUMMYFUNCTION("""COMPUTED_VALUE"""),"1753203797683")</f>
        <v>1753203797683</v>
      </c>
      <c r="B1200" s="2"/>
      <c r="C1200" s="2" t="str">
        <v>0</v>
      </c>
      <c r="D1200" s="2"/>
      <c r="E1200" s="2"/>
      <c r="F1200" s="2" t="str">
        <v>0</v>
      </c>
      <c r="G1200" s="2"/>
      <c r="I1200" s="2" t="str">
        <f ca="1">IFERROR(__xludf.DUMMYFUNCTION("""COMPUTED_VALUE"""),"Nguyễn Thị Khánh Như")</f>
        <v>Nguyễn Thị Khánh Như</v>
      </c>
      <c r="J1200" s="3" t="str">
        <f ca="1">IFERROR(__xludf.DUMMYFUNCTION("""COMPUTED_VALUE"""),"0823731819")</f>
        <v>0823731819</v>
      </c>
      <c r="K1200" s="2" t="str">
        <f ca="1">IFERROR(__xludf.DUMMYFUNCTION("""COMPUTED_VALUE"""),"1753203797683")</f>
        <v>1753203797683</v>
      </c>
    </row>
    <row r="1201" spans="1:11" ht="12.45">
      <c r="A1201" s="2" t="str">
        <f ca="1">IFERROR(__xludf.DUMMYFUNCTION("""COMPUTED_VALUE"""),"1753203846613")</f>
        <v>1753203846613</v>
      </c>
      <c r="B1201" s="2"/>
      <c r="C1201" s="2" t="str">
        <v>0</v>
      </c>
      <c r="D1201" s="2"/>
      <c r="E1201" s="2"/>
      <c r="F1201" s="2" t="str">
        <v>0</v>
      </c>
      <c r="G1201" s="2"/>
      <c r="I1201" s="2" t="str">
        <f ca="1">IFERROR(__xludf.DUMMYFUNCTION("""COMPUTED_VALUE"""),"Lê Thị Mỹ Uyên ")</f>
        <v xml:space="preserve">Lê Thị Mỹ Uyên </v>
      </c>
      <c r="J1201" s="3" t="str">
        <f ca="1">IFERROR(__xludf.DUMMYFUNCTION("""COMPUTED_VALUE"""),"0912154941")</f>
        <v>0912154941</v>
      </c>
      <c r="K1201" s="2" t="str">
        <f ca="1">IFERROR(__xludf.DUMMYFUNCTION("""COMPUTED_VALUE"""),"1753203846613")</f>
        <v>1753203846613</v>
      </c>
    </row>
    <row r="1202" spans="1:11" ht="12.45">
      <c r="A1202" s="2" t="str">
        <f ca="1">IFERROR(__xludf.DUMMYFUNCTION("""COMPUTED_VALUE"""),"1753203897127")</f>
        <v>1753203897127</v>
      </c>
      <c r="B1202" s="2"/>
      <c r="C1202" s="2" t="str">
        <v>0</v>
      </c>
      <c r="D1202" s="2"/>
      <c r="E1202" s="2"/>
      <c r="F1202" s="2" t="str">
        <v>0</v>
      </c>
      <c r="G1202" s="2"/>
      <c r="I1202" s="2" t="str">
        <f ca="1">IFERROR(__xludf.DUMMYFUNCTION("""COMPUTED_VALUE"""),"Nguyễn Lê Phương Thảo")</f>
        <v>Nguyễn Lê Phương Thảo</v>
      </c>
      <c r="J1202" s="3" t="str">
        <f ca="1">IFERROR(__xludf.DUMMYFUNCTION("""COMPUTED_VALUE"""),"0564846481")</f>
        <v>0564846481</v>
      </c>
      <c r="K1202" s="2" t="str">
        <f ca="1">IFERROR(__xludf.DUMMYFUNCTION("""COMPUTED_VALUE"""),"1753203897127")</f>
        <v>1753203897127</v>
      </c>
    </row>
    <row r="1203" spans="1:11" ht="12.45">
      <c r="A1203" s="2" t="str">
        <f ca="1">IFERROR(__xludf.DUMMYFUNCTION("""COMPUTED_VALUE"""),"1753203953998")</f>
        <v>1753203953998</v>
      </c>
      <c r="B1203" s="2"/>
      <c r="C1203" s="2" t="str">
        <v>0</v>
      </c>
      <c r="D1203" s="2"/>
      <c r="E1203" s="2"/>
      <c r="F1203" s="2" t="str">
        <v>0</v>
      </c>
      <c r="G1203" s="2"/>
      <c r="I1203" s="2" t="str">
        <f ca="1">IFERROR(__xludf.DUMMYFUNCTION("""COMPUTED_VALUE"""),"Đào Thuỷ Tiên")</f>
        <v>Đào Thuỷ Tiên</v>
      </c>
      <c r="J1203" s="3" t="str">
        <f ca="1">IFERROR(__xludf.DUMMYFUNCTION("""COMPUTED_VALUE"""),"0327607530")</f>
        <v>0327607530</v>
      </c>
      <c r="K1203" s="2" t="str">
        <f ca="1">IFERROR(__xludf.DUMMYFUNCTION("""COMPUTED_VALUE"""),"1753203953998")</f>
        <v>1753203953998</v>
      </c>
    </row>
    <row r="1204" spans="1:11" ht="12.45">
      <c r="A1204" s="2" t="str">
        <f ca="1">IFERROR(__xludf.DUMMYFUNCTION("""COMPUTED_VALUE"""),"1753204012614")</f>
        <v>1753204012614</v>
      </c>
      <c r="B1204" s="2"/>
      <c r="C1204" s="2" t="str">
        <v>0</v>
      </c>
      <c r="D1204" s="2"/>
      <c r="E1204" s="2"/>
      <c r="F1204" s="2" t="str">
        <v>0</v>
      </c>
      <c r="G1204" s="2"/>
      <c r="I1204" s="2" t="str">
        <f ca="1">IFERROR(__xludf.DUMMYFUNCTION("""COMPUTED_VALUE"""),"Đồng Thị Thu Phương")</f>
        <v>Đồng Thị Thu Phương</v>
      </c>
      <c r="J1204" s="3" t="str">
        <f ca="1">IFERROR(__xludf.DUMMYFUNCTION("""COMPUTED_VALUE"""),"0965202829")</f>
        <v>0965202829</v>
      </c>
      <c r="K1204" s="2" t="str">
        <f ca="1">IFERROR(__xludf.DUMMYFUNCTION("""COMPUTED_VALUE"""),"1753204012614")</f>
        <v>1753204012614</v>
      </c>
    </row>
    <row r="1205" spans="1:11" ht="12.45">
      <c r="A1205" s="2"/>
      <c r="B1205" s="2"/>
      <c r="C1205" s="2" t="str">
        <v>0</v>
      </c>
      <c r="D1205" s="2"/>
      <c r="E1205" s="2"/>
      <c r="F1205" s="2" t="str">
        <v>0</v>
      </c>
      <c r="G1205" s="2"/>
      <c r="I1205" s="2" t="str">
        <f ca="1">IFERROR(__xludf.DUMMYFUNCTION("""COMPUTED_VALUE"""),"Trần Thảo Trang")</f>
        <v>Trần Thảo Trang</v>
      </c>
      <c r="J1205" s="3" t="str">
        <f ca="1">IFERROR(__xludf.DUMMYFUNCTION("""COMPUTED_VALUE"""),"0948554285")</f>
        <v>0948554285</v>
      </c>
      <c r="K1205" s="2"/>
    </row>
    <row r="1206" spans="1:11" ht="12.45">
      <c r="A1206" s="2" t="str">
        <f ca="1">IFERROR(__xludf.DUMMYFUNCTION("""COMPUTED_VALUE"""),"1753204069791")</f>
        <v>1753204069791</v>
      </c>
      <c r="B1206" s="2"/>
      <c r="C1206" s="2" t="str">
        <v>0</v>
      </c>
      <c r="D1206" s="2"/>
      <c r="E1206" s="2"/>
      <c r="F1206" s="2" t="str">
        <v>0</v>
      </c>
      <c r="G1206" s="2"/>
      <c r="I1206" s="2" t="str">
        <f ca="1">IFERROR(__xludf.DUMMYFUNCTION("""COMPUTED_VALUE"""),"Đường Thị Ngọc Ánh ")</f>
        <v xml:space="preserve">Đường Thị Ngọc Ánh </v>
      </c>
      <c r="J1206" s="3" t="str">
        <f ca="1">IFERROR(__xludf.DUMMYFUNCTION("""COMPUTED_VALUE"""),"0352244901")</f>
        <v>0352244901</v>
      </c>
      <c r="K1206" s="2" t="str">
        <f ca="1">IFERROR(__xludf.DUMMYFUNCTION("""COMPUTED_VALUE"""),"1753204069791")</f>
        <v>1753204069791</v>
      </c>
    </row>
    <row r="1207" spans="1:11" ht="12.45">
      <c r="A1207" s="2" t="str">
        <f ca="1">IFERROR(__xludf.DUMMYFUNCTION("""COMPUTED_VALUE"""),"1753204145417")</f>
        <v>1753204145417</v>
      </c>
      <c r="B1207" s="2"/>
      <c r="C1207" s="2" t="str">
        <v>0</v>
      </c>
      <c r="D1207" s="2"/>
      <c r="E1207" s="2"/>
      <c r="F1207" s="2" t="str">
        <v>0</v>
      </c>
      <c r="G1207" s="2"/>
      <c r="I1207" s="2" t="str">
        <f ca="1">IFERROR(__xludf.DUMMYFUNCTION("""COMPUTED_VALUE"""),"Lê Chí Hiểu")</f>
        <v>Lê Chí Hiểu</v>
      </c>
      <c r="J1207" s="3" t="str">
        <f ca="1">IFERROR(__xludf.DUMMYFUNCTION("""COMPUTED_VALUE"""),"0348701980")</f>
        <v>0348701980</v>
      </c>
      <c r="K1207" s="2" t="str">
        <f ca="1">IFERROR(__xludf.DUMMYFUNCTION("""COMPUTED_VALUE"""),"1753204145417")</f>
        <v>1753204145417</v>
      </c>
    </row>
    <row r="1208" spans="1:11" ht="12.45">
      <c r="A1208" s="2" t="str">
        <f ca="1">IFERROR(__xludf.DUMMYFUNCTION("""COMPUTED_VALUE"""),"1753204231012")</f>
        <v>1753204231012</v>
      </c>
      <c r="B1208" s="2"/>
      <c r="C1208" s="2" t="str">
        <v>0</v>
      </c>
      <c r="D1208" s="2"/>
      <c r="E1208" s="2"/>
      <c r="F1208" s="2" t="str">
        <v>0</v>
      </c>
      <c r="G1208" s="2"/>
      <c r="I1208" s="2" t="str">
        <f ca="1">IFERROR(__xludf.DUMMYFUNCTION("""COMPUTED_VALUE"""),"Nguyễn Thị Thu Linh")</f>
        <v>Nguyễn Thị Thu Linh</v>
      </c>
      <c r="J1208" s="3" t="str">
        <f ca="1">IFERROR(__xludf.DUMMYFUNCTION("""COMPUTED_VALUE"""),"0325512928")</f>
        <v>0325512928</v>
      </c>
      <c r="K1208" s="2" t="str">
        <f ca="1">IFERROR(__xludf.DUMMYFUNCTION("""COMPUTED_VALUE"""),"1753204231012")</f>
        <v>1753204231012</v>
      </c>
    </row>
    <row r="1209" spans="1:11" ht="12.45">
      <c r="A1209" s="2" t="str">
        <f ca="1">IFERROR(__xludf.DUMMYFUNCTION("""COMPUTED_VALUE"""),"1753204302825")</f>
        <v>1753204302825</v>
      </c>
      <c r="B1209" s="2"/>
      <c r="C1209" s="2" t="str">
        <v>0</v>
      </c>
      <c r="D1209" s="2"/>
      <c r="E1209" s="2"/>
      <c r="F1209" s="2" t="str">
        <v>0</v>
      </c>
      <c r="G1209" s="2"/>
      <c r="I1209" s="2" t="str">
        <f ca="1">IFERROR(__xludf.DUMMYFUNCTION("""COMPUTED_VALUE"""),"Nguyễn Thị Kim Oanh")</f>
        <v>Nguyễn Thị Kim Oanh</v>
      </c>
      <c r="J1209" s="3" t="str">
        <f ca="1">IFERROR(__xludf.DUMMYFUNCTION("""COMPUTED_VALUE"""),"0374608878")</f>
        <v>0374608878</v>
      </c>
      <c r="K1209" s="2" t="str">
        <f ca="1">IFERROR(__xludf.DUMMYFUNCTION("""COMPUTED_VALUE"""),"1753204302825")</f>
        <v>1753204302825</v>
      </c>
    </row>
    <row r="1210" spans="1:11" ht="12.45">
      <c r="A1210" s="2" t="str">
        <f ca="1">IFERROR(__xludf.DUMMYFUNCTION("""COMPUTED_VALUE"""),"1753204354745")</f>
        <v>1753204354745</v>
      </c>
      <c r="B1210" s="2"/>
      <c r="C1210" s="2" t="str">
        <v>0</v>
      </c>
      <c r="D1210" s="2"/>
      <c r="E1210" s="2"/>
      <c r="F1210" s="2" t="str">
        <v>0</v>
      </c>
      <c r="G1210" s="2"/>
      <c r="I1210" s="2" t="str">
        <f ca="1">IFERROR(__xludf.DUMMYFUNCTION("""COMPUTED_VALUE"""),"Lê Thị Sáng")</f>
        <v>Lê Thị Sáng</v>
      </c>
      <c r="J1210" s="3" t="str">
        <f ca="1">IFERROR(__xludf.DUMMYFUNCTION("""COMPUTED_VALUE"""),"0365074877")</f>
        <v>0365074877</v>
      </c>
      <c r="K1210" s="2" t="str">
        <f ca="1">IFERROR(__xludf.DUMMYFUNCTION("""COMPUTED_VALUE"""),"1753204354745")</f>
        <v>1753204354745</v>
      </c>
    </row>
    <row r="1211" spans="1:11" ht="12.45">
      <c r="A1211" s="2" t="str">
        <f ca="1">IFERROR(__xludf.DUMMYFUNCTION("""COMPUTED_VALUE"""),"1753204404804")</f>
        <v>1753204404804</v>
      </c>
      <c r="B1211" s="2"/>
      <c r="C1211" s="2" t="str">
        <v>0</v>
      </c>
      <c r="D1211" s="2"/>
      <c r="E1211" s="2"/>
      <c r="F1211" s="2" t="str">
        <v>0</v>
      </c>
      <c r="G1211" s="2"/>
      <c r="I1211" s="2" t="str">
        <f ca="1">IFERROR(__xludf.DUMMYFUNCTION("""COMPUTED_VALUE"""),"Cao Huyền Trang")</f>
        <v>Cao Huyền Trang</v>
      </c>
      <c r="J1211" s="3" t="str">
        <f ca="1">IFERROR(__xludf.DUMMYFUNCTION("""COMPUTED_VALUE"""),"0372114659")</f>
        <v>0372114659</v>
      </c>
      <c r="K1211" s="2" t="str">
        <f ca="1">IFERROR(__xludf.DUMMYFUNCTION("""COMPUTED_VALUE"""),"1753204404804")</f>
        <v>1753204404804</v>
      </c>
    </row>
    <row r="1212" spans="1:11" ht="12.45">
      <c r="A1212" s="2" t="str">
        <f ca="1">IFERROR(__xludf.DUMMYFUNCTION("""COMPUTED_VALUE"""),"1753204464509")</f>
        <v>1753204464509</v>
      </c>
      <c r="B1212" s="2"/>
      <c r="C1212" s="2" t="str">
        <v>0</v>
      </c>
      <c r="D1212" s="2"/>
      <c r="E1212" s="2"/>
      <c r="F1212" s="2" t="str">
        <v>0</v>
      </c>
      <c r="G1212" s="2"/>
      <c r="I1212" s="2" t="str">
        <f ca="1">IFERROR(__xludf.DUMMYFUNCTION("""COMPUTED_VALUE"""),"Nguyễn Thị Kiều Nhung")</f>
        <v>Nguyễn Thị Kiều Nhung</v>
      </c>
      <c r="J1212" s="3" t="str">
        <f ca="1">IFERROR(__xludf.DUMMYFUNCTION("""COMPUTED_VALUE"""),"0358784376")</f>
        <v>0358784376</v>
      </c>
      <c r="K1212" s="2" t="str">
        <f ca="1">IFERROR(__xludf.DUMMYFUNCTION("""COMPUTED_VALUE"""),"1753204464509")</f>
        <v>1753204464509</v>
      </c>
    </row>
    <row r="1213" spans="1:11" ht="12.45">
      <c r="A1213" s="2" t="str">
        <f ca="1">IFERROR(__xludf.DUMMYFUNCTION("""COMPUTED_VALUE"""),"1753204524780")</f>
        <v>1753204524780</v>
      </c>
      <c r="B1213" s="2"/>
      <c r="C1213" s="2" t="str">
        <v>0</v>
      </c>
      <c r="D1213" s="2"/>
      <c r="E1213" s="2"/>
      <c r="F1213" s="2" t="str">
        <v>0</v>
      </c>
      <c r="G1213" s="2"/>
      <c r="I1213" s="2" t="str">
        <f ca="1">IFERROR(__xludf.DUMMYFUNCTION("""COMPUTED_VALUE"""),"Nguyễn Trần Hà Anh")</f>
        <v>Nguyễn Trần Hà Anh</v>
      </c>
      <c r="J1213" s="3" t="str">
        <f ca="1">IFERROR(__xludf.DUMMYFUNCTION("""COMPUTED_VALUE"""),"0375680307")</f>
        <v>0375680307</v>
      </c>
      <c r="K1213" s="2" t="str">
        <f ca="1">IFERROR(__xludf.DUMMYFUNCTION("""COMPUTED_VALUE"""),"1753204524780")</f>
        <v>1753204524780</v>
      </c>
    </row>
    <row r="1214" spans="1:11" ht="12.45">
      <c r="A1214" s="2" t="str">
        <f ca="1">IFERROR(__xludf.DUMMYFUNCTION("""COMPUTED_VALUE"""),"1753204576533")</f>
        <v>1753204576533</v>
      </c>
      <c r="B1214" s="2"/>
      <c r="C1214" s="2" t="str">
        <v>0</v>
      </c>
      <c r="D1214" s="2"/>
      <c r="E1214" s="2"/>
      <c r="F1214" s="2" t="str">
        <v>0</v>
      </c>
      <c r="G1214" s="2"/>
      <c r="I1214" s="2" t="str">
        <f ca="1">IFERROR(__xludf.DUMMYFUNCTION("""COMPUTED_VALUE"""),"Trần Anh Thư")</f>
        <v>Trần Anh Thư</v>
      </c>
      <c r="J1214" s="3" t="str">
        <f ca="1">IFERROR(__xludf.DUMMYFUNCTION("""COMPUTED_VALUE"""),"0359354518")</f>
        <v>0359354518</v>
      </c>
      <c r="K1214" s="2" t="str">
        <f ca="1">IFERROR(__xludf.DUMMYFUNCTION("""COMPUTED_VALUE"""),"1753204576533")</f>
        <v>1753204576533</v>
      </c>
    </row>
    <row r="1215" spans="1:11" ht="12.45">
      <c r="A1215" s="2" t="str">
        <f ca="1">IFERROR(__xludf.DUMMYFUNCTION("""COMPUTED_VALUE"""),"1753204630742")</f>
        <v>1753204630742</v>
      </c>
      <c r="B1215" s="2"/>
      <c r="C1215" s="2" t="str">
        <v>0</v>
      </c>
      <c r="D1215" s="2"/>
      <c r="E1215" s="2"/>
      <c r="F1215" s="2" t="str">
        <v>0</v>
      </c>
      <c r="G1215" s="2"/>
      <c r="I1215" s="2" t="str">
        <f ca="1">IFERROR(__xludf.DUMMYFUNCTION("""COMPUTED_VALUE"""),"Nguyễn Phương Linh")</f>
        <v>Nguyễn Phương Linh</v>
      </c>
      <c r="J1215" s="3" t="str">
        <f ca="1">IFERROR(__xludf.DUMMYFUNCTION("""COMPUTED_VALUE"""),"0973254974")</f>
        <v>0973254974</v>
      </c>
      <c r="K1215" s="2" t="str">
        <f ca="1">IFERROR(__xludf.DUMMYFUNCTION("""COMPUTED_VALUE"""),"1753204630742")</f>
        <v>1753204630742</v>
      </c>
    </row>
    <row r="1216" spans="1:11" ht="12.45">
      <c r="A1216" s="2" t="str">
        <f ca="1">IFERROR(__xludf.DUMMYFUNCTION("""COMPUTED_VALUE"""),"1753204699938")</f>
        <v>1753204699938</v>
      </c>
      <c r="B1216" s="2"/>
      <c r="C1216" s="2" t="str">
        <v>0</v>
      </c>
      <c r="D1216" s="2"/>
      <c r="E1216" s="2"/>
      <c r="F1216" s="2" t="str">
        <v>0</v>
      </c>
      <c r="G1216" s="2"/>
      <c r="I1216" s="2" t="str">
        <f ca="1">IFERROR(__xludf.DUMMYFUNCTION("""COMPUTED_VALUE"""),"Mai Bảo Yến")</f>
        <v>Mai Bảo Yến</v>
      </c>
      <c r="J1216" s="3" t="str">
        <f ca="1">IFERROR(__xludf.DUMMYFUNCTION("""COMPUTED_VALUE"""),"0343613680")</f>
        <v>0343613680</v>
      </c>
      <c r="K1216" s="2" t="str">
        <f ca="1">IFERROR(__xludf.DUMMYFUNCTION("""COMPUTED_VALUE"""),"1753204699938")</f>
        <v>1753204699938</v>
      </c>
    </row>
    <row r="1217" spans="1:11" ht="12.45">
      <c r="A1217" s="2" t="str">
        <f ca="1">IFERROR(__xludf.DUMMYFUNCTION("""COMPUTED_VALUE"""),"1753204753620")</f>
        <v>1753204753620</v>
      </c>
      <c r="B1217" s="2"/>
      <c r="C1217" s="2" t="str">
        <v>0</v>
      </c>
      <c r="D1217" s="2"/>
      <c r="E1217" s="2"/>
      <c r="F1217" s="2" t="str">
        <v>0</v>
      </c>
      <c r="G1217" s="2"/>
      <c r="I1217" s="2" t="str">
        <f ca="1">IFERROR(__xludf.DUMMYFUNCTION("""COMPUTED_VALUE"""),"Huỳnh Minh Tiến")</f>
        <v>Huỳnh Minh Tiến</v>
      </c>
      <c r="J1217" s="3" t="str">
        <f ca="1">IFERROR(__xludf.DUMMYFUNCTION("""COMPUTED_VALUE"""),"0914740687")</f>
        <v>0914740687</v>
      </c>
      <c r="K1217" s="2" t="str">
        <f ca="1">IFERROR(__xludf.DUMMYFUNCTION("""COMPUTED_VALUE"""),"1753204753620")</f>
        <v>1753204753620</v>
      </c>
    </row>
    <row r="1218" spans="1:11" ht="12.45">
      <c r="A1218" s="2" t="str">
        <f ca="1">IFERROR(__xludf.DUMMYFUNCTION("""COMPUTED_VALUE"""),"1753204793066")</f>
        <v>1753204793066</v>
      </c>
      <c r="B1218" s="2"/>
      <c r="C1218" s="2" t="str">
        <v>0</v>
      </c>
      <c r="D1218" s="2"/>
      <c r="E1218" s="2"/>
      <c r="F1218" s="2" t="str">
        <v>0</v>
      </c>
      <c r="G1218" s="2"/>
      <c r="I1218" s="2" t="str">
        <f ca="1">IFERROR(__xludf.DUMMYFUNCTION("""COMPUTED_VALUE"""),"Huỳnh Thị Mai Trúc")</f>
        <v>Huỳnh Thị Mai Trúc</v>
      </c>
      <c r="J1218" s="3" t="str">
        <f ca="1">IFERROR(__xludf.DUMMYFUNCTION("""COMPUTED_VALUE"""),"0792367847")</f>
        <v>0792367847</v>
      </c>
      <c r="K1218" s="2" t="str">
        <f ca="1">IFERROR(__xludf.DUMMYFUNCTION("""COMPUTED_VALUE"""),"1753204793066")</f>
        <v>1753204793066</v>
      </c>
    </row>
    <row r="1219" spans="1:11" ht="12.45">
      <c r="A1219" s="2" t="str">
        <f ca="1">IFERROR(__xludf.DUMMYFUNCTION("""COMPUTED_VALUE"""),"1753204837790")</f>
        <v>1753204837790</v>
      </c>
      <c r="B1219" s="2"/>
      <c r="C1219" s="2" t="str">
        <v>0</v>
      </c>
      <c r="D1219" s="2"/>
      <c r="E1219" s="2"/>
      <c r="F1219" s="2" t="str">
        <v>0</v>
      </c>
      <c r="G1219" s="2"/>
      <c r="I1219" s="2" t="str">
        <f ca="1">IFERROR(__xludf.DUMMYFUNCTION("""COMPUTED_VALUE"""),"Trương Ngọc Yến Nhi")</f>
        <v>Trương Ngọc Yến Nhi</v>
      </c>
      <c r="J1219" s="3" t="str">
        <f ca="1">IFERROR(__xludf.DUMMYFUNCTION("""COMPUTED_VALUE"""),"0565075253")</f>
        <v>0565075253</v>
      </c>
      <c r="K1219" s="2" t="str">
        <f ca="1">IFERROR(__xludf.DUMMYFUNCTION("""COMPUTED_VALUE"""),"1753204837790")</f>
        <v>1753204837790</v>
      </c>
    </row>
    <row r="1220" spans="1:11" ht="12.45">
      <c r="A1220" s="2" t="str">
        <f ca="1">IFERROR(__xludf.DUMMYFUNCTION("""COMPUTED_VALUE"""),"1753204893605")</f>
        <v>1753204893605</v>
      </c>
      <c r="B1220" s="2"/>
      <c r="C1220" s="2" t="str">
        <v>0</v>
      </c>
      <c r="D1220" s="2"/>
      <c r="E1220" s="2"/>
      <c r="F1220" s="2" t="str">
        <v>0</v>
      </c>
      <c r="G1220" s="2"/>
      <c r="I1220" s="2" t="str">
        <f ca="1">IFERROR(__xludf.DUMMYFUNCTION("""COMPUTED_VALUE"""),"Nguyễn Thị Hạnh")</f>
        <v>Nguyễn Thị Hạnh</v>
      </c>
      <c r="J1220" s="3" t="str">
        <f ca="1">IFERROR(__xludf.DUMMYFUNCTION("""COMPUTED_VALUE"""),"0362001892")</f>
        <v>0362001892</v>
      </c>
      <c r="K1220" s="2" t="str">
        <f ca="1">IFERROR(__xludf.DUMMYFUNCTION("""COMPUTED_VALUE"""),"1753204893605")</f>
        <v>1753204893605</v>
      </c>
    </row>
    <row r="1221" spans="1:11" ht="12.45">
      <c r="A1221" s="2" t="str">
        <f ca="1">IFERROR(__xludf.DUMMYFUNCTION("""COMPUTED_VALUE"""),"1753204949740")</f>
        <v>1753204949740</v>
      </c>
      <c r="B1221" s="2"/>
      <c r="C1221" s="2" t="str">
        <v>0</v>
      </c>
      <c r="D1221" s="2"/>
      <c r="E1221" s="2"/>
      <c r="F1221" s="2" t="str">
        <v>0</v>
      </c>
      <c r="G1221" s="2"/>
      <c r="I1221" s="2" t="str">
        <f ca="1">IFERROR(__xludf.DUMMYFUNCTION("""COMPUTED_VALUE"""),"Lê Gia Khanh")</f>
        <v>Lê Gia Khanh</v>
      </c>
      <c r="J1221" s="3" t="str">
        <f ca="1">IFERROR(__xludf.DUMMYFUNCTION("""COMPUTED_VALUE"""),"0931577191")</f>
        <v>0931577191</v>
      </c>
      <c r="K1221" s="2" t="str">
        <f ca="1">IFERROR(__xludf.DUMMYFUNCTION("""COMPUTED_VALUE"""),"1753204949740")</f>
        <v>1753204949740</v>
      </c>
    </row>
    <row r="1222" spans="1:11" ht="12.45">
      <c r="A1222" s="2" t="str">
        <f ca="1">IFERROR(__xludf.DUMMYFUNCTION("""COMPUTED_VALUE"""),"1753204996984")</f>
        <v>1753204996984</v>
      </c>
      <c r="B1222" s="2"/>
      <c r="C1222" s="2" t="str">
        <v>0</v>
      </c>
      <c r="D1222" s="2"/>
      <c r="E1222" s="2"/>
      <c r="F1222" s="2" t="str">
        <v>0</v>
      </c>
      <c r="G1222" s="2"/>
      <c r="I1222" s="2" t="str">
        <f ca="1">IFERROR(__xludf.DUMMYFUNCTION("""COMPUTED_VALUE"""),"Đinh Thị Thanh Thùy ")</f>
        <v xml:space="preserve">Đinh Thị Thanh Thùy </v>
      </c>
      <c r="J1222" s="3" t="str">
        <f ca="1">IFERROR(__xludf.DUMMYFUNCTION("""COMPUTED_VALUE"""),"0985608245")</f>
        <v>0985608245</v>
      </c>
      <c r="K1222" s="2" t="str">
        <f ca="1">IFERROR(__xludf.DUMMYFUNCTION("""COMPUTED_VALUE"""),"1753204996984")</f>
        <v>1753204996984</v>
      </c>
    </row>
    <row r="1223" spans="1:11" ht="12.45">
      <c r="A1223" s="2" t="str">
        <f ca="1">IFERROR(__xludf.DUMMYFUNCTION("""COMPUTED_VALUE"""),"1753205051724")</f>
        <v>1753205051724</v>
      </c>
      <c r="B1223" s="2"/>
      <c r="C1223" s="2" t="str">
        <v>0</v>
      </c>
      <c r="D1223" s="2"/>
      <c r="E1223" s="2"/>
      <c r="F1223" s="2" t="str">
        <v>0</v>
      </c>
      <c r="G1223" s="2"/>
      <c r="I1223" s="2" t="str">
        <f ca="1">IFERROR(__xludf.DUMMYFUNCTION("""COMPUTED_VALUE"""),"Phạm Trung Hiếu")</f>
        <v>Phạm Trung Hiếu</v>
      </c>
      <c r="J1223" s="3" t="str">
        <f ca="1">IFERROR(__xludf.DUMMYFUNCTION("""COMPUTED_VALUE"""),"0782732124")</f>
        <v>0782732124</v>
      </c>
      <c r="K1223" s="2" t="str">
        <f ca="1">IFERROR(__xludf.DUMMYFUNCTION("""COMPUTED_VALUE"""),"1753205051724")</f>
        <v>1753205051724</v>
      </c>
    </row>
    <row r="1224" spans="1:11" ht="12.45">
      <c r="A1224" s="2" t="str">
        <f ca="1">IFERROR(__xludf.DUMMYFUNCTION("""COMPUTED_VALUE"""),"1753205088809")</f>
        <v>1753205088809</v>
      </c>
      <c r="B1224" s="2"/>
      <c r="C1224" s="2" t="str">
        <v>0</v>
      </c>
      <c r="D1224" s="2"/>
      <c r="E1224" s="2"/>
      <c r="F1224" s="2" t="str">
        <v>0</v>
      </c>
      <c r="G1224" s="2"/>
      <c r="I1224" s="2" t="str">
        <f ca="1">IFERROR(__xludf.DUMMYFUNCTION("""COMPUTED_VALUE"""),"Lê Thị Thanh Trúc ")</f>
        <v xml:space="preserve">Lê Thị Thanh Trúc </v>
      </c>
      <c r="J1224" s="3" t="str">
        <f ca="1">IFERROR(__xludf.DUMMYFUNCTION("""COMPUTED_VALUE"""),"0368596255")</f>
        <v>0368596255</v>
      </c>
      <c r="K1224" s="2" t="str">
        <f ca="1">IFERROR(__xludf.DUMMYFUNCTION("""COMPUTED_VALUE"""),"1753205088809")</f>
        <v>1753205088809</v>
      </c>
    </row>
    <row r="1225" spans="1:11" ht="12.45">
      <c r="A1225" s="2" t="str">
        <f ca="1">IFERROR(__xludf.DUMMYFUNCTION("""COMPUTED_VALUE"""),"1753205130851")</f>
        <v>1753205130851</v>
      </c>
      <c r="B1225" s="2"/>
      <c r="C1225" s="2" t="str">
        <v>0</v>
      </c>
      <c r="D1225" s="2"/>
      <c r="E1225" s="2"/>
      <c r="F1225" s="2" t="str">
        <v>0</v>
      </c>
      <c r="G1225" s="2"/>
      <c r="I1225" s="2" t="str">
        <f ca="1">IFERROR(__xludf.DUMMYFUNCTION("""COMPUTED_VALUE"""),"Đàm Mỹ Duyên")</f>
        <v>Đàm Mỹ Duyên</v>
      </c>
      <c r="J1225" s="3" t="str">
        <f ca="1">IFERROR(__xludf.DUMMYFUNCTION("""COMPUTED_VALUE"""),"0868179854")</f>
        <v>0868179854</v>
      </c>
      <c r="K1225" s="2" t="str">
        <f ca="1">IFERROR(__xludf.DUMMYFUNCTION("""COMPUTED_VALUE"""),"1753205130851")</f>
        <v>1753205130851</v>
      </c>
    </row>
    <row r="1226" spans="1:11" ht="12.45">
      <c r="A1226" s="2" t="str">
        <f ca="1">IFERROR(__xludf.DUMMYFUNCTION("""COMPUTED_VALUE"""),"1753205165311")</f>
        <v>1753205165311</v>
      </c>
      <c r="B1226" s="2"/>
      <c r="C1226" s="2" t="str">
        <v>0</v>
      </c>
      <c r="D1226" s="2"/>
      <c r="E1226" s="2"/>
      <c r="F1226" s="2" t="str">
        <v>0</v>
      </c>
      <c r="G1226" s="2"/>
      <c r="I1226" s="2" t="str">
        <f ca="1">IFERROR(__xludf.DUMMYFUNCTION("""COMPUTED_VALUE"""),"Lê Na")</f>
        <v>Lê Na</v>
      </c>
      <c r="J1226" s="3" t="str">
        <f ca="1">IFERROR(__xludf.DUMMYFUNCTION("""COMPUTED_VALUE"""),"0336890501")</f>
        <v>0336890501</v>
      </c>
      <c r="K1226" s="2" t="str">
        <f ca="1">IFERROR(__xludf.DUMMYFUNCTION("""COMPUTED_VALUE"""),"1753205165311")</f>
        <v>1753205165311</v>
      </c>
    </row>
    <row r="1227" spans="1:11" ht="12.45">
      <c r="A1227" s="2" t="str">
        <f ca="1">IFERROR(__xludf.DUMMYFUNCTION("""COMPUTED_VALUE"""),"1753205230159")</f>
        <v>1753205230159</v>
      </c>
      <c r="B1227" s="2"/>
      <c r="C1227" s="2" t="str">
        <v>0</v>
      </c>
      <c r="D1227" s="2"/>
      <c r="E1227" s="2"/>
      <c r="F1227" s="2" t="str">
        <v>0</v>
      </c>
      <c r="G1227" s="2"/>
      <c r="I1227" s="2" t="str">
        <f ca="1">IFERROR(__xludf.DUMMYFUNCTION("""COMPUTED_VALUE"""),"Phạm Thị Bích Trâm")</f>
        <v>Phạm Thị Bích Trâm</v>
      </c>
      <c r="J1227" s="3" t="str">
        <f ca="1">IFERROR(__xludf.DUMMYFUNCTION("""COMPUTED_VALUE"""),"0354283790")</f>
        <v>0354283790</v>
      </c>
      <c r="K1227" s="2" t="str">
        <f ca="1">IFERROR(__xludf.DUMMYFUNCTION("""COMPUTED_VALUE"""),"1753205230159")</f>
        <v>1753205230159</v>
      </c>
    </row>
    <row r="1228" spans="1:11" ht="12.45">
      <c r="A1228" s="2" t="str">
        <f ca="1">IFERROR(__xludf.DUMMYFUNCTION("""COMPUTED_VALUE"""),"1753205274950")</f>
        <v>1753205274950</v>
      </c>
      <c r="B1228" s="2"/>
      <c r="C1228" s="2" t="str">
        <v>0</v>
      </c>
      <c r="D1228" s="2"/>
      <c r="E1228" s="2"/>
      <c r="F1228" s="2" t="str">
        <v>0</v>
      </c>
      <c r="G1228" s="2"/>
      <c r="I1228" s="2" t="str">
        <f ca="1">IFERROR(__xludf.DUMMYFUNCTION("""COMPUTED_VALUE"""),"Nguyễn Thị Xuân Mai")</f>
        <v>Nguyễn Thị Xuân Mai</v>
      </c>
      <c r="J1228" s="3" t="str">
        <f ca="1">IFERROR(__xludf.DUMMYFUNCTION("""COMPUTED_VALUE"""),"0944557514")</f>
        <v>0944557514</v>
      </c>
      <c r="K1228" s="2" t="str">
        <f ca="1">IFERROR(__xludf.DUMMYFUNCTION("""COMPUTED_VALUE"""),"1753205274950")</f>
        <v>1753205274950</v>
      </c>
    </row>
    <row r="1229" spans="1:11" ht="12.45">
      <c r="A1229" s="2" t="str">
        <f ca="1">IFERROR(__xludf.DUMMYFUNCTION("""COMPUTED_VALUE"""),"1753205308777")</f>
        <v>1753205308777</v>
      </c>
      <c r="B1229" s="2"/>
      <c r="C1229" s="2" t="str">
        <v>0</v>
      </c>
      <c r="D1229" s="2"/>
      <c r="E1229" s="2"/>
      <c r="F1229" s="2" t="str">
        <v>0</v>
      </c>
      <c r="G1229" s="2"/>
      <c r="I1229" s="2" t="str">
        <f ca="1">IFERROR(__xludf.DUMMYFUNCTION("""COMPUTED_VALUE"""),"Ngô Thanh Hằng")</f>
        <v>Ngô Thanh Hằng</v>
      </c>
      <c r="J1229" s="3" t="str">
        <f ca="1">IFERROR(__xludf.DUMMYFUNCTION("""COMPUTED_VALUE"""),"0334165969")</f>
        <v>0334165969</v>
      </c>
      <c r="K1229" s="2" t="str">
        <f ca="1">IFERROR(__xludf.DUMMYFUNCTION("""COMPUTED_VALUE"""),"1753205308777")</f>
        <v>1753205308777</v>
      </c>
    </row>
    <row r="1230" spans="1:11" ht="12.45">
      <c r="A1230" s="2" t="str">
        <f ca="1">IFERROR(__xludf.DUMMYFUNCTION("""COMPUTED_VALUE"""),"1753205338732")</f>
        <v>1753205338732</v>
      </c>
      <c r="B1230" s="2"/>
      <c r="C1230" s="2" t="str">
        <v>0</v>
      </c>
      <c r="D1230" s="2"/>
      <c r="E1230" s="2"/>
      <c r="F1230" s="2" t="str">
        <v>0</v>
      </c>
      <c r="G1230" s="2"/>
      <c r="I1230" s="2" t="str">
        <f ca="1">IFERROR(__xludf.DUMMYFUNCTION("""COMPUTED_VALUE"""),"Nguyễn Vy Trà")</f>
        <v>Nguyễn Vy Trà</v>
      </c>
      <c r="J1230" s="3" t="str">
        <f ca="1">IFERROR(__xludf.DUMMYFUNCTION("""COMPUTED_VALUE"""),"0348681207")</f>
        <v>0348681207</v>
      </c>
      <c r="K1230" s="2" t="str">
        <f ca="1">IFERROR(__xludf.DUMMYFUNCTION("""COMPUTED_VALUE"""),"1753205338732")</f>
        <v>1753205338732</v>
      </c>
    </row>
    <row r="1231" spans="1:11" ht="12.45">
      <c r="A1231" s="2" t="str">
        <f ca="1">IFERROR(__xludf.DUMMYFUNCTION("""COMPUTED_VALUE"""),"1753205374096")</f>
        <v>1753205374096</v>
      </c>
      <c r="B1231" s="2"/>
      <c r="C1231" s="2" t="str">
        <v>0</v>
      </c>
      <c r="D1231" s="2"/>
      <c r="E1231" s="2"/>
      <c r="F1231" s="2" t="str">
        <v>0</v>
      </c>
      <c r="G1231" s="2"/>
      <c r="I1231" s="2" t="str">
        <f ca="1">IFERROR(__xludf.DUMMYFUNCTION("""COMPUTED_VALUE"""),"PHẠM NGỌC ÁNH")</f>
        <v>PHẠM NGỌC ÁNH</v>
      </c>
      <c r="J1231" s="3" t="str">
        <f ca="1">IFERROR(__xludf.DUMMYFUNCTION("""COMPUTED_VALUE"""),"0352911382")</f>
        <v>0352911382</v>
      </c>
      <c r="K1231" s="2" t="str">
        <f ca="1">IFERROR(__xludf.DUMMYFUNCTION("""COMPUTED_VALUE"""),"1753205374096")</f>
        <v>1753205374096</v>
      </c>
    </row>
    <row r="1232" spans="1:11" ht="12.45">
      <c r="A1232" s="2" t="str">
        <f ca="1">IFERROR(__xludf.DUMMYFUNCTION("""COMPUTED_VALUE"""),"1753205416899")</f>
        <v>1753205416899</v>
      </c>
      <c r="B1232" s="2"/>
      <c r="C1232" s="2" t="str">
        <v>0</v>
      </c>
      <c r="D1232" s="2"/>
      <c r="E1232" s="2"/>
      <c r="F1232" s="2" t="str">
        <v>0</v>
      </c>
      <c r="G1232" s="2"/>
      <c r="I1232" s="2" t="str">
        <f ca="1">IFERROR(__xludf.DUMMYFUNCTION("""COMPUTED_VALUE"""),"Quách Vân Anh")</f>
        <v>Quách Vân Anh</v>
      </c>
      <c r="J1232" s="3" t="str">
        <f ca="1">IFERROR(__xludf.DUMMYFUNCTION("""COMPUTED_VALUE"""),"0336589982")</f>
        <v>0336589982</v>
      </c>
      <c r="K1232" s="2" t="str">
        <f ca="1">IFERROR(__xludf.DUMMYFUNCTION("""COMPUTED_VALUE"""),"1753205416899")</f>
        <v>1753205416899</v>
      </c>
    </row>
    <row r="1233" spans="1:11" ht="12.45">
      <c r="A1233" s="2" t="str">
        <f ca="1">IFERROR(__xludf.DUMMYFUNCTION("""COMPUTED_VALUE"""),"1753205534553")</f>
        <v>1753205534553</v>
      </c>
      <c r="B1233" s="2"/>
      <c r="C1233" s="2" t="str">
        <v>0</v>
      </c>
      <c r="D1233" s="2"/>
      <c r="E1233" s="2"/>
      <c r="F1233" s="2" t="str">
        <v>0</v>
      </c>
      <c r="G1233" s="2"/>
      <c r="I1233" s="2" t="str">
        <f ca="1">IFERROR(__xludf.DUMMYFUNCTION("""COMPUTED_VALUE"""),"Châu Lê Bảo Khuyên")</f>
        <v>Châu Lê Bảo Khuyên</v>
      </c>
      <c r="J1233" s="3" t="str">
        <f ca="1">IFERROR(__xludf.DUMMYFUNCTION("""COMPUTED_VALUE"""),"0866276977")</f>
        <v>0866276977</v>
      </c>
      <c r="K1233" s="2" t="str">
        <f ca="1">IFERROR(__xludf.DUMMYFUNCTION("""COMPUTED_VALUE"""),"1753205534553")</f>
        <v>1753205534553</v>
      </c>
    </row>
    <row r="1234" spans="1:11" ht="12.45">
      <c r="A1234" s="2" t="str">
        <f ca="1">IFERROR(__xludf.DUMMYFUNCTION("""COMPUTED_VALUE"""),"1753205589379")</f>
        <v>1753205589379</v>
      </c>
      <c r="B1234" s="2"/>
      <c r="C1234" s="2" t="str">
        <v>0</v>
      </c>
      <c r="D1234" s="2"/>
      <c r="E1234" s="2"/>
      <c r="F1234" s="2" t="str">
        <v>0</v>
      </c>
      <c r="G1234" s="2"/>
      <c r="I1234" s="2" t="str">
        <f ca="1">IFERROR(__xludf.DUMMYFUNCTION("""COMPUTED_VALUE"""),"Nguyễn Thị Ngọc Mai")</f>
        <v>Nguyễn Thị Ngọc Mai</v>
      </c>
      <c r="J1234" s="3" t="str">
        <f ca="1">IFERROR(__xludf.DUMMYFUNCTION("""COMPUTED_VALUE"""),"0963459702")</f>
        <v>0963459702</v>
      </c>
      <c r="K1234" s="2" t="str">
        <f ca="1">IFERROR(__xludf.DUMMYFUNCTION("""COMPUTED_VALUE"""),"1753205589379")</f>
        <v>1753205589379</v>
      </c>
    </row>
    <row r="1235" spans="1:11" ht="12.45">
      <c r="A1235" s="2" t="str">
        <f ca="1">IFERROR(__xludf.DUMMYFUNCTION("""COMPUTED_VALUE"""),"1753205643396")</f>
        <v>1753205643396</v>
      </c>
      <c r="B1235" s="2"/>
      <c r="C1235" s="2" t="str">
        <v>0</v>
      </c>
      <c r="D1235" s="2"/>
      <c r="E1235" s="2"/>
      <c r="F1235" s="2" t="str">
        <v>0</v>
      </c>
      <c r="G1235" s="2"/>
      <c r="I1235" s="2" t="str">
        <f ca="1">IFERROR(__xludf.DUMMYFUNCTION("""COMPUTED_VALUE"""),"Võ Thy Thy")</f>
        <v>Võ Thy Thy</v>
      </c>
      <c r="J1235" s="3" t="str">
        <f ca="1">IFERROR(__xludf.DUMMYFUNCTION("""COMPUTED_VALUE"""),"0975325327")</f>
        <v>0975325327</v>
      </c>
      <c r="K1235" s="2" t="str">
        <f ca="1">IFERROR(__xludf.DUMMYFUNCTION("""COMPUTED_VALUE"""),"1753205643396")</f>
        <v>1753205643396</v>
      </c>
    </row>
    <row r="1236" spans="1:11" ht="12.45">
      <c r="A1236" s="2" t="str">
        <f ca="1">IFERROR(__xludf.DUMMYFUNCTION("""COMPUTED_VALUE"""),"1753205723278")</f>
        <v>1753205723278</v>
      </c>
      <c r="B1236" s="2"/>
      <c r="C1236" s="2" t="str">
        <v>0</v>
      </c>
      <c r="D1236" s="2"/>
      <c r="E1236" s="2"/>
      <c r="F1236" s="2" t="str">
        <v>0</v>
      </c>
      <c r="G1236" s="2"/>
      <c r="I1236" s="2" t="str">
        <f ca="1">IFERROR(__xludf.DUMMYFUNCTION("""COMPUTED_VALUE"""),"Nguyễn Ngọc Thảo Ngân")</f>
        <v>Nguyễn Ngọc Thảo Ngân</v>
      </c>
      <c r="J1236" s="3" t="str">
        <f ca="1">IFERROR(__xludf.DUMMYFUNCTION("""COMPUTED_VALUE"""),"0963455554")</f>
        <v>0963455554</v>
      </c>
      <c r="K1236" s="2" t="str">
        <f ca="1">IFERROR(__xludf.DUMMYFUNCTION("""COMPUTED_VALUE"""),"1753205723278")</f>
        <v>1753205723278</v>
      </c>
    </row>
    <row r="1237" spans="1:11" ht="12.45">
      <c r="A1237" s="2" t="str">
        <f ca="1">IFERROR(__xludf.DUMMYFUNCTION("""COMPUTED_VALUE"""),"1753205772517")</f>
        <v>1753205772517</v>
      </c>
      <c r="B1237" s="2"/>
      <c r="C1237" s="2" t="str">
        <v>0</v>
      </c>
      <c r="D1237" s="2"/>
      <c r="E1237" s="2"/>
      <c r="F1237" s="2" t="str">
        <v>0</v>
      </c>
      <c r="G1237" s="2"/>
      <c r="I1237" s="2" t="str">
        <f ca="1">IFERROR(__xludf.DUMMYFUNCTION("""COMPUTED_VALUE"""),"Nguyễn Thị Tuyết Chi ")</f>
        <v xml:space="preserve">Nguyễn Thị Tuyết Chi </v>
      </c>
      <c r="J1237" s="3" t="str">
        <f ca="1">IFERROR(__xludf.DUMMYFUNCTION("""COMPUTED_VALUE"""),"0385710205")</f>
        <v>0385710205</v>
      </c>
      <c r="K1237" s="2" t="str">
        <f ca="1">IFERROR(__xludf.DUMMYFUNCTION("""COMPUTED_VALUE"""),"1753205772517")</f>
        <v>1753205772517</v>
      </c>
    </row>
    <row r="1238" spans="1:11" ht="12.45">
      <c r="A1238" s="2" t="str">
        <f ca="1">IFERROR(__xludf.DUMMYFUNCTION("""COMPUTED_VALUE"""),"1753205814502")</f>
        <v>1753205814502</v>
      </c>
      <c r="B1238" s="2"/>
      <c r="C1238" s="2" t="str">
        <v>0</v>
      </c>
      <c r="D1238" s="2"/>
      <c r="E1238" s="2"/>
      <c r="F1238" s="2" t="str">
        <v>0</v>
      </c>
      <c r="G1238" s="2"/>
      <c r="I1238" s="2" t="str">
        <f ca="1">IFERROR(__xludf.DUMMYFUNCTION("""COMPUTED_VALUE"""),"Nguyễn  Võ Tâm Trí")</f>
        <v>Nguyễn  Võ Tâm Trí</v>
      </c>
      <c r="J1238" s="3" t="str">
        <f ca="1">IFERROR(__xludf.DUMMYFUNCTION("""COMPUTED_VALUE"""),"0974309536")</f>
        <v>0974309536</v>
      </c>
      <c r="K1238" s="2" t="str">
        <f ca="1">IFERROR(__xludf.DUMMYFUNCTION("""COMPUTED_VALUE"""),"1753205814502")</f>
        <v>1753205814502</v>
      </c>
    </row>
    <row r="1239" spans="1:11" ht="12.45">
      <c r="A1239" s="2" t="str">
        <f ca="1">IFERROR(__xludf.DUMMYFUNCTION("""COMPUTED_VALUE"""),"1753205877132")</f>
        <v>1753205877132</v>
      </c>
      <c r="B1239" s="2"/>
      <c r="C1239" s="2" t="str">
        <v>0</v>
      </c>
      <c r="D1239" s="2"/>
      <c r="E1239" s="2"/>
      <c r="F1239" s="2" t="str">
        <v>0</v>
      </c>
      <c r="G1239" s="2"/>
      <c r="I1239" s="2" t="str">
        <f ca="1">IFERROR(__xludf.DUMMYFUNCTION("""COMPUTED_VALUE"""),"Lê Thảo Nguyên Nhi")</f>
        <v>Lê Thảo Nguyên Nhi</v>
      </c>
      <c r="J1239" s="3" t="str">
        <f ca="1">IFERROR(__xludf.DUMMYFUNCTION("""COMPUTED_VALUE"""),"0344444782")</f>
        <v>0344444782</v>
      </c>
      <c r="K1239" s="2" t="str">
        <f ca="1">IFERROR(__xludf.DUMMYFUNCTION("""COMPUTED_VALUE"""),"1753205877132")</f>
        <v>1753205877132</v>
      </c>
    </row>
    <row r="1240" spans="1:11" ht="12.45">
      <c r="A1240" s="2" t="str">
        <f ca="1">IFERROR(__xludf.DUMMYFUNCTION("""COMPUTED_VALUE"""),"1753205924526")</f>
        <v>1753205924526</v>
      </c>
      <c r="B1240" s="2"/>
      <c r="C1240" s="2" t="str">
        <v>0</v>
      </c>
      <c r="D1240" s="2"/>
      <c r="E1240" s="2"/>
      <c r="F1240" s="2" t="str">
        <v>0</v>
      </c>
      <c r="G1240" s="2"/>
      <c r="I1240" s="2" t="str">
        <f ca="1">IFERROR(__xludf.DUMMYFUNCTION("""COMPUTED_VALUE"""),"Vương Bảo Xuyên")</f>
        <v>Vương Bảo Xuyên</v>
      </c>
      <c r="J1240" s="3" t="str">
        <f ca="1">IFERROR(__xludf.DUMMYFUNCTION("""COMPUTED_VALUE"""),"0767724076")</f>
        <v>0767724076</v>
      </c>
      <c r="K1240" s="2" t="str">
        <f ca="1">IFERROR(__xludf.DUMMYFUNCTION("""COMPUTED_VALUE"""),"1753205924526")</f>
        <v>1753205924526</v>
      </c>
    </row>
    <row r="1241" spans="1:11" ht="12.45">
      <c r="A1241" s="2" t="str">
        <f ca="1">IFERROR(__xludf.DUMMYFUNCTION("""COMPUTED_VALUE"""),"1753205971401")</f>
        <v>1753205971401</v>
      </c>
      <c r="B1241" s="2"/>
      <c r="C1241" s="2" t="str">
        <v>0</v>
      </c>
      <c r="D1241" s="2"/>
      <c r="E1241" s="2"/>
      <c r="F1241" s="2" t="str">
        <v>0</v>
      </c>
      <c r="G1241" s="2"/>
      <c r="I1241" s="2" t="str">
        <f ca="1">IFERROR(__xludf.DUMMYFUNCTION("""COMPUTED_VALUE"""),"Nguyễn Thị Hiền Giang")</f>
        <v>Nguyễn Thị Hiền Giang</v>
      </c>
      <c r="J1241" s="3" t="str">
        <f ca="1">IFERROR(__xludf.DUMMYFUNCTION("""COMPUTED_VALUE"""),"0382730386")</f>
        <v>0382730386</v>
      </c>
      <c r="K1241" s="2" t="str">
        <f ca="1">IFERROR(__xludf.DUMMYFUNCTION("""COMPUTED_VALUE"""),"1753205971401")</f>
        <v>1753205971401</v>
      </c>
    </row>
    <row r="1242" spans="1:11" ht="12.45">
      <c r="A1242" s="2" t="str">
        <f ca="1">IFERROR(__xludf.DUMMYFUNCTION("""COMPUTED_VALUE"""),"1753206031006")</f>
        <v>1753206031006</v>
      </c>
      <c r="B1242" s="2"/>
      <c r="C1242" s="2" t="str">
        <v>0</v>
      </c>
      <c r="D1242" s="2"/>
      <c r="E1242" s="2"/>
      <c r="F1242" s="2" t="str">
        <v>0</v>
      </c>
      <c r="G1242" s="2"/>
      <c r="I1242" s="2" t="str">
        <f ca="1">IFERROR(__xludf.DUMMYFUNCTION("""COMPUTED_VALUE"""),"Lê Thị Thuỳ Dung ")</f>
        <v xml:space="preserve">Lê Thị Thuỳ Dung </v>
      </c>
      <c r="J1242" s="3" t="str">
        <f ca="1">IFERROR(__xludf.DUMMYFUNCTION("""COMPUTED_VALUE"""),"0868603445")</f>
        <v>0868603445</v>
      </c>
      <c r="K1242" s="2" t="str">
        <f ca="1">IFERROR(__xludf.DUMMYFUNCTION("""COMPUTED_VALUE"""),"1753206031006")</f>
        <v>1753206031006</v>
      </c>
    </row>
    <row r="1243" spans="1:11" ht="12.45">
      <c r="A1243" s="2" t="str">
        <f ca="1">IFERROR(__xludf.DUMMYFUNCTION("""COMPUTED_VALUE"""),"1753206074092")</f>
        <v>1753206074092</v>
      </c>
      <c r="B1243" s="2"/>
      <c r="C1243" s="2" t="str">
        <v>0</v>
      </c>
      <c r="D1243" s="2"/>
      <c r="E1243" s="2"/>
      <c r="F1243" s="2" t="str">
        <v>0</v>
      </c>
      <c r="G1243" s="2"/>
      <c r="I1243" s="3" t="str">
        <f ca="1">IFERROR(__xludf.DUMMYFUNCTION("""COMPUTED_VALUE"""),"Đặng Trâm Anh")</f>
        <v>Đặng Trâm Anh</v>
      </c>
      <c r="J1243" s="3" t="str">
        <f ca="1">IFERROR(__xludf.DUMMYFUNCTION("""COMPUTED_VALUE"""),"0782971378")</f>
        <v>0782971378</v>
      </c>
      <c r="K1243" s="2" t="str">
        <f ca="1">IFERROR(__xludf.DUMMYFUNCTION("""COMPUTED_VALUE"""),"1753206074092")</f>
        <v>1753206074092</v>
      </c>
    </row>
    <row r="1244" spans="1:11" ht="12.45">
      <c r="A1244" s="2" t="str">
        <f ca="1">IFERROR(__xludf.DUMMYFUNCTION("""COMPUTED_VALUE"""),"1753206120762")</f>
        <v>1753206120762</v>
      </c>
      <c r="B1244" s="2"/>
      <c r="C1244" s="2" t="str">
        <v>0</v>
      </c>
      <c r="D1244" s="2"/>
      <c r="E1244" s="2"/>
      <c r="F1244" s="2" t="str">
        <v>0</v>
      </c>
      <c r="G1244" s="2"/>
      <c r="I1244" s="2" t="str">
        <f ca="1">IFERROR(__xludf.DUMMYFUNCTION("""COMPUTED_VALUE"""),"Đặng Tuấn Long")</f>
        <v>Đặng Tuấn Long</v>
      </c>
      <c r="J1244" s="3" t="str">
        <f ca="1">IFERROR(__xludf.DUMMYFUNCTION("""COMPUTED_VALUE"""),"0842061865")</f>
        <v>0842061865</v>
      </c>
      <c r="K1244" s="2" t="str">
        <f ca="1">IFERROR(__xludf.DUMMYFUNCTION("""COMPUTED_VALUE"""),"1753206120762")</f>
        <v>1753206120762</v>
      </c>
    </row>
    <row r="1245" spans="1:11" ht="12.45">
      <c r="A1245" s="2" t="str">
        <f ca="1">IFERROR(__xludf.DUMMYFUNCTION("""COMPUTED_VALUE"""),"1753206169896")</f>
        <v>1753206169896</v>
      </c>
      <c r="B1245" s="2"/>
      <c r="C1245" s="2" t="str">
        <v>0</v>
      </c>
      <c r="D1245" s="2"/>
      <c r="E1245" s="2"/>
      <c r="F1245" s="2" t="str">
        <v>0</v>
      </c>
      <c r="G1245" s="2"/>
      <c r="I1245" s="2" t="str">
        <f ca="1">IFERROR(__xludf.DUMMYFUNCTION("""COMPUTED_VALUE"""),"Trần Thùy Trang")</f>
        <v>Trần Thùy Trang</v>
      </c>
      <c r="J1245" s="3" t="str">
        <f ca="1">IFERROR(__xludf.DUMMYFUNCTION("""COMPUTED_VALUE"""),"0387416935")</f>
        <v>0387416935</v>
      </c>
      <c r="K1245" s="2" t="str">
        <f ca="1">IFERROR(__xludf.DUMMYFUNCTION("""COMPUTED_VALUE"""),"1753206169896")</f>
        <v>1753206169896</v>
      </c>
    </row>
    <row r="1246" spans="1:11" ht="12.45">
      <c r="A1246" s="2" t="str">
        <f ca="1">IFERROR(__xludf.DUMMYFUNCTION("""COMPUTED_VALUE"""),"1753206210626")</f>
        <v>1753206210626</v>
      </c>
      <c r="B1246" s="2"/>
      <c r="C1246" s="2" t="str">
        <v>0</v>
      </c>
      <c r="D1246" s="2"/>
      <c r="E1246" s="2"/>
      <c r="F1246" s="2" t="str">
        <v>0</v>
      </c>
      <c r="G1246" s="2"/>
      <c r="I1246" s="2" t="str">
        <f ca="1">IFERROR(__xludf.DUMMYFUNCTION("""COMPUTED_VALUE"""),"Vũ Bảo Châu")</f>
        <v>Vũ Bảo Châu</v>
      </c>
      <c r="J1246" s="3" t="str">
        <f ca="1">IFERROR(__xludf.DUMMYFUNCTION("""COMPUTED_VALUE"""),"0352581160")</f>
        <v>0352581160</v>
      </c>
      <c r="K1246" s="2" t="str">
        <f ca="1">IFERROR(__xludf.DUMMYFUNCTION("""COMPUTED_VALUE"""),"1753206210626")</f>
        <v>1753206210626</v>
      </c>
    </row>
    <row r="1247" spans="1:11" ht="12.45">
      <c r="A1247" s="2" t="str">
        <f ca="1">IFERROR(__xludf.DUMMYFUNCTION("""COMPUTED_VALUE"""),"1753206258992")</f>
        <v>1753206258992</v>
      </c>
      <c r="B1247" s="2"/>
      <c r="C1247" s="2" t="str">
        <v>0</v>
      </c>
      <c r="D1247" s="2"/>
      <c r="E1247" s="2"/>
      <c r="F1247" s="2" t="str">
        <v>0</v>
      </c>
      <c r="G1247" s="2"/>
      <c r="I1247" s="2" t="str">
        <f ca="1">IFERROR(__xludf.DUMMYFUNCTION("""COMPUTED_VALUE"""),"Nguyễn Thị Phương Anh")</f>
        <v>Nguyễn Thị Phương Anh</v>
      </c>
      <c r="J1247" s="3" t="str">
        <f ca="1">IFERROR(__xludf.DUMMYFUNCTION("""COMPUTED_VALUE"""),"0908524833")</f>
        <v>0908524833</v>
      </c>
      <c r="K1247" s="2" t="str">
        <f ca="1">IFERROR(__xludf.DUMMYFUNCTION("""COMPUTED_VALUE"""),"1753206258992")</f>
        <v>1753206258992</v>
      </c>
    </row>
    <row r="1248" spans="1:11" ht="12.45">
      <c r="A1248" s="2" t="str">
        <f ca="1">IFERROR(__xludf.DUMMYFUNCTION("""COMPUTED_VALUE"""),"1753206325590")</f>
        <v>1753206325590</v>
      </c>
      <c r="B1248" s="2"/>
      <c r="C1248" s="2" t="str">
        <v>0</v>
      </c>
      <c r="D1248" s="2"/>
      <c r="E1248" s="2"/>
      <c r="F1248" s="2" t="str">
        <v>0</v>
      </c>
      <c r="G1248" s="2"/>
      <c r="I1248" s="2" t="str">
        <f ca="1">IFERROR(__xludf.DUMMYFUNCTION("""COMPUTED_VALUE"""),"Lại Phương Chi")</f>
        <v>Lại Phương Chi</v>
      </c>
      <c r="J1248" s="3" t="str">
        <f ca="1">IFERROR(__xludf.DUMMYFUNCTION("""COMPUTED_VALUE"""),"0981441601")</f>
        <v>0981441601</v>
      </c>
      <c r="K1248" s="2" t="str">
        <f ca="1">IFERROR(__xludf.DUMMYFUNCTION("""COMPUTED_VALUE"""),"1753206325590")</f>
        <v>1753206325590</v>
      </c>
    </row>
    <row r="1249" spans="1:11" ht="12.45">
      <c r="A1249" s="2" t="str">
        <f ca="1">IFERROR(__xludf.DUMMYFUNCTION("""COMPUTED_VALUE"""),"1753206387273")</f>
        <v>1753206387273</v>
      </c>
      <c r="B1249" s="2"/>
      <c r="C1249" s="2" t="str">
        <v>0</v>
      </c>
      <c r="D1249" s="2"/>
      <c r="E1249" s="2"/>
      <c r="F1249" s="2" t="str">
        <v>0</v>
      </c>
      <c r="G1249" s="2"/>
      <c r="I1249" s="2" t="str">
        <f ca="1">IFERROR(__xludf.DUMMYFUNCTION("""COMPUTED_VALUE"""),"Ngô Phương Linh")</f>
        <v>Ngô Phương Linh</v>
      </c>
      <c r="J1249" s="3" t="str">
        <f ca="1">IFERROR(__xludf.DUMMYFUNCTION("""COMPUTED_VALUE"""),"0339702510")</f>
        <v>0339702510</v>
      </c>
      <c r="K1249" s="2" t="str">
        <f ca="1">IFERROR(__xludf.DUMMYFUNCTION("""COMPUTED_VALUE"""),"1753206387273")</f>
        <v>1753206387273</v>
      </c>
    </row>
    <row r="1250" spans="1:11" ht="12.45">
      <c r="A1250" s="2" t="str">
        <f ca="1">IFERROR(__xludf.DUMMYFUNCTION("""COMPUTED_VALUE"""),"1753206442449")</f>
        <v>1753206442449</v>
      </c>
      <c r="B1250" s="2"/>
      <c r="C1250" s="2" t="str">
        <v>0</v>
      </c>
      <c r="D1250" s="2"/>
      <c r="E1250" s="2"/>
      <c r="F1250" s="2" t="str">
        <v>0</v>
      </c>
      <c r="G1250" s="2"/>
      <c r="I1250" s="2" t="str">
        <f ca="1">IFERROR(__xludf.DUMMYFUNCTION("""COMPUTED_VALUE"""),"Lại Huyền My")</f>
        <v>Lại Huyền My</v>
      </c>
      <c r="J1250" s="3" t="str">
        <f ca="1">IFERROR(__xludf.DUMMYFUNCTION("""COMPUTED_VALUE"""),"0888680998")</f>
        <v>0888680998</v>
      </c>
      <c r="K1250" s="2" t="str">
        <f ca="1">IFERROR(__xludf.DUMMYFUNCTION("""COMPUTED_VALUE"""),"1753206442449")</f>
        <v>1753206442449</v>
      </c>
    </row>
    <row r="1251" spans="1:11" ht="12.45">
      <c r="A1251" s="2" t="str">
        <f ca="1">IFERROR(__xludf.DUMMYFUNCTION("""COMPUTED_VALUE"""),"1753206490391")</f>
        <v>1753206490391</v>
      </c>
      <c r="B1251" s="2"/>
      <c r="C1251" s="2" t="str">
        <v>0</v>
      </c>
      <c r="D1251" s="2"/>
      <c r="E1251" s="2"/>
      <c r="F1251" s="2" t="str">
        <v>0</v>
      </c>
      <c r="G1251" s="2"/>
      <c r="I1251" s="2" t="str">
        <f ca="1">IFERROR(__xludf.DUMMYFUNCTION("""COMPUTED_VALUE"""),"Vũ Huyền Trang")</f>
        <v>Vũ Huyền Trang</v>
      </c>
      <c r="J1251" s="3" t="str">
        <f ca="1">IFERROR(__xludf.DUMMYFUNCTION("""COMPUTED_VALUE"""),"0966314310")</f>
        <v>0966314310</v>
      </c>
      <c r="K1251" s="2" t="str">
        <f ca="1">IFERROR(__xludf.DUMMYFUNCTION("""COMPUTED_VALUE"""),"1753206490391")</f>
        <v>1753206490391</v>
      </c>
    </row>
    <row r="1252" spans="1:11" ht="12.45">
      <c r="A1252" s="2" t="str">
        <f ca="1">IFERROR(__xludf.DUMMYFUNCTION("""COMPUTED_VALUE"""),"1753206544617")</f>
        <v>1753206544617</v>
      </c>
      <c r="B1252" s="2"/>
      <c r="C1252" s="2" t="str">
        <v>0</v>
      </c>
      <c r="D1252" s="2"/>
      <c r="E1252" s="2"/>
      <c r="F1252" s="2" t="str">
        <v>0</v>
      </c>
      <c r="G1252" s="2"/>
      <c r="I1252" s="2" t="str">
        <f ca="1">IFERROR(__xludf.DUMMYFUNCTION("""COMPUTED_VALUE"""),"Đỗ Châm Anh")</f>
        <v>Đỗ Châm Anh</v>
      </c>
      <c r="J1252" s="3" t="str">
        <f ca="1">IFERROR(__xludf.DUMMYFUNCTION("""COMPUTED_VALUE"""),"0326005358")</f>
        <v>0326005358</v>
      </c>
      <c r="K1252" s="2" t="str">
        <f ca="1">IFERROR(__xludf.DUMMYFUNCTION("""COMPUTED_VALUE"""),"1753206544617")</f>
        <v>1753206544617</v>
      </c>
    </row>
    <row r="1253" spans="1:11" ht="12.45">
      <c r="A1253" s="2" t="str">
        <f ca="1">IFERROR(__xludf.DUMMYFUNCTION("""COMPUTED_VALUE"""),"1753206616109")</f>
        <v>1753206616109</v>
      </c>
      <c r="B1253" s="2"/>
      <c r="C1253" s="2" t="str">
        <v>0</v>
      </c>
      <c r="D1253" s="2"/>
      <c r="E1253" s="2"/>
      <c r="F1253" s="2" t="str">
        <v>0</v>
      </c>
      <c r="G1253" s="2"/>
      <c r="I1253" s="2" t="str">
        <f ca="1">IFERROR(__xludf.DUMMYFUNCTION("""COMPUTED_VALUE"""),"Đỗ Huyền Trang")</f>
        <v>Đỗ Huyền Trang</v>
      </c>
      <c r="J1253" s="3" t="str">
        <f ca="1">IFERROR(__xludf.DUMMYFUNCTION("""COMPUTED_VALUE"""),"0392528295")</f>
        <v>0392528295</v>
      </c>
      <c r="K1253" s="2" t="str">
        <f ca="1">IFERROR(__xludf.DUMMYFUNCTION("""COMPUTED_VALUE"""),"1753206616109")</f>
        <v>1753206616109</v>
      </c>
    </row>
    <row r="1254" spans="1:11" ht="12.45">
      <c r="A1254" s="2" t="str">
        <f ca="1">IFERROR(__xludf.DUMMYFUNCTION("""COMPUTED_VALUE"""),"1753206663557")</f>
        <v>1753206663557</v>
      </c>
      <c r="B1254" s="2"/>
      <c r="C1254" s="2" t="str">
        <v>0</v>
      </c>
      <c r="D1254" s="2"/>
      <c r="E1254" s="2"/>
      <c r="F1254" s="2" t="str">
        <v>0</v>
      </c>
      <c r="G1254" s="2"/>
      <c r="I1254" s="2" t="str">
        <f ca="1">IFERROR(__xludf.DUMMYFUNCTION("""COMPUTED_VALUE"""),"Thái Huyền Trang")</f>
        <v>Thái Huyền Trang</v>
      </c>
      <c r="J1254" s="3" t="str">
        <f ca="1">IFERROR(__xludf.DUMMYFUNCTION("""COMPUTED_VALUE"""),"0855111685")</f>
        <v>0855111685</v>
      </c>
      <c r="K1254" s="2" t="str">
        <f ca="1">IFERROR(__xludf.DUMMYFUNCTION("""COMPUTED_VALUE"""),"1753206663557")</f>
        <v>1753206663557</v>
      </c>
    </row>
    <row r="1255" spans="1:11" ht="12.45">
      <c r="A1255" s="2" t="str">
        <f ca="1">IFERROR(__xludf.DUMMYFUNCTION("""COMPUTED_VALUE"""),"1753206728832")</f>
        <v>1753206728832</v>
      </c>
      <c r="B1255" s="2"/>
      <c r="C1255" s="2" t="str">
        <v>0</v>
      </c>
      <c r="D1255" s="2"/>
      <c r="E1255" s="2"/>
      <c r="F1255" s="2" t="str">
        <v>0</v>
      </c>
      <c r="G1255" s="2"/>
      <c r="I1255" s="2" t="str">
        <f ca="1">IFERROR(__xludf.DUMMYFUNCTION("""COMPUTED_VALUE"""),"Nguyễn Hải Hậu")</f>
        <v>Nguyễn Hải Hậu</v>
      </c>
      <c r="J1255" s="3" t="str">
        <f ca="1">IFERROR(__xludf.DUMMYFUNCTION("""COMPUTED_VALUE"""),"0334055012")</f>
        <v>0334055012</v>
      </c>
      <c r="K1255" s="2" t="str">
        <f ca="1">IFERROR(__xludf.DUMMYFUNCTION("""COMPUTED_VALUE"""),"1753206728832")</f>
        <v>1753206728832</v>
      </c>
    </row>
    <row r="1256" spans="1:11" ht="12.45">
      <c r="A1256" s="2" t="str">
        <f ca="1">IFERROR(__xludf.DUMMYFUNCTION("""COMPUTED_VALUE"""),"1753206810616")</f>
        <v>1753206810616</v>
      </c>
      <c r="B1256" s="2"/>
      <c r="C1256" s="2" t="str">
        <v>0</v>
      </c>
      <c r="D1256" s="2"/>
      <c r="E1256" s="2"/>
      <c r="F1256" s="2" t="str">
        <v>0</v>
      </c>
      <c r="G1256" s="2"/>
      <c r="I1256" s="2" t="str">
        <f ca="1">IFERROR(__xludf.DUMMYFUNCTION("""COMPUTED_VALUE"""),"Đậu Nguyễn Xuân Anh ")</f>
        <v xml:space="preserve">Đậu Nguyễn Xuân Anh </v>
      </c>
      <c r="J1256" s="3" t="str">
        <f ca="1">IFERROR(__xludf.DUMMYFUNCTION("""COMPUTED_VALUE"""),"0378704888")</f>
        <v>0378704888</v>
      </c>
      <c r="K1256" s="2" t="str">
        <f ca="1">IFERROR(__xludf.DUMMYFUNCTION("""COMPUTED_VALUE"""),"1753206810616")</f>
        <v>1753206810616</v>
      </c>
    </row>
    <row r="1257" spans="1:11" ht="12.45">
      <c r="A1257" s="2" t="str">
        <f ca="1">IFERROR(__xludf.DUMMYFUNCTION("""COMPUTED_VALUE"""),"1753206869956")</f>
        <v>1753206869956</v>
      </c>
      <c r="B1257" s="2"/>
      <c r="C1257" s="2" t="str">
        <v>0</v>
      </c>
      <c r="D1257" s="2"/>
      <c r="E1257" s="2"/>
      <c r="F1257" s="2" t="str">
        <v>0</v>
      </c>
      <c r="G1257" s="2"/>
      <c r="I1257" s="2" t="str">
        <f ca="1">IFERROR(__xludf.DUMMYFUNCTION("""COMPUTED_VALUE"""),"Bùi Thị Ngọc Ánh")</f>
        <v>Bùi Thị Ngọc Ánh</v>
      </c>
      <c r="J1257" s="3" t="str">
        <f ca="1">IFERROR(__xludf.DUMMYFUNCTION("""COMPUTED_VALUE"""),"0345388369")</f>
        <v>0345388369</v>
      </c>
      <c r="K1257" s="2" t="str">
        <f ca="1">IFERROR(__xludf.DUMMYFUNCTION("""COMPUTED_VALUE"""),"1753206869956")</f>
        <v>1753206869956</v>
      </c>
    </row>
    <row r="1258" spans="1:11" ht="12.45">
      <c r="A1258" s="2" t="str">
        <f ca="1">IFERROR(__xludf.DUMMYFUNCTION("""COMPUTED_VALUE"""),"1753567356741")</f>
        <v>1753567356741</v>
      </c>
      <c r="B1258" s="2"/>
      <c r="C1258" s="2" t="str">
        <v>0</v>
      </c>
      <c r="D1258" s="2"/>
      <c r="E1258" s="2"/>
      <c r="F1258" s="2" t="str">
        <v>0</v>
      </c>
      <c r="G1258" s="2"/>
      <c r="I1258" s="2" t="str">
        <f ca="1">IFERROR(__xludf.DUMMYFUNCTION("""COMPUTED_VALUE"""),"Bùi Phạm Như Hằng")</f>
        <v>Bùi Phạm Như Hằng</v>
      </c>
      <c r="J1258" s="3" t="str">
        <f ca="1">IFERROR(__xludf.DUMMYFUNCTION("""COMPUTED_VALUE"""),"0337290184")</f>
        <v>0337290184</v>
      </c>
      <c r="K1258" s="2" t="str">
        <f ca="1">IFERROR(__xludf.DUMMYFUNCTION("""COMPUTED_VALUE"""),"1753567356741")</f>
        <v>1753567356741</v>
      </c>
    </row>
    <row r="1259" spans="1:11" ht="12.45">
      <c r="A1259" s="2" t="str">
        <f ca="1">IFERROR(__xludf.DUMMYFUNCTION("""COMPUTED_VALUE"""),"1753567406282")</f>
        <v>1753567406282</v>
      </c>
      <c r="B1259" s="2"/>
      <c r="C1259" s="2" t="str">
        <v>0</v>
      </c>
      <c r="D1259" s="2"/>
      <c r="E1259" s="2"/>
      <c r="F1259" s="2" t="str">
        <v>0</v>
      </c>
      <c r="G1259" s="2"/>
      <c r="I1259" s="2" t="str">
        <f ca="1">IFERROR(__xludf.DUMMYFUNCTION("""COMPUTED_VALUE"""),"Nguyễn Thiên Hương")</f>
        <v>Nguyễn Thiên Hương</v>
      </c>
      <c r="J1259" s="3" t="str">
        <f ca="1">IFERROR(__xludf.DUMMYFUNCTION("""COMPUTED_VALUE"""),"0988237031")</f>
        <v>0988237031</v>
      </c>
      <c r="K1259" s="2" t="str">
        <f ca="1">IFERROR(__xludf.DUMMYFUNCTION("""COMPUTED_VALUE"""),"1753567406282")</f>
        <v>1753567406282</v>
      </c>
    </row>
    <row r="1260" spans="1:11" ht="12.45">
      <c r="A1260" s="2" t="str">
        <f ca="1">IFERROR(__xludf.DUMMYFUNCTION("""COMPUTED_VALUE"""),"1753567441803")</f>
        <v>1753567441803</v>
      </c>
      <c r="B1260" s="2"/>
      <c r="C1260" s="2" t="str">
        <v>0</v>
      </c>
      <c r="D1260" s="2"/>
      <c r="E1260" s="2"/>
      <c r="F1260" s="2" t="str">
        <v>0</v>
      </c>
      <c r="G1260" s="2"/>
      <c r="I1260" s="2" t="str">
        <f ca="1">IFERROR(__xludf.DUMMYFUNCTION("""COMPUTED_VALUE"""),"Hoàng Yến")</f>
        <v>Hoàng Yến</v>
      </c>
      <c r="J1260" s="3" t="str">
        <f ca="1">IFERROR(__xludf.DUMMYFUNCTION("""COMPUTED_VALUE"""),"0984921493")</f>
        <v>0984921493</v>
      </c>
      <c r="K1260" s="2" t="str">
        <f ca="1">IFERROR(__xludf.DUMMYFUNCTION("""COMPUTED_VALUE"""),"1753567441803")</f>
        <v>1753567441803</v>
      </c>
    </row>
    <row r="1261" spans="1:11" ht="12.45">
      <c r="A1261" s="2" t="str">
        <f ca="1">IFERROR(__xludf.DUMMYFUNCTION("""COMPUTED_VALUE"""),"1753567507166")</f>
        <v>1753567507166</v>
      </c>
      <c r="B1261" s="2"/>
      <c r="C1261" s="2" t="str">
        <v>0</v>
      </c>
      <c r="D1261" s="2"/>
      <c r="E1261" s="2"/>
      <c r="F1261" s="2" t="str">
        <v>0</v>
      </c>
      <c r="G1261" s="2"/>
      <c r="I1261" s="2" t="str">
        <f ca="1">IFERROR(__xludf.DUMMYFUNCTION("""COMPUTED_VALUE"""),"Hoàng Ngọc Huyền")</f>
        <v>Hoàng Ngọc Huyền</v>
      </c>
      <c r="J1261" s="3" t="str">
        <f ca="1">IFERROR(__xludf.DUMMYFUNCTION("""COMPUTED_VALUE"""),"0819233004")</f>
        <v>0819233004</v>
      </c>
      <c r="K1261" s="2" t="str">
        <f ca="1">IFERROR(__xludf.DUMMYFUNCTION("""COMPUTED_VALUE"""),"1753567507166")</f>
        <v>1753567507166</v>
      </c>
    </row>
    <row r="1262" spans="1:11" ht="12.45">
      <c r="A1262" s="2" t="str">
        <f ca="1">IFERROR(__xludf.DUMMYFUNCTION("""COMPUTED_VALUE"""),"1753567587426")</f>
        <v>1753567587426</v>
      </c>
      <c r="B1262" s="2"/>
      <c r="C1262" s="2" t="str">
        <v>0</v>
      </c>
      <c r="D1262" s="2"/>
      <c r="E1262" s="2"/>
      <c r="F1262" s="2" t="str">
        <v>0</v>
      </c>
      <c r="G1262" s="2"/>
      <c r="I1262" s="2" t="str">
        <f ca="1">IFERROR(__xludf.DUMMYFUNCTION("""COMPUTED_VALUE"""),"Hạ Trần Lê Vy")</f>
        <v>Hạ Trần Lê Vy</v>
      </c>
      <c r="J1262" s="3" t="str">
        <f ca="1">IFERROR(__xludf.DUMMYFUNCTION("""COMPUTED_VALUE"""),"0842731819")</f>
        <v>0842731819</v>
      </c>
      <c r="K1262" s="2" t="str">
        <f ca="1">IFERROR(__xludf.DUMMYFUNCTION("""COMPUTED_VALUE"""),"1753567587426")</f>
        <v>1753567587426</v>
      </c>
    </row>
    <row r="1263" spans="1:11" ht="12.45">
      <c r="A1263" s="2" t="str">
        <f ca="1">IFERROR(__xludf.DUMMYFUNCTION("""COMPUTED_VALUE"""),"1753567641265")</f>
        <v>1753567641265</v>
      </c>
      <c r="B1263" s="2"/>
      <c r="C1263" s="2" t="str">
        <v>0</v>
      </c>
      <c r="D1263" s="2"/>
      <c r="E1263" s="2"/>
      <c r="F1263" s="2" t="str">
        <v>0</v>
      </c>
      <c r="G1263" s="2"/>
      <c r="I1263" s="2" t="str">
        <f ca="1">IFERROR(__xludf.DUMMYFUNCTION("""COMPUTED_VALUE"""),"Lâm Ngọc Khôi Nguyên")</f>
        <v>Lâm Ngọc Khôi Nguyên</v>
      </c>
      <c r="J1263" s="3" t="str">
        <f ca="1">IFERROR(__xludf.DUMMYFUNCTION("""COMPUTED_VALUE"""),"0794639699")</f>
        <v>0794639699</v>
      </c>
      <c r="K1263" s="2" t="str">
        <f ca="1">IFERROR(__xludf.DUMMYFUNCTION("""COMPUTED_VALUE"""),"1753567641265")</f>
        <v>1753567641265</v>
      </c>
    </row>
    <row r="1264" spans="1:11" ht="12.45">
      <c r="A1264" s="2" t="str">
        <f ca="1">IFERROR(__xludf.DUMMYFUNCTION("""COMPUTED_VALUE"""),"1753567693408")</f>
        <v>1753567693408</v>
      </c>
      <c r="B1264" s="2"/>
      <c r="C1264" s="2" t="str">
        <v>0</v>
      </c>
      <c r="D1264" s="2"/>
      <c r="E1264" s="2"/>
      <c r="F1264" s="2" t="str">
        <v>0</v>
      </c>
      <c r="G1264" s="2"/>
      <c r="I1264" s="2" t="str">
        <f ca="1">IFERROR(__xludf.DUMMYFUNCTION("""COMPUTED_VALUE"""),"Nguyễn Bá Phúc")</f>
        <v>Nguyễn Bá Phúc</v>
      </c>
      <c r="J1264" s="3" t="str">
        <f ca="1">IFERROR(__xludf.DUMMYFUNCTION("""COMPUTED_VALUE"""),"0867045006")</f>
        <v>0867045006</v>
      </c>
      <c r="K1264" s="2" t="str">
        <f ca="1">IFERROR(__xludf.DUMMYFUNCTION("""COMPUTED_VALUE"""),"1753567693408")</f>
        <v>1753567693408</v>
      </c>
    </row>
    <row r="1265" spans="1:11" ht="12.45">
      <c r="A1265" s="2" t="str">
        <f ca="1">IFERROR(__xludf.DUMMYFUNCTION("""COMPUTED_VALUE"""),"1753567744533")</f>
        <v>1753567744533</v>
      </c>
      <c r="B1265" s="2"/>
      <c r="C1265" s="2" t="str">
        <v>0</v>
      </c>
      <c r="D1265" s="2"/>
      <c r="E1265" s="2"/>
      <c r="F1265" s="2" t="str">
        <v>0</v>
      </c>
      <c r="G1265" s="2"/>
      <c r="I1265" s="2" t="str">
        <f ca="1">IFERROR(__xludf.DUMMYFUNCTION("""COMPUTED_VALUE"""),"Lê Thị Ngọc Huyền")</f>
        <v>Lê Thị Ngọc Huyền</v>
      </c>
      <c r="J1265" s="3" t="str">
        <f ca="1">IFERROR(__xludf.DUMMYFUNCTION("""COMPUTED_VALUE"""),"0373328112")</f>
        <v>0373328112</v>
      </c>
      <c r="K1265" s="2" t="str">
        <f ca="1">IFERROR(__xludf.DUMMYFUNCTION("""COMPUTED_VALUE"""),"1753567744533")</f>
        <v>1753567744533</v>
      </c>
    </row>
    <row r="1266" spans="1:11" ht="12.45">
      <c r="A1266" s="2" t="str">
        <f ca="1">IFERROR(__xludf.DUMMYFUNCTION("""COMPUTED_VALUE"""),"1753567817853")</f>
        <v>1753567817853</v>
      </c>
      <c r="B1266" s="2"/>
      <c r="C1266" s="2" t="str">
        <v>0</v>
      </c>
      <c r="D1266" s="2"/>
      <c r="E1266" s="2"/>
      <c r="F1266" s="2" t="str">
        <v>0</v>
      </c>
      <c r="G1266" s="2"/>
      <c r="I1266" s="2" t="str">
        <f ca="1">IFERROR(__xludf.DUMMYFUNCTION("""COMPUTED_VALUE"""),"Nguyễn Khánh Linh")</f>
        <v>Nguyễn Khánh Linh</v>
      </c>
      <c r="J1266" s="3" t="str">
        <f ca="1">IFERROR(__xludf.DUMMYFUNCTION("""COMPUTED_VALUE"""),"0886343345")</f>
        <v>0886343345</v>
      </c>
      <c r="K1266" s="2" t="str">
        <f ca="1">IFERROR(__xludf.DUMMYFUNCTION("""COMPUTED_VALUE"""),"1753567817853")</f>
        <v>1753567817853</v>
      </c>
    </row>
    <row r="1267" spans="1:11" ht="12.45">
      <c r="A1267" s="2" t="str">
        <f ca="1">IFERROR(__xludf.DUMMYFUNCTION("""COMPUTED_VALUE"""),"1753567864908")</f>
        <v>1753567864908</v>
      </c>
      <c r="B1267" s="2"/>
      <c r="C1267" s="2" t="str">
        <v>0</v>
      </c>
      <c r="D1267" s="2"/>
      <c r="E1267" s="2"/>
      <c r="F1267" s="2" t="str">
        <v>0</v>
      </c>
      <c r="G1267" s="2"/>
      <c r="I1267" s="2" t="str">
        <f ca="1">IFERROR(__xludf.DUMMYFUNCTION("""COMPUTED_VALUE"""),"Chu Trọng Bách")</f>
        <v>Chu Trọng Bách</v>
      </c>
      <c r="J1267" s="2" t="str">
        <f ca="1">IFERROR(__xludf.DUMMYFUNCTION("""COMPUTED_VALUE"""),"08494258514")</f>
        <v>08494258514</v>
      </c>
      <c r="K1267" s="2" t="str">
        <f ca="1">IFERROR(__xludf.DUMMYFUNCTION("""COMPUTED_VALUE"""),"1753567864908")</f>
        <v>1753567864908</v>
      </c>
    </row>
    <row r="1268" spans="1:11" ht="12.45">
      <c r="A1268" s="2" t="str">
        <f ca="1">IFERROR(__xludf.DUMMYFUNCTION("""COMPUTED_VALUE"""),"1753567920094")</f>
        <v>1753567920094</v>
      </c>
      <c r="B1268" s="2"/>
      <c r="C1268" s="2" t="str">
        <v>0</v>
      </c>
      <c r="D1268" s="2"/>
      <c r="E1268" s="2"/>
      <c r="F1268" s="2" t="str">
        <v>0</v>
      </c>
      <c r="G1268" s="2"/>
      <c r="I1268" s="2" t="str">
        <f ca="1">IFERROR(__xludf.DUMMYFUNCTION("""COMPUTED_VALUE"""),"Trương Yến Nhi")</f>
        <v>Trương Yến Nhi</v>
      </c>
      <c r="J1268" s="3" t="str">
        <f ca="1">IFERROR(__xludf.DUMMYFUNCTION("""COMPUTED_VALUE"""),"0889566515")</f>
        <v>0889566515</v>
      </c>
      <c r="K1268" s="2" t="str">
        <f ca="1">IFERROR(__xludf.DUMMYFUNCTION("""COMPUTED_VALUE"""),"1753567920094")</f>
        <v>1753567920094</v>
      </c>
    </row>
    <row r="1269" spans="1:11" ht="12.45">
      <c r="A1269" s="2" t="str">
        <f ca="1">IFERROR(__xludf.DUMMYFUNCTION("""COMPUTED_VALUE"""),"1753567962356")</f>
        <v>1753567962356</v>
      </c>
      <c r="B1269" s="2"/>
      <c r="C1269" s="2" t="str">
        <v>0</v>
      </c>
      <c r="D1269" s="2"/>
      <c r="E1269" s="2"/>
      <c r="F1269" s="2" t="str">
        <v>0</v>
      </c>
      <c r="G1269" s="2"/>
      <c r="I1269" s="2" t="str">
        <f ca="1">IFERROR(__xludf.DUMMYFUNCTION("""COMPUTED_VALUE"""),"Nguyễn Ngọc Chinh")</f>
        <v>Nguyễn Ngọc Chinh</v>
      </c>
      <c r="J1269" s="3" t="str">
        <f ca="1">IFERROR(__xludf.DUMMYFUNCTION("""COMPUTED_VALUE"""),"0348924307")</f>
        <v>0348924307</v>
      </c>
      <c r="K1269" s="2" t="str">
        <f ca="1">IFERROR(__xludf.DUMMYFUNCTION("""COMPUTED_VALUE"""),"1753567962356")</f>
        <v>1753567962356</v>
      </c>
    </row>
    <row r="1270" spans="1:11" ht="12.45">
      <c r="A1270" s="2" t="str">
        <f ca="1">IFERROR(__xludf.DUMMYFUNCTION("""COMPUTED_VALUE"""),"1753568031523")</f>
        <v>1753568031523</v>
      </c>
      <c r="B1270" s="2"/>
      <c r="C1270" s="2" t="str">
        <v>0</v>
      </c>
      <c r="D1270" s="2"/>
      <c r="E1270" s="2"/>
      <c r="F1270" s="2" t="str">
        <v>0</v>
      </c>
      <c r="G1270" s="2"/>
      <c r="I1270" s="2" t="str">
        <f ca="1">IFERROR(__xludf.DUMMYFUNCTION("""COMPUTED_VALUE"""),"Trần Thị Lệ Quyên ")</f>
        <v xml:space="preserve">Trần Thị Lệ Quyên </v>
      </c>
      <c r="J1270" s="3" t="str">
        <f ca="1">IFERROR(__xludf.DUMMYFUNCTION("""COMPUTED_VALUE"""),"0569408177")</f>
        <v>0569408177</v>
      </c>
      <c r="K1270" s="2" t="str">
        <f ca="1">IFERROR(__xludf.DUMMYFUNCTION("""COMPUTED_VALUE"""),"1753568031523")</f>
        <v>1753568031523</v>
      </c>
    </row>
    <row r="1271" spans="1:11" ht="12.45">
      <c r="A1271" s="2" t="str">
        <f ca="1">IFERROR(__xludf.DUMMYFUNCTION("""COMPUTED_VALUE"""),"1753568079441")</f>
        <v>1753568079441</v>
      </c>
      <c r="B1271" s="2"/>
      <c r="C1271" s="2" t="str">
        <v>0</v>
      </c>
      <c r="D1271" s="2"/>
      <c r="E1271" s="2"/>
      <c r="F1271" s="2" t="str">
        <v>0</v>
      </c>
      <c r="G1271" s="2"/>
      <c r="I1271" s="2" t="str">
        <f ca="1">IFERROR(__xludf.DUMMYFUNCTION("""COMPUTED_VALUE"""),"Cầm Thuỳ Dương")</f>
        <v>Cầm Thuỳ Dương</v>
      </c>
      <c r="J1271" s="3" t="str">
        <f ca="1">IFERROR(__xludf.DUMMYFUNCTION("""COMPUTED_VALUE"""),"0868802367")</f>
        <v>0868802367</v>
      </c>
      <c r="K1271" s="2" t="str">
        <f ca="1">IFERROR(__xludf.DUMMYFUNCTION("""COMPUTED_VALUE"""),"1753568079441")</f>
        <v>1753568079441</v>
      </c>
    </row>
    <row r="1272" spans="1:11" ht="12.45">
      <c r="A1272" s="2" t="str">
        <f ca="1">IFERROR(__xludf.DUMMYFUNCTION("""COMPUTED_VALUE"""),"1753568143803")</f>
        <v>1753568143803</v>
      </c>
      <c r="B1272" s="2"/>
      <c r="C1272" s="2" t="str">
        <v>0</v>
      </c>
      <c r="D1272" s="2"/>
      <c r="E1272" s="2"/>
      <c r="F1272" s="2" t="str">
        <v>0</v>
      </c>
      <c r="G1272" s="2"/>
      <c r="I1272" s="2" t="str">
        <f ca="1">IFERROR(__xludf.DUMMYFUNCTION("""COMPUTED_VALUE"""),"Lâm Ngọc Trâm Anh ")</f>
        <v xml:space="preserve">Lâm Ngọc Trâm Anh </v>
      </c>
      <c r="J1272" s="3" t="str">
        <f ca="1">IFERROR(__xludf.DUMMYFUNCTION("""COMPUTED_VALUE"""),"0823011435")</f>
        <v>0823011435</v>
      </c>
      <c r="K1272" s="2" t="str">
        <f ca="1">IFERROR(__xludf.DUMMYFUNCTION("""COMPUTED_VALUE"""),"1753568143803")</f>
        <v>1753568143803</v>
      </c>
    </row>
    <row r="1273" spans="1:11" ht="12.45">
      <c r="A1273" s="2" t="str">
        <f ca="1">IFERROR(__xludf.DUMMYFUNCTION("""COMPUTED_VALUE"""),"1753568221025")</f>
        <v>1753568221025</v>
      </c>
      <c r="B1273" s="2"/>
      <c r="C1273" s="2" t="str">
        <v>0</v>
      </c>
      <c r="D1273" s="2"/>
      <c r="E1273" s="2"/>
      <c r="F1273" s="2" t="str">
        <v>0</v>
      </c>
      <c r="G1273" s="2"/>
      <c r="I1273" s="2" t="str">
        <f ca="1">IFERROR(__xludf.DUMMYFUNCTION("""COMPUTED_VALUE"""),"Nguyễn Thị Thùy Linh")</f>
        <v>Nguyễn Thị Thùy Linh</v>
      </c>
      <c r="J1273" s="3" t="str">
        <f ca="1">IFERROR(__xludf.DUMMYFUNCTION("""COMPUTED_VALUE"""),"0981021955")</f>
        <v>0981021955</v>
      </c>
      <c r="K1273" s="2" t="str">
        <f ca="1">IFERROR(__xludf.DUMMYFUNCTION("""COMPUTED_VALUE"""),"1753568221025")</f>
        <v>1753568221025</v>
      </c>
    </row>
    <row r="1274" spans="1:11" ht="12.45">
      <c r="A1274" s="2" t="str">
        <f ca="1">IFERROR(__xludf.DUMMYFUNCTION("""COMPUTED_VALUE"""),"1753568258916")</f>
        <v>1753568258916</v>
      </c>
      <c r="B1274" s="2"/>
      <c r="C1274" s="2" t="str">
        <v>0</v>
      </c>
      <c r="D1274" s="2"/>
      <c r="E1274" s="2"/>
      <c r="F1274" s="2" t="str">
        <v>0</v>
      </c>
      <c r="G1274" s="2"/>
      <c r="I1274" s="2" t="str">
        <f ca="1">IFERROR(__xludf.DUMMYFUNCTION("""COMPUTED_VALUE"""),"Phạm Kiều Linh")</f>
        <v>Phạm Kiều Linh</v>
      </c>
      <c r="J1274" s="3" t="str">
        <f ca="1">IFERROR(__xludf.DUMMYFUNCTION("""COMPUTED_VALUE"""),"0948881596")</f>
        <v>0948881596</v>
      </c>
      <c r="K1274" s="2" t="str">
        <f ca="1">IFERROR(__xludf.DUMMYFUNCTION("""COMPUTED_VALUE"""),"1753568258916")</f>
        <v>1753568258916</v>
      </c>
    </row>
    <row r="1275" spans="1:11" ht="12.45">
      <c r="A1275" s="2" t="str">
        <f ca="1">IFERROR(__xludf.DUMMYFUNCTION("""COMPUTED_VALUE"""),"1753568343175")</f>
        <v>1753568343175</v>
      </c>
      <c r="B1275" s="2"/>
      <c r="C1275" s="2" t="str">
        <v>0</v>
      </c>
      <c r="D1275" s="2"/>
      <c r="E1275" s="2"/>
      <c r="F1275" s="2" t="str">
        <v>0</v>
      </c>
      <c r="G1275" s="2"/>
      <c r="I1275" s="2" t="str">
        <f ca="1">IFERROR(__xludf.DUMMYFUNCTION("""COMPUTED_VALUE"""),"Nguyễn Ngọc Vân Anh ")</f>
        <v xml:space="preserve">Nguyễn Ngọc Vân Anh </v>
      </c>
      <c r="J1275" s="3" t="str">
        <f ca="1">IFERROR(__xludf.DUMMYFUNCTION("""COMPUTED_VALUE"""),"0939728411")</f>
        <v>0939728411</v>
      </c>
      <c r="K1275" s="2" t="str">
        <f ca="1">IFERROR(__xludf.DUMMYFUNCTION("""COMPUTED_VALUE"""),"1753568343175")</f>
        <v>1753568343175</v>
      </c>
    </row>
    <row r="1276" spans="1:11" ht="12.45">
      <c r="A1276" s="2" t="str">
        <f ca="1">IFERROR(__xludf.DUMMYFUNCTION("""COMPUTED_VALUE"""),"1753568384503")</f>
        <v>1753568384503</v>
      </c>
      <c r="B1276" s="2"/>
      <c r="C1276" s="2" t="str">
        <v>0</v>
      </c>
      <c r="D1276" s="2"/>
      <c r="E1276" s="2"/>
      <c r="F1276" s="2" t="str">
        <v>0</v>
      </c>
      <c r="G1276" s="2"/>
      <c r="I1276" s="2" t="str">
        <f ca="1">IFERROR(__xludf.DUMMYFUNCTION("""COMPUTED_VALUE"""),"Dương Diễm Huỳnh ")</f>
        <v xml:space="preserve">Dương Diễm Huỳnh </v>
      </c>
      <c r="J1276" s="3" t="str">
        <f ca="1">IFERROR(__xludf.DUMMYFUNCTION("""COMPUTED_VALUE"""),"0918278525")</f>
        <v>0918278525</v>
      </c>
      <c r="K1276" s="2" t="str">
        <f ca="1">IFERROR(__xludf.DUMMYFUNCTION("""COMPUTED_VALUE"""),"1753568384503")</f>
        <v>1753568384503</v>
      </c>
    </row>
    <row r="1277" spans="1:11" ht="12.45">
      <c r="A1277" s="2" t="str">
        <f ca="1">IFERROR(__xludf.DUMMYFUNCTION("""COMPUTED_VALUE"""),"1753568428015")</f>
        <v>1753568428015</v>
      </c>
      <c r="B1277" s="2"/>
      <c r="C1277" s="2" t="str">
        <v>0</v>
      </c>
      <c r="D1277" s="2"/>
      <c r="E1277" s="2"/>
      <c r="F1277" s="2" t="str">
        <v>0</v>
      </c>
      <c r="G1277" s="2"/>
      <c r="I1277" s="2" t="str">
        <f ca="1">IFERROR(__xludf.DUMMYFUNCTION("""COMPUTED_VALUE"""),"Nguyễn Diệu Linh")</f>
        <v>Nguyễn Diệu Linh</v>
      </c>
      <c r="J1277" s="3" t="str">
        <f ca="1">IFERROR(__xludf.DUMMYFUNCTION("""COMPUTED_VALUE"""),"0903180794")</f>
        <v>0903180794</v>
      </c>
      <c r="K1277" s="2" t="str">
        <f ca="1">IFERROR(__xludf.DUMMYFUNCTION("""COMPUTED_VALUE"""),"1753568428015")</f>
        <v>1753568428015</v>
      </c>
    </row>
    <row r="1278" spans="1:11" ht="12.45">
      <c r="A1278" s="2" t="str">
        <f ca="1">IFERROR(__xludf.DUMMYFUNCTION("""COMPUTED_VALUE"""),"1753568470199")</f>
        <v>1753568470199</v>
      </c>
      <c r="B1278" s="2"/>
      <c r="C1278" s="2" t="str">
        <v>0</v>
      </c>
      <c r="D1278" s="2"/>
      <c r="E1278" s="2"/>
      <c r="F1278" s="2" t="str">
        <v>0</v>
      </c>
      <c r="G1278" s="2"/>
      <c r="I1278" s="2" t="str">
        <f ca="1">IFERROR(__xludf.DUMMYFUNCTION("""COMPUTED_VALUE"""),"Lê Thị Kim Anh")</f>
        <v>Lê Thị Kim Anh</v>
      </c>
      <c r="J1278" s="3" t="str">
        <f ca="1">IFERROR(__xludf.DUMMYFUNCTION("""COMPUTED_VALUE"""),"0792761810")</f>
        <v>0792761810</v>
      </c>
      <c r="K1278" s="2" t="str">
        <f ca="1">IFERROR(__xludf.DUMMYFUNCTION("""COMPUTED_VALUE"""),"1753568470199")</f>
        <v>1753568470199</v>
      </c>
    </row>
    <row r="1279" spans="1:11" ht="12.45">
      <c r="A1279" s="2" t="str">
        <f ca="1">IFERROR(__xludf.DUMMYFUNCTION("""COMPUTED_VALUE"""),"1753568522077")</f>
        <v>1753568522077</v>
      </c>
      <c r="B1279" s="2"/>
      <c r="C1279" s="2" t="str">
        <v>0</v>
      </c>
      <c r="D1279" s="2"/>
      <c r="E1279" s="2"/>
      <c r="F1279" s="2" t="str">
        <v>0</v>
      </c>
      <c r="G1279" s="2"/>
      <c r="I1279" s="2" t="str">
        <f ca="1">IFERROR(__xludf.DUMMYFUNCTION("""COMPUTED_VALUE"""),"Chu Thị Ngọc Khánh")</f>
        <v>Chu Thị Ngọc Khánh</v>
      </c>
      <c r="J1279" s="3" t="str">
        <f ca="1">IFERROR(__xludf.DUMMYFUNCTION("""COMPUTED_VALUE"""),"0915453854")</f>
        <v>0915453854</v>
      </c>
      <c r="K1279" s="2" t="str">
        <f ca="1">IFERROR(__xludf.DUMMYFUNCTION("""COMPUTED_VALUE"""),"1753568522077")</f>
        <v>1753568522077</v>
      </c>
    </row>
    <row r="1280" spans="1:11" ht="12.45">
      <c r="A1280" s="2" t="str">
        <f ca="1">IFERROR(__xludf.DUMMYFUNCTION("""COMPUTED_VALUE"""),"1753568562256")</f>
        <v>1753568562256</v>
      </c>
      <c r="B1280" s="2"/>
      <c r="C1280" s="2" t="str">
        <v>0</v>
      </c>
      <c r="D1280" s="2"/>
      <c r="E1280" s="2"/>
      <c r="F1280" s="2" t="str">
        <v>0</v>
      </c>
      <c r="G1280" s="2"/>
      <c r="I1280" s="2" t="str">
        <f ca="1">IFERROR(__xludf.DUMMYFUNCTION("""COMPUTED_VALUE"""),"Đinh Thị Xuân Tươi")</f>
        <v>Đinh Thị Xuân Tươi</v>
      </c>
      <c r="J1280" s="3" t="str">
        <f ca="1">IFERROR(__xludf.DUMMYFUNCTION("""COMPUTED_VALUE"""),"0989555029")</f>
        <v>0989555029</v>
      </c>
      <c r="K1280" s="2" t="str">
        <f ca="1">IFERROR(__xludf.DUMMYFUNCTION("""COMPUTED_VALUE"""),"1753568562256")</f>
        <v>1753568562256</v>
      </c>
    </row>
    <row r="1281" spans="1:11" ht="12.45">
      <c r="A1281" s="2" t="str">
        <f ca="1">IFERROR(__xludf.DUMMYFUNCTION("""COMPUTED_VALUE"""),"1753568610619")</f>
        <v>1753568610619</v>
      </c>
      <c r="B1281" s="2"/>
      <c r="C1281" s="2" t="str">
        <v>0</v>
      </c>
      <c r="D1281" s="2"/>
      <c r="E1281" s="2"/>
      <c r="F1281" s="2" t="str">
        <v>0</v>
      </c>
      <c r="G1281" s="2"/>
      <c r="I1281" s="2" t="str">
        <f ca="1">IFERROR(__xludf.DUMMYFUNCTION("""COMPUTED_VALUE"""),"Nguyễn Thị Thanh Hằng")</f>
        <v>Nguyễn Thị Thanh Hằng</v>
      </c>
      <c r="J1281" s="3" t="str">
        <f ca="1">IFERROR(__xludf.DUMMYFUNCTION("""COMPUTED_VALUE"""),"0862128619")</f>
        <v>0862128619</v>
      </c>
      <c r="K1281" s="2" t="str">
        <f ca="1">IFERROR(__xludf.DUMMYFUNCTION("""COMPUTED_VALUE"""),"1753568610619")</f>
        <v>1753568610619</v>
      </c>
    </row>
    <row r="1282" spans="1:11" ht="12.45">
      <c r="A1282" s="2" t="str">
        <f ca="1">IFERROR(__xludf.DUMMYFUNCTION("""COMPUTED_VALUE"""),"1753568664988")</f>
        <v>1753568664988</v>
      </c>
      <c r="B1282" s="2"/>
      <c r="C1282" s="2" t="str">
        <v>0</v>
      </c>
      <c r="D1282" s="2"/>
      <c r="E1282" s="2"/>
      <c r="F1282" s="2" t="str">
        <v>0</v>
      </c>
      <c r="G1282" s="2"/>
      <c r="I1282" s="2" t="str">
        <f ca="1">IFERROR(__xludf.DUMMYFUNCTION("""COMPUTED_VALUE"""),"Nguyễn Quỳnh Trang")</f>
        <v>Nguyễn Quỳnh Trang</v>
      </c>
      <c r="J1282" s="3" t="str">
        <f ca="1">IFERROR(__xludf.DUMMYFUNCTION("""COMPUTED_VALUE"""),"0827500334")</f>
        <v>0827500334</v>
      </c>
      <c r="K1282" s="2" t="str">
        <f ca="1">IFERROR(__xludf.DUMMYFUNCTION("""COMPUTED_VALUE"""),"1753568664988")</f>
        <v>1753568664988</v>
      </c>
    </row>
    <row r="1283" spans="1:11" ht="12.45">
      <c r="A1283" s="2" t="str">
        <f ca="1">IFERROR(__xludf.DUMMYFUNCTION("""COMPUTED_VALUE"""),"1753568703358")</f>
        <v>1753568703358</v>
      </c>
      <c r="B1283" s="2"/>
      <c r="C1283" s="2" t="str">
        <v>0</v>
      </c>
      <c r="D1283" s="2"/>
      <c r="E1283" s="2"/>
      <c r="F1283" s="2" t="str">
        <v>0</v>
      </c>
      <c r="G1283" s="2"/>
      <c r="I1283" s="2" t="str">
        <f ca="1">IFERROR(__xludf.DUMMYFUNCTION("""COMPUTED_VALUE"""),"Đồng Vũ Hương Giang")</f>
        <v>Đồng Vũ Hương Giang</v>
      </c>
      <c r="J1283" s="3" t="str">
        <f ca="1">IFERROR(__xludf.DUMMYFUNCTION("""COMPUTED_VALUE"""),"0886108628")</f>
        <v>0886108628</v>
      </c>
      <c r="K1283" s="2" t="str">
        <f ca="1">IFERROR(__xludf.DUMMYFUNCTION("""COMPUTED_VALUE"""),"1753568703358")</f>
        <v>1753568703358</v>
      </c>
    </row>
    <row r="1284" spans="1:11" ht="12.45">
      <c r="A1284" s="2" t="str">
        <f ca="1">IFERROR(__xludf.DUMMYFUNCTION("""COMPUTED_VALUE"""),"1753568744714")</f>
        <v>1753568744714</v>
      </c>
      <c r="B1284" s="2"/>
      <c r="C1284" s="2" t="str">
        <v>0</v>
      </c>
      <c r="D1284" s="2"/>
      <c r="E1284" s="2"/>
      <c r="F1284" s="2" t="str">
        <v>0</v>
      </c>
      <c r="G1284" s="2"/>
      <c r="I1284" s="2" t="str">
        <f ca="1">IFERROR(__xludf.DUMMYFUNCTION("""COMPUTED_VALUE"""),"Đặng Thị Bảo Ngân")</f>
        <v>Đặng Thị Bảo Ngân</v>
      </c>
      <c r="J1284" s="3" t="str">
        <f ca="1">IFERROR(__xludf.DUMMYFUNCTION("""COMPUTED_VALUE"""),"0769411523")</f>
        <v>0769411523</v>
      </c>
      <c r="K1284" s="2" t="str">
        <f ca="1">IFERROR(__xludf.DUMMYFUNCTION("""COMPUTED_VALUE"""),"1753568744714")</f>
        <v>1753568744714</v>
      </c>
    </row>
    <row r="1285" spans="1:11" ht="12.45">
      <c r="A1285" s="2" t="str">
        <f ca="1">IFERROR(__xludf.DUMMYFUNCTION("""COMPUTED_VALUE"""),"1753568820077")</f>
        <v>1753568820077</v>
      </c>
      <c r="B1285" s="2"/>
      <c r="C1285" s="2" t="str">
        <v>0</v>
      </c>
      <c r="D1285" s="2"/>
      <c r="E1285" s="2"/>
      <c r="F1285" s="2" t="str">
        <v>0</v>
      </c>
      <c r="G1285" s="2"/>
      <c r="I1285" s="2" t="str">
        <f ca="1">IFERROR(__xludf.DUMMYFUNCTION("""COMPUTED_VALUE"""),"phạm thị phương ngân")</f>
        <v>phạm thị phương ngân</v>
      </c>
      <c r="J1285" s="3" t="str">
        <f ca="1">IFERROR(__xludf.DUMMYFUNCTION("""COMPUTED_VALUE"""),"0865108177")</f>
        <v>0865108177</v>
      </c>
      <c r="K1285" s="2" t="str">
        <f ca="1">IFERROR(__xludf.DUMMYFUNCTION("""COMPUTED_VALUE"""),"1753568820077")</f>
        <v>1753568820077</v>
      </c>
    </row>
    <row r="1286" spans="1:11" ht="12.45">
      <c r="A1286" s="2" t="str">
        <f ca="1">IFERROR(__xludf.DUMMYFUNCTION("""COMPUTED_VALUE"""),"1753568871518")</f>
        <v>1753568871518</v>
      </c>
      <c r="B1286" s="2"/>
      <c r="C1286" s="2" t="str">
        <v>0</v>
      </c>
      <c r="D1286" s="2"/>
      <c r="E1286" s="2"/>
      <c r="F1286" s="2" t="str">
        <v>0</v>
      </c>
      <c r="G1286" s="2"/>
      <c r="I1286" s="2" t="str">
        <f ca="1">IFERROR(__xludf.DUMMYFUNCTION("""COMPUTED_VALUE"""),"Phùng Minh Ánh ")</f>
        <v xml:space="preserve">Phùng Minh Ánh </v>
      </c>
      <c r="J1286" s="3" t="str">
        <f ca="1">IFERROR(__xludf.DUMMYFUNCTION("""COMPUTED_VALUE"""),"0355723189")</f>
        <v>0355723189</v>
      </c>
      <c r="K1286" s="2" t="str">
        <f ca="1">IFERROR(__xludf.DUMMYFUNCTION("""COMPUTED_VALUE"""),"1753568871518")</f>
        <v>1753568871518</v>
      </c>
    </row>
    <row r="1287" spans="1:11" ht="12.45">
      <c r="A1287" s="2" t="str">
        <f ca="1">IFERROR(__xludf.DUMMYFUNCTION("""COMPUTED_VALUE"""),"1753568909632")</f>
        <v>1753568909632</v>
      </c>
      <c r="B1287" s="2"/>
      <c r="C1287" s="2" t="str">
        <v>0</v>
      </c>
      <c r="D1287" s="2"/>
      <c r="E1287" s="2"/>
      <c r="F1287" s="2" t="str">
        <v>0</v>
      </c>
      <c r="G1287" s="2"/>
      <c r="I1287" s="2" t="str">
        <f ca="1">IFERROR(__xludf.DUMMYFUNCTION("""COMPUTED_VALUE"""),"Võ Diệu Thảo")</f>
        <v>Võ Diệu Thảo</v>
      </c>
      <c r="J1287" s="3" t="str">
        <f ca="1">IFERROR(__xludf.DUMMYFUNCTION("""COMPUTED_VALUE"""),"0334381044")</f>
        <v>0334381044</v>
      </c>
      <c r="K1287" s="2" t="str">
        <f ca="1">IFERROR(__xludf.DUMMYFUNCTION("""COMPUTED_VALUE"""),"1753568909632")</f>
        <v>1753568909632</v>
      </c>
    </row>
    <row r="1288" spans="1:11" ht="12.45">
      <c r="A1288" s="2" t="str">
        <f ca="1">IFERROR(__xludf.DUMMYFUNCTION("""COMPUTED_VALUE"""),"1753568953863")</f>
        <v>1753568953863</v>
      </c>
      <c r="B1288" s="2"/>
      <c r="C1288" s="2" t="str">
        <v>0</v>
      </c>
      <c r="D1288" s="2"/>
      <c r="E1288" s="2"/>
      <c r="F1288" s="2" t="str">
        <v>0</v>
      </c>
      <c r="G1288" s="2"/>
      <c r="I1288" s="2" t="str">
        <f ca="1">IFERROR(__xludf.DUMMYFUNCTION("""COMPUTED_VALUE"""),"Nguyễn Huỳnh Diễm Trúc")</f>
        <v>Nguyễn Huỳnh Diễm Trúc</v>
      </c>
      <c r="J1288" s="3" t="str">
        <f ca="1">IFERROR(__xludf.DUMMYFUNCTION("""COMPUTED_VALUE"""),"0939886706")</f>
        <v>0939886706</v>
      </c>
      <c r="K1288" s="2" t="str">
        <f ca="1">IFERROR(__xludf.DUMMYFUNCTION("""COMPUTED_VALUE"""),"1753568953863")</f>
        <v>1753568953863</v>
      </c>
    </row>
    <row r="1289" spans="1:11" ht="12.45">
      <c r="A1289" s="2" t="str">
        <f ca="1">IFERROR(__xludf.DUMMYFUNCTION("""COMPUTED_VALUE"""),"1753568995948")</f>
        <v>1753568995948</v>
      </c>
      <c r="B1289" s="2"/>
      <c r="C1289" s="2" t="str">
        <v>0</v>
      </c>
      <c r="D1289" s="2"/>
      <c r="E1289" s="2"/>
      <c r="F1289" s="2" t="str">
        <v>0</v>
      </c>
      <c r="G1289" s="2"/>
      <c r="I1289" s="2" t="str">
        <f ca="1">IFERROR(__xludf.DUMMYFUNCTION("""COMPUTED_VALUE"""),"Nguyễn Thị Bảo Nhi")</f>
        <v>Nguyễn Thị Bảo Nhi</v>
      </c>
      <c r="J1289" s="3" t="str">
        <f ca="1">IFERROR(__xludf.DUMMYFUNCTION("""COMPUTED_VALUE"""),"0334638850")</f>
        <v>0334638850</v>
      </c>
      <c r="K1289" s="2" t="str">
        <f ca="1">IFERROR(__xludf.DUMMYFUNCTION("""COMPUTED_VALUE"""),"1753568995948")</f>
        <v>1753568995948</v>
      </c>
    </row>
    <row r="1290" spans="1:11" ht="12.45">
      <c r="A1290" s="2" t="str">
        <f ca="1">IFERROR(__xludf.DUMMYFUNCTION("""COMPUTED_VALUE"""),"1753569044732")</f>
        <v>1753569044732</v>
      </c>
      <c r="B1290" s="2"/>
      <c r="C1290" s="2" t="str">
        <v>0</v>
      </c>
      <c r="D1290" s="2"/>
      <c r="E1290" s="2"/>
      <c r="F1290" s="2" t="str">
        <v>0</v>
      </c>
      <c r="G1290" s="2"/>
      <c r="I1290" s="2" t="str">
        <f ca="1">IFERROR(__xludf.DUMMYFUNCTION("""COMPUTED_VALUE"""),"Đỗ Ngọc Hân")</f>
        <v>Đỗ Ngọc Hân</v>
      </c>
      <c r="J1290" s="3" t="str">
        <f ca="1">IFERROR(__xludf.DUMMYFUNCTION("""COMPUTED_VALUE"""),"0795895123")</f>
        <v>0795895123</v>
      </c>
      <c r="K1290" s="2" t="str">
        <f ca="1">IFERROR(__xludf.DUMMYFUNCTION("""COMPUTED_VALUE"""),"1753569044732")</f>
        <v>1753569044732</v>
      </c>
    </row>
    <row r="1291" spans="1:11" ht="12.45">
      <c r="A1291" s="2" t="str">
        <f ca="1">IFERROR(__xludf.DUMMYFUNCTION("""COMPUTED_VALUE"""),"1753569113259")</f>
        <v>1753569113259</v>
      </c>
      <c r="B1291" s="2"/>
      <c r="C1291" s="2" t="str">
        <v>0</v>
      </c>
      <c r="D1291" s="2"/>
      <c r="E1291" s="2"/>
      <c r="F1291" s="2" t="str">
        <v>0</v>
      </c>
      <c r="G1291" s="2"/>
      <c r="I1291" s="2" t="str">
        <f ca="1">IFERROR(__xludf.DUMMYFUNCTION("""COMPUTED_VALUE"""),"Nguyễn Phú Long")</f>
        <v>Nguyễn Phú Long</v>
      </c>
      <c r="J1291" s="3" t="str">
        <f ca="1">IFERROR(__xludf.DUMMYFUNCTION("""COMPUTED_VALUE"""),"0972554116")</f>
        <v>0972554116</v>
      </c>
      <c r="K1291" s="2" t="str">
        <f ca="1">IFERROR(__xludf.DUMMYFUNCTION("""COMPUTED_VALUE"""),"1753569113259")</f>
        <v>1753569113259</v>
      </c>
    </row>
    <row r="1292" spans="1:11" ht="12.45">
      <c r="A1292" s="2" t="str">
        <f ca="1">IFERROR(__xludf.DUMMYFUNCTION("""COMPUTED_VALUE"""),"1753569179594")</f>
        <v>1753569179594</v>
      </c>
      <c r="B1292" s="2"/>
      <c r="C1292" s="2" t="str">
        <v>0</v>
      </c>
      <c r="D1292" s="2"/>
      <c r="E1292" s="2"/>
      <c r="F1292" s="2" t="str">
        <v>0</v>
      </c>
      <c r="G1292" s="2"/>
      <c r="I1292" s="2" t="str">
        <f ca="1">IFERROR(__xludf.DUMMYFUNCTION("""COMPUTED_VALUE"""),"Trần Thị Mai Uyên")</f>
        <v>Trần Thị Mai Uyên</v>
      </c>
      <c r="J1292" s="3" t="str">
        <f ca="1">IFERROR(__xludf.DUMMYFUNCTION("""COMPUTED_VALUE"""),"0377142492")</f>
        <v>0377142492</v>
      </c>
      <c r="K1292" s="2" t="str">
        <f ca="1">IFERROR(__xludf.DUMMYFUNCTION("""COMPUTED_VALUE"""),"1753569179594")</f>
        <v>1753569179594</v>
      </c>
    </row>
    <row r="1293" spans="1:11" ht="12.45">
      <c r="A1293" s="2" t="str">
        <f ca="1">IFERROR(__xludf.DUMMYFUNCTION("""COMPUTED_VALUE"""),"1753569233201")</f>
        <v>1753569233201</v>
      </c>
      <c r="B1293" s="2"/>
      <c r="C1293" s="2" t="str">
        <v>0</v>
      </c>
      <c r="D1293" s="2"/>
      <c r="E1293" s="2"/>
      <c r="F1293" s="2" t="str">
        <v>0</v>
      </c>
      <c r="G1293" s="2"/>
      <c r="I1293" s="2" t="str">
        <f ca="1">IFERROR(__xludf.DUMMYFUNCTION("""COMPUTED_VALUE"""),"Lê Quang Vũ")</f>
        <v>Lê Quang Vũ</v>
      </c>
      <c r="J1293" s="3" t="str">
        <f ca="1">IFERROR(__xludf.DUMMYFUNCTION("""COMPUTED_VALUE"""),"0792393109")</f>
        <v>0792393109</v>
      </c>
      <c r="K1293" s="2" t="str">
        <f ca="1">IFERROR(__xludf.DUMMYFUNCTION("""COMPUTED_VALUE"""),"1753569233201")</f>
        <v>1753569233201</v>
      </c>
    </row>
    <row r="1294" spans="1:11" ht="12.45">
      <c r="A1294" s="2" t="str">
        <f ca="1">IFERROR(__xludf.DUMMYFUNCTION("""COMPUTED_VALUE"""),"1753569278641")</f>
        <v>1753569278641</v>
      </c>
      <c r="B1294" s="2"/>
      <c r="C1294" s="2" t="str">
        <v>0</v>
      </c>
      <c r="D1294" s="2"/>
      <c r="E1294" s="2"/>
      <c r="F1294" s="2" t="str">
        <v>0</v>
      </c>
      <c r="G1294" s="2"/>
      <c r="I1294" s="2" t="str">
        <f ca="1">IFERROR(__xludf.DUMMYFUNCTION("""COMPUTED_VALUE"""),"Nguyễn Thị Huyền Trang")</f>
        <v>Nguyễn Thị Huyền Trang</v>
      </c>
      <c r="J1294" s="3" t="str">
        <f ca="1">IFERROR(__xludf.DUMMYFUNCTION("""COMPUTED_VALUE"""),"0919112419")</f>
        <v>0919112419</v>
      </c>
      <c r="K1294" s="2" t="str">
        <f ca="1">IFERROR(__xludf.DUMMYFUNCTION("""COMPUTED_VALUE"""),"1753569278641")</f>
        <v>1753569278641</v>
      </c>
    </row>
    <row r="1295" spans="1:11" ht="12.45">
      <c r="A1295" s="2" t="str">
        <f ca="1">IFERROR(__xludf.DUMMYFUNCTION("""COMPUTED_VALUE"""),"1753569316710")</f>
        <v>1753569316710</v>
      </c>
      <c r="B1295" s="2"/>
      <c r="C1295" s="2" t="str">
        <v>0</v>
      </c>
      <c r="D1295" s="2"/>
      <c r="E1295" s="2"/>
      <c r="F1295" s="2" t="str">
        <v>0</v>
      </c>
      <c r="G1295" s="2"/>
      <c r="I1295" s="2" t="str">
        <f ca="1">IFERROR(__xludf.DUMMYFUNCTION("""COMPUTED_VALUE"""),"Nguyễn Vân Anh")</f>
        <v>Nguyễn Vân Anh</v>
      </c>
      <c r="J1295" s="3" t="str">
        <f ca="1">IFERROR(__xludf.DUMMYFUNCTION("""COMPUTED_VALUE"""),"0935816259")</f>
        <v>0935816259</v>
      </c>
      <c r="K1295" s="2" t="str">
        <f ca="1">IFERROR(__xludf.DUMMYFUNCTION("""COMPUTED_VALUE"""),"1753569316710")</f>
        <v>1753569316710</v>
      </c>
    </row>
    <row r="1296" spans="1:11" ht="12.45">
      <c r="A1296" s="2" t="str">
        <f ca="1">IFERROR(__xludf.DUMMYFUNCTION("""COMPUTED_VALUE"""),"1753569355054")</f>
        <v>1753569355054</v>
      </c>
      <c r="B1296" s="2"/>
      <c r="C1296" s="2" t="str">
        <v>0</v>
      </c>
      <c r="D1296" s="2"/>
      <c r="E1296" s="2"/>
      <c r="F1296" s="2" t="str">
        <v>0</v>
      </c>
      <c r="G1296" s="2"/>
      <c r="I1296" s="2" t="str">
        <f ca="1">IFERROR(__xludf.DUMMYFUNCTION("""COMPUTED_VALUE"""),"Nguyễn Hoàng Long")</f>
        <v>Nguyễn Hoàng Long</v>
      </c>
      <c r="J1296" s="3" t="str">
        <f ca="1">IFERROR(__xludf.DUMMYFUNCTION("""COMPUTED_VALUE"""),"0787435099")</f>
        <v>0787435099</v>
      </c>
      <c r="K1296" s="2" t="str">
        <f ca="1">IFERROR(__xludf.DUMMYFUNCTION("""COMPUTED_VALUE"""),"1753569355054")</f>
        <v>1753569355054</v>
      </c>
    </row>
    <row r="1297" spans="1:11" ht="12.45">
      <c r="A1297" s="2" t="str">
        <f ca="1">IFERROR(__xludf.DUMMYFUNCTION("""COMPUTED_VALUE"""),"1753569412375")</f>
        <v>1753569412375</v>
      </c>
      <c r="B1297" s="2"/>
      <c r="C1297" s="2" t="str">
        <v>0</v>
      </c>
      <c r="D1297" s="2"/>
      <c r="E1297" s="2"/>
      <c r="F1297" s="2" t="str">
        <v>0</v>
      </c>
      <c r="G1297" s="2"/>
      <c r="I1297" s="2" t="str">
        <f ca="1">IFERROR(__xludf.DUMMYFUNCTION("""COMPUTED_VALUE"""),"Nguyễn Yến Nhi")</f>
        <v>Nguyễn Yến Nhi</v>
      </c>
      <c r="J1297" s="3" t="str">
        <f ca="1">IFERROR(__xludf.DUMMYFUNCTION("""COMPUTED_VALUE"""),"0562462511")</f>
        <v>0562462511</v>
      </c>
      <c r="K1297" s="2" t="str">
        <f ca="1">IFERROR(__xludf.DUMMYFUNCTION("""COMPUTED_VALUE"""),"1753569412375")</f>
        <v>1753569412375</v>
      </c>
    </row>
    <row r="1298" spans="1:11" ht="12.45">
      <c r="A1298" s="2" t="str">
        <f ca="1">IFERROR(__xludf.DUMMYFUNCTION("""COMPUTED_VALUE"""),"1753569451620")</f>
        <v>1753569451620</v>
      </c>
      <c r="B1298" s="2"/>
      <c r="C1298" s="2" t="str">
        <v>0</v>
      </c>
      <c r="D1298" s="2"/>
      <c r="E1298" s="2"/>
      <c r="F1298" s="2" t="str">
        <v>0</v>
      </c>
      <c r="G1298" s="2"/>
      <c r="I1298" s="2" t="str">
        <f ca="1">IFERROR(__xludf.DUMMYFUNCTION("""COMPUTED_VALUE"""),"Lê Gia Khánh")</f>
        <v>Lê Gia Khánh</v>
      </c>
      <c r="J1298" s="3" t="str">
        <f ca="1">IFERROR(__xludf.DUMMYFUNCTION("""COMPUTED_VALUE"""),"0901963701")</f>
        <v>0901963701</v>
      </c>
      <c r="K1298" s="2" t="str">
        <f ca="1">IFERROR(__xludf.DUMMYFUNCTION("""COMPUTED_VALUE"""),"1753569451620")</f>
        <v>1753569451620</v>
      </c>
    </row>
    <row r="1299" spans="1:11" ht="12.45">
      <c r="A1299" s="2" t="str">
        <f ca="1">IFERROR(__xludf.DUMMYFUNCTION("""COMPUTED_VALUE"""),"1753569501948")</f>
        <v>1753569501948</v>
      </c>
      <c r="B1299" s="2"/>
      <c r="C1299" s="2" t="str">
        <v>0</v>
      </c>
      <c r="D1299" s="2"/>
      <c r="E1299" s="2"/>
      <c r="F1299" s="2" t="str">
        <v>0</v>
      </c>
      <c r="G1299" s="2"/>
      <c r="I1299" s="2" t="str">
        <f ca="1">IFERROR(__xludf.DUMMYFUNCTION("""COMPUTED_VALUE"""),"Nguyễn Huỳnh Anh Thư")</f>
        <v>Nguyễn Huỳnh Anh Thư</v>
      </c>
      <c r="J1299" s="3" t="str">
        <f ca="1">IFERROR(__xludf.DUMMYFUNCTION("""COMPUTED_VALUE"""),"0949494560")</f>
        <v>0949494560</v>
      </c>
      <c r="K1299" s="2" t="str">
        <f ca="1">IFERROR(__xludf.DUMMYFUNCTION("""COMPUTED_VALUE"""),"1753569501948")</f>
        <v>1753569501948</v>
      </c>
    </row>
    <row r="1300" spans="1:11" ht="12.45">
      <c r="A1300" s="2" t="str">
        <f ca="1">IFERROR(__xludf.DUMMYFUNCTION("""COMPUTED_VALUE"""),"1753569560518")</f>
        <v>1753569560518</v>
      </c>
      <c r="B1300" s="2"/>
      <c r="C1300" s="2" t="str">
        <v>0</v>
      </c>
      <c r="D1300" s="2"/>
      <c r="E1300" s="2"/>
      <c r="F1300" s="2" t="str">
        <v>0</v>
      </c>
      <c r="G1300" s="2"/>
      <c r="I1300" s="2" t="str">
        <f ca="1">IFERROR(__xludf.DUMMYFUNCTION("""COMPUTED_VALUE"""),"Trần Phạm Thuỳ Linh ")</f>
        <v xml:space="preserve">Trần Phạm Thuỳ Linh </v>
      </c>
      <c r="J1300" s="3" t="str">
        <f ca="1">IFERROR(__xludf.DUMMYFUNCTION("""COMPUTED_VALUE"""),"0365698442")</f>
        <v>0365698442</v>
      </c>
      <c r="K1300" s="2" t="str">
        <f ca="1">IFERROR(__xludf.DUMMYFUNCTION("""COMPUTED_VALUE"""),"1753569560518")</f>
        <v>1753569560518</v>
      </c>
    </row>
    <row r="1301" spans="1:11" ht="12.45">
      <c r="A1301" s="2" t="str">
        <f ca="1">IFERROR(__xludf.DUMMYFUNCTION("""COMPUTED_VALUE"""),"1753569615056")</f>
        <v>1753569615056</v>
      </c>
      <c r="B1301" s="2"/>
      <c r="C1301" s="2" t="str">
        <v>0</v>
      </c>
      <c r="D1301" s="2"/>
      <c r="E1301" s="2"/>
      <c r="F1301" s="2" t="str">
        <v>0</v>
      </c>
      <c r="G1301" s="2"/>
      <c r="I1301" s="2" t="str">
        <f ca="1">IFERROR(__xludf.DUMMYFUNCTION("""COMPUTED_VALUE"""),"HUYNH NGOC")</f>
        <v>HUYNH NGOC</v>
      </c>
      <c r="J1301" s="3" t="str">
        <f ca="1">IFERROR(__xludf.DUMMYFUNCTION("""COMPUTED_VALUE"""),"0972591454")</f>
        <v>0972591454</v>
      </c>
      <c r="K1301" s="2" t="str">
        <f ca="1">IFERROR(__xludf.DUMMYFUNCTION("""COMPUTED_VALUE"""),"1753569615056")</f>
        <v>1753569615056</v>
      </c>
    </row>
    <row r="1302" spans="1:11" ht="12.45">
      <c r="A1302" s="2" t="str">
        <f ca="1">IFERROR(__xludf.DUMMYFUNCTION("""COMPUTED_VALUE"""),"1753569668636")</f>
        <v>1753569668636</v>
      </c>
      <c r="B1302" s="2"/>
      <c r="C1302" s="2" t="str">
        <v>0</v>
      </c>
      <c r="D1302" s="2"/>
      <c r="E1302" s="2"/>
      <c r="F1302" s="2" t="str">
        <v>0</v>
      </c>
      <c r="G1302" s="2"/>
      <c r="I1302" s="2" t="str">
        <f ca="1">IFERROR(__xludf.DUMMYFUNCTION("""COMPUTED_VALUE"""),"Vũ  Hoàng Phương Quyên")</f>
        <v>Vũ  Hoàng Phương Quyên</v>
      </c>
      <c r="J1302" s="3" t="str">
        <f ca="1">IFERROR(__xludf.DUMMYFUNCTION("""COMPUTED_VALUE"""),"0865905279")</f>
        <v>0865905279</v>
      </c>
      <c r="K1302" s="2" t="str">
        <f ca="1">IFERROR(__xludf.DUMMYFUNCTION("""COMPUTED_VALUE"""),"1753569668636")</f>
        <v>1753569668636</v>
      </c>
    </row>
    <row r="1303" spans="1:11" ht="12.45">
      <c r="A1303" s="2" t="str">
        <f ca="1">IFERROR(__xludf.DUMMYFUNCTION("""COMPUTED_VALUE"""),"1753569723468")</f>
        <v>1753569723468</v>
      </c>
      <c r="B1303" s="2"/>
      <c r="C1303" s="2" t="str">
        <v>0</v>
      </c>
      <c r="D1303" s="2"/>
      <c r="E1303" s="2"/>
      <c r="F1303" s="2" t="str">
        <v>0</v>
      </c>
      <c r="G1303" s="2"/>
      <c r="I1303" s="2" t="str">
        <f ca="1">IFERROR(__xludf.DUMMYFUNCTION("""COMPUTED_VALUE"""),"Nguyễn Thị Hà Vy")</f>
        <v>Nguyễn Thị Hà Vy</v>
      </c>
      <c r="J1303" s="3" t="str">
        <f ca="1">IFERROR(__xludf.DUMMYFUNCTION("""COMPUTED_VALUE"""),"0932303446")</f>
        <v>0932303446</v>
      </c>
      <c r="K1303" s="2" t="str">
        <f ca="1">IFERROR(__xludf.DUMMYFUNCTION("""COMPUTED_VALUE"""),"1753569723468")</f>
        <v>1753569723468</v>
      </c>
    </row>
    <row r="1304" spans="1:11" ht="12.45">
      <c r="A1304" s="2" t="str">
        <f ca="1">IFERROR(__xludf.DUMMYFUNCTION("""COMPUTED_VALUE"""),"1753569793847")</f>
        <v>1753569793847</v>
      </c>
      <c r="B1304" s="2"/>
      <c r="C1304" s="2" t="str">
        <v>0</v>
      </c>
      <c r="D1304" s="2"/>
      <c r="E1304" s="2"/>
      <c r="F1304" s="2" t="str">
        <v>0</v>
      </c>
      <c r="G1304" s="2"/>
      <c r="I1304" s="2" t="str">
        <f ca="1">IFERROR(__xludf.DUMMYFUNCTION("""COMPUTED_VALUE"""),"Vũ Thị Thuỳ Linh")</f>
        <v>Vũ Thị Thuỳ Linh</v>
      </c>
      <c r="J1304" s="3" t="str">
        <f ca="1">IFERROR(__xludf.DUMMYFUNCTION("""COMPUTED_VALUE"""),"0812885600")</f>
        <v>0812885600</v>
      </c>
      <c r="K1304" s="2" t="str">
        <f ca="1">IFERROR(__xludf.DUMMYFUNCTION("""COMPUTED_VALUE"""),"1753569793847")</f>
        <v>1753569793847</v>
      </c>
    </row>
    <row r="1305" spans="1:11" ht="12.45">
      <c r="A1305" s="2" t="str">
        <f ca="1">IFERROR(__xludf.DUMMYFUNCTION("""COMPUTED_VALUE"""),"1753569849385")</f>
        <v>1753569849385</v>
      </c>
      <c r="B1305" s="2"/>
      <c r="C1305" s="2" t="str">
        <v>0</v>
      </c>
      <c r="D1305" s="2"/>
      <c r="E1305" s="2"/>
      <c r="F1305" s="2" t="str">
        <v>0</v>
      </c>
      <c r="G1305" s="2"/>
      <c r="I1305" s="2" t="str">
        <f ca="1">IFERROR(__xludf.DUMMYFUNCTION("""COMPUTED_VALUE"""),"Nguyễn Hoàng Linh")</f>
        <v>Nguyễn Hoàng Linh</v>
      </c>
      <c r="J1305" s="3" t="str">
        <f ca="1">IFERROR(__xludf.DUMMYFUNCTION("""COMPUTED_VALUE"""),"0358964614")</f>
        <v>0358964614</v>
      </c>
      <c r="K1305" s="2" t="str">
        <f ca="1">IFERROR(__xludf.DUMMYFUNCTION("""COMPUTED_VALUE"""),"1753569849385")</f>
        <v>1753569849385</v>
      </c>
    </row>
    <row r="1306" spans="1:11" ht="12.45">
      <c r="A1306" s="2" t="str">
        <f ca="1">IFERROR(__xludf.DUMMYFUNCTION("""COMPUTED_VALUE"""),"1753569886152")</f>
        <v>1753569886152</v>
      </c>
      <c r="B1306" s="2"/>
      <c r="C1306" s="2" t="str">
        <v>0</v>
      </c>
      <c r="D1306" s="2"/>
      <c r="E1306" s="2"/>
      <c r="F1306" s="2" t="str">
        <v>0</v>
      </c>
      <c r="G1306" s="2"/>
      <c r="I1306" s="2" t="str">
        <f ca="1">IFERROR(__xludf.DUMMYFUNCTION("""COMPUTED_VALUE"""),"Nguyễn Tâm Như")</f>
        <v>Nguyễn Tâm Như</v>
      </c>
      <c r="J1306" s="3" t="str">
        <f ca="1">IFERROR(__xludf.DUMMYFUNCTION("""COMPUTED_VALUE"""),"0964338381")</f>
        <v>0964338381</v>
      </c>
      <c r="K1306" s="2" t="str">
        <f ca="1">IFERROR(__xludf.DUMMYFUNCTION("""COMPUTED_VALUE"""),"1753569886152")</f>
        <v>1753569886152</v>
      </c>
    </row>
    <row r="1307" spans="1:11" ht="12.45">
      <c r="A1307" s="2" t="str">
        <f ca="1">IFERROR(__xludf.DUMMYFUNCTION("""COMPUTED_VALUE"""),"1753569933577")</f>
        <v>1753569933577</v>
      </c>
      <c r="B1307" s="2"/>
      <c r="C1307" s="2" t="str">
        <v>0</v>
      </c>
      <c r="D1307" s="2"/>
      <c r="E1307" s="2"/>
      <c r="F1307" s="2" t="str">
        <v>0</v>
      </c>
      <c r="G1307" s="2"/>
      <c r="I1307" s="2" t="str">
        <f ca="1">IFERROR(__xludf.DUMMYFUNCTION("""COMPUTED_VALUE"""),"Đinh Nguyễn Hoàng Hưng")</f>
        <v>Đinh Nguyễn Hoàng Hưng</v>
      </c>
      <c r="J1307" s="3" t="str">
        <f ca="1">IFERROR(__xludf.DUMMYFUNCTION("""COMPUTED_VALUE"""),"0328617156")</f>
        <v>0328617156</v>
      </c>
      <c r="K1307" s="2" t="str">
        <f ca="1">IFERROR(__xludf.DUMMYFUNCTION("""COMPUTED_VALUE"""),"1753569933577")</f>
        <v>1753569933577</v>
      </c>
    </row>
    <row r="1308" spans="1:11" ht="12.45">
      <c r="A1308" s="2" t="str">
        <f ca="1">IFERROR(__xludf.DUMMYFUNCTION("""COMPUTED_VALUE"""),"1753569979273")</f>
        <v>1753569979273</v>
      </c>
      <c r="B1308" s="2"/>
      <c r="C1308" s="2" t="str">
        <v>0</v>
      </c>
      <c r="D1308" s="2"/>
      <c r="E1308" s="2"/>
      <c r="F1308" s="2" t="str">
        <v>0</v>
      </c>
      <c r="G1308" s="2"/>
      <c r="I1308" s="2" t="str">
        <f ca="1">IFERROR(__xludf.DUMMYFUNCTION("""COMPUTED_VALUE"""),"Trần Viết Tuấn")</f>
        <v>Trần Viết Tuấn</v>
      </c>
      <c r="J1308" s="3" t="str">
        <f ca="1">IFERROR(__xludf.DUMMYFUNCTION("""COMPUTED_VALUE"""),"0834898462")</f>
        <v>0834898462</v>
      </c>
      <c r="K1308" s="2" t="str">
        <f ca="1">IFERROR(__xludf.DUMMYFUNCTION("""COMPUTED_VALUE"""),"1753569979273")</f>
        <v>1753569979273</v>
      </c>
    </row>
    <row r="1309" spans="1:11" ht="12.45">
      <c r="A1309" s="2" t="str">
        <f ca="1">IFERROR(__xludf.DUMMYFUNCTION("""COMPUTED_VALUE"""),"1753570014151")</f>
        <v>1753570014151</v>
      </c>
      <c r="B1309" s="2"/>
      <c r="C1309" s="2" t="str">
        <v>0</v>
      </c>
      <c r="D1309" s="2"/>
      <c r="E1309" s="2"/>
      <c r="F1309" s="2" t="str">
        <v>0</v>
      </c>
      <c r="G1309" s="2"/>
      <c r="I1309" s="2" t="str">
        <f ca="1">IFERROR(__xludf.DUMMYFUNCTION("""COMPUTED_VALUE"""),"Khổng Ngọc Khánh")</f>
        <v>Khổng Ngọc Khánh</v>
      </c>
      <c r="J1309" s="3" t="str">
        <f ca="1">IFERROR(__xludf.DUMMYFUNCTION("""COMPUTED_VALUE"""),"0386918971")</f>
        <v>0386918971</v>
      </c>
      <c r="K1309" s="2" t="str">
        <f ca="1">IFERROR(__xludf.DUMMYFUNCTION("""COMPUTED_VALUE"""),"1753570014151")</f>
        <v>1753570014151</v>
      </c>
    </row>
    <row r="1310" spans="1:11" ht="12.45">
      <c r="A1310" s="2" t="str">
        <f ca="1">IFERROR(__xludf.DUMMYFUNCTION("""COMPUTED_VALUE"""),"1753570044835")</f>
        <v>1753570044835</v>
      </c>
      <c r="B1310" s="2"/>
      <c r="C1310" s="2" t="str">
        <v>0</v>
      </c>
      <c r="D1310" s="2"/>
      <c r="E1310" s="2"/>
      <c r="F1310" s="2" t="str">
        <v>0</v>
      </c>
      <c r="G1310" s="2"/>
      <c r="I1310" s="2" t="str">
        <f ca="1">IFERROR(__xludf.DUMMYFUNCTION("""COMPUTED_VALUE"""),"Nguyễn Thảo Linh ")</f>
        <v xml:space="preserve">Nguyễn Thảo Linh </v>
      </c>
      <c r="J1310" s="3" t="str">
        <f ca="1">IFERROR(__xludf.DUMMYFUNCTION("""COMPUTED_VALUE"""),"0384285616")</f>
        <v>0384285616</v>
      </c>
      <c r="K1310" s="2" t="str">
        <f ca="1">IFERROR(__xludf.DUMMYFUNCTION("""COMPUTED_VALUE"""),"1753570044835")</f>
        <v>1753570044835</v>
      </c>
    </row>
    <row r="1311" spans="1:11" ht="12.45">
      <c r="A1311" s="2" t="str">
        <f ca="1">IFERROR(__xludf.DUMMYFUNCTION("""COMPUTED_VALUE"""),"1753570089028")</f>
        <v>1753570089028</v>
      </c>
      <c r="B1311" s="2"/>
      <c r="C1311" s="2" t="str">
        <v>0</v>
      </c>
      <c r="D1311" s="2"/>
      <c r="E1311" s="2"/>
      <c r="F1311" s="2" t="str">
        <v>0</v>
      </c>
      <c r="G1311" s="2"/>
      <c r="I1311" s="2" t="str">
        <f ca="1">IFERROR(__xludf.DUMMYFUNCTION("""COMPUTED_VALUE"""),"phạm quỳnh anh")</f>
        <v>phạm quỳnh anh</v>
      </c>
      <c r="J1311" s="3" t="str">
        <f ca="1">IFERROR(__xludf.DUMMYFUNCTION("""COMPUTED_VALUE"""),"0978219620")</f>
        <v>0978219620</v>
      </c>
      <c r="K1311" s="2" t="str">
        <f ca="1">IFERROR(__xludf.DUMMYFUNCTION("""COMPUTED_VALUE"""),"1753570089028")</f>
        <v>1753570089028</v>
      </c>
    </row>
    <row r="1312" spans="1:11" ht="12.45">
      <c r="A1312" s="2" t="str">
        <f ca="1">IFERROR(__xludf.DUMMYFUNCTION("""COMPUTED_VALUE"""),"1753570135178")</f>
        <v>1753570135178</v>
      </c>
      <c r="B1312" s="2"/>
      <c r="C1312" s="2" t="str">
        <v>0</v>
      </c>
      <c r="D1312" s="2"/>
      <c r="E1312" s="2"/>
      <c r="F1312" s="2" t="str">
        <v>0</v>
      </c>
      <c r="G1312" s="2"/>
      <c r="I1312" s="2" t="str">
        <f ca="1">IFERROR(__xludf.DUMMYFUNCTION("""COMPUTED_VALUE"""),"Khuất Thị Hải Yến ")</f>
        <v xml:space="preserve">Khuất Thị Hải Yến </v>
      </c>
      <c r="J1312" s="3" t="str">
        <f ca="1">IFERROR(__xludf.DUMMYFUNCTION("""COMPUTED_VALUE"""),"0332709311")</f>
        <v>0332709311</v>
      </c>
      <c r="K1312" s="2" t="str">
        <f ca="1">IFERROR(__xludf.DUMMYFUNCTION("""COMPUTED_VALUE"""),"1753570135178")</f>
        <v>1753570135178</v>
      </c>
    </row>
    <row r="1313" spans="1:11" ht="12.45">
      <c r="A1313" s="2" t="str">
        <f ca="1">IFERROR(__xludf.DUMMYFUNCTION("""COMPUTED_VALUE"""),"1753570174887")</f>
        <v>1753570174887</v>
      </c>
      <c r="B1313" s="2"/>
      <c r="C1313" s="2" t="str">
        <v>0</v>
      </c>
      <c r="D1313" s="2"/>
      <c r="E1313" s="2"/>
      <c r="F1313" s="2" t="str">
        <v>0</v>
      </c>
      <c r="G1313" s="2"/>
      <c r="I1313" s="2" t="str">
        <f ca="1">IFERROR(__xludf.DUMMYFUNCTION("""COMPUTED_VALUE"""),"Lê Thị Ngọc Nhi")</f>
        <v>Lê Thị Ngọc Nhi</v>
      </c>
      <c r="J1313" s="3" t="str">
        <f ca="1">IFERROR(__xludf.DUMMYFUNCTION("""COMPUTED_VALUE"""),"0704880079")</f>
        <v>0704880079</v>
      </c>
      <c r="K1313" s="2" t="str">
        <f ca="1">IFERROR(__xludf.DUMMYFUNCTION("""COMPUTED_VALUE"""),"1753570174887")</f>
        <v>1753570174887</v>
      </c>
    </row>
    <row r="1314" spans="1:11" ht="12.45">
      <c r="A1314" s="2" t="str">
        <f ca="1">IFERROR(__xludf.DUMMYFUNCTION("""COMPUTED_VALUE"""),"1753570210625")</f>
        <v>1753570210625</v>
      </c>
      <c r="B1314" s="2"/>
      <c r="C1314" s="2" t="str">
        <v>0</v>
      </c>
      <c r="D1314" s="2"/>
      <c r="E1314" s="2"/>
      <c r="F1314" s="2" t="str">
        <v>0</v>
      </c>
      <c r="G1314" s="2"/>
      <c r="I1314" s="2" t="str">
        <f ca="1">IFERROR(__xludf.DUMMYFUNCTION("""COMPUTED_VALUE"""),"Mạc Hoàng Anh")</f>
        <v>Mạc Hoàng Anh</v>
      </c>
      <c r="J1314" s="3" t="str">
        <f ca="1">IFERROR(__xludf.DUMMYFUNCTION("""COMPUTED_VALUE"""),"0982106233")</f>
        <v>0982106233</v>
      </c>
      <c r="K1314" s="2" t="str">
        <f ca="1">IFERROR(__xludf.DUMMYFUNCTION("""COMPUTED_VALUE"""),"1753570210625")</f>
        <v>1753570210625</v>
      </c>
    </row>
    <row r="1315" spans="1:11" ht="12.45">
      <c r="A1315" s="2" t="str">
        <f ca="1">IFERROR(__xludf.DUMMYFUNCTION("""COMPUTED_VALUE"""),"1753570243934")</f>
        <v>1753570243934</v>
      </c>
      <c r="B1315" s="2"/>
      <c r="C1315" s="2" t="str">
        <v>0</v>
      </c>
      <c r="D1315" s="2"/>
      <c r="E1315" s="2"/>
      <c r="F1315" s="2" t="str">
        <v>0</v>
      </c>
      <c r="G1315" s="2"/>
      <c r="I1315" s="2" t="str">
        <f ca="1">IFERROR(__xludf.DUMMYFUNCTION("""COMPUTED_VALUE"""),"Nguyễn Thuỳ Châm")</f>
        <v>Nguyễn Thuỳ Châm</v>
      </c>
      <c r="J1315" s="3" t="str">
        <f ca="1">IFERROR(__xludf.DUMMYFUNCTION("""COMPUTED_VALUE"""),"0866499860")</f>
        <v>0866499860</v>
      </c>
      <c r="K1315" s="2" t="str">
        <f ca="1">IFERROR(__xludf.DUMMYFUNCTION("""COMPUTED_VALUE"""),"1753570243934")</f>
        <v>1753570243934</v>
      </c>
    </row>
    <row r="1316" spans="1:11" ht="12.45">
      <c r="A1316" s="2" t="str">
        <f ca="1">IFERROR(__xludf.DUMMYFUNCTION("""COMPUTED_VALUE"""),"1753570282852")</f>
        <v>1753570282852</v>
      </c>
      <c r="B1316" s="2"/>
      <c r="C1316" s="2" t="str">
        <v>0</v>
      </c>
      <c r="D1316" s="2"/>
      <c r="E1316" s="2"/>
      <c r="F1316" s="2" t="str">
        <v>0</v>
      </c>
      <c r="G1316" s="2"/>
      <c r="I1316" s="2" t="str">
        <f ca="1">IFERROR(__xludf.DUMMYFUNCTION("""COMPUTED_VALUE"""),"Nguyễn thị thanh huyền")</f>
        <v>Nguyễn thị thanh huyền</v>
      </c>
      <c r="J1316" s="3" t="str">
        <f ca="1">IFERROR(__xludf.DUMMYFUNCTION("""COMPUTED_VALUE"""),"0384019924")</f>
        <v>0384019924</v>
      </c>
      <c r="K1316" s="2" t="str">
        <f ca="1">IFERROR(__xludf.DUMMYFUNCTION("""COMPUTED_VALUE"""),"1753570282852")</f>
        <v>1753570282852</v>
      </c>
    </row>
    <row r="1317" spans="1:11" ht="12.45">
      <c r="A1317" s="2" t="str">
        <f ca="1">IFERROR(__xludf.DUMMYFUNCTION("""COMPUTED_VALUE"""),"1753570322652")</f>
        <v>1753570322652</v>
      </c>
      <c r="B1317" s="2"/>
      <c r="C1317" s="2" t="str">
        <v>0</v>
      </c>
      <c r="D1317" s="2"/>
      <c r="E1317" s="2"/>
      <c r="F1317" s="2" t="str">
        <v>0</v>
      </c>
      <c r="G1317" s="2"/>
      <c r="I1317" s="2" t="str">
        <f ca="1">IFERROR(__xludf.DUMMYFUNCTION("""COMPUTED_VALUE"""),"Nguyễn Thị Thuỳ Trang")</f>
        <v>Nguyễn Thị Thuỳ Trang</v>
      </c>
      <c r="J1317" s="3" t="str">
        <f ca="1">IFERROR(__xludf.DUMMYFUNCTION("""COMPUTED_VALUE"""),"0385761845")</f>
        <v>0385761845</v>
      </c>
      <c r="K1317" s="2" t="str">
        <f ca="1">IFERROR(__xludf.DUMMYFUNCTION("""COMPUTED_VALUE"""),"1753570322652")</f>
        <v>1753570322652</v>
      </c>
    </row>
    <row r="1318" spans="1:11" ht="12.45">
      <c r="A1318" s="2" t="str">
        <f ca="1">IFERROR(__xludf.DUMMYFUNCTION("""COMPUTED_VALUE"""),"1753570353630")</f>
        <v>1753570353630</v>
      </c>
      <c r="B1318" s="2"/>
      <c r="C1318" s="2" t="str">
        <v>0</v>
      </c>
      <c r="D1318" s="2"/>
      <c r="E1318" s="2"/>
      <c r="F1318" s="2" t="str">
        <v>0</v>
      </c>
      <c r="G1318" s="2"/>
      <c r="I1318" s="2" t="str">
        <f ca="1">IFERROR(__xludf.DUMMYFUNCTION("""COMPUTED_VALUE"""),"Nguyễn Thị Kim Hương")</f>
        <v>Nguyễn Thị Kim Hương</v>
      </c>
      <c r="J1318" s="3" t="str">
        <f ca="1">IFERROR(__xludf.DUMMYFUNCTION("""COMPUTED_VALUE"""),"0773785541")</f>
        <v>0773785541</v>
      </c>
      <c r="K1318" s="2" t="str">
        <f ca="1">IFERROR(__xludf.DUMMYFUNCTION("""COMPUTED_VALUE"""),"1753570353630")</f>
        <v>1753570353630</v>
      </c>
    </row>
    <row r="1319" spans="1:11" ht="12.45">
      <c r="A1319" s="2" t="str">
        <f ca="1">IFERROR(__xludf.DUMMYFUNCTION("""COMPUTED_VALUE"""),"1753570390836")</f>
        <v>1753570390836</v>
      </c>
      <c r="B1319" s="2"/>
      <c r="C1319" s="2" t="str">
        <v>0</v>
      </c>
      <c r="D1319" s="2"/>
      <c r="F1319" s="2" t="str">
        <v>0</v>
      </c>
      <c r="I1319" s="2" t="str">
        <f ca="1">IFERROR(__xludf.DUMMYFUNCTION("""COMPUTED_VALUE"""),"Huỳnh thị thùy trang ")</f>
        <v xml:space="preserve">Huỳnh thị thùy trang </v>
      </c>
      <c r="J1319" s="3" t="str">
        <f ca="1">IFERROR(__xludf.DUMMYFUNCTION("""COMPUTED_VALUE"""),"0379084038")</f>
        <v>0379084038</v>
      </c>
      <c r="K1319" s="2" t="str">
        <f ca="1">IFERROR(__xludf.DUMMYFUNCTION("""COMPUTED_VALUE"""),"1753570390836")</f>
        <v>1753570390836</v>
      </c>
    </row>
    <row r="1320" spans="1:11" ht="12.45">
      <c r="A1320" s="2" t="str">
        <f ca="1">IFERROR(__xludf.DUMMYFUNCTION("""COMPUTED_VALUE"""),"1753570434272")</f>
        <v>1753570434272</v>
      </c>
      <c r="B1320" s="2"/>
      <c r="C1320" s="2" t="str">
        <v>0</v>
      </c>
      <c r="D1320" s="2"/>
      <c r="F1320" s="2" t="str">
        <v>0</v>
      </c>
      <c r="I1320" s="2" t="str">
        <f ca="1">IFERROR(__xludf.DUMMYFUNCTION("""COMPUTED_VALUE"""),"Tâm Như")</f>
        <v>Tâm Như</v>
      </c>
      <c r="J1320" s="3" t="str">
        <f ca="1">IFERROR(__xludf.DUMMYFUNCTION("""COMPUTED_VALUE"""),"0819580167")</f>
        <v>0819580167</v>
      </c>
      <c r="K1320" s="2" t="str">
        <f ca="1">IFERROR(__xludf.DUMMYFUNCTION("""COMPUTED_VALUE"""),"1753570434272")</f>
        <v>1753570434272</v>
      </c>
    </row>
    <row r="1321" spans="1:11" ht="12.45">
      <c r="A1321" s="2" t="str">
        <f ca="1">IFERROR(__xludf.DUMMYFUNCTION("""COMPUTED_VALUE"""),"1753570475163")</f>
        <v>1753570475163</v>
      </c>
      <c r="B1321" s="2"/>
      <c r="C1321" s="2" t="str">
        <v>0</v>
      </c>
      <c r="D1321" s="2"/>
      <c r="F1321" s="2" t="str">
        <v>0</v>
      </c>
      <c r="I1321" s="2" t="str">
        <f ca="1">IFERROR(__xludf.DUMMYFUNCTION("""COMPUTED_VALUE"""),"Nguyễn Khánh Huyền")</f>
        <v>Nguyễn Khánh Huyền</v>
      </c>
      <c r="J1321" s="3" t="str">
        <f ca="1">IFERROR(__xludf.DUMMYFUNCTION("""COMPUTED_VALUE"""),"0383507482")</f>
        <v>0383507482</v>
      </c>
      <c r="K1321" s="2" t="str">
        <f ca="1">IFERROR(__xludf.DUMMYFUNCTION("""COMPUTED_VALUE"""),"1753570475163")</f>
        <v>1753570475163</v>
      </c>
    </row>
    <row r="1322" spans="1:11" ht="12.45">
      <c r="A1322" s="2" t="str">
        <f ca="1">IFERROR(__xludf.DUMMYFUNCTION("""COMPUTED_VALUE"""),"1753570521796")</f>
        <v>1753570521796</v>
      </c>
      <c r="B1322" s="2"/>
      <c r="C1322" s="2" t="str">
        <v>0</v>
      </c>
      <c r="D1322" s="2"/>
      <c r="F1322" s="2" t="str">
        <v>0</v>
      </c>
      <c r="I1322" s="2" t="str">
        <f ca="1">IFERROR(__xludf.DUMMYFUNCTION("""COMPUTED_VALUE"""),"Nguyễn Thị Hồng Thắm ")</f>
        <v xml:space="preserve">Nguyễn Thị Hồng Thắm </v>
      </c>
      <c r="J1322" s="3" t="str">
        <f ca="1">IFERROR(__xludf.DUMMYFUNCTION("""COMPUTED_VALUE"""),"0848354460")</f>
        <v>0848354460</v>
      </c>
      <c r="K1322" s="2" t="str">
        <f ca="1">IFERROR(__xludf.DUMMYFUNCTION("""COMPUTED_VALUE"""),"1753570521796")</f>
        <v>1753570521796</v>
      </c>
    </row>
    <row r="1323" spans="1:11" ht="12.45">
      <c r="A1323" s="2" t="str">
        <f ca="1">IFERROR(__xludf.DUMMYFUNCTION("""COMPUTED_VALUE"""),"1753570573428")</f>
        <v>1753570573428</v>
      </c>
      <c r="B1323" s="2"/>
      <c r="C1323" s="2" t="str">
        <v>0</v>
      </c>
      <c r="D1323" s="2"/>
      <c r="F1323" s="2" t="str">
        <v>0</v>
      </c>
      <c r="I1323" s="2" t="str">
        <f ca="1">IFERROR(__xludf.DUMMYFUNCTION("""COMPUTED_VALUE"""),"Trần Thị thảo đan ")</f>
        <v xml:space="preserve">Trần Thị thảo đan </v>
      </c>
      <c r="J1323" s="3" t="str">
        <f ca="1">IFERROR(__xludf.DUMMYFUNCTION("""COMPUTED_VALUE"""),"0342011007")</f>
        <v>0342011007</v>
      </c>
      <c r="K1323" s="2" t="str">
        <f ca="1">IFERROR(__xludf.DUMMYFUNCTION("""COMPUTED_VALUE"""),"1753570573428")</f>
        <v>1753570573428</v>
      </c>
    </row>
    <row r="1324" spans="1:11" ht="12.45">
      <c r="A1324" s="2" t="str">
        <f ca="1">IFERROR(__xludf.DUMMYFUNCTION("""COMPUTED_VALUE"""),"1753570624342")</f>
        <v>1753570624342</v>
      </c>
      <c r="B1324" s="2"/>
      <c r="C1324" s="2" t="str">
        <v>0</v>
      </c>
      <c r="D1324" s="2"/>
      <c r="F1324" s="2" t="str">
        <v>0</v>
      </c>
      <c r="I1324" s="2" t="str">
        <f ca="1">IFERROR(__xludf.DUMMYFUNCTION("""COMPUTED_VALUE"""),"Phạm Võ Bảo Hiền ")</f>
        <v xml:space="preserve">Phạm Võ Bảo Hiền </v>
      </c>
      <c r="J1324" s="3" t="str">
        <f ca="1">IFERROR(__xludf.DUMMYFUNCTION("""COMPUTED_VALUE"""),"0833151171")</f>
        <v>0833151171</v>
      </c>
      <c r="K1324" s="2" t="str">
        <f ca="1">IFERROR(__xludf.DUMMYFUNCTION("""COMPUTED_VALUE"""),"1753570624342")</f>
        <v>1753570624342</v>
      </c>
    </row>
    <row r="1325" spans="1:11" ht="12.45">
      <c r="A1325" s="2" t="str">
        <f ca="1">IFERROR(__xludf.DUMMYFUNCTION("""COMPUTED_VALUE"""),"1753570663307")</f>
        <v>1753570663307</v>
      </c>
      <c r="B1325" s="2"/>
      <c r="C1325" s="2" t="str">
        <v>0</v>
      </c>
      <c r="D1325" s="2"/>
      <c r="F1325" s="2" t="str">
        <v>0</v>
      </c>
      <c r="I1325" s="2" t="str">
        <f ca="1">IFERROR(__xludf.DUMMYFUNCTION("""COMPUTED_VALUE"""),"Nguyễn Như Quỳnh")</f>
        <v>Nguyễn Như Quỳnh</v>
      </c>
      <c r="J1325" s="3" t="str">
        <f ca="1">IFERROR(__xludf.DUMMYFUNCTION("""COMPUTED_VALUE"""),"0355353424")</f>
        <v>0355353424</v>
      </c>
      <c r="K1325" s="2" t="str">
        <f ca="1">IFERROR(__xludf.DUMMYFUNCTION("""COMPUTED_VALUE"""),"1753570663307")</f>
        <v>1753570663307</v>
      </c>
    </row>
    <row r="1326" spans="1:11" ht="12.45">
      <c r="A1326" s="2" t="str">
        <f ca="1">IFERROR(__xludf.DUMMYFUNCTION("""COMPUTED_VALUE"""),"1753570708999")</f>
        <v>1753570708999</v>
      </c>
      <c r="B1326" s="2"/>
      <c r="C1326" s="2" t="str">
        <v>0</v>
      </c>
      <c r="D1326" s="2"/>
      <c r="F1326" s="2" t="str">
        <v>0</v>
      </c>
      <c r="I1326" s="2" t="str">
        <f ca="1">IFERROR(__xludf.DUMMYFUNCTION("""COMPUTED_VALUE"""),"Ngô Thanh Trang")</f>
        <v>Ngô Thanh Trang</v>
      </c>
      <c r="J1326" s="3" t="str">
        <f ca="1">IFERROR(__xludf.DUMMYFUNCTION("""COMPUTED_VALUE"""),"0396386207")</f>
        <v>0396386207</v>
      </c>
      <c r="K1326" s="2" t="str">
        <f ca="1">IFERROR(__xludf.DUMMYFUNCTION("""COMPUTED_VALUE"""),"1753570708999")</f>
        <v>1753570708999</v>
      </c>
    </row>
    <row r="1327" spans="1:11" ht="12.45">
      <c r="A1327" s="2" t="str">
        <f ca="1">IFERROR(__xludf.DUMMYFUNCTION("""COMPUTED_VALUE"""),"1753570744964")</f>
        <v>1753570744964</v>
      </c>
      <c r="B1327" s="2"/>
      <c r="C1327" s="2" t="str">
        <v>0</v>
      </c>
      <c r="D1327" s="2"/>
      <c r="F1327" s="2" t="str">
        <v>0</v>
      </c>
      <c r="I1327" s="2" t="str">
        <f ca="1">IFERROR(__xludf.DUMMYFUNCTION("""COMPUTED_VALUE"""),"LÊ THỊ THƯƠNG")</f>
        <v>LÊ THỊ THƯƠNG</v>
      </c>
      <c r="J1327" s="3" t="str">
        <f ca="1">IFERROR(__xludf.DUMMYFUNCTION("""COMPUTED_VALUE"""),"0372297560")</f>
        <v>0372297560</v>
      </c>
      <c r="K1327" s="2" t="str">
        <f ca="1">IFERROR(__xludf.DUMMYFUNCTION("""COMPUTED_VALUE"""),"1753570744964")</f>
        <v>1753570744964</v>
      </c>
    </row>
    <row r="1328" spans="1:11" ht="12.45">
      <c r="A1328" s="2" t="str">
        <f ca="1">IFERROR(__xludf.DUMMYFUNCTION("""COMPUTED_VALUE"""),"1753570811195")</f>
        <v>1753570811195</v>
      </c>
      <c r="B1328" s="2"/>
      <c r="C1328" s="2" t="str">
        <v>0</v>
      </c>
      <c r="D1328" s="2"/>
      <c r="F1328" s="2" t="str">
        <v>0</v>
      </c>
      <c r="I1328" s="2" t="str">
        <f ca="1">IFERROR(__xludf.DUMMYFUNCTION("""COMPUTED_VALUE"""),"Huỳnh Bảo Thuý Vy")</f>
        <v>Huỳnh Bảo Thuý Vy</v>
      </c>
      <c r="J1328" s="3" t="str">
        <f ca="1">IFERROR(__xludf.DUMMYFUNCTION("""COMPUTED_VALUE"""),"0793366347")</f>
        <v>0793366347</v>
      </c>
      <c r="K1328" s="2" t="str">
        <f ca="1">IFERROR(__xludf.DUMMYFUNCTION("""COMPUTED_VALUE"""),"1753570811195")</f>
        <v>1753570811195</v>
      </c>
    </row>
    <row r="1329" spans="1:11" ht="12.45">
      <c r="A1329" s="2" t="str">
        <f ca="1">IFERROR(__xludf.DUMMYFUNCTION("""COMPUTED_VALUE"""),"1753570857503")</f>
        <v>1753570857503</v>
      </c>
      <c r="B1329" s="2"/>
      <c r="C1329" s="2" t="str">
        <v>0</v>
      </c>
      <c r="D1329" s="2"/>
      <c r="F1329" s="2" t="str">
        <v>0</v>
      </c>
      <c r="I1329" s="2" t="str">
        <f ca="1">IFERROR(__xludf.DUMMYFUNCTION("""COMPUTED_VALUE"""),"Phạm thùy dương ")</f>
        <v xml:space="preserve">Phạm thùy dương </v>
      </c>
      <c r="J1329" s="3" t="str">
        <f ca="1">IFERROR(__xludf.DUMMYFUNCTION("""COMPUTED_VALUE"""),"0366034626")</f>
        <v>0366034626</v>
      </c>
      <c r="K1329" s="2" t="str">
        <f ca="1">IFERROR(__xludf.DUMMYFUNCTION("""COMPUTED_VALUE"""),"1753570857503")</f>
        <v>1753570857503</v>
      </c>
    </row>
    <row r="1330" spans="1:11" ht="12.45">
      <c r="A1330" s="2" t="str">
        <f ca="1">IFERROR(__xludf.DUMMYFUNCTION("""COMPUTED_VALUE"""),"1753570900501")</f>
        <v>1753570900501</v>
      </c>
      <c r="B1330" s="2"/>
      <c r="C1330" s="2" t="str">
        <v>0</v>
      </c>
      <c r="D1330" s="2"/>
      <c r="F1330" s="2" t="str">
        <v>0</v>
      </c>
      <c r="I1330" s="2" t="str">
        <f ca="1">IFERROR(__xludf.DUMMYFUNCTION("""COMPUTED_VALUE"""),"lê bảo hân")</f>
        <v>lê bảo hân</v>
      </c>
      <c r="J1330" s="3" t="str">
        <f ca="1">IFERROR(__xludf.DUMMYFUNCTION("""COMPUTED_VALUE"""),"0911243990")</f>
        <v>0911243990</v>
      </c>
      <c r="K1330" s="2" t="str">
        <f ca="1">IFERROR(__xludf.DUMMYFUNCTION("""COMPUTED_VALUE"""),"1753570900501")</f>
        <v>1753570900501</v>
      </c>
    </row>
    <row r="1331" spans="1:11" ht="12.45">
      <c r="A1331" s="2" t="str">
        <f ca="1">IFERROR(__xludf.DUMMYFUNCTION("""COMPUTED_VALUE"""),"1753570945792")</f>
        <v>1753570945792</v>
      </c>
      <c r="B1331" s="2"/>
      <c r="C1331" s="2" t="str">
        <v>0</v>
      </c>
      <c r="D1331" s="2"/>
      <c r="F1331" s="2" t="str">
        <v>0</v>
      </c>
      <c r="I1331" s="2" t="str">
        <f ca="1">IFERROR(__xludf.DUMMYFUNCTION("""COMPUTED_VALUE"""),"Đinh Phương Thảo ")</f>
        <v xml:space="preserve">Đinh Phương Thảo </v>
      </c>
      <c r="J1331" s="3" t="str">
        <f ca="1">IFERROR(__xludf.DUMMYFUNCTION("""COMPUTED_VALUE"""),"0564753708")</f>
        <v>0564753708</v>
      </c>
      <c r="K1331" s="2" t="str">
        <f ca="1">IFERROR(__xludf.DUMMYFUNCTION("""COMPUTED_VALUE"""),"1753570945792")</f>
        <v>1753570945792</v>
      </c>
    </row>
    <row r="1332" spans="1:11" ht="12.45">
      <c r="A1332" s="2" t="str">
        <f ca="1">IFERROR(__xludf.DUMMYFUNCTION("""COMPUTED_VALUE"""),"1753570984338")</f>
        <v>1753570984338</v>
      </c>
      <c r="B1332" s="2"/>
      <c r="C1332" s="2" t="str">
        <v>0</v>
      </c>
      <c r="D1332" s="2"/>
      <c r="F1332" s="2" t="str">
        <v>0</v>
      </c>
      <c r="I1332" s="2" t="str">
        <f ca="1">IFERROR(__xludf.DUMMYFUNCTION("""COMPUTED_VALUE"""),"Trần Đỗ Nguyệt Minh")</f>
        <v>Trần Đỗ Nguyệt Minh</v>
      </c>
      <c r="J1332" s="3" t="str">
        <f ca="1">IFERROR(__xludf.DUMMYFUNCTION("""COMPUTED_VALUE"""),"0363689796")</f>
        <v>0363689796</v>
      </c>
      <c r="K1332" s="2" t="str">
        <f ca="1">IFERROR(__xludf.DUMMYFUNCTION("""COMPUTED_VALUE"""),"1753570984338")</f>
        <v>1753570984338</v>
      </c>
    </row>
    <row r="1333" spans="1:11" ht="12.45">
      <c r="A1333" s="2" t="str">
        <f ca="1">IFERROR(__xludf.DUMMYFUNCTION("""COMPUTED_VALUE"""),"1753571020884")</f>
        <v>1753571020884</v>
      </c>
      <c r="B1333" s="2"/>
      <c r="C1333" s="2" t="str">
        <v>0</v>
      </c>
      <c r="D1333" s="2"/>
      <c r="F1333" s="2" t="str">
        <v>0</v>
      </c>
      <c r="I1333" s="2" t="str">
        <f ca="1">IFERROR(__xludf.DUMMYFUNCTION("""COMPUTED_VALUE"""),"Mã Nhi")</f>
        <v>Mã Nhi</v>
      </c>
      <c r="J1333" s="3" t="str">
        <f ca="1">IFERROR(__xludf.DUMMYFUNCTION("""COMPUTED_VALUE"""),"0941014511")</f>
        <v>0941014511</v>
      </c>
      <c r="K1333" s="2" t="str">
        <f ca="1">IFERROR(__xludf.DUMMYFUNCTION("""COMPUTED_VALUE"""),"1753571020884")</f>
        <v>1753571020884</v>
      </c>
    </row>
    <row r="1334" spans="1:11" ht="12.45">
      <c r="A1334" s="2" t="str">
        <f ca="1">IFERROR(__xludf.DUMMYFUNCTION("""COMPUTED_VALUE"""),"1753571070897")</f>
        <v>1753571070897</v>
      </c>
      <c r="B1334" s="2"/>
      <c r="C1334" s="2" t="str">
        <v>0</v>
      </c>
      <c r="D1334" s="2"/>
      <c r="F1334" s="2" t="str">
        <v>0</v>
      </c>
      <c r="I1334" s="2" t="str">
        <f ca="1">IFERROR(__xludf.DUMMYFUNCTION("""COMPUTED_VALUE"""),"Đặng Lâm Bảo Trân")</f>
        <v>Đặng Lâm Bảo Trân</v>
      </c>
      <c r="J1334" s="3" t="str">
        <f ca="1">IFERROR(__xludf.DUMMYFUNCTION("""COMPUTED_VALUE"""),"0337073494")</f>
        <v>0337073494</v>
      </c>
      <c r="K1334" s="2" t="str">
        <f ca="1">IFERROR(__xludf.DUMMYFUNCTION("""COMPUTED_VALUE"""),"1753571070897")</f>
        <v>1753571070897</v>
      </c>
    </row>
    <row r="1335" spans="1:11" ht="12.45">
      <c r="A1335" s="2" t="str">
        <f ca="1">IFERROR(__xludf.DUMMYFUNCTION("""COMPUTED_VALUE"""),"1753571119999")</f>
        <v>1753571119999</v>
      </c>
      <c r="B1335" s="2"/>
      <c r="C1335" s="2" t="str">
        <v>0</v>
      </c>
      <c r="D1335" s="2"/>
      <c r="F1335" s="2" t="str">
        <v>0</v>
      </c>
      <c r="I1335" s="2" t="str">
        <f ca="1">IFERROR(__xludf.DUMMYFUNCTION("""COMPUTED_VALUE"""),"Chu Diệu Tuệ ")</f>
        <v xml:space="preserve">Chu Diệu Tuệ </v>
      </c>
      <c r="J1335" s="3" t="str">
        <f ca="1">IFERROR(__xludf.DUMMYFUNCTION("""COMPUTED_VALUE"""),"0837100454")</f>
        <v>0837100454</v>
      </c>
      <c r="K1335" s="2" t="str">
        <f ca="1">IFERROR(__xludf.DUMMYFUNCTION("""COMPUTED_VALUE"""),"1753571119999")</f>
        <v>1753571119999</v>
      </c>
    </row>
    <row r="1336" spans="1:11" ht="12.45">
      <c r="A1336" s="2" t="str">
        <f ca="1">IFERROR(__xludf.DUMMYFUNCTION("""COMPUTED_VALUE"""),"1753571161980")</f>
        <v>1753571161980</v>
      </c>
      <c r="B1336" s="2"/>
      <c r="C1336" s="2" t="str">
        <v>0</v>
      </c>
      <c r="D1336" s="2"/>
      <c r="F1336" s="2" t="str">
        <v>0</v>
      </c>
      <c r="I1336" s="2" t="str">
        <f ca="1">IFERROR(__xludf.DUMMYFUNCTION("""COMPUTED_VALUE"""),"Nguyễn Trà My")</f>
        <v>Nguyễn Trà My</v>
      </c>
      <c r="J1336" s="3" t="str">
        <f ca="1">IFERROR(__xludf.DUMMYFUNCTION("""COMPUTED_VALUE"""),"0344692585")</f>
        <v>0344692585</v>
      </c>
      <c r="K1336" s="2" t="str">
        <f ca="1">IFERROR(__xludf.DUMMYFUNCTION("""COMPUTED_VALUE"""),"1753571161980")</f>
        <v>1753571161980</v>
      </c>
    </row>
    <row r="1337" spans="1:11" ht="12.45">
      <c r="A1337" s="2" t="str">
        <f ca="1">IFERROR(__xludf.DUMMYFUNCTION("""COMPUTED_VALUE"""),"1753571207699")</f>
        <v>1753571207699</v>
      </c>
      <c r="B1337" s="2"/>
      <c r="C1337" s="2" t="str">
        <v>0</v>
      </c>
      <c r="D1337" s="2"/>
      <c r="F1337" s="2" t="str">
        <v>0</v>
      </c>
      <c r="I1337" s="2" t="str">
        <f ca="1">IFERROR(__xludf.DUMMYFUNCTION("""COMPUTED_VALUE"""),"Nguyễn Thị Quỳnh Hoa ")</f>
        <v xml:space="preserve">Nguyễn Thị Quỳnh Hoa </v>
      </c>
      <c r="J1337" s="3" t="str">
        <f ca="1">IFERROR(__xludf.DUMMYFUNCTION("""COMPUTED_VALUE"""),"0342934116")</f>
        <v>0342934116</v>
      </c>
      <c r="K1337" s="2" t="str">
        <f ca="1">IFERROR(__xludf.DUMMYFUNCTION("""COMPUTED_VALUE"""),"1753571207699")</f>
        <v>1753571207699</v>
      </c>
    </row>
    <row r="1338" spans="1:11" ht="12.45">
      <c r="A1338" s="2" t="str">
        <f ca="1">IFERROR(__xludf.DUMMYFUNCTION("""COMPUTED_VALUE"""),"1753571254970")</f>
        <v>1753571254970</v>
      </c>
      <c r="B1338" s="2"/>
      <c r="C1338" s="2" t="str">
        <v>0</v>
      </c>
      <c r="D1338" s="2"/>
      <c r="F1338" s="2" t="str">
        <v>0</v>
      </c>
      <c r="I1338" s="2" t="str">
        <f ca="1">IFERROR(__xludf.DUMMYFUNCTION("""COMPUTED_VALUE"""),"Nguyễn Việt Kim Ngân")</f>
        <v>Nguyễn Việt Kim Ngân</v>
      </c>
      <c r="J1338" s="3" t="str">
        <f ca="1">IFERROR(__xludf.DUMMYFUNCTION("""COMPUTED_VALUE"""),"0794500974")</f>
        <v>0794500974</v>
      </c>
      <c r="K1338" s="2" t="str">
        <f ca="1">IFERROR(__xludf.DUMMYFUNCTION("""COMPUTED_VALUE"""),"1753571254970")</f>
        <v>1753571254970</v>
      </c>
    </row>
    <row r="1339" spans="1:11" ht="12.45">
      <c r="A1339" s="2" t="str">
        <f ca="1">IFERROR(__xludf.DUMMYFUNCTION("""COMPUTED_VALUE"""),"1753571303945")</f>
        <v>1753571303945</v>
      </c>
      <c r="B1339" s="2"/>
      <c r="C1339" s="2" t="str">
        <v>0</v>
      </c>
      <c r="D1339" s="2"/>
      <c r="F1339" s="2" t="str">
        <v>0</v>
      </c>
      <c r="I1339" s="2" t="str">
        <f ca="1">IFERROR(__xludf.DUMMYFUNCTION("""COMPUTED_VALUE"""),"Trương Lê Trúc Mai")</f>
        <v>Trương Lê Trúc Mai</v>
      </c>
      <c r="J1339" s="3" t="str">
        <f ca="1">IFERROR(__xludf.DUMMYFUNCTION("""COMPUTED_VALUE"""),"0913310497")</f>
        <v>0913310497</v>
      </c>
      <c r="K1339" s="2" t="str">
        <f ca="1">IFERROR(__xludf.DUMMYFUNCTION("""COMPUTED_VALUE"""),"1753571303945")</f>
        <v>1753571303945</v>
      </c>
    </row>
    <row r="1340" spans="1:11" ht="12.45">
      <c r="A1340" s="2" t="str">
        <f ca="1">IFERROR(__xludf.DUMMYFUNCTION("""COMPUTED_VALUE"""),"1753571353131")</f>
        <v>1753571353131</v>
      </c>
      <c r="B1340" s="2"/>
      <c r="C1340" s="2" t="str">
        <v>0</v>
      </c>
      <c r="D1340" s="2"/>
      <c r="F1340" s="2" t="str">
        <v>0</v>
      </c>
      <c r="I1340" s="2" t="str">
        <f ca="1">IFERROR(__xludf.DUMMYFUNCTION("""COMPUTED_VALUE"""),"Nguyễn Minh Huyền")</f>
        <v>Nguyễn Minh Huyền</v>
      </c>
      <c r="J1340" s="3" t="str">
        <f ca="1">IFERROR(__xludf.DUMMYFUNCTION("""COMPUTED_VALUE"""),"0342893359")</f>
        <v>0342893359</v>
      </c>
      <c r="K1340" s="2" t="str">
        <f ca="1">IFERROR(__xludf.DUMMYFUNCTION("""COMPUTED_VALUE"""),"1753571353131")</f>
        <v>1753571353131</v>
      </c>
    </row>
    <row r="1341" spans="1:11" ht="12.45">
      <c r="A1341" s="2" t="str">
        <f ca="1">IFERROR(__xludf.DUMMYFUNCTION("""COMPUTED_VALUE"""),"1753571400395")</f>
        <v>1753571400395</v>
      </c>
      <c r="B1341" s="2"/>
      <c r="C1341" s="2" t="str">
        <v>0</v>
      </c>
      <c r="D1341" s="2"/>
      <c r="F1341" s="2" t="str">
        <v>0</v>
      </c>
      <c r="I1341" s="2" t="str">
        <f ca="1">IFERROR(__xludf.DUMMYFUNCTION("""COMPUTED_VALUE"""),"Hoàng Thị Yến Chi")</f>
        <v>Hoàng Thị Yến Chi</v>
      </c>
      <c r="J1341" s="3" t="str">
        <f ca="1">IFERROR(__xludf.DUMMYFUNCTION("""COMPUTED_VALUE"""),"0829025200")</f>
        <v>0829025200</v>
      </c>
      <c r="K1341" s="2" t="str">
        <f ca="1">IFERROR(__xludf.DUMMYFUNCTION("""COMPUTED_VALUE"""),"1753571400395")</f>
        <v>1753571400395</v>
      </c>
    </row>
    <row r="1342" spans="1:11" ht="12.45">
      <c r="A1342" s="2" t="str">
        <f ca="1">IFERROR(__xludf.DUMMYFUNCTION("""COMPUTED_VALUE"""),"1753571438625")</f>
        <v>1753571438625</v>
      </c>
      <c r="B1342" s="2"/>
      <c r="C1342" s="2" t="str">
        <v>0</v>
      </c>
      <c r="D1342" s="2"/>
      <c r="F1342" s="2" t="str">
        <v>0</v>
      </c>
      <c r="I1342" s="2" t="str">
        <f ca="1">IFERROR(__xludf.DUMMYFUNCTION("""COMPUTED_VALUE"""),"Lê Phạm Quỳnh Giang")</f>
        <v>Lê Phạm Quỳnh Giang</v>
      </c>
      <c r="J1342" s="3" t="str">
        <f ca="1">IFERROR(__xludf.DUMMYFUNCTION("""COMPUTED_VALUE"""),"0973245371")</f>
        <v>0973245371</v>
      </c>
      <c r="K1342" s="2" t="str">
        <f ca="1">IFERROR(__xludf.DUMMYFUNCTION("""COMPUTED_VALUE"""),"1753571438625")</f>
        <v>1753571438625</v>
      </c>
    </row>
    <row r="1343" spans="1:11" ht="12.45">
      <c r="A1343" s="2" t="str">
        <f ca="1">IFERROR(__xludf.DUMMYFUNCTION("""COMPUTED_VALUE"""),"1753571472293")</f>
        <v>1753571472293</v>
      </c>
      <c r="B1343" s="2"/>
      <c r="C1343" s="2" t="str">
        <v>0</v>
      </c>
      <c r="D1343" s="2"/>
      <c r="F1343" s="2" t="str">
        <v>0</v>
      </c>
      <c r="I1343" s="2" t="str">
        <f ca="1">IFERROR(__xludf.DUMMYFUNCTION("""COMPUTED_VALUE"""),"Hoàng Ngọc Nhung ")</f>
        <v xml:space="preserve">Hoàng Ngọc Nhung </v>
      </c>
      <c r="J1343" s="3" t="str">
        <f ca="1">IFERROR(__xludf.DUMMYFUNCTION("""COMPUTED_VALUE"""),"0867816962")</f>
        <v>0867816962</v>
      </c>
      <c r="K1343" s="2" t="str">
        <f ca="1">IFERROR(__xludf.DUMMYFUNCTION("""COMPUTED_VALUE"""),"1753571472293")</f>
        <v>1753571472293</v>
      </c>
    </row>
    <row r="1344" spans="1:11" ht="12.45">
      <c r="A1344" s="2" t="str">
        <f ca="1">IFERROR(__xludf.DUMMYFUNCTION("""COMPUTED_VALUE"""),"1753571514154")</f>
        <v>1753571514154</v>
      </c>
      <c r="B1344" s="2"/>
      <c r="C1344" s="2" t="str">
        <v>0</v>
      </c>
      <c r="D1344" s="2"/>
      <c r="F1344" s="2" t="str">
        <v>0</v>
      </c>
      <c r="I1344" s="2" t="str">
        <f ca="1">IFERROR(__xludf.DUMMYFUNCTION("""COMPUTED_VALUE"""),"Đoàn Doanh Doanh ")</f>
        <v xml:space="preserve">Đoàn Doanh Doanh </v>
      </c>
      <c r="J1344" s="3" t="str">
        <f ca="1">IFERROR(__xludf.DUMMYFUNCTION("""COMPUTED_VALUE"""),"0395507095")</f>
        <v>0395507095</v>
      </c>
      <c r="K1344" s="2" t="str">
        <f ca="1">IFERROR(__xludf.DUMMYFUNCTION("""COMPUTED_VALUE"""),"1753571514154")</f>
        <v>1753571514154</v>
      </c>
    </row>
    <row r="1345" spans="1:11" ht="12.45">
      <c r="A1345" s="2" t="str">
        <f ca="1">IFERROR(__xludf.DUMMYFUNCTION("""COMPUTED_VALUE"""),"1753571567275")</f>
        <v>1753571567275</v>
      </c>
      <c r="B1345" s="2"/>
      <c r="C1345" s="2" t="str">
        <v>0</v>
      </c>
      <c r="D1345" s="2"/>
      <c r="F1345" s="2" t="str">
        <v>0</v>
      </c>
      <c r="I1345" s="2" t="str">
        <f ca="1">IFERROR(__xludf.DUMMYFUNCTION("""COMPUTED_VALUE"""),"Trần Phạm Như Ngọc")</f>
        <v>Trần Phạm Như Ngọc</v>
      </c>
      <c r="J1345" s="3" t="str">
        <f ca="1">IFERROR(__xludf.DUMMYFUNCTION("""COMPUTED_VALUE"""),"0848803413")</f>
        <v>0848803413</v>
      </c>
      <c r="K1345" s="2" t="str">
        <f ca="1">IFERROR(__xludf.DUMMYFUNCTION("""COMPUTED_VALUE"""),"1753571567275")</f>
        <v>1753571567275</v>
      </c>
    </row>
    <row r="1346" spans="1:11" ht="12.45">
      <c r="A1346" s="2" t="str">
        <f ca="1">IFERROR(__xludf.DUMMYFUNCTION("""COMPUTED_VALUE"""),"1753571621317")</f>
        <v>1753571621317</v>
      </c>
      <c r="B1346" s="2"/>
      <c r="C1346" s="2" t="str">
        <v>0</v>
      </c>
      <c r="D1346" s="2"/>
      <c r="F1346" s="2" t="str">
        <v>0</v>
      </c>
      <c r="I1346" s="2" t="str">
        <f ca="1">IFERROR(__xludf.DUMMYFUNCTION("""COMPUTED_VALUE"""),"Trần Thuỳ Trang")</f>
        <v>Trần Thuỳ Trang</v>
      </c>
      <c r="J1346" s="2" t="str">
        <f ca="1">IFERROR(__xludf.DUMMYFUNCTION("""COMPUTED_VALUE"""),"08435788392")</f>
        <v>08435788392</v>
      </c>
      <c r="K1346" s="2" t="str">
        <f ca="1">IFERROR(__xludf.DUMMYFUNCTION("""COMPUTED_VALUE"""),"1753571621317")</f>
        <v>1753571621317</v>
      </c>
    </row>
    <row r="1347" spans="1:11" ht="12.45">
      <c r="A1347" s="2" t="str">
        <f ca="1">IFERROR(__xludf.DUMMYFUNCTION("""COMPUTED_VALUE"""),"1753571670063")</f>
        <v>1753571670063</v>
      </c>
      <c r="B1347" s="2"/>
      <c r="C1347" s="2" t="str">
        <v>0</v>
      </c>
      <c r="D1347" s="2"/>
      <c r="F1347" s="2" t="str">
        <v>0</v>
      </c>
      <c r="I1347" s="2" t="str">
        <f ca="1">IFERROR(__xludf.DUMMYFUNCTION("""COMPUTED_VALUE"""),"Nguyễn Thị Trà")</f>
        <v>Nguyễn Thị Trà</v>
      </c>
      <c r="J1347" s="3" t="str">
        <f ca="1">IFERROR(__xludf.DUMMYFUNCTION("""COMPUTED_VALUE"""),"0825366951")</f>
        <v>0825366951</v>
      </c>
      <c r="K1347" s="2" t="str">
        <f ca="1">IFERROR(__xludf.DUMMYFUNCTION("""COMPUTED_VALUE"""),"1753571670063")</f>
        <v>1753571670063</v>
      </c>
    </row>
    <row r="1348" spans="1:11" ht="12.45">
      <c r="A1348" s="2" t="str">
        <f ca="1">IFERROR(__xludf.DUMMYFUNCTION("""COMPUTED_VALUE"""),"1753571728297")</f>
        <v>1753571728297</v>
      </c>
      <c r="B1348" s="2"/>
      <c r="C1348" s="2" t="str">
        <v>0</v>
      </c>
      <c r="D1348" s="2"/>
      <c r="F1348" s="2" t="str">
        <v>0</v>
      </c>
      <c r="I1348" s="2" t="str">
        <f ca="1">IFERROR(__xludf.DUMMYFUNCTION("""COMPUTED_VALUE"""),"Đoàn Thị Quỳnh Như ")</f>
        <v xml:space="preserve">Đoàn Thị Quỳnh Như </v>
      </c>
      <c r="J1348" s="3" t="str">
        <f ca="1">IFERROR(__xludf.DUMMYFUNCTION("""COMPUTED_VALUE"""),"0334350011")</f>
        <v>0334350011</v>
      </c>
      <c r="K1348" s="2" t="str">
        <f ca="1">IFERROR(__xludf.DUMMYFUNCTION("""COMPUTED_VALUE"""),"1753571728297")</f>
        <v>1753571728297</v>
      </c>
    </row>
    <row r="1349" spans="1:11" ht="12.45">
      <c r="A1349" s="2" t="str">
        <f ca="1">IFERROR(__xludf.DUMMYFUNCTION("""COMPUTED_VALUE"""),"1753571793011")</f>
        <v>1753571793011</v>
      </c>
      <c r="B1349" s="2"/>
      <c r="C1349" s="2" t="str">
        <v>0</v>
      </c>
      <c r="D1349" s="2"/>
      <c r="F1349" s="2" t="str">
        <v>0</v>
      </c>
      <c r="I1349" s="2" t="str">
        <f ca="1">IFERROR(__xludf.DUMMYFUNCTION("""COMPUTED_VALUE"""),"Phạm Nguyễn Như Lợi ")</f>
        <v xml:space="preserve">Phạm Nguyễn Như Lợi </v>
      </c>
      <c r="J1349" s="3" t="str">
        <f ca="1">IFERROR(__xludf.DUMMYFUNCTION("""COMPUTED_VALUE"""),"0353851330")</f>
        <v>0353851330</v>
      </c>
      <c r="K1349" s="2" t="str">
        <f ca="1">IFERROR(__xludf.DUMMYFUNCTION("""COMPUTED_VALUE"""),"1753571793011")</f>
        <v>1753571793011</v>
      </c>
    </row>
    <row r="1350" spans="1:11" ht="12.45">
      <c r="A1350" s="2" t="str">
        <f ca="1">IFERROR(__xludf.DUMMYFUNCTION("""COMPUTED_VALUE"""),"1753571838262")</f>
        <v>1753571838262</v>
      </c>
      <c r="B1350" s="2"/>
      <c r="C1350" s="2" t="str">
        <v>0</v>
      </c>
      <c r="D1350" s="2"/>
      <c r="F1350" s="2" t="str">
        <v>0</v>
      </c>
      <c r="I1350" s="2" t="str">
        <f ca="1">IFERROR(__xludf.DUMMYFUNCTION("""COMPUTED_VALUE"""),"Nguyễn Tường Nhật Uyên")</f>
        <v>Nguyễn Tường Nhật Uyên</v>
      </c>
      <c r="J1350" s="3" t="str">
        <f ca="1">IFERROR(__xludf.DUMMYFUNCTION("""COMPUTED_VALUE"""),"0329030902")</f>
        <v>0329030902</v>
      </c>
      <c r="K1350" s="2" t="str">
        <f ca="1">IFERROR(__xludf.DUMMYFUNCTION("""COMPUTED_VALUE"""),"1753571838262")</f>
        <v>1753571838262</v>
      </c>
    </row>
    <row r="1351" spans="1:11" ht="12.45">
      <c r="A1351" s="2" t="str">
        <f ca="1">IFERROR(__xludf.DUMMYFUNCTION("""COMPUTED_VALUE"""),"1753571878406")</f>
        <v>1753571878406</v>
      </c>
      <c r="B1351" s="2"/>
      <c r="C1351" s="2" t="str">
        <v>0</v>
      </c>
      <c r="D1351" s="2"/>
      <c r="F1351" s="2" t="str">
        <v>0</v>
      </c>
      <c r="I1351" s="2" t="str">
        <f ca="1">IFERROR(__xludf.DUMMYFUNCTION("""COMPUTED_VALUE"""),"Dương Hoàng Thư ")</f>
        <v xml:space="preserve">Dương Hoàng Thư </v>
      </c>
      <c r="J1351" s="3" t="str">
        <f ca="1">IFERROR(__xludf.DUMMYFUNCTION("""COMPUTED_VALUE"""),"0354045579")</f>
        <v>0354045579</v>
      </c>
      <c r="K1351" s="2" t="str">
        <f ca="1">IFERROR(__xludf.DUMMYFUNCTION("""COMPUTED_VALUE"""),"1753571878406")</f>
        <v>1753571878406</v>
      </c>
    </row>
    <row r="1352" spans="1:11" ht="12.45">
      <c r="A1352" s="2" t="str">
        <f ca="1">IFERROR(__xludf.DUMMYFUNCTION("""COMPUTED_VALUE"""),"1753571943229")</f>
        <v>1753571943229</v>
      </c>
      <c r="B1352" s="2"/>
      <c r="C1352" s="2" t="str">
        <v>0</v>
      </c>
      <c r="D1352" s="2"/>
      <c r="F1352" s="2" t="str">
        <v>0</v>
      </c>
      <c r="I1352" s="2" t="str">
        <f ca="1">IFERROR(__xludf.DUMMYFUNCTION("""COMPUTED_VALUE"""),"Trần Thị Hoàng Hiền")</f>
        <v>Trần Thị Hoàng Hiền</v>
      </c>
      <c r="J1352" s="3" t="str">
        <f ca="1">IFERROR(__xludf.DUMMYFUNCTION("""COMPUTED_VALUE"""),"0816451060")</f>
        <v>0816451060</v>
      </c>
      <c r="K1352" s="2" t="str">
        <f ca="1">IFERROR(__xludf.DUMMYFUNCTION("""COMPUTED_VALUE"""),"1753571943229")</f>
        <v>1753571943229</v>
      </c>
    </row>
    <row r="1353" spans="1:11" ht="12.45">
      <c r="A1353" s="2" t="str">
        <f ca="1">IFERROR(__xludf.DUMMYFUNCTION("""COMPUTED_VALUE"""),"1753571987844")</f>
        <v>1753571987844</v>
      </c>
      <c r="B1353" s="2"/>
      <c r="C1353" s="2" t="str">
        <v>0</v>
      </c>
      <c r="D1353" s="2"/>
      <c r="F1353" s="2" t="str">
        <v>0</v>
      </c>
      <c r="I1353" s="2" t="str">
        <f ca="1">IFERROR(__xludf.DUMMYFUNCTION("""COMPUTED_VALUE"""),"Đặng Thị Kiều Vi")</f>
        <v>Đặng Thị Kiều Vi</v>
      </c>
      <c r="J1353" s="3" t="str">
        <f ca="1">IFERROR(__xludf.DUMMYFUNCTION("""COMPUTED_VALUE"""),"0337941951")</f>
        <v>0337941951</v>
      </c>
      <c r="K1353" s="2" t="str">
        <f ca="1">IFERROR(__xludf.DUMMYFUNCTION("""COMPUTED_VALUE"""),"1753571987844")</f>
        <v>1753571987844</v>
      </c>
    </row>
    <row r="1354" spans="1:11" ht="12.45">
      <c r="A1354" s="2" t="str">
        <f ca="1">IFERROR(__xludf.DUMMYFUNCTION("""COMPUTED_VALUE"""),"1753572030147")</f>
        <v>1753572030147</v>
      </c>
      <c r="B1354" s="2"/>
      <c r="C1354" s="2" t="str">
        <v>0</v>
      </c>
      <c r="D1354" s="2"/>
      <c r="F1354" s="2" t="str">
        <v>0</v>
      </c>
      <c r="I1354" s="2" t="str">
        <f ca="1">IFERROR(__xludf.DUMMYFUNCTION("""COMPUTED_VALUE"""),"Nguyễn Ngọc Hà Uyên")</f>
        <v>Nguyễn Ngọc Hà Uyên</v>
      </c>
      <c r="J1354" s="3" t="str">
        <f ca="1">IFERROR(__xludf.DUMMYFUNCTION("""COMPUTED_VALUE"""),"0862869583")</f>
        <v>0862869583</v>
      </c>
      <c r="K1354" s="2" t="str">
        <f ca="1">IFERROR(__xludf.DUMMYFUNCTION("""COMPUTED_VALUE"""),"1753572030147")</f>
        <v>1753572030147</v>
      </c>
    </row>
    <row r="1355" spans="1:11" ht="12.45">
      <c r="A1355" s="2" t="str">
        <f ca="1">IFERROR(__xludf.DUMMYFUNCTION("""COMPUTED_VALUE"""),"1753572075228")</f>
        <v>1753572075228</v>
      </c>
      <c r="B1355" s="2"/>
      <c r="C1355" s="2" t="str">
        <v>0</v>
      </c>
      <c r="D1355" s="2"/>
      <c r="F1355" s="2" t="str">
        <v>0</v>
      </c>
      <c r="I1355" s="2" t="str">
        <f ca="1">IFERROR(__xludf.DUMMYFUNCTION("""COMPUTED_VALUE"""),"Lê Phương Anh")</f>
        <v>Lê Phương Anh</v>
      </c>
      <c r="J1355" s="3" t="str">
        <f ca="1">IFERROR(__xludf.DUMMYFUNCTION("""COMPUTED_VALUE"""),"0378060546")</f>
        <v>0378060546</v>
      </c>
      <c r="K1355" s="2" t="str">
        <f ca="1">IFERROR(__xludf.DUMMYFUNCTION("""COMPUTED_VALUE"""),"1753572075228")</f>
        <v>1753572075228</v>
      </c>
    </row>
    <row r="1356" spans="1:11" ht="12.45">
      <c r="A1356" s="2" t="str">
        <f ca="1">IFERROR(__xludf.DUMMYFUNCTION("""COMPUTED_VALUE"""),"1753572119871")</f>
        <v>1753572119871</v>
      </c>
      <c r="B1356" s="2"/>
      <c r="C1356" s="2" t="str">
        <v>0</v>
      </c>
      <c r="D1356" s="2"/>
      <c r="F1356" s="2" t="str">
        <v>0</v>
      </c>
      <c r="I1356" s="2" t="str">
        <f ca="1">IFERROR(__xludf.DUMMYFUNCTION("""COMPUTED_VALUE"""),"Trần Nhật Ý")</f>
        <v>Trần Nhật Ý</v>
      </c>
      <c r="J1356" s="3" t="str">
        <f ca="1">IFERROR(__xludf.DUMMYFUNCTION("""COMPUTED_VALUE"""),"0368761807")</f>
        <v>0368761807</v>
      </c>
      <c r="K1356" s="2" t="str">
        <f ca="1">IFERROR(__xludf.DUMMYFUNCTION("""COMPUTED_VALUE"""),"1753572119871")</f>
        <v>1753572119871</v>
      </c>
    </row>
    <row r="1357" spans="1:11" ht="12.45">
      <c r="A1357" s="2" t="str">
        <f ca="1">IFERROR(__xludf.DUMMYFUNCTION("""COMPUTED_VALUE"""),"1753572192139")</f>
        <v>1753572192139</v>
      </c>
      <c r="B1357" s="2"/>
      <c r="C1357" s="2" t="str">
        <v>0</v>
      </c>
      <c r="D1357" s="2"/>
      <c r="F1357" s="2" t="str">
        <v>0</v>
      </c>
      <c r="I1357" s="2" t="str">
        <f ca="1">IFERROR(__xludf.DUMMYFUNCTION("""COMPUTED_VALUE"""),"Phạm Nguyễn Khánh Linh")</f>
        <v>Phạm Nguyễn Khánh Linh</v>
      </c>
      <c r="J1357" s="3" t="str">
        <f ca="1">IFERROR(__xludf.DUMMYFUNCTION("""COMPUTED_VALUE"""),"0862067324")</f>
        <v>0862067324</v>
      </c>
      <c r="K1357" s="2" t="str">
        <f ca="1">IFERROR(__xludf.DUMMYFUNCTION("""COMPUTED_VALUE"""),"1753572192139")</f>
        <v>1753572192139</v>
      </c>
    </row>
    <row r="1358" spans="1:11" ht="12.45">
      <c r="A1358" s="2" t="str">
        <f ca="1">IFERROR(__xludf.DUMMYFUNCTION("""COMPUTED_VALUE"""),"1754130154528")</f>
        <v>1754130154528</v>
      </c>
      <c r="B1358" s="2"/>
      <c r="C1358" s="2" t="str">
        <v>0</v>
      </c>
      <c r="D1358" s="2"/>
      <c r="F1358" s="2" t="str">
        <v>0</v>
      </c>
      <c r="I1358" s="2" t="str">
        <f ca="1">IFERROR(__xludf.DUMMYFUNCTION("""COMPUTED_VALUE"""),"Trương Ngọc Bảo")</f>
        <v>Trương Ngọc Bảo</v>
      </c>
      <c r="J1358" s="3" t="str">
        <f ca="1">IFERROR(__xludf.DUMMYFUNCTION("""COMPUTED_VALUE"""),"0777473137")</f>
        <v>0777473137</v>
      </c>
      <c r="K1358" s="2" t="str">
        <f ca="1">IFERROR(__xludf.DUMMYFUNCTION("""COMPUTED_VALUE"""),"1754130154528")</f>
        <v>1754130154528</v>
      </c>
    </row>
    <row r="1359" spans="1:11" ht="12.45">
      <c r="A1359" s="2" t="str">
        <f ca="1">IFERROR(__xludf.DUMMYFUNCTION("""COMPUTED_VALUE"""),"1754130200708")</f>
        <v>1754130200708</v>
      </c>
      <c r="B1359" s="2"/>
      <c r="C1359" s="2" t="str">
        <v>0</v>
      </c>
      <c r="D1359" s="2"/>
      <c r="F1359" s="2" t="str">
        <v>0</v>
      </c>
      <c r="I1359" s="2" t="str">
        <f ca="1">IFERROR(__xludf.DUMMYFUNCTION("""COMPUTED_VALUE"""),"Nguyễn Vũ Tường Vi")</f>
        <v>Nguyễn Vũ Tường Vi</v>
      </c>
      <c r="J1359" s="2" t="str">
        <f ca="1">IFERROR(__xludf.DUMMYFUNCTION("""COMPUTED_VALUE"""),"0347202397")</f>
        <v>0347202397</v>
      </c>
      <c r="K1359" s="2" t="str">
        <f ca="1">IFERROR(__xludf.DUMMYFUNCTION("""COMPUTED_VALUE"""),"1754130200708")</f>
        <v>1754130200708</v>
      </c>
    </row>
    <row r="1360" spans="1:11" ht="12.45">
      <c r="A1360" s="2" t="str">
        <f ca="1">IFERROR(__xludf.DUMMYFUNCTION("""COMPUTED_VALUE"""),"1754130233955")</f>
        <v>1754130233955</v>
      </c>
      <c r="B1360" s="2"/>
      <c r="C1360" s="2" t="str">
        <v>0</v>
      </c>
      <c r="D1360" s="2"/>
      <c r="F1360" s="2" t="str">
        <v>0</v>
      </c>
      <c r="I1360" s="2" t="str">
        <f ca="1">IFERROR(__xludf.DUMMYFUNCTION("""COMPUTED_VALUE"""),"Nguyễn Lương Yến Nhi")</f>
        <v>Nguyễn Lương Yến Nhi</v>
      </c>
      <c r="J1360" s="3" t="str">
        <f ca="1">IFERROR(__xludf.DUMMYFUNCTION("""COMPUTED_VALUE"""),"0364871546")</f>
        <v>0364871546</v>
      </c>
      <c r="K1360" s="2" t="str">
        <f ca="1">IFERROR(__xludf.DUMMYFUNCTION("""COMPUTED_VALUE"""),"1754130233955")</f>
        <v>1754130233955</v>
      </c>
    </row>
    <row r="1361" spans="1:11" ht="12.45">
      <c r="A1361" s="2" t="str">
        <f ca="1">IFERROR(__xludf.DUMMYFUNCTION("""COMPUTED_VALUE"""),"1754130291581")</f>
        <v>1754130291581</v>
      </c>
      <c r="B1361" s="2"/>
      <c r="C1361" s="2" t="str">
        <v>0</v>
      </c>
      <c r="D1361" s="2"/>
      <c r="F1361" s="2" t="str">
        <v>0</v>
      </c>
      <c r="I1361" s="2" t="str">
        <f ca="1">IFERROR(__xludf.DUMMYFUNCTION("""COMPUTED_VALUE"""),"Phạm Nguyễn Bảo Thy")</f>
        <v>Phạm Nguyễn Bảo Thy</v>
      </c>
      <c r="J1361" s="3" t="str">
        <f ca="1">IFERROR(__xludf.DUMMYFUNCTION("""COMPUTED_VALUE"""),"0765584390")</f>
        <v>0765584390</v>
      </c>
      <c r="K1361" s="2" t="str">
        <f ca="1">IFERROR(__xludf.DUMMYFUNCTION("""COMPUTED_VALUE"""),"1754130291581")</f>
        <v>1754130291581</v>
      </c>
    </row>
    <row r="1362" spans="1:11" ht="12.45">
      <c r="A1362" s="2" t="str">
        <f ca="1">IFERROR(__xludf.DUMMYFUNCTION("""COMPUTED_VALUE"""),"1754130373333")</f>
        <v>1754130373333</v>
      </c>
      <c r="B1362" s="2"/>
      <c r="C1362" s="2" t="str">
        <v>0</v>
      </c>
      <c r="D1362" s="2"/>
      <c r="F1362" s="2" t="str">
        <v>0</v>
      </c>
      <c r="I1362" s="2" t="str">
        <f ca="1">IFERROR(__xludf.DUMMYFUNCTION("""COMPUTED_VALUE"""),"Bùi Minh Huệ ")</f>
        <v xml:space="preserve">Bùi Minh Huệ </v>
      </c>
      <c r="J1362" s="3" t="str">
        <f ca="1">IFERROR(__xludf.DUMMYFUNCTION("""COMPUTED_VALUE"""),"0325514643")</f>
        <v>0325514643</v>
      </c>
      <c r="K1362" s="2" t="str">
        <f ca="1">IFERROR(__xludf.DUMMYFUNCTION("""COMPUTED_VALUE"""),"1754130373333")</f>
        <v>1754130373333</v>
      </c>
    </row>
    <row r="1363" spans="1:11" ht="12.45">
      <c r="A1363" s="2" t="str">
        <f ca="1">IFERROR(__xludf.DUMMYFUNCTION("""COMPUTED_VALUE"""),"1754130481341")</f>
        <v>1754130481341</v>
      </c>
      <c r="B1363" s="2"/>
      <c r="C1363" s="2" t="str">
        <v>0</v>
      </c>
      <c r="D1363" s="2"/>
      <c r="F1363" s="2" t="str">
        <v>0</v>
      </c>
      <c r="I1363" s="2" t="str">
        <f ca="1">IFERROR(__xludf.DUMMYFUNCTION("""COMPUTED_VALUE"""),"Nguyễn Phương Cát")</f>
        <v>Nguyễn Phương Cát</v>
      </c>
      <c r="J1363" s="3" t="str">
        <f ca="1">IFERROR(__xludf.DUMMYFUNCTION("""COMPUTED_VALUE"""),"0912944810")</f>
        <v>0912944810</v>
      </c>
      <c r="K1363" s="2" t="str">
        <f ca="1">IFERROR(__xludf.DUMMYFUNCTION("""COMPUTED_VALUE"""),"1754130481341")</f>
        <v>1754130481341</v>
      </c>
    </row>
    <row r="1364" spans="1:11" ht="12.45">
      <c r="A1364" s="2" t="str">
        <f ca="1">IFERROR(__xludf.DUMMYFUNCTION("""COMPUTED_VALUE"""),"1754130589768")</f>
        <v>1754130589768</v>
      </c>
      <c r="B1364" s="2"/>
      <c r="C1364" s="2" t="str">
        <v>0</v>
      </c>
      <c r="D1364" s="2"/>
      <c r="F1364" s="2" t="str">
        <v>0</v>
      </c>
      <c r="I1364" s="2" t="str">
        <f ca="1">IFERROR(__xludf.DUMMYFUNCTION("""COMPUTED_VALUE"""),"Ninh Ánh Trang")</f>
        <v>Ninh Ánh Trang</v>
      </c>
      <c r="J1364" s="3" t="str">
        <f ca="1">IFERROR(__xludf.DUMMYFUNCTION("""COMPUTED_VALUE"""),"0389614365")</f>
        <v>0389614365</v>
      </c>
      <c r="K1364" s="2" t="str">
        <f ca="1">IFERROR(__xludf.DUMMYFUNCTION("""COMPUTED_VALUE"""),"1754130589768")</f>
        <v>1754130589768</v>
      </c>
    </row>
    <row r="1365" spans="1:11" ht="12.45">
      <c r="A1365" s="2" t="str">
        <f ca="1">IFERROR(__xludf.DUMMYFUNCTION("""COMPUTED_VALUE"""),"1754130637532")</f>
        <v>1754130637532</v>
      </c>
      <c r="B1365" s="2"/>
      <c r="C1365" s="2" t="str">
        <v>0</v>
      </c>
      <c r="D1365" s="2"/>
      <c r="F1365" s="2" t="str">
        <v>0</v>
      </c>
      <c r="I1365" s="2" t="str">
        <f ca="1">IFERROR(__xludf.DUMMYFUNCTION("""COMPUTED_VALUE"""),"Hồ Công Chính ")</f>
        <v xml:space="preserve">Hồ Công Chính </v>
      </c>
      <c r="J1365" s="3" t="str">
        <f ca="1">IFERROR(__xludf.DUMMYFUNCTION("""COMPUTED_VALUE"""),"0376229718")</f>
        <v>0376229718</v>
      </c>
      <c r="K1365" s="2" t="str">
        <f ca="1">IFERROR(__xludf.DUMMYFUNCTION("""COMPUTED_VALUE"""),"1754130637532")</f>
        <v>1754130637532</v>
      </c>
    </row>
    <row r="1366" spans="1:11" ht="12.45">
      <c r="A1366" s="2" t="str">
        <f ca="1">IFERROR(__xludf.DUMMYFUNCTION("""COMPUTED_VALUE"""),"1754130706289")</f>
        <v>1754130706289</v>
      </c>
      <c r="B1366" s="2"/>
      <c r="C1366" s="2" t="str">
        <v>0</v>
      </c>
      <c r="D1366" s="2"/>
      <c r="F1366" s="2" t="str">
        <v>0</v>
      </c>
      <c r="I1366" s="2" t="str">
        <f ca="1">IFERROR(__xludf.DUMMYFUNCTION("""COMPUTED_VALUE"""),"Nguyễn Thị Kim Oanh")</f>
        <v>Nguyễn Thị Kim Oanh</v>
      </c>
      <c r="J1366" s="3" t="str">
        <f ca="1">IFERROR(__xludf.DUMMYFUNCTION("""COMPUTED_VALUE"""),"0387899039")</f>
        <v>0387899039</v>
      </c>
      <c r="K1366" s="2" t="str">
        <f ca="1">IFERROR(__xludf.DUMMYFUNCTION("""COMPUTED_VALUE"""),"1754130706289")</f>
        <v>1754130706289</v>
      </c>
    </row>
    <row r="1367" spans="1:11" ht="12.45">
      <c r="A1367" s="2" t="str">
        <f ca="1">IFERROR(__xludf.DUMMYFUNCTION("""COMPUTED_VALUE"""),"1754130789090")</f>
        <v>1754130789090</v>
      </c>
      <c r="B1367" s="2"/>
      <c r="C1367" s="2" t="str">
        <v>0</v>
      </c>
      <c r="D1367" s="2"/>
      <c r="F1367" s="2" t="str">
        <v>0</v>
      </c>
      <c r="I1367" s="2" t="str">
        <f ca="1">IFERROR(__xludf.DUMMYFUNCTION("""COMPUTED_VALUE"""),"Mai Thái Kiều My ")</f>
        <v xml:space="preserve">Mai Thái Kiều My </v>
      </c>
      <c r="J1367" s="3" t="str">
        <f ca="1">IFERROR(__xludf.DUMMYFUNCTION("""COMPUTED_VALUE"""),"0329595704")</f>
        <v>0329595704</v>
      </c>
      <c r="K1367" s="2" t="str">
        <f ca="1">IFERROR(__xludf.DUMMYFUNCTION("""COMPUTED_VALUE"""),"1754130789090")</f>
        <v>1754130789090</v>
      </c>
    </row>
    <row r="1368" spans="1:11" ht="12.45">
      <c r="A1368" s="2" t="str">
        <f ca="1">IFERROR(__xludf.DUMMYFUNCTION("""COMPUTED_VALUE"""),"1754130831798")</f>
        <v>1754130831798</v>
      </c>
      <c r="B1368" s="2"/>
      <c r="C1368" s="2" t="str">
        <v>0</v>
      </c>
      <c r="D1368" s="2"/>
      <c r="F1368" s="2" t="str">
        <v>0</v>
      </c>
      <c r="I1368" s="2" t="str">
        <f ca="1">IFERROR(__xludf.DUMMYFUNCTION("""COMPUTED_VALUE"""),"Đỗ Thùy Dương ")</f>
        <v xml:space="preserve">Đỗ Thùy Dương </v>
      </c>
      <c r="J1368" s="3" t="str">
        <f ca="1">IFERROR(__xludf.DUMMYFUNCTION("""COMPUTED_VALUE"""),"0702384536")</f>
        <v>0702384536</v>
      </c>
      <c r="K1368" s="2" t="str">
        <f ca="1">IFERROR(__xludf.DUMMYFUNCTION("""COMPUTED_VALUE"""),"1754130831798")</f>
        <v>1754130831798</v>
      </c>
    </row>
    <row r="1369" spans="1:11" ht="12.45">
      <c r="A1369" s="2" t="str">
        <f ca="1">IFERROR(__xludf.DUMMYFUNCTION("""COMPUTED_VALUE"""),"1754130892274")</f>
        <v>1754130892274</v>
      </c>
      <c r="B1369" s="2"/>
      <c r="C1369" s="2" t="str">
        <v>0</v>
      </c>
      <c r="D1369" s="2"/>
      <c r="F1369" s="2" t="str">
        <v>0</v>
      </c>
      <c r="I1369" s="2" t="str">
        <f ca="1">IFERROR(__xludf.DUMMYFUNCTION("""COMPUTED_VALUE"""),"Nguyễn Phạm Phương Lam")</f>
        <v>Nguyễn Phạm Phương Lam</v>
      </c>
      <c r="J1369" s="3" t="str">
        <f ca="1">IFERROR(__xludf.DUMMYFUNCTION("""COMPUTED_VALUE"""),"0978394752")</f>
        <v>0978394752</v>
      </c>
      <c r="K1369" s="2" t="str">
        <f ca="1">IFERROR(__xludf.DUMMYFUNCTION("""COMPUTED_VALUE"""),"1754130892274")</f>
        <v>1754130892274</v>
      </c>
    </row>
    <row r="1370" spans="1:11" ht="12.45">
      <c r="A1370" s="2" t="str">
        <f ca="1">IFERROR(__xludf.DUMMYFUNCTION("""COMPUTED_VALUE"""),"1754130983604")</f>
        <v>1754130983604</v>
      </c>
      <c r="B1370" s="2"/>
      <c r="C1370" s="2" t="str">
        <v>0</v>
      </c>
      <c r="D1370" s="2"/>
      <c r="F1370" s="2" t="str">
        <v>0</v>
      </c>
      <c r="I1370" s="2" t="str">
        <f ca="1">IFERROR(__xludf.DUMMYFUNCTION("""COMPUTED_VALUE"""),"Thân Khuất Ngọc Bình")</f>
        <v>Thân Khuất Ngọc Bình</v>
      </c>
      <c r="J1370" s="3" t="str">
        <f ca="1">IFERROR(__xludf.DUMMYFUNCTION("""COMPUTED_VALUE"""),"0397378028")</f>
        <v>0397378028</v>
      </c>
      <c r="K1370" s="2" t="str">
        <f ca="1">IFERROR(__xludf.DUMMYFUNCTION("""COMPUTED_VALUE"""),"1754130983604")</f>
        <v>1754130983604</v>
      </c>
    </row>
    <row r="1371" spans="1:11" ht="12.45">
      <c r="A1371" s="2" t="str">
        <f ca="1">IFERROR(__xludf.DUMMYFUNCTION("""COMPUTED_VALUE"""),"1754131059135")</f>
        <v>1754131059135</v>
      </c>
      <c r="B1371" s="2"/>
      <c r="C1371" s="2" t="str">
        <v>0</v>
      </c>
      <c r="D1371" s="2"/>
      <c r="F1371" s="2" t="str">
        <v>0</v>
      </c>
      <c r="I1371" s="2" t="str">
        <f ca="1">IFERROR(__xludf.DUMMYFUNCTION("""COMPUTED_VALUE"""),"Đặng Phương Anh")</f>
        <v>Đặng Phương Anh</v>
      </c>
      <c r="J1371" s="3" t="str">
        <f ca="1">IFERROR(__xludf.DUMMYFUNCTION("""COMPUTED_VALUE"""),"0339063632")</f>
        <v>0339063632</v>
      </c>
      <c r="K1371" s="2" t="str">
        <f ca="1">IFERROR(__xludf.DUMMYFUNCTION("""COMPUTED_VALUE"""),"1754131059135")</f>
        <v>1754131059135</v>
      </c>
    </row>
    <row r="1372" spans="1:11" ht="12.45">
      <c r="A1372" s="2" t="str">
        <f ca="1">IFERROR(__xludf.DUMMYFUNCTION("""COMPUTED_VALUE"""),"1754131147084")</f>
        <v>1754131147084</v>
      </c>
      <c r="B1372" s="2"/>
      <c r="C1372" s="2" t="str">
        <v>0</v>
      </c>
      <c r="D1372" s="2"/>
      <c r="F1372" s="2" t="str">
        <v>0</v>
      </c>
      <c r="I1372" s="2" t="str">
        <f ca="1">IFERROR(__xludf.DUMMYFUNCTION("""COMPUTED_VALUE"""),"Lê Bảo Vi")</f>
        <v>Lê Bảo Vi</v>
      </c>
      <c r="J1372" s="3" t="str">
        <f ca="1">IFERROR(__xludf.DUMMYFUNCTION("""COMPUTED_VALUE"""),"0967927391")</f>
        <v>0967927391</v>
      </c>
      <c r="K1372" s="2" t="str">
        <f ca="1">IFERROR(__xludf.DUMMYFUNCTION("""COMPUTED_VALUE"""),"1754131147084")</f>
        <v>1754131147084</v>
      </c>
    </row>
    <row r="1373" spans="1:11" ht="12.45">
      <c r="A1373" s="2" t="str">
        <f ca="1">IFERROR(__xludf.DUMMYFUNCTION("""COMPUTED_VALUE"""),"1754131215630")</f>
        <v>1754131215630</v>
      </c>
      <c r="B1373" s="2"/>
      <c r="C1373" s="2" t="str">
        <v>0</v>
      </c>
      <c r="D1373" s="2"/>
      <c r="F1373" s="2" t="str">
        <v>0</v>
      </c>
      <c r="I1373" s="2" t="str">
        <f ca="1">IFERROR(__xludf.DUMMYFUNCTION("""COMPUTED_VALUE"""),"Cái Thúy Phương")</f>
        <v>Cái Thúy Phương</v>
      </c>
      <c r="J1373" s="3" t="str">
        <f ca="1">IFERROR(__xludf.DUMMYFUNCTION("""COMPUTED_VALUE"""),"0775059440")</f>
        <v>0775059440</v>
      </c>
      <c r="K1373" s="2" t="str">
        <f ca="1">IFERROR(__xludf.DUMMYFUNCTION("""COMPUTED_VALUE"""),"1754131215630")</f>
        <v>1754131215630</v>
      </c>
    </row>
    <row r="1374" spans="1:11" ht="12.45">
      <c r="A1374" s="2" t="str">
        <f ca="1">IFERROR(__xludf.DUMMYFUNCTION("""COMPUTED_VALUE"""),"1754131285752")</f>
        <v>1754131285752</v>
      </c>
      <c r="B1374" s="2"/>
      <c r="C1374" s="2" t="str">
        <v>0</v>
      </c>
      <c r="D1374" s="2"/>
      <c r="F1374" s="2" t="str">
        <v>0</v>
      </c>
      <c r="I1374" s="2" t="str">
        <f ca="1">IFERROR(__xludf.DUMMYFUNCTION("""COMPUTED_VALUE"""),"Nguyễn Hồ Tiến Đạt ")</f>
        <v xml:space="preserve">Nguyễn Hồ Tiến Đạt </v>
      </c>
      <c r="J1374" s="3" t="str">
        <f ca="1">IFERROR(__xludf.DUMMYFUNCTION("""COMPUTED_VALUE"""),"0941504950")</f>
        <v>0941504950</v>
      </c>
      <c r="K1374" s="2" t="str">
        <f ca="1">IFERROR(__xludf.DUMMYFUNCTION("""COMPUTED_VALUE"""),"1754131285752")</f>
        <v>1754131285752</v>
      </c>
    </row>
    <row r="1375" spans="1:11" ht="12.45">
      <c r="A1375" s="2" t="str">
        <f ca="1">IFERROR(__xludf.DUMMYFUNCTION("""COMPUTED_VALUE"""),"1754131375222")</f>
        <v>1754131375222</v>
      </c>
      <c r="B1375" s="2"/>
      <c r="C1375" s="2" t="str">
        <v>0</v>
      </c>
      <c r="D1375" s="2"/>
      <c r="F1375" s="2" t="str">
        <v>0</v>
      </c>
      <c r="I1375" s="2" t="str">
        <f ca="1">IFERROR(__xludf.DUMMYFUNCTION("""COMPUTED_VALUE"""),"Lê Ngọc Yến Nhi ")</f>
        <v xml:space="preserve">Lê Ngọc Yến Nhi </v>
      </c>
      <c r="J1375" s="3" t="str">
        <f ca="1">IFERROR(__xludf.DUMMYFUNCTION("""COMPUTED_VALUE"""),"0818004588")</f>
        <v>0818004588</v>
      </c>
      <c r="K1375" s="2" t="str">
        <f ca="1">IFERROR(__xludf.DUMMYFUNCTION("""COMPUTED_VALUE"""),"1754131375222")</f>
        <v>1754131375222</v>
      </c>
    </row>
    <row r="1376" spans="1:11" ht="12.45">
      <c r="A1376" s="2" t="str">
        <f ca="1">IFERROR(__xludf.DUMMYFUNCTION("""COMPUTED_VALUE"""),"1754131434005")</f>
        <v>1754131434005</v>
      </c>
      <c r="B1376" s="2"/>
      <c r="C1376" s="2" t="str">
        <v>0</v>
      </c>
      <c r="D1376" s="2"/>
      <c r="F1376" s="2" t="str">
        <v>0</v>
      </c>
      <c r="I1376" s="2" t="str">
        <f ca="1">IFERROR(__xludf.DUMMYFUNCTION("""COMPUTED_VALUE"""),"Chung Mẫn Nghi")</f>
        <v>Chung Mẫn Nghi</v>
      </c>
      <c r="J1376" s="3" t="str">
        <f ca="1">IFERROR(__xludf.DUMMYFUNCTION("""COMPUTED_VALUE"""),"0777475242")</f>
        <v>0777475242</v>
      </c>
      <c r="K1376" s="2" t="str">
        <f ca="1">IFERROR(__xludf.DUMMYFUNCTION("""COMPUTED_VALUE"""),"1754131434005")</f>
        <v>1754131434005</v>
      </c>
    </row>
    <row r="1377" spans="1:11" ht="12.45">
      <c r="A1377" s="2" t="str">
        <f ca="1">IFERROR(__xludf.DUMMYFUNCTION("""COMPUTED_VALUE"""),"1754131474475")</f>
        <v>1754131474475</v>
      </c>
      <c r="B1377" s="2"/>
      <c r="C1377" s="2" t="str">
        <v>0</v>
      </c>
      <c r="D1377" s="2"/>
      <c r="F1377" s="2" t="str">
        <v>0</v>
      </c>
      <c r="I1377" s="2" t="str">
        <f ca="1">IFERROR(__xludf.DUMMYFUNCTION("""COMPUTED_VALUE"""),"Nguyễn Thị Thùy Linh")</f>
        <v>Nguyễn Thị Thùy Linh</v>
      </c>
      <c r="J1377" s="3" t="str">
        <f ca="1">IFERROR(__xludf.DUMMYFUNCTION("""COMPUTED_VALUE"""),"0334028458")</f>
        <v>0334028458</v>
      </c>
      <c r="K1377" s="2" t="str">
        <f ca="1">IFERROR(__xludf.DUMMYFUNCTION("""COMPUTED_VALUE"""),"1754131474475")</f>
        <v>1754131474475</v>
      </c>
    </row>
    <row r="1378" spans="1:11" ht="12.45">
      <c r="A1378" s="2" t="str">
        <f ca="1">IFERROR(__xludf.DUMMYFUNCTION("""COMPUTED_VALUE"""),"1754131523082")</f>
        <v>1754131523082</v>
      </c>
      <c r="B1378" s="2"/>
      <c r="C1378" s="2" t="str">
        <v>0</v>
      </c>
      <c r="D1378" s="2"/>
      <c r="F1378" s="2" t="str">
        <v>0</v>
      </c>
      <c r="I1378" s="2" t="str">
        <f ca="1">IFERROR(__xludf.DUMMYFUNCTION("""COMPUTED_VALUE"""),"Phạm Thị Kim Xuyến")</f>
        <v>Phạm Thị Kim Xuyến</v>
      </c>
      <c r="J1378" s="3" t="str">
        <f ca="1">IFERROR(__xludf.DUMMYFUNCTION("""COMPUTED_VALUE"""),"0971155467")</f>
        <v>0971155467</v>
      </c>
      <c r="K1378" s="2" t="str">
        <f ca="1">IFERROR(__xludf.DUMMYFUNCTION("""COMPUTED_VALUE"""),"1754131523082")</f>
        <v>1754131523082</v>
      </c>
    </row>
    <row r="1379" spans="1:11" ht="12.45">
      <c r="A1379" s="2" t="str">
        <f ca="1">IFERROR(__xludf.DUMMYFUNCTION("""COMPUTED_VALUE"""),"1754131557191")</f>
        <v>1754131557191</v>
      </c>
      <c r="B1379" s="2"/>
      <c r="C1379" s="2" t="str">
        <v>0</v>
      </c>
      <c r="D1379" s="2"/>
      <c r="F1379" s="2" t="str">
        <v>0</v>
      </c>
      <c r="I1379" s="2" t="str">
        <f ca="1">IFERROR(__xludf.DUMMYFUNCTION("""COMPUTED_VALUE"""),"Trần Ngọc Như Ý")</f>
        <v>Trần Ngọc Như Ý</v>
      </c>
      <c r="J1379" s="3" t="str">
        <f ca="1">IFERROR(__xludf.DUMMYFUNCTION("""COMPUTED_VALUE"""),"0373017292")</f>
        <v>0373017292</v>
      </c>
      <c r="K1379" s="2" t="str">
        <f ca="1">IFERROR(__xludf.DUMMYFUNCTION("""COMPUTED_VALUE"""),"1754131557191")</f>
        <v>1754131557191</v>
      </c>
    </row>
    <row r="1380" spans="1:11" ht="12.45">
      <c r="A1380" s="2" t="str">
        <f ca="1">IFERROR(__xludf.DUMMYFUNCTION("""COMPUTED_VALUE"""),"1754131600326")</f>
        <v>1754131600326</v>
      </c>
      <c r="B1380" s="2"/>
      <c r="C1380" s="2" t="str">
        <v>0</v>
      </c>
      <c r="D1380" s="2"/>
      <c r="F1380" s="2" t="str">
        <v>0</v>
      </c>
      <c r="I1380" s="2" t="str">
        <f ca="1">IFERROR(__xludf.DUMMYFUNCTION("""COMPUTED_VALUE"""),"Lê Đức Mạnh ")</f>
        <v xml:space="preserve">Lê Đức Mạnh </v>
      </c>
      <c r="J1380" s="3" t="str">
        <f ca="1">IFERROR(__xludf.DUMMYFUNCTION("""COMPUTED_VALUE"""),"0373534596")</f>
        <v>0373534596</v>
      </c>
      <c r="K1380" s="2" t="str">
        <f ca="1">IFERROR(__xludf.DUMMYFUNCTION("""COMPUTED_VALUE"""),"1754131600326")</f>
        <v>1754131600326</v>
      </c>
    </row>
    <row r="1381" spans="1:11" ht="12.45">
      <c r="A1381" s="2" t="str">
        <f ca="1">IFERROR(__xludf.DUMMYFUNCTION("""COMPUTED_VALUE"""),"1754131658351")</f>
        <v>1754131658351</v>
      </c>
      <c r="B1381" s="2"/>
      <c r="C1381" s="2" t="str">
        <v>0</v>
      </c>
      <c r="D1381" s="2"/>
      <c r="F1381" s="2" t="str">
        <v>0</v>
      </c>
      <c r="I1381" s="2" t="str">
        <f ca="1">IFERROR(__xludf.DUMMYFUNCTION("""COMPUTED_VALUE"""),"Nguyễn Kim Tình")</f>
        <v>Nguyễn Kim Tình</v>
      </c>
      <c r="J1381" s="3" t="str">
        <f ca="1">IFERROR(__xludf.DUMMYFUNCTION("""COMPUTED_VALUE"""),"0819385201")</f>
        <v>0819385201</v>
      </c>
      <c r="K1381" s="2" t="str">
        <f ca="1">IFERROR(__xludf.DUMMYFUNCTION("""COMPUTED_VALUE"""),"1754131658351")</f>
        <v>1754131658351</v>
      </c>
    </row>
    <row r="1382" spans="1:11" ht="12.45">
      <c r="A1382" s="2" t="str">
        <f ca="1">IFERROR(__xludf.DUMMYFUNCTION("""COMPUTED_VALUE"""),"1754131704479")</f>
        <v>1754131704479</v>
      </c>
      <c r="B1382" s="2"/>
      <c r="C1382" s="2" t="str">
        <v>0</v>
      </c>
      <c r="D1382" s="2"/>
      <c r="F1382" s="2" t="str">
        <v>0</v>
      </c>
      <c r="I1382" s="2" t="str">
        <f ca="1">IFERROR(__xludf.DUMMYFUNCTION("""COMPUTED_VALUE"""),"Nguyễn Lê Thanh Thảo")</f>
        <v>Nguyễn Lê Thanh Thảo</v>
      </c>
      <c r="J1382" s="3" t="str">
        <f ca="1">IFERROR(__xludf.DUMMYFUNCTION("""COMPUTED_VALUE"""),"0963100108")</f>
        <v>0963100108</v>
      </c>
      <c r="K1382" s="2" t="str">
        <f ca="1">IFERROR(__xludf.DUMMYFUNCTION("""COMPUTED_VALUE"""),"1754131704479")</f>
        <v>1754131704479</v>
      </c>
    </row>
    <row r="1383" spans="1:11" ht="12.45">
      <c r="A1383" s="2" t="str">
        <f ca="1">IFERROR(__xludf.DUMMYFUNCTION("""COMPUTED_VALUE"""),"1754131746277")</f>
        <v>1754131746277</v>
      </c>
      <c r="B1383" s="2"/>
      <c r="C1383" s="2" t="str">
        <v>0</v>
      </c>
      <c r="D1383" s="2"/>
      <c r="F1383" s="2" t="str">
        <v>0</v>
      </c>
      <c r="I1383" s="2" t="str">
        <f ca="1">IFERROR(__xludf.DUMMYFUNCTION("""COMPUTED_VALUE"""),"Đào Thị Minh Thư")</f>
        <v>Đào Thị Minh Thư</v>
      </c>
      <c r="J1383" s="3" t="str">
        <f ca="1">IFERROR(__xludf.DUMMYFUNCTION("""COMPUTED_VALUE"""),"0987643373")</f>
        <v>0987643373</v>
      </c>
      <c r="K1383" s="2" t="str">
        <f ca="1">IFERROR(__xludf.DUMMYFUNCTION("""COMPUTED_VALUE"""),"1754131746277")</f>
        <v>1754131746277</v>
      </c>
    </row>
    <row r="1384" spans="1:11" ht="12.45">
      <c r="A1384" s="2" t="str">
        <f ca="1">IFERROR(__xludf.DUMMYFUNCTION("""COMPUTED_VALUE"""),"1754131804105")</f>
        <v>1754131804105</v>
      </c>
      <c r="B1384" s="2"/>
      <c r="C1384" s="2" t="str">
        <v>0</v>
      </c>
      <c r="D1384" s="2"/>
      <c r="F1384" s="2" t="str">
        <v>0</v>
      </c>
      <c r="I1384" s="2" t="str">
        <f ca="1">IFERROR(__xludf.DUMMYFUNCTION("""COMPUTED_VALUE"""),"Bạch Thị Trà My")</f>
        <v>Bạch Thị Trà My</v>
      </c>
      <c r="J1384" s="3" t="str">
        <f ca="1">IFERROR(__xludf.DUMMYFUNCTION("""COMPUTED_VALUE"""),"0787689728")</f>
        <v>0787689728</v>
      </c>
      <c r="K1384" s="2" t="str">
        <f ca="1">IFERROR(__xludf.DUMMYFUNCTION("""COMPUTED_VALUE"""),"1754131804105")</f>
        <v>1754131804105</v>
      </c>
    </row>
    <row r="1385" spans="1:11" ht="12.45">
      <c r="A1385" s="2" t="str">
        <f ca="1">IFERROR(__xludf.DUMMYFUNCTION("""COMPUTED_VALUE"""),"1754131836643")</f>
        <v>1754131836643</v>
      </c>
      <c r="B1385" s="2"/>
      <c r="C1385" s="2" t="str">
        <v>0</v>
      </c>
      <c r="D1385" s="2"/>
      <c r="F1385" s="2" t="str">
        <v>0</v>
      </c>
      <c r="I1385" s="2" t="str">
        <f ca="1">IFERROR(__xludf.DUMMYFUNCTION("""COMPUTED_VALUE"""),"Trần Hường")</f>
        <v>Trần Hường</v>
      </c>
      <c r="J1385" s="3" t="str">
        <f ca="1">IFERROR(__xludf.DUMMYFUNCTION("""COMPUTED_VALUE"""),"0333145338")</f>
        <v>0333145338</v>
      </c>
      <c r="K1385" s="2" t="str">
        <f ca="1">IFERROR(__xludf.DUMMYFUNCTION("""COMPUTED_VALUE"""),"1754131836643")</f>
        <v>1754131836643</v>
      </c>
    </row>
    <row r="1386" spans="1:11" ht="12.45">
      <c r="A1386" s="2" t="str">
        <f ca="1">IFERROR(__xludf.DUMMYFUNCTION("""COMPUTED_VALUE"""),"1754131909504")</f>
        <v>1754131909504</v>
      </c>
      <c r="B1386" s="2"/>
      <c r="C1386" s="2" t="str">
        <v>0</v>
      </c>
      <c r="D1386" s="2"/>
      <c r="F1386" s="2" t="str">
        <v>0</v>
      </c>
      <c r="I1386" s="2" t="str">
        <f ca="1">IFERROR(__xludf.DUMMYFUNCTION("""COMPUTED_VALUE"""),"Nguyễn Như Thuỳ")</f>
        <v>Nguyễn Như Thuỳ</v>
      </c>
      <c r="J1386" s="3" t="str">
        <f ca="1">IFERROR(__xludf.DUMMYFUNCTION("""COMPUTED_VALUE"""),"0812332322")</f>
        <v>0812332322</v>
      </c>
      <c r="K1386" s="2" t="str">
        <f ca="1">IFERROR(__xludf.DUMMYFUNCTION("""COMPUTED_VALUE"""),"1754131909504")</f>
        <v>1754131909504</v>
      </c>
    </row>
    <row r="1387" spans="1:11" ht="12.45">
      <c r="A1387" s="2" t="str">
        <f ca="1">IFERROR(__xludf.DUMMYFUNCTION("""COMPUTED_VALUE"""),"1754131997129")</f>
        <v>1754131997129</v>
      </c>
      <c r="B1387" s="2"/>
      <c r="C1387" s="2" t="str">
        <v>0</v>
      </c>
      <c r="D1387" s="2"/>
      <c r="F1387" s="2" t="str">
        <v>0</v>
      </c>
      <c r="I1387" s="2" t="str">
        <f ca="1">IFERROR(__xludf.DUMMYFUNCTION("""COMPUTED_VALUE"""),"Trương Tiết Nhã Phụng")</f>
        <v>Trương Tiết Nhã Phụng</v>
      </c>
      <c r="J1387" s="3" t="str">
        <f ca="1">IFERROR(__xludf.DUMMYFUNCTION("""COMPUTED_VALUE"""),"0939278207")</f>
        <v>0939278207</v>
      </c>
      <c r="K1387" s="2" t="str">
        <f ca="1">IFERROR(__xludf.DUMMYFUNCTION("""COMPUTED_VALUE"""),"1754131997129")</f>
        <v>1754131997129</v>
      </c>
    </row>
    <row r="1388" spans="1:11" ht="12.45">
      <c r="A1388" s="2" t="str">
        <f ca="1">IFERROR(__xludf.DUMMYFUNCTION("""COMPUTED_VALUE"""),"1754132071880")</f>
        <v>1754132071880</v>
      </c>
      <c r="B1388" s="2"/>
      <c r="C1388" s="2" t="str">
        <v>0</v>
      </c>
      <c r="D1388" s="2"/>
      <c r="F1388" s="2" t="str">
        <v>0</v>
      </c>
      <c r="I1388" s="2" t="str">
        <f ca="1">IFERROR(__xludf.DUMMYFUNCTION("""COMPUTED_VALUE"""),"Phạm Quốc Trung")</f>
        <v>Phạm Quốc Trung</v>
      </c>
      <c r="J1388" s="3" t="str">
        <f ca="1">IFERROR(__xludf.DUMMYFUNCTION("""COMPUTED_VALUE"""),"0334051571")</f>
        <v>0334051571</v>
      </c>
      <c r="K1388" s="2" t="str">
        <f ca="1">IFERROR(__xludf.DUMMYFUNCTION("""COMPUTED_VALUE"""),"1754132071880")</f>
        <v>1754132071880</v>
      </c>
    </row>
    <row r="1389" spans="1:11" ht="12.45">
      <c r="A1389" s="2" t="str">
        <f ca="1">IFERROR(__xludf.DUMMYFUNCTION("""COMPUTED_VALUE"""),"1754132148766")</f>
        <v>1754132148766</v>
      </c>
      <c r="B1389" s="2"/>
      <c r="C1389" s="2" t="str">
        <v>0</v>
      </c>
      <c r="D1389" s="2"/>
      <c r="F1389" s="2" t="str">
        <v>0</v>
      </c>
      <c r="I1389" s="2" t="str">
        <f ca="1">IFERROR(__xludf.DUMMYFUNCTION("""COMPUTED_VALUE"""),"Hoàng Lê Vy")</f>
        <v>Hoàng Lê Vy</v>
      </c>
      <c r="J1389" s="3" t="str">
        <f ca="1">IFERROR(__xludf.DUMMYFUNCTION("""COMPUTED_VALUE"""),"0332601407")</f>
        <v>0332601407</v>
      </c>
      <c r="K1389" s="2" t="str">
        <f ca="1">IFERROR(__xludf.DUMMYFUNCTION("""COMPUTED_VALUE"""),"1754132148766")</f>
        <v>1754132148766</v>
      </c>
    </row>
    <row r="1390" spans="1:11" ht="12.45">
      <c r="A1390" s="2" t="str">
        <f ca="1">IFERROR(__xludf.DUMMYFUNCTION("""COMPUTED_VALUE"""),"1754132218333")</f>
        <v>1754132218333</v>
      </c>
      <c r="B1390" s="2"/>
      <c r="C1390" s="2" t="str">
        <v>0</v>
      </c>
      <c r="D1390" s="2"/>
      <c r="F1390" s="2" t="str">
        <v>0</v>
      </c>
      <c r="I1390" s="2" t="str">
        <f ca="1">IFERROR(__xludf.DUMMYFUNCTION("""COMPUTED_VALUE"""),"Nguyễn Nam Khánh")</f>
        <v>Nguyễn Nam Khánh</v>
      </c>
      <c r="J1390" s="3" t="str">
        <f ca="1">IFERROR(__xludf.DUMMYFUNCTION("""COMPUTED_VALUE"""),"0388186436")</f>
        <v>0388186436</v>
      </c>
      <c r="K1390" s="2" t="str">
        <f ca="1">IFERROR(__xludf.DUMMYFUNCTION("""COMPUTED_VALUE"""),"1754132218333")</f>
        <v>1754132218333</v>
      </c>
    </row>
    <row r="1391" spans="1:11" ht="12.45">
      <c r="A1391" s="2" t="str">
        <f ca="1">IFERROR(__xludf.DUMMYFUNCTION("""COMPUTED_VALUE"""),"1754132257380")</f>
        <v>1754132257380</v>
      </c>
      <c r="B1391" s="2"/>
      <c r="C1391" s="2" t="str">
        <v>0</v>
      </c>
      <c r="D1391" s="2"/>
      <c r="F1391" s="2" t="str">
        <v>0</v>
      </c>
      <c r="I1391" s="2" t="str">
        <f ca="1">IFERROR(__xludf.DUMMYFUNCTION("""COMPUTED_VALUE"""),"Nguyễn Thị Lê Nhung")</f>
        <v>Nguyễn Thị Lê Nhung</v>
      </c>
      <c r="J1391" s="3" t="str">
        <f ca="1">IFERROR(__xludf.DUMMYFUNCTION("""COMPUTED_VALUE"""),"0898402809")</f>
        <v>0898402809</v>
      </c>
      <c r="K1391" s="2" t="str">
        <f ca="1">IFERROR(__xludf.DUMMYFUNCTION("""COMPUTED_VALUE"""),"1754132257380")</f>
        <v>1754132257380</v>
      </c>
    </row>
    <row r="1392" spans="1:11" ht="12.45">
      <c r="A1392" s="2" t="str">
        <f ca="1">IFERROR(__xludf.DUMMYFUNCTION("""COMPUTED_VALUE"""),"1754132297164")</f>
        <v>1754132297164</v>
      </c>
      <c r="B1392" s="2"/>
      <c r="C1392" s="2" t="str">
        <v>0</v>
      </c>
      <c r="D1392" s="2"/>
      <c r="F1392" s="2" t="str">
        <v>0</v>
      </c>
      <c r="I1392" s="2" t="str">
        <f ca="1">IFERROR(__xludf.DUMMYFUNCTION("""COMPUTED_VALUE"""),"Trương Thị Thuỳ Trâm")</f>
        <v>Trương Thị Thuỳ Trâm</v>
      </c>
      <c r="J1392" s="3" t="str">
        <f ca="1">IFERROR(__xludf.DUMMYFUNCTION("""COMPUTED_VALUE"""),"0335367358")</f>
        <v>0335367358</v>
      </c>
      <c r="K1392" s="2" t="str">
        <f ca="1">IFERROR(__xludf.DUMMYFUNCTION("""COMPUTED_VALUE"""),"1754132297164")</f>
        <v>1754132297164</v>
      </c>
    </row>
    <row r="1393" spans="1:11" ht="12.45">
      <c r="A1393" s="2" t="str">
        <f ca="1">IFERROR(__xludf.DUMMYFUNCTION("""COMPUTED_VALUE"""),"1754132347889")</f>
        <v>1754132347889</v>
      </c>
      <c r="B1393" s="2"/>
      <c r="C1393" s="2" t="str">
        <v>0</v>
      </c>
      <c r="D1393" s="2"/>
      <c r="F1393" s="2" t="str">
        <v>0</v>
      </c>
      <c r="I1393" s="2" t="str">
        <f ca="1">IFERROR(__xludf.DUMMYFUNCTION("""COMPUTED_VALUE"""),"Đào Thanh Ngân ")</f>
        <v xml:space="preserve">Đào Thanh Ngân </v>
      </c>
      <c r="J1393" s="3" t="str">
        <f ca="1">IFERROR(__xludf.DUMMYFUNCTION("""COMPUTED_VALUE"""),"0869193675")</f>
        <v>0869193675</v>
      </c>
      <c r="K1393" s="2" t="str">
        <f ca="1">IFERROR(__xludf.DUMMYFUNCTION("""COMPUTED_VALUE"""),"1754132347889")</f>
        <v>1754132347889</v>
      </c>
    </row>
    <row r="1394" spans="1:11" ht="12.45">
      <c r="A1394" s="2" t="str">
        <f ca="1">IFERROR(__xludf.DUMMYFUNCTION("""COMPUTED_VALUE"""),"1754132399055")</f>
        <v>1754132399055</v>
      </c>
      <c r="B1394" s="2"/>
      <c r="C1394" s="2" t="str">
        <v>0</v>
      </c>
      <c r="D1394" s="2"/>
      <c r="F1394" s="2" t="str">
        <v>0</v>
      </c>
      <c r="I1394" s="2" t="str">
        <f ca="1">IFERROR(__xludf.DUMMYFUNCTION("""COMPUTED_VALUE"""),"Tằng Thị Phương Thảo")</f>
        <v>Tằng Thị Phương Thảo</v>
      </c>
      <c r="J1394" s="3" t="str">
        <f ca="1">IFERROR(__xludf.DUMMYFUNCTION("""COMPUTED_VALUE"""),"0328500748")</f>
        <v>0328500748</v>
      </c>
      <c r="K1394" s="2" t="str">
        <f ca="1">IFERROR(__xludf.DUMMYFUNCTION("""COMPUTED_VALUE"""),"1754132399055")</f>
        <v>1754132399055</v>
      </c>
    </row>
    <row r="1395" spans="1:11" ht="12.45">
      <c r="A1395" s="2" t="str">
        <f ca="1">IFERROR(__xludf.DUMMYFUNCTION("""COMPUTED_VALUE"""),"1754132457876")</f>
        <v>1754132457876</v>
      </c>
      <c r="B1395" s="2"/>
      <c r="C1395" s="2" t="str">
        <v>0</v>
      </c>
      <c r="D1395" s="2"/>
      <c r="F1395" s="2" t="str">
        <v>0</v>
      </c>
      <c r="I1395" s="2" t="str">
        <f ca="1">IFERROR(__xludf.DUMMYFUNCTION("""COMPUTED_VALUE"""),"Lê Nguyễn Vân Anh")</f>
        <v>Lê Nguyễn Vân Anh</v>
      </c>
      <c r="J1395" s="3" t="str">
        <f ca="1">IFERROR(__xludf.DUMMYFUNCTION("""COMPUTED_VALUE"""),"0947709006")</f>
        <v>0947709006</v>
      </c>
      <c r="K1395" s="2" t="str">
        <f ca="1">IFERROR(__xludf.DUMMYFUNCTION("""COMPUTED_VALUE"""),"1754132457876")</f>
        <v>1754132457876</v>
      </c>
    </row>
    <row r="1396" spans="1:11" ht="12.45">
      <c r="A1396" s="2" t="str">
        <f ca="1">IFERROR(__xludf.DUMMYFUNCTION("""COMPUTED_VALUE"""),"1754132557001")</f>
        <v>1754132557001</v>
      </c>
      <c r="B1396" s="2"/>
      <c r="C1396" s="2" t="str">
        <v>0</v>
      </c>
      <c r="D1396" s="2"/>
      <c r="F1396" s="2" t="str">
        <v>0</v>
      </c>
      <c r="I1396" s="2" t="str">
        <f ca="1">IFERROR(__xludf.DUMMYFUNCTION("""COMPUTED_VALUE"""),"Bùi Mai Trang")</f>
        <v>Bùi Mai Trang</v>
      </c>
      <c r="J1396" s="3" t="str">
        <f ca="1">IFERROR(__xludf.DUMMYFUNCTION("""COMPUTED_VALUE"""),"0383598418")</f>
        <v>0383598418</v>
      </c>
      <c r="K1396" s="2" t="str">
        <f ca="1">IFERROR(__xludf.DUMMYFUNCTION("""COMPUTED_VALUE"""),"1754132557001")</f>
        <v>1754132557001</v>
      </c>
    </row>
    <row r="1397" spans="1:11" ht="12.45">
      <c r="A1397" s="2" t="str">
        <f ca="1">IFERROR(__xludf.DUMMYFUNCTION("""COMPUTED_VALUE"""),"1754132613166")</f>
        <v>1754132613166</v>
      </c>
      <c r="B1397" s="2"/>
      <c r="C1397" s="2" t="str">
        <v>0</v>
      </c>
      <c r="D1397" s="2"/>
      <c r="F1397" s="2" t="str">
        <v>0</v>
      </c>
      <c r="I1397" s="2" t="str">
        <f ca="1">IFERROR(__xludf.DUMMYFUNCTION("""COMPUTED_VALUE"""),"Vũ Hồng Nhung")</f>
        <v>Vũ Hồng Nhung</v>
      </c>
      <c r="J1397" s="3" t="str">
        <f ca="1">IFERROR(__xludf.DUMMYFUNCTION("""COMPUTED_VALUE"""),"0389776568")</f>
        <v>0389776568</v>
      </c>
      <c r="K1397" s="2" t="str">
        <f ca="1">IFERROR(__xludf.DUMMYFUNCTION("""COMPUTED_VALUE"""),"1754132613166")</f>
        <v>1754132613166</v>
      </c>
    </row>
    <row r="1398" spans="1:11" ht="12.45">
      <c r="A1398" s="2" t="str">
        <f ca="1">IFERROR(__xludf.DUMMYFUNCTION("""COMPUTED_VALUE"""),"1754132686458")</f>
        <v>1754132686458</v>
      </c>
      <c r="B1398" s="2"/>
      <c r="C1398" s="2" t="str">
        <v>0</v>
      </c>
      <c r="D1398" s="2"/>
      <c r="F1398" s="2" t="str">
        <v>0</v>
      </c>
      <c r="I1398" s="2" t="str">
        <f ca="1">IFERROR(__xludf.DUMMYFUNCTION("""COMPUTED_VALUE"""),"Hồ Bảo Quyên")</f>
        <v>Hồ Bảo Quyên</v>
      </c>
      <c r="J1398" s="3" t="str">
        <f ca="1">IFERROR(__xludf.DUMMYFUNCTION("""COMPUTED_VALUE"""),"0898388682")</f>
        <v>0898388682</v>
      </c>
      <c r="K1398" s="2" t="str">
        <f ca="1">IFERROR(__xludf.DUMMYFUNCTION("""COMPUTED_VALUE"""),"1754132686458")</f>
        <v>1754132686458</v>
      </c>
    </row>
    <row r="1399" spans="1:11" ht="12.45">
      <c r="A1399" s="2" t="str">
        <f ca="1">IFERROR(__xludf.DUMMYFUNCTION("""COMPUTED_VALUE"""),"1754132720990")</f>
        <v>1754132720990</v>
      </c>
      <c r="B1399" s="2"/>
      <c r="C1399" s="2" t="str">
        <v>0</v>
      </c>
      <c r="D1399" s="2"/>
      <c r="F1399" s="2" t="str">
        <v>0</v>
      </c>
      <c r="I1399" s="2" t="str">
        <f ca="1">IFERROR(__xludf.DUMMYFUNCTION("""COMPUTED_VALUE"""),"Nguyễn Thị Phương")</f>
        <v>Nguyễn Thị Phương</v>
      </c>
      <c r="J1399" s="3" t="str">
        <f ca="1">IFERROR(__xludf.DUMMYFUNCTION("""COMPUTED_VALUE"""),"0975425907")</f>
        <v>0975425907</v>
      </c>
      <c r="K1399" s="2" t="str">
        <f ca="1">IFERROR(__xludf.DUMMYFUNCTION("""COMPUTED_VALUE"""),"1754132720990")</f>
        <v>1754132720990</v>
      </c>
    </row>
    <row r="1400" spans="1:11" ht="12.45">
      <c r="A1400" s="2" t="str">
        <f ca="1">IFERROR(__xludf.DUMMYFUNCTION("""COMPUTED_VALUE"""),"1754132757116")</f>
        <v>1754132757116</v>
      </c>
      <c r="B1400" s="2"/>
      <c r="C1400" s="2" t="str">
        <v>0</v>
      </c>
      <c r="D1400" s="2"/>
      <c r="F1400" s="2" t="str">
        <v>0</v>
      </c>
      <c r="I1400" s="2" t="str">
        <f ca="1">IFERROR(__xludf.DUMMYFUNCTION("""COMPUTED_VALUE"""),"Nguyễn Thị Tuyết Nhung")</f>
        <v>Nguyễn Thị Tuyết Nhung</v>
      </c>
      <c r="J1400" s="3" t="str">
        <f ca="1">IFERROR(__xludf.DUMMYFUNCTION("""COMPUTED_VALUE"""),"0813126754")</f>
        <v>0813126754</v>
      </c>
      <c r="K1400" s="2" t="str">
        <f ca="1">IFERROR(__xludf.DUMMYFUNCTION("""COMPUTED_VALUE"""),"1754132757116")</f>
        <v>1754132757116</v>
      </c>
    </row>
    <row r="1401" spans="1:11" ht="12.45">
      <c r="A1401" s="2" t="str">
        <f ca="1">IFERROR(__xludf.DUMMYFUNCTION("""COMPUTED_VALUE"""),"1754132794609")</f>
        <v>1754132794609</v>
      </c>
      <c r="B1401" s="2"/>
      <c r="C1401" s="2" t="str">
        <v>0</v>
      </c>
      <c r="D1401" s="2"/>
      <c r="F1401" s="2" t="str">
        <v>0</v>
      </c>
      <c r="I1401" s="2" t="str">
        <f ca="1">IFERROR(__xludf.DUMMYFUNCTION("""COMPUTED_VALUE"""),"Lê Thị Thu Hiền ")</f>
        <v xml:space="preserve">Lê Thị Thu Hiền </v>
      </c>
      <c r="J1401" s="3" t="str">
        <f ca="1">IFERROR(__xludf.DUMMYFUNCTION("""COMPUTED_VALUE"""),"0869456024")</f>
        <v>0869456024</v>
      </c>
      <c r="K1401" s="2" t="str">
        <f ca="1">IFERROR(__xludf.DUMMYFUNCTION("""COMPUTED_VALUE"""),"1754132794609")</f>
        <v>1754132794609</v>
      </c>
    </row>
    <row r="1402" spans="1:11" ht="12.45">
      <c r="A1402" s="2" t="str">
        <f ca="1">IFERROR(__xludf.DUMMYFUNCTION("""COMPUTED_VALUE"""),"1754132844967")</f>
        <v>1754132844967</v>
      </c>
      <c r="B1402" s="2"/>
      <c r="C1402" s="2" t="str">
        <v>0</v>
      </c>
      <c r="D1402" s="2"/>
      <c r="F1402" s="2" t="str">
        <v>0</v>
      </c>
      <c r="I1402" s="2" t="str">
        <f ca="1">IFERROR(__xludf.DUMMYFUNCTION("""COMPUTED_VALUE"""),"Lê thị khánh ly")</f>
        <v>Lê thị khánh ly</v>
      </c>
      <c r="J1402" s="3" t="str">
        <f ca="1">IFERROR(__xludf.DUMMYFUNCTION("""COMPUTED_VALUE"""),"0822341666")</f>
        <v>0822341666</v>
      </c>
      <c r="K1402" s="2" t="str">
        <f ca="1">IFERROR(__xludf.DUMMYFUNCTION("""COMPUTED_VALUE"""),"1754132844967")</f>
        <v>1754132844967</v>
      </c>
    </row>
    <row r="1403" spans="1:11" ht="12.45">
      <c r="A1403" s="2" t="str">
        <f ca="1">IFERROR(__xludf.DUMMYFUNCTION("""COMPUTED_VALUE"""),"1754132880177")</f>
        <v>1754132880177</v>
      </c>
      <c r="B1403" s="2"/>
      <c r="C1403" s="2" t="str">
        <v>0</v>
      </c>
      <c r="D1403" s="2"/>
      <c r="F1403" s="2" t="str">
        <v>0</v>
      </c>
      <c r="I1403" s="2" t="str">
        <f ca="1">IFERROR(__xludf.DUMMYFUNCTION("""COMPUTED_VALUE"""),"Tô Anh Đức")</f>
        <v>Tô Anh Đức</v>
      </c>
      <c r="J1403" s="3" t="str">
        <f ca="1">IFERROR(__xludf.DUMMYFUNCTION("""COMPUTED_VALUE"""),"0348030565")</f>
        <v>0348030565</v>
      </c>
      <c r="K1403" s="2" t="str">
        <f ca="1">IFERROR(__xludf.DUMMYFUNCTION("""COMPUTED_VALUE"""),"1754132880177")</f>
        <v>1754132880177</v>
      </c>
    </row>
    <row r="1404" spans="1:11" ht="12.45">
      <c r="A1404" s="2" t="str">
        <f ca="1">IFERROR(__xludf.DUMMYFUNCTION("""COMPUTED_VALUE"""),"1754132935546")</f>
        <v>1754132935546</v>
      </c>
      <c r="B1404" s="2"/>
      <c r="C1404" s="2" t="str">
        <v>0</v>
      </c>
      <c r="D1404" s="2"/>
      <c r="F1404" s="2" t="str">
        <v>0</v>
      </c>
      <c r="I1404" s="2" t="str">
        <f ca="1">IFERROR(__xludf.DUMMYFUNCTION("""COMPUTED_VALUE"""),"Nguyễn Đặng Khánh Chi")</f>
        <v>Nguyễn Đặng Khánh Chi</v>
      </c>
      <c r="J1404" s="3" t="str">
        <f ca="1">IFERROR(__xludf.DUMMYFUNCTION("""COMPUTED_VALUE"""),"0977168440")</f>
        <v>0977168440</v>
      </c>
      <c r="K1404" s="2" t="str">
        <f ca="1">IFERROR(__xludf.DUMMYFUNCTION("""COMPUTED_VALUE"""),"1754132935546")</f>
        <v>1754132935546</v>
      </c>
    </row>
    <row r="1405" spans="1:11" ht="12.45">
      <c r="A1405" s="2" t="str">
        <f ca="1">IFERROR(__xludf.DUMMYFUNCTION("""COMPUTED_VALUE"""),"1754132987625")</f>
        <v>1754132987625</v>
      </c>
      <c r="B1405" s="2"/>
      <c r="C1405" s="2" t="str">
        <v>0</v>
      </c>
      <c r="D1405" s="2"/>
      <c r="F1405" s="2" t="str">
        <v>0</v>
      </c>
      <c r="I1405" s="2" t="str">
        <f ca="1">IFERROR(__xludf.DUMMYFUNCTION("""COMPUTED_VALUE"""),"Nguyễn Quỳnh Chi ")</f>
        <v xml:space="preserve">Nguyễn Quỳnh Chi </v>
      </c>
      <c r="J1405" s="3" t="str">
        <f ca="1">IFERROR(__xludf.DUMMYFUNCTION("""COMPUTED_VALUE"""),"0843671555")</f>
        <v>0843671555</v>
      </c>
      <c r="K1405" s="2" t="str">
        <f ca="1">IFERROR(__xludf.DUMMYFUNCTION("""COMPUTED_VALUE"""),"1754132987625")</f>
        <v>1754132987625</v>
      </c>
    </row>
    <row r="1406" spans="1:11" ht="12.45">
      <c r="A1406" s="2" t="str">
        <f ca="1">IFERROR(__xludf.DUMMYFUNCTION("""COMPUTED_VALUE"""),"1754133028048")</f>
        <v>1754133028048</v>
      </c>
      <c r="B1406" s="2"/>
      <c r="C1406" s="2" t="str">
        <v>0</v>
      </c>
      <c r="D1406" s="2"/>
      <c r="F1406" s="2" t="str">
        <v>0</v>
      </c>
      <c r="I1406" s="2" t="str">
        <f ca="1">IFERROR(__xludf.DUMMYFUNCTION("""COMPUTED_VALUE"""),"Lê Huỳnh Cát Tường ")</f>
        <v xml:space="preserve">Lê Huỳnh Cát Tường </v>
      </c>
      <c r="J1406" s="3" t="str">
        <f ca="1">IFERROR(__xludf.DUMMYFUNCTION("""COMPUTED_VALUE"""),"0345150774")</f>
        <v>0345150774</v>
      </c>
      <c r="K1406" s="2" t="str">
        <f ca="1">IFERROR(__xludf.DUMMYFUNCTION("""COMPUTED_VALUE"""),"1754133028048")</f>
        <v>1754133028048</v>
      </c>
    </row>
    <row r="1407" spans="1:11" ht="12.45">
      <c r="A1407" s="2" t="str">
        <f ca="1">IFERROR(__xludf.DUMMYFUNCTION("""COMPUTED_VALUE"""),"1754133060197")</f>
        <v>1754133060197</v>
      </c>
      <c r="B1407" s="2"/>
      <c r="C1407" s="2" t="str">
        <v>0</v>
      </c>
      <c r="D1407" s="2"/>
      <c r="F1407" s="2" t="str">
        <v>0</v>
      </c>
      <c r="I1407" s="2" t="str">
        <f ca="1">IFERROR(__xludf.DUMMYFUNCTION("""COMPUTED_VALUE"""),"Đỗ Thái Hải Anh ")</f>
        <v xml:space="preserve">Đỗ Thái Hải Anh </v>
      </c>
      <c r="J1407" s="3" t="str">
        <f ca="1">IFERROR(__xludf.DUMMYFUNCTION("""COMPUTED_VALUE"""),"0356010345")</f>
        <v>0356010345</v>
      </c>
      <c r="K1407" s="2" t="str">
        <f ca="1">IFERROR(__xludf.DUMMYFUNCTION("""COMPUTED_VALUE"""),"1754133060197")</f>
        <v>1754133060197</v>
      </c>
    </row>
    <row r="1408" spans="1:11" ht="12.45">
      <c r="A1408" s="2" t="str">
        <f ca="1">IFERROR(__xludf.DUMMYFUNCTION("""COMPUTED_VALUE"""),"1754133096054")</f>
        <v>1754133096054</v>
      </c>
      <c r="B1408" s="2"/>
      <c r="C1408" s="2" t="str">
        <v>0</v>
      </c>
      <c r="D1408" s="2"/>
      <c r="F1408" s="2" t="str">
        <v>0</v>
      </c>
      <c r="I1408" s="2" t="str">
        <f ca="1">IFERROR(__xludf.DUMMYFUNCTION("""COMPUTED_VALUE"""),"Nguyễn Thị Hạnh Ngân")</f>
        <v>Nguyễn Thị Hạnh Ngân</v>
      </c>
      <c r="J1408" s="3" t="str">
        <f ca="1">IFERROR(__xludf.DUMMYFUNCTION("""COMPUTED_VALUE"""),"0393789517")</f>
        <v>0393789517</v>
      </c>
      <c r="K1408" s="2" t="str">
        <f ca="1">IFERROR(__xludf.DUMMYFUNCTION("""COMPUTED_VALUE"""),"1754133096054")</f>
        <v>1754133096054</v>
      </c>
    </row>
    <row r="1409" spans="1:11" ht="12.45">
      <c r="A1409" s="2" t="str">
        <f ca="1">IFERROR(__xludf.DUMMYFUNCTION("""COMPUTED_VALUE"""),"1754133166191")</f>
        <v>1754133166191</v>
      </c>
      <c r="B1409" s="2"/>
      <c r="C1409" s="2" t="str">
        <v>0</v>
      </c>
      <c r="D1409" s="2"/>
      <c r="F1409" s="2" t="str">
        <v>0</v>
      </c>
      <c r="I1409" s="2" t="str">
        <f ca="1">IFERROR(__xludf.DUMMYFUNCTION("""COMPUTED_VALUE"""),"Nguyễn Thị Diệu Linh")</f>
        <v>Nguyễn Thị Diệu Linh</v>
      </c>
      <c r="J1409" s="3" t="str">
        <f ca="1">IFERROR(__xludf.DUMMYFUNCTION("""COMPUTED_VALUE"""),"0853665556")</f>
        <v>0853665556</v>
      </c>
      <c r="K1409" s="2" t="str">
        <f ca="1">IFERROR(__xludf.DUMMYFUNCTION("""COMPUTED_VALUE"""),"1754133166191")</f>
        <v>1754133166191</v>
      </c>
    </row>
    <row r="1410" spans="1:11" ht="12.45">
      <c r="A1410" s="2" t="str">
        <f ca="1">IFERROR(__xludf.DUMMYFUNCTION("""COMPUTED_VALUE"""),"1754133199436")</f>
        <v>1754133199436</v>
      </c>
      <c r="B1410" s="2"/>
      <c r="C1410" s="2" t="str">
        <v>0</v>
      </c>
      <c r="D1410" s="2"/>
      <c r="F1410" s="2" t="str">
        <v>0</v>
      </c>
      <c r="I1410" s="2" t="str">
        <f ca="1">IFERROR(__xludf.DUMMYFUNCTION("""COMPUTED_VALUE"""),"Bùi Khánh Ly")</f>
        <v>Bùi Khánh Ly</v>
      </c>
      <c r="J1410" s="3" t="str">
        <f ca="1">IFERROR(__xludf.DUMMYFUNCTION("""COMPUTED_VALUE"""),"0867957682")</f>
        <v>0867957682</v>
      </c>
      <c r="K1410" s="2" t="str">
        <f ca="1">IFERROR(__xludf.DUMMYFUNCTION("""COMPUTED_VALUE"""),"1754133199436")</f>
        <v>1754133199436</v>
      </c>
    </row>
    <row r="1411" spans="1:11" ht="12.45">
      <c r="A1411" s="2" t="str">
        <f ca="1">IFERROR(__xludf.DUMMYFUNCTION("""COMPUTED_VALUE"""),"1754133248528")</f>
        <v>1754133248528</v>
      </c>
      <c r="B1411" s="2"/>
      <c r="C1411" s="2" t="str">
        <v>0</v>
      </c>
      <c r="D1411" s="2"/>
      <c r="F1411" s="2" t="str">
        <v>0</v>
      </c>
      <c r="I1411" s="2" t="str">
        <f ca="1">IFERROR(__xludf.DUMMYFUNCTION("""COMPUTED_VALUE"""),"Nguyễn Phương Vy")</f>
        <v>Nguyễn Phương Vy</v>
      </c>
      <c r="J1411" s="3" t="str">
        <f ca="1">IFERROR(__xludf.DUMMYFUNCTION("""COMPUTED_VALUE"""),"0967346845")</f>
        <v>0967346845</v>
      </c>
      <c r="K1411" s="2" t="str">
        <f ca="1">IFERROR(__xludf.DUMMYFUNCTION("""COMPUTED_VALUE"""),"1754133248528")</f>
        <v>1754133248528</v>
      </c>
    </row>
    <row r="1412" spans="1:11" ht="12.45">
      <c r="A1412" s="2" t="str">
        <f ca="1">IFERROR(__xludf.DUMMYFUNCTION("""COMPUTED_VALUE"""),"1754133284918")</f>
        <v>1754133284918</v>
      </c>
      <c r="B1412" s="2"/>
      <c r="C1412" s="2" t="str">
        <v>0</v>
      </c>
      <c r="D1412" s="2"/>
      <c r="F1412" s="2" t="str">
        <v>0</v>
      </c>
      <c r="I1412" s="2" t="str">
        <f ca="1">IFERROR(__xludf.DUMMYFUNCTION("""COMPUTED_VALUE"""),"Huỳnh Ngân")</f>
        <v>Huỳnh Ngân</v>
      </c>
      <c r="J1412" s="3" t="str">
        <f ca="1">IFERROR(__xludf.DUMMYFUNCTION("""COMPUTED_VALUE"""),"0786786327")</f>
        <v>0786786327</v>
      </c>
      <c r="K1412" s="2" t="str">
        <f ca="1">IFERROR(__xludf.DUMMYFUNCTION("""COMPUTED_VALUE"""),"1754133284918")</f>
        <v>1754133284918</v>
      </c>
    </row>
    <row r="1413" spans="1:11" ht="12.45">
      <c r="A1413" s="2" t="str">
        <f ca="1">IFERROR(__xludf.DUMMYFUNCTION("""COMPUTED_VALUE"""),"1754133388411")</f>
        <v>1754133388411</v>
      </c>
      <c r="B1413" s="2"/>
      <c r="C1413" s="2" t="str">
        <v>0</v>
      </c>
      <c r="D1413" s="2"/>
      <c r="F1413" s="2" t="str">
        <v>0</v>
      </c>
      <c r="I1413" s="2" t="str">
        <f ca="1">IFERROR(__xludf.DUMMYFUNCTION("""COMPUTED_VALUE"""),"Nguyễn Hồng Ly")</f>
        <v>Nguyễn Hồng Ly</v>
      </c>
      <c r="J1413" s="3" t="str">
        <f ca="1">IFERROR(__xludf.DUMMYFUNCTION("""COMPUTED_VALUE"""),"0355635210")</f>
        <v>0355635210</v>
      </c>
      <c r="K1413" s="2" t="str">
        <f ca="1">IFERROR(__xludf.DUMMYFUNCTION("""COMPUTED_VALUE"""),"1754133388411")</f>
        <v>1754133388411</v>
      </c>
    </row>
    <row r="1414" spans="1:11" ht="12.45">
      <c r="A1414" s="2" t="str">
        <f ca="1">IFERROR(__xludf.DUMMYFUNCTION("""COMPUTED_VALUE"""),"1754133442512")</f>
        <v>1754133442512</v>
      </c>
      <c r="B1414" s="2"/>
      <c r="C1414" s="2" t="str">
        <v>0</v>
      </c>
      <c r="D1414" s="2"/>
      <c r="F1414" s="2" t="str">
        <v>0</v>
      </c>
      <c r="I1414" s="2" t="str">
        <f ca="1">IFERROR(__xludf.DUMMYFUNCTION("""COMPUTED_VALUE"""),"Nghiêm Phương Anh")</f>
        <v>Nghiêm Phương Anh</v>
      </c>
      <c r="J1414" s="3" t="str">
        <f ca="1">IFERROR(__xludf.DUMMYFUNCTION("""COMPUTED_VALUE"""),"0353126835")</f>
        <v>0353126835</v>
      </c>
      <c r="K1414" s="2" t="str">
        <f ca="1">IFERROR(__xludf.DUMMYFUNCTION("""COMPUTED_VALUE"""),"1754133442512")</f>
        <v>1754133442512</v>
      </c>
    </row>
    <row r="1415" spans="1:11" ht="12.45">
      <c r="A1415" s="2" t="str">
        <f ca="1">IFERROR(__xludf.DUMMYFUNCTION("""COMPUTED_VALUE"""),"1754133492941")</f>
        <v>1754133492941</v>
      </c>
      <c r="B1415" s="2"/>
      <c r="C1415" s="2" t="str">
        <v>0</v>
      </c>
      <c r="D1415" s="2"/>
      <c r="F1415" s="2" t="str">
        <v>0</v>
      </c>
      <c r="I1415" s="2" t="str">
        <f ca="1">IFERROR(__xludf.DUMMYFUNCTION("""COMPUTED_VALUE"""),"Nguyễn Thị Kim Chi")</f>
        <v>Nguyễn Thị Kim Chi</v>
      </c>
      <c r="J1415" s="3" t="str">
        <f ca="1">IFERROR(__xludf.DUMMYFUNCTION("""COMPUTED_VALUE"""),"0362819093")</f>
        <v>0362819093</v>
      </c>
      <c r="K1415" s="2" t="str">
        <f ca="1">IFERROR(__xludf.DUMMYFUNCTION("""COMPUTED_VALUE"""),"1754133492941")</f>
        <v>1754133492941</v>
      </c>
    </row>
    <row r="1416" spans="1:11" ht="12.45">
      <c r="A1416" s="2" t="str">
        <f ca="1">IFERROR(__xludf.DUMMYFUNCTION("""COMPUTED_VALUE"""),"1754133577915")</f>
        <v>1754133577915</v>
      </c>
      <c r="B1416" s="2"/>
      <c r="C1416" s="2" t="str">
        <v>0</v>
      </c>
      <c r="D1416" s="2"/>
      <c r="F1416" s="2" t="str">
        <v>0</v>
      </c>
      <c r="I1416" s="2" t="str">
        <f ca="1">IFERROR(__xludf.DUMMYFUNCTION("""COMPUTED_VALUE"""),"Nguyễn Phương Phương ")</f>
        <v xml:space="preserve">Nguyễn Phương Phương </v>
      </c>
      <c r="J1416" s="3" t="str">
        <f ca="1">IFERROR(__xludf.DUMMYFUNCTION("""COMPUTED_VALUE"""),"0385684907")</f>
        <v>0385684907</v>
      </c>
      <c r="K1416" s="2" t="str">
        <f ca="1">IFERROR(__xludf.DUMMYFUNCTION("""COMPUTED_VALUE"""),"1754133577915")</f>
        <v>1754133577915</v>
      </c>
    </row>
    <row r="1417" spans="1:11" ht="12.45">
      <c r="A1417" s="2" t="str">
        <f ca="1">IFERROR(__xludf.DUMMYFUNCTION("""COMPUTED_VALUE"""),"1754133614450")</f>
        <v>1754133614450</v>
      </c>
      <c r="B1417" s="2"/>
      <c r="C1417" s="2" t="str">
        <v>0</v>
      </c>
      <c r="D1417" s="2"/>
      <c r="F1417" s="2" t="str">
        <v>0</v>
      </c>
      <c r="I1417" s="2" t="str">
        <f ca="1">IFERROR(__xludf.DUMMYFUNCTION("""COMPUTED_VALUE"""),"Nguyễn Thuỳ Dung")</f>
        <v>Nguyễn Thuỳ Dung</v>
      </c>
      <c r="J1417" s="3" t="str">
        <f ca="1">IFERROR(__xludf.DUMMYFUNCTION("""COMPUTED_VALUE"""),"0344086185")</f>
        <v>0344086185</v>
      </c>
      <c r="K1417" s="2" t="str">
        <f ca="1">IFERROR(__xludf.DUMMYFUNCTION("""COMPUTED_VALUE"""),"1754133614450")</f>
        <v>1754133614450</v>
      </c>
    </row>
    <row r="1418" spans="1:11" ht="12.45">
      <c r="A1418" s="2" t="str">
        <f ca="1">IFERROR(__xludf.DUMMYFUNCTION("""COMPUTED_VALUE"""),"1754133660053")</f>
        <v>1754133660053</v>
      </c>
      <c r="B1418" s="2"/>
      <c r="C1418" s="2" t="str">
        <v>0</v>
      </c>
      <c r="D1418" s="2"/>
      <c r="F1418" s="2" t="str">
        <v>0</v>
      </c>
      <c r="I1418" s="2" t="str">
        <f ca="1">IFERROR(__xludf.DUMMYFUNCTION("""COMPUTED_VALUE"""),"Hồ Lê Như Quỳnh ")</f>
        <v xml:space="preserve">Hồ Lê Như Quỳnh </v>
      </c>
      <c r="J1418" s="3" t="str">
        <f ca="1">IFERROR(__xludf.DUMMYFUNCTION("""COMPUTED_VALUE"""),"0703652858")</f>
        <v>0703652858</v>
      </c>
      <c r="K1418" s="2" t="str">
        <f ca="1">IFERROR(__xludf.DUMMYFUNCTION("""COMPUTED_VALUE"""),"1754133660053")</f>
        <v>1754133660053</v>
      </c>
    </row>
    <row r="1419" spans="1:11" ht="12.45">
      <c r="A1419" s="2" t="str">
        <f ca="1">IFERROR(__xludf.DUMMYFUNCTION("""COMPUTED_VALUE"""),"1754133692540")</f>
        <v>1754133692540</v>
      </c>
      <c r="B1419" s="2"/>
      <c r="C1419" s="2" t="str">
        <v>0</v>
      </c>
      <c r="D1419" s="2"/>
      <c r="F1419" s="2" t="str">
        <v>0</v>
      </c>
      <c r="I1419" s="2" t="str">
        <f ca="1">IFERROR(__xludf.DUMMYFUNCTION("""COMPUTED_VALUE"""),"Trương Thị Ngọc Dung ")</f>
        <v xml:space="preserve">Trương Thị Ngọc Dung </v>
      </c>
      <c r="J1419" s="3" t="str">
        <f ca="1">IFERROR(__xludf.DUMMYFUNCTION("""COMPUTED_VALUE"""),"0368350207")</f>
        <v>0368350207</v>
      </c>
      <c r="K1419" s="2" t="str">
        <f ca="1">IFERROR(__xludf.DUMMYFUNCTION("""COMPUTED_VALUE"""),"1754133692540")</f>
        <v>1754133692540</v>
      </c>
    </row>
    <row r="1420" spans="1:11" ht="12.45">
      <c r="A1420" s="2" t="str">
        <f ca="1">IFERROR(__xludf.DUMMYFUNCTION("""COMPUTED_VALUE"""),"1754133732056")</f>
        <v>1754133732056</v>
      </c>
      <c r="B1420" s="2"/>
      <c r="C1420" s="2" t="str">
        <v>0</v>
      </c>
      <c r="D1420" s="2"/>
      <c r="F1420" s="2" t="str">
        <v>0</v>
      </c>
      <c r="I1420" s="2" t="str">
        <f ca="1">IFERROR(__xludf.DUMMYFUNCTION("""COMPUTED_VALUE"""),"Cao Nguyễn Kỳ Duyên")</f>
        <v>Cao Nguyễn Kỳ Duyên</v>
      </c>
      <c r="J1420" s="3" t="str">
        <f ca="1">IFERROR(__xludf.DUMMYFUNCTION("""COMPUTED_VALUE"""),"0917802204")</f>
        <v>0917802204</v>
      </c>
      <c r="K1420" s="2" t="str">
        <f ca="1">IFERROR(__xludf.DUMMYFUNCTION("""COMPUTED_VALUE"""),"1754133732056")</f>
        <v>1754133732056</v>
      </c>
    </row>
    <row r="1421" spans="1:11" ht="12.45">
      <c r="A1421" s="2" t="str">
        <f ca="1">IFERROR(__xludf.DUMMYFUNCTION("""COMPUTED_VALUE"""),"1754133769100")</f>
        <v>1754133769100</v>
      </c>
      <c r="B1421" s="2"/>
      <c r="C1421" s="2" t="str">
        <v>0</v>
      </c>
      <c r="D1421" s="2"/>
      <c r="F1421" s="2" t="str">
        <v>0</v>
      </c>
      <c r="I1421" s="2" t="str">
        <f ca="1">IFERROR(__xludf.DUMMYFUNCTION("""COMPUTED_VALUE"""),"Đặng Thị Thùy Trang ")</f>
        <v xml:space="preserve">Đặng Thị Thùy Trang </v>
      </c>
      <c r="J1421" s="3" t="str">
        <f ca="1">IFERROR(__xludf.DUMMYFUNCTION("""COMPUTED_VALUE"""),"0329023562")</f>
        <v>0329023562</v>
      </c>
      <c r="K1421" s="2" t="str">
        <f ca="1">IFERROR(__xludf.DUMMYFUNCTION("""COMPUTED_VALUE"""),"1754133769100")</f>
        <v>1754133769100</v>
      </c>
    </row>
    <row r="1422" spans="1:11" ht="12.45">
      <c r="A1422" s="2" t="str">
        <f ca="1">IFERROR(__xludf.DUMMYFUNCTION("""COMPUTED_VALUE"""),"1754133813532")</f>
        <v>1754133813532</v>
      </c>
      <c r="B1422" s="2"/>
      <c r="C1422" s="2" t="str">
        <v>0</v>
      </c>
      <c r="D1422" s="2"/>
      <c r="F1422" s="2" t="str">
        <v>0</v>
      </c>
      <c r="I1422" s="2" t="str">
        <f ca="1">IFERROR(__xludf.DUMMYFUNCTION("""COMPUTED_VALUE"""),"Tô Thành Đạt ")</f>
        <v xml:space="preserve">Tô Thành Đạt </v>
      </c>
      <c r="J1422" s="3" t="str">
        <f ca="1">IFERROR(__xludf.DUMMYFUNCTION("""COMPUTED_VALUE"""),"0336131602")</f>
        <v>0336131602</v>
      </c>
      <c r="K1422" s="2" t="str">
        <f ca="1">IFERROR(__xludf.DUMMYFUNCTION("""COMPUTED_VALUE"""),"1754133813532")</f>
        <v>1754133813532</v>
      </c>
    </row>
    <row r="1423" spans="1:11" ht="12.45">
      <c r="A1423" s="2" t="str">
        <f ca="1">IFERROR(__xludf.DUMMYFUNCTION("""COMPUTED_VALUE"""),"1754133863036")</f>
        <v>1754133863036</v>
      </c>
      <c r="B1423" s="2"/>
      <c r="C1423" s="2" t="str">
        <v>0</v>
      </c>
      <c r="D1423" s="2"/>
      <c r="F1423" s="2" t="str">
        <v>0</v>
      </c>
      <c r="I1423" s="2" t="str">
        <f ca="1">IFERROR(__xludf.DUMMYFUNCTION("""COMPUTED_VALUE"""),"Cao Thị Thu Huyền ")</f>
        <v xml:space="preserve">Cao Thị Thu Huyền </v>
      </c>
      <c r="J1423" s="3" t="str">
        <f ca="1">IFERROR(__xludf.DUMMYFUNCTION("""COMPUTED_VALUE"""),"0332935584")</f>
        <v>0332935584</v>
      </c>
      <c r="K1423" s="2" t="str">
        <f ca="1">IFERROR(__xludf.DUMMYFUNCTION("""COMPUTED_VALUE"""),"1754133863036")</f>
        <v>1754133863036</v>
      </c>
    </row>
    <row r="1424" spans="1:11" ht="12.45">
      <c r="A1424" s="2" t="str">
        <f ca="1">IFERROR(__xludf.DUMMYFUNCTION("""COMPUTED_VALUE"""),"1754133894463")</f>
        <v>1754133894463</v>
      </c>
      <c r="B1424" s="2"/>
      <c r="C1424" s="2" t="str">
        <v>0</v>
      </c>
      <c r="D1424" s="2"/>
      <c r="F1424" s="2" t="str">
        <v>0</v>
      </c>
      <c r="I1424" s="2" t="str">
        <f ca="1">IFERROR(__xludf.DUMMYFUNCTION("""COMPUTED_VALUE"""),"Nguyễn Thị Khánh  Huyền ")</f>
        <v xml:space="preserve">Nguyễn Thị Khánh  Huyền </v>
      </c>
      <c r="J1424" s="3" t="str">
        <f ca="1">IFERROR(__xludf.DUMMYFUNCTION("""COMPUTED_VALUE"""),"0973603924")</f>
        <v>0973603924</v>
      </c>
      <c r="K1424" s="2" t="str">
        <f ca="1">IFERROR(__xludf.DUMMYFUNCTION("""COMPUTED_VALUE"""),"1754133894463")</f>
        <v>1754133894463</v>
      </c>
    </row>
    <row r="1425" spans="1:11" ht="12.45">
      <c r="A1425" s="2" t="str">
        <f ca="1">IFERROR(__xludf.DUMMYFUNCTION("""COMPUTED_VALUE"""),"1754133934735")</f>
        <v>1754133934735</v>
      </c>
      <c r="B1425" s="2"/>
      <c r="C1425" s="2" t="str">
        <v>0</v>
      </c>
      <c r="D1425" s="2"/>
      <c r="F1425" s="2" t="str">
        <v>0</v>
      </c>
      <c r="I1425" s="2" t="str">
        <f ca="1">IFERROR(__xludf.DUMMYFUNCTION("""COMPUTED_VALUE"""),"Nguyễn Lâm Nhi ")</f>
        <v xml:space="preserve">Nguyễn Lâm Nhi </v>
      </c>
      <c r="J1425" s="3" t="str">
        <f ca="1">IFERROR(__xludf.DUMMYFUNCTION("""COMPUTED_VALUE"""),"0362311269")</f>
        <v>0362311269</v>
      </c>
      <c r="K1425" s="2" t="str">
        <f ca="1">IFERROR(__xludf.DUMMYFUNCTION("""COMPUTED_VALUE"""),"1754133934735")</f>
        <v>1754133934735</v>
      </c>
    </row>
    <row r="1426" spans="1:11" ht="12.45">
      <c r="A1426" s="2" t="str">
        <f ca="1">IFERROR(__xludf.DUMMYFUNCTION("""COMPUTED_VALUE"""),"1754133977672")</f>
        <v>1754133977672</v>
      </c>
      <c r="B1426" s="2"/>
      <c r="C1426" s="2" t="str">
        <v>0</v>
      </c>
      <c r="D1426" s="2"/>
      <c r="F1426" s="2" t="str">
        <v>0</v>
      </c>
      <c r="I1426" s="2" t="str">
        <f ca="1">IFERROR(__xludf.DUMMYFUNCTION("""COMPUTED_VALUE"""),"LÊ QUỲNH ")</f>
        <v xml:space="preserve">LÊ QUỲNH </v>
      </c>
      <c r="J1426" s="3" t="str">
        <f ca="1">IFERROR(__xludf.DUMMYFUNCTION("""COMPUTED_VALUE"""),"0353434319")</f>
        <v>0353434319</v>
      </c>
      <c r="K1426" s="2" t="str">
        <f ca="1">IFERROR(__xludf.DUMMYFUNCTION("""COMPUTED_VALUE"""),"1754133977672")</f>
        <v>1754133977672</v>
      </c>
    </row>
    <row r="1427" spans="1:11" ht="12.45">
      <c r="A1427" s="2" t="str">
        <f ca="1">IFERROR(__xludf.DUMMYFUNCTION("""COMPUTED_VALUE"""),"1754134019122")</f>
        <v>1754134019122</v>
      </c>
      <c r="B1427" s="2"/>
      <c r="C1427" s="2" t="str">
        <v>0</v>
      </c>
      <c r="D1427" s="2"/>
      <c r="F1427" s="2" t="str">
        <v>0</v>
      </c>
      <c r="I1427" s="2" t="str">
        <f ca="1">IFERROR(__xludf.DUMMYFUNCTION("""COMPUTED_VALUE"""),"Cô Sương Mai")</f>
        <v>Cô Sương Mai</v>
      </c>
      <c r="J1427" s="3" t="str">
        <f ca="1">IFERROR(__xludf.DUMMYFUNCTION("""COMPUTED_VALUE"""),"0965361481")</f>
        <v>0965361481</v>
      </c>
      <c r="K1427" s="2" t="str">
        <f ca="1">IFERROR(__xludf.DUMMYFUNCTION("""COMPUTED_VALUE"""),"1754134019122")</f>
        <v>1754134019122</v>
      </c>
    </row>
    <row r="1428" spans="1:11" ht="12.45">
      <c r="A1428" s="2" t="str">
        <f ca="1">IFERROR(__xludf.DUMMYFUNCTION("""COMPUTED_VALUE"""),"1754134069213")</f>
        <v>1754134069213</v>
      </c>
      <c r="B1428" s="2"/>
      <c r="C1428" s="2" t="str">
        <v>0</v>
      </c>
      <c r="D1428" s="2"/>
      <c r="F1428" s="2" t="str">
        <v>0</v>
      </c>
      <c r="I1428" s="2" t="str">
        <f ca="1">IFERROR(__xludf.DUMMYFUNCTION("""COMPUTED_VALUE"""),"Nguyễn Thị Ngọc Ánh")</f>
        <v>Nguyễn Thị Ngọc Ánh</v>
      </c>
      <c r="J1428" s="3" t="str">
        <f ca="1">IFERROR(__xludf.DUMMYFUNCTION("""COMPUTED_VALUE"""),"0984843620")</f>
        <v>0984843620</v>
      </c>
      <c r="K1428" s="2" t="str">
        <f ca="1">IFERROR(__xludf.DUMMYFUNCTION("""COMPUTED_VALUE"""),"1754134069213")</f>
        <v>1754134069213</v>
      </c>
    </row>
    <row r="1429" spans="1:11" ht="12.45">
      <c r="A1429" s="2" t="str">
        <f ca="1">IFERROR(__xludf.DUMMYFUNCTION("""COMPUTED_VALUE"""),"1754134105750")</f>
        <v>1754134105750</v>
      </c>
      <c r="B1429" s="2"/>
      <c r="C1429" s="2" t="str">
        <v>0</v>
      </c>
      <c r="D1429" s="2"/>
      <c r="F1429" s="2" t="str">
        <v>0</v>
      </c>
      <c r="I1429" s="2" t="str">
        <f ca="1">IFERROR(__xludf.DUMMYFUNCTION("""COMPUTED_VALUE"""),"Nguyễn Thu Hương")</f>
        <v>Nguyễn Thu Hương</v>
      </c>
      <c r="J1429" s="3" t="str">
        <f ca="1">IFERROR(__xludf.DUMMYFUNCTION("""COMPUTED_VALUE"""),"0769266281")</f>
        <v>0769266281</v>
      </c>
      <c r="K1429" s="2" t="str">
        <f ca="1">IFERROR(__xludf.DUMMYFUNCTION("""COMPUTED_VALUE"""),"1754134105750")</f>
        <v>1754134105750</v>
      </c>
    </row>
    <row r="1430" spans="1:11" ht="12.45">
      <c r="A1430" s="2" t="str">
        <f ca="1">IFERROR(__xludf.DUMMYFUNCTION("""COMPUTED_VALUE"""),"1754134170928")</f>
        <v>1754134170928</v>
      </c>
      <c r="B1430" s="2"/>
      <c r="C1430" s="2" t="str">
        <v>0</v>
      </c>
      <c r="D1430" s="2"/>
      <c r="F1430" s="2" t="str">
        <v>0</v>
      </c>
      <c r="I1430" s="2" t="str">
        <f ca="1">IFERROR(__xludf.DUMMYFUNCTION("""COMPUTED_VALUE"""),"Lại Trần Phương Lan")</f>
        <v>Lại Trần Phương Lan</v>
      </c>
      <c r="J1430" s="3" t="str">
        <f ca="1">IFERROR(__xludf.DUMMYFUNCTION("""COMPUTED_VALUE"""),"0833001406")</f>
        <v>0833001406</v>
      </c>
      <c r="K1430" s="2" t="str">
        <f ca="1">IFERROR(__xludf.DUMMYFUNCTION("""COMPUTED_VALUE"""),"1754134170928")</f>
        <v>1754134170928</v>
      </c>
    </row>
    <row r="1431" spans="1:11" ht="12.45">
      <c r="A1431" s="2" t="str">
        <f ca="1">IFERROR(__xludf.DUMMYFUNCTION("""COMPUTED_VALUE"""),"1754134252304")</f>
        <v>1754134252304</v>
      </c>
      <c r="B1431" s="2"/>
      <c r="C1431" s="2" t="str">
        <v>0</v>
      </c>
      <c r="D1431" s="2"/>
      <c r="F1431" s="2" t="str">
        <v>0</v>
      </c>
      <c r="I1431" s="2" t="str">
        <f ca="1">IFERROR(__xludf.DUMMYFUNCTION("""COMPUTED_VALUE"""),"Nguyễn Thị Lưu Giang")</f>
        <v>Nguyễn Thị Lưu Giang</v>
      </c>
      <c r="J1431" s="3" t="str">
        <f ca="1">IFERROR(__xludf.DUMMYFUNCTION("""COMPUTED_VALUE"""),"0379104259")</f>
        <v>0379104259</v>
      </c>
      <c r="K1431" s="2" t="str">
        <f ca="1">IFERROR(__xludf.DUMMYFUNCTION("""COMPUTED_VALUE"""),"1754134252304")</f>
        <v>1754134252304</v>
      </c>
    </row>
    <row r="1432" spans="1:11" ht="12.45">
      <c r="A1432" s="2" t="str">
        <f ca="1">IFERROR(__xludf.DUMMYFUNCTION("""COMPUTED_VALUE"""),"1754134323831")</f>
        <v>1754134323831</v>
      </c>
      <c r="B1432" s="2"/>
      <c r="C1432" s="2" t="str">
        <v>0</v>
      </c>
      <c r="D1432" s="2"/>
      <c r="F1432" s="2" t="str">
        <v>0</v>
      </c>
      <c r="I1432" s="2" t="str">
        <f ca="1">IFERROR(__xludf.DUMMYFUNCTION("""COMPUTED_VALUE"""),"Vũ Đức Đại Dương")</f>
        <v>Vũ Đức Đại Dương</v>
      </c>
      <c r="J1432" s="3" t="str">
        <f ca="1">IFERROR(__xludf.DUMMYFUNCTION("""COMPUTED_VALUE"""),"0867399546")</f>
        <v>0867399546</v>
      </c>
      <c r="K1432" s="2" t="str">
        <f ca="1">IFERROR(__xludf.DUMMYFUNCTION("""COMPUTED_VALUE"""),"1754134323831")</f>
        <v>1754134323831</v>
      </c>
    </row>
    <row r="1433" spans="1:11" ht="12.45">
      <c r="A1433" s="2" t="str">
        <f ca="1">IFERROR(__xludf.DUMMYFUNCTION("""COMPUTED_VALUE"""),"1754134369654")</f>
        <v>1754134369654</v>
      </c>
      <c r="B1433" s="2"/>
      <c r="C1433" s="2" t="str">
        <v>0</v>
      </c>
      <c r="D1433" s="2"/>
      <c r="F1433" s="2" t="str">
        <v>0</v>
      </c>
      <c r="I1433" s="2" t="str">
        <f ca="1">IFERROR(__xludf.DUMMYFUNCTION("""COMPUTED_VALUE"""),"Nguyễn Thị Ngọc Ánh ")</f>
        <v xml:space="preserve">Nguyễn Thị Ngọc Ánh </v>
      </c>
      <c r="J1433" s="3" t="str">
        <f ca="1">IFERROR(__xludf.DUMMYFUNCTION("""COMPUTED_VALUE"""),"0869693301")</f>
        <v>0869693301</v>
      </c>
      <c r="K1433" s="2" t="str">
        <f ca="1">IFERROR(__xludf.DUMMYFUNCTION("""COMPUTED_VALUE"""),"1754134369654")</f>
        <v>1754134369654</v>
      </c>
    </row>
    <row r="1434" spans="1:11" ht="12.45">
      <c r="A1434" s="2" t="str">
        <f ca="1">IFERROR(__xludf.DUMMYFUNCTION("""COMPUTED_VALUE"""),"1754134402627")</f>
        <v>1754134402627</v>
      </c>
      <c r="B1434" s="2"/>
      <c r="C1434" s="2" t="str">
        <v>0</v>
      </c>
      <c r="D1434" s="2"/>
      <c r="F1434" s="2" t="str">
        <v>0</v>
      </c>
      <c r="I1434" s="2" t="str">
        <f ca="1">IFERROR(__xludf.DUMMYFUNCTION("""COMPUTED_VALUE"""),"Đào Quỳnh Giang")</f>
        <v>Đào Quỳnh Giang</v>
      </c>
      <c r="J1434" s="3" t="str">
        <f ca="1">IFERROR(__xludf.DUMMYFUNCTION("""COMPUTED_VALUE"""),"0369076947")</f>
        <v>0369076947</v>
      </c>
      <c r="K1434" s="2" t="str">
        <f ca="1">IFERROR(__xludf.DUMMYFUNCTION("""COMPUTED_VALUE"""),"1754134402627")</f>
        <v>1754134402627</v>
      </c>
    </row>
    <row r="1435" spans="1:11" ht="12.45">
      <c r="A1435" s="2" t="str">
        <f ca="1">IFERROR(__xludf.DUMMYFUNCTION("""COMPUTED_VALUE"""),"1754134434037")</f>
        <v>1754134434037</v>
      </c>
      <c r="B1435" s="2"/>
      <c r="C1435" s="2" t="str">
        <v>0</v>
      </c>
      <c r="D1435" s="2"/>
      <c r="F1435" s="2" t="str">
        <v>0</v>
      </c>
      <c r="I1435" s="2" t="str">
        <f ca="1">IFERROR(__xludf.DUMMYFUNCTION("""COMPUTED_VALUE"""),"Nguyễn Thị Hiên")</f>
        <v>Nguyễn Thị Hiên</v>
      </c>
      <c r="J1435" s="3" t="str">
        <f ca="1">IFERROR(__xludf.DUMMYFUNCTION("""COMPUTED_VALUE"""),"0363592922")</f>
        <v>0363592922</v>
      </c>
      <c r="K1435" s="2" t="str">
        <f ca="1">IFERROR(__xludf.DUMMYFUNCTION("""COMPUTED_VALUE"""),"1754134434037")</f>
        <v>1754134434037</v>
      </c>
    </row>
    <row r="1436" spans="1:11" ht="12.45">
      <c r="A1436" s="2" t="str">
        <f ca="1">IFERROR(__xludf.DUMMYFUNCTION("""COMPUTED_VALUE"""),"1754134482851")</f>
        <v>1754134482851</v>
      </c>
      <c r="B1436" s="2"/>
      <c r="C1436" s="2" t="str">
        <v>0</v>
      </c>
      <c r="D1436" s="2"/>
      <c r="F1436" s="2" t="str">
        <v>0</v>
      </c>
      <c r="I1436" s="2" t="str">
        <f ca="1">IFERROR(__xludf.DUMMYFUNCTION("""COMPUTED_VALUE"""),"Phùng Thanh Vy")</f>
        <v>Phùng Thanh Vy</v>
      </c>
      <c r="J1436" s="3" t="str">
        <f ca="1">IFERROR(__xludf.DUMMYFUNCTION("""COMPUTED_VALUE"""),"0853507927")</f>
        <v>0853507927</v>
      </c>
      <c r="K1436" s="2" t="str">
        <f ca="1">IFERROR(__xludf.DUMMYFUNCTION("""COMPUTED_VALUE"""),"1754134482851")</f>
        <v>1754134482851</v>
      </c>
    </row>
    <row r="1437" spans="1:11" ht="12.45">
      <c r="A1437" s="2" t="str">
        <f ca="1">IFERROR(__xludf.DUMMYFUNCTION("""COMPUTED_VALUE"""),"1754134553038")</f>
        <v>1754134553038</v>
      </c>
      <c r="B1437" s="2"/>
      <c r="C1437" s="2" t="str">
        <v>0</v>
      </c>
      <c r="D1437" s="2"/>
      <c r="F1437" s="2" t="str">
        <v>0</v>
      </c>
      <c r="I1437" s="2" t="str">
        <f ca="1">IFERROR(__xludf.DUMMYFUNCTION("""COMPUTED_VALUE"""),"Hồ Huỳnh Như")</f>
        <v>Hồ Huỳnh Như</v>
      </c>
      <c r="J1437" s="3" t="str">
        <f ca="1">IFERROR(__xludf.DUMMYFUNCTION("""COMPUTED_VALUE"""),"0962503013")</f>
        <v>0962503013</v>
      </c>
      <c r="K1437" s="2" t="str">
        <f ca="1">IFERROR(__xludf.DUMMYFUNCTION("""COMPUTED_VALUE"""),"1754134553038")</f>
        <v>1754134553038</v>
      </c>
    </row>
    <row r="1438" spans="1:11" ht="12.45">
      <c r="A1438" s="2" t="str">
        <f ca="1">IFERROR(__xludf.DUMMYFUNCTION("""COMPUTED_VALUE"""),"1754134593498")</f>
        <v>1754134593498</v>
      </c>
      <c r="B1438" s="2"/>
      <c r="C1438" s="2" t="str">
        <v>0</v>
      </c>
      <c r="D1438" s="2"/>
      <c r="F1438" s="2" t="str">
        <v>0</v>
      </c>
      <c r="I1438" s="2" t="str">
        <f ca="1">IFERROR(__xludf.DUMMYFUNCTION("""COMPUTED_VALUE"""),"Phạm Quốc Cường")</f>
        <v>Phạm Quốc Cường</v>
      </c>
      <c r="J1438" s="3" t="str">
        <f ca="1">IFERROR(__xludf.DUMMYFUNCTION("""COMPUTED_VALUE"""),"0346070829")</f>
        <v>0346070829</v>
      </c>
      <c r="K1438" s="2" t="str">
        <f ca="1">IFERROR(__xludf.DUMMYFUNCTION("""COMPUTED_VALUE"""),"1754134593498")</f>
        <v>1754134593498</v>
      </c>
    </row>
    <row r="1439" spans="1:11" ht="12.45">
      <c r="A1439" s="2" t="str">
        <f ca="1">IFERROR(__xludf.DUMMYFUNCTION("""COMPUTED_VALUE"""),"1754134630502")</f>
        <v>1754134630502</v>
      </c>
      <c r="B1439" s="2"/>
      <c r="C1439" s="2" t="str">
        <v>0</v>
      </c>
      <c r="D1439" s="2"/>
      <c r="F1439" s="2" t="str">
        <v>0</v>
      </c>
      <c r="I1439" s="2" t="str">
        <f ca="1">IFERROR(__xludf.DUMMYFUNCTION("""COMPUTED_VALUE"""),"Nguyễn Thị Kim Hương")</f>
        <v>Nguyễn Thị Kim Hương</v>
      </c>
      <c r="J1439" s="3" t="str">
        <f ca="1">IFERROR(__xludf.DUMMYFUNCTION("""COMPUTED_VALUE"""),"0796676723")</f>
        <v>0796676723</v>
      </c>
      <c r="K1439" s="2" t="str">
        <f ca="1">IFERROR(__xludf.DUMMYFUNCTION("""COMPUTED_VALUE"""),"1754134630502")</f>
        <v>1754134630502</v>
      </c>
    </row>
    <row r="1440" spans="1:11" ht="12.45">
      <c r="A1440" s="2" t="str">
        <f ca="1">IFERROR(__xludf.DUMMYFUNCTION("""COMPUTED_VALUE"""),"1754134669961")</f>
        <v>1754134669961</v>
      </c>
      <c r="B1440" s="2"/>
      <c r="C1440" s="2" t="str">
        <v>0</v>
      </c>
      <c r="D1440" s="2"/>
      <c r="F1440" s="2" t="str">
        <v>0</v>
      </c>
      <c r="I1440" s="2" t="str">
        <f ca="1">IFERROR(__xludf.DUMMYFUNCTION("""COMPUTED_VALUE"""),"Nguyễn Hoàng Vy Thương ")</f>
        <v xml:space="preserve">Nguyễn Hoàng Vy Thương </v>
      </c>
      <c r="J1440" s="3" t="str">
        <f ca="1">IFERROR(__xludf.DUMMYFUNCTION("""COMPUTED_VALUE"""),"0365773606")</f>
        <v>0365773606</v>
      </c>
      <c r="K1440" s="2" t="str">
        <f ca="1">IFERROR(__xludf.DUMMYFUNCTION("""COMPUTED_VALUE"""),"1754134669961")</f>
        <v>1754134669961</v>
      </c>
    </row>
    <row r="1441" spans="1:11" ht="12.45">
      <c r="A1441" s="2" t="str">
        <f ca="1">IFERROR(__xludf.DUMMYFUNCTION("""COMPUTED_VALUE"""),"1754134706121")</f>
        <v>1754134706121</v>
      </c>
      <c r="B1441" s="2"/>
      <c r="C1441" s="2" t="str">
        <v>0</v>
      </c>
      <c r="D1441" s="2"/>
      <c r="F1441" s="2" t="str">
        <v>0</v>
      </c>
      <c r="I1441" s="2" t="str">
        <f ca="1">IFERROR(__xludf.DUMMYFUNCTION("""COMPUTED_VALUE"""),"Trương Thị Huyền Trang ")</f>
        <v xml:space="preserve">Trương Thị Huyền Trang </v>
      </c>
      <c r="J1441" s="3" t="str">
        <f ca="1">IFERROR(__xludf.DUMMYFUNCTION("""COMPUTED_VALUE"""),"0947593131")</f>
        <v>0947593131</v>
      </c>
      <c r="K1441" s="2" t="str">
        <f ca="1">IFERROR(__xludf.DUMMYFUNCTION("""COMPUTED_VALUE"""),"1754134706121")</f>
        <v>1754134706121</v>
      </c>
    </row>
    <row r="1442" spans="1:11" ht="12.45">
      <c r="A1442" s="2" t="str">
        <f ca="1">IFERROR(__xludf.DUMMYFUNCTION("""COMPUTED_VALUE"""),"1754134753359")</f>
        <v>1754134753359</v>
      </c>
      <c r="B1442" s="2"/>
      <c r="C1442" s="2" t="str">
        <v>0</v>
      </c>
      <c r="D1442" s="2"/>
      <c r="F1442" s="2" t="str">
        <v>0</v>
      </c>
      <c r="I1442" s="2" t="str">
        <f ca="1">IFERROR(__xludf.DUMMYFUNCTION("""COMPUTED_VALUE"""),"Vi Thị Quỳnh Như")</f>
        <v>Vi Thị Quỳnh Như</v>
      </c>
      <c r="J1442" s="3" t="str">
        <f ca="1">IFERROR(__xludf.DUMMYFUNCTION("""COMPUTED_VALUE"""),"0386058116")</f>
        <v>0386058116</v>
      </c>
      <c r="K1442" s="2" t="str">
        <f ca="1">IFERROR(__xludf.DUMMYFUNCTION("""COMPUTED_VALUE"""),"1754134753359")</f>
        <v>1754134753359</v>
      </c>
    </row>
    <row r="1443" spans="1:11" ht="12.45">
      <c r="A1443" s="2" t="str">
        <f ca="1">IFERROR(__xludf.DUMMYFUNCTION("""COMPUTED_VALUE"""),"1754134788272")</f>
        <v>1754134788272</v>
      </c>
      <c r="B1443" s="2"/>
      <c r="C1443" s="2" t="str">
        <v>0</v>
      </c>
      <c r="D1443" s="2"/>
      <c r="F1443" s="2" t="str">
        <v>0</v>
      </c>
      <c r="I1443" s="2" t="str">
        <f ca="1">IFERROR(__xludf.DUMMYFUNCTION("""COMPUTED_VALUE"""),"Lê Thị Thu Hà")</f>
        <v>Lê Thị Thu Hà</v>
      </c>
      <c r="J1443" s="3" t="str">
        <f ca="1">IFERROR(__xludf.DUMMYFUNCTION("""COMPUTED_VALUE"""),"0984935060")</f>
        <v>0984935060</v>
      </c>
      <c r="K1443" s="2" t="str">
        <f ca="1">IFERROR(__xludf.DUMMYFUNCTION("""COMPUTED_VALUE"""),"1754134788272")</f>
        <v>1754134788272</v>
      </c>
    </row>
    <row r="1444" spans="1:11" ht="12.45">
      <c r="A1444" s="2" t="str">
        <f ca="1">IFERROR(__xludf.DUMMYFUNCTION("""COMPUTED_VALUE"""),"1754134832620")</f>
        <v>1754134832620</v>
      </c>
      <c r="B1444" s="2"/>
      <c r="C1444" s="2" t="str">
        <v>0</v>
      </c>
      <c r="D1444" s="2"/>
      <c r="F1444" s="2" t="str">
        <v>0</v>
      </c>
      <c r="I1444" s="2" t="str">
        <f ca="1">IFERROR(__xludf.DUMMYFUNCTION("""COMPUTED_VALUE"""),"Đàm Thị Thanh Mai ")</f>
        <v xml:space="preserve">Đàm Thị Thanh Mai </v>
      </c>
      <c r="J1444" s="3" t="str">
        <f ca="1">IFERROR(__xludf.DUMMYFUNCTION("""COMPUTED_VALUE"""),"0346560138")</f>
        <v>0346560138</v>
      </c>
      <c r="K1444" s="2" t="str">
        <f ca="1">IFERROR(__xludf.DUMMYFUNCTION("""COMPUTED_VALUE"""),"1754134832620")</f>
        <v>1754134832620</v>
      </c>
    </row>
    <row r="1445" spans="1:11" ht="12.45">
      <c r="A1445" s="2" t="str">
        <f ca="1">IFERROR(__xludf.DUMMYFUNCTION("""COMPUTED_VALUE"""),"1754134895286")</f>
        <v>1754134895286</v>
      </c>
      <c r="B1445" s="2"/>
      <c r="C1445" s="2" t="str">
        <v>0</v>
      </c>
      <c r="D1445" s="2"/>
      <c r="F1445" s="2" t="str">
        <v>0</v>
      </c>
      <c r="I1445" s="2" t="str">
        <f ca="1">IFERROR(__xludf.DUMMYFUNCTION("""COMPUTED_VALUE"""),"Hoàng Bảo Trâm ")</f>
        <v xml:space="preserve">Hoàng Bảo Trâm </v>
      </c>
      <c r="J1445" s="3" t="str">
        <f ca="1">IFERROR(__xludf.DUMMYFUNCTION("""COMPUTED_VALUE"""),"0399269893")</f>
        <v>0399269893</v>
      </c>
      <c r="K1445" s="2" t="str">
        <f ca="1">IFERROR(__xludf.DUMMYFUNCTION("""COMPUTED_VALUE"""),"1754134895286")</f>
        <v>1754134895286</v>
      </c>
    </row>
    <row r="1446" spans="1:11" ht="12.45">
      <c r="A1446" s="2" t="str">
        <f ca="1">IFERROR(__xludf.DUMMYFUNCTION("""COMPUTED_VALUE"""),"1754134933098")</f>
        <v>1754134933098</v>
      </c>
      <c r="B1446" s="2"/>
      <c r="C1446" s="2" t="str">
        <v>0</v>
      </c>
      <c r="D1446" s="2"/>
      <c r="F1446" s="2" t="str">
        <v>0</v>
      </c>
      <c r="I1446" s="2" t="str">
        <f ca="1">IFERROR(__xludf.DUMMYFUNCTION("""COMPUTED_VALUE"""),"Kiều Tố Uyên")</f>
        <v>Kiều Tố Uyên</v>
      </c>
      <c r="J1446" s="3" t="str">
        <f ca="1">IFERROR(__xludf.DUMMYFUNCTION("""COMPUTED_VALUE"""),"0979381800")</f>
        <v>0979381800</v>
      </c>
      <c r="K1446" s="2" t="str">
        <f ca="1">IFERROR(__xludf.DUMMYFUNCTION("""COMPUTED_VALUE"""),"1754134933098")</f>
        <v>1754134933098</v>
      </c>
    </row>
    <row r="1447" spans="1:11" ht="12.45">
      <c r="A1447" s="2" t="str">
        <f ca="1">IFERROR(__xludf.DUMMYFUNCTION("""COMPUTED_VALUE"""),"1754134973760")</f>
        <v>1754134973760</v>
      </c>
      <c r="B1447" s="2"/>
      <c r="C1447" s="2" t="str">
        <v>0</v>
      </c>
      <c r="D1447" s="2"/>
      <c r="F1447" s="2" t="str">
        <v>0</v>
      </c>
      <c r="I1447" s="2" t="str">
        <f ca="1">IFERROR(__xludf.DUMMYFUNCTION("""COMPUTED_VALUE"""),"Huỳnh Thị Thu Trang")</f>
        <v>Huỳnh Thị Thu Trang</v>
      </c>
      <c r="J1447" s="3" t="str">
        <f ca="1">IFERROR(__xludf.DUMMYFUNCTION("""COMPUTED_VALUE"""),"0984747800")</f>
        <v>0984747800</v>
      </c>
      <c r="K1447" s="2" t="str">
        <f ca="1">IFERROR(__xludf.DUMMYFUNCTION("""COMPUTED_VALUE"""),"1754134973760")</f>
        <v>1754134973760</v>
      </c>
    </row>
    <row r="1448" spans="1:11" ht="12.45">
      <c r="A1448" s="2" t="str">
        <f ca="1">IFERROR(__xludf.DUMMYFUNCTION("""COMPUTED_VALUE"""),"1754135022308")</f>
        <v>1754135022308</v>
      </c>
      <c r="B1448" s="2"/>
      <c r="C1448" s="2" t="str">
        <v>0</v>
      </c>
      <c r="D1448" s="2"/>
      <c r="F1448" s="2" t="str">
        <v>0</v>
      </c>
      <c r="I1448" s="2" t="str">
        <f ca="1">IFERROR(__xludf.DUMMYFUNCTION("""COMPUTED_VALUE"""),"Trịnh Gia Hân")</f>
        <v>Trịnh Gia Hân</v>
      </c>
      <c r="J1448" s="3" t="str">
        <f ca="1">IFERROR(__xludf.DUMMYFUNCTION("""COMPUTED_VALUE"""),"0963507937")</f>
        <v>0963507937</v>
      </c>
      <c r="K1448" s="2" t="str">
        <f ca="1">IFERROR(__xludf.DUMMYFUNCTION("""COMPUTED_VALUE"""),"1754135022308")</f>
        <v>1754135022308</v>
      </c>
    </row>
    <row r="1449" spans="1:11" ht="12.45">
      <c r="A1449" s="2" t="str">
        <f ca="1">IFERROR(__xludf.DUMMYFUNCTION("""COMPUTED_VALUE"""),"1754135092936")</f>
        <v>1754135092936</v>
      </c>
      <c r="B1449" s="2"/>
      <c r="C1449" s="2" t="str">
        <v>0</v>
      </c>
      <c r="D1449" s="2"/>
      <c r="F1449" s="2" t="str">
        <v>0</v>
      </c>
      <c r="I1449" s="2" t="str">
        <f ca="1">IFERROR(__xludf.DUMMYFUNCTION("""COMPUTED_VALUE"""),"Linh Thị Lụa")</f>
        <v>Linh Thị Lụa</v>
      </c>
      <c r="J1449" s="3" t="str">
        <f ca="1">IFERROR(__xludf.DUMMYFUNCTION("""COMPUTED_VALUE"""),"0383094201")</f>
        <v>0383094201</v>
      </c>
      <c r="K1449" s="2" t="str">
        <f ca="1">IFERROR(__xludf.DUMMYFUNCTION("""COMPUTED_VALUE"""),"1754135092936")</f>
        <v>1754135092936</v>
      </c>
    </row>
    <row r="1450" spans="1:11" ht="12.45">
      <c r="A1450" s="2" t="str">
        <f ca="1">IFERROR(__xludf.DUMMYFUNCTION("""COMPUTED_VALUE"""),"1754135197002")</f>
        <v>1754135197002</v>
      </c>
      <c r="B1450" s="2"/>
      <c r="C1450" s="2" t="str">
        <v>0</v>
      </c>
      <c r="D1450" s="2"/>
      <c r="F1450" s="2" t="str">
        <v>0</v>
      </c>
      <c r="I1450" s="2" t="str">
        <f ca="1">IFERROR(__xludf.DUMMYFUNCTION("""COMPUTED_VALUE"""),"Cai Thị Thu Trang")</f>
        <v>Cai Thị Thu Trang</v>
      </c>
      <c r="J1450" s="3" t="str">
        <f ca="1">IFERROR(__xludf.DUMMYFUNCTION("""COMPUTED_VALUE"""),"0708117187")</f>
        <v>0708117187</v>
      </c>
      <c r="K1450" s="2" t="str">
        <f ca="1">IFERROR(__xludf.DUMMYFUNCTION("""COMPUTED_VALUE"""),"1754135197002")</f>
        <v>1754135197002</v>
      </c>
    </row>
    <row r="1451" spans="1:11" ht="12.45">
      <c r="A1451" s="2" t="str">
        <f ca="1">IFERROR(__xludf.DUMMYFUNCTION("""COMPUTED_VALUE"""),"1754135248567")</f>
        <v>1754135248567</v>
      </c>
      <c r="B1451" s="2"/>
      <c r="C1451" s="2" t="str">
        <v>0</v>
      </c>
      <c r="D1451" s="2"/>
      <c r="F1451" s="2" t="str">
        <v>0</v>
      </c>
      <c r="I1451" s="2" t="str">
        <f ca="1">IFERROR(__xludf.DUMMYFUNCTION("""COMPUTED_VALUE"""),"Nguyễn Bảo Ngọc ")</f>
        <v xml:space="preserve">Nguyễn Bảo Ngọc </v>
      </c>
      <c r="J1451" s="3" t="str">
        <f ca="1">IFERROR(__xludf.DUMMYFUNCTION("""COMPUTED_VALUE"""),"0345232320")</f>
        <v>0345232320</v>
      </c>
      <c r="K1451" s="2" t="str">
        <f ca="1">IFERROR(__xludf.DUMMYFUNCTION("""COMPUTED_VALUE"""),"1754135248567")</f>
        <v>1754135248567</v>
      </c>
    </row>
    <row r="1452" spans="1:11" ht="12.45">
      <c r="A1452" s="2" t="str">
        <f ca="1">IFERROR(__xludf.DUMMYFUNCTION("""COMPUTED_VALUE"""),"1754135305471")</f>
        <v>1754135305471</v>
      </c>
      <c r="B1452" s="2"/>
      <c r="C1452" s="2" t="str">
        <v>0</v>
      </c>
      <c r="D1452" s="2"/>
      <c r="F1452" s="2" t="str">
        <v>0</v>
      </c>
      <c r="I1452" s="2" t="str">
        <f ca="1">IFERROR(__xludf.DUMMYFUNCTION("""COMPUTED_VALUE"""),"Phương Vy")</f>
        <v>Phương Vy</v>
      </c>
      <c r="J1452" s="3" t="str">
        <f ca="1">IFERROR(__xludf.DUMMYFUNCTION("""COMPUTED_VALUE"""),"0965735219")</f>
        <v>0965735219</v>
      </c>
      <c r="K1452" s="2" t="str">
        <f ca="1">IFERROR(__xludf.DUMMYFUNCTION("""COMPUTED_VALUE"""),"1754135305471")</f>
        <v>1754135305471</v>
      </c>
    </row>
    <row r="1453" spans="1:11" ht="12.45">
      <c r="A1453" s="2" t="str">
        <f ca="1">IFERROR(__xludf.DUMMYFUNCTION("""COMPUTED_VALUE"""),"1754135377948")</f>
        <v>1754135377948</v>
      </c>
      <c r="B1453" s="2"/>
      <c r="C1453" s="2" t="str">
        <v>0</v>
      </c>
      <c r="D1453" s="2"/>
      <c r="F1453" s="2" t="str">
        <v>0</v>
      </c>
      <c r="I1453" s="2" t="str">
        <f ca="1">IFERROR(__xludf.DUMMYFUNCTION("""COMPUTED_VALUE"""),"Bùi Hải Yến ")</f>
        <v xml:space="preserve">Bùi Hải Yến </v>
      </c>
      <c r="J1453" s="3" t="str">
        <f ca="1">IFERROR(__xludf.DUMMYFUNCTION("""COMPUTED_VALUE"""),"0855155192")</f>
        <v>0855155192</v>
      </c>
      <c r="K1453" s="2" t="str">
        <f ca="1">IFERROR(__xludf.DUMMYFUNCTION("""COMPUTED_VALUE"""),"1754135377948")</f>
        <v>1754135377948</v>
      </c>
    </row>
    <row r="1454" spans="1:11" ht="12.45">
      <c r="A1454" s="2" t="str">
        <f ca="1">IFERROR(__xludf.DUMMYFUNCTION("""COMPUTED_VALUE"""),"1754135434620")</f>
        <v>1754135434620</v>
      </c>
      <c r="B1454" s="2"/>
      <c r="C1454" s="2" t="str">
        <v>0</v>
      </c>
      <c r="D1454" s="2"/>
      <c r="F1454" s="2" t="str">
        <v>0</v>
      </c>
      <c r="I1454" s="2" t="str">
        <f ca="1">IFERROR(__xludf.DUMMYFUNCTION("""COMPUTED_VALUE"""),"Trần Duy Lợi")</f>
        <v>Trần Duy Lợi</v>
      </c>
      <c r="J1454" s="3" t="str">
        <f ca="1">IFERROR(__xludf.DUMMYFUNCTION("""COMPUTED_VALUE"""),"0962555053")</f>
        <v>0962555053</v>
      </c>
      <c r="K1454" s="2" t="str">
        <f ca="1">IFERROR(__xludf.DUMMYFUNCTION("""COMPUTED_VALUE"""),"1754135434620")</f>
        <v>1754135434620</v>
      </c>
    </row>
    <row r="1455" spans="1:11" ht="12.45">
      <c r="A1455" s="2" t="str">
        <f ca="1">IFERROR(__xludf.DUMMYFUNCTION("""COMPUTED_VALUE"""),"1754135491978")</f>
        <v>1754135491978</v>
      </c>
      <c r="B1455" s="2"/>
      <c r="C1455" s="2" t="str">
        <v>0</v>
      </c>
      <c r="D1455" s="2"/>
      <c r="F1455" s="2" t="str">
        <v>0</v>
      </c>
      <c r="I1455" s="2" t="str">
        <f ca="1">IFERROR(__xludf.DUMMYFUNCTION("""COMPUTED_VALUE"""),"Nguyễn Khánh Linh ")</f>
        <v xml:space="preserve">Nguyễn Khánh Linh </v>
      </c>
      <c r="J1455" s="3" t="str">
        <f ca="1">IFERROR(__xludf.DUMMYFUNCTION("""COMPUTED_VALUE"""),"0945143639")</f>
        <v>0945143639</v>
      </c>
      <c r="K1455" s="2" t="str">
        <f ca="1">IFERROR(__xludf.DUMMYFUNCTION("""COMPUTED_VALUE"""),"1754135491978")</f>
        <v>1754135491978</v>
      </c>
    </row>
    <row r="1456" spans="1:11" ht="12.45">
      <c r="A1456" s="2" t="str">
        <f ca="1">IFERROR(__xludf.DUMMYFUNCTION("""COMPUTED_VALUE"""),"1754135528103")</f>
        <v>1754135528103</v>
      </c>
      <c r="B1456" s="2"/>
      <c r="C1456" s="2" t="str">
        <v>0</v>
      </c>
      <c r="D1456" s="2"/>
      <c r="F1456" s="2" t="str">
        <v>0</v>
      </c>
      <c r="I1456" s="2" t="str">
        <f ca="1">IFERROR(__xludf.DUMMYFUNCTION("""COMPUTED_VALUE"""),"Vũ Yến Kiều Linh ")</f>
        <v xml:space="preserve">Vũ Yến Kiều Linh </v>
      </c>
      <c r="J1456" s="3" t="str">
        <f ca="1">IFERROR(__xludf.DUMMYFUNCTION("""COMPUTED_VALUE"""),"0398508948")</f>
        <v>0398508948</v>
      </c>
      <c r="K1456" s="2" t="str">
        <f ca="1">IFERROR(__xludf.DUMMYFUNCTION("""COMPUTED_VALUE"""),"1754135528103")</f>
        <v>1754135528103</v>
      </c>
    </row>
    <row r="1457" spans="1:11" ht="12.45">
      <c r="A1457" s="2" t="str">
        <f ca="1">IFERROR(__xludf.DUMMYFUNCTION("""COMPUTED_VALUE"""),"1754135568677")</f>
        <v>1754135568677</v>
      </c>
      <c r="B1457" s="2"/>
      <c r="C1457" s="2" t="str">
        <v>0</v>
      </c>
      <c r="D1457" s="2"/>
      <c r="F1457" s="2" t="str">
        <v>0</v>
      </c>
      <c r="I1457" s="2" t="str">
        <f ca="1">IFERROR(__xludf.DUMMYFUNCTION("""COMPUTED_VALUE"""),"Phạm Nguyễn Khánh Linh")</f>
        <v>Phạm Nguyễn Khánh Linh</v>
      </c>
      <c r="J1457" s="3" t="str">
        <f ca="1">IFERROR(__xludf.DUMMYFUNCTION("""COMPUTED_VALUE"""),"0329189221")</f>
        <v>0329189221</v>
      </c>
      <c r="K1457" s="2" t="str">
        <f ca="1">IFERROR(__xludf.DUMMYFUNCTION("""COMPUTED_VALUE"""),"1754135568677")</f>
        <v>1754135568677</v>
      </c>
    </row>
    <row r="1458" spans="1:11" ht="12.45">
      <c r="A1458" s="2" t="str">
        <f ca="1">IFERROR(__xludf.DUMMYFUNCTION("""COMPUTED_VALUE"""),"Không giao sách")</f>
        <v>Không giao sách</v>
      </c>
      <c r="B1458" s="2"/>
      <c r="C1458" s="2" t="str">
        <v>0</v>
      </c>
      <c r="D1458" s="2"/>
      <c r="F1458" s="2" t="str">
        <v>0</v>
      </c>
      <c r="I1458" s="2" t="str">
        <f ca="1">IFERROR(__xludf.DUMMYFUNCTION("""COMPUTED_VALUE"""),"Phạm Gia Khánh")</f>
        <v>Phạm Gia Khánh</v>
      </c>
      <c r="J1458" s="3" t="str">
        <f ca="1">IFERROR(__xludf.DUMMYFUNCTION("""COMPUTED_VALUE"""),"0789290107")</f>
        <v>0789290107</v>
      </c>
      <c r="K1458" s="2" t="str">
        <f ca="1">IFERROR(__xludf.DUMMYFUNCTION("""COMPUTED_VALUE"""),"Không giao sách")</f>
        <v>Không giao sách</v>
      </c>
    </row>
    <row r="1459" spans="1:11" ht="12.45">
      <c r="A1459" s="2" t="str">
        <f ca="1">IFERROR(__xludf.DUMMYFUNCTION("""COMPUTED_VALUE"""),"1755692813190")</f>
        <v>1755692813190</v>
      </c>
      <c r="B1459" s="2"/>
      <c r="C1459" s="2" t="str">
        <v>0</v>
      </c>
      <c r="D1459" s="2"/>
      <c r="F1459" s="2" t="str">
        <v>0</v>
      </c>
      <c r="I1459" s="2" t="str">
        <f ca="1">IFERROR(__xludf.DUMMYFUNCTION("""COMPUTED_VALUE"""),"Nguyễn Quang Minh ")</f>
        <v xml:space="preserve">Nguyễn Quang Minh </v>
      </c>
      <c r="J1459" s="3" t="str">
        <f ca="1">IFERROR(__xludf.DUMMYFUNCTION("""COMPUTED_VALUE"""),"0962943536")</f>
        <v>0962943536</v>
      </c>
      <c r="K1459" s="2" t="str">
        <f ca="1">IFERROR(__xludf.DUMMYFUNCTION("""COMPUTED_VALUE"""),"1755692813190")</f>
        <v>1755692813190</v>
      </c>
    </row>
    <row r="1460" spans="1:11" ht="12.45">
      <c r="A1460" s="2" t="str">
        <f ca="1">IFERROR(__xludf.DUMMYFUNCTION("""COMPUTED_VALUE"""),"1755692850391")</f>
        <v>1755692850391</v>
      </c>
      <c r="B1460" s="2"/>
      <c r="C1460" s="2" t="str">
        <v>0</v>
      </c>
      <c r="D1460" s="2"/>
      <c r="F1460" s="2" t="str">
        <v>0</v>
      </c>
      <c r="I1460" s="2" t="str">
        <f ca="1">IFERROR(__xludf.DUMMYFUNCTION("""COMPUTED_VALUE"""),"Nguyễn Thị Châm ")</f>
        <v xml:space="preserve">Nguyễn Thị Châm </v>
      </c>
      <c r="J1460" s="3" t="str">
        <f ca="1">IFERROR(__xludf.DUMMYFUNCTION("""COMPUTED_VALUE"""),"0398493729")</f>
        <v>0398493729</v>
      </c>
      <c r="K1460" s="2" t="str">
        <f ca="1">IFERROR(__xludf.DUMMYFUNCTION("""COMPUTED_VALUE"""),"1755692850391")</f>
        <v>1755692850391</v>
      </c>
    </row>
    <row r="1461" spans="1:11" ht="12.45">
      <c r="A1461" s="2" t="str">
        <f ca="1">IFERROR(__xludf.DUMMYFUNCTION("""COMPUTED_VALUE"""),"1755692882947")</f>
        <v>1755692882947</v>
      </c>
      <c r="B1461" s="2"/>
      <c r="C1461" s="2" t="str">
        <v>0</v>
      </c>
      <c r="D1461" s="2"/>
      <c r="F1461" s="2" t="str">
        <v>0</v>
      </c>
      <c r="I1461" s="2" t="str">
        <f ca="1">IFERROR(__xludf.DUMMYFUNCTION("""COMPUTED_VALUE"""),"PHAN NGUYỄN CÁT TƯỜNG")</f>
        <v>PHAN NGUYỄN CÁT TƯỜNG</v>
      </c>
      <c r="J1461" s="3" t="str">
        <f ca="1">IFERROR(__xludf.DUMMYFUNCTION("""COMPUTED_VALUE"""),"0896405133")</f>
        <v>0896405133</v>
      </c>
      <c r="K1461" s="2" t="str">
        <f ca="1">IFERROR(__xludf.DUMMYFUNCTION("""COMPUTED_VALUE"""),"1755692882947")</f>
        <v>1755692882947</v>
      </c>
    </row>
    <row r="1462" spans="1:11" ht="12.45">
      <c r="A1462" s="2" t="str">
        <f ca="1">IFERROR(__xludf.DUMMYFUNCTION("""COMPUTED_VALUE"""),"1755692917733")</f>
        <v>1755692917733</v>
      </c>
      <c r="B1462" s="2"/>
      <c r="C1462" s="2" t="str">
        <v>0</v>
      </c>
      <c r="D1462" s="2"/>
      <c r="F1462" s="2" t="str">
        <v>0</v>
      </c>
      <c r="I1462" s="2" t="str">
        <f ca="1">IFERROR(__xludf.DUMMYFUNCTION("""COMPUTED_VALUE"""),"Nguyễn Yến Nhi")</f>
        <v>Nguyễn Yến Nhi</v>
      </c>
      <c r="J1462" s="3" t="str">
        <f ca="1">IFERROR(__xludf.DUMMYFUNCTION("""COMPUTED_VALUE"""),"0363304255")</f>
        <v>0363304255</v>
      </c>
      <c r="K1462" s="2" t="str">
        <f ca="1">IFERROR(__xludf.DUMMYFUNCTION("""COMPUTED_VALUE"""),"1755692917733")</f>
        <v>1755692917733</v>
      </c>
    </row>
    <row r="1463" spans="1:11" ht="12.45">
      <c r="A1463" s="2" t="str">
        <f ca="1">IFERROR(__xludf.DUMMYFUNCTION("""COMPUTED_VALUE"""),"1755692953329")</f>
        <v>1755692953329</v>
      </c>
      <c r="B1463" s="2"/>
      <c r="C1463" s="2" t="str">
        <v>0</v>
      </c>
      <c r="D1463" s="2"/>
      <c r="F1463" s="2" t="str">
        <v>0</v>
      </c>
      <c r="I1463" s="2" t="str">
        <f ca="1">IFERROR(__xludf.DUMMYFUNCTION("""COMPUTED_VALUE"""),"Dương Lê Huyền Linh")</f>
        <v>Dương Lê Huyền Linh</v>
      </c>
      <c r="J1463" s="3" t="str">
        <f ca="1">IFERROR(__xludf.DUMMYFUNCTION("""COMPUTED_VALUE"""),"0968143137")</f>
        <v>0968143137</v>
      </c>
      <c r="K1463" s="2" t="str">
        <f ca="1">IFERROR(__xludf.DUMMYFUNCTION("""COMPUTED_VALUE"""),"1755692953329")</f>
        <v>1755692953329</v>
      </c>
    </row>
    <row r="1464" spans="1:11" ht="12.45">
      <c r="A1464" s="2" t="str">
        <f ca="1">IFERROR(__xludf.DUMMYFUNCTION("""COMPUTED_VALUE"""),"1755693001362")</f>
        <v>1755693001362</v>
      </c>
      <c r="B1464" s="2"/>
      <c r="C1464" s="2" t="str">
        <v>0</v>
      </c>
      <c r="D1464" s="2"/>
      <c r="F1464" s="2" t="str">
        <v>0</v>
      </c>
      <c r="I1464" s="2" t="str">
        <f ca="1">IFERROR(__xludf.DUMMYFUNCTION("""COMPUTED_VALUE"""),"Nguyễn Thị Diễm Hằng")</f>
        <v>Nguyễn Thị Diễm Hằng</v>
      </c>
      <c r="J1464" s="3" t="str">
        <f ca="1">IFERROR(__xludf.DUMMYFUNCTION("""COMPUTED_VALUE"""),"0944856980")</f>
        <v>0944856980</v>
      </c>
      <c r="K1464" s="2" t="str">
        <f ca="1">IFERROR(__xludf.DUMMYFUNCTION("""COMPUTED_VALUE"""),"1755693001362")</f>
        <v>1755693001362</v>
      </c>
    </row>
    <row r="1465" spans="1:11" ht="12.45">
      <c r="A1465" s="2" t="str">
        <f ca="1">IFERROR(__xludf.DUMMYFUNCTION("""COMPUTED_VALUE"""),"1755693037199")</f>
        <v>1755693037199</v>
      </c>
      <c r="B1465" s="2"/>
      <c r="C1465" s="2" t="str">
        <v>0</v>
      </c>
      <c r="D1465" s="2"/>
      <c r="F1465" s="2" t="str">
        <v>0</v>
      </c>
      <c r="I1465" s="2" t="str">
        <f ca="1">IFERROR(__xludf.DUMMYFUNCTION("""COMPUTED_VALUE"""),"Đặng Trương Ngọc Anh")</f>
        <v>Đặng Trương Ngọc Anh</v>
      </c>
      <c r="J1465" s="3" t="str">
        <f ca="1">IFERROR(__xludf.DUMMYFUNCTION("""COMPUTED_VALUE"""),"0382401363")</f>
        <v>0382401363</v>
      </c>
      <c r="K1465" s="2" t="str">
        <f ca="1">IFERROR(__xludf.DUMMYFUNCTION("""COMPUTED_VALUE"""),"1755693037199")</f>
        <v>1755693037199</v>
      </c>
    </row>
    <row r="1466" spans="1:11" ht="12.45">
      <c r="A1466" s="2" t="str">
        <f ca="1">IFERROR(__xludf.DUMMYFUNCTION("""COMPUTED_VALUE"""),"1755693066808")</f>
        <v>1755693066808</v>
      </c>
      <c r="B1466" s="2"/>
      <c r="C1466" s="2" t="str">
        <v>0</v>
      </c>
      <c r="D1466" s="2"/>
      <c r="F1466" s="2" t="str">
        <v>0</v>
      </c>
      <c r="I1466" s="2" t="str">
        <f ca="1">IFERROR(__xludf.DUMMYFUNCTION("""COMPUTED_VALUE"""),"Nguyễn Thị Huyền Châm ")</f>
        <v xml:space="preserve">Nguyễn Thị Huyền Châm </v>
      </c>
      <c r="J1466" s="3" t="str">
        <f ca="1">IFERROR(__xludf.DUMMYFUNCTION("""COMPUTED_VALUE"""),"0977317532")</f>
        <v>0977317532</v>
      </c>
      <c r="K1466" s="2" t="str">
        <f ca="1">IFERROR(__xludf.DUMMYFUNCTION("""COMPUTED_VALUE"""),"1755693066808")</f>
        <v>1755693066808</v>
      </c>
    </row>
    <row r="1467" spans="1:11" ht="12.45">
      <c r="A1467" s="2" t="str">
        <f ca="1">IFERROR(__xludf.DUMMYFUNCTION("""COMPUTED_VALUE"""),"1755693105758")</f>
        <v>1755693105758</v>
      </c>
      <c r="B1467" s="2"/>
      <c r="C1467" s="2" t="str">
        <v>0</v>
      </c>
      <c r="D1467" s="2"/>
      <c r="F1467" s="2" t="str">
        <v>0</v>
      </c>
      <c r="I1467" s="2" t="str">
        <f ca="1">IFERROR(__xludf.DUMMYFUNCTION("""COMPUTED_VALUE"""),"Trần Tuệ Sang")</f>
        <v>Trần Tuệ Sang</v>
      </c>
      <c r="J1467" s="3" t="str">
        <f ca="1">IFERROR(__xludf.DUMMYFUNCTION("""COMPUTED_VALUE"""),"0375127079")</f>
        <v>0375127079</v>
      </c>
      <c r="K1467" s="2" t="str">
        <f ca="1">IFERROR(__xludf.DUMMYFUNCTION("""COMPUTED_VALUE"""),"1755693105758")</f>
        <v>1755693105758</v>
      </c>
    </row>
    <row r="1468" spans="1:11" ht="12.45">
      <c r="A1468" s="2" t="str">
        <f ca="1">IFERROR(__xludf.DUMMYFUNCTION("""COMPUTED_VALUE"""),"1755693143898")</f>
        <v>1755693143898</v>
      </c>
      <c r="B1468" s="2"/>
      <c r="C1468" s="2" t="str">
        <v>0</v>
      </c>
      <c r="D1468" s="2"/>
      <c r="F1468" s="2" t="str">
        <v>0</v>
      </c>
      <c r="I1468" s="2" t="str">
        <f ca="1">IFERROR(__xludf.DUMMYFUNCTION("""COMPUTED_VALUE"""),"Bùi thị bích ngọc")</f>
        <v>Bùi thị bích ngọc</v>
      </c>
      <c r="J1468" s="3" t="str">
        <f ca="1">IFERROR(__xludf.DUMMYFUNCTION("""COMPUTED_VALUE"""),"0916681228")</f>
        <v>0916681228</v>
      </c>
      <c r="K1468" s="2" t="str">
        <f ca="1">IFERROR(__xludf.DUMMYFUNCTION("""COMPUTED_VALUE"""),"1755693143898")</f>
        <v>1755693143898</v>
      </c>
    </row>
    <row r="1469" spans="1:11" ht="12.45">
      <c r="A1469" s="2" t="str">
        <f ca="1">IFERROR(__xludf.DUMMYFUNCTION("""COMPUTED_VALUE"""),"1755693209558")</f>
        <v>1755693209558</v>
      </c>
      <c r="B1469" s="2"/>
      <c r="C1469" s="2" t="str">
        <v>0</v>
      </c>
      <c r="D1469" s="2"/>
      <c r="F1469" s="2" t="str">
        <v>0</v>
      </c>
      <c r="I1469" s="2" t="str">
        <f ca="1">IFERROR(__xludf.DUMMYFUNCTION("""COMPUTED_VALUE"""),"Ngô thị minh huyền")</f>
        <v>Ngô thị minh huyền</v>
      </c>
      <c r="J1469" s="3" t="str">
        <f ca="1">IFERROR(__xludf.DUMMYFUNCTION("""COMPUTED_VALUE"""),"0889110137")</f>
        <v>0889110137</v>
      </c>
      <c r="K1469" s="2" t="str">
        <f ca="1">IFERROR(__xludf.DUMMYFUNCTION("""COMPUTED_VALUE"""),"1755693209558")</f>
        <v>1755693209558</v>
      </c>
    </row>
    <row r="1470" spans="1:11" ht="12.45">
      <c r="A1470" s="2" t="str">
        <f ca="1">IFERROR(__xludf.DUMMYFUNCTION("""COMPUTED_VALUE"""),"1755693276993")</f>
        <v>1755693276993</v>
      </c>
      <c r="B1470" s="2"/>
      <c r="C1470" s="2" t="str">
        <v>0</v>
      </c>
      <c r="D1470" s="2"/>
      <c r="F1470" s="2" t="str">
        <v>0</v>
      </c>
      <c r="I1470" s="2" t="str">
        <f ca="1">IFERROR(__xludf.DUMMYFUNCTION("""COMPUTED_VALUE"""),"Nguyễn Danh Tuyền ")</f>
        <v xml:space="preserve">Nguyễn Danh Tuyền </v>
      </c>
      <c r="J1470" s="3" t="str">
        <f ca="1">IFERROR(__xludf.DUMMYFUNCTION("""COMPUTED_VALUE"""),"0969473206")</f>
        <v>0969473206</v>
      </c>
      <c r="K1470" s="2" t="str">
        <f ca="1">IFERROR(__xludf.DUMMYFUNCTION("""COMPUTED_VALUE"""),"1755693276993")</f>
        <v>1755693276993</v>
      </c>
    </row>
    <row r="1471" spans="1:11" ht="12.45">
      <c r="A1471" s="2" t="str">
        <f ca="1">IFERROR(__xludf.DUMMYFUNCTION("""COMPUTED_VALUE"""),"1755693336336")</f>
        <v>1755693336336</v>
      </c>
      <c r="B1471" s="2"/>
      <c r="C1471" s="2" t="str">
        <v>0</v>
      </c>
      <c r="D1471" s="2"/>
      <c r="F1471" s="2" t="str">
        <v>0</v>
      </c>
      <c r="I1471" s="2" t="str">
        <f ca="1">IFERROR(__xludf.DUMMYFUNCTION("""COMPUTED_VALUE"""),"Nguyễn Thị Huỳnh Ngân")</f>
        <v>Nguyễn Thị Huỳnh Ngân</v>
      </c>
      <c r="J1471" s="3" t="str">
        <f ca="1">IFERROR(__xludf.DUMMYFUNCTION("""COMPUTED_VALUE"""),"0908815005")</f>
        <v>0908815005</v>
      </c>
      <c r="K1471" s="2" t="str">
        <f ca="1">IFERROR(__xludf.DUMMYFUNCTION("""COMPUTED_VALUE"""),"1755693336336")</f>
        <v>1755693336336</v>
      </c>
    </row>
    <row r="1472" spans="1:11" ht="12.45">
      <c r="A1472" s="2" t="str">
        <f ca="1">IFERROR(__xludf.DUMMYFUNCTION("""COMPUTED_VALUE"""),"1755693385619")</f>
        <v>1755693385619</v>
      </c>
      <c r="B1472" s="2"/>
      <c r="C1472" s="2" t="str">
        <v>0</v>
      </c>
      <c r="D1472" s="2"/>
      <c r="F1472" s="2" t="str">
        <v>0</v>
      </c>
      <c r="I1472" s="2" t="str">
        <f ca="1">IFERROR(__xludf.DUMMYFUNCTION("""COMPUTED_VALUE"""),"Lê Mai Trang")</f>
        <v>Lê Mai Trang</v>
      </c>
      <c r="J1472" s="3" t="str">
        <f ca="1">IFERROR(__xludf.DUMMYFUNCTION("""COMPUTED_VALUE"""),"0362308486")</f>
        <v>0362308486</v>
      </c>
      <c r="K1472" s="2" t="str">
        <f ca="1">IFERROR(__xludf.DUMMYFUNCTION("""COMPUTED_VALUE"""),"1755693385619")</f>
        <v>1755693385619</v>
      </c>
    </row>
    <row r="1473" spans="1:11" ht="12.45">
      <c r="A1473" s="2" t="str">
        <f ca="1">IFERROR(__xludf.DUMMYFUNCTION("""COMPUTED_VALUE"""),"1755693440257")</f>
        <v>1755693440257</v>
      </c>
      <c r="B1473" s="2"/>
      <c r="C1473" s="2" t="str">
        <v>0</v>
      </c>
      <c r="D1473" s="2"/>
      <c r="F1473" s="2" t="str">
        <v>0</v>
      </c>
      <c r="I1473" s="2" t="str">
        <f ca="1">IFERROR(__xludf.DUMMYFUNCTION("""COMPUTED_VALUE"""),"Nguyễn Hiếu Mẫn")</f>
        <v>Nguyễn Hiếu Mẫn</v>
      </c>
      <c r="J1473" s="3" t="str">
        <f ca="1">IFERROR(__xludf.DUMMYFUNCTION("""COMPUTED_VALUE"""),"0905741610")</f>
        <v>0905741610</v>
      </c>
      <c r="K1473" s="2" t="str">
        <f ca="1">IFERROR(__xludf.DUMMYFUNCTION("""COMPUTED_VALUE"""),"1755693440257")</f>
        <v>1755693440257</v>
      </c>
    </row>
    <row r="1474" spans="1:11" ht="12.45">
      <c r="A1474" s="2" t="str">
        <f ca="1">IFERROR(__xludf.DUMMYFUNCTION("""COMPUTED_VALUE"""),"1755693482606")</f>
        <v>1755693482606</v>
      </c>
      <c r="B1474" s="2"/>
      <c r="C1474" s="2" t="str">
        <v>0</v>
      </c>
      <c r="D1474" s="2"/>
      <c r="F1474" s="2" t="str">
        <v>0</v>
      </c>
      <c r="I1474" s="2" t="str">
        <f ca="1">IFERROR(__xludf.DUMMYFUNCTION("""COMPUTED_VALUE"""),"Nguyễn Ngọc Minh")</f>
        <v>Nguyễn Ngọc Minh</v>
      </c>
      <c r="J1474" s="3" t="str">
        <f ca="1">IFERROR(__xludf.DUMMYFUNCTION("""COMPUTED_VALUE"""),"0396029062")</f>
        <v>0396029062</v>
      </c>
      <c r="K1474" s="2" t="str">
        <f ca="1">IFERROR(__xludf.DUMMYFUNCTION("""COMPUTED_VALUE"""),"1755693482606")</f>
        <v>1755693482606</v>
      </c>
    </row>
    <row r="1475" spans="1:11" ht="12.45">
      <c r="A1475" s="2" t="str">
        <f ca="1">IFERROR(__xludf.DUMMYFUNCTION("""COMPUTED_VALUE"""),"1755693522701")</f>
        <v>1755693522701</v>
      </c>
      <c r="B1475" s="2"/>
      <c r="C1475" s="2" t="str">
        <v>0</v>
      </c>
      <c r="D1475" s="2"/>
      <c r="F1475" s="2" t="str">
        <v>0</v>
      </c>
      <c r="I1475" s="2" t="str">
        <f ca="1">IFERROR(__xludf.DUMMYFUNCTION("""COMPUTED_VALUE"""),"Lộc Thị Thanh Thúy ")</f>
        <v xml:space="preserve">Lộc Thị Thanh Thúy </v>
      </c>
      <c r="J1475" s="3" t="str">
        <f ca="1">IFERROR(__xludf.DUMMYFUNCTION("""COMPUTED_VALUE"""),"0377805438")</f>
        <v>0377805438</v>
      </c>
      <c r="K1475" s="2" t="str">
        <f ca="1">IFERROR(__xludf.DUMMYFUNCTION("""COMPUTED_VALUE"""),"1755693522701")</f>
        <v>1755693522701</v>
      </c>
    </row>
    <row r="1476" spans="1:11" ht="12.45">
      <c r="A1476" s="2" t="str">
        <f ca="1">IFERROR(__xludf.DUMMYFUNCTION("""COMPUTED_VALUE"""),"1755693571109")</f>
        <v>1755693571109</v>
      </c>
      <c r="B1476" s="2"/>
      <c r="C1476" s="2" t="str">
        <v>0</v>
      </c>
      <c r="D1476" s="2"/>
      <c r="F1476" s="2" t="str">
        <v>0</v>
      </c>
      <c r="I1476" s="2" t="str">
        <f ca="1">IFERROR(__xludf.DUMMYFUNCTION("""COMPUTED_VALUE"""),"Nguyễn Thị Thúy An")</f>
        <v>Nguyễn Thị Thúy An</v>
      </c>
      <c r="J1476" s="3" t="str">
        <f ca="1">IFERROR(__xludf.DUMMYFUNCTION("""COMPUTED_VALUE"""),"0979346303")</f>
        <v>0979346303</v>
      </c>
      <c r="K1476" s="2" t="str">
        <f ca="1">IFERROR(__xludf.DUMMYFUNCTION("""COMPUTED_VALUE"""),"1755693571109")</f>
        <v>1755693571109</v>
      </c>
    </row>
    <row r="1477" spans="1:11" ht="12.45">
      <c r="A1477" s="2" t="str">
        <f ca="1">IFERROR(__xludf.DUMMYFUNCTION("""COMPUTED_VALUE"""),"1755693623072")</f>
        <v>1755693623072</v>
      </c>
      <c r="B1477" s="2"/>
      <c r="C1477" s="2" t="str">
        <v>0</v>
      </c>
      <c r="D1477" s="2"/>
      <c r="F1477" s="2" t="str">
        <v>0</v>
      </c>
      <c r="I1477" s="2" t="str">
        <f ca="1">IFERROR(__xludf.DUMMYFUNCTION("""COMPUTED_VALUE"""),"Bùi thị thuý")</f>
        <v>Bùi thị thuý</v>
      </c>
      <c r="J1477" s="3" t="str">
        <f ca="1">IFERROR(__xludf.DUMMYFUNCTION("""COMPUTED_VALUE"""),"0337526016")</f>
        <v>0337526016</v>
      </c>
      <c r="K1477" s="2" t="str">
        <f ca="1">IFERROR(__xludf.DUMMYFUNCTION("""COMPUTED_VALUE"""),"1755693623072")</f>
        <v>1755693623072</v>
      </c>
    </row>
    <row r="1478" spans="1:11" ht="12.45">
      <c r="A1478" s="2" t="str">
        <f ca="1">IFERROR(__xludf.DUMMYFUNCTION("""COMPUTED_VALUE"""),"1755693675425")</f>
        <v>1755693675425</v>
      </c>
      <c r="B1478" s="2"/>
      <c r="C1478" s="2" t="str">
        <v>0</v>
      </c>
      <c r="D1478" s="2"/>
      <c r="F1478" s="2" t="str">
        <v>0</v>
      </c>
      <c r="I1478" s="2" t="str">
        <f ca="1">IFERROR(__xludf.DUMMYFUNCTION("""COMPUTED_VALUE"""),"Nguyễn Hữu Minh ")</f>
        <v xml:space="preserve">Nguyễn Hữu Minh </v>
      </c>
      <c r="J1478" s="3" t="str">
        <f ca="1">IFERROR(__xludf.DUMMYFUNCTION("""COMPUTED_VALUE"""),"0382796272")</f>
        <v>0382796272</v>
      </c>
      <c r="K1478" s="2" t="str">
        <f ca="1">IFERROR(__xludf.DUMMYFUNCTION("""COMPUTED_VALUE"""),"1755693675425")</f>
        <v>1755693675425</v>
      </c>
    </row>
    <row r="1479" spans="1:11" ht="12.45">
      <c r="A1479" s="2" t="str">
        <f ca="1">IFERROR(__xludf.DUMMYFUNCTION("""COMPUTED_VALUE"""),"1755693711016")</f>
        <v>1755693711016</v>
      </c>
      <c r="B1479" s="2"/>
      <c r="C1479" s="2" t="str">
        <v>0</v>
      </c>
      <c r="D1479" s="2"/>
      <c r="F1479" s="2" t="str">
        <v>0</v>
      </c>
      <c r="I1479" s="2" t="str">
        <f ca="1">IFERROR(__xludf.DUMMYFUNCTION("""COMPUTED_VALUE"""),"Phạm Minh Hậu")</f>
        <v>Phạm Minh Hậu</v>
      </c>
      <c r="J1479" s="3" t="str">
        <f ca="1">IFERROR(__xludf.DUMMYFUNCTION("""COMPUTED_VALUE"""),"0369855256")</f>
        <v>0369855256</v>
      </c>
      <c r="K1479" s="2" t="str">
        <f ca="1">IFERROR(__xludf.DUMMYFUNCTION("""COMPUTED_VALUE"""),"1755693711016")</f>
        <v>1755693711016</v>
      </c>
    </row>
    <row r="1480" spans="1:11" ht="12.45">
      <c r="A1480" s="2" t="str">
        <f ca="1">IFERROR(__xludf.DUMMYFUNCTION("""COMPUTED_VALUE"""),"1755693741786")</f>
        <v>1755693741786</v>
      </c>
      <c r="B1480" s="2"/>
      <c r="C1480" s="2" t="str">
        <v>0</v>
      </c>
      <c r="D1480" s="2"/>
      <c r="F1480" s="2" t="str">
        <v>0</v>
      </c>
      <c r="I1480" s="2" t="str">
        <f ca="1">IFERROR(__xludf.DUMMYFUNCTION("""COMPUTED_VALUE"""),"Phan Thiên Nhiên ")</f>
        <v xml:space="preserve">Phan Thiên Nhiên </v>
      </c>
      <c r="J1480" s="3" t="str">
        <f ca="1">IFERROR(__xludf.DUMMYFUNCTION("""COMPUTED_VALUE"""),"0963986863")</f>
        <v>0963986863</v>
      </c>
      <c r="K1480" s="2" t="str">
        <f ca="1">IFERROR(__xludf.DUMMYFUNCTION("""COMPUTED_VALUE"""),"1755693741786")</f>
        <v>1755693741786</v>
      </c>
    </row>
    <row r="1481" spans="1:11" ht="12.45">
      <c r="A1481" s="2" t="str">
        <f ca="1">IFERROR(__xludf.DUMMYFUNCTION("""COMPUTED_VALUE"""),"1755693786194")</f>
        <v>1755693786194</v>
      </c>
      <c r="B1481" s="2"/>
      <c r="C1481" s="2" t="str">
        <v>0</v>
      </c>
      <c r="D1481" s="2"/>
      <c r="F1481" s="2" t="str">
        <v>0</v>
      </c>
      <c r="I1481" s="2" t="str">
        <f ca="1">IFERROR(__xludf.DUMMYFUNCTION("""COMPUTED_VALUE"""),"Đào Thị Thơm")</f>
        <v>Đào Thị Thơm</v>
      </c>
      <c r="J1481" s="3" t="str">
        <f ca="1">IFERROR(__xludf.DUMMYFUNCTION("""COMPUTED_VALUE"""),"0388636475")</f>
        <v>0388636475</v>
      </c>
      <c r="K1481" s="2" t="str">
        <f ca="1">IFERROR(__xludf.DUMMYFUNCTION("""COMPUTED_VALUE"""),"1755693786194")</f>
        <v>1755693786194</v>
      </c>
    </row>
    <row r="1482" spans="1:11" ht="12.45">
      <c r="A1482" s="2" t="str">
        <f ca="1">IFERROR(__xludf.DUMMYFUNCTION("""COMPUTED_VALUE"""),"1755693839997")</f>
        <v>1755693839997</v>
      </c>
      <c r="B1482" s="2"/>
      <c r="C1482" s="2" t="str">
        <v>0</v>
      </c>
      <c r="D1482" s="2"/>
      <c r="F1482" s="2" t="str">
        <v>0</v>
      </c>
      <c r="I1482" s="2" t="str">
        <f ca="1">IFERROR(__xludf.DUMMYFUNCTION("""COMPUTED_VALUE"""),"Nguyễn Phương Anh")</f>
        <v>Nguyễn Phương Anh</v>
      </c>
      <c r="J1482" s="3" t="str">
        <f ca="1">IFERROR(__xludf.DUMMYFUNCTION("""COMPUTED_VALUE"""),"0374726534")</f>
        <v>0374726534</v>
      </c>
      <c r="K1482" s="2" t="str">
        <f ca="1">IFERROR(__xludf.DUMMYFUNCTION("""COMPUTED_VALUE"""),"1755693839997")</f>
        <v>1755693839997</v>
      </c>
    </row>
    <row r="1483" spans="1:11" ht="12.45">
      <c r="A1483" s="2" t="str">
        <f ca="1">IFERROR(__xludf.DUMMYFUNCTION("""COMPUTED_VALUE"""),"1755693897517")</f>
        <v>1755693897517</v>
      </c>
      <c r="B1483" s="2"/>
      <c r="C1483" s="2" t="str">
        <v>0</v>
      </c>
      <c r="D1483" s="2"/>
      <c r="F1483" s="2" t="str">
        <v>0</v>
      </c>
      <c r="I1483" s="2" t="str">
        <f ca="1">IFERROR(__xludf.DUMMYFUNCTION("""COMPUTED_VALUE"""),"Nguyễn Thị Phương Anh ")</f>
        <v xml:space="preserve">Nguyễn Thị Phương Anh </v>
      </c>
      <c r="J1483" s="3" t="str">
        <f ca="1">IFERROR(__xludf.DUMMYFUNCTION("""COMPUTED_VALUE"""),"0965202961")</f>
        <v>0965202961</v>
      </c>
      <c r="K1483" s="2" t="str">
        <f ca="1">IFERROR(__xludf.DUMMYFUNCTION("""COMPUTED_VALUE"""),"1755693897517")</f>
        <v>1755693897517</v>
      </c>
    </row>
    <row r="1484" spans="1:11" ht="12.45">
      <c r="A1484" s="2" t="str">
        <f ca="1">IFERROR(__xludf.DUMMYFUNCTION("""COMPUTED_VALUE"""),"1755693954018")</f>
        <v>1755693954018</v>
      </c>
      <c r="B1484" s="2"/>
      <c r="C1484" s="2" t="str">
        <v>0</v>
      </c>
      <c r="D1484" s="2"/>
      <c r="F1484" s="2" t="str">
        <v>0</v>
      </c>
      <c r="I1484" s="2" t="str">
        <f ca="1">IFERROR(__xludf.DUMMYFUNCTION("""COMPUTED_VALUE"""),"Trần Thị Kim Phượng")</f>
        <v>Trần Thị Kim Phượng</v>
      </c>
      <c r="J1484" s="3" t="str">
        <f ca="1">IFERROR(__xludf.DUMMYFUNCTION("""COMPUTED_VALUE"""),"0373954307")</f>
        <v>0373954307</v>
      </c>
      <c r="K1484" s="2" t="str">
        <f ca="1">IFERROR(__xludf.DUMMYFUNCTION("""COMPUTED_VALUE"""),"1755693954018")</f>
        <v>1755693954018</v>
      </c>
    </row>
    <row r="1485" spans="1:11" ht="12.45">
      <c r="A1485" s="2" t="str">
        <f ca="1">IFERROR(__xludf.DUMMYFUNCTION("""COMPUTED_VALUE"""),"1755693988795")</f>
        <v>1755693988795</v>
      </c>
      <c r="B1485" s="2"/>
      <c r="C1485" s="2" t="str">
        <v>0</v>
      </c>
      <c r="D1485" s="2"/>
      <c r="F1485" s="2" t="str">
        <v>0</v>
      </c>
      <c r="I1485" s="2" t="str">
        <f ca="1">IFERROR(__xludf.DUMMYFUNCTION("""COMPUTED_VALUE"""),"Nguyễn Thanh Trúc")</f>
        <v>Nguyễn Thanh Trúc</v>
      </c>
      <c r="J1485" s="3" t="str">
        <f ca="1">IFERROR(__xludf.DUMMYFUNCTION("""COMPUTED_VALUE"""),"0901480201")</f>
        <v>0901480201</v>
      </c>
      <c r="K1485" s="2" t="str">
        <f ca="1">IFERROR(__xludf.DUMMYFUNCTION("""COMPUTED_VALUE"""),"1755693988795")</f>
        <v>1755693988795</v>
      </c>
    </row>
    <row r="1486" spans="1:11" ht="12.45">
      <c r="A1486" s="2" t="str">
        <f ca="1">IFERROR(__xludf.DUMMYFUNCTION("""COMPUTED_VALUE"""),"1755694029022")</f>
        <v>1755694029022</v>
      </c>
      <c r="B1486" s="2"/>
      <c r="C1486" s="2" t="str">
        <v>0</v>
      </c>
      <c r="D1486" s="2"/>
      <c r="F1486" s="2" t="str">
        <v>0</v>
      </c>
      <c r="I1486" s="2" t="str">
        <f ca="1">IFERROR(__xludf.DUMMYFUNCTION("""COMPUTED_VALUE"""),"ĐINH LÊ TRÀ GIANG")</f>
        <v>ĐINH LÊ TRÀ GIANG</v>
      </c>
      <c r="J1486" s="3" t="str">
        <f ca="1">IFERROR(__xludf.DUMMYFUNCTION("""COMPUTED_VALUE"""),"0372897438")</f>
        <v>0372897438</v>
      </c>
      <c r="K1486" s="2" t="str">
        <f ca="1">IFERROR(__xludf.DUMMYFUNCTION("""COMPUTED_VALUE"""),"1755694029022")</f>
        <v>1755694029022</v>
      </c>
    </row>
    <row r="1487" spans="1:11" ht="12.45">
      <c r="A1487" s="2" t="str">
        <f ca="1">IFERROR(__xludf.DUMMYFUNCTION("""COMPUTED_VALUE"""),"1755694066381")</f>
        <v>1755694066381</v>
      </c>
      <c r="B1487" s="2"/>
      <c r="C1487" s="2" t="str">
        <v>0</v>
      </c>
      <c r="D1487" s="2"/>
      <c r="F1487" s="2" t="str">
        <v>0</v>
      </c>
      <c r="I1487" s="2" t="str">
        <f ca="1">IFERROR(__xludf.DUMMYFUNCTION("""COMPUTED_VALUE"""),"Lê Lan Anh ")</f>
        <v xml:space="preserve">Lê Lan Anh </v>
      </c>
      <c r="J1487" s="3" t="str">
        <f ca="1">IFERROR(__xludf.DUMMYFUNCTION("""COMPUTED_VALUE"""),"0968768921")</f>
        <v>0968768921</v>
      </c>
      <c r="K1487" s="2" t="str">
        <f ca="1">IFERROR(__xludf.DUMMYFUNCTION("""COMPUTED_VALUE"""),"1755694066381")</f>
        <v>1755694066381</v>
      </c>
    </row>
    <row r="1488" spans="1:11" ht="12.45">
      <c r="A1488" s="2" t="str">
        <f ca="1">IFERROR(__xludf.DUMMYFUNCTION("""COMPUTED_VALUE"""),"1755694130836")</f>
        <v>1755694130836</v>
      </c>
      <c r="B1488" s="2"/>
      <c r="C1488" s="2" t="str">
        <v>0</v>
      </c>
      <c r="D1488" s="2"/>
      <c r="F1488" s="2" t="str">
        <v>0</v>
      </c>
      <c r="I1488" s="2" t="str">
        <f ca="1">IFERROR(__xludf.DUMMYFUNCTION("""COMPUTED_VALUE"""),"Đỗ Tùng Linh")</f>
        <v>Đỗ Tùng Linh</v>
      </c>
      <c r="J1488" s="3" t="str">
        <f ca="1">IFERROR(__xludf.DUMMYFUNCTION("""COMPUTED_VALUE"""),"0968803177")</f>
        <v>0968803177</v>
      </c>
      <c r="K1488" s="2" t="str">
        <f ca="1">IFERROR(__xludf.DUMMYFUNCTION("""COMPUTED_VALUE"""),"1755694130836")</f>
        <v>1755694130836</v>
      </c>
    </row>
    <row r="1489" spans="1:11" ht="12.45">
      <c r="A1489" s="2" t="str">
        <f ca="1">IFERROR(__xludf.DUMMYFUNCTION("""COMPUTED_VALUE"""),"1755694171313")</f>
        <v>1755694171313</v>
      </c>
      <c r="B1489" s="2"/>
      <c r="C1489" s="2" t="str">
        <v>0</v>
      </c>
      <c r="D1489" s="2"/>
      <c r="F1489" s="2" t="str">
        <v>0</v>
      </c>
      <c r="I1489" s="2" t="str">
        <f ca="1">IFERROR(__xludf.DUMMYFUNCTION("""COMPUTED_VALUE"""),"Trịnh Thị Thu An")</f>
        <v>Trịnh Thị Thu An</v>
      </c>
      <c r="J1489" s="3" t="str">
        <f ca="1">IFERROR(__xludf.DUMMYFUNCTION("""COMPUTED_VALUE"""),"0828795169")</f>
        <v>0828795169</v>
      </c>
      <c r="K1489" s="2" t="str">
        <f ca="1">IFERROR(__xludf.DUMMYFUNCTION("""COMPUTED_VALUE"""),"1755694171313")</f>
        <v>1755694171313</v>
      </c>
    </row>
    <row r="1490" spans="1:11" ht="12.45">
      <c r="A1490" s="2" t="str">
        <f ca="1">IFERROR(__xludf.DUMMYFUNCTION("""COMPUTED_VALUE"""),"1755694204492")</f>
        <v>1755694204492</v>
      </c>
      <c r="B1490" s="2"/>
      <c r="C1490" s="2" t="str">
        <v>0</v>
      </c>
      <c r="D1490" s="2"/>
      <c r="F1490" s="2" t="str">
        <v>0</v>
      </c>
      <c r="I1490" s="2" t="str">
        <f ca="1">IFERROR(__xludf.DUMMYFUNCTION("""COMPUTED_VALUE"""),"Nguyễn Thu Thảo ")</f>
        <v xml:space="preserve">Nguyễn Thu Thảo </v>
      </c>
      <c r="J1490" s="3" t="str">
        <f ca="1">IFERROR(__xludf.DUMMYFUNCTION("""COMPUTED_VALUE"""),"0396230784")</f>
        <v>0396230784</v>
      </c>
      <c r="K1490" s="2" t="str">
        <f ca="1">IFERROR(__xludf.DUMMYFUNCTION("""COMPUTED_VALUE"""),"1755694204492")</f>
        <v>1755694204492</v>
      </c>
    </row>
    <row r="1491" spans="1:11" ht="12.45">
      <c r="A1491" s="2" t="str">
        <f ca="1">IFERROR(__xludf.DUMMYFUNCTION("""COMPUTED_VALUE"""),"1755694242544")</f>
        <v>1755694242544</v>
      </c>
      <c r="B1491" s="2"/>
      <c r="C1491" s="2" t="str">
        <v>0</v>
      </c>
      <c r="D1491" s="2"/>
      <c r="F1491" s="2" t="str">
        <v>0</v>
      </c>
      <c r="I1491" s="2" t="str">
        <f ca="1">IFERROR(__xludf.DUMMYFUNCTION("""COMPUTED_VALUE"""),"Trần Thanh Vân")</f>
        <v>Trần Thanh Vân</v>
      </c>
      <c r="J1491" s="3" t="str">
        <f ca="1">IFERROR(__xludf.DUMMYFUNCTION("""COMPUTED_VALUE"""),"0865387367")</f>
        <v>0865387367</v>
      </c>
      <c r="K1491" s="2" t="str">
        <f ca="1">IFERROR(__xludf.DUMMYFUNCTION("""COMPUTED_VALUE"""),"1755694242544")</f>
        <v>1755694242544</v>
      </c>
    </row>
    <row r="1492" spans="1:11" ht="12.45">
      <c r="A1492" s="2" t="str">
        <f ca="1">IFERROR(__xludf.DUMMYFUNCTION("""COMPUTED_VALUE"""),"1755694284448")</f>
        <v>1755694284448</v>
      </c>
      <c r="B1492" s="2"/>
      <c r="C1492" s="2" t="str">
        <v>0</v>
      </c>
      <c r="D1492" s="2"/>
      <c r="F1492" s="2" t="str">
        <v>0</v>
      </c>
      <c r="I1492" s="2" t="str">
        <f ca="1">IFERROR(__xludf.DUMMYFUNCTION("""COMPUTED_VALUE"""),"Trương Ngọc Ánh")</f>
        <v>Trương Ngọc Ánh</v>
      </c>
      <c r="J1492" s="3" t="str">
        <f ca="1">IFERROR(__xludf.DUMMYFUNCTION("""COMPUTED_VALUE"""),"0326991296")</f>
        <v>0326991296</v>
      </c>
      <c r="K1492" s="2" t="str">
        <f ca="1">IFERROR(__xludf.DUMMYFUNCTION("""COMPUTED_VALUE"""),"1755694284448")</f>
        <v>1755694284448</v>
      </c>
    </row>
    <row r="1493" spans="1:11" ht="12.45">
      <c r="A1493" s="2" t="str">
        <f ca="1">IFERROR(__xludf.DUMMYFUNCTION("""COMPUTED_VALUE"""),"1755694329066")</f>
        <v>1755694329066</v>
      </c>
      <c r="B1493" s="2"/>
      <c r="C1493" s="2" t="str">
        <v>0</v>
      </c>
      <c r="D1493" s="2"/>
      <c r="F1493" s="2" t="str">
        <v>0</v>
      </c>
      <c r="I1493" s="2" t="str">
        <f ca="1">IFERROR(__xludf.DUMMYFUNCTION("""COMPUTED_VALUE"""),"Nguyễn Vũ Phong")</f>
        <v>Nguyễn Vũ Phong</v>
      </c>
      <c r="J1493" s="3" t="str">
        <f ca="1">IFERROR(__xludf.DUMMYFUNCTION("""COMPUTED_VALUE"""),"0799478983")</f>
        <v>0799478983</v>
      </c>
      <c r="K1493" s="2" t="str">
        <f ca="1">IFERROR(__xludf.DUMMYFUNCTION("""COMPUTED_VALUE"""),"1755694329066")</f>
        <v>1755694329066</v>
      </c>
    </row>
    <row r="1494" spans="1:11" ht="12.45">
      <c r="A1494" s="2" t="str">
        <f ca="1">IFERROR(__xludf.DUMMYFUNCTION("""COMPUTED_VALUE"""),"1755694367033")</f>
        <v>1755694367033</v>
      </c>
      <c r="B1494" s="2"/>
      <c r="C1494" s="2" t="str">
        <v>0</v>
      </c>
      <c r="D1494" s="2"/>
      <c r="F1494" s="2" t="str">
        <v>0</v>
      </c>
      <c r="I1494" s="2" t="str">
        <f ca="1">IFERROR(__xludf.DUMMYFUNCTION("""COMPUTED_VALUE"""),"Đoàn Hữu Tài")</f>
        <v>Đoàn Hữu Tài</v>
      </c>
      <c r="J1494" s="3" t="str">
        <f ca="1">IFERROR(__xludf.DUMMYFUNCTION("""COMPUTED_VALUE"""),"0932722516")</f>
        <v>0932722516</v>
      </c>
      <c r="K1494" s="2" t="str">
        <f ca="1">IFERROR(__xludf.DUMMYFUNCTION("""COMPUTED_VALUE"""),"1755694367033")</f>
        <v>1755694367033</v>
      </c>
    </row>
    <row r="1495" spans="1:11" ht="12.45">
      <c r="A1495" s="2" t="str">
        <f ca="1">IFERROR(__xludf.DUMMYFUNCTION("""COMPUTED_VALUE"""),"1755694414016")</f>
        <v>1755694414016</v>
      </c>
      <c r="B1495" s="2"/>
      <c r="C1495" s="2" t="str">
        <v>0</v>
      </c>
      <c r="D1495" s="2"/>
      <c r="F1495" s="2" t="str">
        <v>0</v>
      </c>
      <c r="I1495" s="2" t="str">
        <f ca="1">IFERROR(__xludf.DUMMYFUNCTION("""COMPUTED_VALUE"""),"Nguyễn Thị Hồng Trâm")</f>
        <v>Nguyễn Thị Hồng Trâm</v>
      </c>
      <c r="J1495" s="3" t="str">
        <f ca="1">IFERROR(__xludf.DUMMYFUNCTION("""COMPUTED_VALUE"""),"0977150547")</f>
        <v>0977150547</v>
      </c>
      <c r="K1495" s="2" t="str">
        <f ca="1">IFERROR(__xludf.DUMMYFUNCTION("""COMPUTED_VALUE"""),"1755694414016")</f>
        <v>1755694414016</v>
      </c>
    </row>
    <row r="1496" spans="1:11" ht="12.45">
      <c r="A1496" s="2" t="str">
        <f ca="1">IFERROR(__xludf.DUMMYFUNCTION("""COMPUTED_VALUE"""),"1755694453813")</f>
        <v>1755694453813</v>
      </c>
      <c r="B1496" s="2"/>
      <c r="C1496" s="2" t="str">
        <v>0</v>
      </c>
      <c r="D1496" s="2"/>
      <c r="F1496" s="2" t="str">
        <v>0</v>
      </c>
      <c r="I1496" s="2" t="str">
        <f ca="1">IFERROR(__xludf.DUMMYFUNCTION("""COMPUTED_VALUE"""),"Nguyễn Trần Thuỳ Linh")</f>
        <v>Nguyễn Trần Thuỳ Linh</v>
      </c>
      <c r="J1496" s="3" t="str">
        <f ca="1">IFERROR(__xludf.DUMMYFUNCTION("""COMPUTED_VALUE"""),"0325295430")</f>
        <v>0325295430</v>
      </c>
      <c r="K1496" s="2" t="str">
        <f ca="1">IFERROR(__xludf.DUMMYFUNCTION("""COMPUTED_VALUE"""),"1755694453813")</f>
        <v>1755694453813</v>
      </c>
    </row>
    <row r="1497" spans="1:11" ht="12.45">
      <c r="A1497" s="2" t="str">
        <f ca="1">IFERROR(__xludf.DUMMYFUNCTION("""COMPUTED_VALUE"""),"1755694483524")</f>
        <v>1755694483524</v>
      </c>
      <c r="B1497" s="2"/>
      <c r="C1497" s="2" t="str">
        <v>0</v>
      </c>
      <c r="D1497" s="2"/>
      <c r="F1497" s="2" t="str">
        <v>0</v>
      </c>
      <c r="I1497" s="2" t="str">
        <f ca="1">IFERROR(__xludf.DUMMYFUNCTION("""COMPUTED_VALUE"""),"Lê Phương Thảo ")</f>
        <v xml:space="preserve">Lê Phương Thảo </v>
      </c>
      <c r="J1497" s="3" t="str">
        <f ca="1">IFERROR(__xludf.DUMMYFUNCTION("""COMPUTED_VALUE"""),"0363644146")</f>
        <v>0363644146</v>
      </c>
      <c r="K1497" s="2" t="str">
        <f ca="1">IFERROR(__xludf.DUMMYFUNCTION("""COMPUTED_VALUE"""),"1755694483524")</f>
        <v>1755694483524</v>
      </c>
    </row>
    <row r="1498" spans="1:11" ht="12.45">
      <c r="A1498" s="2" t="str">
        <f ca="1">IFERROR(__xludf.DUMMYFUNCTION("""COMPUTED_VALUE"""),"1755694522010")</f>
        <v>1755694522010</v>
      </c>
      <c r="B1498" s="2"/>
      <c r="C1498" s="2" t="str">
        <v>0</v>
      </c>
      <c r="D1498" s="2"/>
      <c r="F1498" s="2" t="str">
        <v>0</v>
      </c>
      <c r="I1498" s="2" t="str">
        <f ca="1">IFERROR(__xludf.DUMMYFUNCTION("""COMPUTED_VALUE"""),"Nguyễn Duy Hưng")</f>
        <v>Nguyễn Duy Hưng</v>
      </c>
      <c r="J1498" s="3" t="str">
        <f ca="1">IFERROR(__xludf.DUMMYFUNCTION("""COMPUTED_VALUE"""),"0783717528")</f>
        <v>0783717528</v>
      </c>
      <c r="K1498" s="2" t="str">
        <f ca="1">IFERROR(__xludf.DUMMYFUNCTION("""COMPUTED_VALUE"""),"1755694522010")</f>
        <v>1755694522010</v>
      </c>
    </row>
    <row r="1499" spans="1:11" ht="12.45">
      <c r="A1499" s="2" t="str">
        <f ca="1">IFERROR(__xludf.DUMMYFUNCTION("""COMPUTED_VALUE"""),"1755694567340")</f>
        <v>1755694567340</v>
      </c>
      <c r="B1499" s="2"/>
      <c r="C1499" s="2" t="str">
        <v>0</v>
      </c>
      <c r="D1499" s="2"/>
      <c r="F1499" s="2" t="str">
        <v>0</v>
      </c>
      <c r="I1499" s="2" t="str">
        <f ca="1">IFERROR(__xludf.DUMMYFUNCTION("""COMPUTED_VALUE"""),"Đinh Ngọc Trâm")</f>
        <v>Đinh Ngọc Trâm</v>
      </c>
      <c r="J1499" s="3" t="str">
        <f ca="1">IFERROR(__xludf.DUMMYFUNCTION("""COMPUTED_VALUE"""),"0353121800")</f>
        <v>0353121800</v>
      </c>
      <c r="K1499" s="2" t="str">
        <f ca="1">IFERROR(__xludf.DUMMYFUNCTION("""COMPUTED_VALUE"""),"1755694567340")</f>
        <v>1755694567340</v>
      </c>
    </row>
    <row r="1500" spans="1:11" ht="12.45">
      <c r="A1500" s="2" t="str">
        <f ca="1">IFERROR(__xludf.DUMMYFUNCTION("""COMPUTED_VALUE"""),"1755694606703")</f>
        <v>1755694606703</v>
      </c>
      <c r="B1500" s="2"/>
      <c r="C1500" s="2" t="str">
        <v>0</v>
      </c>
      <c r="D1500" s="2"/>
      <c r="F1500" s="2" t="str">
        <v>0</v>
      </c>
      <c r="I1500" s="2" t="str">
        <f ca="1">IFERROR(__xludf.DUMMYFUNCTION("""COMPUTED_VALUE"""),"trần thuý vy")</f>
        <v>trần thuý vy</v>
      </c>
      <c r="J1500" s="3" t="str">
        <f ca="1">IFERROR(__xludf.DUMMYFUNCTION("""COMPUTED_VALUE"""),"0867094467")</f>
        <v>0867094467</v>
      </c>
      <c r="K1500" s="2" t="str">
        <f ca="1">IFERROR(__xludf.DUMMYFUNCTION("""COMPUTED_VALUE"""),"1755694606703")</f>
        <v>1755694606703</v>
      </c>
    </row>
    <row r="1501" spans="1:11" ht="12.45">
      <c r="A1501" s="2" t="str">
        <f ca="1">IFERROR(__xludf.DUMMYFUNCTION("""COMPUTED_VALUE"""),"Không giao sách")</f>
        <v>Không giao sách</v>
      </c>
      <c r="B1501" s="2"/>
      <c r="C1501" s="2" t="str">
        <v>0</v>
      </c>
      <c r="D1501" s="2"/>
      <c r="F1501" s="2" t="str">
        <v>0</v>
      </c>
      <c r="I1501" s="2" t="str">
        <f ca="1">IFERROR(__xludf.DUMMYFUNCTION("""COMPUTED_VALUE"""),"Nguyễn Đỗ Cát Thư ")</f>
        <v xml:space="preserve">Nguyễn Đỗ Cát Thư </v>
      </c>
      <c r="J1501" s="3" t="str">
        <f ca="1">IFERROR(__xludf.DUMMYFUNCTION("""COMPUTED_VALUE"""),"0974440324")</f>
        <v>0974440324</v>
      </c>
      <c r="K1501" s="2" t="str">
        <f ca="1">IFERROR(__xludf.DUMMYFUNCTION("""COMPUTED_VALUE"""),"Không giao sách")</f>
        <v>Không giao sách</v>
      </c>
    </row>
    <row r="1502" spans="1:11" ht="12.45">
      <c r="A1502" s="2" t="str">
        <f ca="1">IFERROR(__xludf.DUMMYFUNCTION("""COMPUTED_VALUE"""),"1755694649513")</f>
        <v>1755694649513</v>
      </c>
      <c r="B1502" s="2"/>
      <c r="C1502" s="2" t="str">
        <v>0</v>
      </c>
      <c r="D1502" s="2"/>
      <c r="F1502" s="2" t="str">
        <v>0</v>
      </c>
      <c r="I1502" s="2" t="str">
        <f ca="1">IFERROR(__xludf.DUMMYFUNCTION("""COMPUTED_VALUE"""),"Dương Minh Nguyệt")</f>
        <v>Dương Minh Nguyệt</v>
      </c>
      <c r="J1502" s="3" t="str">
        <f ca="1">IFERROR(__xludf.DUMMYFUNCTION("""COMPUTED_VALUE"""),"0397418388")</f>
        <v>0397418388</v>
      </c>
      <c r="K1502" s="2" t="str">
        <f ca="1">IFERROR(__xludf.DUMMYFUNCTION("""COMPUTED_VALUE"""),"1755694649513")</f>
        <v>1755694649513</v>
      </c>
    </row>
    <row r="1503" spans="1:11" ht="12.45">
      <c r="A1503" s="2" t="str">
        <f ca="1">IFERROR(__xludf.DUMMYFUNCTION("""COMPUTED_VALUE"""),"1755694689416")</f>
        <v>1755694689416</v>
      </c>
      <c r="B1503" s="2"/>
      <c r="C1503" s="2" t="str">
        <v>0</v>
      </c>
      <c r="D1503" s="2"/>
      <c r="F1503" s="2" t="str">
        <v>0</v>
      </c>
      <c r="I1503" s="2" t="str">
        <f ca="1">IFERROR(__xludf.DUMMYFUNCTION("""COMPUTED_VALUE"""),"Tô Thanh Ngọc")</f>
        <v>Tô Thanh Ngọc</v>
      </c>
      <c r="J1503" s="3" t="str">
        <f ca="1">IFERROR(__xludf.DUMMYFUNCTION("""COMPUTED_VALUE"""),"0896433116")</f>
        <v>0896433116</v>
      </c>
      <c r="K1503" s="2" t="str">
        <f ca="1">IFERROR(__xludf.DUMMYFUNCTION("""COMPUTED_VALUE"""),"1755694689416")</f>
        <v>1755694689416</v>
      </c>
    </row>
    <row r="1504" spans="1:11" ht="12.45">
      <c r="A1504" s="2" t="str">
        <f ca="1">IFERROR(__xludf.DUMMYFUNCTION("""COMPUTED_VALUE"""),"1755694736203")</f>
        <v>1755694736203</v>
      </c>
      <c r="B1504" s="2"/>
      <c r="C1504" s="2" t="str">
        <v>0</v>
      </c>
      <c r="D1504" s="2"/>
      <c r="F1504" s="2" t="str">
        <v>0</v>
      </c>
      <c r="I1504" s="2" t="str">
        <f ca="1">IFERROR(__xludf.DUMMYFUNCTION("""COMPUTED_VALUE"""),"Nguyễn Thị Hoa")</f>
        <v>Nguyễn Thị Hoa</v>
      </c>
      <c r="J1504" s="3" t="str">
        <f ca="1">IFERROR(__xludf.DUMMYFUNCTION("""COMPUTED_VALUE"""),"0398313116")</f>
        <v>0398313116</v>
      </c>
      <c r="K1504" s="2" t="str">
        <f ca="1">IFERROR(__xludf.DUMMYFUNCTION("""COMPUTED_VALUE"""),"1755694736203")</f>
        <v>1755694736203</v>
      </c>
    </row>
    <row r="1505" spans="1:11" ht="12.45">
      <c r="A1505" s="2" t="str">
        <f ca="1">IFERROR(__xludf.DUMMYFUNCTION("""COMPUTED_VALUE"""),"1755694769535")</f>
        <v>1755694769535</v>
      </c>
      <c r="B1505" s="2"/>
      <c r="C1505" s="2" t="str">
        <v>0</v>
      </c>
      <c r="D1505" s="2"/>
      <c r="F1505" s="2" t="str">
        <v>0</v>
      </c>
      <c r="I1505" s="2" t="str">
        <f ca="1">IFERROR(__xludf.DUMMYFUNCTION("""COMPUTED_VALUE"""),"Bùi Thị Ngân Hà")</f>
        <v>Bùi Thị Ngân Hà</v>
      </c>
      <c r="J1505" s="3" t="str">
        <f ca="1">IFERROR(__xludf.DUMMYFUNCTION("""COMPUTED_VALUE"""),"0949913245")</f>
        <v>0949913245</v>
      </c>
      <c r="K1505" s="2" t="str">
        <f ca="1">IFERROR(__xludf.DUMMYFUNCTION("""COMPUTED_VALUE"""),"1755694769535")</f>
        <v>1755694769535</v>
      </c>
    </row>
    <row r="1506" spans="1:11" ht="12.45">
      <c r="A1506" s="2" t="str">
        <f ca="1">IFERROR(__xludf.DUMMYFUNCTION("""COMPUTED_VALUE"""),"1755694803187")</f>
        <v>1755694803187</v>
      </c>
      <c r="B1506" s="2"/>
      <c r="C1506" s="2" t="str">
        <v>0</v>
      </c>
      <c r="D1506" s="2"/>
      <c r="F1506" s="2" t="str">
        <v>0</v>
      </c>
      <c r="I1506" s="2" t="str">
        <f ca="1">IFERROR(__xludf.DUMMYFUNCTION("""COMPUTED_VALUE"""),"PHẠM NGỌC LAN ")</f>
        <v xml:space="preserve">PHẠM NGỌC LAN </v>
      </c>
      <c r="J1506" s="3" t="str">
        <f ca="1">IFERROR(__xludf.DUMMYFUNCTION("""COMPUTED_VALUE"""),"0867550816")</f>
        <v>0867550816</v>
      </c>
      <c r="K1506" s="2" t="str">
        <f ca="1">IFERROR(__xludf.DUMMYFUNCTION("""COMPUTED_VALUE"""),"1755694803187")</f>
        <v>1755694803187</v>
      </c>
    </row>
    <row r="1507" spans="1:11" ht="12.45">
      <c r="A1507" s="2" t="str">
        <f ca="1">IFERROR(__xludf.DUMMYFUNCTION("""COMPUTED_VALUE"""),"1755694829131")</f>
        <v>1755694829131</v>
      </c>
      <c r="B1507" s="2"/>
      <c r="C1507" s="2" t="str">
        <v>0</v>
      </c>
      <c r="D1507" s="2"/>
      <c r="F1507" s="2" t="str">
        <v>0</v>
      </c>
      <c r="I1507" s="2" t="str">
        <f ca="1">IFERROR(__xludf.DUMMYFUNCTION("""COMPUTED_VALUE"""),"Đỗ Thị Ngọc Anh")</f>
        <v>Đỗ Thị Ngọc Anh</v>
      </c>
      <c r="J1507" s="3" t="str">
        <f ca="1">IFERROR(__xludf.DUMMYFUNCTION("""COMPUTED_VALUE"""),"0876125845")</f>
        <v>0876125845</v>
      </c>
      <c r="K1507" s="2" t="str">
        <f ca="1">IFERROR(__xludf.DUMMYFUNCTION("""COMPUTED_VALUE"""),"1755694829131")</f>
        <v>1755694829131</v>
      </c>
    </row>
    <row r="1508" spans="1:11" ht="12.45">
      <c r="A1508" s="2" t="str">
        <f ca="1">IFERROR(__xludf.DUMMYFUNCTION("""COMPUTED_VALUE"""),"1755694864334")</f>
        <v>1755694864334</v>
      </c>
      <c r="B1508" s="2"/>
      <c r="C1508" s="2" t="str">
        <v>0</v>
      </c>
      <c r="D1508" s="2"/>
      <c r="F1508" s="2" t="str">
        <v>0</v>
      </c>
      <c r="I1508" s="2" t="str">
        <f ca="1">IFERROR(__xludf.DUMMYFUNCTION("""COMPUTED_VALUE"""),"Đỗ Minh Nguyệt")</f>
        <v>Đỗ Minh Nguyệt</v>
      </c>
      <c r="J1508" s="3" t="str">
        <f ca="1">IFERROR(__xludf.DUMMYFUNCTION("""COMPUTED_VALUE"""),"0833738923")</f>
        <v>0833738923</v>
      </c>
      <c r="K1508" s="2" t="str">
        <f ca="1">IFERROR(__xludf.DUMMYFUNCTION("""COMPUTED_VALUE"""),"1755694864334")</f>
        <v>1755694864334</v>
      </c>
    </row>
    <row r="1509" spans="1:11" ht="12.45">
      <c r="A1509" s="2" t="str">
        <f ca="1">IFERROR(__xludf.DUMMYFUNCTION("""COMPUTED_VALUE"""),"1755694897687")</f>
        <v>1755694897687</v>
      </c>
      <c r="B1509" s="2"/>
      <c r="C1509" s="2" t="str">
        <v>0</v>
      </c>
      <c r="D1509" s="2"/>
      <c r="F1509" s="2" t="str">
        <v>0</v>
      </c>
      <c r="I1509" s="2" t="str">
        <f ca="1">IFERROR(__xludf.DUMMYFUNCTION("""COMPUTED_VALUE"""),"Hồ Quôc Khánh")</f>
        <v>Hồ Quôc Khánh</v>
      </c>
      <c r="J1509" s="3" t="str">
        <f ca="1">IFERROR(__xludf.DUMMYFUNCTION("""COMPUTED_VALUE"""),"0911147149")</f>
        <v>0911147149</v>
      </c>
      <c r="K1509" s="2" t="str">
        <f ca="1">IFERROR(__xludf.DUMMYFUNCTION("""COMPUTED_VALUE"""),"1755694897687")</f>
        <v>1755694897687</v>
      </c>
    </row>
    <row r="1510" spans="1:11" ht="12.45">
      <c r="A1510" s="2" t="str">
        <f ca="1">IFERROR(__xludf.DUMMYFUNCTION("""COMPUTED_VALUE"""),"1755694940974")</f>
        <v>1755694940974</v>
      </c>
      <c r="B1510" s="2"/>
      <c r="C1510" s="2" t="str">
        <v>0</v>
      </c>
      <c r="D1510" s="2"/>
      <c r="F1510" s="2" t="str">
        <v>0</v>
      </c>
      <c r="I1510" s="2" t="str">
        <f ca="1">IFERROR(__xludf.DUMMYFUNCTION("""COMPUTED_VALUE"""),"Nguyễn Yến Nhi ")</f>
        <v xml:space="preserve">Nguyễn Yến Nhi </v>
      </c>
      <c r="J1510" s="3" t="str">
        <f ca="1">IFERROR(__xludf.DUMMYFUNCTION("""COMPUTED_VALUE"""),"0943404718")</f>
        <v>0943404718</v>
      </c>
      <c r="K1510" s="2" t="str">
        <f ca="1">IFERROR(__xludf.DUMMYFUNCTION("""COMPUTED_VALUE"""),"1755694940974")</f>
        <v>1755694940974</v>
      </c>
    </row>
    <row r="1511" spans="1:11" ht="12.45">
      <c r="A1511" s="2" t="str">
        <f ca="1">IFERROR(__xludf.DUMMYFUNCTION("""COMPUTED_VALUE"""),"1755694976020")</f>
        <v>1755694976020</v>
      </c>
      <c r="B1511" s="2"/>
      <c r="C1511" s="2" t="str">
        <v>0</v>
      </c>
      <c r="D1511" s="2"/>
      <c r="F1511" s="2" t="str">
        <v>0</v>
      </c>
      <c r="I1511" s="2" t="str">
        <f ca="1">IFERROR(__xludf.DUMMYFUNCTION("""COMPUTED_VALUE"""),"Lê Ngọc Thuỷ Anh")</f>
        <v>Lê Ngọc Thuỷ Anh</v>
      </c>
      <c r="J1511" s="3" t="str">
        <f ca="1">IFERROR(__xludf.DUMMYFUNCTION("""COMPUTED_VALUE"""),"0973919123")</f>
        <v>0973919123</v>
      </c>
      <c r="K1511" s="2" t="str">
        <f ca="1">IFERROR(__xludf.DUMMYFUNCTION("""COMPUTED_VALUE"""),"1755694976020")</f>
        <v>1755694976020</v>
      </c>
    </row>
    <row r="1512" spans="1:11" ht="12.45">
      <c r="A1512" s="2" t="str">
        <f ca="1">IFERROR(__xludf.DUMMYFUNCTION("""COMPUTED_VALUE"""),"1755695012239")</f>
        <v>1755695012239</v>
      </c>
      <c r="B1512" s="2"/>
      <c r="C1512" s="2" t="str">
        <v>0</v>
      </c>
      <c r="D1512" s="2"/>
      <c r="F1512" s="2" t="str">
        <v>0</v>
      </c>
      <c r="I1512" s="2" t="str">
        <f ca="1">IFERROR(__xludf.DUMMYFUNCTION("""COMPUTED_VALUE"""),"Phạm Huỳnh Trâm Anh")</f>
        <v>Phạm Huỳnh Trâm Anh</v>
      </c>
      <c r="J1512" s="3" t="str">
        <f ca="1">IFERROR(__xludf.DUMMYFUNCTION("""COMPUTED_VALUE"""),"0898438265")</f>
        <v>0898438265</v>
      </c>
      <c r="K1512" s="2" t="str">
        <f ca="1">IFERROR(__xludf.DUMMYFUNCTION("""COMPUTED_VALUE"""),"1755695012239")</f>
        <v>1755695012239</v>
      </c>
    </row>
    <row r="1513" spans="1:11" ht="12.45">
      <c r="A1513" s="2" t="str">
        <f ca="1">IFERROR(__xludf.DUMMYFUNCTION("""COMPUTED_VALUE"""),"1755695055383")</f>
        <v>1755695055383</v>
      </c>
      <c r="B1513" s="2"/>
      <c r="C1513" s="2" t="str">
        <v>0</v>
      </c>
      <c r="D1513" s="2"/>
      <c r="F1513" s="2" t="str">
        <v>0</v>
      </c>
      <c r="I1513" s="2" t="str">
        <f ca="1">IFERROR(__xludf.DUMMYFUNCTION("""COMPUTED_VALUE"""),"Tống Nguyễn Hồng Quyên")</f>
        <v>Tống Nguyễn Hồng Quyên</v>
      </c>
      <c r="J1513" s="3" t="str">
        <f ca="1">IFERROR(__xludf.DUMMYFUNCTION("""COMPUTED_VALUE"""),"0386805016")</f>
        <v>0386805016</v>
      </c>
      <c r="K1513" s="2" t="str">
        <f ca="1">IFERROR(__xludf.DUMMYFUNCTION("""COMPUTED_VALUE"""),"1755695055383")</f>
        <v>1755695055383</v>
      </c>
    </row>
    <row r="1514" spans="1:11" ht="12.45">
      <c r="A1514" s="2" t="str">
        <f ca="1">IFERROR(__xludf.DUMMYFUNCTION("""COMPUTED_VALUE"""),"1755695087245")</f>
        <v>1755695087245</v>
      </c>
      <c r="B1514" s="2"/>
      <c r="C1514" s="2" t="str">
        <v>0</v>
      </c>
      <c r="D1514" s="2"/>
      <c r="F1514" s="2" t="str">
        <v>0</v>
      </c>
      <c r="I1514" s="2" t="str">
        <f ca="1">IFERROR(__xludf.DUMMYFUNCTION("""COMPUTED_VALUE"""),"Nguyễn Thảo Hiền")</f>
        <v>Nguyễn Thảo Hiền</v>
      </c>
      <c r="J1514" s="3" t="str">
        <f ca="1">IFERROR(__xludf.DUMMYFUNCTION("""COMPUTED_VALUE"""),"0966847072")</f>
        <v>0966847072</v>
      </c>
      <c r="K1514" s="2" t="str">
        <f ca="1">IFERROR(__xludf.DUMMYFUNCTION("""COMPUTED_VALUE"""),"1755695087245")</f>
        <v>1755695087245</v>
      </c>
    </row>
    <row r="1515" spans="1:11" ht="12.45">
      <c r="A1515" s="2" t="str">
        <f ca="1">IFERROR(__xludf.DUMMYFUNCTION("""COMPUTED_VALUE"""),"1755695125208")</f>
        <v>1755695125208</v>
      </c>
      <c r="B1515" s="2"/>
      <c r="C1515" s="2" t="str">
        <v>0</v>
      </c>
      <c r="D1515" s="2"/>
      <c r="F1515" s="2" t="str">
        <v>0</v>
      </c>
      <c r="I1515" s="2" t="str">
        <f ca="1">IFERROR(__xludf.DUMMYFUNCTION("""COMPUTED_VALUE"""),"Trần Thị Mỹ Linh ")</f>
        <v xml:space="preserve">Trần Thị Mỹ Linh </v>
      </c>
      <c r="J1515" s="3" t="str">
        <f ca="1">IFERROR(__xludf.DUMMYFUNCTION("""COMPUTED_VALUE"""),"0353878246")</f>
        <v>0353878246</v>
      </c>
      <c r="K1515" s="2" t="str">
        <f ca="1">IFERROR(__xludf.DUMMYFUNCTION("""COMPUTED_VALUE"""),"1755695125208")</f>
        <v>1755695125208</v>
      </c>
    </row>
    <row r="1516" spans="1:11" ht="12.45">
      <c r="A1516" s="2" t="str">
        <f ca="1">IFERROR(__xludf.DUMMYFUNCTION("""COMPUTED_VALUE"""),"1755695150270")</f>
        <v>1755695150270</v>
      </c>
      <c r="B1516" s="2"/>
      <c r="C1516" s="2" t="str">
        <v>0</v>
      </c>
      <c r="D1516" s="2"/>
      <c r="F1516" s="2" t="str">
        <v>0</v>
      </c>
      <c r="I1516" s="2" t="str">
        <f ca="1">IFERROR(__xludf.DUMMYFUNCTION("""COMPUTED_VALUE"""),"Nguyễn Đỗ Phương Tú ")</f>
        <v xml:space="preserve">Nguyễn Đỗ Phương Tú </v>
      </c>
      <c r="J1516" s="3" t="str">
        <f ca="1">IFERROR(__xludf.DUMMYFUNCTION("""COMPUTED_VALUE"""),"0368233098")</f>
        <v>0368233098</v>
      </c>
      <c r="K1516" s="2" t="str">
        <f ca="1">IFERROR(__xludf.DUMMYFUNCTION("""COMPUTED_VALUE"""),"1755695150270")</f>
        <v>1755695150270</v>
      </c>
    </row>
    <row r="1517" spans="1:11" ht="12.45">
      <c r="A1517" s="2" t="str">
        <f ca="1">IFERROR(__xludf.DUMMYFUNCTION("""COMPUTED_VALUE"""),"1755695184268")</f>
        <v>1755695184268</v>
      </c>
      <c r="B1517" s="2"/>
      <c r="C1517" s="2" t="str">
        <v>0</v>
      </c>
      <c r="D1517" s="2"/>
      <c r="F1517" s="2" t="str">
        <v>0</v>
      </c>
      <c r="I1517" s="2" t="str">
        <f ca="1">IFERROR(__xludf.DUMMYFUNCTION("""COMPUTED_VALUE"""),"Nguyễn Tuấn Khang")</f>
        <v>Nguyễn Tuấn Khang</v>
      </c>
      <c r="J1517" s="3" t="str">
        <f ca="1">IFERROR(__xludf.DUMMYFUNCTION("""COMPUTED_VALUE"""),"0947213659")</f>
        <v>0947213659</v>
      </c>
      <c r="K1517" s="2" t="str">
        <f ca="1">IFERROR(__xludf.DUMMYFUNCTION("""COMPUTED_VALUE"""),"1755695184268")</f>
        <v>1755695184268</v>
      </c>
    </row>
    <row r="1518" spans="1:11" ht="12.45">
      <c r="A1518" s="2" t="str">
        <f ca="1">IFERROR(__xludf.DUMMYFUNCTION("""COMPUTED_VALUE"""),"1755695217172")</f>
        <v>1755695217172</v>
      </c>
      <c r="B1518" s="2"/>
      <c r="C1518" s="2" t="str">
        <v>0</v>
      </c>
      <c r="D1518" s="2"/>
      <c r="F1518" s="2" t="str">
        <v>0</v>
      </c>
      <c r="I1518" s="2" t="str">
        <f ca="1">IFERROR(__xludf.DUMMYFUNCTION("""COMPUTED_VALUE"""),"Nguyễn Thị Trà My")</f>
        <v>Nguyễn Thị Trà My</v>
      </c>
      <c r="J1518" s="3" t="str">
        <f ca="1">IFERROR(__xludf.DUMMYFUNCTION("""COMPUTED_VALUE"""),"0979734115")</f>
        <v>0979734115</v>
      </c>
      <c r="K1518" s="2" t="str">
        <f ca="1">IFERROR(__xludf.DUMMYFUNCTION("""COMPUTED_VALUE"""),"1755695217172")</f>
        <v>1755695217172</v>
      </c>
    </row>
    <row r="1519" spans="1:11" ht="12.45">
      <c r="A1519" s="2" t="str">
        <f ca="1">IFERROR(__xludf.DUMMYFUNCTION("""COMPUTED_VALUE"""),"1755695253000")</f>
        <v>1755695253000</v>
      </c>
      <c r="B1519" s="2"/>
      <c r="C1519" s="2" t="str">
        <v>0</v>
      </c>
      <c r="D1519" s="2"/>
      <c r="F1519" s="2" t="str">
        <v>0</v>
      </c>
      <c r="I1519" s="2" t="str">
        <f ca="1">IFERROR(__xludf.DUMMYFUNCTION("""COMPUTED_VALUE"""),"Đỗ Quang Huy ")</f>
        <v xml:space="preserve">Đỗ Quang Huy </v>
      </c>
      <c r="J1519" s="3" t="str">
        <f ca="1">IFERROR(__xludf.DUMMYFUNCTION("""COMPUTED_VALUE"""),"0389591092")</f>
        <v>0389591092</v>
      </c>
      <c r="K1519" s="2" t="str">
        <f ca="1">IFERROR(__xludf.DUMMYFUNCTION("""COMPUTED_VALUE"""),"1755695253000")</f>
        <v>1755695253000</v>
      </c>
    </row>
    <row r="1520" spans="1:11" ht="12.45">
      <c r="A1520" s="2" t="str">
        <f ca="1">IFERROR(__xludf.DUMMYFUNCTION("""COMPUTED_VALUE"""),"1755695283516")</f>
        <v>1755695283516</v>
      </c>
      <c r="B1520" s="2"/>
      <c r="C1520" s="2" t="str">
        <v>0</v>
      </c>
      <c r="D1520" s="2"/>
      <c r="F1520" s="2" t="str">
        <v>0</v>
      </c>
      <c r="I1520" s="2" t="str">
        <f ca="1">IFERROR(__xludf.DUMMYFUNCTION("""COMPUTED_VALUE"""),"Đào Thị Tố Uyên")</f>
        <v>Đào Thị Tố Uyên</v>
      </c>
      <c r="J1520" s="3" t="str">
        <f ca="1">IFERROR(__xludf.DUMMYFUNCTION("""COMPUTED_VALUE"""),"0866080407")</f>
        <v>0866080407</v>
      </c>
      <c r="K1520" s="2" t="str">
        <f ca="1">IFERROR(__xludf.DUMMYFUNCTION("""COMPUTED_VALUE"""),"1755695283516")</f>
        <v>1755695283516</v>
      </c>
    </row>
    <row r="1521" spans="1:11" ht="12.45">
      <c r="A1521" s="2" t="str">
        <f ca="1">IFERROR(__xludf.DUMMYFUNCTION("""COMPUTED_VALUE"""),"1755695319222")</f>
        <v>1755695319222</v>
      </c>
      <c r="B1521" s="2"/>
      <c r="C1521" s="2" t="str">
        <v>0</v>
      </c>
      <c r="D1521" s="2"/>
      <c r="F1521" s="2" t="str">
        <v>0</v>
      </c>
      <c r="I1521" s="2" t="str">
        <f ca="1">IFERROR(__xludf.DUMMYFUNCTION("""COMPUTED_VALUE"""),"Trịnh Thị Thanh Mai")</f>
        <v>Trịnh Thị Thanh Mai</v>
      </c>
      <c r="J1521" s="3" t="str">
        <f ca="1">IFERROR(__xludf.DUMMYFUNCTION("""COMPUTED_VALUE"""),"0384670749")</f>
        <v>0384670749</v>
      </c>
      <c r="K1521" s="2" t="str">
        <f ca="1">IFERROR(__xludf.DUMMYFUNCTION("""COMPUTED_VALUE"""),"1755695319222")</f>
        <v>1755695319222</v>
      </c>
    </row>
    <row r="1522" spans="1:11" ht="12.45">
      <c r="A1522" s="2" t="str">
        <f ca="1">IFERROR(__xludf.DUMMYFUNCTION("""COMPUTED_VALUE"""),"1755695351230")</f>
        <v>1755695351230</v>
      </c>
      <c r="B1522" s="2"/>
      <c r="C1522" s="2" t="str">
        <v>0</v>
      </c>
      <c r="D1522" s="2"/>
      <c r="F1522" s="2" t="str">
        <v>0</v>
      </c>
      <c r="I1522" s="2" t="str">
        <f ca="1">IFERROR(__xludf.DUMMYFUNCTION("""COMPUTED_VALUE"""),"Lê thị huệ ")</f>
        <v xml:space="preserve">Lê thị huệ </v>
      </c>
      <c r="J1522" s="3" t="str">
        <f ca="1">IFERROR(__xludf.DUMMYFUNCTION("""COMPUTED_VALUE"""),"0377538958")</f>
        <v>0377538958</v>
      </c>
      <c r="K1522" s="2" t="str">
        <f ca="1">IFERROR(__xludf.DUMMYFUNCTION("""COMPUTED_VALUE"""),"1755695351230")</f>
        <v>1755695351230</v>
      </c>
    </row>
    <row r="1523" spans="1:11" ht="12.45">
      <c r="A1523" s="2" t="str">
        <f ca="1">IFERROR(__xludf.DUMMYFUNCTION("""COMPUTED_VALUE"""),"1755695388085")</f>
        <v>1755695388085</v>
      </c>
      <c r="B1523" s="2"/>
      <c r="C1523" s="2" t="str">
        <v>0</v>
      </c>
      <c r="D1523" s="2"/>
      <c r="F1523" s="2" t="str">
        <v>0</v>
      </c>
      <c r="I1523" s="2" t="str">
        <f ca="1">IFERROR(__xludf.DUMMYFUNCTION("""COMPUTED_VALUE"""),"Sạch Thuỳ Trâm")</f>
        <v>Sạch Thuỳ Trâm</v>
      </c>
      <c r="J1523" s="3" t="str">
        <f ca="1">IFERROR(__xludf.DUMMYFUNCTION("""COMPUTED_VALUE"""),"0327536656")</f>
        <v>0327536656</v>
      </c>
      <c r="K1523" s="2" t="str">
        <f ca="1">IFERROR(__xludf.DUMMYFUNCTION("""COMPUTED_VALUE"""),"1755695388085")</f>
        <v>1755695388085</v>
      </c>
    </row>
    <row r="1524" spans="1:11" ht="12.45">
      <c r="A1524" s="2" t="str">
        <f ca="1">IFERROR(__xludf.DUMMYFUNCTION("""COMPUTED_VALUE"""),"1755695420291")</f>
        <v>1755695420291</v>
      </c>
      <c r="B1524" s="2"/>
      <c r="C1524" s="2" t="str">
        <v>0</v>
      </c>
      <c r="D1524" s="2"/>
      <c r="F1524" s="2" t="str">
        <v>0</v>
      </c>
      <c r="I1524" s="2" t="str">
        <f ca="1">IFERROR(__xludf.DUMMYFUNCTION("""COMPUTED_VALUE"""),"Đinh Thùy Dung")</f>
        <v>Đinh Thùy Dung</v>
      </c>
      <c r="J1524" s="3" t="str">
        <f ca="1">IFERROR(__xludf.DUMMYFUNCTION("""COMPUTED_VALUE"""),"0335604163")</f>
        <v>0335604163</v>
      </c>
      <c r="K1524" s="2" t="str">
        <f ca="1">IFERROR(__xludf.DUMMYFUNCTION("""COMPUTED_VALUE"""),"1755695420291")</f>
        <v>1755695420291</v>
      </c>
    </row>
    <row r="1525" spans="1:11" ht="12.45">
      <c r="A1525" s="2" t="str">
        <f ca="1">IFERROR(__xludf.DUMMYFUNCTION("""COMPUTED_VALUE"""),"1755695478225")</f>
        <v>1755695478225</v>
      </c>
      <c r="B1525" s="2"/>
      <c r="C1525" s="2" t="str">
        <v>0</v>
      </c>
      <c r="D1525" s="2"/>
      <c r="F1525" s="2" t="str">
        <v>0</v>
      </c>
      <c r="I1525" s="2" t="str">
        <f ca="1">IFERROR(__xludf.DUMMYFUNCTION("""COMPUTED_VALUE"""),"Quỳnh Như")</f>
        <v>Quỳnh Như</v>
      </c>
      <c r="J1525" s="3" t="str">
        <f ca="1">IFERROR(__xludf.DUMMYFUNCTION("""COMPUTED_VALUE"""),"0898360207")</f>
        <v>0898360207</v>
      </c>
      <c r="K1525" s="2" t="str">
        <f ca="1">IFERROR(__xludf.DUMMYFUNCTION("""COMPUTED_VALUE"""),"1755695478225")</f>
        <v>1755695478225</v>
      </c>
    </row>
    <row r="1526" spans="1:11" ht="12.45">
      <c r="A1526" s="2" t="str">
        <f ca="1">IFERROR(__xludf.DUMMYFUNCTION("""COMPUTED_VALUE"""),"1755695522047")</f>
        <v>1755695522047</v>
      </c>
      <c r="B1526" s="2"/>
      <c r="C1526" s="2" t="str">
        <v>0</v>
      </c>
      <c r="D1526" s="2"/>
      <c r="F1526" s="2" t="str">
        <v>0</v>
      </c>
      <c r="I1526" s="2" t="str">
        <f ca="1">IFERROR(__xludf.DUMMYFUNCTION("""COMPUTED_VALUE"""),"Ngô Vũ Hà Phương")</f>
        <v>Ngô Vũ Hà Phương</v>
      </c>
      <c r="J1526" s="3" t="str">
        <f ca="1">IFERROR(__xludf.DUMMYFUNCTION("""COMPUTED_VALUE"""),"0965204588")</f>
        <v>0965204588</v>
      </c>
      <c r="K1526" s="2" t="str">
        <f ca="1">IFERROR(__xludf.DUMMYFUNCTION("""COMPUTED_VALUE"""),"1755695522047")</f>
        <v>1755695522047</v>
      </c>
    </row>
    <row r="1527" spans="1:11" ht="12.45">
      <c r="A1527" s="2" t="str">
        <f ca="1">IFERROR(__xludf.DUMMYFUNCTION("""COMPUTED_VALUE"""),"1755695568642")</f>
        <v>1755695568642</v>
      </c>
      <c r="B1527" s="2"/>
      <c r="C1527" s="2" t="str">
        <v>0</v>
      </c>
      <c r="D1527" s="2"/>
      <c r="F1527" s="2" t="str">
        <v>0</v>
      </c>
      <c r="I1527" s="2" t="str">
        <f ca="1">IFERROR(__xludf.DUMMYFUNCTION("""COMPUTED_VALUE"""),"Vũ Thị Phương Thùy ")</f>
        <v xml:space="preserve">Vũ Thị Phương Thùy </v>
      </c>
      <c r="J1527" s="3" t="str">
        <f ca="1">IFERROR(__xludf.DUMMYFUNCTION("""COMPUTED_VALUE"""),"0856864916")</f>
        <v>0856864916</v>
      </c>
      <c r="K1527" s="2" t="str">
        <f ca="1">IFERROR(__xludf.DUMMYFUNCTION("""COMPUTED_VALUE"""),"1755695568642")</f>
        <v>1755695568642</v>
      </c>
    </row>
    <row r="1528" spans="1:11" ht="12.45">
      <c r="A1528" s="2" t="str">
        <f ca="1">IFERROR(__xludf.DUMMYFUNCTION("""COMPUTED_VALUE"""),"1755695607220")</f>
        <v>1755695607220</v>
      </c>
      <c r="B1528" s="2"/>
      <c r="C1528" s="2" t="str">
        <v>0</v>
      </c>
      <c r="D1528" s="2"/>
      <c r="F1528" s="2" t="str">
        <v>0</v>
      </c>
      <c r="I1528" s="2" t="str">
        <f ca="1">IFERROR(__xludf.DUMMYFUNCTION("""COMPUTED_VALUE"""),"Đào Phương Anh")</f>
        <v>Đào Phương Anh</v>
      </c>
      <c r="J1528" s="3" t="str">
        <f ca="1">IFERROR(__xludf.DUMMYFUNCTION("""COMPUTED_VALUE"""),"0394423975")</f>
        <v>0394423975</v>
      </c>
      <c r="K1528" s="2" t="str">
        <f ca="1">IFERROR(__xludf.DUMMYFUNCTION("""COMPUTED_VALUE"""),"1755695607220")</f>
        <v>1755695607220</v>
      </c>
    </row>
    <row r="1529" spans="1:11" ht="12.45">
      <c r="A1529" s="2" t="str">
        <f ca="1">IFERROR(__xludf.DUMMYFUNCTION("""COMPUTED_VALUE"""),"1755695647539")</f>
        <v>1755695647539</v>
      </c>
      <c r="B1529" s="2"/>
      <c r="C1529" s="2" t="str">
        <v>0</v>
      </c>
      <c r="D1529" s="2"/>
      <c r="F1529" s="2" t="str">
        <v>0</v>
      </c>
      <c r="I1529" s="2" t="str">
        <f ca="1">IFERROR(__xludf.DUMMYFUNCTION("""COMPUTED_VALUE"""),"Nguyễn Trần Thuỷ Vy")</f>
        <v>Nguyễn Trần Thuỷ Vy</v>
      </c>
      <c r="J1529" s="3" t="str">
        <f ca="1">IFERROR(__xludf.DUMMYFUNCTION("""COMPUTED_VALUE"""),"0943617116")</f>
        <v>0943617116</v>
      </c>
      <c r="K1529" s="2" t="str">
        <f ca="1">IFERROR(__xludf.DUMMYFUNCTION("""COMPUTED_VALUE"""),"1755695647539")</f>
        <v>1755695647539</v>
      </c>
    </row>
    <row r="1530" spans="1:11" ht="12.45">
      <c r="A1530" s="2" t="str">
        <f ca="1">IFERROR(__xludf.DUMMYFUNCTION("""COMPUTED_VALUE"""),"1755695691077")</f>
        <v>1755695691077</v>
      </c>
      <c r="B1530" s="2"/>
      <c r="C1530" s="2" t="str">
        <v>0</v>
      </c>
      <c r="D1530" s="2"/>
      <c r="F1530" s="2" t="str">
        <v>0</v>
      </c>
      <c r="I1530" s="2" t="str">
        <f ca="1">IFERROR(__xludf.DUMMYFUNCTION("""COMPUTED_VALUE"""),"Trần Thuỷ Tiên")</f>
        <v>Trần Thuỷ Tiên</v>
      </c>
      <c r="J1530" s="3" t="str">
        <f ca="1">IFERROR(__xludf.DUMMYFUNCTION("""COMPUTED_VALUE"""),"0334618717")</f>
        <v>0334618717</v>
      </c>
      <c r="K1530" s="2" t="str">
        <f ca="1">IFERROR(__xludf.DUMMYFUNCTION("""COMPUTED_VALUE"""),"1755695691077")</f>
        <v>1755695691077</v>
      </c>
    </row>
    <row r="1531" spans="1:11" ht="12.45">
      <c r="A1531" s="2" t="str">
        <f ca="1">IFERROR(__xludf.DUMMYFUNCTION("""COMPUTED_VALUE"""),"1755695733982")</f>
        <v>1755695733982</v>
      </c>
      <c r="B1531" s="2"/>
      <c r="C1531" s="2" t="str">
        <v>0</v>
      </c>
      <c r="D1531" s="2"/>
      <c r="F1531" s="2" t="str">
        <v>0</v>
      </c>
      <c r="I1531" s="2" t="str">
        <f ca="1">IFERROR(__xludf.DUMMYFUNCTION("""COMPUTED_VALUE"""),"Nguyễn thị phương ")</f>
        <v xml:space="preserve">Nguyễn thị phương </v>
      </c>
      <c r="J1531" s="3" t="str">
        <f ca="1">IFERROR(__xludf.DUMMYFUNCTION("""COMPUTED_VALUE"""),"0848680456")</f>
        <v>0848680456</v>
      </c>
      <c r="K1531" s="2" t="str">
        <f ca="1">IFERROR(__xludf.DUMMYFUNCTION("""COMPUTED_VALUE"""),"1755695733982")</f>
        <v>1755695733982</v>
      </c>
    </row>
    <row r="1532" spans="1:11" ht="12.45">
      <c r="A1532" s="2" t="str">
        <f ca="1">IFERROR(__xludf.DUMMYFUNCTION("""COMPUTED_VALUE"""),"1755695762984")</f>
        <v>1755695762984</v>
      </c>
      <c r="B1532" s="2"/>
      <c r="C1532" s="2" t="str">
        <v>0</v>
      </c>
      <c r="D1532" s="2"/>
      <c r="F1532" s="2" t="str">
        <v>0</v>
      </c>
      <c r="I1532" s="2" t="str">
        <f ca="1">IFERROR(__xludf.DUMMYFUNCTION("""COMPUTED_VALUE"""),"Đào Thị Bích Ngọc")</f>
        <v>Đào Thị Bích Ngọc</v>
      </c>
      <c r="J1532" s="3" t="str">
        <f ca="1">IFERROR(__xludf.DUMMYFUNCTION("""COMPUTED_VALUE"""),"0397290058")</f>
        <v>0397290058</v>
      </c>
      <c r="K1532" s="2" t="str">
        <f ca="1">IFERROR(__xludf.DUMMYFUNCTION("""COMPUTED_VALUE"""),"1755695762984")</f>
        <v>1755695762984</v>
      </c>
    </row>
    <row r="1533" spans="1:11" ht="12.45">
      <c r="A1533" s="2" t="str">
        <f ca="1">IFERROR(__xludf.DUMMYFUNCTION("""COMPUTED_VALUE"""),"1755695794886")</f>
        <v>1755695794886</v>
      </c>
      <c r="B1533" s="2"/>
      <c r="C1533" s="2" t="str">
        <v>0</v>
      </c>
      <c r="D1533" s="2"/>
      <c r="F1533" s="2" t="str">
        <v>0</v>
      </c>
      <c r="I1533" s="2" t="str">
        <f ca="1">IFERROR(__xludf.DUMMYFUNCTION("""COMPUTED_VALUE"""),"Mai Phương Thảo ")</f>
        <v xml:space="preserve">Mai Phương Thảo </v>
      </c>
      <c r="J1533" s="3" t="str">
        <f ca="1">IFERROR(__xludf.DUMMYFUNCTION("""COMPUTED_VALUE"""),"0947471134")</f>
        <v>0947471134</v>
      </c>
      <c r="K1533" s="2" t="str">
        <f ca="1">IFERROR(__xludf.DUMMYFUNCTION("""COMPUTED_VALUE"""),"1755695794886")</f>
        <v>1755695794886</v>
      </c>
    </row>
    <row r="1534" spans="1:11" ht="12.45">
      <c r="A1534" s="2" t="str">
        <f ca="1">IFERROR(__xludf.DUMMYFUNCTION("""COMPUTED_VALUE"""),"1755695827590")</f>
        <v>1755695827590</v>
      </c>
      <c r="B1534" s="2"/>
      <c r="C1534" s="2" t="str">
        <v>0</v>
      </c>
      <c r="D1534" s="2"/>
      <c r="F1534" s="2" t="str">
        <v>0</v>
      </c>
      <c r="I1534" s="2" t="str">
        <f ca="1">IFERROR(__xludf.DUMMYFUNCTION("""COMPUTED_VALUE"""),"Nguyễn Vân Trang")</f>
        <v>Nguyễn Vân Trang</v>
      </c>
      <c r="J1534" s="3" t="str">
        <f ca="1">IFERROR(__xludf.DUMMYFUNCTION("""COMPUTED_VALUE"""),"0975029635")</f>
        <v>0975029635</v>
      </c>
      <c r="K1534" s="2" t="str">
        <f ca="1">IFERROR(__xludf.DUMMYFUNCTION("""COMPUTED_VALUE"""),"1755695827590")</f>
        <v>1755695827590</v>
      </c>
    </row>
    <row r="1535" spans="1:11" ht="12.45">
      <c r="A1535" s="2" t="str">
        <f ca="1">IFERROR(__xludf.DUMMYFUNCTION("""COMPUTED_VALUE"""),"1755695882500")</f>
        <v>1755695882500</v>
      </c>
      <c r="B1535" s="2"/>
      <c r="C1535" s="2" t="str">
        <v>0</v>
      </c>
      <c r="D1535" s="2"/>
      <c r="F1535" s="2" t="str">
        <v>0</v>
      </c>
      <c r="I1535" s="2" t="str">
        <f ca="1">IFERROR(__xludf.DUMMYFUNCTION("""COMPUTED_VALUE"""),"Nguyễn Ngọc Lan Anh")</f>
        <v>Nguyễn Ngọc Lan Anh</v>
      </c>
      <c r="J1535" s="3" t="str">
        <f ca="1">IFERROR(__xludf.DUMMYFUNCTION("""COMPUTED_VALUE"""),"0987814853")</f>
        <v>0987814853</v>
      </c>
      <c r="K1535" s="2" t="str">
        <f ca="1">IFERROR(__xludf.DUMMYFUNCTION("""COMPUTED_VALUE"""),"1755695882500")</f>
        <v>1755695882500</v>
      </c>
    </row>
    <row r="1536" spans="1:11" ht="12.45">
      <c r="A1536" s="2" t="str">
        <f ca="1">IFERROR(__xludf.DUMMYFUNCTION("""COMPUTED_VALUE"""),"1755695929904")</f>
        <v>1755695929904</v>
      </c>
      <c r="B1536" s="2"/>
      <c r="C1536" s="2" t="str">
        <v>0</v>
      </c>
      <c r="D1536" s="2"/>
      <c r="F1536" s="2" t="str">
        <v>0</v>
      </c>
      <c r="I1536" s="2" t="str">
        <f ca="1">IFERROR(__xludf.DUMMYFUNCTION("""COMPUTED_VALUE"""),"Phạm Thu Trà ")</f>
        <v xml:space="preserve">Phạm Thu Trà </v>
      </c>
      <c r="J1536" s="3" t="str">
        <f ca="1">IFERROR(__xludf.DUMMYFUNCTION("""COMPUTED_VALUE"""),"0963413936")</f>
        <v>0963413936</v>
      </c>
      <c r="K1536" s="2" t="str">
        <f ca="1">IFERROR(__xludf.DUMMYFUNCTION("""COMPUTED_VALUE"""),"1755695929904")</f>
        <v>1755695929904</v>
      </c>
    </row>
    <row r="1537" spans="1:11" ht="12.45">
      <c r="A1537" s="2" t="str">
        <f ca="1">IFERROR(__xludf.DUMMYFUNCTION("""COMPUTED_VALUE"""),"1755695960225")</f>
        <v>1755695960225</v>
      </c>
      <c r="B1537" s="2"/>
      <c r="C1537" s="2" t="str">
        <v>0</v>
      </c>
      <c r="D1537" s="2"/>
      <c r="F1537" s="2" t="str">
        <v>0</v>
      </c>
      <c r="I1537" s="2" t="str">
        <f ca="1">IFERROR(__xludf.DUMMYFUNCTION("""COMPUTED_VALUE"""),"HUỲNH LINH ĐAN ")</f>
        <v xml:space="preserve">HUỲNH LINH ĐAN </v>
      </c>
      <c r="J1537" s="3" t="str">
        <f ca="1">IFERROR(__xludf.DUMMYFUNCTION("""COMPUTED_VALUE"""),"0989568661")</f>
        <v>0989568661</v>
      </c>
      <c r="K1537" s="2" t="str">
        <f ca="1">IFERROR(__xludf.DUMMYFUNCTION("""COMPUTED_VALUE"""),"1755695960225")</f>
        <v>1755695960225</v>
      </c>
    </row>
    <row r="1538" spans="1:11" ht="12.45">
      <c r="A1538" s="2" t="str">
        <f ca="1">IFERROR(__xludf.DUMMYFUNCTION("""COMPUTED_VALUE"""),"1755695993452")</f>
        <v>1755695993452</v>
      </c>
      <c r="B1538" s="2"/>
      <c r="C1538" s="2" t="str">
        <v>0</v>
      </c>
      <c r="D1538" s="2"/>
      <c r="F1538" s="2" t="str">
        <v>0</v>
      </c>
      <c r="I1538" s="2" t="str">
        <f ca="1">IFERROR(__xludf.DUMMYFUNCTION("""COMPUTED_VALUE"""),"Bùi Thị Lan Hương")</f>
        <v>Bùi Thị Lan Hương</v>
      </c>
      <c r="J1538" s="3" t="str">
        <f ca="1">IFERROR(__xludf.DUMMYFUNCTION("""COMPUTED_VALUE"""),"0837177335")</f>
        <v>0837177335</v>
      </c>
      <c r="K1538" s="2" t="str">
        <f ca="1">IFERROR(__xludf.DUMMYFUNCTION("""COMPUTED_VALUE"""),"1755695993452")</f>
        <v>1755695993452</v>
      </c>
    </row>
    <row r="1539" spans="1:11" ht="12.45">
      <c r="A1539" s="2" t="str">
        <f ca="1">IFERROR(__xludf.DUMMYFUNCTION("""COMPUTED_VALUE"""),"1755696073350")</f>
        <v>1755696073350</v>
      </c>
      <c r="B1539" s="2"/>
      <c r="C1539" s="2" t="str">
        <v>0</v>
      </c>
      <c r="D1539" s="2"/>
      <c r="F1539" s="2" t="str">
        <v>0</v>
      </c>
      <c r="I1539" s="2" t="str">
        <f ca="1">IFERROR(__xludf.DUMMYFUNCTION("""COMPUTED_VALUE"""),"Trần Thị Như Quỳnh")</f>
        <v>Trần Thị Như Quỳnh</v>
      </c>
      <c r="J1539" s="3" t="str">
        <f ca="1">IFERROR(__xludf.DUMMYFUNCTION("""COMPUTED_VALUE"""),"0869721607")</f>
        <v>0869721607</v>
      </c>
      <c r="K1539" s="2" t="str">
        <f ca="1">IFERROR(__xludf.DUMMYFUNCTION("""COMPUTED_VALUE"""),"1755696073350")</f>
        <v>1755696073350</v>
      </c>
    </row>
    <row r="1540" spans="1:11" ht="12.45">
      <c r="A1540" s="2" t="str">
        <f ca="1">IFERROR(__xludf.DUMMYFUNCTION("""COMPUTED_VALUE"""),"1755696126348")</f>
        <v>1755696126348</v>
      </c>
      <c r="B1540" s="2"/>
      <c r="C1540" s="2" t="str">
        <v>0</v>
      </c>
      <c r="D1540" s="2"/>
      <c r="F1540" s="2" t="str">
        <v>0</v>
      </c>
      <c r="I1540" s="2" t="str">
        <f ca="1">IFERROR(__xludf.DUMMYFUNCTION("""COMPUTED_VALUE"""),"Trần Lê Hoàng Mỹ Oanh ")</f>
        <v xml:space="preserve">Trần Lê Hoàng Mỹ Oanh </v>
      </c>
      <c r="J1540" s="3" t="str">
        <f ca="1">IFERROR(__xludf.DUMMYFUNCTION("""COMPUTED_VALUE"""),"0772515035")</f>
        <v>0772515035</v>
      </c>
      <c r="K1540" s="2" t="str">
        <f ca="1">IFERROR(__xludf.DUMMYFUNCTION("""COMPUTED_VALUE"""),"1755696126348")</f>
        <v>1755696126348</v>
      </c>
    </row>
    <row r="1541" spans="1:11" ht="12.45">
      <c r="A1541" s="2" t="str">
        <f ca="1">IFERROR(__xludf.DUMMYFUNCTION("""COMPUTED_VALUE"""),"1755696174335")</f>
        <v>1755696174335</v>
      </c>
      <c r="B1541" s="2"/>
      <c r="C1541" s="2" t="str">
        <v>0</v>
      </c>
      <c r="D1541" s="2"/>
      <c r="F1541" s="2" t="str">
        <v>0</v>
      </c>
      <c r="I1541" s="2" t="str">
        <f ca="1">IFERROR(__xludf.DUMMYFUNCTION("""COMPUTED_VALUE"""),"Nguyễn Đỗ Cát Thư ")</f>
        <v xml:space="preserve">Nguyễn Đỗ Cát Thư </v>
      </c>
      <c r="J1541" s="3" t="str">
        <f ca="1">IFERROR(__xludf.DUMMYFUNCTION("""COMPUTED_VALUE"""),"0974440324")</f>
        <v>0974440324</v>
      </c>
      <c r="K1541" s="2" t="str">
        <f ca="1">IFERROR(__xludf.DUMMYFUNCTION("""COMPUTED_VALUE"""),"1755696174335")</f>
        <v>1755696174335</v>
      </c>
    </row>
    <row r="1542" spans="1:11" ht="12.45">
      <c r="A1542" s="2" t="str">
        <f ca="1">IFERROR(__xludf.DUMMYFUNCTION("""COMPUTED_VALUE"""),"1755696232817")</f>
        <v>1755696232817</v>
      </c>
      <c r="B1542" s="2"/>
      <c r="C1542" s="2" t="str">
        <v>0</v>
      </c>
      <c r="D1542" s="2"/>
      <c r="F1542" s="2" t="str">
        <v>0</v>
      </c>
      <c r="I1542" s="2" t="str">
        <f ca="1">IFERROR(__xludf.DUMMYFUNCTION("""COMPUTED_VALUE"""),"Phạm Lê Phương Vy")</f>
        <v>Phạm Lê Phương Vy</v>
      </c>
      <c r="J1542" s="3" t="str">
        <f ca="1">IFERROR(__xludf.DUMMYFUNCTION("""COMPUTED_VALUE"""),"0799708364")</f>
        <v>0799708364</v>
      </c>
      <c r="K1542" s="2" t="str">
        <f ca="1">IFERROR(__xludf.DUMMYFUNCTION("""COMPUTED_VALUE"""),"1755696232817")</f>
        <v>1755696232817</v>
      </c>
    </row>
    <row r="1543" spans="1:11" ht="12.45">
      <c r="A1543" s="2" t="str">
        <f ca="1">IFERROR(__xludf.DUMMYFUNCTION("""COMPUTED_VALUE"""),"1755696315495")</f>
        <v>1755696315495</v>
      </c>
      <c r="B1543" s="2"/>
      <c r="C1543" s="2" t="str">
        <v>0</v>
      </c>
      <c r="D1543" s="2"/>
      <c r="F1543" s="2" t="str">
        <v>0</v>
      </c>
      <c r="I1543" s="2" t="str">
        <f ca="1">IFERROR(__xludf.DUMMYFUNCTION("""COMPUTED_VALUE"""),"Huỳnh Công Vinh")</f>
        <v>Huỳnh Công Vinh</v>
      </c>
      <c r="J1543" s="3" t="str">
        <f ca="1">IFERROR(__xludf.DUMMYFUNCTION("""COMPUTED_VALUE"""),"0367687812")</f>
        <v>0367687812</v>
      </c>
      <c r="K1543" s="2" t="str">
        <f ca="1">IFERROR(__xludf.DUMMYFUNCTION("""COMPUTED_VALUE"""),"1755696315495")</f>
        <v>1755696315495</v>
      </c>
    </row>
    <row r="1544" spans="1:11" ht="12.45">
      <c r="A1544" s="2" t="str">
        <f ca="1">IFERROR(__xludf.DUMMYFUNCTION("""COMPUTED_VALUE"""),"1755696384870")</f>
        <v>1755696384870</v>
      </c>
      <c r="B1544" s="2"/>
      <c r="C1544" s="2" t="str">
        <v>0</v>
      </c>
      <c r="D1544" s="2"/>
      <c r="F1544" s="2" t="str">
        <v>0</v>
      </c>
      <c r="I1544" s="2" t="str">
        <f ca="1">IFERROR(__xludf.DUMMYFUNCTION("""COMPUTED_VALUE"""),"Vũ Diệu Linh")</f>
        <v>Vũ Diệu Linh</v>
      </c>
      <c r="J1544" s="3" t="str">
        <f ca="1">IFERROR(__xludf.DUMMYFUNCTION("""COMPUTED_VALUE"""),"0913700035")</f>
        <v>0913700035</v>
      </c>
      <c r="K1544" s="2" t="str">
        <f ca="1">IFERROR(__xludf.DUMMYFUNCTION("""COMPUTED_VALUE"""),"1755696384870")</f>
        <v>1755696384870</v>
      </c>
    </row>
    <row r="1545" spans="1:11" ht="12.45">
      <c r="A1545" s="2" t="str">
        <f ca="1">IFERROR(__xludf.DUMMYFUNCTION("""COMPUTED_VALUE"""),"1755696457941")</f>
        <v>1755696457941</v>
      </c>
      <c r="B1545" s="2"/>
      <c r="C1545" s="2" t="str">
        <v>0</v>
      </c>
      <c r="D1545" s="2"/>
      <c r="F1545" s="2" t="str">
        <v>0</v>
      </c>
      <c r="I1545" s="2" t="str">
        <f ca="1">IFERROR(__xludf.DUMMYFUNCTION("""COMPUTED_VALUE"""),"Đặng Trần Hạ Thư")</f>
        <v>Đặng Trần Hạ Thư</v>
      </c>
      <c r="J1545" s="3" t="str">
        <f ca="1">IFERROR(__xludf.DUMMYFUNCTION("""COMPUTED_VALUE"""),"0836550511")</f>
        <v>0836550511</v>
      </c>
      <c r="K1545" s="2" t="str">
        <f ca="1">IFERROR(__xludf.DUMMYFUNCTION("""COMPUTED_VALUE"""),"1755696457941")</f>
        <v>1755696457941</v>
      </c>
    </row>
    <row r="1546" spans="1:11" ht="12.45">
      <c r="A1546" s="2" t="str">
        <f ca="1">IFERROR(__xludf.DUMMYFUNCTION("""COMPUTED_VALUE"""),"1755696510037")</f>
        <v>1755696510037</v>
      </c>
      <c r="B1546" s="2"/>
      <c r="C1546" s="2" t="str">
        <v>0</v>
      </c>
      <c r="D1546" s="2"/>
      <c r="F1546" s="2" t="str">
        <v>0</v>
      </c>
      <c r="I1546" s="2" t="str">
        <f ca="1">IFERROR(__xludf.DUMMYFUNCTION("""COMPUTED_VALUE"""),"Lê Hoàng Ngọc Như")</f>
        <v>Lê Hoàng Ngọc Như</v>
      </c>
      <c r="J1546" s="3" t="str">
        <f ca="1">IFERROR(__xludf.DUMMYFUNCTION("""COMPUTED_VALUE"""),"0384837232")</f>
        <v>0384837232</v>
      </c>
      <c r="K1546" s="2" t="str">
        <f ca="1">IFERROR(__xludf.DUMMYFUNCTION("""COMPUTED_VALUE"""),"1755696510037")</f>
        <v>1755696510037</v>
      </c>
    </row>
    <row r="1547" spans="1:11" ht="12.45">
      <c r="A1547" s="2" t="str">
        <f ca="1">IFERROR(__xludf.DUMMYFUNCTION("""COMPUTED_VALUE"""),"1755696564222")</f>
        <v>1755696564222</v>
      </c>
      <c r="B1547" s="2"/>
      <c r="C1547" s="2" t="str">
        <v>0</v>
      </c>
      <c r="D1547" s="2"/>
      <c r="F1547" s="2" t="str">
        <v>0</v>
      </c>
      <c r="I1547" s="2" t="str">
        <f ca="1">IFERROR(__xludf.DUMMYFUNCTION("""COMPUTED_VALUE"""),"Nguyễn Khánh Vy")</f>
        <v>Nguyễn Khánh Vy</v>
      </c>
      <c r="J1547" s="3" t="str">
        <f ca="1">IFERROR(__xludf.DUMMYFUNCTION("""COMPUTED_VALUE"""),"0902106910")</f>
        <v>0902106910</v>
      </c>
      <c r="K1547" s="2" t="str">
        <f ca="1">IFERROR(__xludf.DUMMYFUNCTION("""COMPUTED_VALUE"""),"1755696564222")</f>
        <v>1755696564222</v>
      </c>
    </row>
    <row r="1548" spans="1:11" ht="12.45">
      <c r="A1548" s="2" t="str">
        <f ca="1">IFERROR(__xludf.DUMMYFUNCTION("""COMPUTED_VALUE"""),"1755696607381")</f>
        <v>1755696607381</v>
      </c>
      <c r="B1548" s="2"/>
      <c r="C1548" s="2" t="str">
        <v>0</v>
      </c>
      <c r="D1548" s="2"/>
      <c r="F1548" s="2" t="str">
        <v>0</v>
      </c>
      <c r="I1548" s="2" t="str">
        <f ca="1">IFERROR(__xludf.DUMMYFUNCTION("""COMPUTED_VALUE"""),"Nguyễn Phương Uyên ")</f>
        <v xml:space="preserve">Nguyễn Phương Uyên </v>
      </c>
      <c r="J1548" s="3" t="str">
        <f ca="1">IFERROR(__xludf.DUMMYFUNCTION("""COMPUTED_VALUE"""),"0385577648")</f>
        <v>0385577648</v>
      </c>
      <c r="K1548" s="2" t="str">
        <f ca="1">IFERROR(__xludf.DUMMYFUNCTION("""COMPUTED_VALUE"""),"1755696607381")</f>
        <v>1755696607381</v>
      </c>
    </row>
    <row r="1549" spans="1:11" ht="12.45">
      <c r="A1549" s="2" t="str">
        <f ca="1">IFERROR(__xludf.DUMMYFUNCTION("""COMPUTED_VALUE"""),"1755696658837")</f>
        <v>1755696658837</v>
      </c>
      <c r="B1549" s="2"/>
      <c r="C1549" s="2" t="str">
        <v>0</v>
      </c>
      <c r="D1549" s="2"/>
      <c r="F1549" s="2" t="str">
        <v>0</v>
      </c>
      <c r="I1549" s="2" t="str">
        <f ca="1">IFERROR(__xludf.DUMMYFUNCTION("""COMPUTED_VALUE"""),"Lê Thị Phương Uyên")</f>
        <v>Lê Thị Phương Uyên</v>
      </c>
      <c r="J1549" s="3" t="str">
        <f ca="1">IFERROR(__xludf.DUMMYFUNCTION("""COMPUTED_VALUE"""),"0787144025")</f>
        <v>0787144025</v>
      </c>
      <c r="K1549" s="2" t="str">
        <f ca="1">IFERROR(__xludf.DUMMYFUNCTION("""COMPUTED_VALUE"""),"1755696658837")</f>
        <v>1755696658837</v>
      </c>
    </row>
    <row r="1550" spans="1:11" ht="12.45">
      <c r="A1550" s="2" t="str">
        <f ca="1">IFERROR(__xludf.DUMMYFUNCTION("""COMPUTED_VALUE"""),"1755696707745")</f>
        <v>1755696707745</v>
      </c>
      <c r="B1550" s="2"/>
      <c r="C1550" s="2" t="str">
        <v>0</v>
      </c>
      <c r="D1550" s="2"/>
      <c r="F1550" s="2" t="str">
        <v>0</v>
      </c>
      <c r="I1550" s="2" t="str">
        <f ca="1">IFERROR(__xludf.DUMMYFUNCTION("""COMPUTED_VALUE"""),"Cao Trí")</f>
        <v>Cao Trí</v>
      </c>
      <c r="J1550" s="3" t="str">
        <f ca="1">IFERROR(__xludf.DUMMYFUNCTION("""COMPUTED_VALUE"""),"0889275525")</f>
        <v>0889275525</v>
      </c>
      <c r="K1550" s="2" t="str">
        <f ca="1">IFERROR(__xludf.DUMMYFUNCTION("""COMPUTED_VALUE"""),"1755696707745")</f>
        <v>1755696707745</v>
      </c>
    </row>
    <row r="1551" spans="1:11" ht="12.45">
      <c r="A1551" s="2" t="str">
        <f ca="1">IFERROR(__xludf.DUMMYFUNCTION("""COMPUTED_VALUE"""),"1755696760947")</f>
        <v>1755696760947</v>
      </c>
      <c r="B1551" s="2"/>
      <c r="C1551" s="2" t="str">
        <v>0</v>
      </c>
      <c r="D1551" s="2"/>
      <c r="F1551" s="2" t="str">
        <v>0</v>
      </c>
      <c r="I1551" s="2" t="str">
        <f ca="1">IFERROR(__xludf.DUMMYFUNCTION("""COMPUTED_VALUE"""),"Lê Duy Hợi")</f>
        <v>Lê Duy Hợi</v>
      </c>
      <c r="J1551" s="3" t="str">
        <f ca="1">IFERROR(__xludf.DUMMYFUNCTION("""COMPUTED_VALUE"""),"0334225384")</f>
        <v>0334225384</v>
      </c>
      <c r="K1551" s="2" t="str">
        <f ca="1">IFERROR(__xludf.DUMMYFUNCTION("""COMPUTED_VALUE"""),"1755696760947")</f>
        <v>1755696760947</v>
      </c>
    </row>
    <row r="1552" spans="1:11" ht="12.45">
      <c r="A1552" s="2" t="str">
        <f ca="1">IFERROR(__xludf.DUMMYFUNCTION("""COMPUTED_VALUE"""),"1755696804092")</f>
        <v>1755696804092</v>
      </c>
      <c r="B1552" s="2"/>
      <c r="C1552" s="2" t="str">
        <v>0</v>
      </c>
      <c r="D1552" s="2"/>
      <c r="F1552" s="2" t="str">
        <v>0</v>
      </c>
      <c r="I1552" s="2" t="str">
        <f ca="1">IFERROR(__xludf.DUMMYFUNCTION("""COMPUTED_VALUE"""),"Trần Lâm Hồng Nhựt")</f>
        <v>Trần Lâm Hồng Nhựt</v>
      </c>
      <c r="J1552" s="3" t="str">
        <f ca="1">IFERROR(__xludf.DUMMYFUNCTION("""COMPUTED_VALUE"""),"0343998295")</f>
        <v>0343998295</v>
      </c>
      <c r="K1552" s="2" t="str">
        <f ca="1">IFERROR(__xludf.DUMMYFUNCTION("""COMPUTED_VALUE"""),"1755696804092")</f>
        <v>1755696804092</v>
      </c>
    </row>
    <row r="1553" spans="1:11" ht="12.45">
      <c r="A1553" s="2" t="str">
        <f ca="1">IFERROR(__xludf.DUMMYFUNCTION("""COMPUTED_VALUE"""),"1755696845903")</f>
        <v>1755696845903</v>
      </c>
      <c r="B1553" s="2"/>
      <c r="C1553" s="2" t="str">
        <v>0</v>
      </c>
      <c r="D1553" s="2"/>
      <c r="F1553" s="2" t="str">
        <v>0</v>
      </c>
      <c r="I1553" s="2" t="str">
        <f ca="1">IFERROR(__xludf.DUMMYFUNCTION("""COMPUTED_VALUE"""),"Lê Đức Trung ")</f>
        <v xml:space="preserve">Lê Đức Trung </v>
      </c>
      <c r="J1553" s="3" t="str">
        <f ca="1">IFERROR(__xludf.DUMMYFUNCTION("""COMPUTED_VALUE"""),"0982828469")</f>
        <v>0982828469</v>
      </c>
      <c r="K1553" s="2" t="str">
        <f ca="1">IFERROR(__xludf.DUMMYFUNCTION("""COMPUTED_VALUE"""),"1755696845903")</f>
        <v>1755696845903</v>
      </c>
    </row>
    <row r="1554" spans="1:11" ht="12.45">
      <c r="A1554" s="2" t="str">
        <f ca="1">IFERROR(__xludf.DUMMYFUNCTION("""COMPUTED_VALUE"""),"1755696905217")</f>
        <v>1755696905217</v>
      </c>
      <c r="B1554" s="2"/>
      <c r="C1554" s="2" t="str">
        <v>0</v>
      </c>
      <c r="D1554" s="2"/>
      <c r="F1554" s="2" t="str">
        <v>0</v>
      </c>
      <c r="I1554" s="2" t="str">
        <f ca="1">IFERROR(__xludf.DUMMYFUNCTION("""COMPUTED_VALUE"""),"Nghiêm Thị Thanh Hoa")</f>
        <v>Nghiêm Thị Thanh Hoa</v>
      </c>
      <c r="J1554" s="3" t="str">
        <f ca="1">IFERROR(__xludf.DUMMYFUNCTION("""COMPUTED_VALUE"""),"0377691174")</f>
        <v>0377691174</v>
      </c>
      <c r="K1554" s="2" t="str">
        <f ca="1">IFERROR(__xludf.DUMMYFUNCTION("""COMPUTED_VALUE"""),"1755696905217")</f>
        <v>1755696905217</v>
      </c>
    </row>
    <row r="1555" spans="1:11" ht="12.45">
      <c r="A1555" s="2" t="str">
        <f ca="1">IFERROR(__xludf.DUMMYFUNCTION("""COMPUTED_VALUE"""),"1755696951654")</f>
        <v>1755696951654</v>
      </c>
      <c r="B1555" s="2"/>
      <c r="C1555" s="2" t="str">
        <v>0</v>
      </c>
      <c r="D1555" s="2"/>
      <c r="F1555" s="2" t="str">
        <v>0</v>
      </c>
      <c r="I1555" s="2" t="str">
        <f ca="1">IFERROR(__xludf.DUMMYFUNCTION("""COMPUTED_VALUE"""),"Trần Lưu Bảo Tiên ")</f>
        <v xml:space="preserve">Trần Lưu Bảo Tiên </v>
      </c>
      <c r="J1555" s="3" t="str">
        <f ca="1">IFERROR(__xludf.DUMMYFUNCTION("""COMPUTED_VALUE"""),"0888867099")</f>
        <v>0888867099</v>
      </c>
      <c r="K1555" s="2" t="str">
        <f ca="1">IFERROR(__xludf.DUMMYFUNCTION("""COMPUTED_VALUE"""),"1755696951654")</f>
        <v>1755696951654</v>
      </c>
    </row>
    <row r="1556" spans="1:11" ht="12.45">
      <c r="A1556" s="2" t="str">
        <f ca="1">IFERROR(__xludf.DUMMYFUNCTION("""COMPUTED_VALUE"""),"1755696989001")</f>
        <v>1755696989001</v>
      </c>
      <c r="B1556" s="2"/>
      <c r="C1556" s="2" t="str">
        <v>0</v>
      </c>
      <c r="D1556" s="2"/>
      <c r="F1556" s="2" t="str">
        <v>0</v>
      </c>
      <c r="I1556" s="2" t="str">
        <f ca="1">IFERROR(__xludf.DUMMYFUNCTION("""COMPUTED_VALUE"""),"Rcom H Luynh")</f>
        <v>Rcom H Luynh</v>
      </c>
      <c r="J1556" s="3" t="str">
        <f ca="1">IFERROR(__xludf.DUMMYFUNCTION("""COMPUTED_VALUE"""),"0349869701")</f>
        <v>0349869701</v>
      </c>
      <c r="K1556" s="2" t="str">
        <f ca="1">IFERROR(__xludf.DUMMYFUNCTION("""COMPUTED_VALUE"""),"1755696989001")</f>
        <v>1755696989001</v>
      </c>
    </row>
    <row r="1557" spans="1:11" ht="12.45">
      <c r="A1557" s="2" t="str">
        <f ca="1">IFERROR(__xludf.DUMMYFUNCTION("""COMPUTED_VALUE"""),"1755697036110")</f>
        <v>1755697036110</v>
      </c>
      <c r="B1557" s="2"/>
      <c r="C1557" s="2" t="str">
        <v>0</v>
      </c>
      <c r="D1557" s="2"/>
      <c r="F1557" s="2" t="str">
        <v>0</v>
      </c>
      <c r="I1557" s="2" t="str">
        <f ca="1">IFERROR(__xludf.DUMMYFUNCTION("""COMPUTED_VALUE"""),"Nghiêm Thị Ngọc Ánh")</f>
        <v>Nghiêm Thị Ngọc Ánh</v>
      </c>
      <c r="J1557" s="3" t="str">
        <f ca="1">IFERROR(__xludf.DUMMYFUNCTION("""COMPUTED_VALUE"""),"0388824649")</f>
        <v>0388824649</v>
      </c>
      <c r="K1557" s="2" t="str">
        <f ca="1">IFERROR(__xludf.DUMMYFUNCTION("""COMPUTED_VALUE"""),"1755697036110")</f>
        <v>1755697036110</v>
      </c>
    </row>
    <row r="1558" spans="1:11" ht="12.45">
      <c r="A1558" s="2" t="str">
        <f ca="1">IFERROR(__xludf.DUMMYFUNCTION("""COMPUTED_VALUE"""),"1755697085804")</f>
        <v>1755697085804</v>
      </c>
      <c r="B1558" s="2"/>
      <c r="C1558" s="2" t="str">
        <v>0</v>
      </c>
      <c r="D1558" s="2"/>
      <c r="F1558" s="2" t="str">
        <v>0</v>
      </c>
      <c r="I1558" s="2" t="str">
        <f ca="1">IFERROR(__xludf.DUMMYFUNCTION("""COMPUTED_VALUE"""),"Võ Trần Ngọc Thảo ")</f>
        <v xml:space="preserve">Võ Trần Ngọc Thảo </v>
      </c>
      <c r="J1558" s="3" t="str">
        <f ca="1">IFERROR(__xludf.DUMMYFUNCTION("""COMPUTED_VALUE"""),"0394360557")</f>
        <v>0394360557</v>
      </c>
      <c r="K1558" s="2" t="str">
        <f ca="1">IFERROR(__xludf.DUMMYFUNCTION("""COMPUTED_VALUE"""),"1755697085804")</f>
        <v>1755697085804</v>
      </c>
    </row>
    <row r="1559" spans="1:11" ht="12.45">
      <c r="A1559" s="2" t="str">
        <f ca="1">IFERROR(__xludf.DUMMYFUNCTION("""COMPUTED_VALUE"""),"1755697136274")</f>
        <v>1755697136274</v>
      </c>
      <c r="B1559" s="2"/>
      <c r="C1559" s="2" t="str">
        <v>0</v>
      </c>
      <c r="D1559" s="2"/>
      <c r="F1559" s="2" t="str">
        <v>0</v>
      </c>
      <c r="I1559" s="2" t="str">
        <f ca="1">IFERROR(__xludf.DUMMYFUNCTION("""COMPUTED_VALUE"""),"Phạm Hoàng Uyên Khanh")</f>
        <v>Phạm Hoàng Uyên Khanh</v>
      </c>
      <c r="J1559" s="3" t="str">
        <f ca="1">IFERROR(__xludf.DUMMYFUNCTION("""COMPUTED_VALUE"""),"0798285393")</f>
        <v>0798285393</v>
      </c>
      <c r="K1559" s="2" t="str">
        <f ca="1">IFERROR(__xludf.DUMMYFUNCTION("""COMPUTED_VALUE"""),"1755697136274")</f>
        <v>1755697136274</v>
      </c>
    </row>
    <row r="1560" spans="1:11" ht="12.45">
      <c r="A1560" s="2" t="str">
        <f ca="1">IFERROR(__xludf.DUMMYFUNCTION("""COMPUTED_VALUE"""),"1759494747532")</f>
        <v>1759494747532</v>
      </c>
      <c r="B1560" s="2"/>
      <c r="C1560" s="2" t="str">
        <v>0</v>
      </c>
      <c r="D1560" s="2"/>
      <c r="F1560" s="2" t="str">
        <v>0</v>
      </c>
      <c r="I1560" s="2" t="str">
        <f ca="1">IFERROR(__xludf.DUMMYFUNCTION("""COMPUTED_VALUE"""),"Nguyễn Ánh Ngọc")</f>
        <v>Nguyễn Ánh Ngọc</v>
      </c>
      <c r="J1560" s="3" t="str">
        <f ca="1">IFERROR(__xludf.DUMMYFUNCTION("""COMPUTED_VALUE"""),"0868909207")</f>
        <v>0868909207</v>
      </c>
      <c r="K1560" s="2" t="str">
        <f ca="1">IFERROR(__xludf.DUMMYFUNCTION("""COMPUTED_VALUE"""),"1759494747532")</f>
        <v>1759494747532</v>
      </c>
    </row>
    <row r="1561" spans="1:11" ht="12.45">
      <c r="A1561" s="2" t="str">
        <f ca="1">IFERROR(__xludf.DUMMYFUNCTION("""COMPUTED_VALUE"""),"1759494831018")</f>
        <v>1759494831018</v>
      </c>
      <c r="B1561" s="2"/>
      <c r="C1561" s="2" t="str">
        <v>0</v>
      </c>
      <c r="D1561" s="2"/>
      <c r="F1561" s="2" t="str">
        <v>0</v>
      </c>
      <c r="I1561" s="2" t="str">
        <f ca="1">IFERROR(__xludf.DUMMYFUNCTION("""COMPUTED_VALUE"""),"Bùi Thuý Ngọc")</f>
        <v>Bùi Thuý Ngọc</v>
      </c>
      <c r="J1561" s="2" t="str">
        <f ca="1">IFERROR(__xludf.DUMMYFUNCTION("""COMPUTED_VALUE"""),"08496550650")</f>
        <v>08496550650</v>
      </c>
      <c r="K1561" s="2" t="str">
        <f ca="1">IFERROR(__xludf.DUMMYFUNCTION("""COMPUTED_VALUE"""),"1759494831018")</f>
        <v>1759494831018</v>
      </c>
    </row>
    <row r="1562" spans="1:11" ht="12.45">
      <c r="A1562" s="2" t="str">
        <f ca="1">IFERROR(__xludf.DUMMYFUNCTION("""COMPUTED_VALUE"""),"1759494892424")</f>
        <v>1759494892424</v>
      </c>
      <c r="B1562" s="2"/>
      <c r="C1562" s="2" t="str">
        <v>0</v>
      </c>
      <c r="D1562" s="2"/>
      <c r="F1562" s="2" t="str">
        <v>0</v>
      </c>
      <c r="I1562" s="2" t="str">
        <f ca="1">IFERROR(__xludf.DUMMYFUNCTION("""COMPUTED_VALUE"""),"Vũ Quỳnh Anh")</f>
        <v>Vũ Quỳnh Anh</v>
      </c>
      <c r="J1562" s="3" t="str">
        <f ca="1">IFERROR(__xludf.DUMMYFUNCTION("""COMPUTED_VALUE"""),"0973399370")</f>
        <v>0973399370</v>
      </c>
      <c r="K1562" s="2" t="str">
        <f ca="1">IFERROR(__xludf.DUMMYFUNCTION("""COMPUTED_VALUE"""),"1759494892424")</f>
        <v>1759494892424</v>
      </c>
    </row>
    <row r="1563" spans="1:11" ht="12.45">
      <c r="A1563" s="2" t="str">
        <f ca="1">IFERROR(__xludf.DUMMYFUNCTION("""COMPUTED_VALUE"""),"1759494963624")</f>
        <v>1759494963624</v>
      </c>
      <c r="B1563" s="2"/>
      <c r="C1563" s="2" t="str">
        <v>0</v>
      </c>
      <c r="D1563" s="2"/>
      <c r="F1563" s="2" t="str">
        <v>0</v>
      </c>
      <c r="I1563" s="2" t="str">
        <f ca="1">IFERROR(__xludf.DUMMYFUNCTION("""COMPUTED_VALUE"""),"Lương Thị Đan Thư")</f>
        <v>Lương Thị Đan Thư</v>
      </c>
      <c r="J1563" s="3" t="str">
        <f ca="1">IFERROR(__xludf.DUMMYFUNCTION("""COMPUTED_VALUE"""),"0784656782")</f>
        <v>0784656782</v>
      </c>
      <c r="K1563" s="2" t="str">
        <f ca="1">IFERROR(__xludf.DUMMYFUNCTION("""COMPUTED_VALUE"""),"1759494963624")</f>
        <v>1759494963624</v>
      </c>
    </row>
    <row r="1564" spans="1:11" ht="12.45">
      <c r="A1564" s="2" t="str">
        <f ca="1">IFERROR(__xludf.DUMMYFUNCTION("""COMPUTED_VALUE"""),"1759495015842")</f>
        <v>1759495015842</v>
      </c>
      <c r="B1564" s="2"/>
      <c r="C1564" s="2" t="str">
        <v>0</v>
      </c>
      <c r="D1564" s="2"/>
      <c r="F1564" s="2" t="str">
        <v>0</v>
      </c>
      <c r="I1564" s="2" t="str">
        <f ca="1">IFERROR(__xludf.DUMMYFUNCTION("""COMPUTED_VALUE"""),"Nguyễn Thùy Bảo Trâm ")</f>
        <v xml:space="preserve">Nguyễn Thùy Bảo Trâm </v>
      </c>
      <c r="J1564" s="3" t="str">
        <f ca="1">IFERROR(__xludf.DUMMYFUNCTION("""COMPUTED_VALUE"""),"0352640040")</f>
        <v>0352640040</v>
      </c>
      <c r="K1564" s="2" t="str">
        <f ca="1">IFERROR(__xludf.DUMMYFUNCTION("""COMPUTED_VALUE"""),"1759495015842")</f>
        <v>1759495015842</v>
      </c>
    </row>
    <row r="1565" spans="1:11" ht="12.45">
      <c r="A1565" s="2" t="str">
        <f ca="1">IFERROR(__xludf.DUMMYFUNCTION("""COMPUTED_VALUE"""),"1759495088353")</f>
        <v>1759495088353</v>
      </c>
      <c r="B1565" s="2"/>
      <c r="C1565" s="2" t="str">
        <v>0</v>
      </c>
      <c r="D1565" s="2"/>
      <c r="F1565" s="2" t="str">
        <v>0</v>
      </c>
      <c r="I1565" s="2" t="str">
        <f ca="1">IFERROR(__xludf.DUMMYFUNCTION("""COMPUTED_VALUE"""),"Bùi Thảo Quyên")</f>
        <v>Bùi Thảo Quyên</v>
      </c>
      <c r="J1565" s="3" t="str">
        <f ca="1">IFERROR(__xludf.DUMMYFUNCTION("""COMPUTED_VALUE"""),"0906312111")</f>
        <v>0906312111</v>
      </c>
      <c r="K1565" s="2" t="str">
        <f ca="1">IFERROR(__xludf.DUMMYFUNCTION("""COMPUTED_VALUE"""),"1759495088353")</f>
        <v>1759495088353</v>
      </c>
    </row>
    <row r="1566" spans="1:11" ht="12.45">
      <c r="A1566" s="2" t="str">
        <f ca="1">IFERROR(__xludf.DUMMYFUNCTION("""COMPUTED_VALUE"""),"1759495141715")</f>
        <v>1759495141715</v>
      </c>
      <c r="B1566" s="2"/>
      <c r="C1566" s="2" t="str">
        <v>0</v>
      </c>
      <c r="D1566" s="2"/>
      <c r="F1566" s="2" t="str">
        <v>0</v>
      </c>
      <c r="I1566" s="2" t="str">
        <f ca="1">IFERROR(__xludf.DUMMYFUNCTION("""COMPUTED_VALUE"""),"Nguyễn Công Tâm")</f>
        <v>Nguyễn Công Tâm</v>
      </c>
      <c r="J1566" s="3" t="str">
        <f ca="1">IFERROR(__xludf.DUMMYFUNCTION("""COMPUTED_VALUE"""),"0911950016")</f>
        <v>0911950016</v>
      </c>
      <c r="K1566" s="2" t="str">
        <f ca="1">IFERROR(__xludf.DUMMYFUNCTION("""COMPUTED_VALUE"""),"1759495141715")</f>
        <v>1759495141715</v>
      </c>
    </row>
    <row r="1567" spans="1:11" ht="12.45">
      <c r="A1567" s="2" t="str">
        <f ca="1">IFERROR(__xludf.DUMMYFUNCTION("""COMPUTED_VALUE"""),"1759495195850")</f>
        <v>1759495195850</v>
      </c>
      <c r="B1567" s="2"/>
      <c r="C1567" s="2" t="str">
        <v>0</v>
      </c>
      <c r="D1567" s="2"/>
      <c r="F1567" s="2" t="str">
        <v>0</v>
      </c>
      <c r="I1567" s="2" t="str">
        <f ca="1">IFERROR(__xludf.DUMMYFUNCTION("""COMPUTED_VALUE"""),"Dương Thị Ngọc Như ")</f>
        <v xml:space="preserve">Dương Thị Ngọc Như </v>
      </c>
      <c r="J1567" s="3" t="str">
        <f ca="1">IFERROR(__xludf.DUMMYFUNCTION("""COMPUTED_VALUE"""),"0342227982")</f>
        <v>0342227982</v>
      </c>
      <c r="K1567" s="2" t="str">
        <f ca="1">IFERROR(__xludf.DUMMYFUNCTION("""COMPUTED_VALUE"""),"1759495195850")</f>
        <v>1759495195850</v>
      </c>
    </row>
    <row r="1568" spans="1:11" ht="12.45">
      <c r="A1568" s="2" t="str">
        <f ca="1">IFERROR(__xludf.DUMMYFUNCTION("""COMPUTED_VALUE"""),"1759495250275")</f>
        <v>1759495250275</v>
      </c>
      <c r="B1568" s="2"/>
      <c r="C1568" s="2" t="str">
        <v>0</v>
      </c>
      <c r="D1568" s="2"/>
      <c r="F1568" s="2" t="str">
        <v>0</v>
      </c>
      <c r="I1568" s="2" t="str">
        <f ca="1">IFERROR(__xludf.DUMMYFUNCTION("""COMPUTED_VALUE"""),"Hoàng Thanh Tuyền ")</f>
        <v xml:space="preserve">Hoàng Thanh Tuyền </v>
      </c>
      <c r="J1568" s="3" t="str">
        <f ca="1">IFERROR(__xludf.DUMMYFUNCTION("""COMPUTED_VALUE"""),"0867976591")</f>
        <v>0867976591</v>
      </c>
      <c r="K1568" s="2" t="str">
        <f ca="1">IFERROR(__xludf.DUMMYFUNCTION("""COMPUTED_VALUE"""),"1759495250275")</f>
        <v>1759495250275</v>
      </c>
    </row>
    <row r="1569" spans="1:11" ht="12.45">
      <c r="A1569" s="2" t="str">
        <f ca="1">IFERROR(__xludf.DUMMYFUNCTION("""COMPUTED_VALUE"""),"1759495310202")</f>
        <v>1759495310202</v>
      </c>
      <c r="B1569" s="2"/>
      <c r="C1569" s="2" t="str">
        <v>0</v>
      </c>
      <c r="D1569" s="2"/>
      <c r="F1569" s="2" t="str">
        <v>0</v>
      </c>
      <c r="I1569" s="2" t="str">
        <f ca="1">IFERROR(__xludf.DUMMYFUNCTION("""COMPUTED_VALUE"""),"Luong thi quynh chi")</f>
        <v>Luong thi quynh chi</v>
      </c>
      <c r="J1569" s="3" t="str">
        <f ca="1">IFERROR(__xludf.DUMMYFUNCTION("""COMPUTED_VALUE"""),"0983376160")</f>
        <v>0983376160</v>
      </c>
      <c r="K1569" s="2" t="str">
        <f ca="1">IFERROR(__xludf.DUMMYFUNCTION("""COMPUTED_VALUE"""),"1759495310202")</f>
        <v>1759495310202</v>
      </c>
    </row>
    <row r="1570" spans="1:11" ht="12.45">
      <c r="A1570" s="2" t="str">
        <f ca="1">IFERROR(__xludf.DUMMYFUNCTION("""COMPUTED_VALUE"""),"1759495380581")</f>
        <v>1759495380581</v>
      </c>
      <c r="B1570" s="2"/>
      <c r="C1570" s="2" t="str">
        <v>0</v>
      </c>
      <c r="D1570" s="2"/>
      <c r="F1570" s="2" t="str">
        <v>0</v>
      </c>
      <c r="I1570" s="2" t="str">
        <f ca="1">IFERROR(__xludf.DUMMYFUNCTION("""COMPUTED_VALUE"""),"Quách Thị Như Quỳnh")</f>
        <v>Quách Thị Như Quỳnh</v>
      </c>
      <c r="J1570" s="3" t="str">
        <f ca="1">IFERROR(__xludf.DUMMYFUNCTION("""COMPUTED_VALUE"""),"0376732989")</f>
        <v>0376732989</v>
      </c>
      <c r="K1570" s="2" t="str">
        <f ca="1">IFERROR(__xludf.DUMMYFUNCTION("""COMPUTED_VALUE"""),"1759495380581")</f>
        <v>1759495380581</v>
      </c>
    </row>
    <row r="1571" spans="1:11" ht="12.45">
      <c r="A1571" s="2" t="str">
        <f ca="1">IFERROR(__xludf.DUMMYFUNCTION("""COMPUTED_VALUE"""),"1759495422308")</f>
        <v>1759495422308</v>
      </c>
      <c r="B1571" s="2"/>
      <c r="C1571" s="2" t="str">
        <v>0</v>
      </c>
      <c r="D1571" s="2"/>
      <c r="F1571" s="2" t="str">
        <v>0</v>
      </c>
      <c r="I1571" s="2" t="str">
        <f ca="1">IFERROR(__xludf.DUMMYFUNCTION("""COMPUTED_VALUE"""),"Nguyễn Thị Mai Anh")</f>
        <v>Nguyễn Thị Mai Anh</v>
      </c>
      <c r="J1571" s="3" t="str">
        <f ca="1">IFERROR(__xludf.DUMMYFUNCTION("""COMPUTED_VALUE"""),"0384059453")</f>
        <v>0384059453</v>
      </c>
      <c r="K1571" s="2" t="str">
        <f ca="1">IFERROR(__xludf.DUMMYFUNCTION("""COMPUTED_VALUE"""),"1759495422308")</f>
        <v>1759495422308</v>
      </c>
    </row>
    <row r="1572" spans="1:11" ht="12.45">
      <c r="A1572" s="2" t="str">
        <f ca="1">IFERROR(__xludf.DUMMYFUNCTION("""COMPUTED_VALUE"""),"1759495479208")</f>
        <v>1759495479208</v>
      </c>
      <c r="B1572" s="2"/>
      <c r="C1572" s="2" t="str">
        <v>0</v>
      </c>
      <c r="D1572" s="2"/>
      <c r="F1572" s="2" t="str">
        <v>0</v>
      </c>
      <c r="I1572" s="2" t="str">
        <f ca="1">IFERROR(__xludf.DUMMYFUNCTION("""COMPUTED_VALUE"""),"Quách Khánh Linh")</f>
        <v>Quách Khánh Linh</v>
      </c>
      <c r="J1572" s="3" t="str">
        <f ca="1">IFERROR(__xludf.DUMMYFUNCTION("""COMPUTED_VALUE"""),"0867610103")</f>
        <v>0867610103</v>
      </c>
      <c r="K1572" s="2" t="str">
        <f ca="1">IFERROR(__xludf.DUMMYFUNCTION("""COMPUTED_VALUE"""),"1759495479208")</f>
        <v>1759495479208</v>
      </c>
    </row>
    <row r="1573" spans="1:11" ht="12.45">
      <c r="A1573" s="2" t="str">
        <f ca="1">IFERROR(__xludf.DUMMYFUNCTION("""COMPUTED_VALUE"""),"1759495540399")</f>
        <v>1759495540399</v>
      </c>
      <c r="B1573" s="2"/>
      <c r="C1573" s="2" t="str">
        <v>0</v>
      </c>
      <c r="D1573" s="2"/>
      <c r="F1573" s="2" t="str">
        <v>0</v>
      </c>
      <c r="I1573" s="2" t="str">
        <f ca="1">IFERROR(__xludf.DUMMYFUNCTION("""COMPUTED_VALUE"""),"Nguyễn Quỳnh Trang")</f>
        <v>Nguyễn Quỳnh Trang</v>
      </c>
      <c r="J1573" s="3" t="str">
        <f ca="1">IFERROR(__xludf.DUMMYFUNCTION("""COMPUTED_VALUE"""),"0931018829")</f>
        <v>0931018829</v>
      </c>
      <c r="K1573" s="2" t="str">
        <f ca="1">IFERROR(__xludf.DUMMYFUNCTION("""COMPUTED_VALUE"""),"1759495540399")</f>
        <v>1759495540399</v>
      </c>
    </row>
    <row r="1574" spans="1:11" ht="12.45">
      <c r="A1574" s="2" t="str">
        <f ca="1">IFERROR(__xludf.DUMMYFUNCTION("""COMPUTED_VALUE"""),"1759495590852")</f>
        <v>1759495590852</v>
      </c>
      <c r="B1574" s="2"/>
      <c r="C1574" s="2" t="str">
        <v>0</v>
      </c>
      <c r="D1574" s="2"/>
      <c r="F1574" s="2" t="str">
        <v>0</v>
      </c>
      <c r="I1574" s="2" t="str">
        <f ca="1">IFERROR(__xludf.DUMMYFUNCTION("""COMPUTED_VALUE"""),"Lâm thảo nguyên")</f>
        <v>Lâm thảo nguyên</v>
      </c>
      <c r="J1574" s="3" t="str">
        <f ca="1">IFERROR(__xludf.DUMMYFUNCTION("""COMPUTED_VALUE"""),"0338449858")</f>
        <v>0338449858</v>
      </c>
      <c r="K1574" s="2" t="str">
        <f ca="1">IFERROR(__xludf.DUMMYFUNCTION("""COMPUTED_VALUE"""),"1759495590852")</f>
        <v>1759495590852</v>
      </c>
    </row>
    <row r="1575" spans="1:11" ht="12.45">
      <c r="A1575" s="2" t="str">
        <f ca="1">IFERROR(__xludf.DUMMYFUNCTION("""COMPUTED_VALUE"""),"1759495644921")</f>
        <v>1759495644921</v>
      </c>
      <c r="B1575" s="2"/>
      <c r="C1575" s="2" t="str">
        <v>0</v>
      </c>
      <c r="D1575" s="2"/>
      <c r="F1575" s="2" t="str">
        <v>0</v>
      </c>
      <c r="I1575" s="2" t="str">
        <f ca="1">IFERROR(__xludf.DUMMYFUNCTION("""COMPUTED_VALUE"""),"Lê Minh Anh")</f>
        <v>Lê Minh Anh</v>
      </c>
      <c r="J1575" s="3" t="str">
        <f ca="1">IFERROR(__xludf.DUMMYFUNCTION("""COMPUTED_VALUE"""),"0867461911")</f>
        <v>0867461911</v>
      </c>
      <c r="K1575" s="2" t="str">
        <f ca="1">IFERROR(__xludf.DUMMYFUNCTION("""COMPUTED_VALUE"""),"1759495644921")</f>
        <v>1759495644921</v>
      </c>
    </row>
    <row r="1576" spans="1:11" ht="12.45">
      <c r="A1576" s="2" t="str">
        <f ca="1">IFERROR(__xludf.DUMMYFUNCTION("""COMPUTED_VALUE"""),"1759495686827")</f>
        <v>1759495686827</v>
      </c>
      <c r="B1576" s="2"/>
      <c r="C1576" s="2" t="str">
        <v>0</v>
      </c>
      <c r="D1576" s="2"/>
      <c r="F1576" s="2" t="str">
        <v>0</v>
      </c>
      <c r="I1576" s="2" t="str">
        <f ca="1">IFERROR(__xludf.DUMMYFUNCTION("""COMPUTED_VALUE"""),"Tạ Thị Yến Chi")</f>
        <v>Tạ Thị Yến Chi</v>
      </c>
      <c r="J1576" s="3" t="str">
        <f ca="1">IFERROR(__xludf.DUMMYFUNCTION("""COMPUTED_VALUE"""),"0838472559")</f>
        <v>0838472559</v>
      </c>
      <c r="K1576" s="2" t="str">
        <f ca="1">IFERROR(__xludf.DUMMYFUNCTION("""COMPUTED_VALUE"""),"1759495686827")</f>
        <v>1759495686827</v>
      </c>
    </row>
    <row r="1577" spans="1:11" ht="12.45">
      <c r="A1577" s="2" t="str">
        <f ca="1">IFERROR(__xludf.DUMMYFUNCTION("""COMPUTED_VALUE"""),"Không giao sách")</f>
        <v>Không giao sách</v>
      </c>
      <c r="B1577" s="2"/>
      <c r="C1577" s="2" t="str">
        <v>0</v>
      </c>
      <c r="D1577" s="2"/>
      <c r="F1577" s="2" t="str">
        <v>0</v>
      </c>
      <c r="I1577" s="2" t="str">
        <f ca="1">IFERROR(__xludf.DUMMYFUNCTION("""COMPUTED_VALUE"""),"Trần Bình Nghi ")</f>
        <v xml:space="preserve">Trần Bình Nghi </v>
      </c>
      <c r="J1577" s="3" t="str">
        <f ca="1">IFERROR(__xludf.DUMMYFUNCTION("""COMPUTED_VALUE"""),"0346312808")</f>
        <v>0346312808</v>
      </c>
      <c r="K1577" s="2" t="str">
        <f ca="1">IFERROR(__xludf.DUMMYFUNCTION("""COMPUTED_VALUE"""),"Không giao sách")</f>
        <v>Không giao sách</v>
      </c>
    </row>
    <row r="1578" spans="1:11" ht="12.45">
      <c r="A1578" s="2" t="str">
        <f ca="1">IFERROR(__xludf.DUMMYFUNCTION("""COMPUTED_VALUE"""),"1759495724771")</f>
        <v>1759495724771</v>
      </c>
      <c r="B1578" s="2"/>
      <c r="C1578" s="2" t="str">
        <v>0</v>
      </c>
      <c r="D1578" s="2"/>
      <c r="F1578" s="2" t="str">
        <v>0</v>
      </c>
      <c r="I1578" s="2" t="str">
        <f ca="1">IFERROR(__xludf.DUMMYFUNCTION("""COMPUTED_VALUE"""),"Phạm Lan Trinh")</f>
        <v>Phạm Lan Trinh</v>
      </c>
      <c r="J1578" s="3" t="str">
        <f ca="1">IFERROR(__xludf.DUMMYFUNCTION("""COMPUTED_VALUE"""),"0346763721")</f>
        <v>0346763721</v>
      </c>
      <c r="K1578" s="2" t="str">
        <f ca="1">IFERROR(__xludf.DUMMYFUNCTION("""COMPUTED_VALUE"""),"1759495724771")</f>
        <v>1759495724771</v>
      </c>
    </row>
    <row r="1579" spans="1:11" ht="12.45">
      <c r="A1579" s="2" t="str">
        <f ca="1">IFERROR(__xludf.DUMMYFUNCTION("""COMPUTED_VALUE"""),"1759495776449")</f>
        <v>1759495776449</v>
      </c>
      <c r="B1579" s="2"/>
      <c r="C1579" s="2" t="str">
        <v>0</v>
      </c>
      <c r="D1579" s="2"/>
      <c r="F1579" s="2" t="str">
        <v>0</v>
      </c>
      <c r="I1579" s="2" t="str">
        <f ca="1">IFERROR(__xludf.DUMMYFUNCTION("""COMPUTED_VALUE"""),"Ngô Việt Phương")</f>
        <v>Ngô Việt Phương</v>
      </c>
      <c r="J1579" s="3" t="str">
        <f ca="1">IFERROR(__xludf.DUMMYFUNCTION("""COMPUTED_VALUE"""),"0823810678")</f>
        <v>0823810678</v>
      </c>
      <c r="K1579" s="2" t="str">
        <f ca="1">IFERROR(__xludf.DUMMYFUNCTION("""COMPUTED_VALUE"""),"1759495776449")</f>
        <v>1759495776449</v>
      </c>
    </row>
    <row r="1580" spans="1:11" ht="12.45">
      <c r="A1580" s="2" t="str">
        <f ca="1">IFERROR(__xludf.DUMMYFUNCTION("""COMPUTED_VALUE"""),"1759495829237")</f>
        <v>1759495829237</v>
      </c>
      <c r="B1580" s="2"/>
      <c r="C1580" s="2" t="str">
        <v>0</v>
      </c>
      <c r="D1580" s="2"/>
      <c r="F1580" s="2" t="str">
        <v>0</v>
      </c>
      <c r="I1580" s="2" t="str">
        <f ca="1">IFERROR(__xludf.DUMMYFUNCTION("""COMPUTED_VALUE"""),"Hà Nguyễn Khánh Vy")</f>
        <v>Hà Nguyễn Khánh Vy</v>
      </c>
      <c r="J1580" s="3" t="str">
        <f ca="1">IFERROR(__xludf.DUMMYFUNCTION("""COMPUTED_VALUE"""),"0845207383")</f>
        <v>0845207383</v>
      </c>
      <c r="K1580" s="2" t="str">
        <f ca="1">IFERROR(__xludf.DUMMYFUNCTION("""COMPUTED_VALUE"""),"1759495829237")</f>
        <v>1759495829237</v>
      </c>
    </row>
    <row r="1581" spans="1:11" ht="12.45">
      <c r="A1581" s="2" t="str">
        <f ca="1">IFERROR(__xludf.DUMMYFUNCTION("""COMPUTED_VALUE"""),"1759495892343")</f>
        <v>1759495892343</v>
      </c>
      <c r="B1581" s="2"/>
      <c r="C1581" s="2" t="str">
        <v>0</v>
      </c>
      <c r="D1581" s="2"/>
      <c r="F1581" s="2" t="str">
        <v>0</v>
      </c>
      <c r="I1581" s="2" t="str">
        <f ca="1">IFERROR(__xludf.DUMMYFUNCTION("""COMPUTED_VALUE"""),"Tô Thị Linh Chi")</f>
        <v>Tô Thị Linh Chi</v>
      </c>
      <c r="J1581" s="3" t="str">
        <f ca="1">IFERROR(__xludf.DUMMYFUNCTION("""COMPUTED_VALUE"""),"0394860125")</f>
        <v>0394860125</v>
      </c>
      <c r="K1581" s="2" t="str">
        <f ca="1">IFERROR(__xludf.DUMMYFUNCTION("""COMPUTED_VALUE"""),"1759495892343")</f>
        <v>1759495892343</v>
      </c>
    </row>
    <row r="1582" spans="1:11" ht="12.45">
      <c r="A1582" s="2" t="str">
        <f ca="1">IFERROR(__xludf.DUMMYFUNCTION("""COMPUTED_VALUE"""),"1759495948937")</f>
        <v>1759495948937</v>
      </c>
      <c r="B1582" s="2"/>
      <c r="C1582" s="2" t="str">
        <v>0</v>
      </c>
      <c r="D1582" s="2"/>
      <c r="F1582" s="2" t="str">
        <v>0</v>
      </c>
      <c r="I1582" s="2" t="str">
        <f ca="1">IFERROR(__xludf.DUMMYFUNCTION("""COMPUTED_VALUE"""),"Nguyễn Mai Hà Giang ")</f>
        <v xml:space="preserve">Nguyễn Mai Hà Giang </v>
      </c>
      <c r="J1582" s="3" t="str">
        <f ca="1">IFERROR(__xludf.DUMMYFUNCTION("""COMPUTED_VALUE"""),"0869205992")</f>
        <v>0869205992</v>
      </c>
      <c r="K1582" s="2" t="str">
        <f ca="1">IFERROR(__xludf.DUMMYFUNCTION("""COMPUTED_VALUE"""),"1759495948937")</f>
        <v>1759495948937</v>
      </c>
    </row>
    <row r="1583" spans="1:11" ht="12.45">
      <c r="A1583" s="2" t="str">
        <f ca="1">IFERROR(__xludf.DUMMYFUNCTION("""COMPUTED_VALUE"""),"1759495995371")</f>
        <v>1759495995371</v>
      </c>
      <c r="B1583" s="2"/>
      <c r="C1583" s="2" t="str">
        <v>0</v>
      </c>
      <c r="D1583" s="2"/>
      <c r="F1583" s="2" t="str">
        <v>0</v>
      </c>
      <c r="I1583" s="2" t="str">
        <f ca="1">IFERROR(__xludf.DUMMYFUNCTION("""COMPUTED_VALUE"""),"Phạm Hoàng Gia Khang")</f>
        <v>Phạm Hoàng Gia Khang</v>
      </c>
      <c r="J1583" s="3" t="str">
        <f ca="1">IFERROR(__xludf.DUMMYFUNCTION("""COMPUTED_VALUE"""),"0936525018")</f>
        <v>0936525018</v>
      </c>
      <c r="K1583" s="2" t="str">
        <f ca="1">IFERROR(__xludf.DUMMYFUNCTION("""COMPUTED_VALUE"""),"1759495995371")</f>
        <v>1759495995371</v>
      </c>
    </row>
    <row r="1584" spans="1:11" ht="12.45">
      <c r="A1584" s="2" t="str">
        <f ca="1">IFERROR(__xludf.DUMMYFUNCTION("""COMPUTED_VALUE"""),"1759496049418")</f>
        <v>1759496049418</v>
      </c>
      <c r="B1584" s="2"/>
      <c r="C1584" s="2" t="str">
        <v>0</v>
      </c>
      <c r="D1584" s="2"/>
      <c r="F1584" s="2" t="str">
        <v>0</v>
      </c>
      <c r="I1584" s="2" t="str">
        <f ca="1">IFERROR(__xludf.DUMMYFUNCTION("""COMPUTED_VALUE"""),"Hoàng Minh Phương ")</f>
        <v xml:space="preserve">Hoàng Minh Phương </v>
      </c>
      <c r="J1584" s="3" t="str">
        <f ca="1">IFERROR(__xludf.DUMMYFUNCTION("""COMPUTED_VALUE"""),"0394941756")</f>
        <v>0394941756</v>
      </c>
      <c r="K1584" s="2" t="str">
        <f ca="1">IFERROR(__xludf.DUMMYFUNCTION("""COMPUTED_VALUE"""),"1759496049418")</f>
        <v>1759496049418</v>
      </c>
    </row>
    <row r="1585" spans="1:11" ht="12.45">
      <c r="A1585" s="2" t="str">
        <f ca="1">IFERROR(__xludf.DUMMYFUNCTION("""COMPUTED_VALUE"""),"1759496099185")</f>
        <v>1759496099185</v>
      </c>
      <c r="B1585" s="2"/>
      <c r="C1585" s="2" t="str">
        <v>0</v>
      </c>
      <c r="D1585" s="2"/>
      <c r="F1585" s="2" t="str">
        <v>0</v>
      </c>
      <c r="I1585" s="2" t="str">
        <f ca="1">IFERROR(__xludf.DUMMYFUNCTION("""COMPUTED_VALUE"""),"Lê Thuỳ Trang ")</f>
        <v xml:space="preserve">Lê Thuỳ Trang </v>
      </c>
      <c r="J1585" s="3" t="str">
        <f ca="1">IFERROR(__xludf.DUMMYFUNCTION("""COMPUTED_VALUE"""),"0946910929")</f>
        <v>0946910929</v>
      </c>
      <c r="K1585" s="2" t="str">
        <f ca="1">IFERROR(__xludf.DUMMYFUNCTION("""COMPUTED_VALUE"""),"1759496099185")</f>
        <v>1759496099185</v>
      </c>
    </row>
    <row r="1586" spans="1:11" ht="12.45">
      <c r="A1586" s="2" t="str">
        <f ca="1">IFERROR(__xludf.DUMMYFUNCTION("""COMPUTED_VALUE"""),"1759496139369")</f>
        <v>1759496139369</v>
      </c>
      <c r="B1586" s="2"/>
      <c r="C1586" s="2" t="str">
        <v>0</v>
      </c>
      <c r="D1586" s="2"/>
      <c r="F1586" s="2" t="str">
        <v>0</v>
      </c>
      <c r="I1586" s="2" t="str">
        <f ca="1">IFERROR(__xludf.DUMMYFUNCTION("""COMPUTED_VALUE"""),"Vũ Thị Quỳnh Trang ")</f>
        <v xml:space="preserve">Vũ Thị Quỳnh Trang </v>
      </c>
      <c r="J1586" s="3" t="str">
        <f ca="1">IFERROR(__xludf.DUMMYFUNCTION("""COMPUTED_VALUE"""),"0966289806")</f>
        <v>0966289806</v>
      </c>
      <c r="K1586" s="2" t="str">
        <f ca="1">IFERROR(__xludf.DUMMYFUNCTION("""COMPUTED_VALUE"""),"1759496139369")</f>
        <v>1759496139369</v>
      </c>
    </row>
    <row r="1587" spans="1:11" ht="12.45">
      <c r="A1587" s="2" t="str">
        <f ca="1">IFERROR(__xludf.DUMMYFUNCTION("""COMPUTED_VALUE"""),"1759496198205")</f>
        <v>1759496198205</v>
      </c>
      <c r="B1587" s="2"/>
      <c r="C1587" s="2" t="str">
        <v>0</v>
      </c>
      <c r="D1587" s="2"/>
      <c r="F1587" s="2" t="str">
        <v>0</v>
      </c>
      <c r="I1587" s="2" t="str">
        <f ca="1">IFERROR(__xludf.DUMMYFUNCTION("""COMPUTED_VALUE"""),"Khương Thị Minh Hiền ")</f>
        <v xml:space="preserve">Khương Thị Minh Hiền </v>
      </c>
      <c r="J1587" s="3" t="str">
        <f ca="1">IFERROR(__xludf.DUMMYFUNCTION("""COMPUTED_VALUE"""),"0812734989")</f>
        <v>0812734989</v>
      </c>
      <c r="K1587" s="2" t="str">
        <f ca="1">IFERROR(__xludf.DUMMYFUNCTION("""COMPUTED_VALUE"""),"1759496198205")</f>
        <v>1759496198205</v>
      </c>
    </row>
    <row r="1588" spans="1:11" ht="12.45">
      <c r="A1588" s="2" t="str">
        <f ca="1">IFERROR(__xludf.DUMMYFUNCTION("""COMPUTED_VALUE"""),"1759496276681")</f>
        <v>1759496276681</v>
      </c>
      <c r="B1588" s="2"/>
      <c r="C1588" s="2" t="str">
        <v>0</v>
      </c>
      <c r="D1588" s="2"/>
      <c r="F1588" s="2" t="str">
        <v>0</v>
      </c>
      <c r="I1588" s="2" t="str">
        <f ca="1">IFERROR(__xludf.DUMMYFUNCTION("""COMPUTED_VALUE"""),"Lê Thị Thuý Hằng")</f>
        <v>Lê Thị Thuý Hằng</v>
      </c>
      <c r="J1588" s="3" t="str">
        <f ca="1">IFERROR(__xludf.DUMMYFUNCTION("""COMPUTED_VALUE"""),"0338523438")</f>
        <v>0338523438</v>
      </c>
      <c r="K1588" s="2" t="str">
        <f ca="1">IFERROR(__xludf.DUMMYFUNCTION("""COMPUTED_VALUE"""),"1759496276681")</f>
        <v>1759496276681</v>
      </c>
    </row>
    <row r="1589" spans="1:11" ht="12.45">
      <c r="A1589" s="2" t="str">
        <f ca="1">IFERROR(__xludf.DUMMYFUNCTION("""COMPUTED_VALUE"""),"1759496320706")</f>
        <v>1759496320706</v>
      </c>
      <c r="B1589" s="2"/>
      <c r="C1589" s="2" t="str">
        <v>0</v>
      </c>
      <c r="D1589" s="2"/>
      <c r="F1589" s="2" t="str">
        <v>0</v>
      </c>
      <c r="I1589" s="2" t="str">
        <f ca="1">IFERROR(__xludf.DUMMYFUNCTION("""COMPUTED_VALUE"""),"Nguyễn Ngọc Thương")</f>
        <v>Nguyễn Ngọc Thương</v>
      </c>
      <c r="J1589" s="3" t="str">
        <f ca="1">IFERROR(__xludf.DUMMYFUNCTION("""COMPUTED_VALUE"""),"0393835122")</f>
        <v>0393835122</v>
      </c>
      <c r="K1589" s="2" t="str">
        <f ca="1">IFERROR(__xludf.DUMMYFUNCTION("""COMPUTED_VALUE"""),"1759496320706")</f>
        <v>1759496320706</v>
      </c>
    </row>
    <row r="1590" spans="1:11" ht="12.45">
      <c r="A1590" s="2" t="str">
        <f ca="1">IFERROR(__xludf.DUMMYFUNCTION("""COMPUTED_VALUE"""),"1759496365589")</f>
        <v>1759496365589</v>
      </c>
      <c r="B1590" s="2"/>
      <c r="C1590" s="2" t="str">
        <v>0</v>
      </c>
      <c r="D1590" s="2"/>
      <c r="F1590" s="2" t="str">
        <v>0</v>
      </c>
      <c r="I1590" s="2" t="str">
        <f ca="1">IFERROR(__xludf.DUMMYFUNCTION("""COMPUTED_VALUE"""),"Đoàn Phạm Hồng Loan")</f>
        <v>Đoàn Phạm Hồng Loan</v>
      </c>
      <c r="J1590" s="3" t="str">
        <f ca="1">IFERROR(__xludf.DUMMYFUNCTION("""COMPUTED_VALUE"""),"0366643958")</f>
        <v>0366643958</v>
      </c>
      <c r="K1590" s="2" t="str">
        <f ca="1">IFERROR(__xludf.DUMMYFUNCTION("""COMPUTED_VALUE"""),"1759496365589")</f>
        <v>1759496365589</v>
      </c>
    </row>
    <row r="1591" spans="1:11" ht="12.45">
      <c r="A1591" s="2" t="str">
        <f ca="1">IFERROR(__xludf.DUMMYFUNCTION("""COMPUTED_VALUE"""),"1759496428918")</f>
        <v>1759496428918</v>
      </c>
      <c r="B1591" s="2"/>
      <c r="C1591" s="2" t="str">
        <v>0</v>
      </c>
      <c r="D1591" s="2"/>
      <c r="F1591" s="2" t="str">
        <v>0</v>
      </c>
      <c r="I1591" s="2" t="str">
        <f ca="1">IFERROR(__xludf.DUMMYFUNCTION("""COMPUTED_VALUE"""),"Trần Thị Hoàng Lan")</f>
        <v>Trần Thị Hoàng Lan</v>
      </c>
      <c r="J1591" s="3" t="str">
        <f ca="1">IFERROR(__xludf.DUMMYFUNCTION("""COMPUTED_VALUE"""),"0838161669")</f>
        <v>0838161669</v>
      </c>
      <c r="K1591" s="2" t="str">
        <f ca="1">IFERROR(__xludf.DUMMYFUNCTION("""COMPUTED_VALUE"""),"1759496428918")</f>
        <v>1759496428918</v>
      </c>
    </row>
    <row r="1592" spans="1:11" ht="12.45">
      <c r="A1592" s="2" t="str">
        <f ca="1">IFERROR(__xludf.DUMMYFUNCTION("""COMPUTED_VALUE"""),"1759496490719")</f>
        <v>1759496490719</v>
      </c>
      <c r="B1592" s="2"/>
      <c r="C1592" s="2" t="str">
        <v>0</v>
      </c>
      <c r="D1592" s="2"/>
      <c r="F1592" s="2" t="str">
        <v>0</v>
      </c>
      <c r="I1592" s="2" t="str">
        <f ca="1">IFERROR(__xludf.DUMMYFUNCTION("""COMPUTED_VALUE"""),"Lã Hoàng Vy Anh")</f>
        <v>Lã Hoàng Vy Anh</v>
      </c>
      <c r="J1592" s="3" t="str">
        <f ca="1">IFERROR(__xludf.DUMMYFUNCTION("""COMPUTED_VALUE"""),"0915348708")</f>
        <v>0915348708</v>
      </c>
      <c r="K1592" s="2" t="str">
        <f ca="1">IFERROR(__xludf.DUMMYFUNCTION("""COMPUTED_VALUE"""),"1759496490719")</f>
        <v>1759496490719</v>
      </c>
    </row>
    <row r="1593" spans="1:11" ht="12.45">
      <c r="A1593" s="2" t="str">
        <f ca="1">IFERROR(__xludf.DUMMYFUNCTION("""COMPUTED_VALUE"""),"1759496547306")</f>
        <v>1759496547306</v>
      </c>
      <c r="B1593" s="2"/>
      <c r="C1593" s="2" t="str">
        <v>0</v>
      </c>
      <c r="D1593" s="2"/>
      <c r="F1593" s="2" t="str">
        <v>0</v>
      </c>
      <c r="I1593" s="2" t="str">
        <f ca="1">IFERROR(__xludf.DUMMYFUNCTION("""COMPUTED_VALUE"""),"Nguyễn Nhật Khánh Ân")</f>
        <v>Nguyễn Nhật Khánh Ân</v>
      </c>
      <c r="J1593" s="3" t="str">
        <f ca="1">IFERROR(__xludf.DUMMYFUNCTION("""COMPUTED_VALUE"""),"0898126314")</f>
        <v>0898126314</v>
      </c>
      <c r="K1593" s="2" t="str">
        <f ca="1">IFERROR(__xludf.DUMMYFUNCTION("""COMPUTED_VALUE"""),"1759496547306")</f>
        <v>1759496547306</v>
      </c>
    </row>
    <row r="1594" spans="1:11" ht="12.45">
      <c r="A1594" s="2" t="str">
        <f ca="1">IFERROR(__xludf.DUMMYFUNCTION("""COMPUTED_VALUE"""),"1759496599931")</f>
        <v>1759496599931</v>
      </c>
      <c r="B1594" s="2"/>
      <c r="C1594" s="2" t="str">
        <v>0</v>
      </c>
      <c r="D1594" s="2"/>
      <c r="F1594" s="2" t="str">
        <v>0</v>
      </c>
      <c r="I1594" s="2" t="str">
        <f ca="1">IFERROR(__xludf.DUMMYFUNCTION("""COMPUTED_VALUE"""),"Nguyễn Thanh Bảo Ngọc")</f>
        <v>Nguyễn Thanh Bảo Ngọc</v>
      </c>
      <c r="J1594" s="3" t="str">
        <f ca="1">IFERROR(__xludf.DUMMYFUNCTION("""COMPUTED_VALUE"""),"0939512732")</f>
        <v>0939512732</v>
      </c>
      <c r="K1594" s="2" t="str">
        <f ca="1">IFERROR(__xludf.DUMMYFUNCTION("""COMPUTED_VALUE"""),"1759496599931")</f>
        <v>1759496599931</v>
      </c>
    </row>
    <row r="1595" spans="1:11" ht="12.45">
      <c r="A1595" s="2" t="str">
        <f ca="1">IFERROR(__xludf.DUMMYFUNCTION("""COMPUTED_VALUE"""),"1759496647326")</f>
        <v>1759496647326</v>
      </c>
      <c r="B1595" s="2"/>
      <c r="C1595" s="2" t="str">
        <v>0</v>
      </c>
      <c r="D1595" s="2"/>
      <c r="F1595" s="2" t="str">
        <v>0</v>
      </c>
      <c r="I1595" s="2" t="str">
        <f ca="1">IFERROR(__xludf.DUMMYFUNCTION("""COMPUTED_VALUE"""),"Nguyễn Thị Linh Sương")</f>
        <v>Nguyễn Thị Linh Sương</v>
      </c>
      <c r="J1595" s="3" t="str">
        <f ca="1">IFERROR(__xludf.DUMMYFUNCTION("""COMPUTED_VALUE"""),"0948208797")</f>
        <v>0948208797</v>
      </c>
      <c r="K1595" s="2" t="str">
        <f ca="1">IFERROR(__xludf.DUMMYFUNCTION("""COMPUTED_VALUE"""),"1759496647326")</f>
        <v>1759496647326</v>
      </c>
    </row>
    <row r="1596" spans="1:11" ht="12.45">
      <c r="A1596" s="2" t="str">
        <f ca="1">IFERROR(__xludf.DUMMYFUNCTION("""COMPUTED_VALUE"""),"1759496696399")</f>
        <v>1759496696399</v>
      </c>
      <c r="B1596" s="2"/>
      <c r="C1596" s="2" t="str">
        <v>0</v>
      </c>
      <c r="D1596" s="2"/>
      <c r="F1596" s="2" t="str">
        <v>0</v>
      </c>
      <c r="I1596" s="2" t="str">
        <f ca="1">IFERROR(__xludf.DUMMYFUNCTION("""COMPUTED_VALUE"""),"Nguyễn Võ Tâm Đoan")</f>
        <v>Nguyễn Võ Tâm Đoan</v>
      </c>
      <c r="J1596" s="3" t="str">
        <f ca="1">IFERROR(__xludf.DUMMYFUNCTION("""COMPUTED_VALUE"""),"0342496346")</f>
        <v>0342496346</v>
      </c>
      <c r="K1596" s="2" t="str">
        <f ca="1">IFERROR(__xludf.DUMMYFUNCTION("""COMPUTED_VALUE"""),"1759496696399")</f>
        <v>1759496696399</v>
      </c>
    </row>
    <row r="1597" spans="1:11" ht="12.45">
      <c r="A1597" s="2" t="str">
        <f ca="1">IFERROR(__xludf.DUMMYFUNCTION("""COMPUTED_VALUE"""),"1759496751334")</f>
        <v>1759496751334</v>
      </c>
      <c r="B1597" s="2"/>
      <c r="C1597" s="2" t="str">
        <v>0</v>
      </c>
      <c r="D1597" s="2"/>
      <c r="F1597" s="2" t="str">
        <v>0</v>
      </c>
      <c r="I1597" s="2" t="str">
        <f ca="1">IFERROR(__xludf.DUMMYFUNCTION("""COMPUTED_VALUE"""),"Lê Thảo Nguyên")</f>
        <v>Lê Thảo Nguyên</v>
      </c>
      <c r="J1597" s="3" t="str">
        <f ca="1">IFERROR(__xludf.DUMMYFUNCTION("""COMPUTED_VALUE"""),"0919106639")</f>
        <v>0919106639</v>
      </c>
      <c r="K1597" s="2" t="str">
        <f ca="1">IFERROR(__xludf.DUMMYFUNCTION("""COMPUTED_VALUE"""),"1759496751334")</f>
        <v>1759496751334</v>
      </c>
    </row>
    <row r="1598" spans="1:11" ht="12.45">
      <c r="A1598" s="2" t="str">
        <f ca="1">IFERROR(__xludf.DUMMYFUNCTION("""COMPUTED_VALUE"""),"1759496803242")</f>
        <v>1759496803242</v>
      </c>
      <c r="B1598" s="2"/>
      <c r="C1598" s="2" t="str">
        <v>0</v>
      </c>
      <c r="D1598" s="2"/>
      <c r="F1598" s="2" t="str">
        <v>0</v>
      </c>
      <c r="I1598" s="2" t="str">
        <f ca="1">IFERROR(__xludf.DUMMYFUNCTION("""COMPUTED_VALUE"""),"Nguyễn Thanh Ngân ")</f>
        <v xml:space="preserve">Nguyễn Thanh Ngân </v>
      </c>
      <c r="J1598" s="3" t="str">
        <f ca="1">IFERROR(__xludf.DUMMYFUNCTION("""COMPUTED_VALUE"""),"0933552227")</f>
        <v>0933552227</v>
      </c>
      <c r="K1598" s="2" t="str">
        <f ca="1">IFERROR(__xludf.DUMMYFUNCTION("""COMPUTED_VALUE"""),"1759496803242")</f>
        <v>1759496803242</v>
      </c>
    </row>
    <row r="1599" spans="1:11" ht="12.45">
      <c r="A1599" s="2" t="str">
        <f ca="1">IFERROR(__xludf.DUMMYFUNCTION("""COMPUTED_VALUE"""),"1759496852710")</f>
        <v>1759496852710</v>
      </c>
      <c r="B1599" s="2"/>
      <c r="C1599" s="2" t="str">
        <v>0</v>
      </c>
      <c r="D1599" s="2"/>
      <c r="F1599" s="2" t="str">
        <v>0</v>
      </c>
      <c r="I1599" s="2" t="str">
        <f ca="1">IFERROR(__xludf.DUMMYFUNCTION("""COMPUTED_VALUE"""),"Võ Quỳnh Như")</f>
        <v>Võ Quỳnh Như</v>
      </c>
      <c r="J1599" s="3" t="str">
        <f ca="1">IFERROR(__xludf.DUMMYFUNCTION("""COMPUTED_VALUE"""),"0822041056")</f>
        <v>0822041056</v>
      </c>
      <c r="K1599" s="2" t="str">
        <f ca="1">IFERROR(__xludf.DUMMYFUNCTION("""COMPUTED_VALUE"""),"1759496852710")</f>
        <v>1759496852710</v>
      </c>
    </row>
    <row r="1600" spans="1:11" ht="12.45">
      <c r="A1600" s="2" t="str">
        <f ca="1">IFERROR(__xludf.DUMMYFUNCTION("""COMPUTED_VALUE"""),"1759496903020")</f>
        <v>1759496903020</v>
      </c>
      <c r="B1600" s="2"/>
      <c r="C1600" s="2" t="str">
        <v>0</v>
      </c>
      <c r="D1600" s="2"/>
      <c r="F1600" s="2" t="str">
        <v>0</v>
      </c>
      <c r="I1600" s="2" t="str">
        <f ca="1">IFERROR(__xludf.DUMMYFUNCTION("""COMPUTED_VALUE"""),"Nguyễn Thị Yến")</f>
        <v>Nguyễn Thị Yến</v>
      </c>
      <c r="J1600" s="3" t="str">
        <f ca="1">IFERROR(__xludf.DUMMYFUNCTION("""COMPUTED_VALUE"""),"0345433425")</f>
        <v>0345433425</v>
      </c>
      <c r="K1600" s="2" t="str">
        <f ca="1">IFERROR(__xludf.DUMMYFUNCTION("""COMPUTED_VALUE"""),"1759496903020")</f>
        <v>1759496903020</v>
      </c>
    </row>
    <row r="1601" spans="1:11" ht="12.45">
      <c r="A1601" s="2" t="str">
        <f ca="1">IFERROR(__xludf.DUMMYFUNCTION("""COMPUTED_VALUE"""),"1759496952417")</f>
        <v>1759496952417</v>
      </c>
      <c r="B1601" s="2"/>
      <c r="C1601" s="2" t="str">
        <v>0</v>
      </c>
      <c r="D1601" s="2"/>
      <c r="F1601" s="2" t="str">
        <v>0</v>
      </c>
      <c r="I1601" s="2" t="str">
        <f ca="1">IFERROR(__xludf.DUMMYFUNCTION("""COMPUTED_VALUE"""),"Nguyễn Thị My My ")</f>
        <v xml:space="preserve">Nguyễn Thị My My </v>
      </c>
      <c r="J1601" s="3" t="str">
        <f ca="1">IFERROR(__xludf.DUMMYFUNCTION("""COMPUTED_VALUE"""),"0907526040")</f>
        <v>0907526040</v>
      </c>
      <c r="K1601" s="2" t="str">
        <f ca="1">IFERROR(__xludf.DUMMYFUNCTION("""COMPUTED_VALUE"""),"1759496952417")</f>
        <v>1759496952417</v>
      </c>
    </row>
    <row r="1602" spans="1:11" ht="12.45">
      <c r="A1602" s="2" t="str">
        <f ca="1">IFERROR(__xludf.DUMMYFUNCTION("""COMPUTED_VALUE"""),"1759497002262")</f>
        <v>1759497002262</v>
      </c>
      <c r="B1602" s="2"/>
      <c r="C1602" s="2" t="str">
        <v>0</v>
      </c>
      <c r="D1602" s="2"/>
      <c r="F1602" s="2" t="str">
        <v>0</v>
      </c>
      <c r="I1602" s="2" t="str">
        <f ca="1">IFERROR(__xludf.DUMMYFUNCTION("""COMPUTED_VALUE"""),"Nông Thị Kim Ngân")</f>
        <v>Nông Thị Kim Ngân</v>
      </c>
      <c r="J1602" s="3" t="str">
        <f ca="1">IFERROR(__xludf.DUMMYFUNCTION("""COMPUTED_VALUE"""),"0825323705")</f>
        <v>0825323705</v>
      </c>
      <c r="K1602" s="2" t="str">
        <f ca="1">IFERROR(__xludf.DUMMYFUNCTION("""COMPUTED_VALUE"""),"1759497002262")</f>
        <v>1759497002262</v>
      </c>
    </row>
    <row r="1603" spans="1:11" ht="12.45">
      <c r="A1603" s="2" t="str">
        <f ca="1">IFERROR(__xludf.DUMMYFUNCTION("""COMPUTED_VALUE"""),"1759497048070")</f>
        <v>1759497048070</v>
      </c>
      <c r="B1603" s="2"/>
      <c r="C1603" s="2" t="str">
        <v>0</v>
      </c>
      <c r="D1603" s="2"/>
      <c r="F1603" s="2" t="str">
        <v>0</v>
      </c>
      <c r="I1603" s="2" t="str">
        <f ca="1">IFERROR(__xludf.DUMMYFUNCTION("""COMPUTED_VALUE"""),"Lê Thị Thuỳ Linh")</f>
        <v>Lê Thị Thuỳ Linh</v>
      </c>
      <c r="J1603" s="3" t="str">
        <f ca="1">IFERROR(__xludf.DUMMYFUNCTION("""COMPUTED_VALUE"""),"0354162044")</f>
        <v>0354162044</v>
      </c>
      <c r="K1603" s="2" t="str">
        <f ca="1">IFERROR(__xludf.DUMMYFUNCTION("""COMPUTED_VALUE"""),"1759497048070")</f>
        <v>1759497048070</v>
      </c>
    </row>
    <row r="1604" spans="1:11" ht="12.45">
      <c r="A1604" s="2" t="str">
        <f ca="1">IFERROR(__xludf.DUMMYFUNCTION("""COMPUTED_VALUE"""),"1759497118882")</f>
        <v>1759497118882</v>
      </c>
      <c r="B1604" s="2"/>
      <c r="C1604" s="2" t="str">
        <v>0</v>
      </c>
      <c r="D1604" s="2"/>
      <c r="F1604" s="2" t="str">
        <v>0</v>
      </c>
      <c r="I1604" s="2" t="str">
        <f ca="1">IFERROR(__xludf.DUMMYFUNCTION("""COMPUTED_VALUE"""),"Đỗ Phước Thi Đình")</f>
        <v>Đỗ Phước Thi Đình</v>
      </c>
      <c r="J1604" s="3" t="str">
        <f ca="1">IFERROR(__xludf.DUMMYFUNCTION("""COMPUTED_VALUE"""),"0837877760")</f>
        <v>0837877760</v>
      </c>
      <c r="K1604" s="2" t="str">
        <f ca="1">IFERROR(__xludf.DUMMYFUNCTION("""COMPUTED_VALUE"""),"1759497118882")</f>
        <v>1759497118882</v>
      </c>
    </row>
    <row r="1605" spans="1:11" ht="12.45">
      <c r="A1605" s="2" t="str">
        <f ca="1">IFERROR(__xludf.DUMMYFUNCTION("""COMPUTED_VALUE"""),"1759497163453")</f>
        <v>1759497163453</v>
      </c>
      <c r="B1605" s="2"/>
      <c r="C1605" s="2" t="str">
        <v>0</v>
      </c>
      <c r="D1605" s="2"/>
      <c r="F1605" s="2" t="str">
        <v>0</v>
      </c>
      <c r="I1605" s="2" t="str">
        <f ca="1">IFERROR(__xludf.DUMMYFUNCTION("""COMPUTED_VALUE"""),"LÊ BỘI NGỌC THƯƠNG")</f>
        <v>LÊ BỘI NGỌC THƯƠNG</v>
      </c>
      <c r="J1605" s="3" t="str">
        <f ca="1">IFERROR(__xludf.DUMMYFUNCTION("""COMPUTED_VALUE"""),"0886449176")</f>
        <v>0886449176</v>
      </c>
      <c r="K1605" s="2" t="str">
        <f ca="1">IFERROR(__xludf.DUMMYFUNCTION("""COMPUTED_VALUE"""),"1759497163453")</f>
        <v>1759497163453</v>
      </c>
    </row>
    <row r="1606" spans="1:11" ht="12.45">
      <c r="A1606" s="2" t="str">
        <f ca="1">IFERROR(__xludf.DUMMYFUNCTION("""COMPUTED_VALUE"""),"1759497217985")</f>
        <v>1759497217985</v>
      </c>
      <c r="B1606" s="2"/>
      <c r="C1606" s="2" t="str">
        <v>0</v>
      </c>
      <c r="D1606" s="2"/>
      <c r="F1606" s="2" t="str">
        <v>0</v>
      </c>
      <c r="I1606" s="2" t="str">
        <f ca="1">IFERROR(__xludf.DUMMYFUNCTION("""COMPUTED_VALUE"""),"Trần Thị Hương Giang")</f>
        <v>Trần Thị Hương Giang</v>
      </c>
      <c r="J1606" s="3" t="str">
        <f ca="1">IFERROR(__xludf.DUMMYFUNCTION("""COMPUTED_VALUE"""),"0908661059")</f>
        <v>0908661059</v>
      </c>
      <c r="K1606" s="2" t="str">
        <f ca="1">IFERROR(__xludf.DUMMYFUNCTION("""COMPUTED_VALUE"""),"1759497217985")</f>
        <v>1759497217985</v>
      </c>
    </row>
    <row r="1607" spans="1:11" ht="12.45">
      <c r="A1607" s="2" t="str">
        <f ca="1">IFERROR(__xludf.DUMMYFUNCTION("""COMPUTED_VALUE"""),"1759497297389")</f>
        <v>1759497297389</v>
      </c>
      <c r="B1607" s="2"/>
      <c r="C1607" s="2" t="str">
        <v>0</v>
      </c>
      <c r="D1607" s="2"/>
      <c r="F1607" s="2" t="str">
        <v>0</v>
      </c>
      <c r="I1607" s="2" t="str">
        <f ca="1">IFERROR(__xludf.DUMMYFUNCTION("""COMPUTED_VALUE"""),"HUỲNH HOÀNG YẾN ANH")</f>
        <v>HUỲNH HOÀNG YẾN ANH</v>
      </c>
      <c r="J1607" s="3" t="str">
        <f ca="1">IFERROR(__xludf.DUMMYFUNCTION("""COMPUTED_VALUE"""),"0706896663")</f>
        <v>0706896663</v>
      </c>
      <c r="K1607" s="2" t="str">
        <f ca="1">IFERROR(__xludf.DUMMYFUNCTION("""COMPUTED_VALUE"""),"1759497297389")</f>
        <v>1759497297389</v>
      </c>
    </row>
    <row r="1608" spans="1:11" ht="12.45">
      <c r="A1608" s="2" t="str">
        <f ca="1">IFERROR(__xludf.DUMMYFUNCTION("""COMPUTED_VALUE"""),"1759497339462")</f>
        <v>1759497339462</v>
      </c>
      <c r="B1608" s="2"/>
      <c r="C1608" s="2" t="str">
        <v>0</v>
      </c>
      <c r="D1608" s="2"/>
      <c r="F1608" s="2" t="str">
        <v>0</v>
      </c>
      <c r="I1608" s="2" t="str">
        <f ca="1">IFERROR(__xludf.DUMMYFUNCTION("""COMPUTED_VALUE"""),"Đàm Thuỳ Trang")</f>
        <v>Đàm Thuỳ Trang</v>
      </c>
      <c r="J1608" s="3" t="str">
        <f ca="1">IFERROR(__xludf.DUMMYFUNCTION("""COMPUTED_VALUE"""),"0326286461")</f>
        <v>0326286461</v>
      </c>
      <c r="K1608" s="2" t="str">
        <f ca="1">IFERROR(__xludf.DUMMYFUNCTION("""COMPUTED_VALUE"""),"1759497339462")</f>
        <v>1759497339462</v>
      </c>
    </row>
    <row r="1609" spans="1:11" ht="12.45">
      <c r="A1609" s="2" t="str">
        <f ca="1">IFERROR(__xludf.DUMMYFUNCTION("""COMPUTED_VALUE"""),"1759497376412")</f>
        <v>1759497376412</v>
      </c>
      <c r="B1609" s="2"/>
      <c r="C1609" s="2" t="str">
        <v>0</v>
      </c>
      <c r="D1609" s="2"/>
      <c r="F1609" s="2" t="str">
        <v>0</v>
      </c>
      <c r="I1609" s="2" t="str">
        <f ca="1">IFERROR(__xludf.DUMMYFUNCTION("""COMPUTED_VALUE"""),"Trần Diễm Quỳnh")</f>
        <v>Trần Diễm Quỳnh</v>
      </c>
      <c r="J1609" s="3" t="str">
        <f ca="1">IFERROR(__xludf.DUMMYFUNCTION("""COMPUTED_VALUE"""),"0366987720")</f>
        <v>0366987720</v>
      </c>
      <c r="K1609" s="2" t="str">
        <f ca="1">IFERROR(__xludf.DUMMYFUNCTION("""COMPUTED_VALUE"""),"1759497376412")</f>
        <v>1759497376412</v>
      </c>
    </row>
    <row r="1610" spans="1:11" ht="12.45">
      <c r="A1610" s="2" t="str">
        <f ca="1">IFERROR(__xludf.DUMMYFUNCTION("""COMPUTED_VALUE"""),"1759497447560")</f>
        <v>1759497447560</v>
      </c>
      <c r="B1610" s="2"/>
      <c r="C1610" s="2" t="str">
        <v>0</v>
      </c>
      <c r="D1610" s="2"/>
      <c r="F1610" s="2" t="str">
        <v>0</v>
      </c>
      <c r="I1610" s="2" t="str">
        <f ca="1">IFERROR(__xludf.DUMMYFUNCTION("""COMPUTED_VALUE"""),"Nguyễn Thị Mỹ Tài")</f>
        <v>Nguyễn Thị Mỹ Tài</v>
      </c>
      <c r="J1610" s="3" t="str">
        <f ca="1">IFERROR(__xludf.DUMMYFUNCTION("""COMPUTED_VALUE"""),"0346120280")</f>
        <v>0346120280</v>
      </c>
      <c r="K1610" s="2" t="str">
        <f ca="1">IFERROR(__xludf.DUMMYFUNCTION("""COMPUTED_VALUE"""),"1759497447560")</f>
        <v>1759497447560</v>
      </c>
    </row>
    <row r="1611" spans="1:11" ht="12.45">
      <c r="A1611" s="2" t="str">
        <f ca="1">IFERROR(__xludf.DUMMYFUNCTION("""COMPUTED_VALUE"""),"1759497525683")</f>
        <v>1759497525683</v>
      </c>
      <c r="B1611" s="2"/>
      <c r="C1611" s="2" t="str">
        <v>0</v>
      </c>
      <c r="D1611" s="2"/>
      <c r="F1611" s="2" t="str">
        <v>0</v>
      </c>
      <c r="I1611" s="2" t="str">
        <f ca="1">IFERROR(__xludf.DUMMYFUNCTION("""COMPUTED_VALUE"""),"Phạm Vũ Vân Anh")</f>
        <v>Phạm Vũ Vân Anh</v>
      </c>
      <c r="J1611" s="3" t="str">
        <f ca="1">IFERROR(__xludf.DUMMYFUNCTION("""COMPUTED_VALUE"""),"0945090907")</f>
        <v>0945090907</v>
      </c>
      <c r="K1611" s="2" t="str">
        <f ca="1">IFERROR(__xludf.DUMMYFUNCTION("""COMPUTED_VALUE"""),"1759497525683")</f>
        <v>1759497525683</v>
      </c>
    </row>
    <row r="1612" spans="1:11" ht="12.45">
      <c r="A1612" s="2" t="str">
        <f ca="1">IFERROR(__xludf.DUMMYFUNCTION("""COMPUTED_VALUE"""),"1759497615848")</f>
        <v>1759497615848</v>
      </c>
      <c r="B1612" s="2"/>
      <c r="C1612" s="2" t="str">
        <v>0</v>
      </c>
      <c r="D1612" s="2"/>
      <c r="F1612" s="2" t="str">
        <v>0</v>
      </c>
      <c r="I1612" s="2" t="str">
        <f ca="1">IFERROR(__xludf.DUMMYFUNCTION("""COMPUTED_VALUE"""),"Vũ Phương Thảo")</f>
        <v>Vũ Phương Thảo</v>
      </c>
      <c r="J1612" s="3" t="str">
        <f ca="1">IFERROR(__xludf.DUMMYFUNCTION("""COMPUTED_VALUE"""),"0916145745")</f>
        <v>0916145745</v>
      </c>
      <c r="K1612" s="2" t="str">
        <f ca="1">IFERROR(__xludf.DUMMYFUNCTION("""COMPUTED_VALUE"""),"1759497615848")</f>
        <v>1759497615848</v>
      </c>
    </row>
    <row r="1613" spans="1:11" ht="12.45">
      <c r="A1613" s="2" t="str">
        <f ca="1">IFERROR(__xludf.DUMMYFUNCTION("""COMPUTED_VALUE"""),"1759497682378")</f>
        <v>1759497682378</v>
      </c>
      <c r="B1613" s="2"/>
      <c r="C1613" s="2" t="str">
        <v>0</v>
      </c>
      <c r="D1613" s="2"/>
      <c r="F1613" s="2" t="str">
        <v>0</v>
      </c>
      <c r="I1613" s="2" t="str">
        <f ca="1">IFERROR(__xludf.DUMMYFUNCTION("""COMPUTED_VALUE"""),"Nguyễn Thị Thúy Hồng")</f>
        <v>Nguyễn Thị Thúy Hồng</v>
      </c>
      <c r="J1613" s="3" t="str">
        <f ca="1">IFERROR(__xludf.DUMMYFUNCTION("""COMPUTED_VALUE"""),"0368662996")</f>
        <v>0368662996</v>
      </c>
      <c r="K1613" s="2" t="str">
        <f ca="1">IFERROR(__xludf.DUMMYFUNCTION("""COMPUTED_VALUE"""),"1759497682378")</f>
        <v>1759497682378</v>
      </c>
    </row>
    <row r="1614" spans="1:11" ht="12.45">
      <c r="A1614" s="2" t="str">
        <f ca="1">IFERROR(__xludf.DUMMYFUNCTION("""COMPUTED_VALUE"""),"1759497737250")</f>
        <v>1759497737250</v>
      </c>
      <c r="B1614" s="2"/>
      <c r="C1614" s="2" t="str">
        <v>0</v>
      </c>
      <c r="D1614" s="2"/>
      <c r="F1614" s="2" t="str">
        <v>0</v>
      </c>
      <c r="I1614" s="2" t="str">
        <f ca="1">IFERROR(__xludf.DUMMYFUNCTION("""COMPUTED_VALUE"""),"Đinh Võ Gia Nghi")</f>
        <v>Đinh Võ Gia Nghi</v>
      </c>
      <c r="J1614" s="3" t="str">
        <f ca="1">IFERROR(__xludf.DUMMYFUNCTION("""COMPUTED_VALUE"""),"0353368591")</f>
        <v>0353368591</v>
      </c>
      <c r="K1614" s="2" t="str">
        <f ca="1">IFERROR(__xludf.DUMMYFUNCTION("""COMPUTED_VALUE"""),"1759497737250")</f>
        <v>1759497737250</v>
      </c>
    </row>
    <row r="1615" spans="1:11" ht="12.45">
      <c r="A1615" s="2" t="str">
        <f ca="1">IFERROR(__xludf.DUMMYFUNCTION("""COMPUTED_VALUE"""),"1759497810004")</f>
        <v>1759497810004</v>
      </c>
      <c r="B1615" s="2"/>
      <c r="C1615" s="2" t="str">
        <v>0</v>
      </c>
      <c r="D1615" s="2"/>
      <c r="F1615" s="2" t="str">
        <v>0</v>
      </c>
      <c r="I1615" s="2" t="str">
        <f ca="1">IFERROR(__xludf.DUMMYFUNCTION("""COMPUTED_VALUE"""),"Dương Thị Mỹ Tâm ")</f>
        <v xml:space="preserve">Dương Thị Mỹ Tâm </v>
      </c>
      <c r="J1615" s="3" t="str">
        <f ca="1">IFERROR(__xludf.DUMMYFUNCTION("""COMPUTED_VALUE"""),"0869816330")</f>
        <v>0869816330</v>
      </c>
      <c r="K1615" s="2" t="str">
        <f ca="1">IFERROR(__xludf.DUMMYFUNCTION("""COMPUTED_VALUE"""),"1759497810004")</f>
        <v>1759497810004</v>
      </c>
    </row>
    <row r="1616" spans="1:11" ht="12.45">
      <c r="A1616" s="2" t="str">
        <f ca="1">IFERROR(__xludf.DUMMYFUNCTION("""COMPUTED_VALUE"""),"1759497882551")</f>
        <v>1759497882551</v>
      </c>
      <c r="B1616" s="2"/>
      <c r="C1616" s="2" t="str">
        <v>0</v>
      </c>
      <c r="D1616" s="2"/>
      <c r="F1616" s="2" t="str">
        <v>0</v>
      </c>
      <c r="I1616" s="2" t="str">
        <f ca="1">IFERROR(__xludf.DUMMYFUNCTION("""COMPUTED_VALUE"""),"Nguyễn Lương Kỳ Duyên")</f>
        <v>Nguyễn Lương Kỳ Duyên</v>
      </c>
      <c r="J1616" s="3" t="str">
        <f ca="1">IFERROR(__xludf.DUMMYFUNCTION("""COMPUTED_VALUE"""),"0379088708")</f>
        <v>0379088708</v>
      </c>
      <c r="K1616" s="2" t="str">
        <f ca="1">IFERROR(__xludf.DUMMYFUNCTION("""COMPUTED_VALUE"""),"1759497882551")</f>
        <v>1759497882551</v>
      </c>
    </row>
    <row r="1617" spans="1:11" ht="12.45">
      <c r="A1617" s="2" t="str">
        <f ca="1">IFERROR(__xludf.DUMMYFUNCTION("""COMPUTED_VALUE"""),"1759497961164")</f>
        <v>1759497961164</v>
      </c>
      <c r="B1617" s="2"/>
      <c r="C1617" s="2" t="str">
        <v>0</v>
      </c>
      <c r="D1617" s="2"/>
      <c r="F1617" s="2" t="str">
        <v>0</v>
      </c>
      <c r="I1617" s="2" t="str">
        <f ca="1">IFERROR(__xludf.DUMMYFUNCTION("""COMPUTED_VALUE"""),"Nguyễn Phát Chi Hân")</f>
        <v>Nguyễn Phát Chi Hân</v>
      </c>
      <c r="J1617" s="3" t="str">
        <f ca="1">IFERROR(__xludf.DUMMYFUNCTION("""COMPUTED_VALUE"""),"0968241280")</f>
        <v>0968241280</v>
      </c>
      <c r="K1617" s="2" t="str">
        <f ca="1">IFERROR(__xludf.DUMMYFUNCTION("""COMPUTED_VALUE"""),"1759497961164")</f>
        <v>1759497961164</v>
      </c>
    </row>
    <row r="1618" spans="1:11" ht="12.45">
      <c r="A1618" s="2" t="str">
        <f ca="1">IFERROR(__xludf.DUMMYFUNCTION("""COMPUTED_VALUE"""),"1759498009307")</f>
        <v>1759498009307</v>
      </c>
      <c r="B1618" s="2"/>
      <c r="C1618" s="2" t="str">
        <v>0</v>
      </c>
      <c r="D1618" s="2"/>
      <c r="F1618" s="2" t="str">
        <v>0</v>
      </c>
      <c r="I1618" s="2" t="str">
        <f ca="1">IFERROR(__xludf.DUMMYFUNCTION("""COMPUTED_VALUE"""),"Châu Trần Nguyên Thảo")</f>
        <v>Châu Trần Nguyên Thảo</v>
      </c>
      <c r="J1618" s="3" t="str">
        <f ca="1">IFERROR(__xludf.DUMMYFUNCTION("""COMPUTED_VALUE"""),"0332918141")</f>
        <v>0332918141</v>
      </c>
      <c r="K1618" s="2" t="str">
        <f ca="1">IFERROR(__xludf.DUMMYFUNCTION("""COMPUTED_VALUE"""),"1759498009307")</f>
        <v>1759498009307</v>
      </c>
    </row>
    <row r="1619" spans="1:11" ht="12.45">
      <c r="A1619" s="2" t="str">
        <f ca="1">IFERROR(__xludf.DUMMYFUNCTION("""COMPUTED_VALUE"""),"1759498097162")</f>
        <v>1759498097162</v>
      </c>
      <c r="B1619" s="2"/>
      <c r="C1619" s="2" t="str">
        <v>0</v>
      </c>
      <c r="D1619" s="2"/>
      <c r="F1619" s="2" t="str">
        <v>0</v>
      </c>
      <c r="I1619" s="2" t="str">
        <f ca="1">IFERROR(__xludf.DUMMYFUNCTION("""COMPUTED_VALUE"""),"Nguyễn thị kim ngân ")</f>
        <v xml:space="preserve">Nguyễn thị kim ngân </v>
      </c>
      <c r="J1619" s="3" t="str">
        <f ca="1">IFERROR(__xludf.DUMMYFUNCTION("""COMPUTED_VALUE"""),"0337741257")</f>
        <v>0337741257</v>
      </c>
      <c r="K1619" s="2" t="str">
        <f ca="1">IFERROR(__xludf.DUMMYFUNCTION("""COMPUTED_VALUE"""),"1759498097162")</f>
        <v>1759498097162</v>
      </c>
    </row>
    <row r="1620" spans="1:11" ht="12.45">
      <c r="A1620" s="2" t="str">
        <f ca="1">IFERROR(__xludf.DUMMYFUNCTION("""COMPUTED_VALUE"""),"1759498171631")</f>
        <v>1759498171631</v>
      </c>
      <c r="B1620" s="2"/>
      <c r="C1620" s="2" t="str">
        <v>0</v>
      </c>
      <c r="D1620" s="2"/>
      <c r="F1620" s="2" t="str">
        <v>0</v>
      </c>
      <c r="I1620" s="2" t="str">
        <f ca="1">IFERROR(__xludf.DUMMYFUNCTION("""COMPUTED_VALUE"""),"Nguyễn Văn Tài")</f>
        <v>Nguyễn Văn Tài</v>
      </c>
      <c r="J1620" s="3" t="str">
        <f ca="1">IFERROR(__xludf.DUMMYFUNCTION("""COMPUTED_VALUE"""),"0945048059")</f>
        <v>0945048059</v>
      </c>
      <c r="K1620" s="2" t="str">
        <f ca="1">IFERROR(__xludf.DUMMYFUNCTION("""COMPUTED_VALUE"""),"1759498171631")</f>
        <v>1759498171631</v>
      </c>
    </row>
    <row r="1621" spans="1:11" ht="12.45">
      <c r="A1621" s="2" t="str">
        <f ca="1">IFERROR(__xludf.DUMMYFUNCTION("""COMPUTED_VALUE"""),"1759498226296")</f>
        <v>1759498226296</v>
      </c>
      <c r="B1621" s="2"/>
      <c r="C1621" s="2" t="str">
        <v>0</v>
      </c>
      <c r="D1621" s="2"/>
      <c r="F1621" s="2" t="str">
        <v>0</v>
      </c>
      <c r="I1621" s="2" t="str">
        <f ca="1">IFERROR(__xludf.DUMMYFUNCTION("""COMPUTED_VALUE"""),"Huỳnh Nguyễn Hoài Ngọc")</f>
        <v>Huỳnh Nguyễn Hoài Ngọc</v>
      </c>
      <c r="J1621" s="3" t="str">
        <f ca="1">IFERROR(__xludf.DUMMYFUNCTION("""COMPUTED_VALUE"""),"0905411687")</f>
        <v>0905411687</v>
      </c>
      <c r="K1621" s="2" t="str">
        <f ca="1">IFERROR(__xludf.DUMMYFUNCTION("""COMPUTED_VALUE"""),"1759498226296")</f>
        <v>1759498226296</v>
      </c>
    </row>
    <row r="1622" spans="1:11" ht="12.45">
      <c r="A1622" s="2" t="str">
        <f ca="1">IFERROR(__xludf.DUMMYFUNCTION("""COMPUTED_VALUE"""),"1759498267755")</f>
        <v>1759498267755</v>
      </c>
      <c r="B1622" s="2"/>
      <c r="C1622" s="2" t="str">
        <v>0</v>
      </c>
      <c r="D1622" s="2"/>
      <c r="F1622" s="2" t="str">
        <v>0</v>
      </c>
      <c r="I1622" s="2" t="str">
        <f ca="1">IFERROR(__xludf.DUMMYFUNCTION("""COMPUTED_VALUE"""),"Lê Kim Ngân")</f>
        <v>Lê Kim Ngân</v>
      </c>
      <c r="J1622" s="3" t="str">
        <f ca="1">IFERROR(__xludf.DUMMYFUNCTION("""COMPUTED_VALUE"""),"0376009544")</f>
        <v>0376009544</v>
      </c>
      <c r="K1622" s="2" t="str">
        <f ca="1">IFERROR(__xludf.DUMMYFUNCTION("""COMPUTED_VALUE"""),"1759498267755")</f>
        <v>1759498267755</v>
      </c>
    </row>
    <row r="1623" spans="1:11" ht="12.45">
      <c r="A1623" s="2" t="str">
        <f ca="1">IFERROR(__xludf.DUMMYFUNCTION("""COMPUTED_VALUE"""),"1759498325430")</f>
        <v>1759498325430</v>
      </c>
      <c r="B1623" s="2"/>
      <c r="C1623" s="2" t="str">
        <v>0</v>
      </c>
      <c r="D1623" s="2"/>
      <c r="F1623" s="2" t="str">
        <v>0</v>
      </c>
      <c r="I1623" s="2" t="str">
        <f ca="1">IFERROR(__xludf.DUMMYFUNCTION("""COMPUTED_VALUE"""),"Cao Khánh Linh")</f>
        <v>Cao Khánh Linh</v>
      </c>
      <c r="J1623" s="3" t="str">
        <f ca="1">IFERROR(__xludf.DUMMYFUNCTION("""COMPUTED_VALUE"""),"0966856910")</f>
        <v>0966856910</v>
      </c>
      <c r="K1623" s="2" t="str">
        <f ca="1">IFERROR(__xludf.DUMMYFUNCTION("""COMPUTED_VALUE"""),"1759498325430")</f>
        <v>1759498325430</v>
      </c>
    </row>
    <row r="1624" spans="1:11" ht="12.45">
      <c r="A1624" s="2" t="str">
        <f ca="1">IFERROR(__xludf.DUMMYFUNCTION("""COMPUTED_VALUE"""),"1759498387604")</f>
        <v>1759498387604</v>
      </c>
      <c r="B1624" s="2"/>
      <c r="C1624" s="2" t="str">
        <v>0</v>
      </c>
      <c r="D1624" s="2"/>
      <c r="F1624" s="2" t="str">
        <v>0</v>
      </c>
      <c r="I1624" s="2" t="str">
        <f ca="1">IFERROR(__xludf.DUMMYFUNCTION("""COMPUTED_VALUE"""),"Nguyễn Hoàng Khả Nhi")</f>
        <v>Nguyễn Hoàng Khả Nhi</v>
      </c>
      <c r="J1624" s="3" t="str">
        <f ca="1">IFERROR(__xludf.DUMMYFUNCTION("""COMPUTED_VALUE"""),"0964426445")</f>
        <v>0964426445</v>
      </c>
      <c r="K1624" s="2" t="str">
        <f ca="1">IFERROR(__xludf.DUMMYFUNCTION("""COMPUTED_VALUE"""),"1759498387604")</f>
        <v>1759498387604</v>
      </c>
    </row>
    <row r="1625" spans="1:11" ht="12.45">
      <c r="A1625" s="2" t="str">
        <f ca="1">IFERROR(__xludf.DUMMYFUNCTION("""COMPUTED_VALUE"""),"1759498444096")</f>
        <v>1759498444096</v>
      </c>
      <c r="B1625" s="2"/>
      <c r="C1625" s="2" t="str">
        <v>0</v>
      </c>
      <c r="D1625" s="2"/>
      <c r="F1625" s="2" t="str">
        <v>0</v>
      </c>
      <c r="I1625" s="2" t="str">
        <f ca="1">IFERROR(__xludf.DUMMYFUNCTION("""COMPUTED_VALUE"""),"Đàm Thị Thuỳ Dung")</f>
        <v>Đàm Thị Thuỳ Dung</v>
      </c>
      <c r="J1625" s="3" t="str">
        <f ca="1">IFERROR(__xludf.DUMMYFUNCTION("""COMPUTED_VALUE"""),"0963428284")</f>
        <v>0963428284</v>
      </c>
      <c r="K1625" s="2" t="str">
        <f ca="1">IFERROR(__xludf.DUMMYFUNCTION("""COMPUTED_VALUE"""),"1759498444096")</f>
        <v>1759498444096</v>
      </c>
    </row>
    <row r="1626" spans="1:11" ht="12.45">
      <c r="A1626" s="2" t="str">
        <f ca="1">IFERROR(__xludf.DUMMYFUNCTION("""COMPUTED_VALUE"""),"1759498501151")</f>
        <v>1759498501151</v>
      </c>
      <c r="B1626" s="2"/>
      <c r="C1626" s="2" t="str">
        <v>0</v>
      </c>
      <c r="D1626" s="2"/>
      <c r="F1626" s="2" t="str">
        <v>0</v>
      </c>
      <c r="I1626" s="2" t="str">
        <f ca="1">IFERROR(__xludf.DUMMYFUNCTION("""COMPUTED_VALUE"""),"Hà Linh Chi")</f>
        <v>Hà Linh Chi</v>
      </c>
      <c r="J1626" s="3" t="str">
        <f ca="1">IFERROR(__xludf.DUMMYFUNCTION("""COMPUTED_VALUE"""),"0986160207")</f>
        <v>0986160207</v>
      </c>
      <c r="K1626" s="2" t="str">
        <f ca="1">IFERROR(__xludf.DUMMYFUNCTION("""COMPUTED_VALUE"""),"1759498501151")</f>
        <v>1759498501151</v>
      </c>
    </row>
    <row r="1627" spans="1:11" ht="12.45">
      <c r="A1627" s="2" t="str">
        <f ca="1">IFERROR(__xludf.DUMMYFUNCTION("""COMPUTED_VALUE"""),"1759498569845")</f>
        <v>1759498569845</v>
      </c>
      <c r="B1627" s="2"/>
      <c r="C1627" s="2" t="str">
        <v>0</v>
      </c>
      <c r="D1627" s="2"/>
      <c r="F1627" s="2" t="str">
        <v>0</v>
      </c>
      <c r="I1627" s="2" t="str">
        <f ca="1">IFERROR(__xludf.DUMMYFUNCTION("""COMPUTED_VALUE"""),"Nguyễn Lê Trúc Quỳnh")</f>
        <v>Nguyễn Lê Trúc Quỳnh</v>
      </c>
      <c r="J1627" s="3" t="str">
        <f ca="1">IFERROR(__xludf.DUMMYFUNCTION("""COMPUTED_VALUE"""),"0786858136")</f>
        <v>0786858136</v>
      </c>
      <c r="K1627" s="2" t="str">
        <f ca="1">IFERROR(__xludf.DUMMYFUNCTION("""COMPUTED_VALUE"""),"1759498569845")</f>
        <v>1759498569845</v>
      </c>
    </row>
    <row r="1628" spans="1:11" ht="12.45">
      <c r="A1628" s="2" t="str">
        <f ca="1">IFERROR(__xludf.DUMMYFUNCTION("""COMPUTED_VALUE"""),"1759498633980")</f>
        <v>1759498633980</v>
      </c>
      <c r="B1628" s="2"/>
      <c r="C1628" s="2" t="str">
        <v>0</v>
      </c>
      <c r="D1628" s="2"/>
      <c r="F1628" s="2" t="str">
        <v>0</v>
      </c>
      <c r="I1628" s="2" t="str">
        <f ca="1">IFERROR(__xludf.DUMMYFUNCTION("""COMPUTED_VALUE"""),"Bảo Anh")</f>
        <v>Bảo Anh</v>
      </c>
      <c r="J1628" s="3" t="str">
        <f ca="1">IFERROR(__xludf.DUMMYFUNCTION("""COMPUTED_VALUE"""),"0338250907")</f>
        <v>0338250907</v>
      </c>
      <c r="K1628" s="2" t="str">
        <f ca="1">IFERROR(__xludf.DUMMYFUNCTION("""COMPUTED_VALUE"""),"1759498633980")</f>
        <v>1759498633980</v>
      </c>
    </row>
    <row r="1629" spans="1:11" ht="12.45">
      <c r="A1629" s="2" t="str">
        <f ca="1">IFERROR(__xludf.DUMMYFUNCTION("""COMPUTED_VALUE"""),"1759498714116")</f>
        <v>1759498714116</v>
      </c>
      <c r="B1629" s="2"/>
      <c r="C1629" s="2" t="str">
        <v>0</v>
      </c>
      <c r="D1629" s="2"/>
      <c r="F1629" s="2" t="str">
        <v>0</v>
      </c>
      <c r="I1629" s="2" t="str">
        <f ca="1">IFERROR(__xludf.DUMMYFUNCTION("""COMPUTED_VALUE"""),"Nguyễn Trần Hà My")</f>
        <v>Nguyễn Trần Hà My</v>
      </c>
      <c r="J1629" s="3" t="str">
        <f ca="1">IFERROR(__xludf.DUMMYFUNCTION("""COMPUTED_VALUE"""),"0867420218")</f>
        <v>0867420218</v>
      </c>
      <c r="K1629" s="2" t="str">
        <f ca="1">IFERROR(__xludf.DUMMYFUNCTION("""COMPUTED_VALUE"""),"1759498714116")</f>
        <v>1759498714116</v>
      </c>
    </row>
    <row r="1630" spans="1:11" ht="12.45">
      <c r="A1630" s="2" t="str">
        <f ca="1">IFERROR(__xludf.DUMMYFUNCTION("""COMPUTED_VALUE"""),"1759498784968")</f>
        <v>1759498784968</v>
      </c>
      <c r="B1630" s="2"/>
      <c r="C1630" s="2" t="str">
        <v>0</v>
      </c>
      <c r="D1630" s="2"/>
      <c r="F1630" s="2" t="str">
        <v>0</v>
      </c>
      <c r="I1630" s="2" t="str">
        <f ca="1">IFERROR(__xludf.DUMMYFUNCTION("""COMPUTED_VALUE"""),"Trần Thị Vân Anh ")</f>
        <v xml:space="preserve">Trần Thị Vân Anh </v>
      </c>
      <c r="J1630" s="3" t="str">
        <f ca="1">IFERROR(__xludf.DUMMYFUNCTION("""COMPUTED_VALUE"""),"0985550216")</f>
        <v>0985550216</v>
      </c>
      <c r="K1630" s="2" t="str">
        <f ca="1">IFERROR(__xludf.DUMMYFUNCTION("""COMPUTED_VALUE"""),"1759498784968")</f>
        <v>1759498784968</v>
      </c>
    </row>
    <row r="1631" spans="1:11" ht="12.45">
      <c r="A1631" s="2" t="str">
        <f ca="1">IFERROR(__xludf.DUMMYFUNCTION("""COMPUTED_VALUE"""),"1759498843681")</f>
        <v>1759498843681</v>
      </c>
      <c r="B1631" s="2"/>
      <c r="C1631" s="2" t="str">
        <v>0</v>
      </c>
      <c r="D1631" s="2"/>
      <c r="F1631" s="2" t="str">
        <v>0</v>
      </c>
      <c r="I1631" s="2" t="str">
        <f ca="1">IFERROR(__xludf.DUMMYFUNCTION("""COMPUTED_VALUE"""),"Nguyễn Thị Thuỳ Linh")</f>
        <v>Nguyễn Thị Thuỳ Linh</v>
      </c>
      <c r="J1631" s="3" t="str">
        <f ca="1">IFERROR(__xludf.DUMMYFUNCTION("""COMPUTED_VALUE"""),"0334667181")</f>
        <v>0334667181</v>
      </c>
      <c r="K1631" s="2" t="str">
        <f ca="1">IFERROR(__xludf.DUMMYFUNCTION("""COMPUTED_VALUE"""),"1759498843681")</f>
        <v>1759498843681</v>
      </c>
    </row>
    <row r="1632" spans="1:11" ht="12.45">
      <c r="A1632" s="2" t="str">
        <f ca="1">IFERROR(__xludf.DUMMYFUNCTION("""COMPUTED_VALUE"""),"1759498908461")</f>
        <v>1759498908461</v>
      </c>
      <c r="B1632" s="2"/>
      <c r="C1632" s="2" t="str">
        <v>0</v>
      </c>
      <c r="D1632" s="2"/>
      <c r="F1632" s="2" t="str">
        <v>0</v>
      </c>
      <c r="I1632" s="2" t="str">
        <f ca="1">IFERROR(__xludf.DUMMYFUNCTION("""COMPUTED_VALUE"""),"Ngô Gia Bảo")</f>
        <v>Ngô Gia Bảo</v>
      </c>
      <c r="J1632" s="3" t="str">
        <f ca="1">IFERROR(__xludf.DUMMYFUNCTION("""COMPUTED_VALUE"""),"0931260447")</f>
        <v>0931260447</v>
      </c>
      <c r="K1632" s="2" t="str">
        <f ca="1">IFERROR(__xludf.DUMMYFUNCTION("""COMPUTED_VALUE"""),"1759498908461")</f>
        <v>1759498908461</v>
      </c>
    </row>
    <row r="1633" spans="1:11" ht="12.45">
      <c r="A1633" s="2" t="str">
        <f ca="1">IFERROR(__xludf.DUMMYFUNCTION("""COMPUTED_VALUE"""),"1759498982542")</f>
        <v>1759498982542</v>
      </c>
      <c r="B1633" s="2"/>
      <c r="C1633" s="2" t="str">
        <v>0</v>
      </c>
      <c r="D1633" s="2"/>
      <c r="F1633" s="2" t="str">
        <v>0</v>
      </c>
      <c r="I1633" s="2" t="str">
        <f ca="1">IFERROR(__xludf.DUMMYFUNCTION("""COMPUTED_VALUE"""),"Hoàng Thị Phương Tâm")</f>
        <v>Hoàng Thị Phương Tâm</v>
      </c>
      <c r="J1633" s="3" t="str">
        <f ca="1">IFERROR(__xludf.DUMMYFUNCTION("""COMPUTED_VALUE"""),"0399710348")</f>
        <v>0399710348</v>
      </c>
      <c r="K1633" s="2" t="str">
        <f ca="1">IFERROR(__xludf.DUMMYFUNCTION("""COMPUTED_VALUE"""),"1759498982542")</f>
        <v>1759498982542</v>
      </c>
    </row>
    <row r="1634" spans="1:11" ht="12.45">
      <c r="A1634" s="2" t="str">
        <f ca="1">IFERROR(__xludf.DUMMYFUNCTION("""COMPUTED_VALUE"""),"1759499058414")</f>
        <v>1759499058414</v>
      </c>
      <c r="B1634" s="2"/>
      <c r="C1634" s="2" t="str">
        <v>0</v>
      </c>
      <c r="D1634" s="2"/>
      <c r="F1634" s="2" t="str">
        <v>0</v>
      </c>
      <c r="I1634" s="2" t="str">
        <f ca="1">IFERROR(__xludf.DUMMYFUNCTION("""COMPUTED_VALUE"""),"Phạm Lê Thục Quyên")</f>
        <v>Phạm Lê Thục Quyên</v>
      </c>
      <c r="J1634" s="3" t="str">
        <f ca="1">IFERROR(__xludf.DUMMYFUNCTION("""COMPUTED_VALUE"""),"0376101903")</f>
        <v>0376101903</v>
      </c>
      <c r="K1634" s="2" t="str">
        <f ca="1">IFERROR(__xludf.DUMMYFUNCTION("""COMPUTED_VALUE"""),"1759499058414")</f>
        <v>1759499058414</v>
      </c>
    </row>
    <row r="1635" spans="1:11" ht="12.45">
      <c r="A1635" s="2" t="str">
        <f ca="1">IFERROR(__xludf.DUMMYFUNCTION("""COMPUTED_VALUE"""),"1759499113504")</f>
        <v>1759499113504</v>
      </c>
      <c r="B1635" s="2"/>
      <c r="C1635" s="2" t="str">
        <v>0</v>
      </c>
      <c r="D1635" s="2"/>
      <c r="F1635" s="2" t="str">
        <v>0</v>
      </c>
      <c r="I1635" s="2" t="str">
        <f ca="1">IFERROR(__xludf.DUMMYFUNCTION("""COMPUTED_VALUE"""),"Nguyễn Quang Hưng")</f>
        <v>Nguyễn Quang Hưng</v>
      </c>
      <c r="J1635" s="3" t="str">
        <f ca="1">IFERROR(__xludf.DUMMYFUNCTION("""COMPUTED_VALUE"""),"0358158607")</f>
        <v>0358158607</v>
      </c>
      <c r="K1635" s="2" t="str">
        <f ca="1">IFERROR(__xludf.DUMMYFUNCTION("""COMPUTED_VALUE"""),"1759499113504")</f>
        <v>1759499113504</v>
      </c>
    </row>
    <row r="1636" spans="1:11" ht="12.45">
      <c r="A1636" s="2" t="str">
        <f ca="1">IFERROR(__xludf.DUMMYFUNCTION("""COMPUTED_VALUE"""),"1759499163980")</f>
        <v>1759499163980</v>
      </c>
      <c r="B1636" s="2"/>
      <c r="C1636" s="2" t="str">
        <v>0</v>
      </c>
      <c r="D1636" s="2"/>
      <c r="F1636" s="2" t="str">
        <v>0</v>
      </c>
      <c r="I1636" s="2" t="str">
        <f ca="1">IFERROR(__xludf.DUMMYFUNCTION("""COMPUTED_VALUE"""),"Đào Thái Bảo")</f>
        <v>Đào Thái Bảo</v>
      </c>
      <c r="J1636" s="3" t="str">
        <f ca="1">IFERROR(__xludf.DUMMYFUNCTION("""COMPUTED_VALUE"""),"0984591406")</f>
        <v>0984591406</v>
      </c>
      <c r="K1636" s="2" t="str">
        <f ca="1">IFERROR(__xludf.DUMMYFUNCTION("""COMPUTED_VALUE"""),"1759499163980")</f>
        <v>1759499163980</v>
      </c>
    </row>
    <row r="1637" spans="1:11" ht="12.45">
      <c r="A1637" s="2" t="str">
        <f ca="1">IFERROR(__xludf.DUMMYFUNCTION("""COMPUTED_VALUE"""),"1759499235709")</f>
        <v>1759499235709</v>
      </c>
      <c r="B1637" s="2"/>
      <c r="C1637" s="2" t="str">
        <v>0</v>
      </c>
      <c r="D1637" s="2"/>
      <c r="F1637" s="2" t="str">
        <v>0</v>
      </c>
      <c r="I1637" s="2" t="str">
        <f ca="1">IFERROR(__xludf.DUMMYFUNCTION("""COMPUTED_VALUE"""),"Nguyễn Thị Khánh Huyền ")</f>
        <v xml:space="preserve">Nguyễn Thị Khánh Huyền </v>
      </c>
      <c r="J1637" s="3" t="str">
        <f ca="1">IFERROR(__xludf.DUMMYFUNCTION("""COMPUTED_VALUE"""),"0386395758")</f>
        <v>0386395758</v>
      </c>
      <c r="K1637" s="2" t="str">
        <f ca="1">IFERROR(__xludf.DUMMYFUNCTION("""COMPUTED_VALUE"""),"1759499235709")</f>
        <v>1759499235709</v>
      </c>
    </row>
    <row r="1638" spans="1:11" ht="12.45">
      <c r="A1638" s="2" t="str">
        <f ca="1">IFERROR(__xludf.DUMMYFUNCTION("""COMPUTED_VALUE"""),"1759499328801")</f>
        <v>1759499328801</v>
      </c>
      <c r="B1638" s="2"/>
      <c r="C1638" s="2" t="str">
        <v>0</v>
      </c>
      <c r="D1638" s="2"/>
      <c r="F1638" s="2" t="str">
        <v>0</v>
      </c>
      <c r="I1638" s="2" t="str">
        <f ca="1">IFERROR(__xludf.DUMMYFUNCTION("""COMPUTED_VALUE"""),"Đinh Minh Anh")</f>
        <v>Đinh Minh Anh</v>
      </c>
      <c r="J1638" s="3" t="str">
        <f ca="1">IFERROR(__xludf.DUMMYFUNCTION("""COMPUTED_VALUE"""),"0826709695")</f>
        <v>0826709695</v>
      </c>
      <c r="K1638" s="2" t="str">
        <f ca="1">IFERROR(__xludf.DUMMYFUNCTION("""COMPUTED_VALUE"""),"1759499328801")</f>
        <v>1759499328801</v>
      </c>
    </row>
    <row r="1639" spans="1:11" ht="12.45">
      <c r="A1639" s="2" t="str">
        <f ca="1">IFERROR(__xludf.DUMMYFUNCTION("""COMPUTED_VALUE"""),"1759499386420")</f>
        <v>1759499386420</v>
      </c>
      <c r="B1639" s="2"/>
      <c r="C1639" s="2" t="str">
        <v>0</v>
      </c>
      <c r="D1639" s="2"/>
      <c r="F1639" s="2" t="str">
        <v>0</v>
      </c>
      <c r="I1639" s="2" t="str">
        <f ca="1">IFERROR(__xludf.DUMMYFUNCTION("""COMPUTED_VALUE"""),"Nguyễn Hoàng Minh Thư")</f>
        <v>Nguyễn Hoàng Minh Thư</v>
      </c>
      <c r="J1639" s="3" t="str">
        <f ca="1">IFERROR(__xludf.DUMMYFUNCTION("""COMPUTED_VALUE"""),"0818386489")</f>
        <v>0818386489</v>
      </c>
      <c r="K1639" s="2" t="str">
        <f ca="1">IFERROR(__xludf.DUMMYFUNCTION("""COMPUTED_VALUE"""),"1759499386420")</f>
        <v>1759499386420</v>
      </c>
    </row>
    <row r="1640" spans="1:11" ht="12.45">
      <c r="A1640" s="2" t="str">
        <f ca="1">IFERROR(__xludf.DUMMYFUNCTION("""COMPUTED_VALUE"""),"1759499457744")</f>
        <v>1759499457744</v>
      </c>
      <c r="B1640" s="2"/>
      <c r="C1640" s="2" t="str">
        <v>0</v>
      </c>
      <c r="D1640" s="2"/>
      <c r="F1640" s="2" t="str">
        <v>0</v>
      </c>
      <c r="I1640" s="2" t="str">
        <f ca="1">IFERROR(__xludf.DUMMYFUNCTION("""COMPUTED_VALUE"""),"Ngô Gia Hân")</f>
        <v>Ngô Gia Hân</v>
      </c>
      <c r="J1640" s="3" t="str">
        <f ca="1">IFERROR(__xludf.DUMMYFUNCTION("""COMPUTED_VALUE"""),"0327371550")</f>
        <v>0327371550</v>
      </c>
      <c r="K1640" s="2" t="str">
        <f ca="1">IFERROR(__xludf.DUMMYFUNCTION("""COMPUTED_VALUE"""),"1759499457744")</f>
        <v>1759499457744</v>
      </c>
    </row>
    <row r="1641" spans="1:11" ht="12.45">
      <c r="A1641" s="2" t="str">
        <f ca="1">IFERROR(__xludf.DUMMYFUNCTION("""COMPUTED_VALUE"""),"1759499533154")</f>
        <v>1759499533154</v>
      </c>
      <c r="B1641" s="2"/>
      <c r="C1641" s="2" t="str">
        <v>0</v>
      </c>
      <c r="D1641" s="2"/>
      <c r="F1641" s="2" t="str">
        <v>0</v>
      </c>
      <c r="I1641" s="2" t="str">
        <f ca="1">IFERROR(__xludf.DUMMYFUNCTION("""COMPUTED_VALUE"""),"Vũ Phương Thảo")</f>
        <v>Vũ Phương Thảo</v>
      </c>
      <c r="J1641" s="3" t="str">
        <f ca="1">IFERROR(__xludf.DUMMYFUNCTION("""COMPUTED_VALUE"""),"0379058729")</f>
        <v>0379058729</v>
      </c>
      <c r="K1641" s="2" t="str">
        <f ca="1">IFERROR(__xludf.DUMMYFUNCTION("""COMPUTED_VALUE"""),"1759499533154")</f>
        <v>1759499533154</v>
      </c>
    </row>
    <row r="1642" spans="1:11" ht="12.45">
      <c r="A1642" s="2" t="str">
        <f ca="1">IFERROR(__xludf.DUMMYFUNCTION("""COMPUTED_VALUE"""),"1759499630400")</f>
        <v>1759499630400</v>
      </c>
      <c r="B1642" s="2"/>
      <c r="C1642" s="2" t="str">
        <v>0</v>
      </c>
      <c r="D1642" s="2"/>
      <c r="F1642" s="2" t="str">
        <v>0</v>
      </c>
      <c r="I1642" s="2" t="str">
        <f ca="1">IFERROR(__xludf.DUMMYFUNCTION("""COMPUTED_VALUE"""),"Lê Thùy Trâm")</f>
        <v>Lê Thùy Trâm</v>
      </c>
      <c r="J1642" s="3" t="str">
        <f ca="1">IFERROR(__xludf.DUMMYFUNCTION("""COMPUTED_VALUE"""),"0985611217")</f>
        <v>0985611217</v>
      </c>
      <c r="K1642" s="2" t="str">
        <f ca="1">IFERROR(__xludf.DUMMYFUNCTION("""COMPUTED_VALUE"""),"1759499630400")</f>
        <v>1759499630400</v>
      </c>
    </row>
    <row r="1643" spans="1:11" ht="12.45">
      <c r="A1643" s="2" t="str">
        <f ca="1">IFERROR(__xludf.DUMMYFUNCTION("""COMPUTED_VALUE"""),"1759499744075")</f>
        <v>1759499744075</v>
      </c>
      <c r="B1643" s="2"/>
      <c r="C1643" s="2" t="str">
        <v>0</v>
      </c>
      <c r="D1643" s="2"/>
      <c r="F1643" s="2" t="str">
        <v>0</v>
      </c>
      <c r="I1643" s="2" t="str">
        <f ca="1">IFERROR(__xludf.DUMMYFUNCTION("""COMPUTED_VALUE"""),"Dương Ánh Phương")</f>
        <v>Dương Ánh Phương</v>
      </c>
      <c r="J1643" s="3" t="str">
        <f ca="1">IFERROR(__xludf.DUMMYFUNCTION("""COMPUTED_VALUE"""),"0933818254")</f>
        <v>0933818254</v>
      </c>
      <c r="K1643" s="2" t="str">
        <f ca="1">IFERROR(__xludf.DUMMYFUNCTION("""COMPUTED_VALUE"""),"1759499744075")</f>
        <v>1759499744075</v>
      </c>
    </row>
    <row r="1644" spans="1:11" ht="12.45">
      <c r="A1644" s="2" t="str">
        <f ca="1">IFERROR(__xludf.DUMMYFUNCTION("""COMPUTED_VALUE"""),"1759499827723")</f>
        <v>1759499827723</v>
      </c>
      <c r="B1644" s="2"/>
      <c r="C1644" s="2" t="str">
        <v>0</v>
      </c>
      <c r="D1644" s="2"/>
      <c r="F1644" s="2" t="str">
        <v>0</v>
      </c>
      <c r="I1644" s="2" t="str">
        <f ca="1">IFERROR(__xludf.DUMMYFUNCTION("""COMPUTED_VALUE"""),"tòng thị thuý ")</f>
        <v xml:space="preserve">tòng thị thuý </v>
      </c>
      <c r="J1644" s="3" t="str">
        <f ca="1">IFERROR(__xludf.DUMMYFUNCTION("""COMPUTED_VALUE"""),"0354789904")</f>
        <v>0354789904</v>
      </c>
      <c r="K1644" s="2" t="str">
        <f ca="1">IFERROR(__xludf.DUMMYFUNCTION("""COMPUTED_VALUE"""),"1759499827723")</f>
        <v>1759499827723</v>
      </c>
    </row>
    <row r="1645" spans="1:11" ht="12.45">
      <c r="A1645" s="2" t="str">
        <f ca="1">IFERROR(__xludf.DUMMYFUNCTION("""COMPUTED_VALUE"""),"1759499912379")</f>
        <v>1759499912379</v>
      </c>
      <c r="B1645" s="2"/>
      <c r="C1645" s="2" t="str">
        <v>0</v>
      </c>
      <c r="D1645" s="2"/>
      <c r="F1645" s="2" t="str">
        <v>0</v>
      </c>
      <c r="I1645" s="2" t="str">
        <f ca="1">IFERROR(__xludf.DUMMYFUNCTION("""COMPUTED_VALUE"""),"Hoàng Thị Huyền Trang")</f>
        <v>Hoàng Thị Huyền Trang</v>
      </c>
      <c r="J1645" s="3" t="str">
        <f ca="1">IFERROR(__xludf.DUMMYFUNCTION("""COMPUTED_VALUE"""),"0967882198")</f>
        <v>0967882198</v>
      </c>
      <c r="K1645" s="2" t="str">
        <f ca="1">IFERROR(__xludf.DUMMYFUNCTION("""COMPUTED_VALUE"""),"1759499912379")</f>
        <v>1759499912379</v>
      </c>
    </row>
    <row r="1646" spans="1:11" ht="12.45">
      <c r="A1646" s="2" t="str">
        <f ca="1">IFERROR(__xludf.DUMMYFUNCTION("""COMPUTED_VALUE"""),"1759500013794")</f>
        <v>1759500013794</v>
      </c>
      <c r="B1646" s="2"/>
      <c r="C1646" s="2" t="str">
        <v>0</v>
      </c>
      <c r="D1646" s="2"/>
      <c r="F1646" s="2" t="str">
        <v>0</v>
      </c>
      <c r="I1646" s="2" t="str">
        <f ca="1">IFERROR(__xludf.DUMMYFUNCTION("""COMPUTED_VALUE"""),"Cù Phương Thảo")</f>
        <v>Cù Phương Thảo</v>
      </c>
      <c r="J1646" s="3" t="str">
        <f ca="1">IFERROR(__xludf.DUMMYFUNCTION("""COMPUTED_VALUE"""),"0356025157")</f>
        <v>0356025157</v>
      </c>
      <c r="K1646" s="2" t="str">
        <f ca="1">IFERROR(__xludf.DUMMYFUNCTION("""COMPUTED_VALUE"""),"1759500013794")</f>
        <v>1759500013794</v>
      </c>
    </row>
    <row r="1647" spans="1:11" ht="12.45">
      <c r="A1647" s="2" t="str">
        <f ca="1">IFERROR(__xludf.DUMMYFUNCTION("""COMPUTED_VALUE"""),"1759500132939")</f>
        <v>1759500132939</v>
      </c>
      <c r="B1647" s="2"/>
      <c r="C1647" s="2" t="str">
        <v>0</v>
      </c>
      <c r="D1647" s="2"/>
      <c r="F1647" s="2" t="str">
        <v>0</v>
      </c>
      <c r="I1647" s="2" t="str">
        <f ca="1">IFERROR(__xludf.DUMMYFUNCTION("""COMPUTED_VALUE"""),"Trần Thị Quỳnh Anh ")</f>
        <v xml:space="preserve">Trần Thị Quỳnh Anh </v>
      </c>
      <c r="J1647" s="3" t="str">
        <f ca="1">IFERROR(__xludf.DUMMYFUNCTION("""COMPUTED_VALUE"""),"0353568407")</f>
        <v>0353568407</v>
      </c>
      <c r="K1647" s="2" t="str">
        <f ca="1">IFERROR(__xludf.DUMMYFUNCTION("""COMPUTED_VALUE"""),"1759500132939")</f>
        <v>1759500132939</v>
      </c>
    </row>
    <row r="1648" spans="1:11" ht="12.45">
      <c r="A1648" s="2" t="str">
        <f ca="1">IFERROR(__xludf.DUMMYFUNCTION("""COMPUTED_VALUE"""),"1759500234743")</f>
        <v>1759500234743</v>
      </c>
      <c r="B1648" s="2"/>
      <c r="C1648" s="2" t="str">
        <v>0</v>
      </c>
      <c r="D1648" s="2"/>
      <c r="F1648" s="2" t="str">
        <v>0</v>
      </c>
      <c r="I1648" s="2" t="str">
        <f ca="1">IFERROR(__xludf.DUMMYFUNCTION("""COMPUTED_VALUE"""),"Phạm Thanh Thuỳ")</f>
        <v>Phạm Thanh Thuỳ</v>
      </c>
      <c r="J1648" s="3" t="str">
        <f ca="1">IFERROR(__xludf.DUMMYFUNCTION("""COMPUTED_VALUE"""),"0964034876")</f>
        <v>0964034876</v>
      </c>
      <c r="K1648" s="2" t="str">
        <f ca="1">IFERROR(__xludf.DUMMYFUNCTION("""COMPUTED_VALUE"""),"1759500234743")</f>
        <v>1759500234743</v>
      </c>
    </row>
    <row r="1649" spans="1:11" ht="12.45">
      <c r="A1649" s="2" t="str">
        <f ca="1">IFERROR(__xludf.DUMMYFUNCTION("""COMPUTED_VALUE"""),"1759500319626")</f>
        <v>1759500319626</v>
      </c>
      <c r="B1649" s="2"/>
      <c r="C1649" s="2" t="str">
        <v>0</v>
      </c>
      <c r="D1649" s="2"/>
      <c r="F1649" s="2" t="str">
        <v>0</v>
      </c>
      <c r="I1649" s="2" t="str">
        <f ca="1">IFERROR(__xludf.DUMMYFUNCTION("""COMPUTED_VALUE"""),"Lã Hoàng Đan")</f>
        <v>Lã Hoàng Đan</v>
      </c>
      <c r="J1649" s="3" t="str">
        <f ca="1">IFERROR(__xludf.DUMMYFUNCTION("""COMPUTED_VALUE"""),"0349477105")</f>
        <v>0349477105</v>
      </c>
      <c r="K1649" s="2" t="str">
        <f ca="1">IFERROR(__xludf.DUMMYFUNCTION("""COMPUTED_VALUE"""),"1759500319626")</f>
        <v>1759500319626</v>
      </c>
    </row>
    <row r="1650" spans="1:11" ht="12.45">
      <c r="A1650" s="2" t="str">
        <f ca="1">IFERROR(__xludf.DUMMYFUNCTION("""COMPUTED_VALUE"""),"1759500423467")</f>
        <v>1759500423467</v>
      </c>
      <c r="B1650" s="2"/>
      <c r="C1650" s="2" t="str">
        <v>0</v>
      </c>
      <c r="D1650" s="2"/>
      <c r="F1650" s="2" t="str">
        <v>0</v>
      </c>
      <c r="I1650" s="2" t="str">
        <f ca="1">IFERROR(__xludf.DUMMYFUNCTION("""COMPUTED_VALUE"""),"Huỳnh Lê Bảo Ngọc")</f>
        <v>Huỳnh Lê Bảo Ngọc</v>
      </c>
      <c r="J1650" s="3" t="str">
        <f ca="1">IFERROR(__xludf.DUMMYFUNCTION("""COMPUTED_VALUE"""),"0817788679")</f>
        <v>0817788679</v>
      </c>
      <c r="K1650" s="2" t="str">
        <f ca="1">IFERROR(__xludf.DUMMYFUNCTION("""COMPUTED_VALUE"""),"1759500423467")</f>
        <v>1759500423467</v>
      </c>
    </row>
    <row r="1651" spans="1:11" ht="12.45">
      <c r="A1651" s="2" t="str">
        <f ca="1">IFERROR(__xludf.DUMMYFUNCTION("""COMPUTED_VALUE"""),"1759500468465")</f>
        <v>1759500468465</v>
      </c>
      <c r="B1651" s="2"/>
      <c r="C1651" s="2" t="str">
        <v>0</v>
      </c>
      <c r="D1651" s="2"/>
      <c r="F1651" s="2" t="str">
        <v>0</v>
      </c>
      <c r="I1651" s="2" t="str">
        <f ca="1">IFERROR(__xludf.DUMMYFUNCTION("""COMPUTED_VALUE"""),"Nguyễn Thu Phương")</f>
        <v>Nguyễn Thu Phương</v>
      </c>
      <c r="J1651" s="3" t="str">
        <f ca="1">IFERROR(__xludf.DUMMYFUNCTION("""COMPUTED_VALUE"""),"0904662327")</f>
        <v>0904662327</v>
      </c>
      <c r="K1651" s="2" t="str">
        <f ca="1">IFERROR(__xludf.DUMMYFUNCTION("""COMPUTED_VALUE"""),"1759500468465")</f>
        <v>1759500468465</v>
      </c>
    </row>
    <row r="1652" spans="1:11" ht="12.45">
      <c r="A1652" s="2" t="str">
        <f ca="1">IFERROR(__xludf.DUMMYFUNCTION("""COMPUTED_VALUE"""),"1759500554970")</f>
        <v>1759500554970</v>
      </c>
      <c r="B1652" s="2"/>
      <c r="C1652" s="2" t="str">
        <v>0</v>
      </c>
      <c r="D1652" s="2"/>
      <c r="F1652" s="2" t="str">
        <v>0</v>
      </c>
      <c r="I1652" s="2" t="str">
        <f ca="1">IFERROR(__xludf.DUMMYFUNCTION("""COMPUTED_VALUE"""),"Bùi Vân Anh")</f>
        <v>Bùi Vân Anh</v>
      </c>
      <c r="J1652" s="3" t="str">
        <f ca="1">IFERROR(__xludf.DUMMYFUNCTION("""COMPUTED_VALUE"""),"0336101126")</f>
        <v>0336101126</v>
      </c>
      <c r="K1652" s="2" t="str">
        <f ca="1">IFERROR(__xludf.DUMMYFUNCTION("""COMPUTED_VALUE"""),"1759500554970")</f>
        <v>1759500554970</v>
      </c>
    </row>
    <row r="1653" spans="1:11" ht="12.45">
      <c r="A1653" s="2" t="str">
        <f ca="1">IFERROR(__xludf.DUMMYFUNCTION("""COMPUTED_VALUE"""),"1759500661991")</f>
        <v>1759500661991</v>
      </c>
      <c r="B1653" s="2"/>
      <c r="C1653" s="2" t="str">
        <v>0</v>
      </c>
      <c r="D1653" s="2"/>
      <c r="F1653" s="2" t="str">
        <v>0</v>
      </c>
      <c r="I1653" s="2" t="str">
        <f ca="1">IFERROR(__xludf.DUMMYFUNCTION("""COMPUTED_VALUE"""),"Nguyễn Khánh Ly")</f>
        <v>Nguyễn Khánh Ly</v>
      </c>
      <c r="J1653" s="3" t="str">
        <f ca="1">IFERROR(__xludf.DUMMYFUNCTION("""COMPUTED_VALUE"""),"0347153462")</f>
        <v>0347153462</v>
      </c>
      <c r="K1653" s="2" t="str">
        <f ca="1">IFERROR(__xludf.DUMMYFUNCTION("""COMPUTED_VALUE"""),"1759500661991")</f>
        <v>1759500661991</v>
      </c>
    </row>
    <row r="1654" spans="1:11" ht="12.45">
      <c r="A1654" s="2" t="str">
        <f ca="1">IFERROR(__xludf.DUMMYFUNCTION("""COMPUTED_VALUE"""),"1759500738944")</f>
        <v>1759500738944</v>
      </c>
      <c r="B1654" s="2"/>
      <c r="C1654" s="2" t="str">
        <v>0</v>
      </c>
      <c r="D1654" s="2"/>
      <c r="F1654" s="2" t="str">
        <v>0</v>
      </c>
      <c r="I1654" s="2" t="str">
        <f ca="1">IFERROR(__xludf.DUMMYFUNCTION("""COMPUTED_VALUE"""),"Hoàng Lam Hải Ly")</f>
        <v>Hoàng Lam Hải Ly</v>
      </c>
      <c r="J1654" s="3" t="str">
        <f ca="1">IFERROR(__xludf.DUMMYFUNCTION("""COMPUTED_VALUE"""),"0816014282")</f>
        <v>0816014282</v>
      </c>
      <c r="K1654" s="2" t="str">
        <f ca="1">IFERROR(__xludf.DUMMYFUNCTION("""COMPUTED_VALUE"""),"1759500738944")</f>
        <v>1759500738944</v>
      </c>
    </row>
    <row r="1655" spans="1:11" ht="12.45">
      <c r="A1655" s="2" t="str">
        <f ca="1">IFERROR(__xludf.DUMMYFUNCTION("""COMPUTED_VALUE"""),"1759500821821")</f>
        <v>1759500821821</v>
      </c>
      <c r="B1655" s="2"/>
      <c r="C1655" s="2" t="str">
        <v>0</v>
      </c>
      <c r="D1655" s="2"/>
      <c r="F1655" s="2" t="str">
        <v>0</v>
      </c>
      <c r="I1655" s="2" t="str">
        <f ca="1">IFERROR(__xludf.DUMMYFUNCTION("""COMPUTED_VALUE"""),"Vũ Phương Anh")</f>
        <v>Vũ Phương Anh</v>
      </c>
      <c r="J1655" s="3" t="str">
        <f ca="1">IFERROR(__xludf.DUMMYFUNCTION("""COMPUTED_VALUE"""),"070779280")</f>
        <v>070779280</v>
      </c>
      <c r="K1655" s="2" t="str">
        <f ca="1">IFERROR(__xludf.DUMMYFUNCTION("""COMPUTED_VALUE"""),"1759500821821")</f>
        <v>1759500821821</v>
      </c>
    </row>
    <row r="1656" spans="1:11" ht="12.45">
      <c r="A1656" s="2" t="str">
        <f ca="1">IFERROR(__xludf.DUMMYFUNCTION("""COMPUTED_VALUE"""),"1759500906248")</f>
        <v>1759500906248</v>
      </c>
      <c r="B1656" s="2"/>
      <c r="C1656" s="2" t="str">
        <v>0</v>
      </c>
      <c r="D1656" s="2"/>
      <c r="F1656" s="2" t="str">
        <v>0</v>
      </c>
      <c r="I1656" s="2" t="str">
        <f ca="1">IFERROR(__xludf.DUMMYFUNCTION("""COMPUTED_VALUE"""),"dương phi yến")</f>
        <v>dương phi yến</v>
      </c>
      <c r="J1656" s="3" t="str">
        <f ca="1">IFERROR(__xludf.DUMMYFUNCTION("""COMPUTED_VALUE"""),"0899671207")</f>
        <v>0899671207</v>
      </c>
      <c r="K1656" s="2" t="str">
        <f ca="1">IFERROR(__xludf.DUMMYFUNCTION("""COMPUTED_VALUE"""),"1759500906248")</f>
        <v>1759500906248</v>
      </c>
    </row>
    <row r="1657" spans="1:11" ht="12.45">
      <c r="A1657" s="2" t="str">
        <f ca="1">IFERROR(__xludf.DUMMYFUNCTION("""COMPUTED_VALUE"""),"1759500992807")</f>
        <v>1759500992807</v>
      </c>
      <c r="B1657" s="2"/>
      <c r="C1657" s="2" t="str">
        <v>0</v>
      </c>
      <c r="D1657" s="2"/>
      <c r="F1657" s="2" t="str">
        <v>0</v>
      </c>
      <c r="I1657" s="2" t="str">
        <f ca="1">IFERROR(__xludf.DUMMYFUNCTION("""COMPUTED_VALUE"""),"Lê Mai Đan Thuỳ")</f>
        <v>Lê Mai Đan Thuỳ</v>
      </c>
      <c r="J1657" s="3" t="str">
        <f ca="1">IFERROR(__xludf.DUMMYFUNCTION("""COMPUTED_VALUE"""),"0376978078")</f>
        <v>0376978078</v>
      </c>
      <c r="K1657" s="2" t="str">
        <f ca="1">IFERROR(__xludf.DUMMYFUNCTION("""COMPUTED_VALUE"""),"1759500992807")</f>
        <v>1759500992807</v>
      </c>
    </row>
    <row r="1658" spans="1:11" ht="12.45">
      <c r="A1658" s="2" t="str">
        <f ca="1">IFERROR(__xludf.DUMMYFUNCTION("""COMPUTED_VALUE"""),"1759501040061")</f>
        <v>1759501040061</v>
      </c>
      <c r="B1658" s="2"/>
      <c r="C1658" s="2" t="str">
        <v>0</v>
      </c>
      <c r="D1658" s="2"/>
      <c r="F1658" s="2" t="str">
        <v>0</v>
      </c>
      <c r="I1658" s="2" t="str">
        <f ca="1">IFERROR(__xludf.DUMMYFUNCTION("""COMPUTED_VALUE"""),"Hoàng Thu Hằng")</f>
        <v>Hoàng Thu Hằng</v>
      </c>
      <c r="J1658" s="3" t="str">
        <f ca="1">IFERROR(__xludf.DUMMYFUNCTION("""COMPUTED_VALUE"""),"0983823002")</f>
        <v>0983823002</v>
      </c>
      <c r="K1658" s="2" t="str">
        <f ca="1">IFERROR(__xludf.DUMMYFUNCTION("""COMPUTED_VALUE"""),"1759501040061")</f>
        <v>1759501040061</v>
      </c>
    </row>
    <row r="1659" spans="1:11" ht="12.45">
      <c r="A1659" s="2" t="str">
        <f ca="1">IFERROR(__xludf.DUMMYFUNCTION("""COMPUTED_VALUE"""),"1759501085150")</f>
        <v>1759501085150</v>
      </c>
      <c r="B1659" s="2"/>
      <c r="C1659" s="2" t="str">
        <v>0</v>
      </c>
      <c r="D1659" s="2"/>
      <c r="F1659" s="2" t="str">
        <v>0</v>
      </c>
      <c r="I1659" s="2" t="str">
        <f ca="1">IFERROR(__xludf.DUMMYFUNCTION("""COMPUTED_VALUE"""),"Nguyễn Tiến Dũng")</f>
        <v>Nguyễn Tiến Dũng</v>
      </c>
      <c r="J1659" s="3" t="str">
        <f ca="1">IFERROR(__xludf.DUMMYFUNCTION("""COMPUTED_VALUE"""),"0332853858")</f>
        <v>0332853858</v>
      </c>
      <c r="K1659" s="2" t="str">
        <f ca="1">IFERROR(__xludf.DUMMYFUNCTION("""COMPUTED_VALUE"""),"1759501085150")</f>
        <v>1759501085150</v>
      </c>
    </row>
    <row r="1660" spans="1:11" ht="12.45">
      <c r="A1660" s="2" t="str">
        <f ca="1">IFERROR(__xludf.DUMMYFUNCTION("""COMPUTED_VALUE"""),"1759501120717")</f>
        <v>1759501120717</v>
      </c>
      <c r="B1660" s="2"/>
      <c r="C1660" s="2" t="str">
        <v>0</v>
      </c>
      <c r="D1660" s="2"/>
      <c r="F1660" s="2" t="str">
        <v>0</v>
      </c>
      <c r="I1660" s="2" t="str">
        <f ca="1">IFERROR(__xludf.DUMMYFUNCTION("""COMPUTED_VALUE"""),"Đỗ Tú Uyên")</f>
        <v>Đỗ Tú Uyên</v>
      </c>
      <c r="J1660" s="3" t="str">
        <f ca="1">IFERROR(__xludf.DUMMYFUNCTION("""COMPUTED_VALUE"""),"0769095699")</f>
        <v>0769095699</v>
      </c>
      <c r="K1660" s="2" t="str">
        <f ca="1">IFERROR(__xludf.DUMMYFUNCTION("""COMPUTED_VALUE"""),"1759501120717")</f>
        <v>1759501120717</v>
      </c>
    </row>
    <row r="1661" spans="1:11" ht="12.45">
      <c r="A1661" s="2" t="str">
        <f ca="1">IFERROR(__xludf.DUMMYFUNCTION("""COMPUTED_VALUE"""),"1760230622709")</f>
        <v>1760230622709</v>
      </c>
      <c r="B1661" s="2"/>
      <c r="C1661" s="2" t="str">
        <v>0</v>
      </c>
      <c r="D1661" s="2"/>
      <c r="F1661" s="2" t="str">
        <v>0</v>
      </c>
      <c r="I1661" s="2" t="str">
        <f ca="1">IFERROR(__xludf.DUMMYFUNCTION("""COMPUTED_VALUE"""),"Nguyễn Thanh Bảo Trân")</f>
        <v>Nguyễn Thanh Bảo Trân</v>
      </c>
      <c r="J1661" s="3" t="str">
        <f ca="1">IFERROR(__xludf.DUMMYFUNCTION("""COMPUTED_VALUE"""),"0918276218")</f>
        <v>0918276218</v>
      </c>
      <c r="K1661" s="2" t="str">
        <f ca="1">IFERROR(__xludf.DUMMYFUNCTION("""COMPUTED_VALUE"""),"1760230622709")</f>
        <v>1760230622709</v>
      </c>
    </row>
    <row r="1662" spans="1:11" ht="12.45">
      <c r="A1662" s="2" t="str">
        <f ca="1">IFERROR(__xludf.DUMMYFUNCTION("""COMPUTED_VALUE"""),"1760230695347")</f>
        <v>1760230695347</v>
      </c>
      <c r="B1662" s="2"/>
      <c r="C1662" s="2" t="str">
        <v>0</v>
      </c>
      <c r="D1662" s="2"/>
      <c r="F1662" s="2" t="str">
        <v>0</v>
      </c>
      <c r="I1662" s="2" t="str">
        <f ca="1">IFERROR(__xludf.DUMMYFUNCTION("""COMPUTED_VALUE"""),"Nguyễn Thị Hiền")</f>
        <v>Nguyễn Thị Hiền</v>
      </c>
      <c r="J1662" s="3" t="str">
        <f ca="1">IFERROR(__xludf.DUMMYFUNCTION("""COMPUTED_VALUE"""),"0862443524")</f>
        <v>0862443524</v>
      </c>
      <c r="K1662" s="2" t="str">
        <f ca="1">IFERROR(__xludf.DUMMYFUNCTION("""COMPUTED_VALUE"""),"1760230695347")</f>
        <v>1760230695347</v>
      </c>
    </row>
    <row r="1663" spans="1:11" ht="12.45">
      <c r="A1663" s="2" t="str">
        <f ca="1">IFERROR(__xludf.DUMMYFUNCTION("""COMPUTED_VALUE"""),"1760230729154")</f>
        <v>1760230729154</v>
      </c>
      <c r="B1663" s="2"/>
      <c r="C1663" s="2" t="str">
        <v>0</v>
      </c>
      <c r="D1663" s="2"/>
      <c r="F1663" s="2" t="str">
        <v>0</v>
      </c>
      <c r="I1663" s="2" t="str">
        <f ca="1">IFERROR(__xludf.DUMMYFUNCTION("""COMPUTED_VALUE"""),"Thảo my ")</f>
        <v xml:space="preserve">Thảo my </v>
      </c>
      <c r="J1663" s="3" t="str">
        <f ca="1">IFERROR(__xludf.DUMMYFUNCTION("""COMPUTED_VALUE"""),"0865093607")</f>
        <v>0865093607</v>
      </c>
      <c r="K1663" s="2" t="str">
        <f ca="1">IFERROR(__xludf.DUMMYFUNCTION("""COMPUTED_VALUE"""),"1760230729154")</f>
        <v>1760230729154</v>
      </c>
    </row>
    <row r="1664" spans="1:11" ht="12.45">
      <c r="A1664" s="2" t="str">
        <f ca="1">IFERROR(__xludf.DUMMYFUNCTION("""COMPUTED_VALUE"""),"1760230760124")</f>
        <v>1760230760124</v>
      </c>
      <c r="B1664" s="2"/>
      <c r="C1664" s="2" t="str">
        <v>0</v>
      </c>
      <c r="D1664" s="2"/>
      <c r="F1664" s="2" t="str">
        <v>0</v>
      </c>
      <c r="I1664" s="2" t="str">
        <f ca="1">IFERROR(__xludf.DUMMYFUNCTION("""COMPUTED_VALUE"""),"Trương Ngọc Trúc Lam ")</f>
        <v xml:space="preserve">Trương Ngọc Trúc Lam </v>
      </c>
      <c r="J1664" s="3" t="str">
        <f ca="1">IFERROR(__xludf.DUMMYFUNCTION("""COMPUTED_VALUE"""),"0918791919")</f>
        <v>0918791919</v>
      </c>
      <c r="K1664" s="2" t="str">
        <f ca="1">IFERROR(__xludf.DUMMYFUNCTION("""COMPUTED_VALUE"""),"1760230760124")</f>
        <v>1760230760124</v>
      </c>
    </row>
    <row r="1665" spans="1:11" ht="12.45">
      <c r="A1665" s="2" t="str">
        <f ca="1">IFERROR(__xludf.DUMMYFUNCTION("""COMPUTED_VALUE"""),"1760230785591")</f>
        <v>1760230785591</v>
      </c>
      <c r="B1665" s="2"/>
      <c r="C1665" s="2" t="str">
        <v>0</v>
      </c>
      <c r="D1665" s="2"/>
      <c r="F1665" s="2" t="str">
        <v>0</v>
      </c>
      <c r="I1665" s="2" t="str">
        <f ca="1">IFERROR(__xludf.DUMMYFUNCTION("""COMPUTED_VALUE"""),"Kim Thi Diệu Hoà")</f>
        <v>Kim Thi Diệu Hoà</v>
      </c>
      <c r="J1665" s="3" t="str">
        <f ca="1">IFERROR(__xludf.DUMMYFUNCTION("""COMPUTED_VALUE"""),"0988608527")</f>
        <v>0988608527</v>
      </c>
      <c r="K1665" s="2" t="str">
        <f ca="1">IFERROR(__xludf.DUMMYFUNCTION("""COMPUTED_VALUE"""),"1760230785591")</f>
        <v>1760230785591</v>
      </c>
    </row>
    <row r="1666" spans="1:11" ht="12.45">
      <c r="A1666" s="2" t="str">
        <f ca="1">IFERROR(__xludf.DUMMYFUNCTION("""COMPUTED_VALUE"""),"1760230827607")</f>
        <v>1760230827607</v>
      </c>
      <c r="B1666" s="2"/>
      <c r="C1666" s="2" t="str">
        <v>0</v>
      </c>
      <c r="D1666" s="2"/>
      <c r="F1666" s="2" t="str">
        <v>0</v>
      </c>
      <c r="I1666" s="2" t="str">
        <f ca="1">IFERROR(__xludf.DUMMYFUNCTION("""COMPUTED_VALUE"""),"Trần Thị Thùy Linh ")</f>
        <v xml:space="preserve">Trần Thị Thùy Linh </v>
      </c>
      <c r="J1666" s="3" t="str">
        <f ca="1">IFERROR(__xludf.DUMMYFUNCTION("""COMPUTED_VALUE"""),"0982725158")</f>
        <v>0982725158</v>
      </c>
      <c r="K1666" s="2" t="str">
        <f ca="1">IFERROR(__xludf.DUMMYFUNCTION("""COMPUTED_VALUE"""),"1760230827607")</f>
        <v>1760230827607</v>
      </c>
    </row>
    <row r="1667" spans="1:11" ht="12.45">
      <c r="A1667" s="2" t="str">
        <f ca="1">IFERROR(__xludf.DUMMYFUNCTION("""COMPUTED_VALUE"""),"1760230881437")</f>
        <v>1760230881437</v>
      </c>
      <c r="B1667" s="2"/>
      <c r="C1667" s="2" t="str">
        <v>0</v>
      </c>
      <c r="D1667" s="2"/>
      <c r="F1667" s="2" t="str">
        <v>0</v>
      </c>
      <c r="I1667" s="2" t="str">
        <f ca="1">IFERROR(__xludf.DUMMYFUNCTION("""COMPUTED_VALUE"""),"Nguyễn Thị Thùy Dung ")</f>
        <v xml:space="preserve">Nguyễn Thị Thùy Dung </v>
      </c>
      <c r="J1667" s="3" t="str">
        <f ca="1">IFERROR(__xludf.DUMMYFUNCTION("""COMPUTED_VALUE"""),"0363856108")</f>
        <v>0363856108</v>
      </c>
      <c r="K1667" s="2" t="str">
        <f ca="1">IFERROR(__xludf.DUMMYFUNCTION("""COMPUTED_VALUE"""),"1760230881437")</f>
        <v>1760230881437</v>
      </c>
    </row>
    <row r="1668" spans="1:11" ht="12.45">
      <c r="A1668" s="2" t="str">
        <f ca="1">IFERROR(__xludf.DUMMYFUNCTION("""COMPUTED_VALUE"""),"1760230934845")</f>
        <v>1760230934845</v>
      </c>
      <c r="B1668" s="2"/>
      <c r="C1668" s="2" t="str">
        <v>0</v>
      </c>
      <c r="D1668" s="2"/>
      <c r="F1668" s="2" t="str">
        <v>0</v>
      </c>
      <c r="I1668" s="2" t="str">
        <f ca="1">IFERROR(__xludf.DUMMYFUNCTION("""COMPUTED_VALUE"""),"Trần Thị Hải Yến")</f>
        <v>Trần Thị Hải Yến</v>
      </c>
      <c r="J1668" s="3" t="str">
        <f ca="1">IFERROR(__xludf.DUMMYFUNCTION("""COMPUTED_VALUE"""),"0927499333")</f>
        <v>0927499333</v>
      </c>
      <c r="K1668" s="2" t="str">
        <f ca="1">IFERROR(__xludf.DUMMYFUNCTION("""COMPUTED_VALUE"""),"1760230934845")</f>
        <v>1760230934845</v>
      </c>
    </row>
    <row r="1669" spans="1:11" ht="12.45">
      <c r="A1669" s="2" t="str">
        <f ca="1">IFERROR(__xludf.DUMMYFUNCTION("""COMPUTED_VALUE"""),"1760230967481")</f>
        <v>1760230967481</v>
      </c>
      <c r="B1669" s="2"/>
      <c r="C1669" s="2" t="str">
        <v>0</v>
      </c>
      <c r="D1669" s="2"/>
      <c r="F1669" s="2" t="str">
        <v>0</v>
      </c>
      <c r="I1669" s="2" t="str">
        <f ca="1">IFERROR(__xludf.DUMMYFUNCTION("""COMPUTED_VALUE"""),"Phạm Quỳnh Anh ")</f>
        <v xml:space="preserve">Phạm Quỳnh Anh </v>
      </c>
      <c r="J1669" s="3" t="str">
        <f ca="1">IFERROR(__xludf.DUMMYFUNCTION("""COMPUTED_VALUE"""),"0828550088")</f>
        <v>0828550088</v>
      </c>
      <c r="K1669" s="2" t="str">
        <f ca="1">IFERROR(__xludf.DUMMYFUNCTION("""COMPUTED_VALUE"""),"1760230967481")</f>
        <v>1760230967481</v>
      </c>
    </row>
    <row r="1670" spans="1:11" ht="12.45">
      <c r="A1670" s="2" t="str">
        <f ca="1">IFERROR(__xludf.DUMMYFUNCTION("""COMPUTED_VALUE"""),"1760231002628")</f>
        <v>1760231002628</v>
      </c>
      <c r="B1670" s="2"/>
      <c r="C1670" s="2" t="str">
        <v>0</v>
      </c>
      <c r="D1670" s="2"/>
      <c r="F1670" s="2" t="str">
        <v>0</v>
      </c>
      <c r="I1670" s="2" t="str">
        <f ca="1">IFERROR(__xludf.DUMMYFUNCTION("""COMPUTED_VALUE"""),"Nguyễn Thị Ngọc Hà")</f>
        <v>Nguyễn Thị Ngọc Hà</v>
      </c>
      <c r="J1670" s="3" t="str">
        <f ca="1">IFERROR(__xludf.DUMMYFUNCTION("""COMPUTED_VALUE"""),"0377199668")</f>
        <v>0377199668</v>
      </c>
      <c r="K1670" s="2" t="str">
        <f ca="1">IFERROR(__xludf.DUMMYFUNCTION("""COMPUTED_VALUE"""),"1760231002628")</f>
        <v>1760231002628</v>
      </c>
    </row>
    <row r="1671" spans="1:11" ht="12.45">
      <c r="A1671" s="2" t="str">
        <f ca="1">IFERROR(__xludf.DUMMYFUNCTION("""COMPUTED_VALUE"""),"1760231034378")</f>
        <v>1760231034378</v>
      </c>
      <c r="B1671" s="2"/>
      <c r="C1671" s="2" t="str">
        <v>0</v>
      </c>
      <c r="D1671" s="2"/>
      <c r="F1671" s="2" t="str">
        <v>0</v>
      </c>
      <c r="I1671" s="2" t="str">
        <f ca="1">IFERROR(__xludf.DUMMYFUNCTION("""COMPUTED_VALUE"""),"Trần Võ Phương Linh")</f>
        <v>Trần Võ Phương Linh</v>
      </c>
      <c r="J1671" s="3" t="str">
        <f ca="1">IFERROR(__xludf.DUMMYFUNCTION("""COMPUTED_VALUE"""),"0945040607")</f>
        <v>0945040607</v>
      </c>
      <c r="K1671" s="2" t="str">
        <f ca="1">IFERROR(__xludf.DUMMYFUNCTION("""COMPUTED_VALUE"""),"1760231034378")</f>
        <v>1760231034378</v>
      </c>
    </row>
    <row r="1672" spans="1:11" ht="12.45">
      <c r="A1672" s="2" t="str">
        <f ca="1">IFERROR(__xludf.DUMMYFUNCTION("""COMPUTED_VALUE"""),"1760231072240")</f>
        <v>1760231072240</v>
      </c>
      <c r="B1672" s="2"/>
      <c r="C1672" s="2" t="str">
        <v>0</v>
      </c>
      <c r="D1672" s="2"/>
      <c r="F1672" s="2" t="str">
        <v>0</v>
      </c>
      <c r="I1672" s="2" t="str">
        <f ca="1">IFERROR(__xludf.DUMMYFUNCTION("""COMPUTED_VALUE"""),"Nguyễn Thị Thanh Hoa")</f>
        <v>Nguyễn Thị Thanh Hoa</v>
      </c>
      <c r="J1672" s="3" t="str">
        <f ca="1">IFERROR(__xludf.DUMMYFUNCTION("""COMPUTED_VALUE"""),"0374613559")</f>
        <v>0374613559</v>
      </c>
      <c r="K1672" s="2" t="str">
        <f ca="1">IFERROR(__xludf.DUMMYFUNCTION("""COMPUTED_VALUE"""),"1760231072240")</f>
        <v>1760231072240</v>
      </c>
    </row>
    <row r="1673" spans="1:11" ht="12.45">
      <c r="A1673" s="2" t="str">
        <f ca="1">IFERROR(__xludf.DUMMYFUNCTION("""COMPUTED_VALUE"""),"1760231111366")</f>
        <v>1760231111366</v>
      </c>
      <c r="B1673" s="2"/>
      <c r="C1673" s="2" t="str">
        <v>0</v>
      </c>
      <c r="D1673" s="2"/>
      <c r="F1673" s="2" t="str">
        <v>0</v>
      </c>
      <c r="I1673" s="2" t="str">
        <f ca="1">IFERROR(__xludf.DUMMYFUNCTION("""COMPUTED_VALUE"""),"Võ Trần Bảo Ngân")</f>
        <v>Võ Trần Bảo Ngân</v>
      </c>
      <c r="J1673" s="3" t="str">
        <f ca="1">IFERROR(__xludf.DUMMYFUNCTION("""COMPUTED_VALUE"""),"0707972793")</f>
        <v>0707972793</v>
      </c>
      <c r="K1673" s="2" t="str">
        <f ca="1">IFERROR(__xludf.DUMMYFUNCTION("""COMPUTED_VALUE"""),"1760231111366")</f>
        <v>1760231111366</v>
      </c>
    </row>
    <row r="1674" spans="1:11" ht="12.45">
      <c r="A1674" s="2" t="str">
        <f ca="1">IFERROR(__xludf.DUMMYFUNCTION("""COMPUTED_VALUE"""),"1760231141543")</f>
        <v>1760231141543</v>
      </c>
      <c r="B1674" s="2"/>
      <c r="C1674" s="2" t="str">
        <v>0</v>
      </c>
      <c r="D1674" s="2"/>
      <c r="F1674" s="2" t="str">
        <v>0</v>
      </c>
      <c r="I1674" s="2" t="str">
        <f ca="1">IFERROR(__xludf.DUMMYFUNCTION("""COMPUTED_VALUE"""),"Trần Thị Như Quỳnh ")</f>
        <v xml:space="preserve">Trần Thị Như Quỳnh </v>
      </c>
      <c r="J1674" s="3" t="str">
        <f ca="1">IFERROR(__xludf.DUMMYFUNCTION("""COMPUTED_VALUE"""),"0815633868")</f>
        <v>0815633868</v>
      </c>
      <c r="K1674" s="2" t="str">
        <f ca="1">IFERROR(__xludf.DUMMYFUNCTION("""COMPUTED_VALUE"""),"1760231141543")</f>
        <v>1760231141543</v>
      </c>
    </row>
    <row r="1675" spans="1:11" ht="12.45">
      <c r="A1675" s="2" t="str">
        <f ca="1">IFERROR(__xludf.DUMMYFUNCTION("""COMPUTED_VALUE"""),"1760231185181")</f>
        <v>1760231185181</v>
      </c>
      <c r="B1675" s="2"/>
      <c r="C1675" s="2" t="str">
        <v>0</v>
      </c>
      <c r="D1675" s="2"/>
      <c r="F1675" s="2" t="str">
        <v>0</v>
      </c>
      <c r="I1675" s="2" t="str">
        <f ca="1">IFERROR(__xludf.DUMMYFUNCTION("""COMPUTED_VALUE"""),"Lại Thanh Huyền")</f>
        <v>Lại Thanh Huyền</v>
      </c>
      <c r="J1675" s="3" t="str">
        <f ca="1">IFERROR(__xludf.DUMMYFUNCTION("""COMPUTED_VALUE"""),"0348740091")</f>
        <v>0348740091</v>
      </c>
      <c r="K1675" s="2" t="str">
        <f ca="1">IFERROR(__xludf.DUMMYFUNCTION("""COMPUTED_VALUE"""),"1760231185181")</f>
        <v>1760231185181</v>
      </c>
    </row>
    <row r="1676" spans="1:11" ht="12.45">
      <c r="A1676" s="2" t="str">
        <f ca="1">IFERROR(__xludf.DUMMYFUNCTION("""COMPUTED_VALUE"""),"1760231220715")</f>
        <v>1760231220715</v>
      </c>
      <c r="B1676" s="2"/>
      <c r="C1676" s="2" t="str">
        <v>0</v>
      </c>
      <c r="D1676" s="2"/>
      <c r="F1676" s="2" t="str">
        <v>0</v>
      </c>
      <c r="I1676" s="2" t="str">
        <f ca="1">IFERROR(__xludf.DUMMYFUNCTION("""COMPUTED_VALUE"""),"Nguyễn Ngọc Anh")</f>
        <v>Nguyễn Ngọc Anh</v>
      </c>
      <c r="J1676" s="3" t="str">
        <f ca="1">IFERROR(__xludf.DUMMYFUNCTION("""COMPUTED_VALUE"""),"0911434710")</f>
        <v>0911434710</v>
      </c>
      <c r="K1676" s="2" t="str">
        <f ca="1">IFERROR(__xludf.DUMMYFUNCTION("""COMPUTED_VALUE"""),"1760231220715")</f>
        <v>1760231220715</v>
      </c>
    </row>
    <row r="1677" spans="1:11" ht="12.45">
      <c r="A1677" s="2" t="str">
        <f ca="1">IFERROR(__xludf.DUMMYFUNCTION("""COMPUTED_VALUE"""),"1760231254493")</f>
        <v>1760231254493</v>
      </c>
      <c r="B1677" s="2"/>
      <c r="C1677" s="2" t="str">
        <v>0</v>
      </c>
      <c r="D1677" s="2"/>
      <c r="F1677" s="2" t="str">
        <v>0</v>
      </c>
      <c r="I1677" s="2" t="str">
        <f ca="1">IFERROR(__xludf.DUMMYFUNCTION("""COMPUTED_VALUE"""),"Nguyễn Viết Hải Anh ")</f>
        <v xml:space="preserve">Nguyễn Viết Hải Anh </v>
      </c>
      <c r="J1677" s="3" t="str">
        <f ca="1">IFERROR(__xludf.DUMMYFUNCTION("""COMPUTED_VALUE"""),"0971630396")</f>
        <v>0971630396</v>
      </c>
      <c r="K1677" s="2" t="str">
        <f ca="1">IFERROR(__xludf.DUMMYFUNCTION("""COMPUTED_VALUE"""),"1760231254493")</f>
        <v>1760231254493</v>
      </c>
    </row>
    <row r="1678" spans="1:11" ht="12.45">
      <c r="A1678" s="2" t="str">
        <f ca="1">IFERROR(__xludf.DUMMYFUNCTION("""COMPUTED_VALUE"""),"1760231292944")</f>
        <v>1760231292944</v>
      </c>
      <c r="B1678" s="2"/>
      <c r="C1678" s="2" t="str">
        <v>0</v>
      </c>
      <c r="D1678" s="2"/>
      <c r="F1678" s="2" t="str">
        <v>0</v>
      </c>
      <c r="I1678" s="2" t="str">
        <f ca="1">IFERROR(__xludf.DUMMYFUNCTION("""COMPUTED_VALUE"""),"Nguyễn Hồng Liên")</f>
        <v>Nguyễn Hồng Liên</v>
      </c>
      <c r="J1678" s="3" t="str">
        <f ca="1">IFERROR(__xludf.DUMMYFUNCTION("""COMPUTED_VALUE"""),"0368629892")</f>
        <v>0368629892</v>
      </c>
      <c r="K1678" s="2" t="str">
        <f ca="1">IFERROR(__xludf.DUMMYFUNCTION("""COMPUTED_VALUE"""),"1760231292944")</f>
        <v>1760231292944</v>
      </c>
    </row>
    <row r="1679" spans="1:11" ht="12.45">
      <c r="A1679" s="2" t="str">
        <f ca="1">IFERROR(__xludf.DUMMYFUNCTION("""COMPUTED_VALUE"""),"Không giao sách")</f>
        <v>Không giao sách</v>
      </c>
      <c r="B1679" s="2"/>
      <c r="C1679" s="2" t="str">
        <v>0</v>
      </c>
      <c r="D1679" s="2"/>
      <c r="F1679" s="2" t="str">
        <v>0</v>
      </c>
      <c r="I1679" s="2" t="str">
        <f ca="1">IFERROR(__xludf.DUMMYFUNCTION("""COMPUTED_VALUE"""),"Đỗ Vân Thanh ")</f>
        <v xml:space="preserve">Đỗ Vân Thanh </v>
      </c>
      <c r="J1679" s="3" t="str">
        <f ca="1">IFERROR(__xludf.DUMMYFUNCTION("""COMPUTED_VALUE"""),"0395917517")</f>
        <v>0395917517</v>
      </c>
      <c r="K1679" s="2" t="str">
        <f ca="1">IFERROR(__xludf.DUMMYFUNCTION("""COMPUTED_VALUE"""),"Không giao sách")</f>
        <v>Không giao sách</v>
      </c>
    </row>
    <row r="1680" spans="1:11" ht="12.45">
      <c r="A1680" s="2" t="str">
        <f ca="1">IFERROR(__xludf.DUMMYFUNCTION("""COMPUTED_VALUE"""),"1760231359475")</f>
        <v>1760231359475</v>
      </c>
      <c r="B1680" s="2"/>
      <c r="C1680" s="2" t="str">
        <v>0</v>
      </c>
      <c r="D1680" s="2"/>
      <c r="F1680" s="2" t="str">
        <v>0</v>
      </c>
      <c r="I1680" s="2" t="str">
        <f ca="1">IFERROR(__xludf.DUMMYFUNCTION("""COMPUTED_VALUE"""),"Trần Tố Như ")</f>
        <v xml:space="preserve">Trần Tố Như </v>
      </c>
      <c r="J1680" s="3" t="str">
        <f ca="1">IFERROR(__xludf.DUMMYFUNCTION("""COMPUTED_VALUE"""),"0941482307")</f>
        <v>0941482307</v>
      </c>
      <c r="K1680" s="2" t="str">
        <f ca="1">IFERROR(__xludf.DUMMYFUNCTION("""COMPUTED_VALUE"""),"1760231359475")</f>
        <v>1760231359475</v>
      </c>
    </row>
    <row r="1681" spans="1:11" ht="12.45">
      <c r="A1681" s="2" t="str">
        <f ca="1">IFERROR(__xludf.DUMMYFUNCTION("""COMPUTED_VALUE"""),"1760231408990")</f>
        <v>1760231408990</v>
      </c>
      <c r="B1681" s="2"/>
      <c r="C1681" s="2" t="str">
        <v>0</v>
      </c>
      <c r="D1681" s="2"/>
      <c r="F1681" s="2" t="str">
        <v>0</v>
      </c>
      <c r="I1681" s="2" t="str">
        <f ca="1">IFERROR(__xludf.DUMMYFUNCTION("""COMPUTED_VALUE"""),"Cao Thị Ngọc Lan")</f>
        <v>Cao Thị Ngọc Lan</v>
      </c>
      <c r="J1681" s="3" t="str">
        <f ca="1">IFERROR(__xludf.DUMMYFUNCTION("""COMPUTED_VALUE"""),"0332660280")</f>
        <v>0332660280</v>
      </c>
      <c r="K1681" s="2" t="str">
        <f ca="1">IFERROR(__xludf.DUMMYFUNCTION("""COMPUTED_VALUE"""),"1760231408990")</f>
        <v>1760231408990</v>
      </c>
    </row>
    <row r="1682" spans="1:11" ht="12.45">
      <c r="A1682" s="2" t="str">
        <f ca="1">IFERROR(__xludf.DUMMYFUNCTION("""COMPUTED_VALUE"""),"1760231462410")</f>
        <v>1760231462410</v>
      </c>
      <c r="B1682" s="2"/>
      <c r="C1682" s="2" t="str">
        <v>0</v>
      </c>
      <c r="D1682" s="2"/>
      <c r="F1682" s="2" t="str">
        <v>0</v>
      </c>
      <c r="I1682" s="2" t="str">
        <f ca="1">IFERROR(__xludf.DUMMYFUNCTION("""COMPUTED_VALUE"""),"Hà Thị Kim Chi")</f>
        <v>Hà Thị Kim Chi</v>
      </c>
      <c r="J1682" s="3" t="str">
        <f ca="1">IFERROR(__xludf.DUMMYFUNCTION("""COMPUTED_VALUE"""),"0865099345")</f>
        <v>0865099345</v>
      </c>
      <c r="K1682" s="2" t="str">
        <f ca="1">IFERROR(__xludf.DUMMYFUNCTION("""COMPUTED_VALUE"""),"1760231462410")</f>
        <v>1760231462410</v>
      </c>
    </row>
    <row r="1683" spans="1:11" ht="12.45">
      <c r="A1683" s="2" t="str">
        <f ca="1">IFERROR(__xludf.DUMMYFUNCTION("""COMPUTED_VALUE"""),"1760231509286")</f>
        <v>1760231509286</v>
      </c>
      <c r="B1683" s="2"/>
      <c r="C1683" s="2" t="str">
        <v>0</v>
      </c>
      <c r="D1683" s="2"/>
      <c r="F1683" s="2" t="str">
        <v>0</v>
      </c>
      <c r="I1683" s="2" t="str">
        <f ca="1">IFERROR(__xludf.DUMMYFUNCTION("""COMPUTED_VALUE"""),"Vũ Thị Ngọc Hà ")</f>
        <v xml:space="preserve">Vũ Thị Ngọc Hà </v>
      </c>
      <c r="J1683" s="3" t="str">
        <f ca="1">IFERROR(__xludf.DUMMYFUNCTION("""COMPUTED_VALUE"""),"0981936750")</f>
        <v>0981936750</v>
      </c>
      <c r="K1683" s="2" t="str">
        <f ca="1">IFERROR(__xludf.DUMMYFUNCTION("""COMPUTED_VALUE"""),"1760231509286")</f>
        <v>1760231509286</v>
      </c>
    </row>
    <row r="1684" spans="1:11" ht="12.45">
      <c r="A1684" s="2" t="str">
        <f ca="1">IFERROR(__xludf.DUMMYFUNCTION("""COMPUTED_VALUE"""),"1760231541468")</f>
        <v>1760231541468</v>
      </c>
      <c r="B1684" s="2"/>
      <c r="C1684" s="2" t="str">
        <v>0</v>
      </c>
      <c r="D1684" s="2"/>
      <c r="F1684" s="2" t="str">
        <v>0</v>
      </c>
      <c r="I1684" s="2" t="str">
        <f ca="1">IFERROR(__xludf.DUMMYFUNCTION("""COMPUTED_VALUE"""),"Vũ Thị Thanh Mai")</f>
        <v>Vũ Thị Thanh Mai</v>
      </c>
      <c r="J1684" s="3" t="str">
        <f ca="1">IFERROR(__xludf.DUMMYFUNCTION("""COMPUTED_VALUE"""),"0328388983")</f>
        <v>0328388983</v>
      </c>
      <c r="K1684" s="2" t="str">
        <f ca="1">IFERROR(__xludf.DUMMYFUNCTION("""COMPUTED_VALUE"""),"1760231541468")</f>
        <v>1760231541468</v>
      </c>
    </row>
    <row r="1685" spans="1:11" ht="12.45">
      <c r="A1685" s="2" t="str">
        <f ca="1">IFERROR(__xludf.DUMMYFUNCTION("""COMPUTED_VALUE"""),"1760231598310")</f>
        <v>1760231598310</v>
      </c>
      <c r="B1685" s="2"/>
      <c r="C1685" s="2" t="str">
        <v>0</v>
      </c>
      <c r="D1685" s="2"/>
      <c r="F1685" s="2" t="str">
        <v>0</v>
      </c>
      <c r="I1685" s="2" t="str">
        <f ca="1">IFERROR(__xludf.DUMMYFUNCTION("""COMPUTED_VALUE"""),"Trần Tuấn Vương")</f>
        <v>Trần Tuấn Vương</v>
      </c>
      <c r="J1685" s="3" t="str">
        <f ca="1">IFERROR(__xludf.DUMMYFUNCTION("""COMPUTED_VALUE"""),"0911788316")</f>
        <v>0911788316</v>
      </c>
      <c r="K1685" s="2" t="str">
        <f ca="1">IFERROR(__xludf.DUMMYFUNCTION("""COMPUTED_VALUE"""),"1760231598310")</f>
        <v>1760231598310</v>
      </c>
    </row>
    <row r="1686" spans="1:11" ht="12.45">
      <c r="A1686" s="2" t="str">
        <f ca="1">IFERROR(__xludf.DUMMYFUNCTION("""COMPUTED_VALUE"""),"1760231674832")</f>
        <v>1760231674832</v>
      </c>
      <c r="B1686" s="2"/>
      <c r="C1686" s="2" t="str">
        <v>0</v>
      </c>
      <c r="D1686" s="2"/>
      <c r="F1686" s="2" t="str">
        <v>0</v>
      </c>
      <c r="I1686" s="2" t="str">
        <f ca="1">IFERROR(__xludf.DUMMYFUNCTION("""COMPUTED_VALUE"""),"Vũ Huỳnh Như")</f>
        <v>Vũ Huỳnh Như</v>
      </c>
      <c r="J1686" s="3" t="str">
        <f ca="1">IFERROR(__xludf.DUMMYFUNCTION("""COMPUTED_VALUE"""),"0799509217")</f>
        <v>0799509217</v>
      </c>
      <c r="K1686" s="2" t="str">
        <f ca="1">IFERROR(__xludf.DUMMYFUNCTION("""COMPUTED_VALUE"""),"1760231674832")</f>
        <v>1760231674832</v>
      </c>
    </row>
    <row r="1687" spans="1:11" ht="12.45">
      <c r="A1687" s="2" t="str">
        <f ca="1">IFERROR(__xludf.DUMMYFUNCTION("""COMPUTED_VALUE"""),"1760231730582")</f>
        <v>1760231730582</v>
      </c>
      <c r="B1687" s="2"/>
      <c r="C1687" s="2" t="str">
        <v>0</v>
      </c>
      <c r="D1687" s="2"/>
      <c r="F1687" s="2" t="str">
        <v>0</v>
      </c>
      <c r="I1687" s="2" t="str">
        <f ca="1">IFERROR(__xludf.DUMMYFUNCTION("""COMPUTED_VALUE"""),"Hoàng Nguyệt Ánh")</f>
        <v>Hoàng Nguyệt Ánh</v>
      </c>
      <c r="J1687" s="3" t="str">
        <f ca="1">IFERROR(__xludf.DUMMYFUNCTION("""COMPUTED_VALUE"""),"0978563697")</f>
        <v>0978563697</v>
      </c>
      <c r="K1687" s="2" t="str">
        <f ca="1">IFERROR(__xludf.DUMMYFUNCTION("""COMPUTED_VALUE"""),"1760231730582")</f>
        <v>1760231730582</v>
      </c>
    </row>
    <row r="1688" spans="1:11" ht="12.45">
      <c r="A1688" s="2" t="str">
        <f ca="1">IFERROR(__xludf.DUMMYFUNCTION("""COMPUTED_VALUE"""),"1760231801816")</f>
        <v>1760231801816</v>
      </c>
      <c r="B1688" s="2"/>
      <c r="C1688" s="2" t="str">
        <v>0</v>
      </c>
      <c r="D1688" s="2"/>
      <c r="F1688" s="2" t="str">
        <v>0</v>
      </c>
      <c r="I1688" s="2" t="str">
        <f ca="1">IFERROR(__xludf.DUMMYFUNCTION("""COMPUTED_VALUE"""),"Đoàn Mạnh Hiếu")</f>
        <v>Đoàn Mạnh Hiếu</v>
      </c>
      <c r="J1688" s="3" t="str">
        <f ca="1">IFERROR(__xludf.DUMMYFUNCTION("""COMPUTED_VALUE"""),"0969796098")</f>
        <v>0969796098</v>
      </c>
      <c r="K1688" s="2" t="str">
        <f ca="1">IFERROR(__xludf.DUMMYFUNCTION("""COMPUTED_VALUE"""),"1760231801816")</f>
        <v>1760231801816</v>
      </c>
    </row>
    <row r="1689" spans="1:11" ht="12.45">
      <c r="A1689" s="2" t="str">
        <f ca="1">IFERROR(__xludf.DUMMYFUNCTION("""COMPUTED_VALUE"""),"1760231839773")</f>
        <v>1760231839773</v>
      </c>
      <c r="B1689" s="2"/>
      <c r="C1689" s="2" t="str">
        <v>0</v>
      </c>
      <c r="D1689" s="2"/>
      <c r="F1689" s="2" t="str">
        <v>0</v>
      </c>
      <c r="I1689" s="2" t="str">
        <f ca="1">IFERROR(__xludf.DUMMYFUNCTION("""COMPUTED_VALUE"""),"Bùi Minh Hương")</f>
        <v>Bùi Minh Hương</v>
      </c>
      <c r="J1689" s="3" t="str">
        <f ca="1">IFERROR(__xludf.DUMMYFUNCTION("""COMPUTED_VALUE"""),"0818676889")</f>
        <v>0818676889</v>
      </c>
      <c r="K1689" s="2" t="str">
        <f ca="1">IFERROR(__xludf.DUMMYFUNCTION("""COMPUTED_VALUE"""),"1760231839773")</f>
        <v>1760231839773</v>
      </c>
    </row>
    <row r="1690" spans="1:11" ht="12.45">
      <c r="A1690" s="2" t="str">
        <f ca="1">IFERROR(__xludf.DUMMYFUNCTION("""COMPUTED_VALUE"""),"1760231869915")</f>
        <v>1760231869915</v>
      </c>
      <c r="B1690" s="2"/>
      <c r="C1690" s="2" t="str">
        <v>0</v>
      </c>
      <c r="D1690" s="2"/>
      <c r="F1690" s="2" t="str">
        <v>0</v>
      </c>
      <c r="I1690" s="2" t="str">
        <f ca="1">IFERROR(__xludf.DUMMYFUNCTION("""COMPUTED_VALUE"""),"Chu Thị Thu Hiền ")</f>
        <v xml:space="preserve">Chu Thị Thu Hiền </v>
      </c>
      <c r="J1690" s="3" t="str">
        <f ca="1">IFERROR(__xludf.DUMMYFUNCTION("""COMPUTED_VALUE"""),"0383645145")</f>
        <v>0383645145</v>
      </c>
      <c r="K1690" s="2" t="str">
        <f ca="1">IFERROR(__xludf.DUMMYFUNCTION("""COMPUTED_VALUE"""),"1760231869915")</f>
        <v>1760231869915</v>
      </c>
    </row>
    <row r="1691" spans="1:11" ht="12.45">
      <c r="A1691" s="2" t="str">
        <f ca="1">IFERROR(__xludf.DUMMYFUNCTION("""COMPUTED_VALUE"""),"1760231905124")</f>
        <v>1760231905124</v>
      </c>
      <c r="B1691" s="2"/>
      <c r="C1691" s="2" t="str">
        <v>0</v>
      </c>
      <c r="D1691" s="2"/>
      <c r="F1691" s="2" t="str">
        <v>0</v>
      </c>
      <c r="I1691" s="2" t="str">
        <f ca="1">IFERROR(__xludf.DUMMYFUNCTION("""COMPUTED_VALUE"""),"Nguyễn Phương Linh")</f>
        <v>Nguyễn Phương Linh</v>
      </c>
      <c r="J1691" s="3" t="str">
        <f ca="1">IFERROR(__xludf.DUMMYFUNCTION("""COMPUTED_VALUE"""),"0989884600")</f>
        <v>0989884600</v>
      </c>
      <c r="K1691" s="2" t="str">
        <f ca="1">IFERROR(__xludf.DUMMYFUNCTION("""COMPUTED_VALUE"""),"1760231905124")</f>
        <v>1760231905124</v>
      </c>
    </row>
    <row r="1692" spans="1:11" ht="12.45">
      <c r="A1692" s="2" t="str">
        <f ca="1">IFERROR(__xludf.DUMMYFUNCTION("""COMPUTED_VALUE"""),"1760231954720")</f>
        <v>1760231954720</v>
      </c>
      <c r="B1692" s="2"/>
      <c r="C1692" s="2" t="str">
        <v>0</v>
      </c>
      <c r="D1692" s="2"/>
      <c r="F1692" s="2" t="str">
        <v>0</v>
      </c>
      <c r="I1692" s="2" t="str">
        <f ca="1">IFERROR(__xludf.DUMMYFUNCTION("""COMPUTED_VALUE"""),"Nguyễn Mạnh Bình")</f>
        <v>Nguyễn Mạnh Bình</v>
      </c>
      <c r="J1692" s="3" t="str">
        <f ca="1">IFERROR(__xludf.DUMMYFUNCTION("""COMPUTED_VALUE"""),"0862622884")</f>
        <v>0862622884</v>
      </c>
      <c r="K1692" s="2" t="str">
        <f ca="1">IFERROR(__xludf.DUMMYFUNCTION("""COMPUTED_VALUE"""),"1760231954720")</f>
        <v>1760231954720</v>
      </c>
    </row>
    <row r="1693" spans="1:11" ht="12.45">
      <c r="A1693" s="2" t="str">
        <f ca="1">IFERROR(__xludf.DUMMYFUNCTION("""COMPUTED_VALUE"""),"1760232030541")</f>
        <v>1760232030541</v>
      </c>
      <c r="B1693" s="2"/>
      <c r="C1693" s="2" t="str">
        <v>0</v>
      </c>
      <c r="D1693" s="2"/>
      <c r="F1693" s="2" t="str">
        <v>0</v>
      </c>
      <c r="I1693" s="2" t="str">
        <f ca="1">IFERROR(__xludf.DUMMYFUNCTION("""COMPUTED_VALUE"""),"Trần Ngọc Thái")</f>
        <v>Trần Ngọc Thái</v>
      </c>
      <c r="J1693" s="3" t="str">
        <f ca="1">IFERROR(__xludf.DUMMYFUNCTION("""COMPUTED_VALUE"""),"0949395752")</f>
        <v>0949395752</v>
      </c>
      <c r="K1693" s="2" t="str">
        <f ca="1">IFERROR(__xludf.DUMMYFUNCTION("""COMPUTED_VALUE"""),"1760232030541")</f>
        <v>1760232030541</v>
      </c>
    </row>
    <row r="1694" spans="1:11" ht="12.45">
      <c r="A1694" s="2" t="str">
        <f ca="1">IFERROR(__xludf.DUMMYFUNCTION("""COMPUTED_VALUE"""),"1760232081030")</f>
        <v>1760232081030</v>
      </c>
      <c r="B1694" s="2"/>
      <c r="C1694" s="2" t="str">
        <v>0</v>
      </c>
      <c r="D1694" s="2"/>
      <c r="F1694" s="2" t="str">
        <v>0</v>
      </c>
      <c r="I1694" s="2" t="str">
        <f ca="1">IFERROR(__xludf.DUMMYFUNCTION("""COMPUTED_VALUE"""),"Trần Ngọc Quỳnh Như")</f>
        <v>Trần Ngọc Quỳnh Như</v>
      </c>
      <c r="J1694" s="3" t="str">
        <f ca="1">IFERROR(__xludf.DUMMYFUNCTION("""COMPUTED_VALUE"""),"0966049952")</f>
        <v>0966049952</v>
      </c>
      <c r="K1694" s="2" t="str">
        <f ca="1">IFERROR(__xludf.DUMMYFUNCTION("""COMPUTED_VALUE"""),"1760232081030")</f>
        <v>1760232081030</v>
      </c>
    </row>
    <row r="1695" spans="1:11" ht="12.45">
      <c r="A1695" s="2" t="str">
        <f ca="1">IFERROR(__xludf.DUMMYFUNCTION("""COMPUTED_VALUE"""),"1760232123370")</f>
        <v>1760232123370</v>
      </c>
      <c r="B1695" s="2"/>
      <c r="C1695" s="2" t="str">
        <v>0</v>
      </c>
      <c r="D1695" s="2"/>
      <c r="F1695" s="2" t="str">
        <v>0</v>
      </c>
      <c r="I1695" s="2" t="str">
        <f ca="1">IFERROR(__xludf.DUMMYFUNCTION("""COMPUTED_VALUE"""),"Hồ Quỳnh Như ")</f>
        <v xml:space="preserve">Hồ Quỳnh Như </v>
      </c>
      <c r="J1695" s="3" t="str">
        <f ca="1">IFERROR(__xludf.DUMMYFUNCTION("""COMPUTED_VALUE"""),"0325429309")</f>
        <v>0325429309</v>
      </c>
      <c r="K1695" s="2" t="str">
        <f ca="1">IFERROR(__xludf.DUMMYFUNCTION("""COMPUTED_VALUE"""),"1760232123370")</f>
        <v>1760232123370</v>
      </c>
    </row>
    <row r="1696" spans="1:11" ht="12.45">
      <c r="A1696" s="2" t="str">
        <f ca="1">IFERROR(__xludf.DUMMYFUNCTION("""COMPUTED_VALUE"""),"1760232171206")</f>
        <v>1760232171206</v>
      </c>
      <c r="B1696" s="2"/>
      <c r="C1696" s="2" t="str">
        <v>0</v>
      </c>
      <c r="D1696" s="2"/>
      <c r="F1696" s="2" t="str">
        <v>0</v>
      </c>
      <c r="I1696" s="2" t="str">
        <f ca="1">IFERROR(__xludf.DUMMYFUNCTION("""COMPUTED_VALUE"""),"Hoàng Thị Hằng")</f>
        <v>Hoàng Thị Hằng</v>
      </c>
      <c r="J1696" s="3" t="str">
        <f ca="1">IFERROR(__xludf.DUMMYFUNCTION("""COMPUTED_VALUE"""),"0886494087")</f>
        <v>0886494087</v>
      </c>
      <c r="K1696" s="2" t="str">
        <f ca="1">IFERROR(__xludf.DUMMYFUNCTION("""COMPUTED_VALUE"""),"1760232171206")</f>
        <v>1760232171206</v>
      </c>
    </row>
    <row r="1697" spans="1:11" ht="12.45">
      <c r="A1697" s="2" t="str">
        <f ca="1">IFERROR(__xludf.DUMMYFUNCTION("""COMPUTED_VALUE"""),"1760232204552")</f>
        <v>1760232204552</v>
      </c>
      <c r="B1697" s="2"/>
      <c r="C1697" s="2" t="str">
        <v>0</v>
      </c>
      <c r="D1697" s="2"/>
      <c r="F1697" s="2" t="str">
        <v>0</v>
      </c>
      <c r="I1697" s="2" t="str">
        <f ca="1">IFERROR(__xludf.DUMMYFUNCTION("""COMPUTED_VALUE"""),"Nguyễn Thị Duyên Hảo")</f>
        <v>Nguyễn Thị Duyên Hảo</v>
      </c>
      <c r="J1697" s="3" t="str">
        <f ca="1">IFERROR(__xludf.DUMMYFUNCTION("""COMPUTED_VALUE"""),"0904340559")</f>
        <v>0904340559</v>
      </c>
      <c r="K1697" s="2" t="str">
        <f ca="1">IFERROR(__xludf.DUMMYFUNCTION("""COMPUTED_VALUE"""),"1760232204552")</f>
        <v>1760232204552</v>
      </c>
    </row>
    <row r="1698" spans="1:11" ht="12.45">
      <c r="A1698" s="2" t="str">
        <f ca="1">IFERROR(__xludf.DUMMYFUNCTION("""COMPUTED_VALUE"""),"1760232248541")</f>
        <v>1760232248541</v>
      </c>
      <c r="B1698" s="2"/>
      <c r="C1698" s="2" t="str">
        <v>0</v>
      </c>
      <c r="D1698" s="2"/>
      <c r="F1698" s="2" t="str">
        <v>0</v>
      </c>
      <c r="I1698" s="2" t="str">
        <f ca="1">IFERROR(__xludf.DUMMYFUNCTION("""COMPUTED_VALUE"""),"Phan Dương Thiên Bình")</f>
        <v>Phan Dương Thiên Bình</v>
      </c>
      <c r="J1698" s="3" t="str">
        <f ca="1">IFERROR(__xludf.DUMMYFUNCTION("""COMPUTED_VALUE"""),"0965400052")</f>
        <v>0965400052</v>
      </c>
      <c r="K1698" s="2" t="str">
        <f ca="1">IFERROR(__xludf.DUMMYFUNCTION("""COMPUTED_VALUE"""),"1760232248541")</f>
        <v>1760232248541</v>
      </c>
    </row>
    <row r="1699" spans="1:11" ht="12.45">
      <c r="A1699" s="2" t="str">
        <f ca="1">IFERROR(__xludf.DUMMYFUNCTION("""COMPUTED_VALUE"""),"1760232285159")</f>
        <v>1760232285159</v>
      </c>
      <c r="B1699" s="2"/>
      <c r="C1699" s="2" t="str">
        <v>0</v>
      </c>
      <c r="D1699" s="2"/>
      <c r="F1699" s="2" t="str">
        <v>0</v>
      </c>
      <c r="I1699" s="2" t="str">
        <f ca="1">IFERROR(__xludf.DUMMYFUNCTION("""COMPUTED_VALUE"""),"Nguyễn Hồng Nhung ")</f>
        <v xml:space="preserve">Nguyễn Hồng Nhung </v>
      </c>
      <c r="J1699" s="3" t="str">
        <f ca="1">IFERROR(__xludf.DUMMYFUNCTION("""COMPUTED_VALUE"""),"0865037213")</f>
        <v>0865037213</v>
      </c>
      <c r="K1699" s="2" t="str">
        <f ca="1">IFERROR(__xludf.DUMMYFUNCTION("""COMPUTED_VALUE"""),"1760232285159")</f>
        <v>1760232285159</v>
      </c>
    </row>
    <row r="1700" spans="1:11" ht="12.45">
      <c r="A1700" s="2" t="str">
        <f ca="1">IFERROR(__xludf.DUMMYFUNCTION("""COMPUTED_VALUE"""),"1760232346924")</f>
        <v>1760232346924</v>
      </c>
      <c r="B1700" s="2"/>
      <c r="C1700" s="2" t="str">
        <v>0</v>
      </c>
      <c r="D1700" s="2"/>
      <c r="F1700" s="2" t="str">
        <v>0</v>
      </c>
      <c r="I1700" s="2" t="str">
        <f ca="1">IFERROR(__xludf.DUMMYFUNCTION("""COMPUTED_VALUE"""),"Nguyễn Hoàng Lan")</f>
        <v>Nguyễn Hoàng Lan</v>
      </c>
      <c r="J1700" s="3" t="str">
        <f ca="1">IFERROR(__xludf.DUMMYFUNCTION("""COMPUTED_VALUE"""),"0789262515")</f>
        <v>0789262515</v>
      </c>
      <c r="K1700" s="2" t="str">
        <f ca="1">IFERROR(__xludf.DUMMYFUNCTION("""COMPUTED_VALUE"""),"1760232346924")</f>
        <v>1760232346924</v>
      </c>
    </row>
    <row r="1701" spans="1:11" ht="12.45">
      <c r="A1701" s="2" t="str">
        <f ca="1">IFERROR(__xludf.DUMMYFUNCTION("""COMPUTED_VALUE"""),"1760232392328")</f>
        <v>1760232392328</v>
      </c>
      <c r="B1701" s="2"/>
      <c r="C1701" s="2" t="str">
        <v>0</v>
      </c>
      <c r="D1701" s="2"/>
      <c r="F1701" s="2" t="str">
        <v>0</v>
      </c>
      <c r="I1701" s="2" t="str">
        <f ca="1">IFERROR(__xludf.DUMMYFUNCTION("""COMPUTED_VALUE"""),"Đoàn Trúc An ")</f>
        <v xml:space="preserve">Đoàn Trúc An </v>
      </c>
      <c r="J1701" s="3" t="str">
        <f ca="1">IFERROR(__xludf.DUMMYFUNCTION("""COMPUTED_VALUE"""),"0356667354")</f>
        <v>0356667354</v>
      </c>
      <c r="K1701" s="2" t="str">
        <f ca="1">IFERROR(__xludf.DUMMYFUNCTION("""COMPUTED_VALUE"""),"1760232392328")</f>
        <v>1760232392328</v>
      </c>
    </row>
    <row r="1702" spans="1:11" ht="12.45">
      <c r="A1702" s="2" t="str">
        <f ca="1">IFERROR(__xludf.DUMMYFUNCTION("""COMPUTED_VALUE"""),"1760232427536")</f>
        <v>1760232427536</v>
      </c>
      <c r="B1702" s="2"/>
      <c r="C1702" s="2" t="str">
        <v>0</v>
      </c>
      <c r="D1702" s="2"/>
      <c r="F1702" s="2" t="str">
        <v>0</v>
      </c>
      <c r="I1702" s="2" t="str">
        <f ca="1">IFERROR(__xludf.DUMMYFUNCTION("""COMPUTED_VALUE"""),"Nguyễn Phương Thảo")</f>
        <v>Nguyễn Phương Thảo</v>
      </c>
      <c r="J1702" s="3" t="str">
        <f ca="1">IFERROR(__xludf.DUMMYFUNCTION("""COMPUTED_VALUE"""),"0974418330")</f>
        <v>0974418330</v>
      </c>
      <c r="K1702" s="2" t="str">
        <f ca="1">IFERROR(__xludf.DUMMYFUNCTION("""COMPUTED_VALUE"""),"1760232427536")</f>
        <v>1760232427536</v>
      </c>
    </row>
    <row r="1703" spans="1:11" ht="12.45">
      <c r="A1703" s="2" t="str">
        <f ca="1">IFERROR(__xludf.DUMMYFUNCTION("""COMPUTED_VALUE"""),"1760232479232")</f>
        <v>1760232479232</v>
      </c>
      <c r="B1703" s="2"/>
      <c r="C1703" s="2" t="str">
        <v>0</v>
      </c>
      <c r="D1703" s="2"/>
      <c r="F1703" s="2" t="str">
        <v>0</v>
      </c>
      <c r="I1703" s="2" t="str">
        <f ca="1">IFERROR(__xludf.DUMMYFUNCTION("""COMPUTED_VALUE"""),"Lương Ánh Dương")</f>
        <v>Lương Ánh Dương</v>
      </c>
      <c r="J1703" s="3" t="str">
        <f ca="1">IFERROR(__xludf.DUMMYFUNCTION("""COMPUTED_VALUE"""),"0377254116")</f>
        <v>0377254116</v>
      </c>
      <c r="K1703" s="2" t="str">
        <f ca="1">IFERROR(__xludf.DUMMYFUNCTION("""COMPUTED_VALUE"""),"1760232479232")</f>
        <v>1760232479232</v>
      </c>
    </row>
    <row r="1704" spans="1:11" ht="12.45">
      <c r="A1704" s="2" t="str">
        <f ca="1">IFERROR(__xludf.DUMMYFUNCTION("""COMPUTED_VALUE"""),"1760232508589")</f>
        <v>1760232508589</v>
      </c>
      <c r="B1704" s="2"/>
      <c r="C1704" s="2" t="str">
        <v>0</v>
      </c>
      <c r="D1704" s="2"/>
      <c r="F1704" s="2" t="str">
        <v>0</v>
      </c>
      <c r="I1704" s="2" t="str">
        <f ca="1">IFERROR(__xludf.DUMMYFUNCTION("""COMPUTED_VALUE"""),"Nguyễn Thị Tú Uyên")</f>
        <v>Nguyễn Thị Tú Uyên</v>
      </c>
      <c r="J1704" s="3" t="str">
        <f ca="1">IFERROR(__xludf.DUMMYFUNCTION("""COMPUTED_VALUE"""),"0397580782")</f>
        <v>0397580782</v>
      </c>
      <c r="K1704" s="2" t="str">
        <f ca="1">IFERROR(__xludf.DUMMYFUNCTION("""COMPUTED_VALUE"""),"1760232508589")</f>
        <v>1760232508589</v>
      </c>
    </row>
    <row r="1705" spans="1:11" ht="12.45">
      <c r="A1705" s="2" t="str">
        <f ca="1">IFERROR(__xludf.DUMMYFUNCTION("""COMPUTED_VALUE"""),"1760232543895")</f>
        <v>1760232543895</v>
      </c>
      <c r="B1705" s="2"/>
      <c r="C1705" s="2" t="str">
        <v>0</v>
      </c>
      <c r="D1705" s="2"/>
      <c r="F1705" s="2" t="str">
        <v>0</v>
      </c>
      <c r="I1705" s="2" t="str">
        <f ca="1">IFERROR(__xludf.DUMMYFUNCTION("""COMPUTED_VALUE"""),"Trần Lê Bảo Ngọc ")</f>
        <v xml:space="preserve">Trần Lê Bảo Ngọc </v>
      </c>
      <c r="J1705" s="3" t="str">
        <f ca="1">IFERROR(__xludf.DUMMYFUNCTION("""COMPUTED_VALUE"""),"0398966428")</f>
        <v>0398966428</v>
      </c>
      <c r="K1705" s="2" t="str">
        <f ca="1">IFERROR(__xludf.DUMMYFUNCTION("""COMPUTED_VALUE"""),"1760232543895")</f>
        <v>1760232543895</v>
      </c>
    </row>
    <row r="1706" spans="1:11" ht="12.45">
      <c r="A1706" s="2" t="str">
        <f ca="1">IFERROR(__xludf.DUMMYFUNCTION("""COMPUTED_VALUE"""),"1760232573829")</f>
        <v>1760232573829</v>
      </c>
      <c r="B1706" s="2"/>
      <c r="C1706" s="2" t="str">
        <v>0</v>
      </c>
      <c r="D1706" s="2"/>
      <c r="F1706" s="2" t="str">
        <v>0</v>
      </c>
      <c r="I1706" s="2" t="str">
        <f ca="1">IFERROR(__xludf.DUMMYFUNCTION("""COMPUTED_VALUE"""),"hồng phúc")</f>
        <v>hồng phúc</v>
      </c>
      <c r="J1706" s="3" t="str">
        <f ca="1">IFERROR(__xludf.DUMMYFUNCTION("""COMPUTED_VALUE"""),"0968847472")</f>
        <v>0968847472</v>
      </c>
      <c r="K1706" s="2" t="str">
        <f ca="1">IFERROR(__xludf.DUMMYFUNCTION("""COMPUTED_VALUE"""),"1760232573829")</f>
        <v>1760232573829</v>
      </c>
    </row>
    <row r="1707" spans="1:11" ht="12.45">
      <c r="A1707" s="2" t="str">
        <f ca="1">IFERROR(__xludf.DUMMYFUNCTION("""COMPUTED_VALUE"""),"1760232614221")</f>
        <v>1760232614221</v>
      </c>
      <c r="B1707" s="2"/>
      <c r="C1707" s="2" t="str">
        <v>0</v>
      </c>
      <c r="D1707" s="2"/>
      <c r="F1707" s="2" t="str">
        <v>0</v>
      </c>
      <c r="I1707" s="2" t="str">
        <f ca="1">IFERROR(__xludf.DUMMYFUNCTION("""COMPUTED_VALUE"""),"Đinh Huyền Giang")</f>
        <v>Đinh Huyền Giang</v>
      </c>
      <c r="J1707" s="3" t="str">
        <f ca="1">IFERROR(__xludf.DUMMYFUNCTION("""COMPUTED_VALUE"""),"0931371056")</f>
        <v>0931371056</v>
      </c>
      <c r="K1707" s="2" t="str">
        <f ca="1">IFERROR(__xludf.DUMMYFUNCTION("""COMPUTED_VALUE"""),"1760232614221")</f>
        <v>1760232614221</v>
      </c>
    </row>
    <row r="1708" spans="1:11" ht="12.45">
      <c r="A1708" s="2" t="str">
        <f ca="1">IFERROR(__xludf.DUMMYFUNCTION("""COMPUTED_VALUE"""),"1760232661176")</f>
        <v>1760232661176</v>
      </c>
      <c r="B1708" s="2"/>
      <c r="C1708" s="2" t="str">
        <v>0</v>
      </c>
      <c r="D1708" s="2"/>
      <c r="F1708" s="2" t="str">
        <v>0</v>
      </c>
      <c r="I1708" s="2" t="str">
        <f ca="1">IFERROR(__xludf.DUMMYFUNCTION("""COMPUTED_VALUE"""),"Phan Tuấn Kiệt")</f>
        <v>Phan Tuấn Kiệt</v>
      </c>
      <c r="J1708" s="3" t="str">
        <f ca="1">IFERROR(__xludf.DUMMYFUNCTION("""COMPUTED_VALUE"""),"0707720810")</f>
        <v>0707720810</v>
      </c>
      <c r="K1708" s="2" t="str">
        <f ca="1">IFERROR(__xludf.DUMMYFUNCTION("""COMPUTED_VALUE"""),"1760232661176")</f>
        <v>1760232661176</v>
      </c>
    </row>
    <row r="1709" spans="1:11" ht="12.45">
      <c r="A1709" s="2" t="str">
        <f ca="1">IFERROR(__xludf.DUMMYFUNCTION("""COMPUTED_VALUE"""),"1760232715111")</f>
        <v>1760232715111</v>
      </c>
      <c r="B1709" s="2"/>
      <c r="C1709" s="2" t="str">
        <v>0</v>
      </c>
      <c r="D1709" s="2"/>
      <c r="F1709" s="2" t="str">
        <v>0</v>
      </c>
      <c r="I1709" s="2" t="str">
        <f ca="1">IFERROR(__xludf.DUMMYFUNCTION("""COMPUTED_VALUE"""),"Như Hân ")</f>
        <v xml:space="preserve">Như Hân </v>
      </c>
      <c r="J1709" s="3" t="str">
        <f ca="1">IFERROR(__xludf.DUMMYFUNCTION("""COMPUTED_VALUE"""),"0983299874")</f>
        <v>0983299874</v>
      </c>
      <c r="K1709" s="2" t="str">
        <f ca="1">IFERROR(__xludf.DUMMYFUNCTION("""COMPUTED_VALUE"""),"1760232715111")</f>
        <v>1760232715111</v>
      </c>
    </row>
    <row r="1710" spans="1:11" ht="12.45">
      <c r="A1710" s="2" t="str">
        <f ca="1">IFERROR(__xludf.DUMMYFUNCTION("""COMPUTED_VALUE"""),"1760232769563")</f>
        <v>1760232769563</v>
      </c>
      <c r="B1710" s="2"/>
      <c r="C1710" s="2" t="str">
        <v>0</v>
      </c>
      <c r="D1710" s="2"/>
      <c r="F1710" s="2" t="str">
        <v>0</v>
      </c>
      <c r="I1710" s="2" t="str">
        <f ca="1">IFERROR(__xludf.DUMMYFUNCTION("""COMPUTED_VALUE"""),"Lê thuỷ tiên")</f>
        <v>Lê thuỷ tiên</v>
      </c>
      <c r="J1710" s="3" t="str">
        <f ca="1">IFERROR(__xludf.DUMMYFUNCTION("""COMPUTED_VALUE"""),"0335782490")</f>
        <v>0335782490</v>
      </c>
      <c r="K1710" s="2" t="str">
        <f ca="1">IFERROR(__xludf.DUMMYFUNCTION("""COMPUTED_VALUE"""),"1760232769563")</f>
        <v>1760232769563</v>
      </c>
    </row>
    <row r="1711" spans="1:11" ht="12.45">
      <c r="A1711" s="2" t="str">
        <f ca="1">IFERROR(__xludf.DUMMYFUNCTION("""COMPUTED_VALUE"""),"1760232831187")</f>
        <v>1760232831187</v>
      </c>
      <c r="B1711" s="2"/>
      <c r="C1711" s="2" t="str">
        <v>0</v>
      </c>
      <c r="D1711" s="2"/>
      <c r="F1711" s="2" t="str">
        <v>0</v>
      </c>
      <c r="I1711" s="2" t="str">
        <f ca="1">IFERROR(__xludf.DUMMYFUNCTION("""COMPUTED_VALUE"""),"Nguyễn Thị Minh Dung")</f>
        <v>Nguyễn Thị Minh Dung</v>
      </c>
      <c r="J1711" s="3" t="str">
        <f ca="1">IFERROR(__xludf.DUMMYFUNCTION("""COMPUTED_VALUE"""),"0986876267")</f>
        <v>0986876267</v>
      </c>
      <c r="K1711" s="2" t="str">
        <f ca="1">IFERROR(__xludf.DUMMYFUNCTION("""COMPUTED_VALUE"""),"1760232831187")</f>
        <v>1760232831187</v>
      </c>
    </row>
    <row r="1712" spans="1:11" ht="12.45">
      <c r="A1712" s="2" t="str">
        <f ca="1">IFERROR(__xludf.DUMMYFUNCTION("""COMPUTED_VALUE"""),"1760232898117")</f>
        <v>1760232898117</v>
      </c>
      <c r="B1712" s="2"/>
      <c r="C1712" s="2" t="str">
        <v>0</v>
      </c>
      <c r="D1712" s="2"/>
      <c r="F1712" s="2" t="str">
        <v>0</v>
      </c>
      <c r="I1712" s="2" t="str">
        <f ca="1">IFERROR(__xludf.DUMMYFUNCTION("""COMPUTED_VALUE"""),"Lê Thị Ly ")</f>
        <v xml:space="preserve">Lê Thị Ly </v>
      </c>
      <c r="J1712" s="3" t="str">
        <f ca="1">IFERROR(__xludf.DUMMYFUNCTION("""COMPUTED_VALUE"""),"0705940755")</f>
        <v>0705940755</v>
      </c>
      <c r="K1712" s="2" t="str">
        <f ca="1">IFERROR(__xludf.DUMMYFUNCTION("""COMPUTED_VALUE"""),"1760232898117")</f>
        <v>1760232898117</v>
      </c>
    </row>
    <row r="1713" spans="1:11" ht="12.45">
      <c r="A1713" s="2" t="str">
        <f ca="1">IFERROR(__xludf.DUMMYFUNCTION("""COMPUTED_VALUE"""),"1760232995334")</f>
        <v>1760232995334</v>
      </c>
      <c r="B1713" s="2"/>
      <c r="C1713" s="2" t="str">
        <v>0</v>
      </c>
      <c r="D1713" s="2"/>
      <c r="F1713" s="2" t="str">
        <v>0</v>
      </c>
      <c r="I1713" s="2" t="str">
        <f ca="1">IFERROR(__xludf.DUMMYFUNCTION("""COMPUTED_VALUE"""),"Nguyễn Thị Phương Anh ")</f>
        <v xml:space="preserve">Nguyễn Thị Phương Anh </v>
      </c>
      <c r="J1713" s="3" t="str">
        <f ca="1">IFERROR(__xludf.DUMMYFUNCTION("""COMPUTED_VALUE"""),"0975410564")</f>
        <v>0975410564</v>
      </c>
      <c r="K1713" s="2" t="str">
        <f ca="1">IFERROR(__xludf.DUMMYFUNCTION("""COMPUTED_VALUE"""),"1760232995334")</f>
        <v>1760232995334</v>
      </c>
    </row>
    <row r="1714" spans="1:11" ht="12.45">
      <c r="A1714" s="2" t="str">
        <f ca="1">IFERROR(__xludf.DUMMYFUNCTION("""COMPUTED_VALUE"""),"1760233066337")</f>
        <v>1760233066337</v>
      </c>
      <c r="B1714" s="2"/>
      <c r="C1714" s="2" t="str">
        <v>0</v>
      </c>
      <c r="D1714" s="2"/>
      <c r="F1714" s="2" t="str">
        <v>0</v>
      </c>
      <c r="I1714" s="2" t="str">
        <f ca="1">IFERROR(__xludf.DUMMYFUNCTION("""COMPUTED_VALUE"""),"Ngô Hương Giang")</f>
        <v>Ngô Hương Giang</v>
      </c>
      <c r="J1714" s="3" t="str">
        <f ca="1">IFERROR(__xludf.DUMMYFUNCTION("""COMPUTED_VALUE"""),"0967186409")</f>
        <v>0967186409</v>
      </c>
      <c r="K1714" s="2" t="str">
        <f ca="1">IFERROR(__xludf.DUMMYFUNCTION("""COMPUTED_VALUE"""),"1760233066337")</f>
        <v>1760233066337</v>
      </c>
    </row>
    <row r="1715" spans="1:11" ht="12.45">
      <c r="A1715" s="2" t="str">
        <f ca="1">IFERROR(__xludf.DUMMYFUNCTION("""COMPUTED_VALUE"""),"1760233112359")</f>
        <v>1760233112359</v>
      </c>
      <c r="B1715" s="2"/>
      <c r="C1715" s="2" t="str">
        <v>0</v>
      </c>
      <c r="D1715" s="2"/>
      <c r="F1715" s="2" t="str">
        <v>0</v>
      </c>
      <c r="I1715" s="2" t="str">
        <f ca="1">IFERROR(__xludf.DUMMYFUNCTION("""COMPUTED_VALUE"""),"Điêu Chính Khải")</f>
        <v>Điêu Chính Khải</v>
      </c>
      <c r="J1715" s="3" t="str">
        <f ca="1">IFERROR(__xludf.DUMMYFUNCTION("""COMPUTED_VALUE"""),"0868945107")</f>
        <v>0868945107</v>
      </c>
      <c r="K1715" s="2" t="str">
        <f ca="1">IFERROR(__xludf.DUMMYFUNCTION("""COMPUTED_VALUE"""),"1760233112359")</f>
        <v>1760233112359</v>
      </c>
    </row>
    <row r="1716" spans="1:11" ht="12.45">
      <c r="A1716" s="2" t="str">
        <f ca="1">IFERROR(__xludf.DUMMYFUNCTION("""COMPUTED_VALUE"""),"1760233153262")</f>
        <v>1760233153262</v>
      </c>
      <c r="B1716" s="2"/>
      <c r="C1716" s="2" t="str">
        <v>0</v>
      </c>
      <c r="D1716" s="2"/>
      <c r="F1716" s="2" t="str">
        <v>0</v>
      </c>
      <c r="I1716" s="2" t="str">
        <f ca="1">IFERROR(__xludf.DUMMYFUNCTION("""COMPUTED_VALUE"""),"Trần Thị Hồng Ân")</f>
        <v>Trần Thị Hồng Ân</v>
      </c>
      <c r="J1716" s="3" t="str">
        <f ca="1">IFERROR(__xludf.DUMMYFUNCTION("""COMPUTED_VALUE"""),"0335015829")</f>
        <v>0335015829</v>
      </c>
      <c r="K1716" s="2" t="str">
        <f ca="1">IFERROR(__xludf.DUMMYFUNCTION("""COMPUTED_VALUE"""),"1760233153262")</f>
        <v>1760233153262</v>
      </c>
    </row>
    <row r="1717" spans="1:11" ht="12.45">
      <c r="A1717" s="2" t="str">
        <f ca="1">IFERROR(__xludf.DUMMYFUNCTION("""COMPUTED_VALUE"""),"1760233190653")</f>
        <v>1760233190653</v>
      </c>
      <c r="B1717" s="2"/>
      <c r="C1717" s="2" t="str">
        <v>0</v>
      </c>
      <c r="D1717" s="2"/>
      <c r="F1717" s="2" t="str">
        <v>0</v>
      </c>
      <c r="I1717" s="2" t="str">
        <f ca="1">IFERROR(__xludf.DUMMYFUNCTION("""COMPUTED_VALUE"""),"Huỳnh Hải Băng")</f>
        <v>Huỳnh Hải Băng</v>
      </c>
      <c r="J1717" s="3" t="str">
        <f ca="1">IFERROR(__xludf.DUMMYFUNCTION("""COMPUTED_VALUE"""),"0943477279")</f>
        <v>0943477279</v>
      </c>
      <c r="K1717" s="2" t="str">
        <f ca="1">IFERROR(__xludf.DUMMYFUNCTION("""COMPUTED_VALUE"""),"1760233190653")</f>
        <v>1760233190653</v>
      </c>
    </row>
    <row r="1718" spans="1:11" ht="12.45">
      <c r="A1718" s="2" t="str">
        <f ca="1">IFERROR(__xludf.DUMMYFUNCTION("""COMPUTED_VALUE"""),"1760233232022")</f>
        <v>1760233232022</v>
      </c>
      <c r="B1718" s="2"/>
      <c r="C1718" s="2" t="str">
        <v>0</v>
      </c>
      <c r="D1718" s="2"/>
      <c r="F1718" s="2" t="str">
        <v>0</v>
      </c>
      <c r="I1718" s="2" t="str">
        <f ca="1">IFERROR(__xludf.DUMMYFUNCTION("""COMPUTED_VALUE"""),"Nguyễn Bảo Nghi")</f>
        <v>Nguyễn Bảo Nghi</v>
      </c>
      <c r="J1718" s="3" t="str">
        <f ca="1">IFERROR(__xludf.DUMMYFUNCTION("""COMPUTED_VALUE"""),"0337422890")</f>
        <v>0337422890</v>
      </c>
      <c r="K1718" s="2" t="str">
        <f ca="1">IFERROR(__xludf.DUMMYFUNCTION("""COMPUTED_VALUE"""),"1760233232022")</f>
        <v>1760233232022</v>
      </c>
    </row>
    <row r="1719" spans="1:11" ht="12.45">
      <c r="A1719" s="2" t="str">
        <f ca="1">IFERROR(__xludf.DUMMYFUNCTION("""COMPUTED_VALUE"""),"1760233270903")</f>
        <v>1760233270903</v>
      </c>
      <c r="B1719" s="2"/>
      <c r="C1719" s="2" t="str">
        <v>0</v>
      </c>
      <c r="D1719" s="2"/>
      <c r="F1719" s="2" t="str">
        <v>0</v>
      </c>
      <c r="I1719" s="2" t="str">
        <f ca="1">IFERROR(__xludf.DUMMYFUNCTION("""COMPUTED_VALUE"""),"Nguyễn Đăng Khoa")</f>
        <v>Nguyễn Đăng Khoa</v>
      </c>
      <c r="J1719" s="3" t="str">
        <f ca="1">IFERROR(__xludf.DUMMYFUNCTION("""COMPUTED_VALUE"""),"0325599756")</f>
        <v>0325599756</v>
      </c>
      <c r="K1719" s="2" t="str">
        <f ca="1">IFERROR(__xludf.DUMMYFUNCTION("""COMPUTED_VALUE"""),"1760233270903")</f>
        <v>1760233270903</v>
      </c>
    </row>
    <row r="1720" spans="1:11" ht="12.45">
      <c r="A1720" s="2" t="str">
        <f ca="1">IFERROR(__xludf.DUMMYFUNCTION("""COMPUTED_VALUE"""),"1760233325431")</f>
        <v>1760233325431</v>
      </c>
      <c r="B1720" s="2"/>
      <c r="C1720" s="2" t="str">
        <v>0</v>
      </c>
      <c r="D1720" s="2"/>
      <c r="F1720" s="2" t="str">
        <v>0</v>
      </c>
      <c r="I1720" s="2" t="str">
        <f ca="1">IFERROR(__xludf.DUMMYFUNCTION("""COMPUTED_VALUE"""),"Nguyễn Diệu Vy")</f>
        <v>Nguyễn Diệu Vy</v>
      </c>
      <c r="J1720" s="3" t="str">
        <f ca="1">IFERROR(__xludf.DUMMYFUNCTION("""COMPUTED_VALUE"""),"0832346698")</f>
        <v>0832346698</v>
      </c>
      <c r="K1720" s="2" t="str">
        <f ca="1">IFERROR(__xludf.DUMMYFUNCTION("""COMPUTED_VALUE"""),"1760233325431")</f>
        <v>1760233325431</v>
      </c>
    </row>
    <row r="1721" spans="1:11" ht="12.45">
      <c r="A1721" s="2" t="str">
        <f ca="1">IFERROR(__xludf.DUMMYFUNCTION("""COMPUTED_VALUE"""),"1760233374391")</f>
        <v>1760233374391</v>
      </c>
      <c r="B1721" s="2"/>
      <c r="C1721" s="2" t="str">
        <v>0</v>
      </c>
      <c r="D1721" s="2"/>
      <c r="F1721" s="2" t="str">
        <v>0</v>
      </c>
      <c r="I1721" s="2" t="str">
        <f ca="1">IFERROR(__xludf.DUMMYFUNCTION("""COMPUTED_VALUE"""),"Huỳnh Duy Hoàng Vy")</f>
        <v>Huỳnh Duy Hoàng Vy</v>
      </c>
      <c r="J1721" s="3" t="str">
        <f ca="1">IFERROR(__xludf.DUMMYFUNCTION("""COMPUTED_VALUE"""),"0375101322")</f>
        <v>0375101322</v>
      </c>
      <c r="K1721" s="2" t="str">
        <f ca="1">IFERROR(__xludf.DUMMYFUNCTION("""COMPUTED_VALUE"""),"1760233374391")</f>
        <v>1760233374391</v>
      </c>
    </row>
    <row r="1722" spans="1:11" ht="12.45">
      <c r="A1722" s="2" t="str">
        <f ca="1">IFERROR(__xludf.DUMMYFUNCTION("""COMPUTED_VALUE"""),"1760233413512")</f>
        <v>1760233413512</v>
      </c>
      <c r="B1722" s="2"/>
      <c r="C1722" s="2" t="str">
        <v>0</v>
      </c>
      <c r="D1722" s="2"/>
      <c r="F1722" s="2" t="str">
        <v>0</v>
      </c>
      <c r="I1722" s="2" t="str">
        <f ca="1">IFERROR(__xludf.DUMMYFUNCTION("""COMPUTED_VALUE"""),"Trần Vũ Thảo Nguyên")</f>
        <v>Trần Vũ Thảo Nguyên</v>
      </c>
      <c r="J1722" s="3" t="str">
        <f ca="1">IFERROR(__xludf.DUMMYFUNCTION("""COMPUTED_VALUE"""),"0944682080")</f>
        <v>0944682080</v>
      </c>
      <c r="K1722" s="2" t="str">
        <f ca="1">IFERROR(__xludf.DUMMYFUNCTION("""COMPUTED_VALUE"""),"1760233413512")</f>
        <v>1760233413512</v>
      </c>
    </row>
    <row r="1723" spans="1:11" ht="12.45">
      <c r="A1723" s="2" t="str">
        <f ca="1">IFERROR(__xludf.DUMMYFUNCTION("""COMPUTED_VALUE"""),"1760233468741")</f>
        <v>1760233468741</v>
      </c>
      <c r="B1723" s="2"/>
      <c r="C1723" s="2" t="str">
        <v>0</v>
      </c>
      <c r="D1723" s="2"/>
      <c r="F1723" s="2" t="str">
        <v>0</v>
      </c>
      <c r="I1723" s="2" t="str">
        <f ca="1">IFERROR(__xludf.DUMMYFUNCTION("""COMPUTED_VALUE"""),"Hoàng Mai Hiền ")</f>
        <v xml:space="preserve">Hoàng Mai Hiền </v>
      </c>
      <c r="J1723" s="3" t="str">
        <f ca="1">IFERROR(__xludf.DUMMYFUNCTION("""COMPUTED_VALUE"""),"0971069758")</f>
        <v>0971069758</v>
      </c>
      <c r="K1723" s="2" t="str">
        <f ca="1">IFERROR(__xludf.DUMMYFUNCTION("""COMPUTED_VALUE"""),"1760233468741")</f>
        <v>1760233468741</v>
      </c>
    </row>
    <row r="1724" spans="1:11" ht="12.45">
      <c r="A1724" s="2" t="str">
        <f ca="1">IFERROR(__xludf.DUMMYFUNCTION("""COMPUTED_VALUE"""),"1760233512349")</f>
        <v>1760233512349</v>
      </c>
      <c r="B1724" s="2"/>
      <c r="C1724" s="2" t="str">
        <v>0</v>
      </c>
      <c r="D1724" s="2"/>
      <c r="F1724" s="2" t="str">
        <v>0</v>
      </c>
      <c r="I1724" s="2" t="str">
        <f ca="1">IFERROR(__xludf.DUMMYFUNCTION("""COMPUTED_VALUE"""),"Nguyễn Trọng Khiêm")</f>
        <v>Nguyễn Trọng Khiêm</v>
      </c>
      <c r="J1724" s="3" t="str">
        <f ca="1">IFERROR(__xludf.DUMMYFUNCTION("""COMPUTED_VALUE"""),"0378405071")</f>
        <v>0378405071</v>
      </c>
      <c r="K1724" s="2" t="str">
        <f ca="1">IFERROR(__xludf.DUMMYFUNCTION("""COMPUTED_VALUE"""),"1760233512349")</f>
        <v>1760233512349</v>
      </c>
    </row>
    <row r="1725" spans="1:11" ht="12.45">
      <c r="A1725" s="2" t="str">
        <f ca="1">IFERROR(__xludf.DUMMYFUNCTION("""COMPUTED_VALUE"""),"1760233545532")</f>
        <v>1760233545532</v>
      </c>
      <c r="B1725" s="2"/>
      <c r="C1725" s="2" t="str">
        <v>0</v>
      </c>
      <c r="D1725" s="2"/>
      <c r="F1725" s="2" t="str">
        <v>0</v>
      </c>
      <c r="I1725" s="2" t="str">
        <f ca="1">IFERROR(__xludf.DUMMYFUNCTION("""COMPUTED_VALUE"""),"Nguyễn Nhã Phương")</f>
        <v>Nguyễn Nhã Phương</v>
      </c>
      <c r="J1725" s="3" t="str">
        <f ca="1">IFERROR(__xludf.DUMMYFUNCTION("""COMPUTED_VALUE"""),"0782238725")</f>
        <v>0782238725</v>
      </c>
      <c r="K1725" s="2" t="str">
        <f ca="1">IFERROR(__xludf.DUMMYFUNCTION("""COMPUTED_VALUE"""),"1760233545532")</f>
        <v>1760233545532</v>
      </c>
    </row>
    <row r="1726" spans="1:11" ht="12.45">
      <c r="A1726" s="2" t="str">
        <f ca="1">IFERROR(__xludf.DUMMYFUNCTION("""COMPUTED_VALUE"""),"1760233581006")</f>
        <v>1760233581006</v>
      </c>
      <c r="B1726" s="2"/>
      <c r="C1726" s="2" t="str">
        <v>0</v>
      </c>
      <c r="D1726" s="2"/>
      <c r="F1726" s="2" t="str">
        <v>0</v>
      </c>
      <c r="I1726" s="2" t="str">
        <f ca="1">IFERROR(__xludf.DUMMYFUNCTION("""COMPUTED_VALUE"""),"Hoàng An Liên")</f>
        <v>Hoàng An Liên</v>
      </c>
      <c r="J1726" s="3" t="str">
        <f ca="1">IFERROR(__xludf.DUMMYFUNCTION("""COMPUTED_VALUE"""),"0917572428")</f>
        <v>0917572428</v>
      </c>
      <c r="K1726" s="2" t="str">
        <f ca="1">IFERROR(__xludf.DUMMYFUNCTION("""COMPUTED_VALUE"""),"1760233581006")</f>
        <v>1760233581006</v>
      </c>
    </row>
    <row r="1727" spans="1:11" ht="12.45">
      <c r="A1727" s="2" t="str">
        <f ca="1">IFERROR(__xludf.DUMMYFUNCTION("""COMPUTED_VALUE"""),"1760233612434")</f>
        <v>1760233612434</v>
      </c>
      <c r="B1727" s="2"/>
      <c r="C1727" s="2" t="str">
        <v>0</v>
      </c>
      <c r="D1727" s="2"/>
      <c r="F1727" s="2" t="str">
        <v>0</v>
      </c>
      <c r="I1727" s="2" t="str">
        <f ca="1">IFERROR(__xludf.DUMMYFUNCTION("""COMPUTED_VALUE"""),"Lưu Bích Hương")</f>
        <v>Lưu Bích Hương</v>
      </c>
      <c r="J1727" s="3" t="str">
        <f ca="1">IFERROR(__xludf.DUMMYFUNCTION("""COMPUTED_VALUE"""),"0914280825")</f>
        <v>0914280825</v>
      </c>
      <c r="K1727" s="2" t="str">
        <f ca="1">IFERROR(__xludf.DUMMYFUNCTION("""COMPUTED_VALUE"""),"1760233612434")</f>
        <v>1760233612434</v>
      </c>
    </row>
    <row r="1728" spans="1:11" ht="12.45">
      <c r="A1728" s="2" t="str">
        <f ca="1">IFERROR(__xludf.DUMMYFUNCTION("""COMPUTED_VALUE"""),"1760233658233")</f>
        <v>1760233658233</v>
      </c>
      <c r="B1728" s="2"/>
      <c r="C1728" s="2" t="str">
        <v>0</v>
      </c>
      <c r="D1728" s="2"/>
      <c r="F1728" s="2" t="str">
        <v>0</v>
      </c>
      <c r="I1728" s="2" t="str">
        <f ca="1">IFERROR(__xludf.DUMMYFUNCTION("""COMPUTED_VALUE"""),"Trần Mai Phương ")</f>
        <v xml:space="preserve">Trần Mai Phương </v>
      </c>
      <c r="J1728" s="3" t="str">
        <f ca="1">IFERROR(__xludf.DUMMYFUNCTION("""COMPUTED_VALUE"""),"0372895344")</f>
        <v>0372895344</v>
      </c>
      <c r="K1728" s="2" t="str">
        <f ca="1">IFERROR(__xludf.DUMMYFUNCTION("""COMPUTED_VALUE"""),"1760233658233")</f>
        <v>1760233658233</v>
      </c>
    </row>
    <row r="1729" spans="1:11" ht="12.45">
      <c r="A1729" s="2" t="str">
        <f ca="1">IFERROR(__xludf.DUMMYFUNCTION("""COMPUTED_VALUE"""),"1760233699280")</f>
        <v>1760233699280</v>
      </c>
      <c r="B1729" s="2"/>
      <c r="C1729" s="2" t="str">
        <v>0</v>
      </c>
      <c r="D1729" s="2"/>
      <c r="F1729" s="2" t="str">
        <v>0</v>
      </c>
      <c r="I1729" s="2" t="str">
        <f ca="1">IFERROR(__xludf.DUMMYFUNCTION("""COMPUTED_VALUE"""),"Trần Kiều Khánh Linh")</f>
        <v>Trần Kiều Khánh Linh</v>
      </c>
      <c r="J1729" s="3" t="str">
        <f ca="1">IFERROR(__xludf.DUMMYFUNCTION("""COMPUTED_VALUE"""),"0907765032")</f>
        <v>0907765032</v>
      </c>
      <c r="K1729" s="2" t="str">
        <f ca="1">IFERROR(__xludf.DUMMYFUNCTION("""COMPUTED_VALUE"""),"1760233699280")</f>
        <v>1760233699280</v>
      </c>
    </row>
    <row r="1730" spans="1:11" ht="12.45">
      <c r="A1730" s="2" t="str">
        <f ca="1">IFERROR(__xludf.DUMMYFUNCTION("""COMPUTED_VALUE"""),"1760233741204")</f>
        <v>1760233741204</v>
      </c>
      <c r="B1730" s="2"/>
      <c r="C1730" s="2" t="str">
        <v>0</v>
      </c>
      <c r="D1730" s="2"/>
      <c r="F1730" s="2" t="str">
        <v>0</v>
      </c>
      <c r="I1730" s="2" t="str">
        <f ca="1">IFERROR(__xludf.DUMMYFUNCTION("""COMPUTED_VALUE"""),"Lê Hồng Trang")</f>
        <v>Lê Hồng Trang</v>
      </c>
      <c r="J1730" s="3" t="str">
        <f ca="1">IFERROR(__xludf.DUMMYFUNCTION("""COMPUTED_VALUE"""),"0981979014")</f>
        <v>0981979014</v>
      </c>
      <c r="K1730" s="2" t="str">
        <f ca="1">IFERROR(__xludf.DUMMYFUNCTION("""COMPUTED_VALUE"""),"1760233741204")</f>
        <v>1760233741204</v>
      </c>
    </row>
    <row r="1731" spans="1:11" ht="12.45">
      <c r="A1731" s="2" t="str">
        <f ca="1">IFERROR(__xludf.DUMMYFUNCTION("""COMPUTED_VALUE"""),"1760233786638")</f>
        <v>1760233786638</v>
      </c>
      <c r="B1731" s="2"/>
      <c r="C1731" s="2" t="str">
        <v>0</v>
      </c>
      <c r="D1731" s="2"/>
      <c r="F1731" s="2" t="str">
        <v>0</v>
      </c>
      <c r="I1731" s="2" t="str">
        <f ca="1">IFERROR(__xludf.DUMMYFUNCTION("""COMPUTED_VALUE"""),"Bùi Duy Long")</f>
        <v>Bùi Duy Long</v>
      </c>
      <c r="J1731" s="3" t="str">
        <f ca="1">IFERROR(__xludf.DUMMYFUNCTION("""COMPUTED_VALUE"""),"0906071432")</f>
        <v>0906071432</v>
      </c>
      <c r="K1731" s="2" t="str">
        <f ca="1">IFERROR(__xludf.DUMMYFUNCTION("""COMPUTED_VALUE"""),"1760233786638")</f>
        <v>1760233786638</v>
      </c>
    </row>
    <row r="1732" spans="1:11" ht="12.45">
      <c r="A1732" s="2" t="str">
        <f ca="1">IFERROR(__xludf.DUMMYFUNCTION("""COMPUTED_VALUE"""),"1760233830264")</f>
        <v>1760233830264</v>
      </c>
      <c r="B1732" s="2"/>
      <c r="C1732" s="2" t="str">
        <v>0</v>
      </c>
      <c r="D1732" s="2"/>
      <c r="F1732" s="2" t="str">
        <v>0</v>
      </c>
      <c r="I1732" s="2" t="str">
        <f ca="1">IFERROR(__xludf.DUMMYFUNCTION("""COMPUTED_VALUE"""),"Cao Hà My")</f>
        <v>Cao Hà My</v>
      </c>
      <c r="J1732" s="3" t="str">
        <f ca="1">IFERROR(__xludf.DUMMYFUNCTION("""COMPUTED_VALUE"""),"0567686388")</f>
        <v>0567686388</v>
      </c>
      <c r="K1732" s="2" t="str">
        <f ca="1">IFERROR(__xludf.DUMMYFUNCTION("""COMPUTED_VALUE"""),"1760233830264")</f>
        <v>1760233830264</v>
      </c>
    </row>
    <row r="1733" spans="1:11" ht="12.45">
      <c r="A1733" s="2" t="str">
        <f ca="1">IFERROR(__xludf.DUMMYFUNCTION("""COMPUTED_VALUE"""),"1760233875354")</f>
        <v>1760233875354</v>
      </c>
      <c r="B1733" s="2"/>
      <c r="C1733" s="2" t="str">
        <v>0</v>
      </c>
      <c r="D1733" s="2"/>
      <c r="F1733" s="2" t="str">
        <v>0</v>
      </c>
      <c r="I1733" s="2" t="str">
        <f ca="1">IFERROR(__xludf.DUMMYFUNCTION("""COMPUTED_VALUE"""),"Cao Lê Khánh Nguyên")</f>
        <v>Cao Lê Khánh Nguyên</v>
      </c>
      <c r="J1733" s="3" t="str">
        <f ca="1">IFERROR(__xludf.DUMMYFUNCTION("""COMPUTED_VALUE"""),"0395808027")</f>
        <v>0395808027</v>
      </c>
      <c r="K1733" s="2" t="str">
        <f ca="1">IFERROR(__xludf.DUMMYFUNCTION("""COMPUTED_VALUE"""),"1760233875354")</f>
        <v>1760233875354</v>
      </c>
    </row>
    <row r="1734" spans="1:11" ht="12.45">
      <c r="A1734" s="2" t="str">
        <f ca="1">IFERROR(__xludf.DUMMYFUNCTION("""COMPUTED_VALUE"""),"1760233911777")</f>
        <v>1760233911777</v>
      </c>
      <c r="B1734" s="2"/>
      <c r="C1734" s="2" t="str">
        <v>0</v>
      </c>
      <c r="D1734" s="2"/>
      <c r="F1734" s="2" t="str">
        <v>0</v>
      </c>
      <c r="I1734" s="2" t="str">
        <f ca="1">IFERROR(__xludf.DUMMYFUNCTION("""COMPUTED_VALUE"""),"Đỗ Khánh Nhi")</f>
        <v>Đỗ Khánh Nhi</v>
      </c>
      <c r="J1734" s="3" t="str">
        <f ca="1">IFERROR(__xludf.DUMMYFUNCTION("""COMPUTED_VALUE"""),"0971338018")</f>
        <v>0971338018</v>
      </c>
      <c r="K1734" s="2" t="str">
        <f ca="1">IFERROR(__xludf.DUMMYFUNCTION("""COMPUTED_VALUE"""),"1760233911777")</f>
        <v>1760233911777</v>
      </c>
    </row>
    <row r="1735" spans="1:11" ht="12.45">
      <c r="A1735" s="2" t="str">
        <f ca="1">IFERROR(__xludf.DUMMYFUNCTION("""COMPUTED_VALUE"""),"1760233948174")</f>
        <v>1760233948174</v>
      </c>
      <c r="B1735" s="2"/>
      <c r="C1735" s="2" t="str">
        <v>0</v>
      </c>
      <c r="D1735" s="2"/>
      <c r="F1735" s="2" t="str">
        <v>0</v>
      </c>
      <c r="I1735" s="2" t="str">
        <f ca="1">IFERROR(__xludf.DUMMYFUNCTION("""COMPUTED_VALUE"""),"Đào Hồng Hạnh")</f>
        <v>Đào Hồng Hạnh</v>
      </c>
      <c r="J1735" s="3" t="str">
        <f ca="1">IFERROR(__xludf.DUMMYFUNCTION("""COMPUTED_VALUE"""),"0355067458")</f>
        <v>0355067458</v>
      </c>
      <c r="K1735" s="2" t="str">
        <f ca="1">IFERROR(__xludf.DUMMYFUNCTION("""COMPUTED_VALUE"""),"1760233948174")</f>
        <v>1760233948174</v>
      </c>
    </row>
    <row r="1736" spans="1:11" ht="12.45">
      <c r="A1736" s="2" t="str">
        <f ca="1">IFERROR(__xludf.DUMMYFUNCTION("""COMPUTED_VALUE"""),"1760233984042")</f>
        <v>1760233984042</v>
      </c>
      <c r="B1736" s="2"/>
      <c r="C1736" s="2" t="str">
        <v>0</v>
      </c>
      <c r="D1736" s="2"/>
      <c r="F1736" s="2" t="str">
        <v>0</v>
      </c>
      <c r="I1736" s="2" t="str">
        <f ca="1">IFERROR(__xludf.DUMMYFUNCTION("""COMPUTED_VALUE"""),"Nguyễn Yến Trang")</f>
        <v>Nguyễn Yến Trang</v>
      </c>
      <c r="J1736" s="3" t="str">
        <f ca="1">IFERROR(__xludf.DUMMYFUNCTION("""COMPUTED_VALUE"""),"0916176697")</f>
        <v>0916176697</v>
      </c>
      <c r="K1736" s="2" t="str">
        <f ca="1">IFERROR(__xludf.DUMMYFUNCTION("""COMPUTED_VALUE"""),"1760233984042")</f>
        <v>1760233984042</v>
      </c>
    </row>
    <row r="1737" spans="1:11" ht="12.45">
      <c r="A1737" s="2" t="str">
        <f ca="1">IFERROR(__xludf.DUMMYFUNCTION("""COMPUTED_VALUE"""),"1760234029400")</f>
        <v>1760234029400</v>
      </c>
      <c r="B1737" s="2"/>
      <c r="C1737" s="2" t="str">
        <v>0</v>
      </c>
      <c r="D1737" s="2"/>
      <c r="F1737" s="2" t="str">
        <v>0</v>
      </c>
      <c r="I1737" s="2" t="str">
        <f ca="1">IFERROR(__xludf.DUMMYFUNCTION("""COMPUTED_VALUE"""),"Trương Vi Thảo")</f>
        <v>Trương Vi Thảo</v>
      </c>
      <c r="J1737" s="3" t="str">
        <f ca="1">IFERROR(__xludf.DUMMYFUNCTION("""COMPUTED_VALUE"""),"0915794462")</f>
        <v>0915794462</v>
      </c>
      <c r="K1737" s="2" t="str">
        <f ca="1">IFERROR(__xludf.DUMMYFUNCTION("""COMPUTED_VALUE"""),"1760234029400")</f>
        <v>1760234029400</v>
      </c>
    </row>
    <row r="1738" spans="1:11" ht="12.45">
      <c r="A1738" s="2" t="str">
        <f ca="1">IFERROR(__xludf.DUMMYFUNCTION("""COMPUTED_VALUE"""),"1760234066439")</f>
        <v>1760234066439</v>
      </c>
      <c r="B1738" s="2"/>
      <c r="C1738" s="2" t="str">
        <v>0</v>
      </c>
      <c r="D1738" s="2"/>
      <c r="F1738" s="2" t="str">
        <v>0</v>
      </c>
      <c r="I1738" s="2" t="str">
        <f ca="1">IFERROR(__xludf.DUMMYFUNCTION("""COMPUTED_VALUE"""),"Nguyễn Thị Đoan Trang")</f>
        <v>Nguyễn Thị Đoan Trang</v>
      </c>
      <c r="J1738" s="3" t="str">
        <f ca="1">IFERROR(__xludf.DUMMYFUNCTION("""COMPUTED_VALUE"""),"0389086807")</f>
        <v>0389086807</v>
      </c>
      <c r="K1738" s="2" t="str">
        <f ca="1">IFERROR(__xludf.DUMMYFUNCTION("""COMPUTED_VALUE"""),"1760234066439")</f>
        <v>1760234066439</v>
      </c>
    </row>
    <row r="1739" spans="1:11" ht="12.45">
      <c r="A1739" s="2" t="str">
        <f ca="1">IFERROR(__xludf.DUMMYFUNCTION("""COMPUTED_VALUE"""),"1760234109215")</f>
        <v>1760234109215</v>
      </c>
      <c r="B1739" s="2"/>
      <c r="C1739" s="2" t="str">
        <v>0</v>
      </c>
      <c r="D1739" s="2"/>
      <c r="F1739" s="2" t="str">
        <v>0</v>
      </c>
      <c r="I1739" s="2" t="str">
        <f ca="1">IFERROR(__xludf.DUMMYFUNCTION("""COMPUTED_VALUE"""),"Lê Nguyễn Kim Ngân")</f>
        <v>Lê Nguyễn Kim Ngân</v>
      </c>
      <c r="J1739" s="3" t="str">
        <f ca="1">IFERROR(__xludf.DUMMYFUNCTION("""COMPUTED_VALUE"""),"0363926105")</f>
        <v>0363926105</v>
      </c>
      <c r="K1739" s="2" t="str">
        <f ca="1">IFERROR(__xludf.DUMMYFUNCTION("""COMPUTED_VALUE"""),"1760234109215")</f>
        <v>1760234109215</v>
      </c>
    </row>
    <row r="1740" spans="1:11" ht="12.45">
      <c r="A1740" s="2" t="str">
        <f ca="1">IFERROR(__xludf.DUMMYFUNCTION("""COMPUTED_VALUE"""),"1760234145088")</f>
        <v>1760234145088</v>
      </c>
      <c r="B1740" s="2"/>
      <c r="C1740" s="2" t="str">
        <v>0</v>
      </c>
      <c r="D1740" s="2"/>
      <c r="F1740" s="2" t="str">
        <v>0</v>
      </c>
      <c r="I1740" s="2" t="str">
        <f ca="1">IFERROR(__xludf.DUMMYFUNCTION("""COMPUTED_VALUE"""),"Trần Thị Thu Hiền")</f>
        <v>Trần Thị Thu Hiền</v>
      </c>
      <c r="J1740" s="3" t="str">
        <f ca="1">IFERROR(__xludf.DUMMYFUNCTION("""COMPUTED_VALUE"""),"0984429746")</f>
        <v>0984429746</v>
      </c>
      <c r="K1740" s="2" t="str">
        <f ca="1">IFERROR(__xludf.DUMMYFUNCTION("""COMPUTED_VALUE"""),"1760234145088")</f>
        <v>1760234145088</v>
      </c>
    </row>
    <row r="1741" spans="1:11" ht="12.45">
      <c r="A1741" s="2" t="str">
        <f ca="1">IFERROR(__xludf.DUMMYFUNCTION("""COMPUTED_VALUE"""),"1760234180700")</f>
        <v>1760234180700</v>
      </c>
      <c r="B1741" s="2"/>
      <c r="C1741" s="2" t="str">
        <v>0</v>
      </c>
      <c r="D1741" s="2"/>
      <c r="F1741" s="2" t="str">
        <v>0</v>
      </c>
      <c r="I1741" s="2" t="str">
        <f ca="1">IFERROR(__xludf.DUMMYFUNCTION("""COMPUTED_VALUE"""),"Trương Ngọc Cẩm Tú ")</f>
        <v xml:space="preserve">Trương Ngọc Cẩm Tú </v>
      </c>
      <c r="J1741" s="3" t="str">
        <f ca="1">IFERROR(__xludf.DUMMYFUNCTION("""COMPUTED_VALUE"""),"0938521800")</f>
        <v>0938521800</v>
      </c>
      <c r="K1741" s="2" t="str">
        <f ca="1">IFERROR(__xludf.DUMMYFUNCTION("""COMPUTED_VALUE"""),"1760234180700")</f>
        <v>1760234180700</v>
      </c>
    </row>
    <row r="1742" spans="1:11" ht="12.45">
      <c r="A1742" s="2" t="str">
        <f ca="1">IFERROR(__xludf.DUMMYFUNCTION("""COMPUTED_VALUE"""),"1760234219603")</f>
        <v>1760234219603</v>
      </c>
      <c r="B1742" s="2"/>
      <c r="C1742" s="2" t="str">
        <v>0</v>
      </c>
      <c r="D1742" s="2"/>
      <c r="F1742" s="2" t="str">
        <v>0</v>
      </c>
      <c r="I1742" s="2" t="str">
        <f ca="1">IFERROR(__xludf.DUMMYFUNCTION("""COMPUTED_VALUE"""),"Hoàng Thị Xuân")</f>
        <v>Hoàng Thị Xuân</v>
      </c>
      <c r="J1742" s="3" t="str">
        <f ca="1">IFERROR(__xludf.DUMMYFUNCTION("""COMPUTED_VALUE"""),"0342152967")</f>
        <v>0342152967</v>
      </c>
      <c r="K1742" s="2" t="str">
        <f ca="1">IFERROR(__xludf.DUMMYFUNCTION("""COMPUTED_VALUE"""),"1760234219603")</f>
        <v>1760234219603</v>
      </c>
    </row>
    <row r="1743" spans="1:11" ht="12.45">
      <c r="A1743" s="2" t="str">
        <f ca="1">IFERROR(__xludf.DUMMYFUNCTION("""COMPUTED_VALUE"""),"1760234286152")</f>
        <v>1760234286152</v>
      </c>
      <c r="B1743" s="2"/>
      <c r="C1743" s="2" t="str">
        <v>0</v>
      </c>
      <c r="D1743" s="2"/>
      <c r="F1743" s="2" t="str">
        <v>0</v>
      </c>
      <c r="I1743" s="2" t="str">
        <f ca="1">IFERROR(__xludf.DUMMYFUNCTION("""COMPUTED_VALUE"""),"Phan Nguyễn Cát Tường")</f>
        <v>Phan Nguyễn Cát Tường</v>
      </c>
      <c r="J1743" s="3" t="str">
        <f ca="1">IFERROR(__xludf.DUMMYFUNCTION("""COMPUTED_VALUE"""),"0989237329")</f>
        <v>0989237329</v>
      </c>
      <c r="K1743" s="2" t="str">
        <f ca="1">IFERROR(__xludf.DUMMYFUNCTION("""COMPUTED_VALUE"""),"1760234286152")</f>
        <v>1760234286152</v>
      </c>
    </row>
    <row r="1744" spans="1:11" ht="12.45">
      <c r="A1744" s="2" t="str">
        <f ca="1">IFERROR(__xludf.DUMMYFUNCTION("""COMPUTED_VALUE"""),"1760234329034")</f>
        <v>1760234329034</v>
      </c>
      <c r="B1744" s="2"/>
      <c r="C1744" s="2" t="str">
        <v>0</v>
      </c>
      <c r="D1744" s="2"/>
      <c r="F1744" s="2" t="str">
        <v>0</v>
      </c>
      <c r="I1744" s="2" t="str">
        <f ca="1">IFERROR(__xludf.DUMMYFUNCTION("""COMPUTED_VALUE"""),"Phạm Võ Gia Hân")</f>
        <v>Phạm Võ Gia Hân</v>
      </c>
      <c r="J1744" s="3" t="str">
        <f ca="1">IFERROR(__xludf.DUMMYFUNCTION("""COMPUTED_VALUE"""),"0965078913")</f>
        <v>0965078913</v>
      </c>
      <c r="K1744" s="2" t="str">
        <f ca="1">IFERROR(__xludf.DUMMYFUNCTION("""COMPUTED_VALUE"""),"1760234329034")</f>
        <v>1760234329034</v>
      </c>
    </row>
    <row r="1745" spans="1:11" ht="12.45">
      <c r="A1745" s="2" t="str">
        <f ca="1">IFERROR(__xludf.DUMMYFUNCTION("""COMPUTED_VALUE"""),"1760234411371")</f>
        <v>1760234411371</v>
      </c>
      <c r="B1745" s="2"/>
      <c r="C1745" s="2" t="str">
        <v>0</v>
      </c>
      <c r="D1745" s="2"/>
      <c r="F1745" s="2" t="str">
        <v>0</v>
      </c>
      <c r="I1745" s="2" t="str">
        <f ca="1">IFERROR(__xludf.DUMMYFUNCTION("""COMPUTED_VALUE"""),"Hà Thị Khánh Ngọc")</f>
        <v>Hà Thị Khánh Ngọc</v>
      </c>
      <c r="J1745" s="3" t="str">
        <f ca="1">IFERROR(__xludf.DUMMYFUNCTION("""COMPUTED_VALUE"""),"0393040084")</f>
        <v>0393040084</v>
      </c>
      <c r="K1745" s="2" t="str">
        <f ca="1">IFERROR(__xludf.DUMMYFUNCTION("""COMPUTED_VALUE"""),"1760234411371")</f>
        <v>1760234411371</v>
      </c>
    </row>
    <row r="1746" spans="1:11" ht="12.45">
      <c r="A1746" s="2" t="str">
        <f ca="1">IFERROR(__xludf.DUMMYFUNCTION("""COMPUTED_VALUE"""),"1760234472229")</f>
        <v>1760234472229</v>
      </c>
      <c r="B1746" s="2"/>
      <c r="C1746" s="2" t="str">
        <v>0</v>
      </c>
      <c r="D1746" s="2"/>
      <c r="F1746" s="2" t="str">
        <v>0</v>
      </c>
      <c r="I1746" s="2" t="str">
        <f ca="1">IFERROR(__xludf.DUMMYFUNCTION("""COMPUTED_VALUE"""),"NGUYỄN THANH THỦY")</f>
        <v>NGUYỄN THANH THỦY</v>
      </c>
      <c r="J1746" s="3" t="str">
        <f ca="1">IFERROR(__xludf.DUMMYFUNCTION("""COMPUTED_VALUE"""),"0586723391")</f>
        <v>0586723391</v>
      </c>
      <c r="K1746" s="2" t="str">
        <f ca="1">IFERROR(__xludf.DUMMYFUNCTION("""COMPUTED_VALUE"""),"1760234472229")</f>
        <v>1760234472229</v>
      </c>
    </row>
    <row r="1747" spans="1:11" ht="12.45">
      <c r="A1747" s="2" t="str">
        <f ca="1">IFERROR(__xludf.DUMMYFUNCTION("""COMPUTED_VALUE"""),"1760234517840")</f>
        <v>1760234517840</v>
      </c>
      <c r="B1747" s="2"/>
      <c r="C1747" s="2" t="str">
        <v>0</v>
      </c>
      <c r="D1747" s="2"/>
      <c r="F1747" s="2" t="str">
        <v>0</v>
      </c>
      <c r="I1747" s="2" t="str">
        <f ca="1">IFERROR(__xludf.DUMMYFUNCTION("""COMPUTED_VALUE"""),"Trần Thị Yến Nhi")</f>
        <v>Trần Thị Yến Nhi</v>
      </c>
      <c r="J1747" s="3" t="str">
        <f ca="1">IFERROR(__xludf.DUMMYFUNCTION("""COMPUTED_VALUE"""),"0868677293")</f>
        <v>0868677293</v>
      </c>
      <c r="K1747" s="2" t="str">
        <f ca="1">IFERROR(__xludf.DUMMYFUNCTION("""COMPUTED_VALUE"""),"1760234517840")</f>
        <v>1760234517840</v>
      </c>
    </row>
    <row r="1748" spans="1:11" ht="12.45">
      <c r="A1748" s="2" t="str">
        <f ca="1">IFERROR(__xludf.DUMMYFUNCTION("""COMPUTED_VALUE"""),"1760234551562")</f>
        <v>1760234551562</v>
      </c>
      <c r="B1748" s="2"/>
      <c r="C1748" s="2" t="str">
        <v>0</v>
      </c>
      <c r="D1748" s="2"/>
      <c r="F1748" s="2" t="str">
        <v>0</v>
      </c>
      <c r="I1748" s="2" t="str">
        <f ca="1">IFERROR(__xludf.DUMMYFUNCTION("""COMPUTED_VALUE"""),"Trần Phan Trà My")</f>
        <v>Trần Phan Trà My</v>
      </c>
      <c r="J1748" s="2" t="str">
        <f ca="1">IFERROR(__xludf.DUMMYFUNCTION("""COMPUTED_VALUE"""),"08490968633")</f>
        <v>08490968633</v>
      </c>
      <c r="K1748" s="2" t="str">
        <f ca="1">IFERROR(__xludf.DUMMYFUNCTION("""COMPUTED_VALUE"""),"1760234551562")</f>
        <v>1760234551562</v>
      </c>
    </row>
    <row r="1749" spans="1:11" ht="12.45">
      <c r="A1749" s="2" t="str">
        <f ca="1">IFERROR(__xludf.DUMMYFUNCTION("""COMPUTED_VALUE"""),"1760234588374")</f>
        <v>1760234588374</v>
      </c>
      <c r="B1749" s="2"/>
      <c r="C1749" s="2" t="str">
        <v>0</v>
      </c>
      <c r="D1749" s="2"/>
      <c r="F1749" s="2" t="str">
        <v>0</v>
      </c>
      <c r="I1749" s="2" t="str">
        <f ca="1">IFERROR(__xludf.DUMMYFUNCTION("""COMPUTED_VALUE"""),"Phạm Thuỳ Dương")</f>
        <v>Phạm Thuỳ Dương</v>
      </c>
      <c r="J1749" s="3" t="str">
        <f ca="1">IFERROR(__xludf.DUMMYFUNCTION("""COMPUTED_VALUE"""),"0383201005")</f>
        <v>0383201005</v>
      </c>
      <c r="K1749" s="2" t="str">
        <f ca="1">IFERROR(__xludf.DUMMYFUNCTION("""COMPUTED_VALUE"""),"1760234588374")</f>
        <v>1760234588374</v>
      </c>
    </row>
    <row r="1750" spans="1:11" ht="12.45">
      <c r="A1750" s="2" t="str">
        <f ca="1">IFERROR(__xludf.DUMMYFUNCTION("""COMPUTED_VALUE"""),"1760234691730")</f>
        <v>1760234691730</v>
      </c>
      <c r="B1750" s="2"/>
      <c r="C1750" s="2" t="str">
        <v>0</v>
      </c>
      <c r="D1750" s="2"/>
      <c r="F1750" s="2" t="str">
        <v>0</v>
      </c>
      <c r="I1750" s="2" t="str">
        <f ca="1">IFERROR(__xludf.DUMMYFUNCTION("""COMPUTED_VALUE"""),"Hoàng Văn Hoàng Nguyên")</f>
        <v>Hoàng Văn Hoàng Nguyên</v>
      </c>
      <c r="J1750" s="3" t="str">
        <f ca="1">IFERROR(__xludf.DUMMYFUNCTION("""COMPUTED_VALUE"""),"0934335298")</f>
        <v>0934335298</v>
      </c>
      <c r="K1750" s="2" t="str">
        <f ca="1">IFERROR(__xludf.DUMMYFUNCTION("""COMPUTED_VALUE"""),"1760234691730")</f>
        <v>1760234691730</v>
      </c>
    </row>
    <row r="1751" spans="1:11" ht="12.45">
      <c r="A1751" s="2" t="str">
        <f ca="1">IFERROR(__xludf.DUMMYFUNCTION("""COMPUTED_VALUE"""),"1760234731056")</f>
        <v>1760234731056</v>
      </c>
      <c r="B1751" s="2"/>
      <c r="C1751" s="2" t="str">
        <v>0</v>
      </c>
      <c r="D1751" s="2"/>
      <c r="F1751" s="2" t="str">
        <v>0</v>
      </c>
      <c r="I1751" s="2" t="str">
        <f ca="1">IFERROR(__xludf.DUMMYFUNCTION("""COMPUTED_VALUE"""),"Phan Đình Hưng ")</f>
        <v xml:space="preserve">Phan Đình Hưng </v>
      </c>
      <c r="J1751" s="3" t="str">
        <f ca="1">IFERROR(__xludf.DUMMYFUNCTION("""COMPUTED_VALUE"""),"0935938973")</f>
        <v>0935938973</v>
      </c>
      <c r="K1751" s="2" t="str">
        <f ca="1">IFERROR(__xludf.DUMMYFUNCTION("""COMPUTED_VALUE"""),"1760234731056")</f>
        <v>1760234731056</v>
      </c>
    </row>
    <row r="1752" spans="1:11" ht="12.45">
      <c r="A1752" s="2" t="str">
        <f ca="1">IFERROR(__xludf.DUMMYFUNCTION("""COMPUTED_VALUE"""),"1760234785936")</f>
        <v>1760234785936</v>
      </c>
      <c r="B1752" s="2"/>
      <c r="C1752" s="2" t="str">
        <v>0</v>
      </c>
      <c r="D1752" s="2"/>
      <c r="F1752" s="2" t="str">
        <v>0</v>
      </c>
      <c r="I1752" s="2" t="str">
        <f ca="1">IFERROR(__xludf.DUMMYFUNCTION("""COMPUTED_VALUE"""),"Đinh Ngọc Trà My")</f>
        <v>Đinh Ngọc Trà My</v>
      </c>
      <c r="J1752" s="3" t="str">
        <f ca="1">IFERROR(__xludf.DUMMYFUNCTION("""COMPUTED_VALUE"""),"0825452333")</f>
        <v>0825452333</v>
      </c>
      <c r="K1752" s="2" t="str">
        <f ca="1">IFERROR(__xludf.DUMMYFUNCTION("""COMPUTED_VALUE"""),"1760234785936")</f>
        <v>1760234785936</v>
      </c>
    </row>
    <row r="1753" spans="1:11" ht="12.45">
      <c r="A1753" s="2" t="str">
        <f ca="1">IFERROR(__xludf.DUMMYFUNCTION("""COMPUTED_VALUE"""),"1760234823886")</f>
        <v>1760234823886</v>
      </c>
      <c r="B1753" s="2"/>
      <c r="C1753" s="2" t="str">
        <v>0</v>
      </c>
      <c r="D1753" s="2"/>
      <c r="F1753" s="2" t="str">
        <v>0</v>
      </c>
      <c r="I1753" s="2" t="str">
        <f ca="1">IFERROR(__xludf.DUMMYFUNCTION("""COMPUTED_VALUE"""),"Lê Phan Phương Thảo ")</f>
        <v xml:space="preserve">Lê Phan Phương Thảo </v>
      </c>
      <c r="J1753" s="3" t="str">
        <f ca="1">IFERROR(__xludf.DUMMYFUNCTION("""COMPUTED_VALUE"""),"0343880427")</f>
        <v>0343880427</v>
      </c>
      <c r="K1753" s="2" t="str">
        <f ca="1">IFERROR(__xludf.DUMMYFUNCTION("""COMPUTED_VALUE"""),"1760234823886")</f>
        <v>1760234823886</v>
      </c>
    </row>
    <row r="1754" spans="1:11" ht="12.45">
      <c r="A1754" s="2" t="str">
        <f ca="1">IFERROR(__xludf.DUMMYFUNCTION("""COMPUTED_VALUE"""),"1760234861044")</f>
        <v>1760234861044</v>
      </c>
      <c r="B1754" s="2"/>
      <c r="C1754" s="2" t="str">
        <v>0</v>
      </c>
      <c r="D1754" s="2"/>
      <c r="F1754" s="2" t="str">
        <v>0</v>
      </c>
      <c r="I1754" s="2" t="str">
        <f ca="1">IFERROR(__xludf.DUMMYFUNCTION("""COMPUTED_VALUE"""),"Huỳnh Đỗ Bảo Vân")</f>
        <v>Huỳnh Đỗ Bảo Vân</v>
      </c>
      <c r="J1754" s="3" t="str">
        <f ca="1">IFERROR(__xludf.DUMMYFUNCTION("""COMPUTED_VALUE"""),"0866434507")</f>
        <v>0866434507</v>
      </c>
      <c r="K1754" s="2" t="str">
        <f ca="1">IFERROR(__xludf.DUMMYFUNCTION("""COMPUTED_VALUE"""),"1760234861044")</f>
        <v>1760234861044</v>
      </c>
    </row>
    <row r="1755" spans="1:11" ht="12.45">
      <c r="A1755" s="2" t="str">
        <f ca="1">IFERROR(__xludf.DUMMYFUNCTION("""COMPUTED_VALUE"""),"1760234898092")</f>
        <v>1760234898092</v>
      </c>
      <c r="B1755" s="2"/>
      <c r="C1755" s="2" t="str">
        <v>0</v>
      </c>
      <c r="D1755" s="2"/>
      <c r="F1755" s="2" t="str">
        <v>0</v>
      </c>
      <c r="I1755" s="2" t="str">
        <f ca="1">IFERROR(__xludf.DUMMYFUNCTION("""COMPUTED_VALUE"""),"Nguyễn Lê Hồng Nhung")</f>
        <v>Nguyễn Lê Hồng Nhung</v>
      </c>
      <c r="J1755" s="3" t="str">
        <f ca="1">IFERROR(__xludf.DUMMYFUNCTION("""COMPUTED_VALUE"""),"0337592447")</f>
        <v>0337592447</v>
      </c>
      <c r="K1755" s="2" t="str">
        <f ca="1">IFERROR(__xludf.DUMMYFUNCTION("""COMPUTED_VALUE"""),"1760234898092")</f>
        <v>1760234898092</v>
      </c>
    </row>
    <row r="1756" spans="1:11" ht="12.45">
      <c r="A1756" s="2" t="str">
        <f ca="1">IFERROR(__xludf.DUMMYFUNCTION("""COMPUTED_VALUE"""),"1760234931238")</f>
        <v>1760234931238</v>
      </c>
      <c r="B1756" s="2"/>
      <c r="C1756" s="2" t="str">
        <v>0</v>
      </c>
      <c r="D1756" s="2"/>
      <c r="F1756" s="2" t="str">
        <v>0</v>
      </c>
      <c r="I1756" s="2" t="str">
        <f ca="1">IFERROR(__xludf.DUMMYFUNCTION("""COMPUTED_VALUE"""),"Đặng Thị Linh Trang")</f>
        <v>Đặng Thị Linh Trang</v>
      </c>
      <c r="J1756" s="3" t="str">
        <f ca="1">IFERROR(__xludf.DUMMYFUNCTION("""COMPUTED_VALUE"""),"0858955018")</f>
        <v>0858955018</v>
      </c>
      <c r="K1756" s="2" t="str">
        <f ca="1">IFERROR(__xludf.DUMMYFUNCTION("""COMPUTED_VALUE"""),"1760234931238")</f>
        <v>1760234931238</v>
      </c>
    </row>
    <row r="1757" spans="1:11" ht="12.45">
      <c r="A1757" s="2" t="str">
        <f ca="1">IFERROR(__xludf.DUMMYFUNCTION("""COMPUTED_VALUE"""),"1760234982332")</f>
        <v>1760234982332</v>
      </c>
      <c r="B1757" s="2"/>
      <c r="C1757" s="2" t="str">
        <v>0</v>
      </c>
      <c r="D1757" s="2"/>
      <c r="F1757" s="2" t="str">
        <v>0</v>
      </c>
      <c r="I1757" s="2" t="str">
        <f ca="1">IFERROR(__xludf.DUMMYFUNCTION("""COMPUTED_VALUE"""),"Trần Thị Dung")</f>
        <v>Trần Thị Dung</v>
      </c>
      <c r="J1757" s="2" t="str">
        <f ca="1">IFERROR(__xludf.DUMMYFUNCTION("""COMPUTED_VALUE"""),"08496920792")</f>
        <v>08496920792</v>
      </c>
      <c r="K1757" s="2" t="str">
        <f ca="1">IFERROR(__xludf.DUMMYFUNCTION("""COMPUTED_VALUE"""),"1760234982332")</f>
        <v>1760234982332</v>
      </c>
    </row>
    <row r="1758" spans="1:11" ht="12.45">
      <c r="A1758" s="2" t="str">
        <f ca="1">IFERROR(__xludf.DUMMYFUNCTION("""COMPUTED_VALUE"""),"1760235020870")</f>
        <v>1760235020870</v>
      </c>
      <c r="B1758" s="2"/>
      <c r="C1758" s="2" t="str">
        <v>0</v>
      </c>
      <c r="D1758" s="2"/>
      <c r="F1758" s="2" t="str">
        <v>0</v>
      </c>
      <c r="I1758" s="2" t="str">
        <f ca="1">IFERROR(__xludf.DUMMYFUNCTION("""COMPUTED_VALUE"""),"Trần Thị Khánh Linh")</f>
        <v>Trần Thị Khánh Linh</v>
      </c>
      <c r="J1758" s="3" t="str">
        <f ca="1">IFERROR(__xludf.DUMMYFUNCTION("""COMPUTED_VALUE"""),"0921056490")</f>
        <v>0921056490</v>
      </c>
      <c r="K1758" s="2" t="str">
        <f ca="1">IFERROR(__xludf.DUMMYFUNCTION("""COMPUTED_VALUE"""),"1760235020870")</f>
        <v>1760235020870</v>
      </c>
    </row>
    <row r="1759" spans="1:11" ht="12.45">
      <c r="A1759" s="2" t="str">
        <f ca="1">IFERROR(__xludf.DUMMYFUNCTION("""COMPUTED_VALUE"""),"1760235066646")</f>
        <v>1760235066646</v>
      </c>
      <c r="B1759" s="2"/>
      <c r="C1759" s="2" t="str">
        <v>0</v>
      </c>
      <c r="D1759" s="2"/>
      <c r="F1759" s="2" t="str">
        <v>0</v>
      </c>
      <c r="I1759" s="2" t="str">
        <f ca="1">IFERROR(__xludf.DUMMYFUNCTION("""COMPUTED_VALUE"""),"Tô Quang Dân ")</f>
        <v xml:space="preserve">Tô Quang Dân </v>
      </c>
      <c r="J1759" s="3" t="str">
        <f ca="1">IFERROR(__xludf.DUMMYFUNCTION("""COMPUTED_VALUE"""),"0329868829")</f>
        <v>0329868829</v>
      </c>
      <c r="K1759" s="2" t="str">
        <f ca="1">IFERROR(__xludf.DUMMYFUNCTION("""COMPUTED_VALUE"""),"1760235066646")</f>
        <v>1760235066646</v>
      </c>
    </row>
    <row r="1760" spans="1:11" ht="12.45">
      <c r="A1760" s="2" t="str">
        <f ca="1">IFERROR(__xludf.DUMMYFUNCTION("""COMPUTED_VALUE"""),"1760235105213")</f>
        <v>1760235105213</v>
      </c>
      <c r="B1760" s="2"/>
      <c r="C1760" s="2" t="str">
        <v>0</v>
      </c>
      <c r="D1760" s="2"/>
      <c r="F1760" s="2" t="str">
        <v>0</v>
      </c>
      <c r="I1760" s="2" t="str">
        <f ca="1">IFERROR(__xludf.DUMMYFUNCTION("""COMPUTED_VALUE"""),"Hoàng Vi Phương")</f>
        <v>Hoàng Vi Phương</v>
      </c>
      <c r="J1760" s="3" t="str">
        <f ca="1">IFERROR(__xludf.DUMMYFUNCTION("""COMPUTED_VALUE"""),"0347878235")</f>
        <v>0347878235</v>
      </c>
      <c r="K1760" s="2" t="str">
        <f ca="1">IFERROR(__xludf.DUMMYFUNCTION("""COMPUTED_VALUE"""),"1760235105213")</f>
        <v>1760235105213</v>
      </c>
    </row>
    <row r="1761" spans="1:11" ht="12.45">
      <c r="A1761" s="2" t="str">
        <f ca="1">IFERROR(__xludf.DUMMYFUNCTION("""COMPUTED_VALUE"""),"1760235161921")</f>
        <v>1760235161921</v>
      </c>
      <c r="B1761" s="2"/>
      <c r="C1761" s="2" t="str">
        <v>0</v>
      </c>
      <c r="D1761" s="2"/>
      <c r="F1761" s="2" t="str">
        <v>0</v>
      </c>
      <c r="I1761" s="2" t="str">
        <f ca="1">IFERROR(__xludf.DUMMYFUNCTION("""COMPUTED_VALUE"""),"Vũ Bích Ngọc")</f>
        <v>Vũ Bích Ngọc</v>
      </c>
      <c r="J1761" s="3" t="str">
        <f ca="1">IFERROR(__xludf.DUMMYFUNCTION("""COMPUTED_VALUE"""),"0389025061")</f>
        <v>0389025061</v>
      </c>
      <c r="K1761" s="2" t="str">
        <f ca="1">IFERROR(__xludf.DUMMYFUNCTION("""COMPUTED_VALUE"""),"1760235161921")</f>
        <v>1760235161921</v>
      </c>
    </row>
    <row r="1762" spans="1:11" ht="12.45">
      <c r="A1762" s="2" t="str">
        <f ca="1">IFERROR(__xludf.DUMMYFUNCTION("""COMPUTED_VALUE"""),"1761189496104")</f>
        <v>1761189496104</v>
      </c>
      <c r="B1762" s="2"/>
      <c r="C1762" s="2" t="str">
        <v>0</v>
      </c>
      <c r="D1762" s="2"/>
      <c r="F1762" s="2" t="str">
        <v>0</v>
      </c>
      <c r="I1762" s="2" t="str">
        <f ca="1">IFERROR(__xludf.DUMMYFUNCTION("""COMPUTED_VALUE"""),"Nguyễn Ngọc Trâm")</f>
        <v>Nguyễn Ngọc Trâm</v>
      </c>
      <c r="J1762" s="3" t="str">
        <f ca="1">IFERROR(__xludf.DUMMYFUNCTION("""COMPUTED_VALUE"""),"0916573307")</f>
        <v>0916573307</v>
      </c>
      <c r="K1762" s="2" t="str">
        <f ca="1">IFERROR(__xludf.DUMMYFUNCTION("""COMPUTED_VALUE"""),"1761189496104")</f>
        <v>1761189496104</v>
      </c>
    </row>
    <row r="1763" spans="1:11" ht="12.45">
      <c r="A1763" s="2" t="str">
        <f ca="1">IFERROR(__xludf.DUMMYFUNCTION("""COMPUTED_VALUE"""),"1761189552293")</f>
        <v>1761189552293</v>
      </c>
      <c r="B1763" s="2"/>
      <c r="C1763" s="2" t="str">
        <v>0</v>
      </c>
      <c r="D1763" s="2"/>
      <c r="F1763" s="2" t="str">
        <v>0</v>
      </c>
      <c r="I1763" s="2" t="str">
        <f ca="1">IFERROR(__xludf.DUMMYFUNCTION("""COMPUTED_VALUE"""),"Hoàng Lan Phương")</f>
        <v>Hoàng Lan Phương</v>
      </c>
      <c r="J1763" s="3" t="str">
        <f ca="1">IFERROR(__xludf.DUMMYFUNCTION("""COMPUTED_VALUE"""),"0869195782")</f>
        <v>0869195782</v>
      </c>
      <c r="K1763" s="2" t="str">
        <f ca="1">IFERROR(__xludf.DUMMYFUNCTION("""COMPUTED_VALUE"""),"1761189552293")</f>
        <v>1761189552293</v>
      </c>
    </row>
    <row r="1764" spans="1:11" ht="12.45">
      <c r="A1764" s="2" t="str">
        <f ca="1">IFERROR(__xludf.DUMMYFUNCTION("""COMPUTED_VALUE"""),"1761189593959")</f>
        <v>1761189593959</v>
      </c>
      <c r="B1764" s="2"/>
      <c r="C1764" s="2" t="str">
        <v>0</v>
      </c>
      <c r="D1764" s="2"/>
      <c r="F1764" s="2" t="str">
        <v>0</v>
      </c>
      <c r="I1764" s="2" t="str">
        <f ca="1">IFERROR(__xludf.DUMMYFUNCTION("""COMPUTED_VALUE"""),"Hoàng Ánh Dương")</f>
        <v>Hoàng Ánh Dương</v>
      </c>
      <c r="J1764" s="3" t="str">
        <f ca="1">IFERROR(__xludf.DUMMYFUNCTION("""COMPUTED_VALUE"""),"0394641462")</f>
        <v>0394641462</v>
      </c>
      <c r="K1764" s="2" t="str">
        <f ca="1">IFERROR(__xludf.DUMMYFUNCTION("""COMPUTED_VALUE"""),"1761189593959")</f>
        <v>1761189593959</v>
      </c>
    </row>
    <row r="1765" spans="1:11" ht="12.45">
      <c r="A1765" s="2" t="str">
        <f ca="1">IFERROR(__xludf.DUMMYFUNCTION("""COMPUTED_VALUE"""),"1761189642062")</f>
        <v>1761189642062</v>
      </c>
      <c r="B1765" s="2"/>
      <c r="C1765" s="2" t="str">
        <v>0</v>
      </c>
      <c r="D1765" s="2"/>
      <c r="F1765" s="2" t="str">
        <v>0</v>
      </c>
      <c r="I1765" s="2" t="str">
        <f ca="1">IFERROR(__xludf.DUMMYFUNCTION("""COMPUTED_VALUE"""),"Nguyễn Thanh Ngân ")</f>
        <v xml:space="preserve">Nguyễn Thanh Ngân </v>
      </c>
      <c r="J1765" s="3" t="str">
        <f ca="1">IFERROR(__xludf.DUMMYFUNCTION("""COMPUTED_VALUE"""),"0388312642")</f>
        <v>0388312642</v>
      </c>
      <c r="K1765" s="2" t="str">
        <f ca="1">IFERROR(__xludf.DUMMYFUNCTION("""COMPUTED_VALUE"""),"1761189642062")</f>
        <v>1761189642062</v>
      </c>
    </row>
    <row r="1766" spans="1:11" ht="12.45">
      <c r="A1766" s="2" t="str">
        <f ca="1">IFERROR(__xludf.DUMMYFUNCTION("""COMPUTED_VALUE"""),"1761189740438")</f>
        <v>1761189740438</v>
      </c>
      <c r="B1766" s="2"/>
      <c r="C1766" s="2" t="str">
        <v>0</v>
      </c>
      <c r="D1766" s="2"/>
      <c r="F1766" s="2" t="str">
        <v>0</v>
      </c>
      <c r="I1766" s="2" t="str">
        <f ca="1">IFERROR(__xludf.DUMMYFUNCTION("""COMPUTED_VALUE"""),"Dương Ngọc Hân")</f>
        <v>Dương Ngọc Hân</v>
      </c>
      <c r="J1766" s="3" t="str">
        <f ca="1">IFERROR(__xludf.DUMMYFUNCTION("""COMPUTED_VALUE"""),"0987020323")</f>
        <v>0987020323</v>
      </c>
      <c r="K1766" s="2" t="str">
        <f ca="1">IFERROR(__xludf.DUMMYFUNCTION("""COMPUTED_VALUE"""),"1761189740438")</f>
        <v>1761189740438</v>
      </c>
    </row>
    <row r="1767" spans="1:11" ht="12.45">
      <c r="A1767" s="2" t="str">
        <f ca="1">IFERROR(__xludf.DUMMYFUNCTION("""COMPUTED_VALUE"""),"1761189783318")</f>
        <v>1761189783318</v>
      </c>
      <c r="B1767" s="2"/>
      <c r="C1767" s="2" t="str">
        <v>0</v>
      </c>
      <c r="D1767" s="2"/>
      <c r="F1767" s="2" t="str">
        <v>0</v>
      </c>
      <c r="I1767" s="2" t="str">
        <f ca="1">IFERROR(__xludf.DUMMYFUNCTION("""COMPUTED_VALUE"""),"Vi THỊ ĐAN Lê")</f>
        <v>Vi THỊ ĐAN Lê</v>
      </c>
      <c r="J1767" s="3" t="str">
        <f ca="1">IFERROR(__xludf.DUMMYFUNCTION("""COMPUTED_VALUE"""),"0326113608")</f>
        <v>0326113608</v>
      </c>
      <c r="K1767" s="2" t="str">
        <f ca="1">IFERROR(__xludf.DUMMYFUNCTION("""COMPUTED_VALUE"""),"1761189783318")</f>
        <v>1761189783318</v>
      </c>
    </row>
    <row r="1768" spans="1:11" ht="12.45">
      <c r="A1768" s="2" t="str">
        <f ca="1">IFERROR(__xludf.DUMMYFUNCTION("""COMPUTED_VALUE"""),"1761189828689")</f>
        <v>1761189828689</v>
      </c>
      <c r="B1768" s="2"/>
      <c r="C1768" s="2" t="str">
        <v>0</v>
      </c>
      <c r="D1768" s="2"/>
      <c r="F1768" s="2" t="str">
        <v>0</v>
      </c>
      <c r="I1768" s="2" t="str">
        <f ca="1">IFERROR(__xludf.DUMMYFUNCTION("""COMPUTED_VALUE"""),"Nguyễn Lý Hiếu Nghĩa")</f>
        <v>Nguyễn Lý Hiếu Nghĩa</v>
      </c>
      <c r="J1768" s="3" t="str">
        <f ca="1">IFERROR(__xludf.DUMMYFUNCTION("""COMPUTED_VALUE"""),"0772698308")</f>
        <v>0772698308</v>
      </c>
      <c r="K1768" s="2" t="str">
        <f ca="1">IFERROR(__xludf.DUMMYFUNCTION("""COMPUTED_VALUE"""),"1761189828689")</f>
        <v>1761189828689</v>
      </c>
    </row>
    <row r="1769" spans="1:11" ht="12.45">
      <c r="A1769" s="2" t="str">
        <f ca="1">IFERROR(__xludf.DUMMYFUNCTION("""COMPUTED_VALUE"""),"1761189862397")</f>
        <v>1761189862397</v>
      </c>
      <c r="B1769" s="2"/>
      <c r="C1769" s="2" t="str">
        <v>0</v>
      </c>
      <c r="D1769" s="2"/>
      <c r="F1769" s="2" t="str">
        <v>0</v>
      </c>
      <c r="I1769" s="2" t="str">
        <f ca="1">IFERROR(__xludf.DUMMYFUNCTION("""COMPUTED_VALUE"""),"Nguyễn Thị Hương Giang")</f>
        <v>Nguyễn Thị Hương Giang</v>
      </c>
      <c r="J1769" s="3" t="str">
        <f ca="1">IFERROR(__xludf.DUMMYFUNCTION("""COMPUTED_VALUE"""),"0869359521")</f>
        <v>0869359521</v>
      </c>
      <c r="K1769" s="2" t="str">
        <f ca="1">IFERROR(__xludf.DUMMYFUNCTION("""COMPUTED_VALUE"""),"1761189862397")</f>
        <v>1761189862397</v>
      </c>
    </row>
    <row r="1770" spans="1:11" ht="12.45">
      <c r="A1770" s="2" t="str">
        <f ca="1">IFERROR(__xludf.DUMMYFUNCTION("""COMPUTED_VALUE"""),"1761189924585")</f>
        <v>1761189924585</v>
      </c>
      <c r="B1770" s="2"/>
      <c r="C1770" s="2" t="str">
        <v>0</v>
      </c>
      <c r="D1770" s="2"/>
      <c r="F1770" s="2" t="str">
        <v>0</v>
      </c>
      <c r="I1770" s="2" t="str">
        <f ca="1">IFERROR(__xludf.DUMMYFUNCTION("""COMPUTED_VALUE"""),"Đặng Văn Xuyên")</f>
        <v>Đặng Văn Xuyên</v>
      </c>
      <c r="J1770" s="3" t="str">
        <f ca="1">IFERROR(__xludf.DUMMYFUNCTION("""COMPUTED_VALUE"""),"0394245398")</f>
        <v>0394245398</v>
      </c>
      <c r="K1770" s="2" t="str">
        <f ca="1">IFERROR(__xludf.DUMMYFUNCTION("""COMPUTED_VALUE"""),"1761189924585")</f>
        <v>1761189924585</v>
      </c>
    </row>
    <row r="1771" spans="1:11" ht="12.45">
      <c r="A1771" s="2" t="str">
        <f ca="1">IFERROR(__xludf.DUMMYFUNCTION("""COMPUTED_VALUE"""),"1761189960726")</f>
        <v>1761189960726</v>
      </c>
      <c r="B1771" s="2"/>
      <c r="C1771" s="2" t="str">
        <v>0</v>
      </c>
      <c r="D1771" s="2"/>
      <c r="F1771" s="2" t="str">
        <v>0</v>
      </c>
      <c r="I1771" s="2" t="str">
        <f ca="1">IFERROR(__xludf.DUMMYFUNCTION("""COMPUTED_VALUE"""),"Lê Nguyễn Xuân Quỳnh")</f>
        <v>Lê Nguyễn Xuân Quỳnh</v>
      </c>
      <c r="J1771" s="3" t="str">
        <f ca="1">IFERROR(__xludf.DUMMYFUNCTION("""COMPUTED_VALUE"""),"0392705283")</f>
        <v>0392705283</v>
      </c>
      <c r="K1771" s="2" t="str">
        <f ca="1">IFERROR(__xludf.DUMMYFUNCTION("""COMPUTED_VALUE"""),"1761189960726")</f>
        <v>1761189960726</v>
      </c>
    </row>
    <row r="1772" spans="1:11" ht="12.45">
      <c r="A1772" s="2" t="str">
        <f ca="1">IFERROR(__xludf.DUMMYFUNCTION("""COMPUTED_VALUE"""),"1761189999101")</f>
        <v>1761189999101</v>
      </c>
      <c r="B1772" s="2"/>
      <c r="C1772" s="2" t="str">
        <v>0</v>
      </c>
      <c r="D1772" s="2"/>
      <c r="F1772" s="2" t="str">
        <v>0</v>
      </c>
      <c r="I1772" s="2" t="str">
        <f ca="1">IFERROR(__xludf.DUMMYFUNCTION("""COMPUTED_VALUE"""),"Lê Thị Thanh Main")</f>
        <v>Lê Thị Thanh Main</v>
      </c>
      <c r="J1772" s="3" t="str">
        <f ca="1">IFERROR(__xludf.DUMMYFUNCTION("""COMPUTED_VALUE"""),"0868852867")</f>
        <v>0868852867</v>
      </c>
      <c r="K1772" s="2" t="str">
        <f ca="1">IFERROR(__xludf.DUMMYFUNCTION("""COMPUTED_VALUE"""),"1761189999101")</f>
        <v>1761189999101</v>
      </c>
    </row>
    <row r="1773" spans="1:11" ht="12.45">
      <c r="A1773" s="2" t="str">
        <f ca="1">IFERROR(__xludf.DUMMYFUNCTION("""COMPUTED_VALUE"""),"1761190038139")</f>
        <v>1761190038139</v>
      </c>
      <c r="B1773" s="2"/>
      <c r="C1773" s="2" t="str">
        <v>0</v>
      </c>
      <c r="D1773" s="2"/>
      <c r="F1773" s="2" t="str">
        <v>0</v>
      </c>
      <c r="I1773" s="2" t="str">
        <f ca="1">IFERROR(__xludf.DUMMYFUNCTION("""COMPUTED_VALUE"""),"Thái Thị Thanh Nga")</f>
        <v>Thái Thị Thanh Nga</v>
      </c>
      <c r="J1773" s="3" t="str">
        <f ca="1">IFERROR(__xludf.DUMMYFUNCTION("""COMPUTED_VALUE"""),"0815929919")</f>
        <v>0815929919</v>
      </c>
      <c r="K1773" s="2" t="str">
        <f ca="1">IFERROR(__xludf.DUMMYFUNCTION("""COMPUTED_VALUE"""),"1761190038139")</f>
        <v>1761190038139</v>
      </c>
    </row>
    <row r="1774" spans="1:11" ht="12.45">
      <c r="A1774" s="2" t="str">
        <f ca="1">IFERROR(__xludf.DUMMYFUNCTION("""COMPUTED_VALUE"""),"1761190088779")</f>
        <v>1761190088779</v>
      </c>
      <c r="B1774" s="2"/>
      <c r="C1774" s="2" t="str">
        <v>0</v>
      </c>
      <c r="D1774" s="2"/>
      <c r="F1774" s="2" t="str">
        <v>0</v>
      </c>
      <c r="I1774" s="2" t="str">
        <f ca="1">IFERROR(__xludf.DUMMYFUNCTION("""COMPUTED_VALUE"""),"Thạch Thị Huyền Trân ")</f>
        <v xml:space="preserve">Thạch Thị Huyền Trân </v>
      </c>
      <c r="J1774" s="3" t="str">
        <f ca="1">IFERROR(__xludf.DUMMYFUNCTION("""COMPUTED_VALUE"""),"0373200013")</f>
        <v>0373200013</v>
      </c>
      <c r="K1774" s="2" t="str">
        <f ca="1">IFERROR(__xludf.DUMMYFUNCTION("""COMPUTED_VALUE"""),"1761190088779")</f>
        <v>1761190088779</v>
      </c>
    </row>
    <row r="1775" spans="1:11" ht="12.45">
      <c r="A1775" s="2" t="str">
        <f ca="1">IFERROR(__xludf.DUMMYFUNCTION("""COMPUTED_VALUE"""),"1761190124277")</f>
        <v>1761190124277</v>
      </c>
      <c r="B1775" s="2"/>
      <c r="C1775" s="2" t="str">
        <v>0</v>
      </c>
      <c r="D1775" s="2"/>
      <c r="F1775" s="2" t="str">
        <v>0</v>
      </c>
      <c r="I1775" s="2" t="str">
        <f ca="1">IFERROR(__xludf.DUMMYFUNCTION("""COMPUTED_VALUE"""),"Trần Bảo Trân")</f>
        <v>Trần Bảo Trân</v>
      </c>
      <c r="J1775" s="3" t="str">
        <f ca="1">IFERROR(__xludf.DUMMYFUNCTION("""COMPUTED_VALUE"""),"0373271514")</f>
        <v>0373271514</v>
      </c>
      <c r="K1775" s="2" t="str">
        <f ca="1">IFERROR(__xludf.DUMMYFUNCTION("""COMPUTED_VALUE"""),"1761190124277")</f>
        <v>1761190124277</v>
      </c>
    </row>
    <row r="1776" spans="1:11" ht="12.45">
      <c r="A1776" s="2" t="str">
        <f ca="1">IFERROR(__xludf.DUMMYFUNCTION("""COMPUTED_VALUE"""),"1761190165969")</f>
        <v>1761190165969</v>
      </c>
      <c r="B1776" s="2"/>
      <c r="C1776" s="2" t="str">
        <v>0</v>
      </c>
      <c r="D1776" s="2"/>
      <c r="F1776" s="2" t="str">
        <v>0</v>
      </c>
      <c r="I1776" s="2" t="str">
        <f ca="1">IFERROR(__xludf.DUMMYFUNCTION("""COMPUTED_VALUE"""),"Nguyễn Trần Mai Anh")</f>
        <v>Nguyễn Trần Mai Anh</v>
      </c>
      <c r="J1776" s="3" t="str">
        <f ca="1">IFERROR(__xludf.DUMMYFUNCTION("""COMPUTED_VALUE"""),"0987329857")</f>
        <v>0987329857</v>
      </c>
      <c r="K1776" s="2" t="str">
        <f ca="1">IFERROR(__xludf.DUMMYFUNCTION("""COMPUTED_VALUE"""),"1761190165969")</f>
        <v>1761190165969</v>
      </c>
    </row>
    <row r="1777" spans="1:11" ht="12.45">
      <c r="A1777" s="2" t="str">
        <f ca="1">IFERROR(__xludf.DUMMYFUNCTION("""COMPUTED_VALUE"""),"1761190217390")</f>
        <v>1761190217390</v>
      </c>
      <c r="B1777" s="2"/>
      <c r="C1777" s="2" t="str">
        <v>0</v>
      </c>
      <c r="D1777" s="2"/>
      <c r="F1777" s="2" t="str">
        <v>0</v>
      </c>
      <c r="I1777" s="2" t="str">
        <f ca="1">IFERROR(__xludf.DUMMYFUNCTION("""COMPUTED_VALUE"""),"Võ Thị Kim Chi ")</f>
        <v xml:space="preserve">Võ Thị Kim Chi </v>
      </c>
      <c r="J1777" s="3" t="str">
        <f ca="1">IFERROR(__xludf.DUMMYFUNCTION("""COMPUTED_VALUE"""),"0353349400")</f>
        <v>0353349400</v>
      </c>
      <c r="K1777" s="2" t="str">
        <f ca="1">IFERROR(__xludf.DUMMYFUNCTION("""COMPUTED_VALUE"""),"1761190217390")</f>
        <v>1761190217390</v>
      </c>
    </row>
    <row r="1778" spans="1:11" ht="12.45">
      <c r="A1778" s="2" t="str">
        <f ca="1">IFERROR(__xludf.DUMMYFUNCTION("""COMPUTED_VALUE"""),"1761190299876")</f>
        <v>1761190299876</v>
      </c>
      <c r="B1778" s="2"/>
      <c r="C1778" s="2" t="str">
        <v>0</v>
      </c>
      <c r="D1778" s="2"/>
      <c r="F1778" s="2" t="str">
        <v>0</v>
      </c>
      <c r="I1778" s="2" t="str">
        <f ca="1">IFERROR(__xludf.DUMMYFUNCTION("""COMPUTED_VALUE"""),"Lê Thị Thanh Ngọc")</f>
        <v>Lê Thị Thanh Ngọc</v>
      </c>
      <c r="J1778" s="3" t="str">
        <f ca="1">IFERROR(__xludf.DUMMYFUNCTION("""COMPUTED_VALUE"""),"0836714816")</f>
        <v>0836714816</v>
      </c>
      <c r="K1778" s="2" t="str">
        <f ca="1">IFERROR(__xludf.DUMMYFUNCTION("""COMPUTED_VALUE"""),"1761190299876")</f>
        <v>1761190299876</v>
      </c>
    </row>
    <row r="1779" spans="1:11" ht="12.45">
      <c r="A1779" s="2" t="str">
        <f ca="1">IFERROR(__xludf.DUMMYFUNCTION("""COMPUTED_VALUE"""),"1761190338965")</f>
        <v>1761190338965</v>
      </c>
      <c r="B1779" s="2"/>
      <c r="C1779" s="2" t="str">
        <v>0</v>
      </c>
      <c r="D1779" s="2"/>
      <c r="F1779" s="2" t="str">
        <v>0</v>
      </c>
      <c r="I1779" s="2" t="str">
        <f ca="1">IFERROR(__xludf.DUMMYFUNCTION("""COMPUTED_VALUE"""),"Nguyễn Hoàng Yến Vy")</f>
        <v>Nguyễn Hoàng Yến Vy</v>
      </c>
      <c r="J1779" s="3" t="str">
        <f ca="1">IFERROR(__xludf.DUMMYFUNCTION("""COMPUTED_VALUE"""),"0939497371")</f>
        <v>0939497371</v>
      </c>
      <c r="K1779" s="2" t="str">
        <f ca="1">IFERROR(__xludf.DUMMYFUNCTION("""COMPUTED_VALUE"""),"1761190338965")</f>
        <v>1761190338965</v>
      </c>
    </row>
    <row r="1780" spans="1:11" ht="12.45">
      <c r="A1780" s="2" t="str">
        <f ca="1">IFERROR(__xludf.DUMMYFUNCTION("""COMPUTED_VALUE"""),"1761190372196")</f>
        <v>1761190372196</v>
      </c>
      <c r="B1780" s="2"/>
      <c r="C1780" s="2" t="str">
        <v>0</v>
      </c>
      <c r="D1780" s="2"/>
      <c r="F1780" s="2" t="str">
        <v>0</v>
      </c>
      <c r="I1780" s="2" t="str">
        <f ca="1">IFERROR(__xludf.DUMMYFUNCTION("""COMPUTED_VALUE"""),"Bùi Ng Hồng Thi")</f>
        <v>Bùi Ng Hồng Thi</v>
      </c>
      <c r="J1780" s="3" t="str">
        <f ca="1">IFERROR(__xludf.DUMMYFUNCTION("""COMPUTED_VALUE"""),"0702274661")</f>
        <v>0702274661</v>
      </c>
      <c r="K1780" s="2" t="str">
        <f ca="1">IFERROR(__xludf.DUMMYFUNCTION("""COMPUTED_VALUE"""),"1761190372196")</f>
        <v>1761190372196</v>
      </c>
    </row>
    <row r="1781" spans="1:11" ht="12.45">
      <c r="A1781" s="2" t="str">
        <f ca="1">IFERROR(__xludf.DUMMYFUNCTION("""COMPUTED_VALUE"""),"1761190428018")</f>
        <v>1761190428018</v>
      </c>
      <c r="B1781" s="2"/>
      <c r="C1781" s="2" t="str">
        <v>0</v>
      </c>
      <c r="D1781" s="2"/>
      <c r="F1781" s="2" t="str">
        <v>0</v>
      </c>
      <c r="I1781" s="2" t="str">
        <f ca="1">IFERROR(__xludf.DUMMYFUNCTION("""COMPUTED_VALUE"""),"Đoàn Hiểu Thy")</f>
        <v>Đoàn Hiểu Thy</v>
      </c>
      <c r="J1781" s="3" t="str">
        <f ca="1">IFERROR(__xludf.DUMMYFUNCTION("""COMPUTED_VALUE"""),"0384452370")</f>
        <v>0384452370</v>
      </c>
      <c r="K1781" s="2" t="str">
        <f ca="1">IFERROR(__xludf.DUMMYFUNCTION("""COMPUTED_VALUE"""),"1761190428018")</f>
        <v>1761190428018</v>
      </c>
    </row>
    <row r="1782" spans="1:11" ht="12.45">
      <c r="A1782" s="2" t="str">
        <f ca="1">IFERROR(__xludf.DUMMYFUNCTION("""COMPUTED_VALUE"""),"1761190470884")</f>
        <v>1761190470884</v>
      </c>
      <c r="B1782" s="2"/>
      <c r="C1782" s="2" t="str">
        <v>0</v>
      </c>
      <c r="D1782" s="2"/>
      <c r="F1782" s="2" t="str">
        <v>0</v>
      </c>
      <c r="I1782" s="2" t="str">
        <f ca="1">IFERROR(__xludf.DUMMYFUNCTION("""COMPUTED_VALUE"""),"Phạm Hiền Mai")</f>
        <v>Phạm Hiền Mai</v>
      </c>
      <c r="J1782" s="3" t="str">
        <f ca="1">IFERROR(__xludf.DUMMYFUNCTION("""COMPUTED_VALUE"""),"0347136807")</f>
        <v>0347136807</v>
      </c>
      <c r="K1782" s="2" t="str">
        <f ca="1">IFERROR(__xludf.DUMMYFUNCTION("""COMPUTED_VALUE"""),"1761190470884")</f>
        <v>1761190470884</v>
      </c>
    </row>
    <row r="1783" spans="1:11" ht="12.45">
      <c r="A1783" s="2" t="str">
        <f ca="1">IFERROR(__xludf.DUMMYFUNCTION("""COMPUTED_VALUE"""),"1761190516532")</f>
        <v>1761190516532</v>
      </c>
      <c r="B1783" s="2"/>
      <c r="C1783" s="2" t="str">
        <v>0</v>
      </c>
      <c r="D1783" s="2"/>
      <c r="F1783" s="2" t="str">
        <v>0</v>
      </c>
      <c r="I1783" s="2" t="str">
        <f ca="1">IFERROR(__xludf.DUMMYFUNCTION("""COMPUTED_VALUE"""),"Nguyễn Lưu Thảo Phương ")</f>
        <v xml:space="preserve">Nguyễn Lưu Thảo Phương </v>
      </c>
      <c r="J1783" s="3" t="str">
        <f ca="1">IFERROR(__xludf.DUMMYFUNCTION("""COMPUTED_VALUE"""),"0987050253")</f>
        <v>0987050253</v>
      </c>
      <c r="K1783" s="2" t="str">
        <f ca="1">IFERROR(__xludf.DUMMYFUNCTION("""COMPUTED_VALUE"""),"1761190516532")</f>
        <v>1761190516532</v>
      </c>
    </row>
    <row r="1784" spans="1:11" ht="12.45">
      <c r="A1784" s="2" t="str">
        <f ca="1">IFERROR(__xludf.DUMMYFUNCTION("""COMPUTED_VALUE"""),"1761190577133")</f>
        <v>1761190577133</v>
      </c>
      <c r="B1784" s="2"/>
      <c r="C1784" s="2" t="str">
        <v>0</v>
      </c>
      <c r="D1784" s="2"/>
      <c r="F1784" s="2" t="str">
        <v>0</v>
      </c>
      <c r="I1784" s="2" t="str">
        <f ca="1">IFERROR(__xludf.DUMMYFUNCTION("""COMPUTED_VALUE"""),"Bùi Ngọc Bảo Hân")</f>
        <v>Bùi Ngọc Bảo Hân</v>
      </c>
      <c r="J1784" s="3" t="str">
        <f ca="1">IFERROR(__xludf.DUMMYFUNCTION("""COMPUTED_VALUE"""),"0931645772")</f>
        <v>0931645772</v>
      </c>
      <c r="K1784" s="2" t="str">
        <f ca="1">IFERROR(__xludf.DUMMYFUNCTION("""COMPUTED_VALUE"""),"1761190577133")</f>
        <v>1761190577133</v>
      </c>
    </row>
    <row r="1785" spans="1:11" ht="12.45">
      <c r="A1785" s="2" t="str">
        <f ca="1">IFERROR(__xludf.DUMMYFUNCTION("""COMPUTED_VALUE"""),"1761190610801")</f>
        <v>1761190610801</v>
      </c>
      <c r="B1785" s="2"/>
      <c r="C1785" s="2" t="str">
        <v>0</v>
      </c>
      <c r="D1785" s="2"/>
      <c r="F1785" s="2" t="str">
        <v>0</v>
      </c>
      <c r="I1785" s="2" t="str">
        <f ca="1">IFERROR(__xludf.DUMMYFUNCTION("""COMPUTED_VALUE"""),"Lê Bảo Uyên")</f>
        <v>Lê Bảo Uyên</v>
      </c>
      <c r="J1785" s="3" t="str">
        <f ca="1">IFERROR(__xludf.DUMMYFUNCTION("""COMPUTED_VALUE"""),"0395266856")</f>
        <v>0395266856</v>
      </c>
      <c r="K1785" s="2" t="str">
        <f ca="1">IFERROR(__xludf.DUMMYFUNCTION("""COMPUTED_VALUE"""),"1761190610801")</f>
        <v>1761190610801</v>
      </c>
    </row>
    <row r="1786" spans="1:11" ht="12.45">
      <c r="A1786" s="2" t="str">
        <f ca="1">IFERROR(__xludf.DUMMYFUNCTION("""COMPUTED_VALUE"""),"1761190664822")</f>
        <v>1761190664822</v>
      </c>
      <c r="B1786" s="2"/>
      <c r="C1786" s="2" t="str">
        <v>0</v>
      </c>
      <c r="D1786" s="2"/>
      <c r="F1786" s="2" t="str">
        <v>0</v>
      </c>
      <c r="I1786" s="2" t="str">
        <f ca="1">IFERROR(__xludf.DUMMYFUNCTION("""COMPUTED_VALUE"""),"Nguyễn Chi Mai ")</f>
        <v xml:space="preserve">Nguyễn Chi Mai </v>
      </c>
      <c r="J1786" s="3" t="str">
        <f ca="1">IFERROR(__xludf.DUMMYFUNCTION("""COMPUTED_VALUE"""),"0384728673")</f>
        <v>0384728673</v>
      </c>
      <c r="K1786" s="2" t="str">
        <f ca="1">IFERROR(__xludf.DUMMYFUNCTION("""COMPUTED_VALUE"""),"1761190664822")</f>
        <v>1761190664822</v>
      </c>
    </row>
    <row r="1787" spans="1:11" ht="12.45">
      <c r="A1787" s="2" t="str">
        <f ca="1">IFERROR(__xludf.DUMMYFUNCTION("""COMPUTED_VALUE"""),"1761190720818")</f>
        <v>1761190720818</v>
      </c>
      <c r="B1787" s="2"/>
      <c r="C1787" s="2" t="str">
        <v>0</v>
      </c>
      <c r="D1787" s="2"/>
      <c r="F1787" s="2" t="str">
        <v>0</v>
      </c>
      <c r="I1787" s="2" t="str">
        <f ca="1">IFERROR(__xludf.DUMMYFUNCTION("""COMPUTED_VALUE"""),"Đào Hải Trí")</f>
        <v>Đào Hải Trí</v>
      </c>
      <c r="J1787" s="3" t="str">
        <f ca="1">IFERROR(__xludf.DUMMYFUNCTION("""COMPUTED_VALUE"""),"0328594106")</f>
        <v>0328594106</v>
      </c>
      <c r="K1787" s="2" t="str">
        <f ca="1">IFERROR(__xludf.DUMMYFUNCTION("""COMPUTED_VALUE"""),"1761190720818")</f>
        <v>1761190720818</v>
      </c>
    </row>
    <row r="1788" spans="1:11" ht="12.45">
      <c r="A1788" s="2" t="str">
        <f ca="1">IFERROR(__xludf.DUMMYFUNCTION("""COMPUTED_VALUE"""),"1761190765825")</f>
        <v>1761190765825</v>
      </c>
      <c r="B1788" s="2"/>
      <c r="C1788" s="2" t="str">
        <v>0</v>
      </c>
      <c r="D1788" s="2"/>
      <c r="F1788" s="2" t="str">
        <v>0</v>
      </c>
      <c r="I1788" s="2" t="str">
        <f ca="1">IFERROR(__xludf.DUMMYFUNCTION("""COMPUTED_VALUE"""),"Phan Thị Mai Anh")</f>
        <v>Phan Thị Mai Anh</v>
      </c>
      <c r="J1788" s="3" t="str">
        <f ca="1">IFERROR(__xludf.DUMMYFUNCTION("""COMPUTED_VALUE"""),"0377792368")</f>
        <v>0377792368</v>
      </c>
      <c r="K1788" s="2" t="str">
        <f ca="1">IFERROR(__xludf.DUMMYFUNCTION("""COMPUTED_VALUE"""),"1761190765825")</f>
        <v>1761190765825</v>
      </c>
    </row>
    <row r="1789" spans="1:11" ht="12.45">
      <c r="A1789" s="2" t="str">
        <f ca="1">IFERROR(__xludf.DUMMYFUNCTION("""COMPUTED_VALUE"""),"1761190821058")</f>
        <v>1761190821058</v>
      </c>
      <c r="B1789" s="2"/>
      <c r="C1789" s="2" t="str">
        <v>0</v>
      </c>
      <c r="D1789" s="2"/>
      <c r="F1789" s="2" t="str">
        <v>0</v>
      </c>
      <c r="I1789" s="2" t="str">
        <f ca="1">IFERROR(__xludf.DUMMYFUNCTION("""COMPUTED_VALUE"""),"Lê Thị Thanh Ngân")</f>
        <v>Lê Thị Thanh Ngân</v>
      </c>
      <c r="J1789" s="3" t="str">
        <f ca="1">IFERROR(__xludf.DUMMYFUNCTION("""COMPUTED_VALUE"""),"0338220918")</f>
        <v>0338220918</v>
      </c>
      <c r="K1789" s="2" t="str">
        <f ca="1">IFERROR(__xludf.DUMMYFUNCTION("""COMPUTED_VALUE"""),"1761190821058")</f>
        <v>1761190821058</v>
      </c>
    </row>
    <row r="1790" spans="1:11" ht="12.45">
      <c r="A1790" s="2" t="str">
        <f ca="1">IFERROR(__xludf.DUMMYFUNCTION("""COMPUTED_VALUE"""),"1761190862032")</f>
        <v>1761190862032</v>
      </c>
      <c r="B1790" s="2"/>
      <c r="C1790" s="2" t="str">
        <v>0</v>
      </c>
      <c r="D1790" s="2"/>
      <c r="F1790" s="2" t="str">
        <v>0</v>
      </c>
      <c r="I1790" s="2" t="str">
        <f ca="1">IFERROR(__xludf.DUMMYFUNCTION("""COMPUTED_VALUE"""),"Lê Diễm Quỳnh")</f>
        <v>Lê Diễm Quỳnh</v>
      </c>
      <c r="J1790" s="3" t="str">
        <f ca="1">IFERROR(__xludf.DUMMYFUNCTION("""COMPUTED_VALUE"""),"0868516266")</f>
        <v>0868516266</v>
      </c>
      <c r="K1790" s="2" t="str">
        <f ca="1">IFERROR(__xludf.DUMMYFUNCTION("""COMPUTED_VALUE"""),"1761190862032")</f>
        <v>1761190862032</v>
      </c>
    </row>
    <row r="1791" spans="1:11" ht="12.45">
      <c r="A1791" s="2" t="str">
        <f ca="1">IFERROR(__xludf.DUMMYFUNCTION("""COMPUTED_VALUE"""),"1761190897245")</f>
        <v>1761190897245</v>
      </c>
      <c r="B1791" s="2"/>
      <c r="C1791" s="2" t="str">
        <v>0</v>
      </c>
      <c r="D1791" s="2"/>
      <c r="F1791" s="2" t="str">
        <v>0</v>
      </c>
      <c r="I1791" s="2" t="str">
        <f ca="1">IFERROR(__xludf.DUMMYFUNCTION("""COMPUTED_VALUE"""),"Lê Minh Châu")</f>
        <v>Lê Minh Châu</v>
      </c>
      <c r="J1791" s="3" t="str">
        <f ca="1">IFERROR(__xludf.DUMMYFUNCTION("""COMPUTED_VALUE"""),"0962600706")</f>
        <v>0962600706</v>
      </c>
      <c r="K1791" s="2" t="str">
        <f ca="1">IFERROR(__xludf.DUMMYFUNCTION("""COMPUTED_VALUE"""),"1761190897245")</f>
        <v>1761190897245</v>
      </c>
    </row>
    <row r="1792" spans="1:11" ht="12.45">
      <c r="A1792" s="2" t="str">
        <f ca="1">IFERROR(__xludf.DUMMYFUNCTION("""COMPUTED_VALUE"""),"1761190942382")</f>
        <v>1761190942382</v>
      </c>
      <c r="B1792" s="2"/>
      <c r="C1792" s="2" t="str">
        <v>0</v>
      </c>
      <c r="D1792" s="2"/>
      <c r="F1792" s="2" t="str">
        <v>0</v>
      </c>
      <c r="I1792" s="2" t="str">
        <f ca="1">IFERROR(__xludf.DUMMYFUNCTION("""COMPUTED_VALUE"""),"Phạm Tú ni")</f>
        <v>Phạm Tú ni</v>
      </c>
      <c r="J1792" s="3" t="str">
        <f ca="1">IFERROR(__xludf.DUMMYFUNCTION("""COMPUTED_VALUE"""),"0965424239")</f>
        <v>0965424239</v>
      </c>
      <c r="K1792" s="2" t="str">
        <f ca="1">IFERROR(__xludf.DUMMYFUNCTION("""COMPUTED_VALUE"""),"1761190942382")</f>
        <v>1761190942382</v>
      </c>
    </row>
    <row r="1793" spans="1:11" ht="12.45">
      <c r="A1793" s="2" t="str">
        <f ca="1">IFERROR(__xludf.DUMMYFUNCTION("""COMPUTED_VALUE"""),"1761190991374")</f>
        <v>1761190991374</v>
      </c>
      <c r="B1793" s="2"/>
      <c r="C1793" s="2" t="str">
        <v>0</v>
      </c>
      <c r="D1793" s="2"/>
      <c r="F1793" s="2" t="str">
        <v>0</v>
      </c>
      <c r="I1793" s="2" t="str">
        <f ca="1">IFERROR(__xludf.DUMMYFUNCTION("""COMPUTED_VALUE"""),"Nguyễn Thị Diệu Huyền")</f>
        <v>Nguyễn Thị Diệu Huyền</v>
      </c>
      <c r="J1793" s="3" t="str">
        <f ca="1">IFERROR(__xludf.DUMMYFUNCTION("""COMPUTED_VALUE"""),"0768503859")</f>
        <v>0768503859</v>
      </c>
      <c r="K1793" s="2" t="str">
        <f ca="1">IFERROR(__xludf.DUMMYFUNCTION("""COMPUTED_VALUE"""),"1761190991374")</f>
        <v>1761190991374</v>
      </c>
    </row>
    <row r="1794" spans="1:11" ht="12.45">
      <c r="A1794" s="2" t="str">
        <f ca="1">IFERROR(__xludf.DUMMYFUNCTION("""COMPUTED_VALUE"""),"1761191028955")</f>
        <v>1761191028955</v>
      </c>
      <c r="B1794" s="2"/>
      <c r="C1794" s="2" t="str">
        <v>0</v>
      </c>
      <c r="D1794" s="2"/>
      <c r="F1794" s="2" t="str">
        <v>0</v>
      </c>
      <c r="I1794" s="2" t="str">
        <f ca="1">IFERROR(__xludf.DUMMYFUNCTION("""COMPUTED_VALUE"""),"Nguyễn Như Ý")</f>
        <v>Nguyễn Như Ý</v>
      </c>
      <c r="J1794" s="3" t="str">
        <f ca="1">IFERROR(__xludf.DUMMYFUNCTION("""COMPUTED_VALUE"""),"0917440611")</f>
        <v>0917440611</v>
      </c>
      <c r="K1794" s="2" t="str">
        <f ca="1">IFERROR(__xludf.DUMMYFUNCTION("""COMPUTED_VALUE"""),"1761191028955")</f>
        <v>1761191028955</v>
      </c>
    </row>
    <row r="1795" spans="1:11" ht="12.45">
      <c r="A1795" s="2" t="str">
        <f ca="1">IFERROR(__xludf.DUMMYFUNCTION("""COMPUTED_VALUE"""),"1761191062687")</f>
        <v>1761191062687</v>
      </c>
      <c r="B1795" s="2"/>
      <c r="C1795" s="2" t="str">
        <v>0</v>
      </c>
      <c r="D1795" s="2"/>
      <c r="F1795" s="2" t="str">
        <v>0</v>
      </c>
      <c r="I1795" s="2" t="str">
        <f ca="1">IFERROR(__xludf.DUMMYFUNCTION("""COMPUTED_VALUE"""),"Nguyễn Minh Ánh")</f>
        <v>Nguyễn Minh Ánh</v>
      </c>
      <c r="J1795" s="3" t="str">
        <f ca="1">IFERROR(__xludf.DUMMYFUNCTION("""COMPUTED_VALUE"""),"0332934640")</f>
        <v>0332934640</v>
      </c>
      <c r="K1795" s="2" t="str">
        <f ca="1">IFERROR(__xludf.DUMMYFUNCTION("""COMPUTED_VALUE"""),"1761191062687")</f>
        <v>1761191062687</v>
      </c>
    </row>
    <row r="1796" spans="1:11" ht="12.45">
      <c r="A1796" s="2" t="str">
        <f ca="1">IFERROR(__xludf.DUMMYFUNCTION("""COMPUTED_VALUE"""),"1761191114213")</f>
        <v>1761191114213</v>
      </c>
      <c r="B1796" s="2"/>
      <c r="C1796" s="2" t="str">
        <v>0</v>
      </c>
      <c r="D1796" s="2"/>
      <c r="F1796" s="2" t="str">
        <v>0</v>
      </c>
      <c r="I1796" s="2" t="str">
        <f ca="1">IFERROR(__xludf.DUMMYFUNCTION("""COMPUTED_VALUE"""),"Lê Thị Phương Thảo ")</f>
        <v xml:space="preserve">Lê Thị Phương Thảo </v>
      </c>
      <c r="J1796" s="3" t="str">
        <f ca="1">IFERROR(__xludf.DUMMYFUNCTION("""COMPUTED_VALUE"""),"0355370137")</f>
        <v>0355370137</v>
      </c>
      <c r="K1796" s="2" t="str">
        <f ca="1">IFERROR(__xludf.DUMMYFUNCTION("""COMPUTED_VALUE"""),"1761191114213")</f>
        <v>1761191114213</v>
      </c>
    </row>
    <row r="1797" spans="1:11" ht="12.45">
      <c r="A1797" s="2" t="str">
        <f ca="1">IFERROR(__xludf.DUMMYFUNCTION("""COMPUTED_VALUE"""),"1761191169710")</f>
        <v>1761191169710</v>
      </c>
      <c r="B1797" s="2"/>
      <c r="C1797" s="2" t="str">
        <v>0</v>
      </c>
      <c r="D1797" s="2"/>
      <c r="F1797" s="2" t="str">
        <v>0</v>
      </c>
      <c r="I1797" s="2" t="str">
        <f ca="1">IFERROR(__xludf.DUMMYFUNCTION("""COMPUTED_VALUE"""),"Nguyễn Thuỳ Linh")</f>
        <v>Nguyễn Thuỳ Linh</v>
      </c>
      <c r="J1797" s="3" t="str">
        <f ca="1">IFERROR(__xludf.DUMMYFUNCTION("""COMPUTED_VALUE"""),"0948363168")</f>
        <v>0948363168</v>
      </c>
      <c r="K1797" s="2" t="str">
        <f ca="1">IFERROR(__xludf.DUMMYFUNCTION("""COMPUTED_VALUE"""),"1761191169710")</f>
        <v>1761191169710</v>
      </c>
    </row>
    <row r="1798" spans="1:11" ht="12.45">
      <c r="A1798" s="2" t="str">
        <f ca="1">IFERROR(__xludf.DUMMYFUNCTION("""COMPUTED_VALUE"""),"1761191235294")</f>
        <v>1761191235294</v>
      </c>
      <c r="B1798" s="2"/>
      <c r="C1798" s="2" t="str">
        <v>0</v>
      </c>
      <c r="D1798" s="2"/>
      <c r="F1798" s="2" t="str">
        <v>0</v>
      </c>
      <c r="I1798" s="2" t="str">
        <f ca="1">IFERROR(__xludf.DUMMYFUNCTION("""COMPUTED_VALUE"""),"Bùi Minh Thư")</f>
        <v>Bùi Minh Thư</v>
      </c>
      <c r="J1798" s="3" t="str">
        <f ca="1">IFERROR(__xludf.DUMMYFUNCTION("""COMPUTED_VALUE"""),"0964796223")</f>
        <v>0964796223</v>
      </c>
      <c r="K1798" s="2" t="str">
        <f ca="1">IFERROR(__xludf.DUMMYFUNCTION("""COMPUTED_VALUE"""),"1761191235294")</f>
        <v>1761191235294</v>
      </c>
    </row>
    <row r="1799" spans="1:11" ht="12.45">
      <c r="A1799" s="2" t="str">
        <f ca="1">IFERROR(__xludf.DUMMYFUNCTION("""COMPUTED_VALUE"""),"1761191298549")</f>
        <v>1761191298549</v>
      </c>
      <c r="B1799" s="2"/>
      <c r="C1799" s="2" t="str">
        <v>0</v>
      </c>
      <c r="D1799" s="2"/>
      <c r="F1799" s="2" t="str">
        <v>0</v>
      </c>
      <c r="I1799" s="2" t="str">
        <f ca="1">IFERROR(__xludf.DUMMYFUNCTION("""COMPUTED_VALUE"""),"Bảo Ngọc ")</f>
        <v xml:space="preserve">Bảo Ngọc </v>
      </c>
      <c r="J1799" s="3" t="str">
        <f ca="1">IFERROR(__xludf.DUMMYFUNCTION("""COMPUTED_VALUE"""),"0348006708")</f>
        <v>0348006708</v>
      </c>
      <c r="K1799" s="2" t="str">
        <f ca="1">IFERROR(__xludf.DUMMYFUNCTION("""COMPUTED_VALUE"""),"1761191298549")</f>
        <v>1761191298549</v>
      </c>
    </row>
    <row r="1800" spans="1:11" ht="12.45">
      <c r="A1800" s="2" t="str">
        <f ca="1">IFERROR(__xludf.DUMMYFUNCTION("""COMPUTED_VALUE"""),"1761191341090")</f>
        <v>1761191341090</v>
      </c>
      <c r="B1800" s="2"/>
      <c r="C1800" s="2" t="str">
        <v>0</v>
      </c>
      <c r="D1800" s="2"/>
      <c r="F1800" s="2" t="str">
        <v>0</v>
      </c>
      <c r="I1800" s="2" t="str">
        <f ca="1">IFERROR(__xludf.DUMMYFUNCTION("""COMPUTED_VALUE"""),"hồ thị thuỳ linh ")</f>
        <v xml:space="preserve">hồ thị thuỳ linh </v>
      </c>
      <c r="J1800" s="3" t="str">
        <f ca="1">IFERROR(__xludf.DUMMYFUNCTION("""COMPUTED_VALUE"""),"0904089634")</f>
        <v>0904089634</v>
      </c>
      <c r="K1800" s="2" t="str">
        <f ca="1">IFERROR(__xludf.DUMMYFUNCTION("""COMPUTED_VALUE"""),"1761191341090")</f>
        <v>1761191341090</v>
      </c>
    </row>
    <row r="1801" spans="1:11" ht="12.45">
      <c r="A1801" s="2" t="str">
        <f ca="1">IFERROR(__xludf.DUMMYFUNCTION("""COMPUTED_VALUE"""),"1761191379506")</f>
        <v>1761191379506</v>
      </c>
      <c r="B1801" s="2"/>
      <c r="C1801" s="2" t="str">
        <v>0</v>
      </c>
      <c r="D1801" s="2"/>
      <c r="F1801" s="2" t="str">
        <v>0</v>
      </c>
      <c r="I1801" s="2" t="str">
        <f ca="1">IFERROR(__xludf.DUMMYFUNCTION("""COMPUTED_VALUE"""),"Nguyễn Kim Anh")</f>
        <v>Nguyễn Kim Anh</v>
      </c>
      <c r="J1801" s="3" t="str">
        <f ca="1">IFERROR(__xludf.DUMMYFUNCTION("""COMPUTED_VALUE"""),"0795057382")</f>
        <v>0795057382</v>
      </c>
      <c r="K1801" s="2" t="str">
        <f ca="1">IFERROR(__xludf.DUMMYFUNCTION("""COMPUTED_VALUE"""),"1761191379506")</f>
        <v>1761191379506</v>
      </c>
    </row>
    <row r="1802" spans="1:11" ht="12.45">
      <c r="A1802" s="2" t="str">
        <f ca="1">IFERROR(__xludf.DUMMYFUNCTION("""COMPUTED_VALUE"""),"1761191428661")</f>
        <v>1761191428661</v>
      </c>
      <c r="B1802" s="2"/>
      <c r="C1802" s="2" t="str">
        <v>0</v>
      </c>
      <c r="D1802" s="2"/>
      <c r="F1802" s="2" t="str">
        <v>0</v>
      </c>
      <c r="I1802" s="2" t="str">
        <f ca="1">IFERROR(__xludf.DUMMYFUNCTION("""COMPUTED_VALUE"""),"Đặng Thị Phương Nga ")</f>
        <v xml:space="preserve">Đặng Thị Phương Nga </v>
      </c>
      <c r="J1802" s="3" t="str">
        <f ca="1">IFERROR(__xludf.DUMMYFUNCTION("""COMPUTED_VALUE"""),"0828872955")</f>
        <v>0828872955</v>
      </c>
      <c r="K1802" s="2" t="str">
        <f ca="1">IFERROR(__xludf.DUMMYFUNCTION("""COMPUTED_VALUE"""),"1761191428661")</f>
        <v>1761191428661</v>
      </c>
    </row>
    <row r="1803" spans="1:11" ht="12.45">
      <c r="A1803" s="2" t="str">
        <f ca="1">IFERROR(__xludf.DUMMYFUNCTION("""COMPUTED_VALUE"""),"1761191478958")</f>
        <v>1761191478958</v>
      </c>
      <c r="B1803" s="2"/>
      <c r="C1803" s="2" t="str">
        <v>0</v>
      </c>
      <c r="D1803" s="2"/>
      <c r="F1803" s="2" t="str">
        <v>0</v>
      </c>
      <c r="I1803" s="2" t="str">
        <f ca="1">IFERROR(__xludf.DUMMYFUNCTION("""COMPUTED_VALUE"""),"Hoàng Ngọc Gia Trâm")</f>
        <v>Hoàng Ngọc Gia Trâm</v>
      </c>
      <c r="J1803" s="3" t="str">
        <f ca="1">IFERROR(__xludf.DUMMYFUNCTION("""COMPUTED_VALUE"""),"0386615452")</f>
        <v>0386615452</v>
      </c>
      <c r="K1803" s="2" t="str">
        <f ca="1">IFERROR(__xludf.DUMMYFUNCTION("""COMPUTED_VALUE"""),"1761191478958")</f>
        <v>1761191478958</v>
      </c>
    </row>
    <row r="1804" spans="1:11" ht="12.45">
      <c r="A1804" s="2" t="str">
        <f ca="1">IFERROR(__xludf.DUMMYFUNCTION("""COMPUTED_VALUE"""),"1761191526866")</f>
        <v>1761191526866</v>
      </c>
      <c r="B1804" s="2"/>
      <c r="C1804" s="2" t="str">
        <v>0</v>
      </c>
      <c r="D1804" s="2"/>
      <c r="F1804" s="2" t="str">
        <v>0</v>
      </c>
      <c r="I1804" s="2" t="str">
        <f ca="1">IFERROR(__xludf.DUMMYFUNCTION("""COMPUTED_VALUE"""),"Đào Văn Đạt")</f>
        <v>Đào Văn Đạt</v>
      </c>
      <c r="J1804" s="3" t="str">
        <f ca="1">IFERROR(__xludf.DUMMYFUNCTION("""COMPUTED_VALUE"""),"0357129217")</f>
        <v>0357129217</v>
      </c>
      <c r="K1804" s="2" t="str">
        <f ca="1">IFERROR(__xludf.DUMMYFUNCTION("""COMPUTED_VALUE"""),"1761191526866")</f>
        <v>1761191526866</v>
      </c>
    </row>
    <row r="1805" spans="1:11" ht="12.45">
      <c r="A1805" s="2" t="str">
        <f ca="1">IFERROR(__xludf.DUMMYFUNCTION("""COMPUTED_VALUE"""),"1761191575446")</f>
        <v>1761191575446</v>
      </c>
      <c r="B1805" s="2"/>
      <c r="C1805" s="2" t="str">
        <v>0</v>
      </c>
      <c r="D1805" s="2"/>
      <c r="F1805" s="2" t="str">
        <v>0</v>
      </c>
      <c r="I1805" s="2" t="str">
        <f ca="1">IFERROR(__xludf.DUMMYFUNCTION("""COMPUTED_VALUE"""),"Phùng Thế Khang")</f>
        <v>Phùng Thế Khang</v>
      </c>
      <c r="J1805" s="3" t="str">
        <f ca="1">IFERROR(__xludf.DUMMYFUNCTION("""COMPUTED_VALUE"""),"0974250607")</f>
        <v>0974250607</v>
      </c>
      <c r="K1805" s="2" t="str">
        <f ca="1">IFERROR(__xludf.DUMMYFUNCTION("""COMPUTED_VALUE"""),"1761191575446")</f>
        <v>1761191575446</v>
      </c>
    </row>
    <row r="1806" spans="1:11" ht="12.45">
      <c r="A1806" s="2" t="str">
        <f ca="1">IFERROR(__xludf.DUMMYFUNCTION("""COMPUTED_VALUE"""),"1761191617288")</f>
        <v>1761191617288</v>
      </c>
      <c r="B1806" s="2"/>
      <c r="C1806" s="2" t="str">
        <v>0</v>
      </c>
      <c r="D1806" s="2"/>
      <c r="F1806" s="2" t="str">
        <v>0</v>
      </c>
      <c r="I1806" s="2" t="str">
        <f ca="1">IFERROR(__xludf.DUMMYFUNCTION("""COMPUTED_VALUE"""),"Kiều Hoàng Dung")</f>
        <v>Kiều Hoàng Dung</v>
      </c>
      <c r="J1806" s="3" t="str">
        <f ca="1">IFERROR(__xludf.DUMMYFUNCTION("""COMPUTED_VALUE"""),"0343567461")</f>
        <v>0343567461</v>
      </c>
      <c r="K1806" s="2" t="str">
        <f ca="1">IFERROR(__xludf.DUMMYFUNCTION("""COMPUTED_VALUE"""),"1761191617288")</f>
        <v>1761191617288</v>
      </c>
    </row>
    <row r="1807" spans="1:11" ht="12.45">
      <c r="A1807" s="2" t="str">
        <f ca="1">IFERROR(__xludf.DUMMYFUNCTION("""COMPUTED_VALUE"""),"1761191661433")</f>
        <v>1761191661433</v>
      </c>
      <c r="B1807" s="2"/>
      <c r="C1807" s="2" t="str">
        <v>0</v>
      </c>
      <c r="D1807" s="2"/>
      <c r="F1807" s="2" t="str">
        <v>0</v>
      </c>
      <c r="I1807" s="2" t="str">
        <f ca="1">IFERROR(__xludf.DUMMYFUNCTION("""COMPUTED_VALUE"""),"Dương Việt Hoàng")</f>
        <v>Dương Việt Hoàng</v>
      </c>
      <c r="J1807" s="3" t="str">
        <f ca="1">IFERROR(__xludf.DUMMYFUNCTION("""COMPUTED_VALUE"""),"0356940383")</f>
        <v>0356940383</v>
      </c>
      <c r="K1807" s="2" t="str">
        <f ca="1">IFERROR(__xludf.DUMMYFUNCTION("""COMPUTED_VALUE"""),"1761191661433")</f>
        <v>1761191661433</v>
      </c>
    </row>
    <row r="1808" spans="1:11" ht="12.45">
      <c r="A1808" s="2" t="str">
        <f ca="1">IFERROR(__xludf.DUMMYFUNCTION("""COMPUTED_VALUE"""),"1761191703773")</f>
        <v>1761191703773</v>
      </c>
      <c r="B1808" s="2"/>
      <c r="C1808" s="2" t="str">
        <v>0</v>
      </c>
      <c r="D1808" s="2"/>
      <c r="F1808" s="2" t="str">
        <v>0</v>
      </c>
      <c r="I1808" s="2" t="str">
        <f ca="1">IFERROR(__xludf.DUMMYFUNCTION("""COMPUTED_VALUE"""),"Trần Tống Thuỳ Dương ")</f>
        <v xml:space="preserve">Trần Tống Thuỳ Dương </v>
      </c>
      <c r="J1808" s="3" t="str">
        <f ca="1">IFERROR(__xludf.DUMMYFUNCTION("""COMPUTED_VALUE"""),"0392095034")</f>
        <v>0392095034</v>
      </c>
      <c r="K1808" s="2" t="str">
        <f ca="1">IFERROR(__xludf.DUMMYFUNCTION("""COMPUTED_VALUE"""),"1761191703773")</f>
        <v>1761191703773</v>
      </c>
    </row>
    <row r="1809" spans="1:11" ht="12.45">
      <c r="A1809" s="2" t="str">
        <f ca="1">IFERROR(__xludf.DUMMYFUNCTION("""COMPUTED_VALUE"""),"1761191746661")</f>
        <v>1761191746661</v>
      </c>
      <c r="B1809" s="2"/>
      <c r="C1809" s="2" t="str">
        <v>0</v>
      </c>
      <c r="D1809" s="2"/>
      <c r="F1809" s="2" t="str">
        <v>0</v>
      </c>
      <c r="I1809" s="2" t="str">
        <f ca="1">IFERROR(__xludf.DUMMYFUNCTION("""COMPUTED_VALUE"""),"Lê Hà Vy")</f>
        <v>Lê Hà Vy</v>
      </c>
      <c r="J1809" s="3" t="str">
        <f ca="1">IFERROR(__xludf.DUMMYFUNCTION("""COMPUTED_VALUE"""),"0981416907")</f>
        <v>0981416907</v>
      </c>
      <c r="K1809" s="2" t="str">
        <f ca="1">IFERROR(__xludf.DUMMYFUNCTION("""COMPUTED_VALUE"""),"1761191746661")</f>
        <v>1761191746661</v>
      </c>
    </row>
    <row r="1810" spans="1:11" ht="12.45">
      <c r="A1810" s="2" t="str">
        <f ca="1">IFERROR(__xludf.DUMMYFUNCTION("""COMPUTED_VALUE"""),"1761191812733")</f>
        <v>1761191812733</v>
      </c>
      <c r="B1810" s="2"/>
      <c r="C1810" s="2" t="str">
        <v>0</v>
      </c>
      <c r="D1810" s="2"/>
      <c r="F1810" s="2" t="str">
        <v>0</v>
      </c>
      <c r="I1810" s="2" t="str">
        <f ca="1">IFERROR(__xludf.DUMMYFUNCTION("""COMPUTED_VALUE"""),"Nguyễn Phương Linh")</f>
        <v>Nguyễn Phương Linh</v>
      </c>
      <c r="J1810" s="3" t="str">
        <f ca="1">IFERROR(__xludf.DUMMYFUNCTION("""COMPUTED_VALUE"""),"0966669960")</f>
        <v>0966669960</v>
      </c>
      <c r="K1810" s="2" t="str">
        <f ca="1">IFERROR(__xludf.DUMMYFUNCTION("""COMPUTED_VALUE"""),"1761191812733")</f>
        <v>1761191812733</v>
      </c>
    </row>
    <row r="1811" spans="1:11" ht="12.45">
      <c r="A1811" s="2" t="str">
        <f ca="1">IFERROR(__xludf.DUMMYFUNCTION("""COMPUTED_VALUE"""),"1761191877505")</f>
        <v>1761191877505</v>
      </c>
      <c r="B1811" s="2"/>
      <c r="C1811" s="2" t="str">
        <v>0</v>
      </c>
      <c r="D1811" s="2"/>
      <c r="F1811" s="2" t="str">
        <v>0</v>
      </c>
      <c r="I1811" s="2" t="str">
        <f ca="1">IFERROR(__xludf.DUMMYFUNCTION("""COMPUTED_VALUE"""),"Lê Phương Quỳnh Như")</f>
        <v>Lê Phương Quỳnh Như</v>
      </c>
      <c r="J1811" s="3" t="str">
        <f ca="1">IFERROR(__xludf.DUMMYFUNCTION("""COMPUTED_VALUE"""),"0971824211")</f>
        <v>0971824211</v>
      </c>
      <c r="K1811" s="2" t="str">
        <f ca="1">IFERROR(__xludf.DUMMYFUNCTION("""COMPUTED_VALUE"""),"1761191877505")</f>
        <v>1761191877505</v>
      </c>
    </row>
    <row r="1812" spans="1:11" ht="12.45">
      <c r="A1812" s="2" t="str">
        <f ca="1">IFERROR(__xludf.DUMMYFUNCTION("""COMPUTED_VALUE"""),"1761191923697")</f>
        <v>1761191923697</v>
      </c>
      <c r="B1812" s="2"/>
      <c r="C1812" s="2" t="str">
        <v>0</v>
      </c>
      <c r="D1812" s="2"/>
      <c r="F1812" s="2" t="str">
        <v>0</v>
      </c>
      <c r="I1812" s="2" t="str">
        <f ca="1">IFERROR(__xludf.DUMMYFUNCTION("""COMPUTED_VALUE"""),"Phạm Quỳnh Hương ")</f>
        <v xml:space="preserve">Phạm Quỳnh Hương </v>
      </c>
      <c r="J1812" s="3" t="str">
        <f ca="1">IFERROR(__xludf.DUMMYFUNCTION("""COMPUTED_VALUE"""),"0793372262")</f>
        <v>0793372262</v>
      </c>
      <c r="K1812" s="2" t="str">
        <f ca="1">IFERROR(__xludf.DUMMYFUNCTION("""COMPUTED_VALUE"""),"1761191923697")</f>
        <v>1761191923697</v>
      </c>
    </row>
    <row r="1813" spans="1:11" ht="12.45">
      <c r="A1813" s="2" t="str">
        <f ca="1">IFERROR(__xludf.DUMMYFUNCTION("""COMPUTED_VALUE"""),"1761191967394")</f>
        <v>1761191967394</v>
      </c>
      <c r="B1813" s="2"/>
      <c r="C1813" s="2" t="str">
        <v>0</v>
      </c>
      <c r="D1813" s="2"/>
      <c r="F1813" s="2" t="str">
        <v>0</v>
      </c>
      <c r="I1813" s="2" t="str">
        <f ca="1">IFERROR(__xludf.DUMMYFUNCTION("""COMPUTED_VALUE"""),"Hoàng Trà My ")</f>
        <v xml:space="preserve">Hoàng Trà My </v>
      </c>
      <c r="J1813" s="3" t="str">
        <f ca="1">IFERROR(__xludf.DUMMYFUNCTION("""COMPUTED_VALUE"""),"0857119737")</f>
        <v>0857119737</v>
      </c>
      <c r="K1813" s="2" t="str">
        <f ca="1">IFERROR(__xludf.DUMMYFUNCTION("""COMPUTED_VALUE"""),"1761191967394")</f>
        <v>1761191967394</v>
      </c>
    </row>
    <row r="1814" spans="1:11" ht="12.45">
      <c r="A1814" s="2" t="str">
        <f ca="1">IFERROR(__xludf.DUMMYFUNCTION("""COMPUTED_VALUE"""),"1761192027083")</f>
        <v>1761192027083</v>
      </c>
      <c r="B1814" s="2"/>
      <c r="C1814" s="2" t="str">
        <v>0</v>
      </c>
      <c r="D1814" s="2"/>
      <c r="F1814" s="2" t="str">
        <v>0</v>
      </c>
      <c r="I1814" s="2" t="str">
        <f ca="1">IFERROR(__xludf.DUMMYFUNCTION("""COMPUTED_VALUE"""),"Nguyễn Trúc Linh")</f>
        <v>Nguyễn Trúc Linh</v>
      </c>
      <c r="J1814" s="3" t="str">
        <f ca="1">IFERROR(__xludf.DUMMYFUNCTION("""COMPUTED_VALUE"""),"0911015692")</f>
        <v>0911015692</v>
      </c>
      <c r="K1814" s="2" t="str">
        <f ca="1">IFERROR(__xludf.DUMMYFUNCTION("""COMPUTED_VALUE"""),"1761192027083")</f>
        <v>1761192027083</v>
      </c>
    </row>
    <row r="1815" spans="1:11" ht="12.45">
      <c r="A1815" s="2" t="str">
        <f ca="1">IFERROR(__xludf.DUMMYFUNCTION("""COMPUTED_VALUE"""),"1761192075834")</f>
        <v>1761192075834</v>
      </c>
      <c r="B1815" s="2"/>
      <c r="C1815" s="2" t="str">
        <v>0</v>
      </c>
      <c r="D1815" s="2"/>
      <c r="F1815" s="2" t="str">
        <v>0</v>
      </c>
      <c r="I1815" s="2" t="str">
        <f ca="1">IFERROR(__xludf.DUMMYFUNCTION("""COMPUTED_VALUE"""),"Nguyễn Trần Ni Na ")</f>
        <v xml:space="preserve">Nguyễn Trần Ni Na </v>
      </c>
      <c r="J1815" s="3" t="str">
        <f ca="1">IFERROR(__xludf.DUMMYFUNCTION("""COMPUTED_VALUE"""),"0905650479")</f>
        <v>0905650479</v>
      </c>
      <c r="K1815" s="2" t="str">
        <f ca="1">IFERROR(__xludf.DUMMYFUNCTION("""COMPUTED_VALUE"""),"1761192075834")</f>
        <v>1761192075834</v>
      </c>
    </row>
    <row r="1816" spans="1:11" ht="12.45">
      <c r="A1816" s="2" t="str">
        <f ca="1">IFERROR(__xludf.DUMMYFUNCTION("""COMPUTED_VALUE"""),"1761192142617")</f>
        <v>1761192142617</v>
      </c>
      <c r="B1816" s="2"/>
      <c r="C1816" s="2" t="str">
        <v>0</v>
      </c>
      <c r="D1816" s="2"/>
      <c r="F1816" s="2" t="str">
        <v>0</v>
      </c>
      <c r="I1816" s="2" t="str">
        <f ca="1">IFERROR(__xludf.DUMMYFUNCTION("""COMPUTED_VALUE"""),"Nguyễn Kiều Anh")</f>
        <v>Nguyễn Kiều Anh</v>
      </c>
      <c r="J1816" s="3" t="str">
        <f ca="1">IFERROR(__xludf.DUMMYFUNCTION("""COMPUTED_VALUE"""),"0989714506")</f>
        <v>0989714506</v>
      </c>
      <c r="K1816" s="2" t="str">
        <f ca="1">IFERROR(__xludf.DUMMYFUNCTION("""COMPUTED_VALUE"""),"1761192142617")</f>
        <v>1761192142617</v>
      </c>
    </row>
    <row r="1817" spans="1:11" ht="12.45">
      <c r="A1817" s="2" t="str">
        <f ca="1">IFERROR(__xludf.DUMMYFUNCTION("""COMPUTED_VALUE"""),"1761192181351")</f>
        <v>1761192181351</v>
      </c>
      <c r="B1817" s="2"/>
      <c r="C1817" s="2" t="str">
        <v>0</v>
      </c>
      <c r="D1817" s="2"/>
      <c r="F1817" s="2" t="str">
        <v>0</v>
      </c>
      <c r="I1817" s="2" t="str">
        <f ca="1">IFERROR(__xludf.DUMMYFUNCTION("""COMPUTED_VALUE"""),"Đỗ Duy Thái")</f>
        <v>Đỗ Duy Thái</v>
      </c>
      <c r="J1817" s="3" t="str">
        <f ca="1">IFERROR(__xludf.DUMMYFUNCTION("""COMPUTED_VALUE"""),"0386774253")</f>
        <v>0386774253</v>
      </c>
      <c r="K1817" s="2" t="str">
        <f ca="1">IFERROR(__xludf.DUMMYFUNCTION("""COMPUTED_VALUE"""),"1761192181351")</f>
        <v>1761192181351</v>
      </c>
    </row>
    <row r="1818" spans="1:11" ht="12.45">
      <c r="A1818" s="2" t="str">
        <f ca="1">IFERROR(__xludf.DUMMYFUNCTION("""COMPUTED_VALUE"""),"1761192219927")</f>
        <v>1761192219927</v>
      </c>
      <c r="B1818" s="2"/>
      <c r="C1818" s="2" t="str">
        <v>0</v>
      </c>
      <c r="D1818" s="2"/>
      <c r="F1818" s="2" t="str">
        <v>0</v>
      </c>
      <c r="I1818" s="2" t="str">
        <f ca="1">IFERROR(__xludf.DUMMYFUNCTION("""COMPUTED_VALUE"""),"Lê Ngọc Minh Tâm.")</f>
        <v>Lê Ngọc Minh Tâm.</v>
      </c>
      <c r="J1818" s="3" t="str">
        <f ca="1">IFERROR(__xludf.DUMMYFUNCTION("""COMPUTED_VALUE"""),"0849900307")</f>
        <v>0849900307</v>
      </c>
      <c r="K1818" s="2" t="str">
        <f ca="1">IFERROR(__xludf.DUMMYFUNCTION("""COMPUTED_VALUE"""),"1761192219927")</f>
        <v>1761192219927</v>
      </c>
    </row>
    <row r="1819" spans="1:11" ht="12.45">
      <c r="A1819" s="2" t="str">
        <f ca="1">IFERROR(__xludf.DUMMYFUNCTION("""COMPUTED_VALUE"""),"1761192263563")</f>
        <v>1761192263563</v>
      </c>
      <c r="B1819" s="2"/>
      <c r="C1819" s="2" t="str">
        <v>0</v>
      </c>
      <c r="D1819" s="2"/>
      <c r="F1819" s="2" t="str">
        <v>0</v>
      </c>
      <c r="I1819" s="2" t="str">
        <f ca="1">IFERROR(__xludf.DUMMYFUNCTION("""COMPUTED_VALUE"""),"Nguyễn Thúy Hiền ")</f>
        <v xml:space="preserve">Nguyễn Thúy Hiền </v>
      </c>
      <c r="J1819" s="3" t="str">
        <f ca="1">IFERROR(__xludf.DUMMYFUNCTION("""COMPUTED_VALUE"""),"0374011473")</f>
        <v>0374011473</v>
      </c>
      <c r="K1819" s="2" t="str">
        <f ca="1">IFERROR(__xludf.DUMMYFUNCTION("""COMPUTED_VALUE"""),"1761192263563")</f>
        <v>1761192263563</v>
      </c>
    </row>
    <row r="1820" spans="1:11" ht="12.45">
      <c r="A1820" s="2" t="str">
        <f ca="1">IFERROR(__xludf.DUMMYFUNCTION("""COMPUTED_VALUE"""),"1761192308602")</f>
        <v>1761192308602</v>
      </c>
      <c r="B1820" s="2"/>
      <c r="C1820" s="2" t="str">
        <v>0</v>
      </c>
      <c r="D1820" s="2"/>
      <c r="F1820" s="2" t="str">
        <v>0</v>
      </c>
      <c r="I1820" s="2" t="str">
        <f ca="1">IFERROR(__xludf.DUMMYFUNCTION("""COMPUTED_VALUE"""),"Nguyễn Thị Anh Thư ")</f>
        <v xml:space="preserve">Nguyễn Thị Anh Thư </v>
      </c>
      <c r="J1820" s="3" t="str">
        <f ca="1">IFERROR(__xludf.DUMMYFUNCTION("""COMPUTED_VALUE"""),"0392571411")</f>
        <v>0392571411</v>
      </c>
      <c r="K1820" s="2" t="str">
        <f ca="1">IFERROR(__xludf.DUMMYFUNCTION("""COMPUTED_VALUE"""),"1761192308602")</f>
        <v>1761192308602</v>
      </c>
    </row>
    <row r="1821" spans="1:11" ht="12.45">
      <c r="A1821" s="2" t="str">
        <f ca="1">IFERROR(__xludf.DUMMYFUNCTION("""COMPUTED_VALUE"""),"1761192339762")</f>
        <v>1761192339762</v>
      </c>
      <c r="B1821" s="2"/>
      <c r="C1821" s="2" t="str">
        <v>0</v>
      </c>
      <c r="D1821" s="2"/>
      <c r="F1821" s="2" t="str">
        <v>0</v>
      </c>
      <c r="I1821" s="2" t="str">
        <f ca="1">IFERROR(__xludf.DUMMYFUNCTION("""COMPUTED_VALUE"""),"Vũ Thị Khánh Linh")</f>
        <v>Vũ Thị Khánh Linh</v>
      </c>
      <c r="J1821" s="3" t="str">
        <f ca="1">IFERROR(__xludf.DUMMYFUNCTION("""COMPUTED_VALUE"""),"0867632528")</f>
        <v>0867632528</v>
      </c>
      <c r="K1821" s="2" t="str">
        <f ca="1">IFERROR(__xludf.DUMMYFUNCTION("""COMPUTED_VALUE"""),"1761192339762")</f>
        <v>1761192339762</v>
      </c>
    </row>
    <row r="1822" spans="1:11" ht="12.45">
      <c r="A1822" s="2" t="str">
        <f ca="1">IFERROR(__xludf.DUMMYFUNCTION("""COMPUTED_VALUE"""),"1761192389189")</f>
        <v>1761192389189</v>
      </c>
      <c r="B1822" s="2"/>
      <c r="C1822" s="2" t="str">
        <v>0</v>
      </c>
      <c r="D1822" s="2"/>
      <c r="F1822" s="2" t="str">
        <v>0</v>
      </c>
      <c r="I1822" s="2" t="str">
        <f ca="1">IFERROR(__xludf.DUMMYFUNCTION("""COMPUTED_VALUE"""),"Ngô Cẩm Đào")</f>
        <v>Ngô Cẩm Đào</v>
      </c>
      <c r="J1822" s="3" t="str">
        <f ca="1">IFERROR(__xludf.DUMMYFUNCTION("""COMPUTED_VALUE"""),"0367193190")</f>
        <v>0367193190</v>
      </c>
      <c r="K1822" s="2" t="str">
        <f ca="1">IFERROR(__xludf.DUMMYFUNCTION("""COMPUTED_VALUE"""),"1761192389189")</f>
        <v>1761192389189</v>
      </c>
    </row>
    <row r="1823" spans="1:11" ht="12.45">
      <c r="A1823" s="2" t="str">
        <f ca="1">IFERROR(__xludf.DUMMYFUNCTION("""COMPUTED_VALUE"""),"1761192444504")</f>
        <v>1761192444504</v>
      </c>
      <c r="B1823" s="2"/>
      <c r="C1823" s="2" t="str">
        <v>0</v>
      </c>
      <c r="D1823" s="2"/>
      <c r="F1823" s="2" t="str">
        <v>0</v>
      </c>
      <c r="I1823" s="2" t="str">
        <f ca="1">IFERROR(__xludf.DUMMYFUNCTION("""COMPUTED_VALUE"""),"Dương Huỳnh Trúc Phương")</f>
        <v>Dương Huỳnh Trúc Phương</v>
      </c>
      <c r="J1823" s="3" t="str">
        <f ca="1">IFERROR(__xludf.DUMMYFUNCTION("""COMPUTED_VALUE"""),"0702605819")</f>
        <v>0702605819</v>
      </c>
      <c r="K1823" s="2" t="str">
        <f ca="1">IFERROR(__xludf.DUMMYFUNCTION("""COMPUTED_VALUE"""),"1761192444504")</f>
        <v>1761192444504</v>
      </c>
    </row>
    <row r="1824" spans="1:11" ht="12.45">
      <c r="A1824" s="2" t="str">
        <f ca="1">IFERROR(__xludf.DUMMYFUNCTION("""COMPUTED_VALUE"""),"1761192479763")</f>
        <v>1761192479763</v>
      </c>
      <c r="B1824" s="2"/>
      <c r="C1824" s="2" t="str">
        <v>0</v>
      </c>
      <c r="D1824" s="2"/>
      <c r="F1824" s="2" t="str">
        <v>0</v>
      </c>
      <c r="I1824" s="2" t="str">
        <f ca="1">IFERROR(__xludf.DUMMYFUNCTION("""COMPUTED_VALUE"""),"Tạ Thị Ngọc Ánh")</f>
        <v>Tạ Thị Ngọc Ánh</v>
      </c>
      <c r="J1824" s="3" t="str">
        <f ca="1">IFERROR(__xludf.DUMMYFUNCTION("""COMPUTED_VALUE"""),"0969164938")</f>
        <v>0969164938</v>
      </c>
      <c r="K1824" s="2" t="str">
        <f ca="1">IFERROR(__xludf.DUMMYFUNCTION("""COMPUTED_VALUE"""),"1761192479763")</f>
        <v>1761192479763</v>
      </c>
    </row>
    <row r="1825" spans="1:11" ht="12.45">
      <c r="A1825" s="2" t="str">
        <f ca="1">IFERROR(__xludf.DUMMYFUNCTION("""COMPUTED_VALUE"""),"1761192513917")</f>
        <v>1761192513917</v>
      </c>
      <c r="B1825" s="2"/>
      <c r="C1825" s="2" t="str">
        <v>0</v>
      </c>
      <c r="D1825" s="2"/>
      <c r="F1825" s="2" t="str">
        <v>0</v>
      </c>
      <c r="I1825" s="2" t="str">
        <f ca="1">IFERROR(__xludf.DUMMYFUNCTION("""COMPUTED_VALUE"""),"Nguyễn Ngọc Quỳnh Anh")</f>
        <v>Nguyễn Ngọc Quỳnh Anh</v>
      </c>
      <c r="J1825" s="3" t="str">
        <f ca="1">IFERROR(__xludf.DUMMYFUNCTION("""COMPUTED_VALUE"""),"0352857721")</f>
        <v>0352857721</v>
      </c>
      <c r="K1825" s="2" t="str">
        <f ca="1">IFERROR(__xludf.DUMMYFUNCTION("""COMPUTED_VALUE"""),"1761192513917")</f>
        <v>1761192513917</v>
      </c>
    </row>
    <row r="1826" spans="1:11" ht="12.45">
      <c r="A1826" s="2" t="str">
        <f ca="1">IFERROR(__xludf.DUMMYFUNCTION("""COMPUTED_VALUE"""),"1761192556993")</f>
        <v>1761192556993</v>
      </c>
      <c r="B1826" s="2"/>
      <c r="C1826" s="2" t="str">
        <v>0</v>
      </c>
      <c r="D1826" s="2"/>
      <c r="F1826" s="2" t="str">
        <v>0</v>
      </c>
      <c r="I1826" s="2" t="str">
        <f ca="1">IFERROR(__xludf.DUMMYFUNCTION("""COMPUTED_VALUE"""),"Phan Thùy Trang ")</f>
        <v xml:space="preserve">Phan Thùy Trang </v>
      </c>
      <c r="J1826" s="3" t="str">
        <f ca="1">IFERROR(__xludf.DUMMYFUNCTION("""COMPUTED_VALUE"""),"0854583511")</f>
        <v>0854583511</v>
      </c>
      <c r="K1826" s="2" t="str">
        <f ca="1">IFERROR(__xludf.DUMMYFUNCTION("""COMPUTED_VALUE"""),"1761192556993")</f>
        <v>1761192556993</v>
      </c>
    </row>
    <row r="1827" spans="1:11" ht="12.45">
      <c r="A1827" s="2" t="str">
        <f ca="1">IFERROR(__xludf.DUMMYFUNCTION("""COMPUTED_VALUE"""),"1761192592803")</f>
        <v>1761192592803</v>
      </c>
      <c r="B1827" s="2"/>
      <c r="C1827" s="2" t="str">
        <v>0</v>
      </c>
      <c r="D1827" s="2"/>
      <c r="F1827" s="2" t="str">
        <v>0</v>
      </c>
      <c r="I1827" s="2" t="str">
        <f ca="1">IFERROR(__xludf.DUMMYFUNCTION("""COMPUTED_VALUE"""),"TRỊNH LƯU PHƯƠNG ANH")</f>
        <v>TRỊNH LƯU PHƯƠNG ANH</v>
      </c>
      <c r="J1827" s="3" t="str">
        <f ca="1">IFERROR(__xludf.DUMMYFUNCTION("""COMPUTED_VALUE"""),"0943822759")</f>
        <v>0943822759</v>
      </c>
      <c r="K1827" s="2" t="str">
        <f ca="1">IFERROR(__xludf.DUMMYFUNCTION("""COMPUTED_VALUE"""),"1761192592803")</f>
        <v>1761192592803</v>
      </c>
    </row>
    <row r="1828" spans="1:11" ht="12.45">
      <c r="A1828" s="2" t="str">
        <f ca="1">IFERROR(__xludf.DUMMYFUNCTION("""COMPUTED_VALUE"""),"1761192622230")</f>
        <v>1761192622230</v>
      </c>
      <c r="B1828" s="2"/>
      <c r="C1828" s="2" t="str">
        <v>0</v>
      </c>
      <c r="D1828" s="2"/>
      <c r="F1828" s="2" t="str">
        <v>0</v>
      </c>
      <c r="I1828" s="2" t="str">
        <f ca="1">IFERROR(__xludf.DUMMYFUNCTION("""COMPUTED_VALUE"""),"Nguyễn Dương Kim Ngân")</f>
        <v>Nguyễn Dương Kim Ngân</v>
      </c>
      <c r="J1828" s="3" t="str">
        <f ca="1">IFERROR(__xludf.DUMMYFUNCTION("""COMPUTED_VALUE"""),"0377397677")</f>
        <v>0377397677</v>
      </c>
      <c r="K1828" s="2" t="str">
        <f ca="1">IFERROR(__xludf.DUMMYFUNCTION("""COMPUTED_VALUE"""),"1761192622230")</f>
        <v>1761192622230</v>
      </c>
    </row>
    <row r="1829" spans="1:11" ht="12.45">
      <c r="A1829" s="2" t="str">
        <f ca="1">IFERROR(__xludf.DUMMYFUNCTION("""COMPUTED_VALUE"""),"1761192668545")</f>
        <v>1761192668545</v>
      </c>
      <c r="B1829" s="2"/>
      <c r="C1829" s="2" t="str">
        <v>0</v>
      </c>
      <c r="D1829" s="2"/>
      <c r="F1829" s="2" t="str">
        <v>0</v>
      </c>
      <c r="I1829" s="2" t="str">
        <f ca="1">IFERROR(__xludf.DUMMYFUNCTION("""COMPUTED_VALUE"""),"Nguyễn Thị Kim Dung ")</f>
        <v xml:space="preserve">Nguyễn Thị Kim Dung </v>
      </c>
      <c r="J1829" s="3" t="str">
        <f ca="1">IFERROR(__xludf.DUMMYFUNCTION("""COMPUTED_VALUE"""),"0365131870")</f>
        <v>0365131870</v>
      </c>
      <c r="K1829" s="2" t="str">
        <f ca="1">IFERROR(__xludf.DUMMYFUNCTION("""COMPUTED_VALUE"""),"1761192668545")</f>
        <v>1761192668545</v>
      </c>
    </row>
    <row r="1830" spans="1:11" ht="12.45">
      <c r="A1830" s="2" t="str">
        <f ca="1">IFERROR(__xludf.DUMMYFUNCTION("""COMPUTED_VALUE"""),"1761192710375")</f>
        <v>1761192710375</v>
      </c>
      <c r="B1830" s="2"/>
      <c r="C1830" s="2" t="str">
        <v>0</v>
      </c>
      <c r="D1830" s="2"/>
      <c r="F1830" s="2" t="str">
        <v>0</v>
      </c>
      <c r="I1830" s="2" t="str">
        <f ca="1">IFERROR(__xludf.DUMMYFUNCTION("""COMPUTED_VALUE"""),"Đào Như Thảo")</f>
        <v>Đào Như Thảo</v>
      </c>
      <c r="J1830" s="3" t="str">
        <f ca="1">IFERROR(__xludf.DUMMYFUNCTION("""COMPUTED_VALUE"""),"0325487553")</f>
        <v>0325487553</v>
      </c>
      <c r="K1830" s="2" t="str">
        <f ca="1">IFERROR(__xludf.DUMMYFUNCTION("""COMPUTED_VALUE"""),"1761192710375")</f>
        <v>1761192710375</v>
      </c>
    </row>
    <row r="1831" spans="1:11" ht="12.45">
      <c r="A1831" s="2" t="str">
        <f ca="1">IFERROR(__xludf.DUMMYFUNCTION("""COMPUTED_VALUE"""),"1761192750777")</f>
        <v>1761192750777</v>
      </c>
      <c r="B1831" s="2"/>
      <c r="C1831" s="2" t="str">
        <v>0</v>
      </c>
      <c r="D1831" s="2"/>
      <c r="F1831" s="2" t="str">
        <v>0</v>
      </c>
      <c r="I1831" s="2" t="str">
        <f ca="1">IFERROR(__xludf.DUMMYFUNCTION("""COMPUTED_VALUE"""),"Trần Thị Khánh Ngọc")</f>
        <v>Trần Thị Khánh Ngọc</v>
      </c>
      <c r="J1831" s="3" t="str">
        <f ca="1">IFERROR(__xludf.DUMMYFUNCTION("""COMPUTED_VALUE"""),"0359285444")</f>
        <v>0359285444</v>
      </c>
      <c r="K1831" s="2" t="str">
        <f ca="1">IFERROR(__xludf.DUMMYFUNCTION("""COMPUTED_VALUE"""),"1761192750777")</f>
        <v>1761192750777</v>
      </c>
    </row>
    <row r="1832" spans="1:11" ht="12.45">
      <c r="A1832" s="2" t="str">
        <f ca="1">IFERROR(__xludf.DUMMYFUNCTION("""COMPUTED_VALUE"""),"1761192789737")</f>
        <v>1761192789737</v>
      </c>
      <c r="B1832" s="2"/>
      <c r="C1832" s="2" t="str">
        <v>0</v>
      </c>
      <c r="D1832" s="2"/>
      <c r="F1832" s="2" t="str">
        <v>0</v>
      </c>
      <c r="I1832" s="2" t="str">
        <f ca="1">IFERROR(__xludf.DUMMYFUNCTION("""COMPUTED_VALUE"""),"Phạm Thu Thuỷ")</f>
        <v>Phạm Thu Thuỷ</v>
      </c>
      <c r="J1832" s="3" t="str">
        <f ca="1">IFERROR(__xludf.DUMMYFUNCTION("""COMPUTED_VALUE"""),"0397836742")</f>
        <v>0397836742</v>
      </c>
      <c r="K1832" s="2" t="str">
        <f ca="1">IFERROR(__xludf.DUMMYFUNCTION("""COMPUTED_VALUE"""),"1761192789737")</f>
        <v>1761192789737</v>
      </c>
    </row>
    <row r="1833" spans="1:11" ht="12.45">
      <c r="A1833" s="2" t="str">
        <f ca="1">IFERROR(__xludf.DUMMYFUNCTION("""COMPUTED_VALUE"""),"1761192830322")</f>
        <v>1761192830322</v>
      </c>
      <c r="B1833" s="2"/>
      <c r="C1833" s="2" t="str">
        <v>0</v>
      </c>
      <c r="D1833" s="2"/>
      <c r="F1833" s="2" t="str">
        <v>0</v>
      </c>
      <c r="I1833" s="2" t="str">
        <f ca="1">IFERROR(__xludf.DUMMYFUNCTION("""COMPUTED_VALUE"""),"Phạm Đình Khánh Đăng")</f>
        <v>Phạm Đình Khánh Đăng</v>
      </c>
      <c r="J1833" s="3" t="str">
        <f ca="1">IFERROR(__xludf.DUMMYFUNCTION("""COMPUTED_VALUE"""),"0943005614")</f>
        <v>0943005614</v>
      </c>
      <c r="K1833" s="2" t="str">
        <f ca="1">IFERROR(__xludf.DUMMYFUNCTION("""COMPUTED_VALUE"""),"1761192830322")</f>
        <v>1761192830322</v>
      </c>
    </row>
    <row r="1834" spans="1:11" ht="12.45">
      <c r="A1834" s="2" t="str">
        <f ca="1">IFERROR(__xludf.DUMMYFUNCTION("""COMPUTED_VALUE"""),"1761192871060")</f>
        <v>1761192871060</v>
      </c>
      <c r="B1834" s="2"/>
      <c r="C1834" s="2" t="str">
        <v>0</v>
      </c>
      <c r="D1834" s="2"/>
      <c r="F1834" s="2" t="str">
        <v>0</v>
      </c>
      <c r="I1834" s="2" t="str">
        <f ca="1">IFERROR(__xludf.DUMMYFUNCTION("""COMPUTED_VALUE"""),"Nguyễn Hà Vy")</f>
        <v>Nguyễn Hà Vy</v>
      </c>
      <c r="J1834" s="3" t="str">
        <f ca="1">IFERROR(__xludf.DUMMYFUNCTION("""COMPUTED_VALUE"""),"0973257015")</f>
        <v>0973257015</v>
      </c>
      <c r="K1834" s="2" t="str">
        <f ca="1">IFERROR(__xludf.DUMMYFUNCTION("""COMPUTED_VALUE"""),"1761192871060")</f>
        <v>1761192871060</v>
      </c>
    </row>
    <row r="1835" spans="1:11" ht="12.45">
      <c r="A1835" s="2" t="str">
        <f ca="1">IFERROR(__xludf.DUMMYFUNCTION("""COMPUTED_VALUE"""),"1761192902258")</f>
        <v>1761192902258</v>
      </c>
      <c r="B1835" s="2"/>
      <c r="C1835" s="2" t="str">
        <v>0</v>
      </c>
      <c r="D1835" s="2"/>
      <c r="F1835" s="2" t="str">
        <v>0</v>
      </c>
      <c r="I1835" s="2" t="str">
        <f ca="1">IFERROR(__xludf.DUMMYFUNCTION("""COMPUTED_VALUE"""),"Dương Thanh Thảo")</f>
        <v>Dương Thanh Thảo</v>
      </c>
      <c r="J1835" s="3" t="str">
        <f ca="1">IFERROR(__xludf.DUMMYFUNCTION("""COMPUTED_VALUE"""),"0968961810")</f>
        <v>0968961810</v>
      </c>
      <c r="K1835" s="2" t="str">
        <f ca="1">IFERROR(__xludf.DUMMYFUNCTION("""COMPUTED_VALUE"""),"1761192902258")</f>
        <v>1761192902258</v>
      </c>
    </row>
    <row r="1836" spans="1:11" ht="12.45">
      <c r="A1836" s="2" t="str">
        <f ca="1">IFERROR(__xludf.DUMMYFUNCTION("""COMPUTED_VALUE"""),"1761192950032")</f>
        <v>1761192950032</v>
      </c>
      <c r="B1836" s="2"/>
      <c r="C1836" s="2" t="str">
        <v>0</v>
      </c>
      <c r="D1836" s="2"/>
      <c r="F1836" s="2" t="str">
        <v>0</v>
      </c>
      <c r="I1836" s="2" t="str">
        <f ca="1">IFERROR(__xludf.DUMMYFUNCTION("""COMPUTED_VALUE"""),"Ngô Thị Trà")</f>
        <v>Ngô Thị Trà</v>
      </c>
      <c r="J1836" s="3" t="str">
        <f ca="1">IFERROR(__xludf.DUMMYFUNCTION("""COMPUTED_VALUE"""),"0961613520")</f>
        <v>0961613520</v>
      </c>
      <c r="K1836" s="2" t="str">
        <f ca="1">IFERROR(__xludf.DUMMYFUNCTION("""COMPUTED_VALUE"""),"1761192950032")</f>
        <v>1761192950032</v>
      </c>
    </row>
    <row r="1837" spans="1:11" ht="12.45">
      <c r="A1837" s="2" t="str">
        <f ca="1">IFERROR(__xludf.DUMMYFUNCTION("""COMPUTED_VALUE"""),"1761192993437")</f>
        <v>1761192993437</v>
      </c>
      <c r="B1837" s="2"/>
      <c r="C1837" s="2" t="str">
        <v>0</v>
      </c>
      <c r="D1837" s="2"/>
      <c r="F1837" s="2" t="str">
        <v>0</v>
      </c>
      <c r="I1837" s="2" t="str">
        <f ca="1">IFERROR(__xludf.DUMMYFUNCTION("""COMPUTED_VALUE"""),"Đỗ Hương Giang")</f>
        <v>Đỗ Hương Giang</v>
      </c>
      <c r="J1837" s="3" t="str">
        <f ca="1">IFERROR(__xludf.DUMMYFUNCTION("""COMPUTED_VALUE"""),"0975223610")</f>
        <v>0975223610</v>
      </c>
      <c r="K1837" s="2" t="str">
        <f ca="1">IFERROR(__xludf.DUMMYFUNCTION("""COMPUTED_VALUE"""),"1761192993437")</f>
        <v>1761192993437</v>
      </c>
    </row>
    <row r="1838" spans="1:11" ht="12.45">
      <c r="A1838" s="2" t="str">
        <f ca="1">IFERROR(__xludf.DUMMYFUNCTION("""COMPUTED_VALUE"""),"1761193041664")</f>
        <v>1761193041664</v>
      </c>
      <c r="B1838" s="2"/>
      <c r="C1838" s="2" t="str">
        <v>0</v>
      </c>
      <c r="D1838" s="2"/>
      <c r="F1838" s="2" t="str">
        <v>0</v>
      </c>
      <c r="I1838" s="2" t="str">
        <f ca="1">IFERROR(__xludf.DUMMYFUNCTION("""COMPUTED_VALUE"""),"Nông Biên Thùy")</f>
        <v>Nông Biên Thùy</v>
      </c>
      <c r="J1838" s="3" t="str">
        <f ca="1">IFERROR(__xludf.DUMMYFUNCTION("""COMPUTED_VALUE"""),"0985496965")</f>
        <v>0985496965</v>
      </c>
      <c r="K1838" s="2" t="str">
        <f ca="1">IFERROR(__xludf.DUMMYFUNCTION("""COMPUTED_VALUE"""),"1761193041664")</f>
        <v>1761193041664</v>
      </c>
    </row>
    <row r="1839" spans="1:11" ht="12.45">
      <c r="A1839" s="2" t="str">
        <f ca="1">IFERROR(__xludf.DUMMYFUNCTION("""COMPUTED_VALUE"""),"1761193088839")</f>
        <v>1761193088839</v>
      </c>
      <c r="B1839" s="2"/>
      <c r="C1839" s="2" t="str">
        <v>0</v>
      </c>
      <c r="D1839" s="2"/>
      <c r="F1839" s="2" t="str">
        <v>0</v>
      </c>
      <c r="I1839" s="2" t="str">
        <f ca="1">IFERROR(__xludf.DUMMYFUNCTION("""COMPUTED_VALUE"""),"Lê Thị Hồng Nhung")</f>
        <v>Lê Thị Hồng Nhung</v>
      </c>
      <c r="J1839" s="3" t="str">
        <f ca="1">IFERROR(__xludf.DUMMYFUNCTION("""COMPUTED_VALUE"""),"0977035781")</f>
        <v>0977035781</v>
      </c>
      <c r="K1839" s="2" t="str">
        <f ca="1">IFERROR(__xludf.DUMMYFUNCTION("""COMPUTED_VALUE"""),"1761193088839")</f>
        <v>1761193088839</v>
      </c>
    </row>
    <row r="1840" spans="1:11" ht="12.45">
      <c r="A1840" s="2" t="str">
        <f ca="1">IFERROR(__xludf.DUMMYFUNCTION("""COMPUTED_VALUE"""),"1761193128528")</f>
        <v>1761193128528</v>
      </c>
      <c r="B1840" s="2"/>
      <c r="C1840" s="2" t="str">
        <v>0</v>
      </c>
      <c r="D1840" s="2"/>
      <c r="F1840" s="2" t="str">
        <v>0</v>
      </c>
      <c r="I1840" s="2" t="str">
        <f ca="1">IFERROR(__xludf.DUMMYFUNCTION("""COMPUTED_VALUE"""),"Nguyễn Thị Ngọc Nương ")</f>
        <v xml:space="preserve">Nguyễn Thị Ngọc Nương </v>
      </c>
      <c r="J1840" s="3" t="str">
        <f ca="1">IFERROR(__xludf.DUMMYFUNCTION("""COMPUTED_VALUE"""),"0964806490")</f>
        <v>0964806490</v>
      </c>
      <c r="K1840" s="2" t="str">
        <f ca="1">IFERROR(__xludf.DUMMYFUNCTION("""COMPUTED_VALUE"""),"1761193128528")</f>
        <v>1761193128528</v>
      </c>
    </row>
    <row r="1841" spans="1:11" ht="12.45">
      <c r="A1841" s="2" t="str">
        <f ca="1">IFERROR(__xludf.DUMMYFUNCTION("""COMPUTED_VALUE"""),"1761193181332")</f>
        <v>1761193181332</v>
      </c>
      <c r="B1841" s="2"/>
      <c r="C1841" s="2" t="str">
        <v>0</v>
      </c>
      <c r="D1841" s="2"/>
      <c r="F1841" s="2" t="str">
        <v>0</v>
      </c>
      <c r="I1841" s="2" t="str">
        <f ca="1">IFERROR(__xludf.DUMMYFUNCTION("""COMPUTED_VALUE"""),"Vũ Phương Trang")</f>
        <v>Vũ Phương Trang</v>
      </c>
      <c r="J1841" s="3" t="str">
        <f ca="1">IFERROR(__xludf.DUMMYFUNCTION("""COMPUTED_VALUE"""),"0963040530")</f>
        <v>0963040530</v>
      </c>
      <c r="K1841" s="2" t="str">
        <f ca="1">IFERROR(__xludf.DUMMYFUNCTION("""COMPUTED_VALUE"""),"1761193181332")</f>
        <v>1761193181332</v>
      </c>
    </row>
    <row r="1842" spans="1:11" ht="12.45">
      <c r="A1842" s="2" t="str">
        <f ca="1">IFERROR(__xludf.DUMMYFUNCTION("""COMPUTED_VALUE"""),"1761193224122")</f>
        <v>1761193224122</v>
      </c>
      <c r="B1842" s="2"/>
      <c r="C1842" s="2" t="str">
        <v>0</v>
      </c>
      <c r="D1842" s="2"/>
      <c r="F1842" s="2" t="str">
        <v>0</v>
      </c>
      <c r="I1842" s="2" t="str">
        <f ca="1">IFERROR(__xludf.DUMMYFUNCTION("""COMPUTED_VALUE"""),"Đặng An Thuyên ")</f>
        <v xml:space="preserve">Đặng An Thuyên </v>
      </c>
      <c r="J1842" s="3" t="str">
        <f ca="1">IFERROR(__xludf.DUMMYFUNCTION("""COMPUTED_VALUE"""),"0766856448")</f>
        <v>0766856448</v>
      </c>
      <c r="K1842" s="2" t="str">
        <f ca="1">IFERROR(__xludf.DUMMYFUNCTION("""COMPUTED_VALUE"""),"1761193224122")</f>
        <v>1761193224122</v>
      </c>
    </row>
    <row r="1843" spans="1:11" ht="12.45">
      <c r="A1843" s="2" t="str">
        <f ca="1">IFERROR(__xludf.DUMMYFUNCTION("""COMPUTED_VALUE"""),"1761193257546")</f>
        <v>1761193257546</v>
      </c>
      <c r="B1843" s="2"/>
      <c r="C1843" s="2" t="str">
        <v>0</v>
      </c>
      <c r="D1843" s="2"/>
      <c r="F1843" s="2" t="str">
        <v>0</v>
      </c>
      <c r="I1843" s="2" t="str">
        <f ca="1">IFERROR(__xludf.DUMMYFUNCTION("""COMPUTED_VALUE"""),"Nguyễn Thị Phương Thảo")</f>
        <v>Nguyễn Thị Phương Thảo</v>
      </c>
      <c r="J1843" s="3" t="str">
        <f ca="1">IFERROR(__xludf.DUMMYFUNCTION("""COMPUTED_VALUE"""),"0869460728")</f>
        <v>0869460728</v>
      </c>
      <c r="K1843" s="2" t="str">
        <f ca="1">IFERROR(__xludf.DUMMYFUNCTION("""COMPUTED_VALUE"""),"1761193257546")</f>
        <v>1761193257546</v>
      </c>
    </row>
    <row r="1844" spans="1:11" ht="12.45">
      <c r="A1844" s="2" t="str">
        <f ca="1">IFERROR(__xludf.DUMMYFUNCTION("""COMPUTED_VALUE"""),"1761193312191")</f>
        <v>1761193312191</v>
      </c>
      <c r="B1844" s="2"/>
      <c r="C1844" s="2" t="str">
        <v>0</v>
      </c>
      <c r="D1844" s="2"/>
      <c r="F1844" s="2" t="str">
        <v>0</v>
      </c>
      <c r="I1844" s="2" t="str">
        <f ca="1">IFERROR(__xludf.DUMMYFUNCTION("""COMPUTED_VALUE"""),"Nguyễn Anh Khoa")</f>
        <v>Nguyễn Anh Khoa</v>
      </c>
      <c r="J1844" s="3" t="str">
        <f ca="1">IFERROR(__xludf.DUMMYFUNCTION("""COMPUTED_VALUE"""),"0927838617")</f>
        <v>0927838617</v>
      </c>
      <c r="K1844" s="2" t="str">
        <f ca="1">IFERROR(__xludf.DUMMYFUNCTION("""COMPUTED_VALUE"""),"1761193312191")</f>
        <v>1761193312191</v>
      </c>
    </row>
    <row r="1845" spans="1:11" ht="12.45">
      <c r="A1845" s="2" t="str">
        <f ca="1">IFERROR(__xludf.DUMMYFUNCTION("""COMPUTED_VALUE"""),"1761193354459")</f>
        <v>1761193354459</v>
      </c>
      <c r="B1845" s="2"/>
      <c r="C1845" s="2" t="str">
        <v>0</v>
      </c>
      <c r="D1845" s="2"/>
      <c r="F1845" s="2" t="str">
        <v>0</v>
      </c>
      <c r="I1845" s="2" t="str">
        <f ca="1">IFERROR(__xludf.DUMMYFUNCTION("""COMPUTED_VALUE"""),"Nguyễn Thị Bích Thì")</f>
        <v>Nguyễn Thị Bích Thì</v>
      </c>
      <c r="J1845" s="3" t="str">
        <f ca="1">IFERROR(__xludf.DUMMYFUNCTION("""COMPUTED_VALUE"""),"0941955152")</f>
        <v>0941955152</v>
      </c>
      <c r="K1845" s="2" t="str">
        <f ca="1">IFERROR(__xludf.DUMMYFUNCTION("""COMPUTED_VALUE"""),"1761193354459")</f>
        <v>1761193354459</v>
      </c>
    </row>
    <row r="1846" spans="1:11" ht="12.45">
      <c r="A1846" s="2" t="str">
        <f ca="1">IFERROR(__xludf.DUMMYFUNCTION("""COMPUTED_VALUE"""),"1761193385044")</f>
        <v>1761193385044</v>
      </c>
      <c r="B1846" s="2"/>
      <c r="C1846" s="2" t="str">
        <v>0</v>
      </c>
      <c r="D1846" s="2"/>
      <c r="F1846" s="2" t="str">
        <v>0</v>
      </c>
      <c r="I1846" s="2" t="str">
        <f ca="1">IFERROR(__xludf.DUMMYFUNCTION("""COMPUTED_VALUE"""),"Vũ Thị Minh Nguyệt")</f>
        <v>Vũ Thị Minh Nguyệt</v>
      </c>
      <c r="J1846" s="3" t="str">
        <f ca="1">IFERROR(__xludf.DUMMYFUNCTION("""COMPUTED_VALUE"""),"0913572194")</f>
        <v>0913572194</v>
      </c>
      <c r="K1846" s="2" t="str">
        <f ca="1">IFERROR(__xludf.DUMMYFUNCTION("""COMPUTED_VALUE"""),"1761193385044")</f>
        <v>1761193385044</v>
      </c>
    </row>
    <row r="1847" spans="1:11" ht="12.45">
      <c r="A1847" s="2" t="str">
        <f ca="1">IFERROR(__xludf.DUMMYFUNCTION("""COMPUTED_VALUE"""),"1761193414629")</f>
        <v>1761193414629</v>
      </c>
      <c r="B1847" s="2"/>
      <c r="C1847" s="2" t="str">
        <v>0</v>
      </c>
      <c r="D1847" s="2"/>
      <c r="F1847" s="2" t="str">
        <v>0</v>
      </c>
      <c r="I1847" s="2" t="str">
        <f ca="1">IFERROR(__xludf.DUMMYFUNCTION("""COMPUTED_VALUE"""),"Pham Thi Thanh Lam")</f>
        <v>Pham Thi Thanh Lam</v>
      </c>
      <c r="J1847" s="3" t="str">
        <f ca="1">IFERROR(__xludf.DUMMYFUNCTION("""COMPUTED_VALUE"""),"0833326003")</f>
        <v>0833326003</v>
      </c>
      <c r="K1847" s="2" t="str">
        <f ca="1">IFERROR(__xludf.DUMMYFUNCTION("""COMPUTED_VALUE"""),"1761193414629")</f>
        <v>1761193414629</v>
      </c>
    </row>
    <row r="1848" spans="1:11" ht="12.45">
      <c r="A1848" s="2" t="str">
        <f ca="1">IFERROR(__xludf.DUMMYFUNCTION("""COMPUTED_VALUE"""),"1761193475978")</f>
        <v>1761193475978</v>
      </c>
      <c r="B1848" s="2"/>
      <c r="C1848" s="2" t="str">
        <v>0</v>
      </c>
      <c r="D1848" s="2"/>
      <c r="F1848" s="2" t="str">
        <v>0</v>
      </c>
      <c r="I1848" s="2" t="str">
        <f ca="1">IFERROR(__xludf.DUMMYFUNCTION("""COMPUTED_VALUE"""),"Đỗ Thị Ngọc Huyền")</f>
        <v>Đỗ Thị Ngọc Huyền</v>
      </c>
      <c r="J1848" s="3" t="str">
        <f ca="1">IFERROR(__xludf.DUMMYFUNCTION("""COMPUTED_VALUE"""),"0337032388")</f>
        <v>0337032388</v>
      </c>
      <c r="K1848" s="2" t="str">
        <f ca="1">IFERROR(__xludf.DUMMYFUNCTION("""COMPUTED_VALUE"""),"1761193475978")</f>
        <v>1761193475978</v>
      </c>
    </row>
    <row r="1849" spans="1:11" ht="12.45">
      <c r="A1849" s="2" t="str">
        <f ca="1">IFERROR(__xludf.DUMMYFUNCTION("""COMPUTED_VALUE"""),"Không giao sách")</f>
        <v>Không giao sách</v>
      </c>
      <c r="B1849" s="2"/>
      <c r="C1849" s="2" t="str">
        <v>0</v>
      </c>
      <c r="D1849" s="2"/>
      <c r="F1849" s="2" t="str">
        <v>0</v>
      </c>
      <c r="I1849" s="2" t="str">
        <f ca="1">IFERROR(__xludf.DUMMYFUNCTION("""COMPUTED_VALUE"""),"Vũ Phương Trang")</f>
        <v>Vũ Phương Trang</v>
      </c>
      <c r="J1849" s="3" t="str">
        <f ca="1">IFERROR(__xludf.DUMMYFUNCTION("""COMPUTED_VALUE"""),"0963040530")</f>
        <v>0963040530</v>
      </c>
      <c r="K1849" s="2" t="str">
        <f ca="1">IFERROR(__xludf.DUMMYFUNCTION("""COMPUTED_VALUE"""),"Không giao sách")</f>
        <v>Không giao sách</v>
      </c>
    </row>
    <row r="1850" spans="1:11" ht="12.45">
      <c r="A1850" s="2" t="str">
        <f ca="1">IFERROR(__xludf.DUMMYFUNCTION("""COMPUTED_VALUE"""),"1761193537289")</f>
        <v>1761193537289</v>
      </c>
      <c r="B1850" s="2"/>
      <c r="C1850" s="2" t="str">
        <v>0</v>
      </c>
      <c r="D1850" s="2"/>
      <c r="F1850" s="2" t="str">
        <v>0</v>
      </c>
      <c r="I1850" s="2" t="str">
        <f ca="1">IFERROR(__xludf.DUMMYFUNCTION("""COMPUTED_VALUE"""),"Lê bảo thy")</f>
        <v>Lê bảo thy</v>
      </c>
      <c r="J1850" s="3" t="str">
        <f ca="1">IFERROR(__xludf.DUMMYFUNCTION("""COMPUTED_VALUE"""),"0384936541")</f>
        <v>0384936541</v>
      </c>
      <c r="K1850" s="2" t="str">
        <f ca="1">IFERROR(__xludf.DUMMYFUNCTION("""COMPUTED_VALUE"""),"1761193537289")</f>
        <v>1761193537289</v>
      </c>
    </row>
    <row r="1851" spans="1:11" ht="12.45">
      <c r="A1851" s="2" t="str">
        <f ca="1">IFERROR(__xludf.DUMMYFUNCTION("""COMPUTED_VALUE"""),"1761193615503")</f>
        <v>1761193615503</v>
      </c>
      <c r="B1851" s="2"/>
      <c r="C1851" s="2" t="str">
        <v>0</v>
      </c>
      <c r="D1851" s="2"/>
      <c r="F1851" s="2" t="str">
        <v>0</v>
      </c>
      <c r="I1851" s="2" t="str">
        <f ca="1">IFERROR(__xludf.DUMMYFUNCTION("""COMPUTED_VALUE"""),"Trần Huy Khánh")</f>
        <v>Trần Huy Khánh</v>
      </c>
      <c r="J1851" s="3" t="str">
        <f ca="1">IFERROR(__xludf.DUMMYFUNCTION("""COMPUTED_VALUE"""),"0899358898")</f>
        <v>0899358898</v>
      </c>
      <c r="K1851" s="2" t="str">
        <f ca="1">IFERROR(__xludf.DUMMYFUNCTION("""COMPUTED_VALUE"""),"1761193615503")</f>
        <v>1761193615503</v>
      </c>
    </row>
    <row r="1852" spans="1:11" ht="12.45">
      <c r="A1852" s="2" t="str">
        <f ca="1">IFERROR(__xludf.DUMMYFUNCTION("""COMPUTED_VALUE"""),"1761193673561")</f>
        <v>1761193673561</v>
      </c>
      <c r="B1852" s="2"/>
      <c r="C1852" s="2" t="str">
        <v>0</v>
      </c>
      <c r="D1852" s="2"/>
      <c r="F1852" s="2" t="str">
        <v>0</v>
      </c>
      <c r="I1852" s="2" t="str">
        <f ca="1">IFERROR(__xludf.DUMMYFUNCTION("""COMPUTED_VALUE"""),"Phạm Phương Linh")</f>
        <v>Phạm Phương Linh</v>
      </c>
      <c r="J1852" s="3" t="str">
        <f ca="1">IFERROR(__xludf.DUMMYFUNCTION("""COMPUTED_VALUE"""),"0989192693")</f>
        <v>0989192693</v>
      </c>
      <c r="K1852" s="2" t="str">
        <f ca="1">IFERROR(__xludf.DUMMYFUNCTION("""COMPUTED_VALUE"""),"1761193673561")</f>
        <v>1761193673561</v>
      </c>
    </row>
    <row r="1853" spans="1:11" ht="12.45">
      <c r="A1853" s="2" t="str">
        <f ca="1">IFERROR(__xludf.DUMMYFUNCTION("""COMPUTED_VALUE"""),"1761193716298")</f>
        <v>1761193716298</v>
      </c>
      <c r="B1853" s="2"/>
      <c r="C1853" s="2" t="str">
        <v>0</v>
      </c>
      <c r="D1853" s="2"/>
      <c r="F1853" s="2" t="str">
        <v>0</v>
      </c>
      <c r="I1853" s="2" t="str">
        <f ca="1">IFERROR(__xludf.DUMMYFUNCTION("""COMPUTED_VALUE"""),"Trần Thị Như Ý")</f>
        <v>Trần Thị Như Ý</v>
      </c>
      <c r="J1853" s="3" t="str">
        <f ca="1">IFERROR(__xludf.DUMMYFUNCTION("""COMPUTED_VALUE"""),"0376082301")</f>
        <v>0376082301</v>
      </c>
      <c r="K1853" s="2" t="str">
        <f ca="1">IFERROR(__xludf.DUMMYFUNCTION("""COMPUTED_VALUE"""),"1761193716298")</f>
        <v>1761193716298</v>
      </c>
    </row>
    <row r="1854" spans="1:11" ht="12.45">
      <c r="A1854" s="2" t="str">
        <f ca="1">IFERROR(__xludf.DUMMYFUNCTION("""COMPUTED_VALUE"""),"1761193848730")</f>
        <v>1761193848730</v>
      </c>
      <c r="B1854" s="2"/>
      <c r="C1854" s="2" t="str">
        <v>0</v>
      </c>
      <c r="D1854" s="2"/>
      <c r="F1854" s="2" t="str">
        <v>0</v>
      </c>
      <c r="I1854" s="2" t="str">
        <f ca="1">IFERROR(__xludf.DUMMYFUNCTION("""COMPUTED_VALUE"""),"Trần Hữu Đăng")</f>
        <v>Trần Hữu Đăng</v>
      </c>
      <c r="J1854" s="3" t="str">
        <f ca="1">IFERROR(__xludf.DUMMYFUNCTION("""COMPUTED_VALUE"""),"0865893263")</f>
        <v>0865893263</v>
      </c>
      <c r="K1854" s="2" t="str">
        <f ca="1">IFERROR(__xludf.DUMMYFUNCTION("""COMPUTED_VALUE"""),"1761193848730")</f>
        <v>1761193848730</v>
      </c>
    </row>
    <row r="1855" spans="1:11" ht="12.45">
      <c r="A1855" s="2" t="str">
        <f ca="1">IFERROR(__xludf.DUMMYFUNCTION("""COMPUTED_VALUE"""),"1761193894769")</f>
        <v>1761193894769</v>
      </c>
      <c r="B1855" s="2"/>
      <c r="C1855" s="2" t="str">
        <v>0</v>
      </c>
      <c r="D1855" s="2"/>
      <c r="F1855" s="2" t="str">
        <v>0</v>
      </c>
      <c r="I1855" s="2" t="str">
        <f ca="1">IFERROR(__xludf.DUMMYFUNCTION("""COMPUTED_VALUE"""),"Trương Gia Uyên")</f>
        <v>Trương Gia Uyên</v>
      </c>
      <c r="J1855" s="3" t="str">
        <f ca="1">IFERROR(__xludf.DUMMYFUNCTION("""COMPUTED_VALUE"""),"0918892711")</f>
        <v>0918892711</v>
      </c>
      <c r="K1855" s="2" t="str">
        <f ca="1">IFERROR(__xludf.DUMMYFUNCTION("""COMPUTED_VALUE"""),"1761193894769")</f>
        <v>1761193894769</v>
      </c>
    </row>
    <row r="1856" spans="1:11" ht="12.45">
      <c r="A1856" s="2" t="str">
        <f ca="1">IFERROR(__xludf.DUMMYFUNCTION("""COMPUTED_VALUE"""),"1761193920962")</f>
        <v>1761193920962</v>
      </c>
      <c r="B1856" s="2"/>
      <c r="C1856" s="2" t="str">
        <v>0</v>
      </c>
      <c r="D1856" s="2"/>
      <c r="F1856" s="2" t="str">
        <v>0</v>
      </c>
      <c r="I1856" s="2" t="str">
        <f ca="1">IFERROR(__xludf.DUMMYFUNCTION("""COMPUTED_VALUE"""),"Lương Gia Hân")</f>
        <v>Lương Gia Hân</v>
      </c>
      <c r="J1856" s="3" t="str">
        <f ca="1">IFERROR(__xludf.DUMMYFUNCTION("""COMPUTED_VALUE"""),"0919098122")</f>
        <v>0919098122</v>
      </c>
      <c r="K1856" s="2" t="str">
        <f ca="1">IFERROR(__xludf.DUMMYFUNCTION("""COMPUTED_VALUE"""),"1761193920962")</f>
        <v>1761193920962</v>
      </c>
    </row>
    <row r="1857" spans="1:11" ht="12.45">
      <c r="A1857" s="2" t="str">
        <f ca="1">IFERROR(__xludf.DUMMYFUNCTION("""COMPUTED_VALUE"""),"1761193961401")</f>
        <v>1761193961401</v>
      </c>
      <c r="B1857" s="2"/>
      <c r="C1857" s="2" t="str">
        <v>0</v>
      </c>
      <c r="D1857" s="2"/>
      <c r="F1857" s="2" t="str">
        <v>0</v>
      </c>
      <c r="I1857" s="2" t="str">
        <f ca="1">IFERROR(__xludf.DUMMYFUNCTION("""COMPUTED_VALUE"""),"Phạm Ngọc Nguyên")</f>
        <v>Phạm Ngọc Nguyên</v>
      </c>
      <c r="J1857" s="3" t="str">
        <f ca="1">IFERROR(__xludf.DUMMYFUNCTION("""COMPUTED_VALUE"""),"0633642049")</f>
        <v>0633642049</v>
      </c>
      <c r="K1857" s="2" t="str">
        <f ca="1">IFERROR(__xludf.DUMMYFUNCTION("""COMPUTED_VALUE"""),"1761193961401")</f>
        <v>1761193961401</v>
      </c>
    </row>
    <row r="1858" spans="1:11" ht="12.45">
      <c r="A1858" s="2" t="str">
        <f ca="1">IFERROR(__xludf.DUMMYFUNCTION("""COMPUTED_VALUE"""),"1761194006860")</f>
        <v>1761194006860</v>
      </c>
      <c r="B1858" s="2"/>
      <c r="C1858" s="2" t="str">
        <v>0</v>
      </c>
      <c r="D1858" s="2"/>
      <c r="F1858" s="2" t="str">
        <v>0</v>
      </c>
      <c r="I1858" s="2" t="str">
        <f ca="1">IFERROR(__xludf.DUMMYFUNCTION("""COMPUTED_VALUE"""),"Trần Huỳnh Bảo Hân")</f>
        <v>Trần Huỳnh Bảo Hân</v>
      </c>
      <c r="J1858" s="3" t="str">
        <f ca="1">IFERROR(__xludf.DUMMYFUNCTION("""COMPUTED_VALUE"""),"0397913081")</f>
        <v>0397913081</v>
      </c>
      <c r="K1858" s="2" t="str">
        <f ca="1">IFERROR(__xludf.DUMMYFUNCTION("""COMPUTED_VALUE"""),"1761194006860")</f>
        <v>1761194006860</v>
      </c>
    </row>
    <row r="1859" spans="1:11" ht="12.45">
      <c r="A1859" s="2" t="str">
        <f ca="1">IFERROR(__xludf.DUMMYFUNCTION("""COMPUTED_VALUE"""),"1761194041000")</f>
        <v>1761194041000</v>
      </c>
      <c r="B1859" s="2"/>
      <c r="C1859" s="2" t="str">
        <v>0</v>
      </c>
      <c r="D1859" s="2"/>
      <c r="F1859" s="2" t="str">
        <v>0</v>
      </c>
      <c r="I1859" s="2" t="str">
        <f ca="1">IFERROR(__xludf.DUMMYFUNCTION("""COMPUTED_VALUE"""),"Bùi Khánh Linh")</f>
        <v>Bùi Khánh Linh</v>
      </c>
      <c r="J1859" s="3" t="str">
        <f ca="1">IFERROR(__xludf.DUMMYFUNCTION("""COMPUTED_VALUE"""),"0965800907")</f>
        <v>0965800907</v>
      </c>
      <c r="K1859" s="2" t="str">
        <f ca="1">IFERROR(__xludf.DUMMYFUNCTION("""COMPUTED_VALUE"""),"1761194041000")</f>
        <v>1761194041000</v>
      </c>
    </row>
    <row r="1860" spans="1:11" ht="12.45">
      <c r="A1860" s="2" t="str">
        <f ca="1">IFERROR(__xludf.DUMMYFUNCTION("""COMPUTED_VALUE"""),"1761194100033")</f>
        <v>1761194100033</v>
      </c>
      <c r="B1860" s="2"/>
      <c r="C1860" s="2" t="str">
        <v>0</v>
      </c>
      <c r="D1860" s="2"/>
      <c r="F1860" s="2" t="str">
        <v>0</v>
      </c>
      <c r="I1860" s="2" t="str">
        <f ca="1">IFERROR(__xludf.DUMMYFUNCTION("""COMPUTED_VALUE"""),"Vũ Thị Ngọc Lan")</f>
        <v>Vũ Thị Ngọc Lan</v>
      </c>
      <c r="J1860" s="3" t="str">
        <f ca="1">IFERROR(__xludf.DUMMYFUNCTION("""COMPUTED_VALUE"""),"0818533382")</f>
        <v>0818533382</v>
      </c>
      <c r="K1860" s="2" t="str">
        <f ca="1">IFERROR(__xludf.DUMMYFUNCTION("""COMPUTED_VALUE"""),"1761194100033")</f>
        <v>1761194100033</v>
      </c>
    </row>
    <row r="1861" spans="1:11" ht="12.45">
      <c r="A1861" s="2" t="str">
        <f ca="1">IFERROR(__xludf.DUMMYFUNCTION("""COMPUTED_VALUE"""),"1761194150175")</f>
        <v>1761194150175</v>
      </c>
      <c r="B1861" s="2"/>
      <c r="C1861" s="2" t="str">
        <v>0</v>
      </c>
      <c r="D1861" s="2"/>
      <c r="F1861" s="2" t="str">
        <v>0</v>
      </c>
      <c r="I1861" s="2" t="str">
        <f ca="1">IFERROR(__xludf.DUMMYFUNCTION("""COMPUTED_VALUE"""),"Lê Hương Liên")</f>
        <v>Lê Hương Liên</v>
      </c>
      <c r="J1861" s="3" t="str">
        <f ca="1">IFERROR(__xludf.DUMMYFUNCTION("""COMPUTED_VALUE"""),"0862292207")</f>
        <v>0862292207</v>
      </c>
      <c r="K1861" s="2" t="str">
        <f ca="1">IFERROR(__xludf.DUMMYFUNCTION("""COMPUTED_VALUE"""),"1761194150175")</f>
        <v>1761194150175</v>
      </c>
    </row>
    <row r="1862" spans="1:11" ht="12.45">
      <c r="A1862" s="2" t="str">
        <f ca="1">IFERROR(__xludf.DUMMYFUNCTION("""COMPUTED_VALUE"""),"1761194192771")</f>
        <v>1761194192771</v>
      </c>
      <c r="B1862" s="2"/>
      <c r="C1862" s="2" t="str">
        <v>0</v>
      </c>
      <c r="D1862" s="2"/>
      <c r="F1862" s="2" t="str">
        <v>0</v>
      </c>
      <c r="I1862" s="2" t="str">
        <f ca="1">IFERROR(__xludf.DUMMYFUNCTION("""COMPUTED_VALUE"""),"Nguyễn Trần Nhật Nam")</f>
        <v>Nguyễn Trần Nhật Nam</v>
      </c>
      <c r="J1862" s="3" t="str">
        <f ca="1">IFERROR(__xludf.DUMMYFUNCTION("""COMPUTED_VALUE"""),"0349997261")</f>
        <v>0349997261</v>
      </c>
      <c r="K1862" s="2" t="str">
        <f ca="1">IFERROR(__xludf.DUMMYFUNCTION("""COMPUTED_VALUE"""),"1761194192771")</f>
        <v>1761194192771</v>
      </c>
    </row>
    <row r="1863" spans="1:11" ht="12.45">
      <c r="A1863" s="2" t="str">
        <f ca="1">IFERROR(__xludf.DUMMYFUNCTION("""COMPUTED_VALUE"""),"1772086450472")</f>
        <v>1772086450472</v>
      </c>
      <c r="B1863" s="2"/>
      <c r="C1863" s="2" t="str">
        <v>0</v>
      </c>
      <c r="D1863" s="2"/>
      <c r="F1863" s="2" t="str">
        <v>0</v>
      </c>
      <c r="I1863" s="2" t="str">
        <f ca="1">IFERROR(__xludf.DUMMYFUNCTION("""COMPUTED_VALUE"""),"Trần Gia Trinh")</f>
        <v>Trần Gia Trinh</v>
      </c>
      <c r="J1863" s="3" t="str">
        <f ca="1">IFERROR(__xludf.DUMMYFUNCTION("""COMPUTED_VALUE"""),"0848685458")</f>
        <v>0848685458</v>
      </c>
      <c r="K1863" s="2" t="str">
        <f ca="1">IFERROR(__xludf.DUMMYFUNCTION("""COMPUTED_VALUE"""),"1772086450472")</f>
        <v>1772086450472</v>
      </c>
    </row>
    <row r="1864" spans="1:11" ht="12.45">
      <c r="A1864" s="2" t="str">
        <f ca="1">IFERROR(__xludf.DUMMYFUNCTION("""COMPUTED_VALUE"""),"1772086495737")</f>
        <v>1772086495737</v>
      </c>
      <c r="B1864" s="2"/>
      <c r="C1864" s="2" t="str">
        <v>0</v>
      </c>
      <c r="D1864" s="2"/>
      <c r="F1864" s="2" t="str">
        <v>0</v>
      </c>
      <c r="I1864" s="2" t="str">
        <f ca="1">IFERROR(__xludf.DUMMYFUNCTION("""COMPUTED_VALUE"""),"Lê Phương Anh")</f>
        <v>Lê Phương Anh</v>
      </c>
      <c r="J1864" s="3" t="str">
        <f ca="1">IFERROR(__xludf.DUMMYFUNCTION("""COMPUTED_VALUE"""),"0337590207")</f>
        <v>0337590207</v>
      </c>
      <c r="K1864" s="2" t="str">
        <f ca="1">IFERROR(__xludf.DUMMYFUNCTION("""COMPUTED_VALUE"""),"1772086495737")</f>
        <v>1772086495737</v>
      </c>
    </row>
    <row r="1865" spans="1:11" ht="12.45">
      <c r="A1865" s="2" t="str">
        <f ca="1">IFERROR(__xludf.DUMMYFUNCTION("""COMPUTED_VALUE"""),"1772086525109")</f>
        <v>1772086525109</v>
      </c>
      <c r="B1865" s="2"/>
      <c r="C1865" s="2" t="str">
        <v>0</v>
      </c>
      <c r="D1865" s="2"/>
      <c r="F1865" s="2" t="str">
        <v>0</v>
      </c>
      <c r="I1865" s="2" t="str">
        <f ca="1">IFERROR(__xludf.DUMMYFUNCTION("""COMPUTED_VALUE"""),"Nguyễn Ngọc Quỳnh Anh")</f>
        <v>Nguyễn Ngọc Quỳnh Anh</v>
      </c>
      <c r="J1865" s="3" t="str">
        <f ca="1">IFERROR(__xludf.DUMMYFUNCTION("""COMPUTED_VALUE"""),"0989891877")</f>
        <v>0989891877</v>
      </c>
      <c r="K1865" s="2" t="str">
        <f ca="1">IFERROR(__xludf.DUMMYFUNCTION("""COMPUTED_VALUE"""),"1772086525109")</f>
        <v>1772086525109</v>
      </c>
    </row>
    <row r="1866" spans="1:11" ht="12.45">
      <c r="A1866" s="2" t="str">
        <f ca="1">IFERROR(__xludf.DUMMYFUNCTION("""COMPUTED_VALUE"""),"1772086552512")</f>
        <v>1772086552512</v>
      </c>
      <c r="B1866" s="2"/>
      <c r="C1866" s="2" t="str">
        <v>0</v>
      </c>
      <c r="D1866" s="2"/>
      <c r="F1866" s="2" t="str">
        <v>0</v>
      </c>
      <c r="I1866" s="2" t="str">
        <f ca="1">IFERROR(__xludf.DUMMYFUNCTION("""COMPUTED_VALUE"""),"Nguyễn Thùy Dung")</f>
        <v>Nguyễn Thùy Dung</v>
      </c>
      <c r="J1866" s="3" t="str">
        <f ca="1">IFERROR(__xludf.DUMMYFUNCTION("""COMPUTED_VALUE"""),"0565717393")</f>
        <v>0565717393</v>
      </c>
      <c r="K1866" s="2" t="str">
        <f ca="1">IFERROR(__xludf.DUMMYFUNCTION("""COMPUTED_VALUE"""),"1772086552512")</f>
        <v>1772086552512</v>
      </c>
    </row>
    <row r="1867" spans="1:11" ht="12.45">
      <c r="A1867" s="2" t="str">
        <f ca="1">IFERROR(__xludf.DUMMYFUNCTION("""COMPUTED_VALUE"""),"1772086581259")</f>
        <v>1772086581259</v>
      </c>
      <c r="B1867" s="2"/>
      <c r="C1867" s="2" t="str">
        <v>0</v>
      </c>
      <c r="D1867" s="2"/>
      <c r="F1867" s="2" t="str">
        <v>0</v>
      </c>
      <c r="I1867" s="2" t="str">
        <f ca="1">IFERROR(__xludf.DUMMYFUNCTION("""COMPUTED_VALUE"""),"Nguyễn Thị Thuận")</f>
        <v>Nguyễn Thị Thuận</v>
      </c>
      <c r="J1867" s="3" t="str">
        <f ca="1">IFERROR(__xludf.DUMMYFUNCTION("""COMPUTED_VALUE"""),"0333062007")</f>
        <v>0333062007</v>
      </c>
      <c r="K1867" s="2" t="str">
        <f ca="1">IFERROR(__xludf.DUMMYFUNCTION("""COMPUTED_VALUE"""),"1772086581259")</f>
        <v>1772086581259</v>
      </c>
    </row>
    <row r="1868" spans="1:11" ht="12.45">
      <c r="A1868" s="2" t="str">
        <f ca="1">IFERROR(__xludf.DUMMYFUNCTION("""COMPUTED_VALUE"""),"1772086615924")</f>
        <v>1772086615924</v>
      </c>
      <c r="B1868" s="2"/>
      <c r="C1868" s="2" t="str">
        <v>0</v>
      </c>
      <c r="D1868" s="2"/>
      <c r="F1868" s="2" t="str">
        <v>0</v>
      </c>
      <c r="I1868" s="2" t="str">
        <f ca="1">IFERROR(__xludf.DUMMYFUNCTION("""COMPUTED_VALUE"""),"Nguyễn Xuân Hạnh ")</f>
        <v xml:space="preserve">Nguyễn Xuân Hạnh </v>
      </c>
      <c r="J1868" s="3" t="str">
        <f ca="1">IFERROR(__xludf.DUMMYFUNCTION("""COMPUTED_VALUE"""),"0795930984")</f>
        <v>0795930984</v>
      </c>
      <c r="K1868" s="2" t="str">
        <f ca="1">IFERROR(__xludf.DUMMYFUNCTION("""COMPUTED_VALUE"""),"1772086615924")</f>
        <v>1772086615924</v>
      </c>
    </row>
    <row r="1869" spans="1:11" ht="12.45">
      <c r="A1869" s="2" t="str">
        <f ca="1">IFERROR(__xludf.DUMMYFUNCTION("""COMPUTED_VALUE"""),"1772086659483")</f>
        <v>1772086659483</v>
      </c>
      <c r="B1869" s="2"/>
      <c r="C1869" s="2" t="str">
        <v>0</v>
      </c>
      <c r="D1869" s="2"/>
      <c r="F1869" s="2" t="str">
        <v>0</v>
      </c>
      <c r="I1869" s="2" t="str">
        <f ca="1">IFERROR(__xludf.DUMMYFUNCTION("""COMPUTED_VALUE"""),"Nguyễn Thị Thanh Xuân")</f>
        <v>Nguyễn Thị Thanh Xuân</v>
      </c>
      <c r="J1869" s="3" t="str">
        <f ca="1">IFERROR(__xludf.DUMMYFUNCTION("""COMPUTED_VALUE"""),"0325689947")</f>
        <v>0325689947</v>
      </c>
      <c r="K1869" s="2" t="str">
        <f ca="1">IFERROR(__xludf.DUMMYFUNCTION("""COMPUTED_VALUE"""),"1772086659483")</f>
        <v>1772086659483</v>
      </c>
    </row>
    <row r="1870" spans="1:11" ht="12.45">
      <c r="A1870" s="2" t="str">
        <f ca="1">IFERROR(__xludf.DUMMYFUNCTION("""COMPUTED_VALUE"""),"1772086696518")</f>
        <v>1772086696518</v>
      </c>
      <c r="B1870" s="2"/>
      <c r="C1870" s="2" t="str">
        <v>0</v>
      </c>
      <c r="D1870" s="2"/>
      <c r="F1870" s="2" t="str">
        <v>0</v>
      </c>
      <c r="I1870" s="2" t="str">
        <f ca="1">IFERROR(__xludf.DUMMYFUNCTION("""COMPUTED_VALUE"""),"Ngô Khánh Huyền ")</f>
        <v xml:space="preserve">Ngô Khánh Huyền </v>
      </c>
      <c r="J1870" s="3" t="str">
        <f ca="1">IFERROR(__xludf.DUMMYFUNCTION("""COMPUTED_VALUE"""),"0364511011")</f>
        <v>0364511011</v>
      </c>
      <c r="K1870" s="2" t="str">
        <f ca="1">IFERROR(__xludf.DUMMYFUNCTION("""COMPUTED_VALUE"""),"1772086696518")</f>
        <v>1772086696518</v>
      </c>
    </row>
    <row r="1871" spans="1:11" ht="12.45">
      <c r="A1871" s="2" t="str">
        <f ca="1">IFERROR(__xludf.DUMMYFUNCTION("""COMPUTED_VALUE"""),"1772086734805")</f>
        <v>1772086734805</v>
      </c>
      <c r="B1871" s="2"/>
      <c r="C1871" s="2" t="str">
        <v>0</v>
      </c>
      <c r="D1871" s="2"/>
      <c r="F1871" s="2" t="str">
        <v>0</v>
      </c>
      <c r="I1871" s="2" t="str">
        <f ca="1">IFERROR(__xludf.DUMMYFUNCTION("""COMPUTED_VALUE"""),"Trần Bích Liên")</f>
        <v>Trần Bích Liên</v>
      </c>
      <c r="J1871" s="3" t="str">
        <f ca="1">IFERROR(__xludf.DUMMYFUNCTION("""COMPUTED_VALUE"""),"0865538769")</f>
        <v>0865538769</v>
      </c>
      <c r="K1871" s="2" t="str">
        <f ca="1">IFERROR(__xludf.DUMMYFUNCTION("""COMPUTED_VALUE"""),"1772086734805")</f>
        <v>1772086734805</v>
      </c>
    </row>
    <row r="1872" spans="1:11" ht="12.45">
      <c r="A1872" s="2" t="str">
        <f ca="1">IFERROR(__xludf.DUMMYFUNCTION("""COMPUTED_VALUE"""),"1772086776590")</f>
        <v>1772086776590</v>
      </c>
      <c r="B1872" s="2"/>
      <c r="C1872" s="2" t="str">
        <v>0</v>
      </c>
      <c r="D1872" s="2"/>
      <c r="F1872" s="2" t="str">
        <v>0</v>
      </c>
      <c r="I1872" s="2" t="str">
        <f ca="1">IFERROR(__xludf.DUMMYFUNCTION("""COMPUTED_VALUE"""),"Lâm Ngọc Vy")</f>
        <v>Lâm Ngọc Vy</v>
      </c>
      <c r="J1872" s="3" t="str">
        <f ca="1">IFERROR(__xludf.DUMMYFUNCTION("""COMPUTED_VALUE"""),"0332993407")</f>
        <v>0332993407</v>
      </c>
      <c r="K1872" s="2" t="str">
        <f ca="1">IFERROR(__xludf.DUMMYFUNCTION("""COMPUTED_VALUE"""),"1772086776590")</f>
        <v>1772086776590</v>
      </c>
    </row>
    <row r="1873" spans="1:11" ht="12.45">
      <c r="A1873" s="2" t="str">
        <f ca="1">IFERROR(__xludf.DUMMYFUNCTION("""COMPUTED_VALUE"""),"1772086820389")</f>
        <v>1772086820389</v>
      </c>
      <c r="B1873" s="2"/>
      <c r="C1873" s="2" t="str">
        <v>0</v>
      </c>
      <c r="D1873" s="2"/>
      <c r="F1873" s="2" t="str">
        <v>0</v>
      </c>
      <c r="I1873" s="2" t="str">
        <f ca="1">IFERROR(__xludf.DUMMYFUNCTION("""COMPUTED_VALUE"""),"Trần Phương Thảo")</f>
        <v>Trần Phương Thảo</v>
      </c>
      <c r="J1873" s="3" t="str">
        <f ca="1">IFERROR(__xludf.DUMMYFUNCTION("""COMPUTED_VALUE"""),"0849092877")</f>
        <v>0849092877</v>
      </c>
      <c r="K1873" s="2" t="str">
        <f ca="1">IFERROR(__xludf.DUMMYFUNCTION("""COMPUTED_VALUE"""),"1772086820389")</f>
        <v>1772086820389</v>
      </c>
    </row>
    <row r="1874" spans="1:11" ht="12.45">
      <c r="A1874" s="2" t="str">
        <f ca="1">IFERROR(__xludf.DUMMYFUNCTION("""COMPUTED_VALUE"""),"1772086870693")</f>
        <v>1772086870693</v>
      </c>
      <c r="B1874" s="2"/>
      <c r="C1874" s="2" t="str">
        <v>0</v>
      </c>
      <c r="D1874" s="2"/>
      <c r="F1874" s="2" t="str">
        <v>0</v>
      </c>
      <c r="I1874" s="2" t="str">
        <f ca="1">IFERROR(__xludf.DUMMYFUNCTION("""COMPUTED_VALUE"""),"Hoàng Trần Phương Vy")</f>
        <v>Hoàng Trần Phương Vy</v>
      </c>
      <c r="J1874" s="3" t="str">
        <f ca="1">IFERROR(__xludf.DUMMYFUNCTION("""COMPUTED_VALUE"""),"0941847506")</f>
        <v>0941847506</v>
      </c>
      <c r="K1874" s="2" t="str">
        <f ca="1">IFERROR(__xludf.DUMMYFUNCTION("""COMPUTED_VALUE"""),"1772086870693")</f>
        <v>1772086870693</v>
      </c>
    </row>
    <row r="1875" spans="1:11" ht="12.45">
      <c r="A1875" s="2" t="str">
        <f ca="1">IFERROR(__xludf.DUMMYFUNCTION("""COMPUTED_VALUE"""),"1772086916619")</f>
        <v>1772086916619</v>
      </c>
      <c r="B1875" s="2"/>
      <c r="C1875" s="2" t="str">
        <v>0</v>
      </c>
      <c r="D1875" s="2"/>
      <c r="F1875" s="2" t="str">
        <v>0</v>
      </c>
      <c r="I1875" s="2" t="str">
        <f ca="1">IFERROR(__xludf.DUMMYFUNCTION("""COMPUTED_VALUE"""),"Lương Sỹ Hải")</f>
        <v>Lương Sỹ Hải</v>
      </c>
      <c r="J1875" s="3" t="str">
        <f ca="1">IFERROR(__xludf.DUMMYFUNCTION("""COMPUTED_VALUE"""),"0974640628")</f>
        <v>0974640628</v>
      </c>
      <c r="K1875" s="2" t="str">
        <f ca="1">IFERROR(__xludf.DUMMYFUNCTION("""COMPUTED_VALUE"""),"1772086916619")</f>
        <v>1772086916619</v>
      </c>
    </row>
    <row r="1876" spans="1:11" ht="12.45">
      <c r="A1876" s="2" t="str">
        <f ca="1">IFERROR(__xludf.DUMMYFUNCTION("""COMPUTED_VALUE"""),"1772086956914")</f>
        <v>1772086956914</v>
      </c>
      <c r="B1876" s="2"/>
      <c r="C1876" s="2" t="str">
        <v>0</v>
      </c>
      <c r="D1876" s="2"/>
      <c r="F1876" s="2" t="str">
        <v>0</v>
      </c>
      <c r="I1876" s="2" t="str">
        <f ca="1">IFERROR(__xludf.DUMMYFUNCTION("""COMPUTED_VALUE"""),"Nông Thị Kiều")</f>
        <v>Nông Thị Kiều</v>
      </c>
      <c r="J1876" s="3" t="str">
        <f ca="1">IFERROR(__xludf.DUMMYFUNCTION("""COMPUTED_VALUE"""),"0835511406")</f>
        <v>0835511406</v>
      </c>
      <c r="K1876" s="2" t="str">
        <f ca="1">IFERROR(__xludf.DUMMYFUNCTION("""COMPUTED_VALUE"""),"1772086956914")</f>
        <v>1772086956914</v>
      </c>
    </row>
    <row r="1877" spans="1:11" ht="12.45">
      <c r="A1877" s="2" t="str">
        <f ca="1">IFERROR(__xludf.DUMMYFUNCTION("""COMPUTED_VALUE"""),"1772086984332")</f>
        <v>1772086984332</v>
      </c>
      <c r="B1877" s="2"/>
      <c r="C1877" s="2" t="str">
        <v>0</v>
      </c>
      <c r="D1877" s="2"/>
      <c r="F1877" s="2" t="str">
        <v>0</v>
      </c>
      <c r="I1877" s="2" t="str">
        <f ca="1">IFERROR(__xludf.DUMMYFUNCTION("""COMPUTED_VALUE"""),"Trần Thu Phương")</f>
        <v>Trần Thu Phương</v>
      </c>
      <c r="J1877" s="3" t="str">
        <f ca="1">IFERROR(__xludf.DUMMYFUNCTION("""COMPUTED_VALUE"""),"0975319618")</f>
        <v>0975319618</v>
      </c>
      <c r="K1877" s="2" t="str">
        <f ca="1">IFERROR(__xludf.DUMMYFUNCTION("""COMPUTED_VALUE"""),"1772086984332")</f>
        <v>1772086984332</v>
      </c>
    </row>
    <row r="1878" spans="1:11" ht="12.45">
      <c r="A1878" s="2" t="str">
        <f ca="1">IFERROR(__xludf.DUMMYFUNCTION("""COMPUTED_VALUE"""),"1772087011721")</f>
        <v>1772087011721</v>
      </c>
      <c r="B1878" s="2"/>
      <c r="C1878" s="2" t="str">
        <v>0</v>
      </c>
      <c r="D1878" s="2"/>
      <c r="F1878" s="2" t="str">
        <v>0</v>
      </c>
      <c r="I1878" s="2" t="str">
        <f ca="1">IFERROR(__xludf.DUMMYFUNCTION("""COMPUTED_VALUE"""),"Nguyễn Thanh Thảo")</f>
        <v>Nguyễn Thanh Thảo</v>
      </c>
      <c r="J1878" s="3" t="str">
        <f ca="1">IFERROR(__xludf.DUMMYFUNCTION("""COMPUTED_VALUE"""),"0366835376")</f>
        <v>0366835376</v>
      </c>
      <c r="K1878" s="2" t="str">
        <f ca="1">IFERROR(__xludf.DUMMYFUNCTION("""COMPUTED_VALUE"""),"1772087011721")</f>
        <v>1772087011721</v>
      </c>
    </row>
    <row r="1879" spans="1:11" ht="12.45">
      <c r="A1879" s="2" t="str">
        <f ca="1">IFERROR(__xludf.DUMMYFUNCTION("""COMPUTED_VALUE"""),"1772087047380")</f>
        <v>1772087047380</v>
      </c>
      <c r="B1879" s="2"/>
      <c r="C1879" s="2" t="str">
        <v>0</v>
      </c>
      <c r="D1879" s="2"/>
      <c r="F1879" s="2" t="str">
        <v>0</v>
      </c>
      <c r="I1879" s="2" t="str">
        <f ca="1">IFERROR(__xludf.DUMMYFUNCTION("""COMPUTED_VALUE"""),"Nguyen  Phuong")</f>
        <v>Nguyen  Phuong</v>
      </c>
      <c r="J1879" s="3" t="str">
        <f ca="1">IFERROR(__xludf.DUMMYFUNCTION("""COMPUTED_VALUE"""),"0329125316")</f>
        <v>0329125316</v>
      </c>
      <c r="K1879" s="2" t="str">
        <f ca="1">IFERROR(__xludf.DUMMYFUNCTION("""COMPUTED_VALUE"""),"1772087047380")</f>
        <v>1772087047380</v>
      </c>
    </row>
    <row r="1880" spans="1:11" ht="12.45">
      <c r="A1880" s="2" t="str">
        <f ca="1">IFERROR(__xludf.DUMMYFUNCTION("""COMPUTED_VALUE"""),"1772087078326")</f>
        <v>1772087078326</v>
      </c>
      <c r="B1880" s="2"/>
      <c r="C1880" s="2" t="str">
        <v>0</v>
      </c>
      <c r="D1880" s="2"/>
      <c r="F1880" s="2" t="str">
        <v>0</v>
      </c>
      <c r="I1880" s="2" t="str">
        <f ca="1">IFERROR(__xludf.DUMMYFUNCTION("""COMPUTED_VALUE"""),"Nguyễn Thị Phương Nhi ")</f>
        <v xml:space="preserve">Nguyễn Thị Phương Nhi </v>
      </c>
      <c r="J1880" s="3" t="str">
        <f ca="1">IFERROR(__xludf.DUMMYFUNCTION("""COMPUTED_VALUE"""),"0389669159")</f>
        <v>0389669159</v>
      </c>
      <c r="K1880" s="2" t="str">
        <f ca="1">IFERROR(__xludf.DUMMYFUNCTION("""COMPUTED_VALUE"""),"1772087078326")</f>
        <v>1772087078326</v>
      </c>
    </row>
    <row r="1881" spans="1:11" ht="12.45">
      <c r="A1881" s="2" t="str">
        <f ca="1">IFERROR(__xludf.DUMMYFUNCTION("""COMPUTED_VALUE"""),"1772087111825")</f>
        <v>1772087111825</v>
      </c>
      <c r="B1881" s="2"/>
      <c r="C1881" s="2" t="str">
        <v>0</v>
      </c>
      <c r="D1881" s="2"/>
      <c r="F1881" s="2" t="str">
        <v>0</v>
      </c>
      <c r="I1881" s="2" t="str">
        <f ca="1">IFERROR(__xludf.DUMMYFUNCTION("""COMPUTED_VALUE"""),"Trần Thị Thuỳ Dương ")</f>
        <v xml:space="preserve">Trần Thị Thuỳ Dương </v>
      </c>
      <c r="J1881" s="3" t="str">
        <f ca="1">IFERROR(__xludf.DUMMYFUNCTION("""COMPUTED_VALUE"""),"0971973208")</f>
        <v>0971973208</v>
      </c>
      <c r="K1881" s="2" t="str">
        <f ca="1">IFERROR(__xludf.DUMMYFUNCTION("""COMPUTED_VALUE"""),"1772087111825")</f>
        <v>1772087111825</v>
      </c>
    </row>
    <row r="1882" spans="1:11" ht="12.45">
      <c r="A1882" s="2" t="str">
        <f ca="1">IFERROR(__xludf.DUMMYFUNCTION("""COMPUTED_VALUE"""),"1772087141815")</f>
        <v>1772087141815</v>
      </c>
      <c r="B1882" s="2"/>
      <c r="C1882" s="2" t="str">
        <v>0</v>
      </c>
      <c r="D1882" s="2"/>
      <c r="F1882" s="2" t="str">
        <v>0</v>
      </c>
      <c r="I1882" s="2" t="str">
        <f ca="1">IFERROR(__xludf.DUMMYFUNCTION("""COMPUTED_VALUE"""),"Nguyễn Thị Phương")</f>
        <v>Nguyễn Thị Phương</v>
      </c>
      <c r="J1882" s="3" t="str">
        <f ca="1">IFERROR(__xludf.DUMMYFUNCTION("""COMPUTED_VALUE"""),"0343606811")</f>
        <v>0343606811</v>
      </c>
      <c r="K1882" s="2" t="str">
        <f ca="1">IFERROR(__xludf.DUMMYFUNCTION("""COMPUTED_VALUE"""),"1772087141815")</f>
        <v>1772087141815</v>
      </c>
    </row>
    <row r="1883" spans="1:11" ht="12.45">
      <c r="A1883" s="2" t="str">
        <f ca="1">IFERROR(__xludf.DUMMYFUNCTION("""COMPUTED_VALUE"""),"1772087169445")</f>
        <v>1772087169445</v>
      </c>
      <c r="B1883" s="2"/>
      <c r="C1883" s="2" t="str">
        <v>0</v>
      </c>
      <c r="D1883" s="2"/>
      <c r="F1883" s="2" t="str">
        <v>0</v>
      </c>
      <c r="I1883" s="2" t="str">
        <f ca="1">IFERROR(__xludf.DUMMYFUNCTION("""COMPUTED_VALUE"""),"Ma Anh Minh")</f>
        <v>Ma Anh Minh</v>
      </c>
      <c r="J1883" s="3" t="str">
        <f ca="1">IFERROR(__xludf.DUMMYFUNCTION("""COMPUTED_VALUE"""),"0353001464")</f>
        <v>0353001464</v>
      </c>
      <c r="K1883" s="2" t="str">
        <f ca="1">IFERROR(__xludf.DUMMYFUNCTION("""COMPUTED_VALUE"""),"1772087169445")</f>
        <v>1772087169445</v>
      </c>
    </row>
    <row r="1884" spans="1:11" ht="12.45">
      <c r="A1884" s="2" t="str">
        <f ca="1">IFERROR(__xludf.DUMMYFUNCTION("""COMPUTED_VALUE"""),"1772087197587")</f>
        <v>1772087197587</v>
      </c>
      <c r="B1884" s="2"/>
      <c r="C1884" s="2" t="str">
        <v>0</v>
      </c>
      <c r="D1884" s="2"/>
      <c r="F1884" s="2" t="str">
        <v>0</v>
      </c>
      <c r="I1884" s="2" t="str">
        <f ca="1">IFERROR(__xludf.DUMMYFUNCTION("""COMPUTED_VALUE"""),"Trần Thúy An")</f>
        <v>Trần Thúy An</v>
      </c>
      <c r="J1884" s="3" t="str">
        <f ca="1">IFERROR(__xludf.DUMMYFUNCTION("""COMPUTED_VALUE"""),"0865578643")</f>
        <v>0865578643</v>
      </c>
      <c r="K1884" s="2" t="str">
        <f ca="1">IFERROR(__xludf.DUMMYFUNCTION("""COMPUTED_VALUE"""),"1772087197587")</f>
        <v>1772087197587</v>
      </c>
    </row>
    <row r="1885" spans="1:11" ht="12.45">
      <c r="A1885" s="2" t="str">
        <f ca="1">IFERROR(__xludf.DUMMYFUNCTION("""COMPUTED_VALUE"""),"1772087233337")</f>
        <v>1772087233337</v>
      </c>
      <c r="B1885" s="2"/>
      <c r="C1885" s="2" t="str">
        <v>0</v>
      </c>
      <c r="D1885" s="2"/>
      <c r="F1885" s="2" t="str">
        <v>0</v>
      </c>
      <c r="I1885" s="2" t="str">
        <f ca="1">IFERROR(__xludf.DUMMYFUNCTION("""COMPUTED_VALUE"""),"Võ Thị Tuyết Minh")</f>
        <v>Võ Thị Tuyết Minh</v>
      </c>
      <c r="J1885" s="3" t="str">
        <f ca="1">IFERROR(__xludf.DUMMYFUNCTION("""COMPUTED_VALUE"""),"0353762962")</f>
        <v>0353762962</v>
      </c>
      <c r="K1885" s="2" t="str">
        <f ca="1">IFERROR(__xludf.DUMMYFUNCTION("""COMPUTED_VALUE"""),"1772087233337")</f>
        <v>1772087233337</v>
      </c>
    </row>
    <row r="1886" spans="1:11" ht="12.45">
      <c r="A1886" s="2" t="str">
        <f ca="1">IFERROR(__xludf.DUMMYFUNCTION("""COMPUTED_VALUE"""),"1772087264888")</f>
        <v>1772087264888</v>
      </c>
      <c r="B1886" s="2"/>
      <c r="C1886" s="2" t="str">
        <v>0</v>
      </c>
      <c r="D1886" s="2"/>
      <c r="F1886" s="2" t="str">
        <v>0</v>
      </c>
      <c r="I1886" s="2" t="str">
        <f ca="1">IFERROR(__xludf.DUMMYFUNCTION("""COMPUTED_VALUE"""),"Nguyễn Thanh Tuyền")</f>
        <v>Nguyễn Thanh Tuyền</v>
      </c>
      <c r="J1886" s="3" t="str">
        <f ca="1">IFERROR(__xludf.DUMMYFUNCTION("""COMPUTED_VALUE"""),"0868171339")</f>
        <v>0868171339</v>
      </c>
      <c r="K1886" s="2" t="str">
        <f ca="1">IFERROR(__xludf.DUMMYFUNCTION("""COMPUTED_VALUE"""),"1772087264888")</f>
        <v>1772087264888</v>
      </c>
    </row>
    <row r="1887" spans="1:11" ht="12.45">
      <c r="A1887" s="2" t="str">
        <f ca="1">IFERROR(__xludf.DUMMYFUNCTION("""COMPUTED_VALUE"""),"1772087293229")</f>
        <v>1772087293229</v>
      </c>
      <c r="B1887" s="2"/>
      <c r="C1887" s="2" t="str">
        <v>0</v>
      </c>
      <c r="D1887" s="2"/>
      <c r="F1887" s="2" t="str">
        <v>0</v>
      </c>
      <c r="I1887" s="2" t="str">
        <f ca="1">IFERROR(__xludf.DUMMYFUNCTION("""COMPUTED_VALUE"""),"Ngô Thị Quỳnh Anh")</f>
        <v>Ngô Thị Quỳnh Anh</v>
      </c>
      <c r="J1887" s="3" t="str">
        <f ca="1">IFERROR(__xludf.DUMMYFUNCTION("""COMPUTED_VALUE"""),"0903148720")</f>
        <v>0903148720</v>
      </c>
      <c r="K1887" s="2" t="str">
        <f ca="1">IFERROR(__xludf.DUMMYFUNCTION("""COMPUTED_VALUE"""),"1772087293229")</f>
        <v>1772087293229</v>
      </c>
    </row>
    <row r="1888" spans="1:11" ht="12.45">
      <c r="A1888" s="2" t="str">
        <f ca="1">IFERROR(__xludf.DUMMYFUNCTION("""COMPUTED_VALUE"""),"1772087320507")</f>
        <v>1772087320507</v>
      </c>
      <c r="B1888" s="2"/>
      <c r="C1888" s="2" t="str">
        <v>0</v>
      </c>
      <c r="D1888" s="2"/>
      <c r="F1888" s="2" t="str">
        <v>0</v>
      </c>
      <c r="I1888" s="2" t="str">
        <f ca="1">IFERROR(__xludf.DUMMYFUNCTION("""COMPUTED_VALUE"""),"Nguyễn Ngọc Uyên Vy")</f>
        <v>Nguyễn Ngọc Uyên Vy</v>
      </c>
      <c r="J1888" s="3" t="str">
        <f ca="1">IFERROR(__xludf.DUMMYFUNCTION("""COMPUTED_VALUE"""),"0399993696")</f>
        <v>0399993696</v>
      </c>
      <c r="K1888" s="2" t="str">
        <f ca="1">IFERROR(__xludf.DUMMYFUNCTION("""COMPUTED_VALUE"""),"1772087320507")</f>
        <v>1772087320507</v>
      </c>
    </row>
    <row r="1889" spans="1:11" ht="12.45">
      <c r="A1889" s="2" t="str">
        <f ca="1">IFERROR(__xludf.DUMMYFUNCTION("""COMPUTED_VALUE"""),"1772087353648")</f>
        <v>1772087353648</v>
      </c>
      <c r="B1889" s="2"/>
      <c r="C1889" s="2" t="str">
        <v>0</v>
      </c>
      <c r="D1889" s="2"/>
      <c r="F1889" s="2" t="str">
        <v>0</v>
      </c>
      <c r="I1889" s="2" t="str">
        <f ca="1">IFERROR(__xludf.DUMMYFUNCTION("""COMPUTED_VALUE"""),"Dương Quỳnh Anh")</f>
        <v>Dương Quỳnh Anh</v>
      </c>
      <c r="J1889" s="3" t="str">
        <f ca="1">IFERROR(__xludf.DUMMYFUNCTION("""COMPUTED_VALUE"""),"0912316828")</f>
        <v>0912316828</v>
      </c>
      <c r="K1889" s="2" t="str">
        <f ca="1">IFERROR(__xludf.DUMMYFUNCTION("""COMPUTED_VALUE"""),"1772087353648")</f>
        <v>1772087353648</v>
      </c>
    </row>
    <row r="1890" spans="1:11" ht="12.45">
      <c r="A1890" s="2" t="str">
        <f ca="1">IFERROR(__xludf.DUMMYFUNCTION("""COMPUTED_VALUE"""),"1772087402444")</f>
        <v>1772087402444</v>
      </c>
      <c r="B1890" s="2"/>
      <c r="C1890" s="2" t="str">
        <v>0</v>
      </c>
      <c r="D1890" s="2"/>
      <c r="F1890" s="2" t="str">
        <v>0</v>
      </c>
      <c r="I1890" s="2" t="str">
        <f ca="1">IFERROR(__xludf.DUMMYFUNCTION("""COMPUTED_VALUE"""),"Nguyễn Thùy Dương")</f>
        <v>Nguyễn Thùy Dương</v>
      </c>
      <c r="J1890" s="3" t="str">
        <f ca="1">IFERROR(__xludf.DUMMYFUNCTION("""COMPUTED_VALUE"""),"0868933870")</f>
        <v>0868933870</v>
      </c>
      <c r="K1890" s="2" t="str">
        <f ca="1">IFERROR(__xludf.DUMMYFUNCTION("""COMPUTED_VALUE"""),"1772087402444")</f>
        <v>1772087402444</v>
      </c>
    </row>
    <row r="1891" spans="1:11" ht="12.45">
      <c r="A1891" s="2" t="str">
        <f ca="1">IFERROR(__xludf.DUMMYFUNCTION("""COMPUTED_VALUE"""),"1772087437946")</f>
        <v>1772087437946</v>
      </c>
      <c r="B1891" s="2"/>
      <c r="C1891" s="2" t="str">
        <v>0</v>
      </c>
      <c r="D1891" s="2"/>
      <c r="F1891" s="2" t="str">
        <v>0</v>
      </c>
      <c r="I1891" s="2" t="str">
        <f ca="1">IFERROR(__xludf.DUMMYFUNCTION("""COMPUTED_VALUE"""),"Phạm Thị Thu Hoài")</f>
        <v>Phạm Thị Thu Hoài</v>
      </c>
      <c r="J1891" s="3" t="str">
        <f ca="1">IFERROR(__xludf.DUMMYFUNCTION("""COMPUTED_VALUE"""),"0357898387")</f>
        <v>0357898387</v>
      </c>
      <c r="K1891" s="2" t="str">
        <f ca="1">IFERROR(__xludf.DUMMYFUNCTION("""COMPUTED_VALUE"""),"1772087437946")</f>
        <v>1772087437946</v>
      </c>
    </row>
    <row r="1892" spans="1:11" ht="12.45">
      <c r="A1892" s="2" t="str">
        <f ca="1">IFERROR(__xludf.DUMMYFUNCTION("""COMPUTED_VALUE"""),"1772087474739")</f>
        <v>1772087474739</v>
      </c>
      <c r="B1892" s="2"/>
      <c r="C1892" s="2" t="str">
        <v>0</v>
      </c>
      <c r="D1892" s="2"/>
      <c r="F1892" s="2" t="str">
        <v>0</v>
      </c>
      <c r="I1892" s="2" t="str">
        <f ca="1">IFERROR(__xludf.DUMMYFUNCTION("""COMPUTED_VALUE"""),"Trương Thị Phương Trinh")</f>
        <v>Trương Thị Phương Trinh</v>
      </c>
      <c r="J1892" s="3" t="str">
        <f ca="1">IFERROR(__xludf.DUMMYFUNCTION("""COMPUTED_VALUE"""),"0343824466")</f>
        <v>0343824466</v>
      </c>
      <c r="K1892" s="2" t="str">
        <f ca="1">IFERROR(__xludf.DUMMYFUNCTION("""COMPUTED_VALUE"""),"1772087474739")</f>
        <v>1772087474739</v>
      </c>
    </row>
    <row r="1893" spans="1:11" ht="12.45">
      <c r="A1893" s="2" t="str">
        <f ca="1">IFERROR(__xludf.DUMMYFUNCTION("""COMPUTED_VALUE"""),"1772087509452")</f>
        <v>1772087509452</v>
      </c>
      <c r="B1893" s="2"/>
      <c r="C1893" s="2" t="str">
        <v>0</v>
      </c>
      <c r="D1893" s="2"/>
      <c r="F1893" s="2" t="str">
        <v>0</v>
      </c>
      <c r="I1893" s="2" t="str">
        <f ca="1">IFERROR(__xludf.DUMMYFUNCTION("""COMPUTED_VALUE"""),"Lê Thị Thanh Thương")</f>
        <v>Lê Thị Thanh Thương</v>
      </c>
      <c r="J1893" s="3" t="str">
        <f ca="1">IFERROR(__xludf.DUMMYFUNCTION("""COMPUTED_VALUE"""),"0972719067")</f>
        <v>0972719067</v>
      </c>
      <c r="K1893" s="2" t="str">
        <f ca="1">IFERROR(__xludf.DUMMYFUNCTION("""COMPUTED_VALUE"""),"1772087509452")</f>
        <v>1772087509452</v>
      </c>
    </row>
    <row r="1894" spans="1:11" ht="12.45">
      <c r="A1894" s="2" t="str">
        <f ca="1">IFERROR(__xludf.DUMMYFUNCTION("""COMPUTED_VALUE"""),"1772087546355")</f>
        <v>1772087546355</v>
      </c>
      <c r="B1894" s="2"/>
      <c r="C1894" s="2" t="str">
        <v>0</v>
      </c>
      <c r="D1894" s="2"/>
      <c r="F1894" s="2" t="str">
        <v>0</v>
      </c>
      <c r="I1894" s="2" t="str">
        <f ca="1">IFERROR(__xludf.DUMMYFUNCTION("""COMPUTED_VALUE"""),"Nguyễn Thảo Nhi")</f>
        <v>Nguyễn Thảo Nhi</v>
      </c>
      <c r="J1894" s="3" t="str">
        <f ca="1">IFERROR(__xludf.DUMMYFUNCTION("""COMPUTED_VALUE"""),"0856272889")</f>
        <v>0856272889</v>
      </c>
      <c r="K1894" s="2" t="str">
        <f ca="1">IFERROR(__xludf.DUMMYFUNCTION("""COMPUTED_VALUE"""),"1772087546355")</f>
        <v>1772087546355</v>
      </c>
    </row>
    <row r="1895" spans="1:11" ht="12.45">
      <c r="A1895" s="2" t="str">
        <f ca="1">IFERROR(__xludf.DUMMYFUNCTION("""COMPUTED_VALUE"""),"1772087606340")</f>
        <v>1772087606340</v>
      </c>
      <c r="B1895" s="2"/>
      <c r="C1895" s="2" t="str">
        <v>0</v>
      </c>
      <c r="D1895" s="2"/>
      <c r="F1895" s="2" t="str">
        <v>0</v>
      </c>
      <c r="I1895" s="2" t="str">
        <f ca="1">IFERROR(__xludf.DUMMYFUNCTION("""COMPUTED_VALUE"""),"Trần Lâm Anh Khoa")</f>
        <v>Trần Lâm Anh Khoa</v>
      </c>
      <c r="J1895" s="3" t="str">
        <f ca="1">IFERROR(__xludf.DUMMYFUNCTION("""COMPUTED_VALUE"""),"0903085722")</f>
        <v>0903085722</v>
      </c>
      <c r="K1895" s="2" t="str">
        <f ca="1">IFERROR(__xludf.DUMMYFUNCTION("""COMPUTED_VALUE"""),"1772087606340")</f>
        <v>1772087606340</v>
      </c>
    </row>
    <row r="1896" spans="1:11" ht="12.45">
      <c r="A1896" s="2" t="str">
        <f ca="1">IFERROR(__xludf.DUMMYFUNCTION("""COMPUTED_VALUE"""),"1772087645986")</f>
        <v>1772087645986</v>
      </c>
      <c r="B1896" s="2"/>
      <c r="C1896" s="2" t="str">
        <v>0</v>
      </c>
      <c r="D1896" s="2"/>
      <c r="F1896" s="2" t="str">
        <v>0</v>
      </c>
      <c r="I1896" s="2" t="str">
        <f ca="1">IFERROR(__xludf.DUMMYFUNCTION("""COMPUTED_VALUE"""),"Đinh Huyền Yến Nhi")</f>
        <v>Đinh Huyền Yến Nhi</v>
      </c>
      <c r="J1896" s="3" t="str">
        <f ca="1">IFERROR(__xludf.DUMMYFUNCTION("""COMPUTED_VALUE"""),"0392838717")</f>
        <v>0392838717</v>
      </c>
      <c r="K1896" s="2" t="str">
        <f ca="1">IFERROR(__xludf.DUMMYFUNCTION("""COMPUTED_VALUE"""),"1772087645986")</f>
        <v>1772087645986</v>
      </c>
    </row>
    <row r="1897" spans="1:11" ht="12.45">
      <c r="A1897" s="2" t="str">
        <f ca="1">IFERROR(__xludf.DUMMYFUNCTION("""COMPUTED_VALUE"""),"1772087691011")</f>
        <v>1772087691011</v>
      </c>
      <c r="B1897" s="2"/>
      <c r="C1897" s="2" t="str">
        <v>0</v>
      </c>
      <c r="D1897" s="2"/>
      <c r="F1897" s="2" t="str">
        <v>0</v>
      </c>
      <c r="I1897" s="2" t="str">
        <f ca="1">IFERROR(__xludf.DUMMYFUNCTION("""COMPUTED_VALUE"""),"Phan Đặng Phương Thảo ")</f>
        <v xml:space="preserve">Phan Đặng Phương Thảo </v>
      </c>
      <c r="J1897" s="3" t="str">
        <f ca="1">IFERROR(__xludf.DUMMYFUNCTION("""COMPUTED_VALUE"""),"0931417764")</f>
        <v>0931417764</v>
      </c>
      <c r="K1897" s="2" t="str">
        <f ca="1">IFERROR(__xludf.DUMMYFUNCTION("""COMPUTED_VALUE"""),"1772087691011")</f>
        <v>1772087691011</v>
      </c>
    </row>
    <row r="1898" spans="1:11" ht="12.45">
      <c r="A1898" s="2" t="str">
        <f ca="1">IFERROR(__xludf.DUMMYFUNCTION("""COMPUTED_VALUE"""),"1772087724521")</f>
        <v>1772087724521</v>
      </c>
      <c r="B1898" s="2"/>
      <c r="C1898" s="2" t="str">
        <v>0</v>
      </c>
      <c r="D1898" s="2"/>
      <c r="F1898" s="2" t="str">
        <v>0</v>
      </c>
      <c r="I1898" s="2" t="str">
        <f ca="1">IFERROR(__xludf.DUMMYFUNCTION("""COMPUTED_VALUE"""),"Trần Vũ Minh Thư ")</f>
        <v xml:space="preserve">Trần Vũ Minh Thư </v>
      </c>
      <c r="J1898" s="3" t="str">
        <f ca="1">IFERROR(__xludf.DUMMYFUNCTION("""COMPUTED_VALUE"""),"0964679315")</f>
        <v>0964679315</v>
      </c>
      <c r="K1898" s="2" t="str">
        <f ca="1">IFERROR(__xludf.DUMMYFUNCTION("""COMPUTED_VALUE"""),"1772087724521")</f>
        <v>1772087724521</v>
      </c>
    </row>
    <row r="1899" spans="1:11" ht="12.45">
      <c r="A1899" s="2" t="str">
        <f ca="1">IFERROR(__xludf.DUMMYFUNCTION("""COMPUTED_VALUE"""),"1772087754525")</f>
        <v>1772087754525</v>
      </c>
      <c r="B1899" s="2"/>
      <c r="C1899" s="2" t="str">
        <v>0</v>
      </c>
      <c r="D1899" s="2"/>
      <c r="F1899" s="2" t="str">
        <v>0</v>
      </c>
      <c r="I1899" s="2" t="str">
        <f ca="1">IFERROR(__xludf.DUMMYFUNCTION("""COMPUTED_VALUE"""),"Lê Minh Huyền ")</f>
        <v xml:space="preserve">Lê Minh Huyền </v>
      </c>
      <c r="J1899" s="3" t="str">
        <f ca="1">IFERROR(__xludf.DUMMYFUNCTION("""COMPUTED_VALUE"""),"0353825508")</f>
        <v>0353825508</v>
      </c>
      <c r="K1899" s="2" t="str">
        <f ca="1">IFERROR(__xludf.DUMMYFUNCTION("""COMPUTED_VALUE"""),"1772087754525")</f>
        <v>1772087754525</v>
      </c>
    </row>
    <row r="1900" spans="1:11" ht="12.45">
      <c r="A1900" s="2" t="str">
        <f ca="1">IFERROR(__xludf.DUMMYFUNCTION("""COMPUTED_VALUE"""),"1772087785034")</f>
        <v>1772087785034</v>
      </c>
      <c r="B1900" s="2"/>
      <c r="C1900" s="2" t="str">
        <v>0</v>
      </c>
      <c r="D1900" s="2"/>
      <c r="F1900" s="2" t="str">
        <v>0</v>
      </c>
      <c r="I1900" s="2" t="str">
        <f ca="1">IFERROR(__xludf.DUMMYFUNCTION("""COMPUTED_VALUE"""),"Nông Thị Thảo Linh")</f>
        <v>Nông Thị Thảo Linh</v>
      </c>
      <c r="J1900" s="3" t="str">
        <f ca="1">IFERROR(__xludf.DUMMYFUNCTION("""COMPUTED_VALUE"""),"0828683726")</f>
        <v>0828683726</v>
      </c>
      <c r="K1900" s="2" t="str">
        <f ca="1">IFERROR(__xludf.DUMMYFUNCTION("""COMPUTED_VALUE"""),"1772087785034")</f>
        <v>1772087785034</v>
      </c>
    </row>
    <row r="1901" spans="1:11" ht="12.45">
      <c r="A1901" s="2" t="str">
        <f ca="1">IFERROR(__xludf.DUMMYFUNCTION("""COMPUTED_VALUE"""),"1772087815637")</f>
        <v>1772087815637</v>
      </c>
      <c r="B1901" s="2"/>
      <c r="C1901" s="2" t="str">
        <v>0</v>
      </c>
      <c r="D1901" s="2"/>
      <c r="F1901" s="2" t="str">
        <v>0</v>
      </c>
      <c r="I1901" s="2" t="str">
        <f ca="1">IFERROR(__xludf.DUMMYFUNCTION("""COMPUTED_VALUE"""),"Nguyễn Thị Hồng Cúc ")</f>
        <v xml:space="preserve">Nguyễn Thị Hồng Cúc </v>
      </c>
      <c r="J1901" s="3" t="str">
        <f ca="1">IFERROR(__xludf.DUMMYFUNCTION("""COMPUTED_VALUE"""),"0938006522")</f>
        <v>0938006522</v>
      </c>
      <c r="K1901" s="2" t="str">
        <f ca="1">IFERROR(__xludf.DUMMYFUNCTION("""COMPUTED_VALUE"""),"1772087815637")</f>
        <v>1772087815637</v>
      </c>
    </row>
    <row r="1902" spans="1:11" ht="12.45">
      <c r="A1902" s="2" t="str">
        <f ca="1">IFERROR(__xludf.DUMMYFUNCTION("""COMPUTED_VALUE"""),"1772087850079")</f>
        <v>1772087850079</v>
      </c>
      <c r="B1902" s="2"/>
      <c r="C1902" s="2" t="str">
        <v>0</v>
      </c>
      <c r="D1902" s="2"/>
      <c r="F1902" s="2" t="str">
        <v>0</v>
      </c>
      <c r="I1902" s="2" t="str">
        <f ca="1">IFERROR(__xludf.DUMMYFUNCTION("""COMPUTED_VALUE"""),"Lê Khả Hân ")</f>
        <v xml:space="preserve">Lê Khả Hân </v>
      </c>
      <c r="J1902" s="3" t="str">
        <f ca="1">IFERROR(__xludf.DUMMYFUNCTION("""COMPUTED_VALUE"""),"0978127663")</f>
        <v>0978127663</v>
      </c>
      <c r="K1902" s="2" t="str">
        <f ca="1">IFERROR(__xludf.DUMMYFUNCTION("""COMPUTED_VALUE"""),"1772087850079")</f>
        <v>1772087850079</v>
      </c>
    </row>
    <row r="1903" spans="1:11" ht="12.45">
      <c r="A1903" s="2" t="str">
        <f ca="1">IFERROR(__xludf.DUMMYFUNCTION("""COMPUTED_VALUE"""),"1772087881235")</f>
        <v>1772087881235</v>
      </c>
      <c r="B1903" s="2"/>
      <c r="C1903" s="2" t="str">
        <v>0</v>
      </c>
      <c r="D1903" s="2"/>
      <c r="F1903" s="2" t="str">
        <v>0</v>
      </c>
      <c r="I1903" s="2" t="str">
        <f ca="1">IFERROR(__xludf.DUMMYFUNCTION("""COMPUTED_VALUE"""),"Nguyễn Phương Ngân ")</f>
        <v xml:space="preserve">Nguyễn Phương Ngân </v>
      </c>
      <c r="J1903" s="3" t="str">
        <f ca="1">IFERROR(__xludf.DUMMYFUNCTION("""COMPUTED_VALUE"""),"0911209824")</f>
        <v>0911209824</v>
      </c>
      <c r="K1903" s="2" t="str">
        <f ca="1">IFERROR(__xludf.DUMMYFUNCTION("""COMPUTED_VALUE"""),"1772087881235")</f>
        <v>1772087881235</v>
      </c>
    </row>
    <row r="1904" spans="1:11" ht="12.45">
      <c r="A1904" s="2" t="str">
        <f ca="1">IFERROR(__xludf.DUMMYFUNCTION("""COMPUTED_VALUE"""),"1772087913428")</f>
        <v>1772087913428</v>
      </c>
      <c r="B1904" s="2"/>
      <c r="C1904" s="2" t="str">
        <v>0</v>
      </c>
      <c r="D1904" s="2"/>
      <c r="F1904" s="2" t="str">
        <v>0</v>
      </c>
      <c r="I1904" s="2" t="str">
        <f ca="1">IFERROR(__xludf.DUMMYFUNCTION("""COMPUTED_VALUE"""),"Lê Văn Thanh Thủy ")</f>
        <v xml:space="preserve">Lê Văn Thanh Thủy </v>
      </c>
      <c r="J1904" s="3" t="str">
        <f ca="1">IFERROR(__xludf.DUMMYFUNCTION("""COMPUTED_VALUE"""),"0354203345")</f>
        <v>0354203345</v>
      </c>
      <c r="K1904" s="2" t="str">
        <f ca="1">IFERROR(__xludf.DUMMYFUNCTION("""COMPUTED_VALUE"""),"1772087913428")</f>
        <v>1772087913428</v>
      </c>
    </row>
    <row r="1905" spans="1:11" ht="12.45">
      <c r="A1905" s="2" t="str">
        <f ca="1">IFERROR(__xludf.DUMMYFUNCTION("""COMPUTED_VALUE"""),"1772087947314")</f>
        <v>1772087947314</v>
      </c>
      <c r="B1905" s="2"/>
      <c r="C1905" s="2" t="str">
        <v>0</v>
      </c>
      <c r="D1905" s="2"/>
      <c r="F1905" s="2" t="str">
        <v>0</v>
      </c>
      <c r="I1905" s="2" t="str">
        <f ca="1">IFERROR(__xludf.DUMMYFUNCTION("""COMPUTED_VALUE"""),"Lê Thị Thu Hiền")</f>
        <v>Lê Thị Thu Hiền</v>
      </c>
      <c r="J1905" s="3" t="str">
        <f ca="1">IFERROR(__xludf.DUMMYFUNCTION("""COMPUTED_VALUE"""),"0348038312")</f>
        <v>0348038312</v>
      </c>
      <c r="K1905" s="2" t="str">
        <f ca="1">IFERROR(__xludf.DUMMYFUNCTION("""COMPUTED_VALUE"""),"1772087947314")</f>
        <v>1772087947314</v>
      </c>
    </row>
    <row r="1906" spans="1:11" ht="12.45">
      <c r="A1906" s="2" t="str">
        <f ca="1">IFERROR(__xludf.DUMMYFUNCTION("""COMPUTED_VALUE"""),"1772087979629")</f>
        <v>1772087979629</v>
      </c>
      <c r="B1906" s="2"/>
      <c r="C1906" s="2" t="str">
        <v>0</v>
      </c>
      <c r="D1906" s="2"/>
      <c r="F1906" s="2" t="str">
        <v>0</v>
      </c>
      <c r="I1906" s="2" t="str">
        <f ca="1">IFERROR(__xludf.DUMMYFUNCTION("""COMPUTED_VALUE"""),"Tô Trương Thanh Trúc")</f>
        <v>Tô Trương Thanh Trúc</v>
      </c>
      <c r="J1906" s="3" t="str">
        <f ca="1">IFERROR(__xludf.DUMMYFUNCTION("""COMPUTED_VALUE"""),"0899249104")</f>
        <v>0899249104</v>
      </c>
      <c r="K1906" s="2" t="str">
        <f ca="1">IFERROR(__xludf.DUMMYFUNCTION("""COMPUTED_VALUE"""),"1772087979629")</f>
        <v>1772087979629</v>
      </c>
    </row>
    <row r="1907" spans="1:11" ht="12.45">
      <c r="A1907" s="2" t="str">
        <f ca="1">IFERROR(__xludf.DUMMYFUNCTION("""COMPUTED_VALUE"""),"1772088027176")</f>
        <v>1772088027176</v>
      </c>
      <c r="B1907" s="2"/>
      <c r="C1907" s="2" t="str">
        <v>0</v>
      </c>
      <c r="D1907" s="2"/>
      <c r="F1907" s="2" t="str">
        <v>0</v>
      </c>
      <c r="I1907" s="2" t="str">
        <f ca="1">IFERROR(__xludf.DUMMYFUNCTION("""COMPUTED_VALUE"""),"Trần Ngọc Diệp ")</f>
        <v xml:space="preserve">Trần Ngọc Diệp </v>
      </c>
      <c r="J1907" s="3" t="str">
        <f ca="1">IFERROR(__xludf.DUMMYFUNCTION("""COMPUTED_VALUE"""),"0988578790")</f>
        <v>0988578790</v>
      </c>
      <c r="K1907" s="2" t="str">
        <f ca="1">IFERROR(__xludf.DUMMYFUNCTION("""COMPUTED_VALUE"""),"1772088027176")</f>
        <v>1772088027176</v>
      </c>
    </row>
    <row r="1908" spans="1:11" ht="12.45">
      <c r="A1908" s="2" t="str">
        <f ca="1">IFERROR(__xludf.DUMMYFUNCTION("""COMPUTED_VALUE"""),"1772088065836")</f>
        <v>1772088065836</v>
      </c>
      <c r="B1908" s="2"/>
      <c r="C1908" s="2" t="str">
        <v>0</v>
      </c>
      <c r="D1908" s="2"/>
      <c r="F1908" s="2" t="str">
        <v>0</v>
      </c>
      <c r="I1908" s="2" t="str">
        <f ca="1">IFERROR(__xludf.DUMMYFUNCTION("""COMPUTED_VALUE"""),"Phạm Thị Kim Oanh")</f>
        <v>Phạm Thị Kim Oanh</v>
      </c>
      <c r="J1908" s="3" t="str">
        <f ca="1">IFERROR(__xludf.DUMMYFUNCTION("""COMPUTED_VALUE"""),"0789234271")</f>
        <v>0789234271</v>
      </c>
      <c r="K1908" s="2" t="str">
        <f ca="1">IFERROR(__xludf.DUMMYFUNCTION("""COMPUTED_VALUE"""),"1772088065836")</f>
        <v>1772088065836</v>
      </c>
    </row>
    <row r="1909" spans="1:11" ht="12.45">
      <c r="A1909" s="2" t="str">
        <f ca="1">IFERROR(__xludf.DUMMYFUNCTION("""COMPUTED_VALUE"""),"1772088113368")</f>
        <v>1772088113368</v>
      </c>
      <c r="B1909" s="2"/>
      <c r="C1909" s="2" t="str">
        <v>0</v>
      </c>
      <c r="D1909" s="2"/>
      <c r="F1909" s="2" t="str">
        <v>0</v>
      </c>
      <c r="I1909" s="2" t="str">
        <f ca="1">IFERROR(__xludf.DUMMYFUNCTION("""COMPUTED_VALUE"""),"Lê Thị Thu Ngân")</f>
        <v>Lê Thị Thu Ngân</v>
      </c>
      <c r="J1909" s="3" t="str">
        <f ca="1">IFERROR(__xludf.DUMMYFUNCTION("""COMPUTED_VALUE"""),"0763071749")</f>
        <v>0763071749</v>
      </c>
      <c r="K1909" s="2" t="str">
        <f ca="1">IFERROR(__xludf.DUMMYFUNCTION("""COMPUTED_VALUE"""),"1772088113368")</f>
        <v>1772088113368</v>
      </c>
    </row>
    <row r="1910" spans="1:11" ht="12.45">
      <c r="A1910" s="2" t="str">
        <f ca="1">IFERROR(__xludf.DUMMYFUNCTION("""COMPUTED_VALUE"""),"1772088178873")</f>
        <v>1772088178873</v>
      </c>
      <c r="B1910" s="2"/>
      <c r="C1910" s="2" t="str">
        <v>0</v>
      </c>
      <c r="D1910" s="2"/>
      <c r="F1910" s="2" t="str">
        <v>0</v>
      </c>
      <c r="I1910" s="2" t="str">
        <f ca="1">IFERROR(__xludf.DUMMYFUNCTION("""COMPUTED_VALUE"""),"Phạm Trúc Linh")</f>
        <v>Phạm Trúc Linh</v>
      </c>
      <c r="J1910" s="3" t="str">
        <f ca="1">IFERROR(__xludf.DUMMYFUNCTION("""COMPUTED_VALUE"""),"0339996366")</f>
        <v>0339996366</v>
      </c>
      <c r="K1910" s="2" t="str">
        <f ca="1">IFERROR(__xludf.DUMMYFUNCTION("""COMPUTED_VALUE"""),"1772088178873")</f>
        <v>1772088178873</v>
      </c>
    </row>
    <row r="1911" spans="1:11" ht="12.45">
      <c r="A1911" s="2" t="str">
        <f ca="1">IFERROR(__xludf.DUMMYFUNCTION("""COMPUTED_VALUE"""),"1772088216336")</f>
        <v>1772088216336</v>
      </c>
      <c r="B1911" s="2"/>
      <c r="C1911" s="2" t="str">
        <v>0</v>
      </c>
      <c r="D1911" s="2"/>
      <c r="F1911" s="2" t="str">
        <v>0</v>
      </c>
      <c r="I1911" s="2" t="str">
        <f ca="1">IFERROR(__xludf.DUMMYFUNCTION("""COMPUTED_VALUE"""),"Trần Thu Hiền")</f>
        <v>Trần Thu Hiền</v>
      </c>
      <c r="J1911" s="3" t="str">
        <f ca="1">IFERROR(__xludf.DUMMYFUNCTION("""COMPUTED_VALUE"""),"0921615398")</f>
        <v>0921615398</v>
      </c>
      <c r="K1911" s="2" t="str">
        <f ca="1">IFERROR(__xludf.DUMMYFUNCTION("""COMPUTED_VALUE"""),"1772088216336")</f>
        <v>1772088216336</v>
      </c>
    </row>
    <row r="1912" spans="1:11" ht="12.45">
      <c r="A1912" s="2" t="str">
        <f ca="1">IFERROR(__xludf.DUMMYFUNCTION("""COMPUTED_VALUE"""),"1772088255979")</f>
        <v>1772088255979</v>
      </c>
      <c r="B1912" s="2"/>
      <c r="C1912" s="2" t="str">
        <v>0</v>
      </c>
      <c r="D1912" s="2"/>
      <c r="F1912" s="2" t="str">
        <v>0</v>
      </c>
      <c r="I1912" s="2" t="str">
        <f ca="1">IFERROR(__xludf.DUMMYFUNCTION("""COMPUTED_VALUE"""),"Hùynh Phương Thúy")</f>
        <v>Hùynh Phương Thúy</v>
      </c>
      <c r="J1912" s="3" t="str">
        <f ca="1">IFERROR(__xludf.DUMMYFUNCTION("""COMPUTED_VALUE"""),"0776006421")</f>
        <v>0776006421</v>
      </c>
      <c r="K1912" s="2" t="str">
        <f ca="1">IFERROR(__xludf.DUMMYFUNCTION("""COMPUTED_VALUE"""),"1772088255979")</f>
        <v>1772088255979</v>
      </c>
    </row>
    <row r="1913" spans="1:11" ht="12.45">
      <c r="A1913" s="2" t="str">
        <f ca="1">IFERROR(__xludf.DUMMYFUNCTION("""COMPUTED_VALUE"""),"1772088289988")</f>
        <v>1772088289988</v>
      </c>
      <c r="B1913" s="2"/>
      <c r="C1913" s="2" t="str">
        <v>0</v>
      </c>
      <c r="D1913" s="2"/>
      <c r="F1913" s="2" t="str">
        <v>0</v>
      </c>
      <c r="I1913" s="2" t="str">
        <f ca="1">IFERROR(__xludf.DUMMYFUNCTION("""COMPUTED_VALUE"""),"Trần Thị Ly Na")</f>
        <v>Trần Thị Ly Na</v>
      </c>
      <c r="J1913" s="3" t="str">
        <f ca="1">IFERROR(__xludf.DUMMYFUNCTION("""COMPUTED_VALUE"""),"0398596803")</f>
        <v>0398596803</v>
      </c>
      <c r="K1913" s="2" t="str">
        <f ca="1">IFERROR(__xludf.DUMMYFUNCTION("""COMPUTED_VALUE"""),"1772088289988")</f>
        <v>1772088289988</v>
      </c>
    </row>
    <row r="1914" spans="1:11" ht="12.45">
      <c r="A1914" s="2" t="str">
        <f ca="1">IFERROR(__xludf.DUMMYFUNCTION("""COMPUTED_VALUE"""),"1772088322885")</f>
        <v>1772088322885</v>
      </c>
      <c r="B1914" s="2"/>
      <c r="C1914" s="2" t="str">
        <v>0</v>
      </c>
      <c r="D1914" s="2"/>
      <c r="F1914" s="2" t="str">
        <v>0</v>
      </c>
      <c r="I1914" s="2" t="str">
        <f ca="1">IFERROR(__xludf.DUMMYFUNCTION("""COMPUTED_VALUE"""),"Nguyễn Diễm Hương ")</f>
        <v xml:space="preserve">Nguyễn Diễm Hương </v>
      </c>
      <c r="J1914" s="3" t="str">
        <f ca="1">IFERROR(__xludf.DUMMYFUNCTION("""COMPUTED_VALUE"""),"0329926817")</f>
        <v>0329926817</v>
      </c>
      <c r="K1914" s="2" t="str">
        <f ca="1">IFERROR(__xludf.DUMMYFUNCTION("""COMPUTED_VALUE"""),"1772088322885")</f>
        <v>1772088322885</v>
      </c>
    </row>
    <row r="1915" spans="1:11" ht="12.45">
      <c r="A1915" s="2" t="str">
        <f ca="1">IFERROR(__xludf.DUMMYFUNCTION("""COMPUTED_VALUE"""),"1772088352583")</f>
        <v>1772088352583</v>
      </c>
      <c r="B1915" s="2"/>
      <c r="C1915" s="2" t="str">
        <v>0</v>
      </c>
      <c r="D1915" s="2"/>
      <c r="F1915" s="2" t="str">
        <v>0</v>
      </c>
      <c r="I1915" s="2" t="str">
        <f ca="1">IFERROR(__xludf.DUMMYFUNCTION("""COMPUTED_VALUE"""),"Hà Ngọc Nhi ")</f>
        <v xml:space="preserve">Hà Ngọc Nhi </v>
      </c>
      <c r="J1915" s="3" t="str">
        <f ca="1">IFERROR(__xludf.DUMMYFUNCTION("""COMPUTED_VALUE"""),"0971583221")</f>
        <v>0971583221</v>
      </c>
      <c r="K1915" s="2" t="str">
        <f ca="1">IFERROR(__xludf.DUMMYFUNCTION("""COMPUTED_VALUE"""),"1772088352583")</f>
        <v>1772088352583</v>
      </c>
    </row>
    <row r="1916" spans="1:11" ht="12.45">
      <c r="A1916" s="2" t="str">
        <f ca="1">IFERROR(__xludf.DUMMYFUNCTION("""COMPUTED_VALUE"""),"1772088383648")</f>
        <v>1772088383648</v>
      </c>
      <c r="B1916" s="2"/>
      <c r="C1916" s="2" t="str">
        <v>0</v>
      </c>
      <c r="D1916" s="2"/>
      <c r="F1916" s="2" t="str">
        <v>0</v>
      </c>
      <c r="I1916" s="2" t="str">
        <f ca="1">IFERROR(__xludf.DUMMYFUNCTION("""COMPUTED_VALUE"""),"Nguyễn Huyền Anh")</f>
        <v>Nguyễn Huyền Anh</v>
      </c>
      <c r="J1916" s="3" t="str">
        <f ca="1">IFERROR(__xludf.DUMMYFUNCTION("""COMPUTED_VALUE"""),"0966815910")</f>
        <v>0966815910</v>
      </c>
      <c r="K1916" s="2" t="str">
        <f ca="1">IFERROR(__xludf.DUMMYFUNCTION("""COMPUTED_VALUE"""),"1772088383648")</f>
        <v>1772088383648</v>
      </c>
    </row>
    <row r="1917" spans="1:11" ht="12.45">
      <c r="A1917" s="2" t="str">
        <f ca="1">IFERROR(__xludf.DUMMYFUNCTION("""COMPUTED_VALUE"""),"1772088423741")</f>
        <v>1772088423741</v>
      </c>
      <c r="B1917" s="2"/>
      <c r="C1917" s="2" t="str">
        <v>0</v>
      </c>
      <c r="D1917" s="2"/>
      <c r="F1917" s="2" t="str">
        <v>0</v>
      </c>
      <c r="I1917" s="2" t="str">
        <f ca="1">IFERROR(__xludf.DUMMYFUNCTION("""COMPUTED_VALUE"""),"Võ Hoàng Anh Thư ")</f>
        <v xml:space="preserve">Võ Hoàng Anh Thư </v>
      </c>
      <c r="J1917" s="3" t="str">
        <f ca="1">IFERROR(__xludf.DUMMYFUNCTION("""COMPUTED_VALUE"""),"0386948618")</f>
        <v>0386948618</v>
      </c>
      <c r="K1917" s="2" t="str">
        <f ca="1">IFERROR(__xludf.DUMMYFUNCTION("""COMPUTED_VALUE"""),"1772088423741")</f>
        <v>1772088423741</v>
      </c>
    </row>
    <row r="1918" spans="1:11" ht="12.45">
      <c r="A1918" s="2" t="str">
        <f ca="1">IFERROR(__xludf.DUMMYFUNCTION("""COMPUTED_VALUE"""),"1772088464090")</f>
        <v>1772088464090</v>
      </c>
      <c r="B1918" s="2"/>
      <c r="C1918" s="2" t="str">
        <v>0</v>
      </c>
      <c r="D1918" s="2"/>
      <c r="F1918" s="2" t="str">
        <v>0</v>
      </c>
      <c r="I1918" s="2" t="str">
        <f ca="1">IFERROR(__xludf.DUMMYFUNCTION("""COMPUTED_VALUE"""),"Trần Thanh Thanh")</f>
        <v>Trần Thanh Thanh</v>
      </c>
      <c r="J1918" s="3" t="str">
        <f ca="1">IFERROR(__xludf.DUMMYFUNCTION("""COMPUTED_VALUE"""),"0911066019")</f>
        <v>0911066019</v>
      </c>
      <c r="K1918" s="2" t="str">
        <f ca="1">IFERROR(__xludf.DUMMYFUNCTION("""COMPUTED_VALUE"""),"1772088464090")</f>
        <v>1772088464090</v>
      </c>
    </row>
    <row r="1919" spans="1:11" ht="12.45">
      <c r="A1919" s="2" t="str">
        <f ca="1">IFERROR(__xludf.DUMMYFUNCTION("""COMPUTED_VALUE"""),"1772088505029")</f>
        <v>1772088505029</v>
      </c>
      <c r="B1919" s="2"/>
      <c r="C1919" s="2" t="str">
        <v>0</v>
      </c>
      <c r="D1919" s="2"/>
      <c r="F1919" s="2" t="str">
        <v>0</v>
      </c>
      <c r="I1919" s="2" t="str">
        <f ca="1">IFERROR(__xludf.DUMMYFUNCTION("""COMPUTED_VALUE"""),"Hứa Thị Phương Linh")</f>
        <v>Hứa Thị Phương Linh</v>
      </c>
      <c r="J1919" s="3" t="str">
        <f ca="1">IFERROR(__xludf.DUMMYFUNCTION("""COMPUTED_VALUE"""),"0395861277")</f>
        <v>0395861277</v>
      </c>
      <c r="K1919" s="2" t="str">
        <f ca="1">IFERROR(__xludf.DUMMYFUNCTION("""COMPUTED_VALUE"""),"1772088505029")</f>
        <v>1772088505029</v>
      </c>
    </row>
    <row r="1920" spans="1:11" ht="12.45">
      <c r="A1920" s="2" t="str">
        <f ca="1">IFERROR(__xludf.DUMMYFUNCTION("""COMPUTED_VALUE"""),"1772088542247")</f>
        <v>1772088542247</v>
      </c>
      <c r="B1920" s="2"/>
      <c r="C1920" s="2" t="str">
        <v>0</v>
      </c>
      <c r="D1920" s="2"/>
      <c r="F1920" s="2" t="str">
        <v>0</v>
      </c>
      <c r="I1920" s="2" t="str">
        <f ca="1">IFERROR(__xludf.DUMMYFUNCTION("""COMPUTED_VALUE"""),"Hoàng Mỹ Diệu Hương")</f>
        <v>Hoàng Mỹ Diệu Hương</v>
      </c>
      <c r="J1920" s="3" t="str">
        <f ca="1">IFERROR(__xludf.DUMMYFUNCTION("""COMPUTED_VALUE"""),"0386598556")</f>
        <v>0386598556</v>
      </c>
      <c r="K1920" s="2" t="str">
        <f ca="1">IFERROR(__xludf.DUMMYFUNCTION("""COMPUTED_VALUE"""),"1772088542247")</f>
        <v>1772088542247</v>
      </c>
    </row>
    <row r="1921" spans="1:11" ht="12.45">
      <c r="A1921" s="2" t="str">
        <f ca="1">IFERROR(__xludf.DUMMYFUNCTION("""COMPUTED_VALUE"""),"1772088574058")</f>
        <v>1772088574058</v>
      </c>
      <c r="B1921" s="2"/>
      <c r="C1921" s="2" t="str">
        <v>0</v>
      </c>
      <c r="D1921" s="2"/>
      <c r="F1921" s="2" t="str">
        <v>0</v>
      </c>
      <c r="I1921" s="2" t="str">
        <f ca="1">IFERROR(__xludf.DUMMYFUNCTION("""COMPUTED_VALUE"""),"Phạm thảo anh ")</f>
        <v xml:space="preserve">Phạm thảo anh </v>
      </c>
      <c r="J1921" s="3" t="str">
        <f ca="1">IFERROR(__xludf.DUMMYFUNCTION("""COMPUTED_VALUE"""),"0359882107")</f>
        <v>0359882107</v>
      </c>
      <c r="K1921" s="2" t="str">
        <f ca="1">IFERROR(__xludf.DUMMYFUNCTION("""COMPUTED_VALUE"""),"1772088574058")</f>
        <v>1772088574058</v>
      </c>
    </row>
    <row r="1922" spans="1:11" ht="12.45">
      <c r="A1922" s="2" t="str">
        <f ca="1">IFERROR(__xludf.DUMMYFUNCTION("""COMPUTED_VALUE"""),"1772088610521")</f>
        <v>1772088610521</v>
      </c>
      <c r="B1922" s="2"/>
      <c r="C1922" s="2" t="str">
        <v>0</v>
      </c>
      <c r="D1922" s="2"/>
      <c r="F1922" s="2" t="str">
        <v>0</v>
      </c>
      <c r="I1922" s="2" t="str">
        <f ca="1">IFERROR(__xludf.DUMMYFUNCTION("""COMPUTED_VALUE"""),"Vũ Phương Thảo ")</f>
        <v xml:space="preserve">Vũ Phương Thảo </v>
      </c>
      <c r="J1922" s="3" t="str">
        <f ca="1">IFERROR(__xludf.DUMMYFUNCTION("""COMPUTED_VALUE"""),"0823833665")</f>
        <v>0823833665</v>
      </c>
      <c r="K1922" s="2" t="str">
        <f ca="1">IFERROR(__xludf.DUMMYFUNCTION("""COMPUTED_VALUE"""),"1772088610521")</f>
        <v>1772088610521</v>
      </c>
    </row>
    <row r="1923" spans="1:11" ht="12.45">
      <c r="A1923" s="2" t="str">
        <f ca="1">IFERROR(__xludf.DUMMYFUNCTION("""COMPUTED_VALUE"""),"1772088648507")</f>
        <v>1772088648507</v>
      </c>
      <c r="B1923" s="2"/>
      <c r="C1923" s="2" t="str">
        <v>0</v>
      </c>
      <c r="D1923" s="2"/>
      <c r="F1923" s="2" t="str">
        <v>0</v>
      </c>
      <c r="I1923" s="2" t="str">
        <f ca="1">IFERROR(__xludf.DUMMYFUNCTION("""COMPUTED_VALUE"""),"Phạm Hải Anh ")</f>
        <v xml:space="preserve">Phạm Hải Anh </v>
      </c>
      <c r="J1923" s="3" t="str">
        <f ca="1">IFERROR(__xludf.DUMMYFUNCTION("""COMPUTED_VALUE"""),"0977203168")</f>
        <v>0977203168</v>
      </c>
      <c r="K1923" s="2" t="str">
        <f ca="1">IFERROR(__xludf.DUMMYFUNCTION("""COMPUTED_VALUE"""),"1772088648507")</f>
        <v>1772088648507</v>
      </c>
    </row>
    <row r="1924" spans="1:11" ht="12.45">
      <c r="A1924" s="2" t="str">
        <f ca="1">IFERROR(__xludf.DUMMYFUNCTION("""COMPUTED_VALUE"""),"1772088689834")</f>
        <v>1772088689834</v>
      </c>
      <c r="B1924" s="2"/>
      <c r="C1924" s="2" t="str">
        <v>0</v>
      </c>
      <c r="D1924" s="2"/>
      <c r="F1924" s="2" t="str">
        <v>0</v>
      </c>
      <c r="I1924" s="2" t="str">
        <f ca="1">IFERROR(__xludf.DUMMYFUNCTION("""COMPUTED_VALUE"""),"Phạm Thuỳ Dương")</f>
        <v>Phạm Thuỳ Dương</v>
      </c>
      <c r="J1924" s="3" t="str">
        <f ca="1">IFERROR(__xludf.DUMMYFUNCTION("""COMPUTED_VALUE"""),"0929442688")</f>
        <v>0929442688</v>
      </c>
      <c r="K1924" s="2" t="str">
        <f ca="1">IFERROR(__xludf.DUMMYFUNCTION("""COMPUTED_VALUE"""),"1772088689834")</f>
        <v>1772088689834</v>
      </c>
    </row>
    <row r="1925" spans="1:11" ht="12.45">
      <c r="A1925" s="2" t="str">
        <f ca="1">IFERROR(__xludf.DUMMYFUNCTION("""COMPUTED_VALUE"""),"1772088726818")</f>
        <v>1772088726818</v>
      </c>
      <c r="B1925" s="2"/>
      <c r="C1925" s="2" t="str">
        <v>0</v>
      </c>
      <c r="D1925" s="2"/>
      <c r="F1925" s="2" t="str">
        <v>0</v>
      </c>
      <c r="I1925" s="2" t="str">
        <f ca="1">IFERROR(__xludf.DUMMYFUNCTION("""COMPUTED_VALUE"""),"Trần Minh Phương")</f>
        <v>Trần Minh Phương</v>
      </c>
      <c r="J1925" s="3" t="str">
        <f ca="1">IFERROR(__xludf.DUMMYFUNCTION("""COMPUTED_VALUE"""),"0368794366")</f>
        <v>0368794366</v>
      </c>
      <c r="K1925" s="2" t="str">
        <f ca="1">IFERROR(__xludf.DUMMYFUNCTION("""COMPUTED_VALUE"""),"1772088726818")</f>
        <v>1772088726818</v>
      </c>
    </row>
    <row r="1926" spans="1:11" ht="12.45">
      <c r="A1926" s="2" t="str">
        <f ca="1">IFERROR(__xludf.DUMMYFUNCTION("""COMPUTED_VALUE"""),"1772088774997")</f>
        <v>1772088774997</v>
      </c>
      <c r="B1926" s="2"/>
      <c r="C1926" s="2" t="str">
        <v>0</v>
      </c>
      <c r="D1926" s="2"/>
      <c r="F1926" s="2" t="str">
        <v>0</v>
      </c>
      <c r="I1926" s="2" t="str">
        <f ca="1">IFERROR(__xludf.DUMMYFUNCTION("""COMPUTED_VALUE"""),"LÊ TRẦN QUỐC KHÁNH")</f>
        <v>LÊ TRẦN QUỐC KHÁNH</v>
      </c>
      <c r="J1926" s="3" t="str">
        <f ca="1">IFERROR(__xludf.DUMMYFUNCTION("""COMPUTED_VALUE"""),"0373171282")</f>
        <v>0373171282</v>
      </c>
      <c r="K1926" s="2" t="str">
        <f ca="1">IFERROR(__xludf.DUMMYFUNCTION("""COMPUTED_VALUE"""),"1772088774997")</f>
        <v>1772088774997</v>
      </c>
    </row>
    <row r="1927" spans="1:11" ht="12.45">
      <c r="A1927" s="2" t="str">
        <f ca="1">IFERROR(__xludf.DUMMYFUNCTION("""COMPUTED_VALUE"""),"1772088809051")</f>
        <v>1772088809051</v>
      </c>
      <c r="B1927" s="2"/>
      <c r="C1927" s="2" t="str">
        <v>0</v>
      </c>
      <c r="D1927" s="2"/>
      <c r="F1927" s="2" t="str">
        <v>0</v>
      </c>
      <c r="I1927" s="2" t="str">
        <f ca="1">IFERROR(__xludf.DUMMYFUNCTION("""COMPUTED_VALUE"""),"Trần Quốc Triệu")</f>
        <v>Trần Quốc Triệu</v>
      </c>
      <c r="J1927" s="3" t="str">
        <f ca="1">IFERROR(__xludf.DUMMYFUNCTION("""COMPUTED_VALUE"""),"0349959422")</f>
        <v>0349959422</v>
      </c>
      <c r="K1927" s="2" t="str">
        <f ca="1">IFERROR(__xludf.DUMMYFUNCTION("""COMPUTED_VALUE"""),"1772088809051")</f>
        <v>1772088809051</v>
      </c>
    </row>
    <row r="1928" spans="1:11" ht="12.45">
      <c r="A1928" s="2" t="str">
        <f ca="1">IFERROR(__xludf.DUMMYFUNCTION("""COMPUTED_VALUE"""),"1772088841884")</f>
        <v>1772088841884</v>
      </c>
      <c r="B1928" s="2"/>
      <c r="C1928" s="2" t="str">
        <v>0</v>
      </c>
      <c r="D1928" s="2"/>
      <c r="F1928" s="2" t="str">
        <v>0</v>
      </c>
      <c r="I1928" s="2" t="str">
        <f ca="1">IFERROR(__xludf.DUMMYFUNCTION("""COMPUTED_VALUE"""),"Bùi Minh Thư")</f>
        <v>Bùi Minh Thư</v>
      </c>
      <c r="J1928" s="3" t="str">
        <f ca="1">IFERROR(__xludf.DUMMYFUNCTION("""COMPUTED_VALUE"""),"0796798981")</f>
        <v>0796798981</v>
      </c>
      <c r="K1928" s="2" t="str">
        <f ca="1">IFERROR(__xludf.DUMMYFUNCTION("""COMPUTED_VALUE"""),"1772088841884")</f>
        <v>1772088841884</v>
      </c>
    </row>
    <row r="1929" spans="1:11" ht="12.45">
      <c r="A1929" s="2" t="str">
        <f ca="1">IFERROR(__xludf.DUMMYFUNCTION("""COMPUTED_VALUE"""),"1772088871479")</f>
        <v>1772088871479</v>
      </c>
      <c r="B1929" s="2"/>
      <c r="C1929" s="2" t="str">
        <v>0</v>
      </c>
      <c r="D1929" s="2"/>
      <c r="F1929" s="2" t="str">
        <v>0</v>
      </c>
      <c r="I1929" s="2" t="str">
        <f ca="1">IFERROR(__xludf.DUMMYFUNCTION("""COMPUTED_VALUE"""),"Hoàng Hà Vy")</f>
        <v>Hoàng Hà Vy</v>
      </c>
      <c r="J1929" s="3" t="str">
        <f ca="1">IFERROR(__xludf.DUMMYFUNCTION("""COMPUTED_VALUE"""),"0869686984")</f>
        <v>0869686984</v>
      </c>
      <c r="K1929" s="2" t="str">
        <f ca="1">IFERROR(__xludf.DUMMYFUNCTION("""COMPUTED_VALUE"""),"1772088871479")</f>
        <v>1772088871479</v>
      </c>
    </row>
    <row r="1930" spans="1:11" ht="12.45">
      <c r="A1930" s="2" t="str">
        <f ca="1">IFERROR(__xludf.DUMMYFUNCTION("""COMPUTED_VALUE"""),"1772088902207")</f>
        <v>1772088902207</v>
      </c>
      <c r="B1930" s="2"/>
      <c r="C1930" s="2" t="str">
        <v>0</v>
      </c>
      <c r="D1930" s="2"/>
      <c r="F1930" s="2" t="str">
        <v>0</v>
      </c>
      <c r="I1930" s="2" t="str">
        <f ca="1">IFERROR(__xludf.DUMMYFUNCTION("""COMPUTED_VALUE"""),"Ngô Phương Anh")</f>
        <v>Ngô Phương Anh</v>
      </c>
      <c r="J1930" s="3" t="str">
        <f ca="1">IFERROR(__xludf.DUMMYFUNCTION("""COMPUTED_VALUE"""),"0384109785")</f>
        <v>0384109785</v>
      </c>
      <c r="K1930" s="2" t="str">
        <f ca="1">IFERROR(__xludf.DUMMYFUNCTION("""COMPUTED_VALUE"""),"1772088902207")</f>
        <v>1772088902207</v>
      </c>
    </row>
    <row r="1931" spans="1:11" ht="12.45">
      <c r="A1931" s="2" t="str">
        <f ca="1">IFERROR(__xludf.DUMMYFUNCTION("""COMPUTED_VALUE"""),"1772088941371")</f>
        <v>1772088941371</v>
      </c>
      <c r="B1931" s="2"/>
      <c r="C1931" s="2" t="str">
        <v>0</v>
      </c>
      <c r="D1931" s="2"/>
      <c r="F1931" s="2" t="str">
        <v>0</v>
      </c>
      <c r="I1931" s="2" t="str">
        <f ca="1">IFERROR(__xludf.DUMMYFUNCTION("""COMPUTED_VALUE"""),"Vũ Thị Minh Anh")</f>
        <v>Vũ Thị Minh Anh</v>
      </c>
      <c r="J1931" s="3" t="str">
        <f ca="1">IFERROR(__xludf.DUMMYFUNCTION("""COMPUTED_VALUE"""),"0925556338")</f>
        <v>0925556338</v>
      </c>
      <c r="K1931" s="2" t="str">
        <f ca="1">IFERROR(__xludf.DUMMYFUNCTION("""COMPUTED_VALUE"""),"1772088941371")</f>
        <v>1772088941371</v>
      </c>
    </row>
    <row r="1932" spans="1:11" ht="12.45">
      <c r="A1932" s="2" t="str">
        <f ca="1">IFERROR(__xludf.DUMMYFUNCTION("""COMPUTED_VALUE"""),"1772088972099")</f>
        <v>1772088972099</v>
      </c>
      <c r="B1932" s="2"/>
      <c r="C1932" s="2" t="str">
        <v>0</v>
      </c>
      <c r="D1932" s="2"/>
      <c r="F1932" s="2" t="str">
        <v>0</v>
      </c>
      <c r="I1932" s="2" t="str">
        <f ca="1">IFERROR(__xludf.DUMMYFUNCTION("""COMPUTED_VALUE"""),"Nguyễn Thị Như Quỳnh")</f>
        <v>Nguyễn Thị Như Quỳnh</v>
      </c>
      <c r="J1932" s="3" t="str">
        <f ca="1">IFERROR(__xludf.DUMMYFUNCTION("""COMPUTED_VALUE"""),"0332675609")</f>
        <v>0332675609</v>
      </c>
      <c r="K1932" s="2" t="str">
        <f ca="1">IFERROR(__xludf.DUMMYFUNCTION("""COMPUTED_VALUE"""),"1772088972099")</f>
        <v>1772088972099</v>
      </c>
    </row>
    <row r="1933" spans="1:11" ht="12.45">
      <c r="A1933" s="2" t="str">
        <f ca="1">IFERROR(__xludf.DUMMYFUNCTION("""COMPUTED_VALUE"""),"1772089007194")</f>
        <v>1772089007194</v>
      </c>
      <c r="B1933" s="2"/>
      <c r="C1933" s="2" t="str">
        <v>0</v>
      </c>
      <c r="D1933" s="2"/>
      <c r="F1933" s="2" t="str">
        <v>0</v>
      </c>
      <c r="I1933" s="2" t="str">
        <f ca="1">IFERROR(__xludf.DUMMYFUNCTION("""COMPUTED_VALUE"""),"Mạc Quế Chi")</f>
        <v>Mạc Quế Chi</v>
      </c>
      <c r="J1933" s="3" t="str">
        <f ca="1">IFERROR(__xludf.DUMMYFUNCTION("""COMPUTED_VALUE"""),"0346439409")</f>
        <v>0346439409</v>
      </c>
      <c r="K1933" s="2" t="str">
        <f ca="1">IFERROR(__xludf.DUMMYFUNCTION("""COMPUTED_VALUE"""),"1772089007194")</f>
        <v>1772089007194</v>
      </c>
    </row>
    <row r="1934" spans="1:11" ht="12.45">
      <c r="A1934" s="2" t="str">
        <f ca="1">IFERROR(__xludf.DUMMYFUNCTION("""COMPUTED_VALUE"""),"1772089051623")</f>
        <v>1772089051623</v>
      </c>
      <c r="B1934" s="2"/>
      <c r="C1934" s="2" t="str">
        <v>0</v>
      </c>
      <c r="D1934" s="2"/>
      <c r="F1934" s="2" t="str">
        <v>0</v>
      </c>
      <c r="I1934" s="2" t="str">
        <f ca="1">IFERROR(__xludf.DUMMYFUNCTION("""COMPUTED_VALUE"""),"Trần Khánh Linh ")</f>
        <v xml:space="preserve">Trần Khánh Linh </v>
      </c>
      <c r="J1934" s="3" t="str">
        <f ca="1">IFERROR(__xludf.DUMMYFUNCTION("""COMPUTED_VALUE"""),"0984463689")</f>
        <v>0984463689</v>
      </c>
      <c r="K1934" s="2" t="str">
        <f ca="1">IFERROR(__xludf.DUMMYFUNCTION("""COMPUTED_VALUE"""),"1772089051623")</f>
        <v>1772089051623</v>
      </c>
    </row>
    <row r="1935" spans="1:11" ht="12.45">
      <c r="A1935" s="2" t="str">
        <f ca="1">IFERROR(__xludf.DUMMYFUNCTION("""COMPUTED_VALUE"""),"1772089093873")</f>
        <v>1772089093873</v>
      </c>
      <c r="B1935" s="2"/>
      <c r="C1935" s="2" t="str">
        <v>0</v>
      </c>
      <c r="D1935" s="2"/>
      <c r="F1935" s="2" t="str">
        <v>0</v>
      </c>
      <c r="I1935" s="2" t="str">
        <f ca="1">IFERROR(__xludf.DUMMYFUNCTION("""COMPUTED_VALUE"""),"Đỗ Thị Huế")</f>
        <v>Đỗ Thị Huế</v>
      </c>
      <c r="J1935" s="3" t="str">
        <f ca="1">IFERROR(__xludf.DUMMYFUNCTION("""COMPUTED_VALUE"""),"0819369356")</f>
        <v>0819369356</v>
      </c>
      <c r="K1935" s="2" t="str">
        <f ca="1">IFERROR(__xludf.DUMMYFUNCTION("""COMPUTED_VALUE"""),"1772089093873")</f>
        <v>1772089093873</v>
      </c>
    </row>
    <row r="1936" spans="1:11" ht="12.45">
      <c r="A1936" s="2" t="str">
        <f ca="1">IFERROR(__xludf.DUMMYFUNCTION("""COMPUTED_VALUE"""),"1772089127956")</f>
        <v>1772089127956</v>
      </c>
      <c r="B1936" s="2"/>
      <c r="C1936" s="2" t="str">
        <v>0</v>
      </c>
      <c r="D1936" s="2"/>
      <c r="F1936" s="2" t="str">
        <v>0</v>
      </c>
      <c r="I1936" s="2" t="str">
        <f ca="1">IFERROR(__xludf.DUMMYFUNCTION("""COMPUTED_VALUE"""),"Nguyễn Hữu Thơ")</f>
        <v>Nguyễn Hữu Thơ</v>
      </c>
      <c r="J1936" s="3" t="str">
        <f ca="1">IFERROR(__xludf.DUMMYFUNCTION("""COMPUTED_VALUE"""),"0365329321")</f>
        <v>0365329321</v>
      </c>
      <c r="K1936" s="2" t="str">
        <f ca="1">IFERROR(__xludf.DUMMYFUNCTION("""COMPUTED_VALUE"""),"1772089127956")</f>
        <v>1772089127956</v>
      </c>
    </row>
    <row r="1937" spans="1:11" ht="12.45">
      <c r="A1937" s="2" t="str">
        <f ca="1">IFERROR(__xludf.DUMMYFUNCTION("""COMPUTED_VALUE"""),"1772089163740")</f>
        <v>1772089163740</v>
      </c>
      <c r="B1937" s="2"/>
      <c r="C1937" s="2" t="str">
        <v>0</v>
      </c>
      <c r="D1937" s="2"/>
      <c r="F1937" s="2" t="str">
        <v>0</v>
      </c>
      <c r="I1937" s="2" t="str">
        <f ca="1">IFERROR(__xludf.DUMMYFUNCTION("""COMPUTED_VALUE"""),"Hoàng Ngọc Ánh")</f>
        <v>Hoàng Ngọc Ánh</v>
      </c>
      <c r="J1937" s="3" t="str">
        <f ca="1">IFERROR(__xludf.DUMMYFUNCTION("""COMPUTED_VALUE"""),"0971368721")</f>
        <v>0971368721</v>
      </c>
      <c r="K1937" s="2" t="str">
        <f ca="1">IFERROR(__xludf.DUMMYFUNCTION("""COMPUTED_VALUE"""),"1772089163740")</f>
        <v>1772089163740</v>
      </c>
    </row>
    <row r="1938" spans="1:11" ht="12.45">
      <c r="A1938" s="2" t="str">
        <f ca="1">IFERROR(__xludf.DUMMYFUNCTION("""COMPUTED_VALUE"""),"1772089211285")</f>
        <v>1772089211285</v>
      </c>
      <c r="B1938" s="2"/>
      <c r="C1938" s="2" t="str">
        <v>0</v>
      </c>
      <c r="D1938" s="2"/>
      <c r="F1938" s="2" t="str">
        <v>0</v>
      </c>
      <c r="I1938" s="2" t="str">
        <f ca="1">IFERROR(__xludf.DUMMYFUNCTION("""COMPUTED_VALUE"""),"Nguyễn Thúy Hằng")</f>
        <v>Nguyễn Thúy Hằng</v>
      </c>
      <c r="J1938" s="3" t="str">
        <f ca="1">IFERROR(__xludf.DUMMYFUNCTION("""COMPUTED_VALUE"""),"0947091176")</f>
        <v>0947091176</v>
      </c>
      <c r="K1938" s="2" t="str">
        <f ca="1">IFERROR(__xludf.DUMMYFUNCTION("""COMPUTED_VALUE"""),"1772089211285")</f>
        <v>1772089211285</v>
      </c>
    </row>
    <row r="1939" spans="1:11" ht="12.45">
      <c r="A1939" s="2" t="str">
        <f ca="1">IFERROR(__xludf.DUMMYFUNCTION("""COMPUTED_VALUE"""),"1772089249074")</f>
        <v>1772089249074</v>
      </c>
      <c r="B1939" s="2"/>
      <c r="C1939" s="2" t="str">
        <v>0</v>
      </c>
      <c r="D1939" s="2"/>
      <c r="F1939" s="2" t="str">
        <v>0</v>
      </c>
      <c r="I1939" s="2" t="str">
        <f ca="1">IFERROR(__xludf.DUMMYFUNCTION("""COMPUTED_VALUE"""),"Lý Thị Anh Thư ")</f>
        <v xml:space="preserve">Lý Thị Anh Thư </v>
      </c>
      <c r="J1939" s="3" t="str">
        <f ca="1">IFERROR(__xludf.DUMMYFUNCTION("""COMPUTED_VALUE"""),"0348021905")</f>
        <v>0348021905</v>
      </c>
      <c r="K1939" s="2" t="str">
        <f ca="1">IFERROR(__xludf.DUMMYFUNCTION("""COMPUTED_VALUE"""),"1772089249074")</f>
        <v>1772089249074</v>
      </c>
    </row>
    <row r="1940" spans="1:11" ht="12.45">
      <c r="A1940" s="2" t="str">
        <f ca="1">IFERROR(__xludf.DUMMYFUNCTION("""COMPUTED_VALUE"""),"1772089282885")</f>
        <v>1772089282885</v>
      </c>
      <c r="B1940" s="2"/>
      <c r="C1940" s="2" t="str">
        <v>0</v>
      </c>
      <c r="D1940" s="2"/>
      <c r="F1940" s="2" t="str">
        <v>0</v>
      </c>
      <c r="I1940" s="2" t="str">
        <f ca="1">IFERROR(__xludf.DUMMYFUNCTION("""COMPUTED_VALUE"""),"Lê Thị Thu Thảo")</f>
        <v>Lê Thị Thu Thảo</v>
      </c>
      <c r="J1940" s="3" t="str">
        <f ca="1">IFERROR(__xludf.DUMMYFUNCTION("""COMPUTED_VALUE"""),"0797550910")</f>
        <v>0797550910</v>
      </c>
      <c r="K1940" s="2" t="str">
        <f ca="1">IFERROR(__xludf.DUMMYFUNCTION("""COMPUTED_VALUE"""),"1772089282885")</f>
        <v>1772089282885</v>
      </c>
    </row>
    <row r="1941" spans="1:11" ht="12.45">
      <c r="A1941" s="2" t="str">
        <f ca="1">IFERROR(__xludf.DUMMYFUNCTION("""COMPUTED_VALUE"""),"1772089314618")</f>
        <v>1772089314618</v>
      </c>
      <c r="B1941" s="2"/>
      <c r="C1941" s="2" t="str">
        <v>0</v>
      </c>
      <c r="D1941" s="2"/>
      <c r="F1941" s="2" t="str">
        <v>0</v>
      </c>
      <c r="I1941" s="2" t="str">
        <f ca="1">IFERROR(__xludf.DUMMYFUNCTION("""COMPUTED_VALUE"""),"Đậu Thị Ngọc")</f>
        <v>Đậu Thị Ngọc</v>
      </c>
      <c r="J1941" s="3" t="str">
        <f ca="1">IFERROR(__xludf.DUMMYFUNCTION("""COMPUTED_VALUE"""),"0357492267")</f>
        <v>0357492267</v>
      </c>
      <c r="K1941" s="2" t="str">
        <f ca="1">IFERROR(__xludf.DUMMYFUNCTION("""COMPUTED_VALUE"""),"1772089314618")</f>
        <v>1772089314618</v>
      </c>
    </row>
    <row r="1942" spans="1:11" ht="12.45">
      <c r="A1942" s="2" t="str">
        <f ca="1">IFERROR(__xludf.DUMMYFUNCTION("""COMPUTED_VALUE"""),"1772089353954")</f>
        <v>1772089353954</v>
      </c>
      <c r="B1942" s="2"/>
      <c r="C1942" s="2" t="str">
        <v>0</v>
      </c>
      <c r="D1942" s="2"/>
      <c r="F1942" s="2" t="str">
        <v>0</v>
      </c>
      <c r="I1942" s="2" t="str">
        <f ca="1">IFERROR(__xludf.DUMMYFUNCTION("""COMPUTED_VALUE"""),"Nguyễn Thị Thủy Tiên")</f>
        <v>Nguyễn Thị Thủy Tiên</v>
      </c>
      <c r="J1942" s="3" t="str">
        <f ca="1">IFERROR(__xludf.DUMMYFUNCTION("""COMPUTED_VALUE"""),"0846417225")</f>
        <v>0846417225</v>
      </c>
      <c r="K1942" s="2" t="str">
        <f ca="1">IFERROR(__xludf.DUMMYFUNCTION("""COMPUTED_VALUE"""),"1772089353954")</f>
        <v>1772089353954</v>
      </c>
    </row>
    <row r="1943" spans="1:11" ht="12.45">
      <c r="A1943" s="2" t="str">
        <f ca="1">IFERROR(__xludf.DUMMYFUNCTION("""COMPUTED_VALUE"""),"1772089386814")</f>
        <v>1772089386814</v>
      </c>
      <c r="B1943" s="2"/>
      <c r="C1943" s="2" t="str">
        <v>0</v>
      </c>
      <c r="D1943" s="2"/>
      <c r="F1943" s="2" t="str">
        <v>0</v>
      </c>
      <c r="I1943" s="2" t="str">
        <f ca="1">IFERROR(__xludf.DUMMYFUNCTION("""COMPUTED_VALUE"""),"Nguyễn Lê Phương Trang ")</f>
        <v xml:space="preserve">Nguyễn Lê Phương Trang </v>
      </c>
      <c r="J1943" s="3" t="str">
        <f ca="1">IFERROR(__xludf.DUMMYFUNCTION("""COMPUTED_VALUE"""),"0707190771")</f>
        <v>0707190771</v>
      </c>
      <c r="K1943" s="2" t="str">
        <f ca="1">IFERROR(__xludf.DUMMYFUNCTION("""COMPUTED_VALUE"""),"1772089386814")</f>
        <v>1772089386814</v>
      </c>
    </row>
    <row r="1944" spans="1:11" ht="12.45">
      <c r="A1944" s="2" t="str">
        <f ca="1">IFERROR(__xludf.DUMMYFUNCTION("""COMPUTED_VALUE"""),"1772089413240")</f>
        <v>1772089413240</v>
      </c>
      <c r="B1944" s="2"/>
      <c r="C1944" s="2" t="str">
        <v>0</v>
      </c>
      <c r="D1944" s="2"/>
      <c r="F1944" s="2" t="str">
        <v>0</v>
      </c>
      <c r="I1944" s="2" t="str">
        <f ca="1">IFERROR(__xludf.DUMMYFUNCTION("""COMPUTED_VALUE"""),"Lê Thị Huyền Trang ")</f>
        <v xml:space="preserve">Lê Thị Huyền Trang </v>
      </c>
      <c r="J1944" s="3" t="str">
        <f ca="1">IFERROR(__xludf.DUMMYFUNCTION("""COMPUTED_VALUE"""),"0336836533")</f>
        <v>0336836533</v>
      </c>
      <c r="K1944" s="2" t="str">
        <f ca="1">IFERROR(__xludf.DUMMYFUNCTION("""COMPUTED_VALUE"""),"1772089413240")</f>
        <v>1772089413240</v>
      </c>
    </row>
    <row r="1945" spans="1:11" ht="12.45">
      <c r="A1945" s="2" t="str">
        <f ca="1">IFERROR(__xludf.DUMMYFUNCTION("""COMPUTED_VALUE"""),"1772089450231")</f>
        <v>1772089450231</v>
      </c>
      <c r="B1945" s="2"/>
      <c r="C1945" s="2" t="str">
        <v>0</v>
      </c>
      <c r="D1945" s="2"/>
      <c r="F1945" s="2" t="str">
        <v>0</v>
      </c>
      <c r="I1945" s="2" t="str">
        <f ca="1">IFERROR(__xludf.DUMMYFUNCTION("""COMPUTED_VALUE"""),"Lê Thị Như Huỳnh ")</f>
        <v xml:space="preserve">Lê Thị Như Huỳnh </v>
      </c>
      <c r="J1945" s="3" t="str">
        <f ca="1">IFERROR(__xludf.DUMMYFUNCTION("""COMPUTED_VALUE"""),"0346635145")</f>
        <v>0346635145</v>
      </c>
      <c r="K1945" s="2" t="str">
        <f ca="1">IFERROR(__xludf.DUMMYFUNCTION("""COMPUTED_VALUE"""),"1772089450231")</f>
        <v>1772089450231</v>
      </c>
    </row>
    <row r="1946" spans="1:11" ht="12.45">
      <c r="A1946" s="2" t="str">
        <f ca="1">IFERROR(__xludf.DUMMYFUNCTION("""COMPUTED_VALUE"""),"1772089486530")</f>
        <v>1772089486530</v>
      </c>
      <c r="B1946" s="2"/>
      <c r="C1946" s="2" t="str">
        <v>0</v>
      </c>
      <c r="D1946" s="2"/>
      <c r="F1946" s="2" t="str">
        <v>0</v>
      </c>
      <c r="I1946" s="2" t="str">
        <f ca="1">IFERROR(__xludf.DUMMYFUNCTION("""COMPUTED_VALUE"""),"Phạm Võ Bảo Thy")</f>
        <v>Phạm Võ Bảo Thy</v>
      </c>
      <c r="J1946" s="3" t="str">
        <f ca="1">IFERROR(__xludf.DUMMYFUNCTION("""COMPUTED_VALUE"""),"0966349349")</f>
        <v>0966349349</v>
      </c>
      <c r="K1946" s="2" t="str">
        <f ca="1">IFERROR(__xludf.DUMMYFUNCTION("""COMPUTED_VALUE"""),"1772089486530")</f>
        <v>1772089486530</v>
      </c>
    </row>
    <row r="1947" spans="1:11" ht="12.45">
      <c r="A1947" s="2" t="str">
        <f ca="1">IFERROR(__xludf.DUMMYFUNCTION("""COMPUTED_VALUE"""),"1772089516996")</f>
        <v>1772089516996</v>
      </c>
      <c r="B1947" s="2"/>
      <c r="C1947" s="2" t="str">
        <v>0</v>
      </c>
      <c r="D1947" s="2"/>
      <c r="F1947" s="2" t="str">
        <v>0</v>
      </c>
      <c r="I1947" s="2" t="str">
        <f ca="1">IFERROR(__xludf.DUMMYFUNCTION("""COMPUTED_VALUE"""),"Lê Đỗ Nguyệt Hằng ")</f>
        <v xml:space="preserve">Lê Đỗ Nguyệt Hằng </v>
      </c>
      <c r="J1947" s="3" t="str">
        <f ca="1">IFERROR(__xludf.DUMMYFUNCTION("""COMPUTED_VALUE"""),"0352880682")</f>
        <v>0352880682</v>
      </c>
      <c r="K1947" s="2" t="str">
        <f ca="1">IFERROR(__xludf.DUMMYFUNCTION("""COMPUTED_VALUE"""),"1772089516996")</f>
        <v>1772089516996</v>
      </c>
    </row>
    <row r="1948" spans="1:11" ht="12.45">
      <c r="A1948" s="2" t="str">
        <f ca="1">IFERROR(__xludf.DUMMYFUNCTION("""COMPUTED_VALUE"""),"1772089548256")</f>
        <v>1772089548256</v>
      </c>
      <c r="B1948" s="2"/>
      <c r="C1948" s="2" t="str">
        <v>0</v>
      </c>
      <c r="D1948" s="2"/>
      <c r="F1948" s="2" t="str">
        <v>0</v>
      </c>
      <c r="I1948" s="2" t="str">
        <f ca="1">IFERROR(__xludf.DUMMYFUNCTION("""COMPUTED_VALUE"""),"Phạm Diệu ")</f>
        <v xml:space="preserve">Phạm Diệu </v>
      </c>
      <c r="J1948" s="3" t="str">
        <f ca="1">IFERROR(__xludf.DUMMYFUNCTION("""COMPUTED_VALUE"""),"0968865604")</f>
        <v>0968865604</v>
      </c>
      <c r="K1948" s="2" t="str">
        <f ca="1">IFERROR(__xludf.DUMMYFUNCTION("""COMPUTED_VALUE"""),"1772089548256")</f>
        <v>1772089548256</v>
      </c>
    </row>
    <row r="1949" spans="1:11" ht="12.45">
      <c r="A1949" s="2" t="str">
        <f ca="1">IFERROR(__xludf.DUMMYFUNCTION("""COMPUTED_VALUE"""),"1772089575651")</f>
        <v>1772089575651</v>
      </c>
      <c r="B1949" s="2"/>
      <c r="C1949" s="2" t="str">
        <v>0</v>
      </c>
      <c r="D1949" s="2"/>
      <c r="F1949" s="2" t="str">
        <v>0</v>
      </c>
      <c r="I1949" s="2" t="str">
        <f ca="1">IFERROR(__xludf.DUMMYFUNCTION("""COMPUTED_VALUE"""),"Nguyễn Thu Trang")</f>
        <v>Nguyễn Thu Trang</v>
      </c>
      <c r="J1949" s="3" t="str">
        <f ca="1">IFERROR(__xludf.DUMMYFUNCTION("""COMPUTED_VALUE"""),"0374099533")</f>
        <v>0374099533</v>
      </c>
      <c r="K1949" s="2" t="str">
        <f ca="1">IFERROR(__xludf.DUMMYFUNCTION("""COMPUTED_VALUE"""),"1772089575651")</f>
        <v>1772089575651</v>
      </c>
    </row>
    <row r="1950" spans="1:11" ht="12.45">
      <c r="A1950" s="2" t="str">
        <f ca="1">IFERROR(__xludf.DUMMYFUNCTION("""COMPUTED_VALUE"""),"1772089604485")</f>
        <v>1772089604485</v>
      </c>
      <c r="B1950" s="2"/>
      <c r="C1950" s="2" t="str">
        <v>0</v>
      </c>
      <c r="D1950" s="2"/>
      <c r="F1950" s="2" t="str">
        <v>0</v>
      </c>
      <c r="I1950" s="2" t="str">
        <f ca="1">IFERROR(__xludf.DUMMYFUNCTION("""COMPUTED_VALUE"""),"Châu Huệ Như")</f>
        <v>Châu Huệ Như</v>
      </c>
      <c r="J1950" s="3" t="str">
        <f ca="1">IFERROR(__xludf.DUMMYFUNCTION("""COMPUTED_VALUE"""),"0353492031")</f>
        <v>0353492031</v>
      </c>
      <c r="K1950" s="2" t="str">
        <f ca="1">IFERROR(__xludf.DUMMYFUNCTION("""COMPUTED_VALUE"""),"1772089604485")</f>
        <v>1772089604485</v>
      </c>
    </row>
    <row r="1951" spans="1:11" ht="12.45">
      <c r="A1951" s="2" t="str">
        <f ca="1">IFERROR(__xludf.DUMMYFUNCTION("""COMPUTED_VALUE"""),"1772089628004")</f>
        <v>1772089628004</v>
      </c>
      <c r="B1951" s="2"/>
      <c r="C1951" s="2" t="str">
        <v>0</v>
      </c>
      <c r="D1951" s="2"/>
      <c r="F1951" s="2" t="str">
        <v>0</v>
      </c>
      <c r="I1951" s="2" t="str">
        <f ca="1">IFERROR(__xludf.DUMMYFUNCTION("""COMPUTED_VALUE"""),"Đinh Thùy Trang")</f>
        <v>Đinh Thùy Trang</v>
      </c>
      <c r="J1951" s="3" t="str">
        <f ca="1">IFERROR(__xludf.DUMMYFUNCTION("""COMPUTED_VALUE"""),"0963007865")</f>
        <v>0963007865</v>
      </c>
      <c r="K1951" s="2" t="str">
        <f ca="1">IFERROR(__xludf.DUMMYFUNCTION("""COMPUTED_VALUE"""),"1772089628004")</f>
        <v>1772089628004</v>
      </c>
    </row>
    <row r="1952" spans="1:11" ht="12.45">
      <c r="A1952" s="2" t="str">
        <f ca="1">IFERROR(__xludf.DUMMYFUNCTION("""COMPUTED_VALUE"""),"1772089659405")</f>
        <v>1772089659405</v>
      </c>
      <c r="B1952" s="2"/>
      <c r="C1952" s="2" t="str">
        <v>0</v>
      </c>
      <c r="D1952" s="2"/>
      <c r="F1952" s="2" t="str">
        <v>0</v>
      </c>
      <c r="I1952" s="2" t="str">
        <f ca="1">IFERROR(__xludf.DUMMYFUNCTION("""COMPUTED_VALUE"""),"Vũ Lê Hoàng Ngọc")</f>
        <v>Vũ Lê Hoàng Ngọc</v>
      </c>
      <c r="J1952" s="3" t="str">
        <f ca="1">IFERROR(__xludf.DUMMYFUNCTION("""COMPUTED_VALUE"""),"0329945415")</f>
        <v>0329945415</v>
      </c>
      <c r="K1952" s="2" t="str">
        <f ca="1">IFERROR(__xludf.DUMMYFUNCTION("""COMPUTED_VALUE"""),"1772089659405")</f>
        <v>1772089659405</v>
      </c>
    </row>
    <row r="1953" spans="1:11" ht="12.45">
      <c r="A1953" s="2" t="str">
        <f ca="1">IFERROR(__xludf.DUMMYFUNCTION("""COMPUTED_VALUE"""),"1772089688619")</f>
        <v>1772089688619</v>
      </c>
      <c r="B1953" s="2"/>
      <c r="C1953" s="2" t="str">
        <v>0</v>
      </c>
      <c r="D1953" s="2"/>
      <c r="F1953" s="2" t="str">
        <v>0</v>
      </c>
      <c r="I1953" s="2" t="str">
        <f ca="1">IFERROR(__xludf.DUMMYFUNCTION("""COMPUTED_VALUE"""),"Phạm Ngọc Châm")</f>
        <v>Phạm Ngọc Châm</v>
      </c>
      <c r="J1953" s="3" t="str">
        <f ca="1">IFERROR(__xludf.DUMMYFUNCTION("""COMPUTED_VALUE"""),"0967532411")</f>
        <v>0967532411</v>
      </c>
      <c r="K1953" s="2" t="str">
        <f ca="1">IFERROR(__xludf.DUMMYFUNCTION("""COMPUTED_VALUE"""),"1772089688619")</f>
        <v>1772089688619</v>
      </c>
    </row>
    <row r="1954" spans="1:11" ht="12.45">
      <c r="A1954" s="2" t="str">
        <f ca="1">IFERROR(__xludf.DUMMYFUNCTION("""COMPUTED_VALUE"""),"1772089720279")</f>
        <v>1772089720279</v>
      </c>
      <c r="B1954" s="2"/>
      <c r="C1954" s="2" t="str">
        <v>0</v>
      </c>
      <c r="D1954" s="2"/>
      <c r="F1954" s="2" t="str">
        <v>0</v>
      </c>
      <c r="I1954" s="2" t="str">
        <f ca="1">IFERROR(__xludf.DUMMYFUNCTION("""COMPUTED_VALUE"""),"Đồng Khánh Ly")</f>
        <v>Đồng Khánh Ly</v>
      </c>
      <c r="J1954" s="3" t="str">
        <f ca="1">IFERROR(__xludf.DUMMYFUNCTION("""COMPUTED_VALUE"""),"0399699709")</f>
        <v>0399699709</v>
      </c>
      <c r="K1954" s="2" t="str">
        <f ca="1">IFERROR(__xludf.DUMMYFUNCTION("""COMPUTED_VALUE"""),"1772089720279")</f>
        <v>1772089720279</v>
      </c>
    </row>
    <row r="1955" spans="1:11" ht="12.45">
      <c r="A1955" s="2" t="str">
        <f ca="1">IFERROR(__xludf.DUMMYFUNCTION("""COMPUTED_VALUE"""),"1772089749211")</f>
        <v>1772089749211</v>
      </c>
      <c r="B1955" s="2"/>
      <c r="C1955" s="2" t="str">
        <v>0</v>
      </c>
      <c r="D1955" s="2"/>
      <c r="F1955" s="2" t="str">
        <v>0</v>
      </c>
      <c r="I1955" s="2" t="str">
        <f ca="1">IFERROR(__xludf.DUMMYFUNCTION("""COMPUTED_VALUE"""),"Nguyễn Minh Hằng ")</f>
        <v xml:space="preserve">Nguyễn Minh Hằng </v>
      </c>
      <c r="J1955" s="3" t="str">
        <f ca="1">IFERROR(__xludf.DUMMYFUNCTION("""COMPUTED_VALUE"""),"0944385828")</f>
        <v>0944385828</v>
      </c>
      <c r="K1955" s="2" t="str">
        <f ca="1">IFERROR(__xludf.DUMMYFUNCTION("""COMPUTED_VALUE"""),"1772089749211")</f>
        <v>1772089749211</v>
      </c>
    </row>
    <row r="1956" spans="1:11" ht="12.45">
      <c r="A1956" s="2" t="str">
        <f ca="1">IFERROR(__xludf.DUMMYFUNCTION("""COMPUTED_VALUE"""),"1772089783856")</f>
        <v>1772089783856</v>
      </c>
      <c r="B1956" s="2"/>
      <c r="C1956" s="2" t="str">
        <v>0</v>
      </c>
      <c r="D1956" s="2"/>
      <c r="F1956" s="2" t="str">
        <v>0</v>
      </c>
      <c r="I1956" s="2" t="str">
        <f ca="1">IFERROR(__xludf.DUMMYFUNCTION("""COMPUTED_VALUE"""),"Trần Vũ Minh Ánh")</f>
        <v>Trần Vũ Minh Ánh</v>
      </c>
      <c r="J1956" s="3" t="str">
        <f ca="1">IFERROR(__xludf.DUMMYFUNCTION("""COMPUTED_VALUE"""),"0935914364")</f>
        <v>0935914364</v>
      </c>
      <c r="K1956" s="2" t="str">
        <f ca="1">IFERROR(__xludf.DUMMYFUNCTION("""COMPUTED_VALUE"""),"1772089783856")</f>
        <v>1772089783856</v>
      </c>
    </row>
    <row r="1957" spans="1:11" ht="12.45">
      <c r="A1957" s="2" t="str">
        <f ca="1">IFERROR(__xludf.DUMMYFUNCTION("""COMPUTED_VALUE"""),"1772089827764")</f>
        <v>1772089827764</v>
      </c>
      <c r="B1957" s="2"/>
      <c r="C1957" s="2" t="str">
        <v>0</v>
      </c>
      <c r="D1957" s="2"/>
      <c r="F1957" s="2" t="str">
        <v>0</v>
      </c>
      <c r="I1957" s="2" t="str">
        <f ca="1">IFERROR(__xludf.DUMMYFUNCTION("""COMPUTED_VALUE"""),"Đặng Quốc Khánh")</f>
        <v>Đặng Quốc Khánh</v>
      </c>
      <c r="J1957" s="3" t="str">
        <f ca="1">IFERROR(__xludf.DUMMYFUNCTION("""COMPUTED_VALUE"""),"0397836837")</f>
        <v>0397836837</v>
      </c>
      <c r="K1957" s="2" t="str">
        <f ca="1">IFERROR(__xludf.DUMMYFUNCTION("""COMPUTED_VALUE"""),"1772089827764")</f>
        <v>1772089827764</v>
      </c>
    </row>
    <row r="1958" spans="1:11" ht="12.45">
      <c r="A1958" s="2" t="str">
        <f ca="1">IFERROR(__xludf.DUMMYFUNCTION("""COMPUTED_VALUE"""),"1772089871009")</f>
        <v>1772089871009</v>
      </c>
      <c r="B1958" s="2"/>
      <c r="C1958" s="2" t="str">
        <v>0</v>
      </c>
      <c r="D1958" s="2"/>
      <c r="F1958" s="2" t="str">
        <v>0</v>
      </c>
      <c r="I1958" s="2" t="str">
        <f ca="1">IFERROR(__xludf.DUMMYFUNCTION("""COMPUTED_VALUE"""),"Phạm Hồng Nhung ")</f>
        <v xml:space="preserve">Phạm Hồng Nhung </v>
      </c>
      <c r="J1958" s="3" t="str">
        <f ca="1">IFERROR(__xludf.DUMMYFUNCTION("""COMPUTED_VALUE"""),"0982337403")</f>
        <v>0982337403</v>
      </c>
      <c r="K1958" s="2" t="str">
        <f ca="1">IFERROR(__xludf.DUMMYFUNCTION("""COMPUTED_VALUE"""),"1772089871009")</f>
        <v>1772089871009</v>
      </c>
    </row>
    <row r="1959" spans="1:11" ht="12.45">
      <c r="A1959" s="2" t="str">
        <f ca="1">IFERROR(__xludf.DUMMYFUNCTION("""COMPUTED_VALUE"""),"1772089901480")</f>
        <v>1772089901480</v>
      </c>
      <c r="B1959" s="2"/>
      <c r="C1959" s="2" t="str">
        <v>0</v>
      </c>
      <c r="D1959" s="2"/>
      <c r="F1959" s="2" t="str">
        <v>0</v>
      </c>
      <c r="I1959" s="2" t="str">
        <f ca="1">IFERROR(__xludf.DUMMYFUNCTION("""COMPUTED_VALUE"""),"Nguyễn Thị Ánh Dương")</f>
        <v>Nguyễn Thị Ánh Dương</v>
      </c>
      <c r="J1959" s="3" t="str">
        <f ca="1">IFERROR(__xludf.DUMMYFUNCTION("""COMPUTED_VALUE"""),"0368035007")</f>
        <v>0368035007</v>
      </c>
      <c r="K1959" s="2" t="str">
        <f ca="1">IFERROR(__xludf.DUMMYFUNCTION("""COMPUTED_VALUE"""),"1772089901480")</f>
        <v>1772089901480</v>
      </c>
    </row>
    <row r="1960" spans="1:11" ht="12.45">
      <c r="A1960" s="2" t="str">
        <f ca="1">IFERROR(__xludf.DUMMYFUNCTION("""COMPUTED_VALUE"""),"1772089974790")</f>
        <v>1772089974790</v>
      </c>
      <c r="B1960" s="2"/>
      <c r="C1960" s="2" t="str">
        <v>0</v>
      </c>
      <c r="D1960" s="2"/>
      <c r="F1960" s="2" t="str">
        <v>0</v>
      </c>
      <c r="I1960" s="2" t="str">
        <f ca="1">IFERROR(__xludf.DUMMYFUNCTION("""COMPUTED_VALUE"""),"Nguyễn Thị Phương Nhi")</f>
        <v>Nguyễn Thị Phương Nhi</v>
      </c>
      <c r="J1960" s="3" t="str">
        <f ca="1">IFERROR(__xludf.DUMMYFUNCTION("""COMPUTED_VALUE"""),"0368857476")</f>
        <v>0368857476</v>
      </c>
      <c r="K1960" s="2" t="str">
        <f ca="1">IFERROR(__xludf.DUMMYFUNCTION("""COMPUTED_VALUE"""),"1772089974790")</f>
        <v>1772089974790</v>
      </c>
    </row>
    <row r="1961" spans="1:11" ht="12.45">
      <c r="A1961" s="2" t="str">
        <f ca="1">IFERROR(__xludf.DUMMYFUNCTION("""COMPUTED_VALUE"""),"1772090017904")</f>
        <v>1772090017904</v>
      </c>
      <c r="B1961" s="2"/>
      <c r="C1961" s="2" t="str">
        <v>0</v>
      </c>
      <c r="D1961" s="2"/>
      <c r="F1961" s="2" t="str">
        <v>0</v>
      </c>
      <c r="I1961" s="2" t="str">
        <f ca="1">IFERROR(__xludf.DUMMYFUNCTION("""COMPUTED_VALUE"""),"Nguyễn Thị Nhung ")</f>
        <v xml:space="preserve">Nguyễn Thị Nhung </v>
      </c>
      <c r="J1961" s="3" t="str">
        <f ca="1">IFERROR(__xludf.DUMMYFUNCTION("""COMPUTED_VALUE"""),"0364311742")</f>
        <v>0364311742</v>
      </c>
      <c r="K1961" s="2" t="str">
        <f ca="1">IFERROR(__xludf.DUMMYFUNCTION("""COMPUTED_VALUE"""),"1772090017904")</f>
        <v>1772090017904</v>
      </c>
    </row>
    <row r="1962" spans="1:11" ht="12.45">
      <c r="A1962" s="2" t="str">
        <f ca="1">IFERROR(__xludf.DUMMYFUNCTION("""COMPUTED_VALUE"""),"1772090053788")</f>
        <v>1772090053788</v>
      </c>
      <c r="B1962" s="2"/>
      <c r="C1962" s="2" t="str">
        <v>0</v>
      </c>
      <c r="D1962" s="2"/>
      <c r="F1962" s="2" t="str">
        <v>0</v>
      </c>
      <c r="I1962" s="2" t="str">
        <f ca="1">IFERROR(__xludf.DUMMYFUNCTION("""COMPUTED_VALUE"""),"Đinh Nguyễn Thảo Linh")</f>
        <v>Đinh Nguyễn Thảo Linh</v>
      </c>
      <c r="J1962" s="3" t="str">
        <f ca="1">IFERROR(__xludf.DUMMYFUNCTION("""COMPUTED_VALUE"""),"0327043725")</f>
        <v>0327043725</v>
      </c>
      <c r="K1962" s="2" t="str">
        <f ca="1">IFERROR(__xludf.DUMMYFUNCTION("""COMPUTED_VALUE"""),"1772090053788")</f>
        <v>1772090053788</v>
      </c>
    </row>
    <row r="1963" spans="1:11" ht="12.45">
      <c r="A1963" s="2" t="str">
        <f ca="1">IFERROR(__xludf.DUMMYFUNCTION("""COMPUTED_VALUE"""),"1772312116565")</f>
        <v>1772312116565</v>
      </c>
      <c r="B1963" s="2"/>
      <c r="C1963" s="2" t="str">
        <v>0</v>
      </c>
      <c r="D1963" s="2"/>
      <c r="F1963" s="2" t="str">
        <v>0</v>
      </c>
      <c r="I1963" s="2" t="str">
        <f ca="1">IFERROR(__xludf.DUMMYFUNCTION("""COMPUTED_VALUE"""),"Mai Phương Uyên")</f>
        <v>Mai Phương Uyên</v>
      </c>
      <c r="J1963" s="3" t="str">
        <f ca="1">IFERROR(__xludf.DUMMYFUNCTION("""COMPUTED_VALUE"""),"0707216618")</f>
        <v>0707216618</v>
      </c>
      <c r="K1963" s="2" t="str">
        <f ca="1">IFERROR(__xludf.DUMMYFUNCTION("""COMPUTED_VALUE"""),"1772312116565")</f>
        <v>1772312116565</v>
      </c>
    </row>
    <row r="1964" spans="1:11" ht="12.45">
      <c r="A1964" s="2" t="str">
        <f ca="1">IFERROR(__xludf.DUMMYFUNCTION("""COMPUTED_VALUE"""),"1772312167245")</f>
        <v>1772312167245</v>
      </c>
      <c r="B1964" s="2"/>
      <c r="C1964" s="2" t="str">
        <v>0</v>
      </c>
      <c r="D1964" s="2"/>
      <c r="F1964" s="2" t="str">
        <v>0</v>
      </c>
      <c r="I1964" s="2" t="str">
        <f ca="1">IFERROR(__xludf.DUMMYFUNCTION("""COMPUTED_VALUE"""),"Trương Thị linh phương ")</f>
        <v xml:space="preserve">Trương Thị linh phương </v>
      </c>
      <c r="J1964" s="3" t="str">
        <f ca="1">IFERROR(__xludf.DUMMYFUNCTION("""COMPUTED_VALUE"""),"0344036373")</f>
        <v>0344036373</v>
      </c>
      <c r="K1964" s="2" t="str">
        <f ca="1">IFERROR(__xludf.DUMMYFUNCTION("""COMPUTED_VALUE"""),"1772312167245")</f>
        <v>1772312167245</v>
      </c>
    </row>
    <row r="1965" spans="1:11" ht="12.45">
      <c r="A1965" s="2" t="str">
        <f ca="1">IFERROR(__xludf.DUMMYFUNCTION("""COMPUTED_VALUE"""),"1772312215319")</f>
        <v>1772312215319</v>
      </c>
      <c r="B1965" s="2"/>
      <c r="C1965" s="2" t="str">
        <v>0</v>
      </c>
      <c r="D1965" s="2"/>
      <c r="F1965" s="2" t="str">
        <v>0</v>
      </c>
      <c r="I1965" s="2" t="str">
        <f ca="1">IFERROR(__xludf.DUMMYFUNCTION("""COMPUTED_VALUE"""),"Phan Khánh Ngân")</f>
        <v>Phan Khánh Ngân</v>
      </c>
      <c r="J1965" s="3" t="str">
        <f ca="1">IFERROR(__xludf.DUMMYFUNCTION("""COMPUTED_VALUE"""),"0787570535")</f>
        <v>0787570535</v>
      </c>
      <c r="K1965" s="2" t="str">
        <f ca="1">IFERROR(__xludf.DUMMYFUNCTION("""COMPUTED_VALUE"""),"1772312215319")</f>
        <v>1772312215319</v>
      </c>
    </row>
    <row r="1966" spans="1:11" ht="12.45">
      <c r="A1966" s="2" t="str">
        <f ca="1">IFERROR(__xludf.DUMMYFUNCTION("""COMPUTED_VALUE"""),"1772312240702")</f>
        <v>1772312240702</v>
      </c>
      <c r="B1966" s="2"/>
      <c r="C1966" s="2" t="str">
        <v>0</v>
      </c>
      <c r="D1966" s="2"/>
      <c r="F1966" s="2" t="str">
        <v>0</v>
      </c>
      <c r="I1966" s="2" t="str">
        <f ca="1">IFERROR(__xludf.DUMMYFUNCTION("""COMPUTED_VALUE"""),"Nguyễn Mai Linh")</f>
        <v>Nguyễn Mai Linh</v>
      </c>
      <c r="J1966" s="3" t="str">
        <f ca="1">IFERROR(__xludf.DUMMYFUNCTION("""COMPUTED_VALUE"""),"0339543670")</f>
        <v>0339543670</v>
      </c>
      <c r="K1966" s="2" t="str">
        <f ca="1">IFERROR(__xludf.DUMMYFUNCTION("""COMPUTED_VALUE"""),"1772312240702")</f>
        <v>1772312240702</v>
      </c>
    </row>
    <row r="1967" spans="1:11" ht="12.45">
      <c r="A1967" s="2" t="str">
        <f ca="1">IFERROR(__xludf.DUMMYFUNCTION("""COMPUTED_VALUE"""),"1772312275482")</f>
        <v>1772312275482</v>
      </c>
      <c r="B1967" s="2"/>
      <c r="C1967" s="2" t="str">
        <v>0</v>
      </c>
      <c r="D1967" s="2"/>
      <c r="F1967" s="2" t="str">
        <v>0</v>
      </c>
      <c r="I1967" s="2" t="str">
        <f ca="1">IFERROR(__xludf.DUMMYFUNCTION("""COMPUTED_VALUE"""),"Phạm Thị Nhật")</f>
        <v>Phạm Thị Nhật</v>
      </c>
      <c r="J1967" s="3" t="str">
        <f ca="1">IFERROR(__xludf.DUMMYFUNCTION("""COMPUTED_VALUE"""),"0962469132")</f>
        <v>0962469132</v>
      </c>
      <c r="K1967" s="2" t="str">
        <f ca="1">IFERROR(__xludf.DUMMYFUNCTION("""COMPUTED_VALUE"""),"1772312275482")</f>
        <v>1772312275482</v>
      </c>
    </row>
    <row r="1968" spans="1:11" ht="12.45">
      <c r="A1968" s="2" t="str">
        <f ca="1">IFERROR(__xludf.DUMMYFUNCTION("""COMPUTED_VALUE"""),"1772312312005")</f>
        <v>1772312312005</v>
      </c>
      <c r="B1968" s="2"/>
      <c r="C1968" s="2" t="str">
        <v>0</v>
      </c>
      <c r="D1968" s="2"/>
      <c r="F1968" s="2" t="str">
        <v>0</v>
      </c>
      <c r="I1968" s="2" t="str">
        <f ca="1">IFERROR(__xludf.DUMMYFUNCTION("""COMPUTED_VALUE"""),"Phạm Thành Hiếu ")</f>
        <v xml:space="preserve">Phạm Thành Hiếu </v>
      </c>
      <c r="J1968" s="3" t="str">
        <f ca="1">IFERROR(__xludf.DUMMYFUNCTION("""COMPUTED_VALUE"""),"0988112067")</f>
        <v>0988112067</v>
      </c>
      <c r="K1968" s="2" t="str">
        <f ca="1">IFERROR(__xludf.DUMMYFUNCTION("""COMPUTED_VALUE"""),"1772312312005")</f>
        <v>1772312312005</v>
      </c>
    </row>
    <row r="1969" spans="1:11" ht="12.45">
      <c r="A1969" s="2" t="str">
        <f ca="1">IFERROR(__xludf.DUMMYFUNCTION("""COMPUTED_VALUE"""),"1772312342454")</f>
        <v>1772312342454</v>
      </c>
      <c r="B1969" s="2"/>
      <c r="C1969" s="2" t="str">
        <v>0</v>
      </c>
      <c r="D1969" s="2"/>
      <c r="F1969" s="2" t="str">
        <v>0</v>
      </c>
      <c r="I1969" s="2" t="str">
        <f ca="1">IFERROR(__xludf.DUMMYFUNCTION("""COMPUTED_VALUE"""),"Nguyễn Trương Hải Thảo")</f>
        <v>Nguyễn Trương Hải Thảo</v>
      </c>
      <c r="J1969" s="3" t="str">
        <f ca="1">IFERROR(__xludf.DUMMYFUNCTION("""COMPUTED_VALUE"""),"0707413207")</f>
        <v>0707413207</v>
      </c>
      <c r="K1969" s="2" t="str">
        <f ca="1">IFERROR(__xludf.DUMMYFUNCTION("""COMPUTED_VALUE"""),"1772312342454")</f>
        <v>1772312342454</v>
      </c>
    </row>
    <row r="1970" spans="1:11" ht="12.45">
      <c r="A1970" s="2" t="str">
        <f ca="1">IFERROR(__xludf.DUMMYFUNCTION("""COMPUTED_VALUE"""),"1772312378094")</f>
        <v>1772312378094</v>
      </c>
      <c r="B1970" s="2"/>
      <c r="C1970" s="2" t="str">
        <v>0</v>
      </c>
      <c r="D1970" s="2"/>
      <c r="F1970" s="2" t="str">
        <v>0</v>
      </c>
      <c r="I1970" s="2" t="str">
        <f ca="1">IFERROR(__xludf.DUMMYFUNCTION("""COMPUTED_VALUE"""),"Nguyễn Thị Thu Trang")</f>
        <v>Nguyễn Thị Thu Trang</v>
      </c>
      <c r="J1970" s="3" t="str">
        <f ca="1">IFERROR(__xludf.DUMMYFUNCTION("""COMPUTED_VALUE"""),"0394184843")</f>
        <v>0394184843</v>
      </c>
      <c r="K1970" s="2" t="str">
        <f ca="1">IFERROR(__xludf.DUMMYFUNCTION("""COMPUTED_VALUE"""),"1772312378094")</f>
        <v>1772312378094</v>
      </c>
    </row>
    <row r="1971" spans="1:11" ht="12.45">
      <c r="A1971" s="2" t="str">
        <f ca="1">IFERROR(__xludf.DUMMYFUNCTION("""COMPUTED_VALUE"""),"1772312413234")</f>
        <v>1772312413234</v>
      </c>
      <c r="B1971" s="2"/>
      <c r="C1971" s="2" t="str">
        <v>0</v>
      </c>
      <c r="D1971" s="2"/>
      <c r="F1971" s="2" t="str">
        <v>0</v>
      </c>
      <c r="I1971" s="2" t="str">
        <f ca="1">IFERROR(__xludf.DUMMYFUNCTION("""COMPUTED_VALUE"""),"Nguyễn phương anh")</f>
        <v>Nguyễn phương anh</v>
      </c>
      <c r="J1971" s="3" t="str">
        <f ca="1">IFERROR(__xludf.DUMMYFUNCTION("""COMPUTED_VALUE"""),"0369358842")</f>
        <v>0369358842</v>
      </c>
      <c r="K1971" s="2" t="str">
        <f ca="1">IFERROR(__xludf.DUMMYFUNCTION("""COMPUTED_VALUE"""),"1772312413234")</f>
        <v>1772312413234</v>
      </c>
    </row>
    <row r="1972" spans="1:11" ht="12.45">
      <c r="A1972" s="2" t="str">
        <f ca="1">IFERROR(__xludf.DUMMYFUNCTION("""COMPUTED_VALUE"""),"1772312454421")</f>
        <v>1772312454421</v>
      </c>
      <c r="B1972" s="2"/>
      <c r="C1972" s="2" t="str">
        <v>0</v>
      </c>
      <c r="D1972" s="2"/>
      <c r="F1972" s="2" t="str">
        <v>0</v>
      </c>
      <c r="I1972" s="2" t="str">
        <f ca="1">IFERROR(__xludf.DUMMYFUNCTION("""COMPUTED_VALUE"""),"Dương Thuý An")</f>
        <v>Dương Thuý An</v>
      </c>
      <c r="J1972" s="3" t="str">
        <f ca="1">IFERROR(__xludf.DUMMYFUNCTION("""COMPUTED_VALUE"""),"0822004593")</f>
        <v>0822004593</v>
      </c>
      <c r="K1972" s="2" t="str">
        <f ca="1">IFERROR(__xludf.DUMMYFUNCTION("""COMPUTED_VALUE"""),"1772312454421")</f>
        <v>1772312454421</v>
      </c>
    </row>
    <row r="1973" spans="1:11" ht="12.45">
      <c r="A1973" s="2" t="str">
        <f ca="1">IFERROR(__xludf.DUMMYFUNCTION("""COMPUTED_VALUE"""),"1772312486247")</f>
        <v>1772312486247</v>
      </c>
      <c r="B1973" s="2"/>
      <c r="C1973" s="2" t="str">
        <v>0</v>
      </c>
      <c r="D1973" s="2"/>
      <c r="F1973" s="2" t="str">
        <v>0</v>
      </c>
      <c r="I1973" s="2" t="str">
        <f ca="1">IFERROR(__xludf.DUMMYFUNCTION("""COMPUTED_VALUE"""),"Nông Thị Huyền My")</f>
        <v>Nông Thị Huyền My</v>
      </c>
      <c r="J1973" s="3" t="str">
        <f ca="1">IFERROR(__xludf.DUMMYFUNCTION("""COMPUTED_VALUE"""),"0358698807")</f>
        <v>0358698807</v>
      </c>
      <c r="K1973" s="2" t="str">
        <f ca="1">IFERROR(__xludf.DUMMYFUNCTION("""COMPUTED_VALUE"""),"1772312486247")</f>
        <v>1772312486247</v>
      </c>
    </row>
    <row r="1974" spans="1:11" ht="12.45">
      <c r="A1974" s="2" t="str">
        <f ca="1">IFERROR(__xludf.DUMMYFUNCTION("""COMPUTED_VALUE"""),"1772312518835")</f>
        <v>1772312518835</v>
      </c>
      <c r="B1974" s="2"/>
      <c r="C1974" s="2" t="str">
        <v>0</v>
      </c>
      <c r="D1974" s="2"/>
      <c r="F1974" s="2" t="str">
        <v>0</v>
      </c>
      <c r="I1974" s="2" t="str">
        <f ca="1">IFERROR(__xludf.DUMMYFUNCTION("""COMPUTED_VALUE"""),"Nguyễn tấn thành")</f>
        <v>Nguyễn tấn thành</v>
      </c>
      <c r="J1974" s="3" t="str">
        <f ca="1">IFERROR(__xludf.DUMMYFUNCTION("""COMPUTED_VALUE"""),"0388386850")</f>
        <v>0388386850</v>
      </c>
      <c r="K1974" s="2" t="str">
        <f ca="1">IFERROR(__xludf.DUMMYFUNCTION("""COMPUTED_VALUE"""),"1772312518835")</f>
        <v>1772312518835</v>
      </c>
    </row>
    <row r="1975" spans="1:11" ht="12.45">
      <c r="A1975" s="2" t="str">
        <f ca="1">IFERROR(__xludf.DUMMYFUNCTION("""COMPUTED_VALUE"""),"1772312545200")</f>
        <v>1772312545200</v>
      </c>
      <c r="B1975" s="2"/>
      <c r="C1975" s="2" t="str">
        <v>0</v>
      </c>
      <c r="D1975" s="2"/>
      <c r="F1975" s="2" t="str">
        <v>0</v>
      </c>
      <c r="I1975" s="2" t="str">
        <f ca="1">IFERROR(__xludf.DUMMYFUNCTION("""COMPUTED_VALUE"""),"Trần Khánh Vy ")</f>
        <v xml:space="preserve">Trần Khánh Vy </v>
      </c>
      <c r="J1975" s="3" t="str">
        <f ca="1">IFERROR(__xludf.DUMMYFUNCTION("""COMPUTED_VALUE"""),"0848607066")</f>
        <v>0848607066</v>
      </c>
      <c r="K1975" s="2" t="str">
        <f ca="1">IFERROR(__xludf.DUMMYFUNCTION("""COMPUTED_VALUE"""),"1772312545200")</f>
        <v>1772312545200</v>
      </c>
    </row>
    <row r="1976" spans="1:11" ht="12.45">
      <c r="A1976" s="2" t="str">
        <f ca="1">IFERROR(__xludf.DUMMYFUNCTION("""COMPUTED_VALUE"""),"1772312574786")</f>
        <v>1772312574786</v>
      </c>
      <c r="B1976" s="2"/>
      <c r="C1976" s="2" t="str">
        <v>0</v>
      </c>
      <c r="D1976" s="2"/>
      <c r="F1976" s="2" t="str">
        <v>0</v>
      </c>
      <c r="I1976" s="2" t="str">
        <f ca="1">IFERROR(__xludf.DUMMYFUNCTION("""COMPUTED_VALUE"""),"Hoàng Như Quỳnh")</f>
        <v>Hoàng Như Quỳnh</v>
      </c>
      <c r="J1976" s="3" t="str">
        <f ca="1">IFERROR(__xludf.DUMMYFUNCTION("""COMPUTED_VALUE"""),"0359440683")</f>
        <v>0359440683</v>
      </c>
      <c r="K1976" s="2" t="str">
        <f ca="1">IFERROR(__xludf.DUMMYFUNCTION("""COMPUTED_VALUE"""),"1772312574786")</f>
        <v>1772312574786</v>
      </c>
    </row>
    <row r="1977" spans="1:11" ht="12.45">
      <c r="A1977" s="2" t="str">
        <f ca="1">IFERROR(__xludf.DUMMYFUNCTION("""COMPUTED_VALUE"""),"1772312605686")</f>
        <v>1772312605686</v>
      </c>
      <c r="B1977" s="2"/>
      <c r="C1977" s="2" t="str">
        <v>0</v>
      </c>
      <c r="D1977" s="2"/>
      <c r="F1977" s="2" t="str">
        <v>0</v>
      </c>
      <c r="I1977" s="2" t="str">
        <f ca="1">IFERROR(__xludf.DUMMYFUNCTION("""COMPUTED_VALUE"""),"Võ Ngọc Khánh Vy ")</f>
        <v xml:space="preserve">Võ Ngọc Khánh Vy </v>
      </c>
      <c r="J1977" s="3" t="str">
        <f ca="1">IFERROR(__xludf.DUMMYFUNCTION("""COMPUTED_VALUE"""),"0916038119")</f>
        <v>0916038119</v>
      </c>
      <c r="K1977" s="2" t="str">
        <f ca="1">IFERROR(__xludf.DUMMYFUNCTION("""COMPUTED_VALUE"""),"1772312605686")</f>
        <v>1772312605686</v>
      </c>
    </row>
    <row r="1978" spans="1:11" ht="12.45">
      <c r="A1978" s="2" t="str">
        <f ca="1">IFERROR(__xludf.DUMMYFUNCTION("""COMPUTED_VALUE"""),"1772312638268")</f>
        <v>1772312638268</v>
      </c>
      <c r="B1978" s="2"/>
      <c r="C1978" s="2" t="str">
        <v>0</v>
      </c>
      <c r="D1978" s="2"/>
      <c r="F1978" s="2" t="str">
        <v>0</v>
      </c>
      <c r="I1978" s="2" t="str">
        <f ca="1">IFERROR(__xludf.DUMMYFUNCTION("""COMPUTED_VALUE"""),"Đinh Thị Thanh Huyền ")</f>
        <v xml:space="preserve">Đinh Thị Thanh Huyền </v>
      </c>
      <c r="J1978" s="3" t="str">
        <f ca="1">IFERROR(__xludf.DUMMYFUNCTION("""COMPUTED_VALUE"""),"0862680293")</f>
        <v>0862680293</v>
      </c>
      <c r="K1978" s="2" t="str">
        <f ca="1">IFERROR(__xludf.DUMMYFUNCTION("""COMPUTED_VALUE"""),"1772312638268")</f>
        <v>1772312638268</v>
      </c>
    </row>
    <row r="1979" spans="1:11" ht="12.45">
      <c r="A1979" s="2" t="str">
        <f ca="1">IFERROR(__xludf.DUMMYFUNCTION("""COMPUTED_VALUE"""),"1772312680850")</f>
        <v>1772312680850</v>
      </c>
      <c r="B1979" s="2"/>
      <c r="C1979" s="2" t="str">
        <v>0</v>
      </c>
      <c r="D1979" s="2"/>
      <c r="F1979" s="2" t="str">
        <v>0</v>
      </c>
      <c r="I1979" s="2" t="str">
        <f ca="1">IFERROR(__xludf.DUMMYFUNCTION("""COMPUTED_VALUE"""),"Nguyễ Thị Tú Huỳnh ")</f>
        <v xml:space="preserve">Nguyễ Thị Tú Huỳnh </v>
      </c>
      <c r="J1979" s="3" t="str">
        <f ca="1">IFERROR(__xludf.DUMMYFUNCTION("""COMPUTED_VALUE"""),"0835210597")</f>
        <v>0835210597</v>
      </c>
      <c r="K1979" s="2" t="str">
        <f ca="1">IFERROR(__xludf.DUMMYFUNCTION("""COMPUTED_VALUE"""),"1772312680850")</f>
        <v>1772312680850</v>
      </c>
    </row>
    <row r="1980" spans="1:11" ht="12.45">
      <c r="A1980" s="2" t="str">
        <f ca="1">IFERROR(__xludf.DUMMYFUNCTION("""COMPUTED_VALUE"""),"1772312712528")</f>
        <v>1772312712528</v>
      </c>
      <c r="B1980" s="2"/>
      <c r="C1980" s="2" t="str">
        <v>0</v>
      </c>
      <c r="D1980" s="2"/>
      <c r="F1980" s="2" t="str">
        <v>0</v>
      </c>
      <c r="I1980" s="2" t="str">
        <f ca="1">IFERROR(__xludf.DUMMYFUNCTION("""COMPUTED_VALUE"""),"Võ Phương Nhi ")</f>
        <v xml:space="preserve">Võ Phương Nhi </v>
      </c>
      <c r="J1980" s="3" t="str">
        <f ca="1">IFERROR(__xludf.DUMMYFUNCTION("""COMPUTED_VALUE"""),"0899494495")</f>
        <v>0899494495</v>
      </c>
      <c r="K1980" s="2" t="str">
        <f ca="1">IFERROR(__xludf.DUMMYFUNCTION("""COMPUTED_VALUE"""),"1772312712528")</f>
        <v>1772312712528</v>
      </c>
    </row>
    <row r="1981" spans="1:11" ht="12.45">
      <c r="A1981" s="2" t="str">
        <f ca="1">IFERROR(__xludf.DUMMYFUNCTION("""COMPUTED_VALUE"""),"1772312752933")</f>
        <v>1772312752933</v>
      </c>
      <c r="B1981" s="2"/>
      <c r="C1981" s="2" t="str">
        <v>0</v>
      </c>
      <c r="D1981" s="2"/>
      <c r="F1981" s="2" t="str">
        <v>0</v>
      </c>
      <c r="I1981" s="2" t="str">
        <f ca="1">IFERROR(__xludf.DUMMYFUNCTION("""COMPUTED_VALUE"""),"Huỳnh Nguyễn Thảo Vy")</f>
        <v>Huỳnh Nguyễn Thảo Vy</v>
      </c>
      <c r="J1981" s="3" t="str">
        <f ca="1">IFERROR(__xludf.DUMMYFUNCTION("""COMPUTED_VALUE"""),"0333927872")</f>
        <v>0333927872</v>
      </c>
      <c r="K1981" s="2" t="str">
        <f ca="1">IFERROR(__xludf.DUMMYFUNCTION("""COMPUTED_VALUE"""),"1772312752933")</f>
        <v>1772312752933</v>
      </c>
    </row>
    <row r="1982" spans="1:11" ht="12.45">
      <c r="A1982" s="2" t="str">
        <f ca="1">IFERROR(__xludf.DUMMYFUNCTION("""COMPUTED_VALUE"""),"1772312782294")</f>
        <v>1772312782294</v>
      </c>
      <c r="B1982" s="2"/>
      <c r="C1982" s="2" t="str">
        <v>0</v>
      </c>
      <c r="D1982" s="2"/>
      <c r="F1982" s="2" t="str">
        <v>0</v>
      </c>
      <c r="I1982" s="2" t="str">
        <f ca="1">IFERROR(__xludf.DUMMYFUNCTION("""COMPUTED_VALUE"""),"Nguyễn Mai Tú Trinh")</f>
        <v>Nguyễn Mai Tú Trinh</v>
      </c>
      <c r="J1982" s="3" t="str">
        <f ca="1">IFERROR(__xludf.DUMMYFUNCTION("""COMPUTED_VALUE"""),"0763835851")</f>
        <v>0763835851</v>
      </c>
      <c r="K1982" s="2" t="str">
        <f ca="1">IFERROR(__xludf.DUMMYFUNCTION("""COMPUTED_VALUE"""),"1772312782294")</f>
        <v>1772312782294</v>
      </c>
    </row>
    <row r="1983" spans="1:11" ht="12.45">
      <c r="A1983" s="2" t="str">
        <f ca="1">IFERROR(__xludf.DUMMYFUNCTION("""COMPUTED_VALUE"""),"1772312813047")</f>
        <v>1772312813047</v>
      </c>
      <c r="B1983" s="2"/>
      <c r="C1983" s="2" t="str">
        <v>0</v>
      </c>
      <c r="D1983" s="2"/>
      <c r="F1983" s="2" t="str">
        <v>0</v>
      </c>
      <c r="I1983" s="2" t="str">
        <f ca="1">IFERROR(__xludf.DUMMYFUNCTION("""COMPUTED_VALUE"""),"Nguyễn Văn Duy ")</f>
        <v xml:space="preserve">Nguyễn Văn Duy </v>
      </c>
      <c r="J1983" s="3" t="str">
        <f ca="1">IFERROR(__xludf.DUMMYFUNCTION("""COMPUTED_VALUE"""),"0962615693")</f>
        <v>0962615693</v>
      </c>
      <c r="K1983" s="2" t="str">
        <f ca="1">IFERROR(__xludf.DUMMYFUNCTION("""COMPUTED_VALUE"""),"1772312813047")</f>
        <v>1772312813047</v>
      </c>
    </row>
    <row r="1984" spans="1:11" ht="12.45">
      <c r="A1984" s="2" t="str">
        <f ca="1">IFERROR(__xludf.DUMMYFUNCTION("""COMPUTED_VALUE"""),"1772312841884")</f>
        <v>1772312841884</v>
      </c>
      <c r="B1984" s="2"/>
      <c r="C1984" s="2" t="str">
        <v>0</v>
      </c>
      <c r="D1984" s="2"/>
      <c r="F1984" s="2" t="str">
        <v>0</v>
      </c>
      <c r="I1984" s="2" t="str">
        <f ca="1">IFERROR(__xludf.DUMMYFUNCTION("""COMPUTED_VALUE"""),"Phan Thị Cẩm Vân")</f>
        <v>Phan Thị Cẩm Vân</v>
      </c>
      <c r="J1984" s="3" t="str">
        <f ca="1">IFERROR(__xludf.DUMMYFUNCTION("""COMPUTED_VALUE"""),"0974641075")</f>
        <v>0974641075</v>
      </c>
      <c r="K1984" s="2" t="str">
        <f ca="1">IFERROR(__xludf.DUMMYFUNCTION("""COMPUTED_VALUE"""),"1772312841884")</f>
        <v>1772312841884</v>
      </c>
    </row>
    <row r="1985" spans="1:11" ht="12.45">
      <c r="A1985" s="2" t="str">
        <f ca="1">IFERROR(__xludf.DUMMYFUNCTION("""COMPUTED_VALUE"""),"1772312871307")</f>
        <v>1772312871307</v>
      </c>
      <c r="B1985" s="2"/>
      <c r="C1985" s="2" t="str">
        <v>0</v>
      </c>
      <c r="D1985" s="2"/>
      <c r="F1985" s="2" t="str">
        <v>0</v>
      </c>
      <c r="I1985" s="2" t="str">
        <f ca="1">IFERROR(__xludf.DUMMYFUNCTION("""COMPUTED_VALUE"""),"Nguyễn Bá Thành Danh")</f>
        <v>Nguyễn Bá Thành Danh</v>
      </c>
      <c r="J1985" s="3" t="str">
        <f ca="1">IFERROR(__xludf.DUMMYFUNCTION("""COMPUTED_VALUE"""),"0942853659")</f>
        <v>0942853659</v>
      </c>
      <c r="K1985" s="2" t="str">
        <f ca="1">IFERROR(__xludf.DUMMYFUNCTION("""COMPUTED_VALUE"""),"1772312871307")</f>
        <v>1772312871307</v>
      </c>
    </row>
    <row r="1986" spans="1:11" ht="12.45">
      <c r="A1986" s="2" t="str">
        <f ca="1">IFERROR(__xludf.DUMMYFUNCTION("""COMPUTED_VALUE"""),"1772312900117")</f>
        <v>1772312900117</v>
      </c>
      <c r="B1986" s="2"/>
      <c r="C1986" s="2" t="str">
        <v>0</v>
      </c>
      <c r="D1986" s="2"/>
      <c r="F1986" s="2" t="str">
        <v>0</v>
      </c>
      <c r="I1986" s="2" t="str">
        <f ca="1">IFERROR(__xludf.DUMMYFUNCTION("""COMPUTED_VALUE"""),"Đào Thanh Bình")</f>
        <v>Đào Thanh Bình</v>
      </c>
      <c r="J1986" s="3" t="str">
        <f ca="1">IFERROR(__xludf.DUMMYFUNCTION("""COMPUTED_VALUE"""),"0968389959")</f>
        <v>0968389959</v>
      </c>
      <c r="K1986" s="2" t="str">
        <f ca="1">IFERROR(__xludf.DUMMYFUNCTION("""COMPUTED_VALUE"""),"1772312900117")</f>
        <v>1772312900117</v>
      </c>
    </row>
    <row r="1987" spans="1:11" ht="12.45">
      <c r="A1987" s="2" t="str">
        <f ca="1">IFERROR(__xludf.DUMMYFUNCTION("""COMPUTED_VALUE"""),"1772312927059")</f>
        <v>1772312927059</v>
      </c>
      <c r="B1987" s="2"/>
      <c r="C1987" s="2" t="str">
        <v>0</v>
      </c>
      <c r="D1987" s="2"/>
      <c r="F1987" s="2" t="str">
        <v>0</v>
      </c>
      <c r="I1987" s="2" t="str">
        <f ca="1">IFERROR(__xludf.DUMMYFUNCTION("""COMPUTED_VALUE"""),"Nguyễn Thị Hồng Phượng")</f>
        <v>Nguyễn Thị Hồng Phượng</v>
      </c>
      <c r="J1987" s="3" t="str">
        <f ca="1">IFERROR(__xludf.DUMMYFUNCTION("""COMPUTED_VALUE"""),"0563221143")</f>
        <v>0563221143</v>
      </c>
      <c r="K1987" s="2" t="str">
        <f ca="1">IFERROR(__xludf.DUMMYFUNCTION("""COMPUTED_VALUE"""),"1772312927059")</f>
        <v>1772312927059</v>
      </c>
    </row>
    <row r="1988" spans="1:11" ht="12.45">
      <c r="A1988" s="2" t="str">
        <f ca="1">IFERROR(__xludf.DUMMYFUNCTION("""COMPUTED_VALUE"""),"1772312956801")</f>
        <v>1772312956801</v>
      </c>
      <c r="B1988" s="2"/>
      <c r="C1988" s="2" t="str">
        <v>0</v>
      </c>
      <c r="D1988" s="2"/>
      <c r="F1988" s="2" t="str">
        <v>0</v>
      </c>
      <c r="I1988" s="2" t="str">
        <f ca="1">IFERROR(__xludf.DUMMYFUNCTION("""COMPUTED_VALUE"""),"Trịnh Thanh Thảo")</f>
        <v>Trịnh Thanh Thảo</v>
      </c>
      <c r="J1988" s="3" t="str">
        <f ca="1">IFERROR(__xludf.DUMMYFUNCTION("""COMPUTED_VALUE"""),"0383595148")</f>
        <v>0383595148</v>
      </c>
      <c r="K1988" s="2" t="str">
        <f ca="1">IFERROR(__xludf.DUMMYFUNCTION("""COMPUTED_VALUE"""),"1772312956801")</f>
        <v>1772312956801</v>
      </c>
    </row>
    <row r="1989" spans="1:11" ht="12.45">
      <c r="A1989" s="2" t="str">
        <f ca="1">IFERROR(__xludf.DUMMYFUNCTION("""COMPUTED_VALUE"""),"1772312979706")</f>
        <v>1772312979706</v>
      </c>
      <c r="B1989" s="2"/>
      <c r="C1989" s="2" t="str">
        <v>0</v>
      </c>
      <c r="D1989" s="2"/>
      <c r="F1989" s="2" t="str">
        <v>0</v>
      </c>
      <c r="I1989" s="2" t="str">
        <f ca="1">IFERROR(__xludf.DUMMYFUNCTION("""COMPUTED_VALUE"""),"Đỗ Thu Hương")</f>
        <v>Đỗ Thu Hương</v>
      </c>
      <c r="J1989" s="3" t="str">
        <f ca="1">IFERROR(__xludf.DUMMYFUNCTION("""COMPUTED_VALUE"""),"0819470165")</f>
        <v>0819470165</v>
      </c>
      <c r="K1989" s="2" t="str">
        <f ca="1">IFERROR(__xludf.DUMMYFUNCTION("""COMPUTED_VALUE"""),"1772312979706")</f>
        <v>1772312979706</v>
      </c>
    </row>
    <row r="1990" spans="1:11" ht="12.45">
      <c r="A1990" s="2" t="str">
        <f ca="1">IFERROR(__xludf.DUMMYFUNCTION("""COMPUTED_VALUE"""),"1772313007117")</f>
        <v>1772313007117</v>
      </c>
      <c r="B1990" s="2"/>
      <c r="C1990" s="2" t="str">
        <v>0</v>
      </c>
      <c r="D1990" s="2"/>
      <c r="F1990" s="2" t="str">
        <v>0</v>
      </c>
      <c r="I1990" s="2" t="str">
        <f ca="1">IFERROR(__xludf.DUMMYFUNCTION("""COMPUTED_VALUE"""),"Đỗ Thị Việt Hà")</f>
        <v>Đỗ Thị Việt Hà</v>
      </c>
      <c r="J1990" s="3" t="str">
        <f ca="1">IFERROR(__xludf.DUMMYFUNCTION("""COMPUTED_VALUE"""),"0352036250")</f>
        <v>0352036250</v>
      </c>
      <c r="K1990" s="2" t="str">
        <f ca="1">IFERROR(__xludf.DUMMYFUNCTION("""COMPUTED_VALUE"""),"1772313007117")</f>
        <v>1772313007117</v>
      </c>
    </row>
    <row r="1991" spans="1:11" ht="12.45">
      <c r="A1991" s="2" t="str">
        <f ca="1">IFERROR(__xludf.DUMMYFUNCTION("""COMPUTED_VALUE"""),"1772313036431")</f>
        <v>1772313036431</v>
      </c>
      <c r="B1991" s="2"/>
      <c r="C1991" s="2" t="str">
        <v>0</v>
      </c>
      <c r="D1991" s="2"/>
      <c r="F1991" s="2" t="str">
        <v>0</v>
      </c>
      <c r="I1991" s="2" t="str">
        <f ca="1">IFERROR(__xludf.DUMMYFUNCTION("""COMPUTED_VALUE"""),"Đinh Tạ Huyền Trang ")</f>
        <v xml:space="preserve">Đinh Tạ Huyền Trang </v>
      </c>
      <c r="J1991" s="3" t="str">
        <f ca="1">IFERROR(__xludf.DUMMYFUNCTION("""COMPUTED_VALUE"""),"0387765506")</f>
        <v>0387765506</v>
      </c>
      <c r="K1991" s="2" t="str">
        <f ca="1">IFERROR(__xludf.DUMMYFUNCTION("""COMPUTED_VALUE"""),"1772313036431")</f>
        <v>1772313036431</v>
      </c>
    </row>
    <row r="1992" spans="1:11" ht="12.45">
      <c r="A1992" s="2" t="str">
        <f ca="1">IFERROR(__xludf.DUMMYFUNCTION("""COMPUTED_VALUE"""),"1772313072566")</f>
        <v>1772313072566</v>
      </c>
      <c r="B1992" s="2"/>
      <c r="C1992" s="2" t="str">
        <v>0</v>
      </c>
      <c r="D1992" s="2"/>
      <c r="F1992" s="2" t="str">
        <v>0</v>
      </c>
      <c r="I1992" s="2" t="str">
        <f ca="1">IFERROR(__xludf.DUMMYFUNCTION("""COMPUTED_VALUE"""),"Đặng Thị Mỹ Duyên ")</f>
        <v xml:space="preserve">Đặng Thị Mỹ Duyên </v>
      </c>
      <c r="J1992" s="3" t="str">
        <f ca="1">IFERROR(__xludf.DUMMYFUNCTION("""COMPUTED_VALUE"""),"0896047242")</f>
        <v>0896047242</v>
      </c>
      <c r="K1992" s="2" t="str">
        <f ca="1">IFERROR(__xludf.DUMMYFUNCTION("""COMPUTED_VALUE"""),"1772313072566")</f>
        <v>1772313072566</v>
      </c>
    </row>
    <row r="1993" spans="1:11" ht="12.45">
      <c r="A1993" s="2" t="str">
        <f ca="1">IFERROR(__xludf.DUMMYFUNCTION("""COMPUTED_VALUE"""),"1772313103471")</f>
        <v>1772313103471</v>
      </c>
      <c r="B1993" s="2"/>
      <c r="C1993" s="2" t="str">
        <v>0</v>
      </c>
      <c r="D1993" s="2"/>
      <c r="F1993" s="2" t="str">
        <v>0</v>
      </c>
      <c r="I1993" s="2" t="str">
        <f ca="1">IFERROR(__xludf.DUMMYFUNCTION("""COMPUTED_VALUE"""),"Nguyễn Thị Trúc Nhi ")</f>
        <v xml:space="preserve">Nguyễn Thị Trúc Nhi </v>
      </c>
      <c r="J1993" s="3" t="str">
        <f ca="1">IFERROR(__xludf.DUMMYFUNCTION("""COMPUTED_VALUE"""),"0385369730")</f>
        <v>0385369730</v>
      </c>
      <c r="K1993" s="2" t="str">
        <f ca="1">IFERROR(__xludf.DUMMYFUNCTION("""COMPUTED_VALUE"""),"1772313103471")</f>
        <v>1772313103471</v>
      </c>
    </row>
    <row r="1994" spans="1:11" ht="12.45">
      <c r="A1994" s="2" t="str">
        <f ca="1">IFERROR(__xludf.DUMMYFUNCTION("""COMPUTED_VALUE"""),"1772313129041")</f>
        <v>1772313129041</v>
      </c>
      <c r="B1994" s="2"/>
      <c r="C1994" s="2" t="str">
        <v>0</v>
      </c>
      <c r="D1994" s="2"/>
      <c r="F1994" s="2" t="str">
        <v>0</v>
      </c>
      <c r="I1994" s="2" t="str">
        <f ca="1">IFERROR(__xludf.DUMMYFUNCTION("""COMPUTED_VALUE"""),"Trần Ngọc Trâm Anh")</f>
        <v>Trần Ngọc Trâm Anh</v>
      </c>
      <c r="J1994" s="3" t="str">
        <f ca="1">IFERROR(__xludf.DUMMYFUNCTION("""COMPUTED_VALUE"""),"0907392959")</f>
        <v>0907392959</v>
      </c>
      <c r="K1994" s="2" t="str">
        <f ca="1">IFERROR(__xludf.DUMMYFUNCTION("""COMPUTED_VALUE"""),"1772313129041")</f>
        <v>1772313129041</v>
      </c>
    </row>
    <row r="1995" spans="1:11" ht="12.45">
      <c r="A1995" s="2" t="str">
        <f ca="1">IFERROR(__xludf.DUMMYFUNCTION("""COMPUTED_VALUE"""),"1772313158688")</f>
        <v>1772313158688</v>
      </c>
      <c r="B1995" s="2"/>
      <c r="C1995" s="2" t="str">
        <v>0</v>
      </c>
      <c r="D1995" s="2"/>
      <c r="F1995" s="2" t="str">
        <v>0</v>
      </c>
      <c r="I1995" s="2" t="str">
        <f ca="1">IFERROR(__xludf.DUMMYFUNCTION("""COMPUTED_VALUE"""),"Đinh Thuý Hường")</f>
        <v>Đinh Thuý Hường</v>
      </c>
      <c r="J1995" s="3" t="str">
        <f ca="1">IFERROR(__xludf.DUMMYFUNCTION("""COMPUTED_VALUE"""),"0829037889")</f>
        <v>0829037889</v>
      </c>
      <c r="K1995" s="2" t="str">
        <f ca="1">IFERROR(__xludf.DUMMYFUNCTION("""COMPUTED_VALUE"""),"1772313158688")</f>
        <v>1772313158688</v>
      </c>
    </row>
    <row r="1996" spans="1:11" ht="12.45">
      <c r="A1996" s="2" t="str">
        <f ca="1">IFERROR(__xludf.DUMMYFUNCTION("""COMPUTED_VALUE"""),"1772313201804")</f>
        <v>1772313201804</v>
      </c>
      <c r="B1996" s="2"/>
      <c r="C1996" s="2" t="str">
        <v>0</v>
      </c>
      <c r="D1996" s="2"/>
      <c r="F1996" s="2" t="str">
        <v>0</v>
      </c>
      <c r="I1996" s="2" t="str">
        <f ca="1">IFERROR(__xludf.DUMMYFUNCTION("""COMPUTED_VALUE"""),"Mạc Thị Hà Vy ")</f>
        <v xml:space="preserve">Mạc Thị Hà Vy </v>
      </c>
      <c r="J1996" s="3" t="str">
        <f ca="1">IFERROR(__xludf.DUMMYFUNCTION("""COMPUTED_VALUE"""),"0383885260")</f>
        <v>0383885260</v>
      </c>
      <c r="K1996" s="2" t="str">
        <f ca="1">IFERROR(__xludf.DUMMYFUNCTION("""COMPUTED_VALUE"""),"1772313201804")</f>
        <v>1772313201804</v>
      </c>
    </row>
    <row r="1997" spans="1:11" ht="12.45">
      <c r="A1997" s="2" t="str">
        <f ca="1">IFERROR(__xludf.DUMMYFUNCTION("""COMPUTED_VALUE"""),"1772313237640")</f>
        <v>1772313237640</v>
      </c>
      <c r="B1997" s="2"/>
      <c r="C1997" s="2" t="str">
        <v>0</v>
      </c>
      <c r="D1997" s="2"/>
      <c r="F1997" s="2" t="str">
        <v>0</v>
      </c>
      <c r="I1997" s="2" t="str">
        <f ca="1">IFERROR(__xludf.DUMMYFUNCTION("""COMPUTED_VALUE"""),"Lê Thị Quỳnh Anh")</f>
        <v>Lê Thị Quỳnh Anh</v>
      </c>
      <c r="J1997" s="3" t="str">
        <f ca="1">IFERROR(__xludf.DUMMYFUNCTION("""COMPUTED_VALUE"""),"0901934033")</f>
        <v>0901934033</v>
      </c>
      <c r="K1997" s="2" t="str">
        <f ca="1">IFERROR(__xludf.DUMMYFUNCTION("""COMPUTED_VALUE"""),"1772313237640")</f>
        <v>1772313237640</v>
      </c>
    </row>
    <row r="1998" spans="1:11" ht="12.45">
      <c r="A1998" s="2" t="str">
        <f ca="1">IFERROR(__xludf.DUMMYFUNCTION("""COMPUTED_VALUE"""),"1772313278006")</f>
        <v>1772313278006</v>
      </c>
      <c r="B1998" s="2"/>
      <c r="C1998" s="2" t="str">
        <v>0</v>
      </c>
      <c r="D1998" s="2"/>
      <c r="F1998" s="2" t="str">
        <v>0</v>
      </c>
      <c r="I1998" s="2" t="str">
        <f ca="1">IFERROR(__xludf.DUMMYFUNCTION("""COMPUTED_VALUE"""),"Nguyễn Nữ Lê Na ")</f>
        <v xml:space="preserve">Nguyễn Nữ Lê Na </v>
      </c>
      <c r="J1998" s="3" t="str">
        <f ca="1">IFERROR(__xludf.DUMMYFUNCTION("""COMPUTED_VALUE"""),"0383567307")</f>
        <v>0383567307</v>
      </c>
      <c r="K1998" s="2" t="str">
        <f ca="1">IFERROR(__xludf.DUMMYFUNCTION("""COMPUTED_VALUE"""),"1772313278006")</f>
        <v>1772313278006</v>
      </c>
    </row>
    <row r="1999" spans="1:11" ht="12.45">
      <c r="A1999" s="2" t="str">
        <f ca="1">IFERROR(__xludf.DUMMYFUNCTION("""COMPUTED_VALUE"""),"1772313307396")</f>
        <v>1772313307396</v>
      </c>
      <c r="B1999" s="2"/>
      <c r="C1999" s="2" t="str">
        <v>0</v>
      </c>
      <c r="D1999" s="2"/>
      <c r="F1999" s="2" t="str">
        <v>0</v>
      </c>
      <c r="I1999" s="2" t="str">
        <f ca="1">IFERROR(__xludf.DUMMYFUNCTION("""COMPUTED_VALUE"""),"Nguyễn Thùy Trang")</f>
        <v>Nguyễn Thùy Trang</v>
      </c>
      <c r="J1999" s="3" t="str">
        <f ca="1">IFERROR(__xludf.DUMMYFUNCTION("""COMPUTED_VALUE"""),"0333202470")</f>
        <v>0333202470</v>
      </c>
      <c r="K1999" s="2" t="str">
        <f ca="1">IFERROR(__xludf.DUMMYFUNCTION("""COMPUTED_VALUE"""),"1772313307396")</f>
        <v>1772313307396</v>
      </c>
    </row>
    <row r="2000" spans="1:11" ht="12.45">
      <c r="A2000" s="2" t="str">
        <f ca="1">IFERROR(__xludf.DUMMYFUNCTION("""COMPUTED_VALUE"""),"1772313337296")</f>
        <v>1772313337296</v>
      </c>
      <c r="B2000" s="2"/>
      <c r="C2000" s="2" t="str">
        <v>0</v>
      </c>
      <c r="D2000" s="2"/>
      <c r="F2000" s="2" t="str">
        <v>0</v>
      </c>
      <c r="I2000" s="2" t="str">
        <f ca="1">IFERROR(__xludf.DUMMYFUNCTION("""COMPUTED_VALUE"""),"Nguyễn Phương Thảo")</f>
        <v>Nguyễn Phương Thảo</v>
      </c>
      <c r="J2000" s="3" t="str">
        <f ca="1">IFERROR(__xludf.DUMMYFUNCTION("""COMPUTED_VALUE"""),"0372824808")</f>
        <v>0372824808</v>
      </c>
      <c r="K2000" s="2" t="str">
        <f ca="1">IFERROR(__xludf.DUMMYFUNCTION("""COMPUTED_VALUE"""),"1772313337296")</f>
        <v>1772313337296</v>
      </c>
    </row>
    <row r="2001" spans="1:11" ht="12.45">
      <c r="A2001" s="2" t="str">
        <f ca="1">IFERROR(__xludf.DUMMYFUNCTION("""COMPUTED_VALUE"""),"1772313367276")</f>
        <v>1772313367276</v>
      </c>
      <c r="B2001" s="2"/>
      <c r="C2001" s="2" t="str">
        <v>0</v>
      </c>
      <c r="D2001" s="2"/>
      <c r="F2001" s="2" t="str">
        <v>0</v>
      </c>
      <c r="I2001" s="2" t="str">
        <f ca="1">IFERROR(__xludf.DUMMYFUNCTION("""COMPUTED_VALUE"""),"Nguyễn Bùi Nhựt Trường")</f>
        <v>Nguyễn Bùi Nhựt Trường</v>
      </c>
      <c r="J2001" s="3" t="str">
        <f ca="1">IFERROR(__xludf.DUMMYFUNCTION("""COMPUTED_VALUE"""),"0899658612")</f>
        <v>0899658612</v>
      </c>
      <c r="K2001" s="2" t="str">
        <f ca="1">IFERROR(__xludf.DUMMYFUNCTION("""COMPUTED_VALUE"""),"1772313367276")</f>
        <v>1772313367276</v>
      </c>
    </row>
    <row r="2002" spans="1:11" ht="12.45">
      <c r="A2002" s="2" t="str">
        <f ca="1">IFERROR(__xludf.DUMMYFUNCTION("""COMPUTED_VALUE"""),"1772313394084")</f>
        <v>1772313394084</v>
      </c>
      <c r="B2002" s="2"/>
      <c r="C2002" s="2" t="str">
        <v>0</v>
      </c>
      <c r="D2002" s="2"/>
      <c r="F2002" s="2" t="str">
        <v>0</v>
      </c>
      <c r="I2002" s="2" t="str">
        <f ca="1">IFERROR(__xludf.DUMMYFUNCTION("""COMPUTED_VALUE"""),"Nguyễn Quang Trường")</f>
        <v>Nguyễn Quang Trường</v>
      </c>
      <c r="J2002" s="3" t="str">
        <f ca="1">IFERROR(__xludf.DUMMYFUNCTION("""COMPUTED_VALUE"""),"0372613799")</f>
        <v>0372613799</v>
      </c>
      <c r="K2002" s="2" t="str">
        <f ca="1">IFERROR(__xludf.DUMMYFUNCTION("""COMPUTED_VALUE"""),"1772313394084")</f>
        <v>1772313394084</v>
      </c>
    </row>
    <row r="2003" spans="1:11" ht="12.45">
      <c r="A2003" s="2" t="str">
        <f ca="1">IFERROR(__xludf.DUMMYFUNCTION("""COMPUTED_VALUE"""),"1772313421525")</f>
        <v>1772313421525</v>
      </c>
      <c r="B2003" s="2"/>
      <c r="C2003" s="2" t="str">
        <v>0</v>
      </c>
      <c r="D2003" s="2"/>
      <c r="F2003" s="2" t="str">
        <v>0</v>
      </c>
      <c r="I2003" s="2" t="str">
        <f ca="1">IFERROR(__xludf.DUMMYFUNCTION("""COMPUTED_VALUE"""),"ngô thủy quỳnh")</f>
        <v>ngô thủy quỳnh</v>
      </c>
      <c r="J2003" s="3" t="str">
        <f ca="1">IFERROR(__xludf.DUMMYFUNCTION("""COMPUTED_VALUE"""),"0386980706")</f>
        <v>0386980706</v>
      </c>
      <c r="K2003" s="2" t="str">
        <f ca="1">IFERROR(__xludf.DUMMYFUNCTION("""COMPUTED_VALUE"""),"1772313421525")</f>
        <v>1772313421525</v>
      </c>
    </row>
    <row r="2004" spans="1:11" ht="12.45">
      <c r="A2004" s="2" t="str">
        <f ca="1">IFERROR(__xludf.DUMMYFUNCTION("""COMPUTED_VALUE"""),"1772313456119")</f>
        <v>1772313456119</v>
      </c>
      <c r="B2004" s="2"/>
      <c r="C2004" s="2" t="str">
        <v>0</v>
      </c>
      <c r="D2004" s="2"/>
      <c r="F2004" s="2" t="str">
        <v>0</v>
      </c>
      <c r="I2004" s="2" t="str">
        <f ca="1">IFERROR(__xludf.DUMMYFUNCTION("""COMPUTED_VALUE"""),"ngô quỳnh mai")</f>
        <v>ngô quỳnh mai</v>
      </c>
      <c r="J2004" s="3" t="str">
        <f ca="1">IFERROR(__xludf.DUMMYFUNCTION("""COMPUTED_VALUE"""),"0336680706")</f>
        <v>0336680706</v>
      </c>
      <c r="K2004" s="2" t="str">
        <f ca="1">IFERROR(__xludf.DUMMYFUNCTION("""COMPUTED_VALUE"""),"1772313456119")</f>
        <v>1772313456119</v>
      </c>
    </row>
    <row r="2005" spans="1:11" ht="12.45">
      <c r="A2005" s="2" t="str">
        <f ca="1">IFERROR(__xludf.DUMMYFUNCTION("""COMPUTED_VALUE"""),"1772313496553")</f>
        <v>1772313496553</v>
      </c>
      <c r="B2005" s="2"/>
      <c r="C2005" s="2" t="str">
        <v>0</v>
      </c>
      <c r="D2005" s="2"/>
      <c r="F2005" s="2" t="str">
        <v>0</v>
      </c>
      <c r="I2005" s="2" t="str">
        <f ca="1">IFERROR(__xludf.DUMMYFUNCTION("""COMPUTED_VALUE"""),"Nguyễn Hương Mai ")</f>
        <v xml:space="preserve">Nguyễn Hương Mai </v>
      </c>
      <c r="J2005" s="3" t="str">
        <f ca="1">IFERROR(__xludf.DUMMYFUNCTION("""COMPUTED_VALUE"""),"0396403893")</f>
        <v>0396403893</v>
      </c>
      <c r="K2005" s="2" t="str">
        <f ca="1">IFERROR(__xludf.DUMMYFUNCTION("""COMPUTED_VALUE"""),"1772313496553")</f>
        <v>1772313496553</v>
      </c>
    </row>
    <row r="2006" spans="1:11" ht="12.45">
      <c r="A2006" s="2" t="str">
        <f ca="1">IFERROR(__xludf.DUMMYFUNCTION("""COMPUTED_VALUE"""),"1772313530551")</f>
        <v>1772313530551</v>
      </c>
      <c r="B2006" s="2"/>
      <c r="C2006" s="2" t="str">
        <v>0</v>
      </c>
      <c r="D2006" s="2"/>
      <c r="F2006" s="2" t="str">
        <v>0</v>
      </c>
      <c r="I2006" s="2" t="str">
        <f ca="1">IFERROR(__xludf.DUMMYFUNCTION("""COMPUTED_VALUE"""),"TRẦN NGUYỄN THẢO NGÂN")</f>
        <v>TRẦN NGUYỄN THẢO NGÂN</v>
      </c>
      <c r="J2006" s="3" t="str">
        <f ca="1">IFERROR(__xludf.DUMMYFUNCTION("""COMPUTED_VALUE"""),"0886305028")</f>
        <v>0886305028</v>
      </c>
      <c r="K2006" s="2" t="str">
        <f ca="1">IFERROR(__xludf.DUMMYFUNCTION("""COMPUTED_VALUE"""),"1772313530551")</f>
        <v>1772313530551</v>
      </c>
    </row>
    <row r="2007" spans="1:11" ht="12.45">
      <c r="A2007" s="2" t="str">
        <f ca="1">IFERROR(__xludf.DUMMYFUNCTION("""COMPUTED_VALUE"""),"1744768402759")</f>
        <v>1744768402759</v>
      </c>
      <c r="B2007" s="2"/>
      <c r="C2007" s="2" t="str">
        <v>0</v>
      </c>
      <c r="D2007" s="2"/>
      <c r="F2007" s="2" t="str">
        <v>0</v>
      </c>
      <c r="I2007" s="2" t="str">
        <f ca="1">IFERROR(__xludf.DUMMYFUNCTION("""COMPUTED_VALUE"""),"Nguyễn Minh Trang")</f>
        <v>Nguyễn Minh Trang</v>
      </c>
      <c r="J2007" s="3" t="str">
        <f ca="1">IFERROR(__xludf.DUMMYFUNCTION("""COMPUTED_VALUE"""),"0914685236")</f>
        <v>0914685236</v>
      </c>
      <c r="K2007" s="2" t="str">
        <f ca="1">IFERROR(__xludf.DUMMYFUNCTION("""COMPUTED_VALUE"""),"1744768402759")</f>
        <v>1744768402759</v>
      </c>
    </row>
    <row r="2008" spans="1:11" ht="12.45">
      <c r="A2008" s="2" t="str">
        <f ca="1">IFERROR(__xludf.DUMMYFUNCTION("""COMPUTED_VALUE"""),"1772313564526")</f>
        <v>1772313564526</v>
      </c>
      <c r="B2008" s="2"/>
      <c r="C2008" s="2" t="str">
        <v>0</v>
      </c>
      <c r="D2008" s="2"/>
      <c r="F2008" s="2" t="str">
        <v>0</v>
      </c>
      <c r="I2008" s="2" t="str">
        <f ca="1">IFERROR(__xludf.DUMMYFUNCTION("""COMPUTED_VALUE"""),"Nguyễn Thanh Tâm ")</f>
        <v xml:space="preserve">Nguyễn Thanh Tâm </v>
      </c>
      <c r="J2008" s="3" t="str">
        <f ca="1">IFERROR(__xludf.DUMMYFUNCTION("""COMPUTED_VALUE"""),"0915091727")</f>
        <v>0915091727</v>
      </c>
      <c r="K2008" s="2" t="str">
        <f ca="1">IFERROR(__xludf.DUMMYFUNCTION("""COMPUTED_VALUE"""),"1772313564526")</f>
        <v>1772313564526</v>
      </c>
    </row>
    <row r="2009" spans="1:11" ht="12.45">
      <c r="A2009" s="2" t="str">
        <f ca="1">IFERROR(__xludf.DUMMYFUNCTION("""COMPUTED_VALUE"""),"1772313593393")</f>
        <v>1772313593393</v>
      </c>
      <c r="B2009" s="2"/>
      <c r="C2009" s="2" t="str">
        <v>0</v>
      </c>
      <c r="D2009" s="2"/>
      <c r="F2009" s="2" t="str">
        <v>0</v>
      </c>
      <c r="I2009" s="2" t="str">
        <f ca="1">IFERROR(__xludf.DUMMYFUNCTION("""COMPUTED_VALUE"""),"Trịnh Huyền Trang ")</f>
        <v xml:space="preserve">Trịnh Huyền Trang </v>
      </c>
      <c r="J2009" s="3" t="str">
        <f ca="1">IFERROR(__xludf.DUMMYFUNCTION("""COMPUTED_VALUE"""),"0978493817")</f>
        <v>0978493817</v>
      </c>
      <c r="K2009" s="2" t="str">
        <f ca="1">IFERROR(__xludf.DUMMYFUNCTION("""COMPUTED_VALUE"""),"1772313593393")</f>
        <v>1772313593393</v>
      </c>
    </row>
    <row r="2010" spans="1:11" ht="12.45">
      <c r="A2010" s="2" t="str">
        <f ca="1">IFERROR(__xludf.DUMMYFUNCTION("""COMPUTED_VALUE"""),"1772313622471")</f>
        <v>1772313622471</v>
      </c>
      <c r="B2010" s="2"/>
      <c r="C2010" s="2" t="str">
        <v>0</v>
      </c>
      <c r="D2010" s="2"/>
      <c r="F2010" s="2" t="str">
        <v>0</v>
      </c>
      <c r="I2010" s="2" t="str">
        <f ca="1">IFERROR(__xludf.DUMMYFUNCTION("""COMPUTED_VALUE"""),"Nguyễn Tường Vi")</f>
        <v>Nguyễn Tường Vi</v>
      </c>
      <c r="J2010" s="3" t="str">
        <f ca="1">IFERROR(__xludf.DUMMYFUNCTION("""COMPUTED_VALUE"""),"0386182007")</f>
        <v>0386182007</v>
      </c>
      <c r="K2010" s="2" t="str">
        <f ca="1">IFERROR(__xludf.DUMMYFUNCTION("""COMPUTED_VALUE"""),"1772313622471")</f>
        <v>1772313622471</v>
      </c>
    </row>
    <row r="2011" spans="1:11" ht="12.45">
      <c r="A2011" s="2" t="str">
        <f ca="1">IFERROR(__xludf.DUMMYFUNCTION("""COMPUTED_VALUE"""),"1772313681063")</f>
        <v>1772313681063</v>
      </c>
      <c r="B2011" s="2"/>
      <c r="C2011" s="2" t="str">
        <v>0</v>
      </c>
      <c r="D2011" s="2"/>
      <c r="F2011" s="2" t="str">
        <v>0</v>
      </c>
      <c r="I2011" s="2" t="str">
        <f ca="1">IFERROR(__xludf.DUMMYFUNCTION("""COMPUTED_VALUE"""),"Nguyễn Bảo Ngọc ")</f>
        <v xml:space="preserve">Nguyễn Bảo Ngọc </v>
      </c>
      <c r="J2011" s="3" t="str">
        <f ca="1">IFERROR(__xludf.DUMMYFUNCTION("""COMPUTED_VALUE"""),"0376134991")</f>
        <v>0376134991</v>
      </c>
      <c r="K2011" s="2" t="str">
        <f ca="1">IFERROR(__xludf.DUMMYFUNCTION("""COMPUTED_VALUE"""),"1772313681063")</f>
        <v>1772313681063</v>
      </c>
    </row>
    <row r="2012" spans="1:11" ht="12.45">
      <c r="A2012" s="2" t="str">
        <f ca="1">IFERROR(__xludf.DUMMYFUNCTION("""COMPUTED_VALUE"""),"1772313720250")</f>
        <v>1772313720250</v>
      </c>
      <c r="B2012" s="2"/>
      <c r="C2012" s="2" t="str">
        <v>0</v>
      </c>
      <c r="D2012" s="2"/>
      <c r="F2012" s="2" t="str">
        <v>0</v>
      </c>
      <c r="I2012" s="2" t="str">
        <f ca="1">IFERROR(__xludf.DUMMYFUNCTION("""COMPUTED_VALUE"""),"Nguyễn Hồng Thảo Vy")</f>
        <v>Nguyễn Hồng Thảo Vy</v>
      </c>
      <c r="J2012" s="3" t="str">
        <f ca="1">IFERROR(__xludf.DUMMYFUNCTION("""COMPUTED_VALUE"""),"0961618942")</f>
        <v>0961618942</v>
      </c>
      <c r="K2012" s="2" t="str">
        <f ca="1">IFERROR(__xludf.DUMMYFUNCTION("""COMPUTED_VALUE"""),"1772313720250")</f>
        <v>1772313720250</v>
      </c>
    </row>
    <row r="2013" spans="1:11" ht="12.45">
      <c r="A2013" s="2" t="str">
        <f ca="1">IFERROR(__xludf.DUMMYFUNCTION("""COMPUTED_VALUE"""),"1772313746134")</f>
        <v>1772313746134</v>
      </c>
      <c r="B2013" s="2"/>
      <c r="C2013" s="2" t="str">
        <v>0</v>
      </c>
      <c r="D2013" s="2"/>
      <c r="F2013" s="2" t="str">
        <v>0</v>
      </c>
      <c r="I2013" s="2" t="str">
        <f ca="1">IFERROR(__xludf.DUMMYFUNCTION("""COMPUTED_VALUE"""),"Nguyễn Ngọc Lương ")</f>
        <v xml:space="preserve">Nguyễn Ngọc Lương </v>
      </c>
      <c r="J2013" s="3" t="str">
        <f ca="1">IFERROR(__xludf.DUMMYFUNCTION("""COMPUTED_VALUE"""),"0349140940")</f>
        <v>0349140940</v>
      </c>
      <c r="K2013" s="2" t="str">
        <f ca="1">IFERROR(__xludf.DUMMYFUNCTION("""COMPUTED_VALUE"""),"1772313746134")</f>
        <v>1772313746134</v>
      </c>
    </row>
    <row r="2014" spans="1:11" ht="12.45">
      <c r="A2014" s="2" t="str">
        <f ca="1">IFERROR(__xludf.DUMMYFUNCTION("""COMPUTED_VALUE"""),"1772313773362")</f>
        <v>1772313773362</v>
      </c>
      <c r="B2014" s="2"/>
      <c r="C2014" s="2" t="str">
        <v>0</v>
      </c>
      <c r="D2014" s="2"/>
      <c r="F2014" s="2" t="str">
        <v>0</v>
      </c>
      <c r="I2014" s="2" t="str">
        <f ca="1">IFERROR(__xludf.DUMMYFUNCTION("""COMPUTED_VALUE"""),"Trần Thị Mai Anh")</f>
        <v>Trần Thị Mai Anh</v>
      </c>
      <c r="J2014" s="3" t="str">
        <f ca="1">IFERROR(__xludf.DUMMYFUNCTION("""COMPUTED_VALUE"""),"0367917435")</f>
        <v>0367917435</v>
      </c>
      <c r="K2014" s="2" t="str">
        <f ca="1">IFERROR(__xludf.DUMMYFUNCTION("""COMPUTED_VALUE"""),"1772313773362")</f>
        <v>1772313773362</v>
      </c>
    </row>
    <row r="2015" spans="1:11" ht="12.45">
      <c r="A2015" s="2" t="str">
        <f ca="1">IFERROR(__xludf.DUMMYFUNCTION("""COMPUTED_VALUE"""),"1772313796337")</f>
        <v>1772313796337</v>
      </c>
      <c r="B2015" s="2"/>
      <c r="C2015" s="2" t="str">
        <v>0</v>
      </c>
      <c r="D2015" s="2"/>
      <c r="F2015" s="2" t="str">
        <v>0</v>
      </c>
      <c r="I2015" s="2" t="str">
        <f ca="1">IFERROR(__xludf.DUMMYFUNCTION("""COMPUTED_VALUE"""),"Ngô Thị Quỳnh Trang ")</f>
        <v xml:space="preserve">Ngô Thị Quỳnh Trang </v>
      </c>
      <c r="J2015" s="3" t="str">
        <f ca="1">IFERROR(__xludf.DUMMYFUNCTION("""COMPUTED_VALUE"""),"0368064091")</f>
        <v>0368064091</v>
      </c>
      <c r="K2015" s="2" t="str">
        <f ca="1">IFERROR(__xludf.DUMMYFUNCTION("""COMPUTED_VALUE"""),"1772313796337")</f>
        <v>1772313796337</v>
      </c>
    </row>
    <row r="2016" spans="1:11" ht="12.45">
      <c r="A2016" s="2" t="str">
        <f ca="1">IFERROR(__xludf.DUMMYFUNCTION("""COMPUTED_VALUE"""),"1772313821056")</f>
        <v>1772313821056</v>
      </c>
      <c r="B2016" s="2"/>
      <c r="C2016" s="2" t="str">
        <v>0</v>
      </c>
      <c r="D2016" s="2"/>
      <c r="F2016" s="2" t="str">
        <v>0</v>
      </c>
      <c r="I2016" s="2" t="str">
        <f ca="1">IFERROR(__xludf.DUMMYFUNCTION("""COMPUTED_VALUE"""),"Bùi lê khánh linh")</f>
        <v>Bùi lê khánh linh</v>
      </c>
      <c r="J2016" s="3" t="str">
        <f ca="1">IFERROR(__xludf.DUMMYFUNCTION("""COMPUTED_VALUE"""),"0913187456")</f>
        <v>0913187456</v>
      </c>
      <c r="K2016" s="2" t="str">
        <f ca="1">IFERROR(__xludf.DUMMYFUNCTION("""COMPUTED_VALUE"""),"1772313821056")</f>
        <v>1772313821056</v>
      </c>
    </row>
    <row r="2017" spans="1:11" ht="12.45">
      <c r="A2017" s="2" t="str">
        <f ca="1">IFERROR(__xludf.DUMMYFUNCTION("""COMPUTED_VALUE"""),"1772313846137")</f>
        <v>1772313846137</v>
      </c>
      <c r="B2017" s="2"/>
      <c r="C2017" s="2" t="str">
        <v>0</v>
      </c>
      <c r="D2017" s="2"/>
      <c r="F2017" s="2" t="str">
        <v>0</v>
      </c>
      <c r="I2017" s="2" t="str">
        <f ca="1">IFERROR(__xludf.DUMMYFUNCTION("""COMPUTED_VALUE"""),"Lê Hồng Phúc Hảo")</f>
        <v>Lê Hồng Phúc Hảo</v>
      </c>
      <c r="J2017" s="3" t="str">
        <f ca="1">IFERROR(__xludf.DUMMYFUNCTION("""COMPUTED_VALUE"""),"0927491092")</f>
        <v>0927491092</v>
      </c>
      <c r="K2017" s="2" t="str">
        <f ca="1">IFERROR(__xludf.DUMMYFUNCTION("""COMPUTED_VALUE"""),"1772313846137")</f>
        <v>1772313846137</v>
      </c>
    </row>
    <row r="2018" spans="1:11" ht="12.45">
      <c r="A2018" s="2" t="str">
        <f ca="1">IFERROR(__xludf.DUMMYFUNCTION("""COMPUTED_VALUE"""),"1772313870348")</f>
        <v>1772313870348</v>
      </c>
      <c r="B2018" s="2"/>
      <c r="C2018" s="2" t="str">
        <v>0</v>
      </c>
      <c r="D2018" s="2"/>
      <c r="F2018" s="2" t="str">
        <v>0</v>
      </c>
      <c r="I2018" s="2" t="str">
        <f ca="1">IFERROR(__xludf.DUMMYFUNCTION("""COMPUTED_VALUE"""),"Trần Kim Ngọc Tường")</f>
        <v>Trần Kim Ngọc Tường</v>
      </c>
      <c r="J2018" s="3" t="str">
        <f ca="1">IFERROR(__xludf.DUMMYFUNCTION("""COMPUTED_VALUE"""),"0855195579")</f>
        <v>0855195579</v>
      </c>
      <c r="K2018" s="2" t="str">
        <f ca="1">IFERROR(__xludf.DUMMYFUNCTION("""COMPUTED_VALUE"""),"1772313870348")</f>
        <v>1772313870348</v>
      </c>
    </row>
    <row r="2019" spans="1:11" ht="12.45">
      <c r="A2019" s="2" t="str">
        <f ca="1">IFERROR(__xludf.DUMMYFUNCTION("""COMPUTED_VALUE"""),"1772313903233")</f>
        <v>1772313903233</v>
      </c>
      <c r="B2019" s="2"/>
      <c r="C2019" s="2" t="str">
        <v>0</v>
      </c>
      <c r="D2019" s="2"/>
      <c r="F2019" s="2" t="str">
        <v>0</v>
      </c>
      <c r="I2019" s="2" t="str">
        <f ca="1">IFERROR(__xludf.DUMMYFUNCTION("""COMPUTED_VALUE"""),"Huỳnh Hương Thảo")</f>
        <v>Huỳnh Hương Thảo</v>
      </c>
      <c r="J2019" s="3" t="str">
        <f ca="1">IFERROR(__xludf.DUMMYFUNCTION("""COMPUTED_VALUE"""),"0986291519")</f>
        <v>0986291519</v>
      </c>
      <c r="K2019" s="2" t="str">
        <f ca="1">IFERROR(__xludf.DUMMYFUNCTION("""COMPUTED_VALUE"""),"1772313903233")</f>
        <v>1772313903233</v>
      </c>
    </row>
    <row r="2020" spans="1:11" ht="12.45">
      <c r="A2020" s="2" t="str">
        <f ca="1">IFERROR(__xludf.DUMMYFUNCTION("""COMPUTED_VALUE"""),"1772313925236")</f>
        <v>1772313925236</v>
      </c>
      <c r="B2020" s="2"/>
      <c r="C2020" s="2" t="str">
        <v>0</v>
      </c>
      <c r="D2020" s="2"/>
      <c r="F2020" s="2" t="str">
        <v>0</v>
      </c>
      <c r="I2020" s="2" t="str">
        <f ca="1">IFERROR(__xludf.DUMMYFUNCTION("""COMPUTED_VALUE"""),"Nguyễn Thị Hà")</f>
        <v>Nguyễn Thị Hà</v>
      </c>
      <c r="J2020" s="3" t="str">
        <f ca="1">IFERROR(__xludf.DUMMYFUNCTION("""COMPUTED_VALUE"""),"0375611077")</f>
        <v>0375611077</v>
      </c>
      <c r="K2020" s="2" t="str">
        <f ca="1">IFERROR(__xludf.DUMMYFUNCTION("""COMPUTED_VALUE"""),"1772313925236")</f>
        <v>1772313925236</v>
      </c>
    </row>
    <row r="2021" spans="1:11" ht="12.45">
      <c r="A2021" s="2" t="str">
        <f ca="1">IFERROR(__xludf.DUMMYFUNCTION("""COMPUTED_VALUE"""),"1772313951904")</f>
        <v>1772313951904</v>
      </c>
      <c r="B2021" s="2"/>
      <c r="C2021" s="2" t="str">
        <v>0</v>
      </c>
      <c r="D2021" s="2"/>
      <c r="F2021" s="2" t="str">
        <v>0</v>
      </c>
      <c r="I2021" s="2" t="str">
        <f ca="1">IFERROR(__xludf.DUMMYFUNCTION("""COMPUTED_VALUE"""),"Trần Minh Ánh")</f>
        <v>Trần Minh Ánh</v>
      </c>
      <c r="J2021" s="3" t="str">
        <f ca="1">IFERROR(__xludf.DUMMYFUNCTION("""COMPUTED_VALUE"""),"0364595590")</f>
        <v>0364595590</v>
      </c>
      <c r="K2021" s="2" t="str">
        <f ca="1">IFERROR(__xludf.DUMMYFUNCTION("""COMPUTED_VALUE"""),"1772313951904")</f>
        <v>1772313951904</v>
      </c>
    </row>
    <row r="2022" spans="1:11" ht="12.45">
      <c r="A2022" s="2" t="str">
        <f ca="1">IFERROR(__xludf.DUMMYFUNCTION("""COMPUTED_VALUE"""),"1772313975538")</f>
        <v>1772313975538</v>
      </c>
      <c r="B2022" s="2"/>
      <c r="C2022" s="2" t="str">
        <v>0</v>
      </c>
      <c r="D2022" s="2"/>
      <c r="F2022" s="2" t="str">
        <v>0</v>
      </c>
      <c r="I2022" s="2" t="str">
        <f ca="1">IFERROR(__xludf.DUMMYFUNCTION("""COMPUTED_VALUE"""),"Dương Khánh Ly")</f>
        <v>Dương Khánh Ly</v>
      </c>
      <c r="J2022" s="3" t="str">
        <f ca="1">IFERROR(__xludf.DUMMYFUNCTION("""COMPUTED_VALUE"""),"0388507407")</f>
        <v>0388507407</v>
      </c>
      <c r="K2022" s="2" t="str">
        <f ca="1">IFERROR(__xludf.DUMMYFUNCTION("""COMPUTED_VALUE"""),"1772313975538")</f>
        <v>1772313975538</v>
      </c>
    </row>
    <row r="2023" spans="1:11" ht="12.45">
      <c r="A2023" s="2" t="str">
        <f ca="1">IFERROR(__xludf.DUMMYFUNCTION("""COMPUTED_VALUE"""),"1772314003055")</f>
        <v>1772314003055</v>
      </c>
      <c r="B2023" s="2"/>
      <c r="C2023" s="2" t="str">
        <v>0</v>
      </c>
      <c r="D2023" s="2"/>
      <c r="F2023" s="2" t="str">
        <v>0</v>
      </c>
      <c r="I2023" s="2" t="str">
        <f ca="1">IFERROR(__xludf.DUMMYFUNCTION("""COMPUTED_VALUE"""),"Nguyễn Anh Thư")</f>
        <v>Nguyễn Anh Thư</v>
      </c>
      <c r="J2023" s="3" t="str">
        <f ca="1">IFERROR(__xludf.DUMMYFUNCTION("""COMPUTED_VALUE"""),"0986305254")</f>
        <v>0986305254</v>
      </c>
      <c r="K2023" s="2" t="str">
        <f ca="1">IFERROR(__xludf.DUMMYFUNCTION("""COMPUTED_VALUE"""),"1772314003055")</f>
        <v>1772314003055</v>
      </c>
    </row>
    <row r="2024" spans="1:11" ht="12.45">
      <c r="A2024" s="2" t="str">
        <f ca="1">IFERROR(__xludf.DUMMYFUNCTION("""COMPUTED_VALUE"""),"1772314032987")</f>
        <v>1772314032987</v>
      </c>
      <c r="B2024" s="2"/>
      <c r="C2024" s="2" t="str">
        <v>0</v>
      </c>
      <c r="D2024" s="2"/>
      <c r="F2024" s="2" t="str">
        <v>0</v>
      </c>
      <c r="I2024" s="2" t="str">
        <f ca="1">IFERROR(__xludf.DUMMYFUNCTION("""COMPUTED_VALUE"""),"Trần Thị Ngọc Trâm ")</f>
        <v xml:space="preserve">Trần Thị Ngọc Trâm </v>
      </c>
      <c r="J2024" s="3" t="str">
        <f ca="1">IFERROR(__xludf.DUMMYFUNCTION("""COMPUTED_VALUE"""),"0941945460")</f>
        <v>0941945460</v>
      </c>
      <c r="K2024" s="2" t="str">
        <f ca="1">IFERROR(__xludf.DUMMYFUNCTION("""COMPUTED_VALUE"""),"1772314032987")</f>
        <v>1772314032987</v>
      </c>
    </row>
    <row r="2025" spans="1:11" ht="12.45">
      <c r="A2025" s="2" t="str">
        <f ca="1">IFERROR(__xludf.DUMMYFUNCTION("""COMPUTED_VALUE"""),"1772314056777")</f>
        <v>1772314056777</v>
      </c>
      <c r="B2025" s="2"/>
      <c r="C2025" s="2" t="str">
        <v>0</v>
      </c>
      <c r="D2025" s="2"/>
      <c r="F2025" s="2" t="str">
        <v>0</v>
      </c>
      <c r="I2025" s="2" t="str">
        <f ca="1">IFERROR(__xludf.DUMMYFUNCTION("""COMPUTED_VALUE"""),"Nguyễn Hữu Cảnh")</f>
        <v>Nguyễn Hữu Cảnh</v>
      </c>
      <c r="J2025" s="3" t="str">
        <f ca="1">IFERROR(__xludf.DUMMYFUNCTION("""COMPUTED_VALUE"""),"0583643981")</f>
        <v>0583643981</v>
      </c>
      <c r="K2025" s="2" t="str">
        <f ca="1">IFERROR(__xludf.DUMMYFUNCTION("""COMPUTED_VALUE"""),"1772314056777")</f>
        <v>1772314056777</v>
      </c>
    </row>
    <row r="2026" spans="1:11" ht="12.45">
      <c r="A2026" s="2" t="str">
        <f ca="1">IFERROR(__xludf.DUMMYFUNCTION("""COMPUTED_VALUE"""),"1772314080879")</f>
        <v>1772314080879</v>
      </c>
      <c r="B2026" s="2"/>
      <c r="C2026" s="2" t="str">
        <v>0</v>
      </c>
      <c r="D2026" s="2"/>
      <c r="F2026" s="2" t="str">
        <v>0</v>
      </c>
      <c r="I2026" s="2" t="str">
        <f ca="1">IFERROR(__xludf.DUMMYFUNCTION("""COMPUTED_VALUE"""),"Ngô Nhật Sang")</f>
        <v>Ngô Nhật Sang</v>
      </c>
      <c r="J2026" s="3" t="str">
        <f ca="1">IFERROR(__xludf.DUMMYFUNCTION("""COMPUTED_VALUE"""),"0976794724")</f>
        <v>0976794724</v>
      </c>
      <c r="K2026" s="2" t="str">
        <f ca="1">IFERROR(__xludf.DUMMYFUNCTION("""COMPUTED_VALUE"""),"1772314080879")</f>
        <v>1772314080879</v>
      </c>
    </row>
    <row r="2027" spans="1:11" ht="12.45">
      <c r="A2027" s="2" t="str">
        <f ca="1">IFERROR(__xludf.DUMMYFUNCTION("""COMPUTED_VALUE"""),"1772314108124")</f>
        <v>1772314108124</v>
      </c>
      <c r="B2027" s="2"/>
      <c r="C2027" s="2" t="str">
        <v>0</v>
      </c>
      <c r="D2027" s="2"/>
      <c r="F2027" s="2" t="str">
        <v>0</v>
      </c>
      <c r="I2027" s="2" t="str">
        <f ca="1">IFERROR(__xludf.DUMMYFUNCTION("""COMPUTED_VALUE"""),"Vũ Thanh Hương ")</f>
        <v xml:space="preserve">Vũ Thanh Hương </v>
      </c>
      <c r="J2027" s="3" t="str">
        <f ca="1">IFERROR(__xludf.DUMMYFUNCTION("""COMPUTED_VALUE"""),"0393283734")</f>
        <v>0393283734</v>
      </c>
      <c r="K2027" s="2" t="str">
        <f ca="1">IFERROR(__xludf.DUMMYFUNCTION("""COMPUTED_VALUE"""),"1772314108124")</f>
        <v>1772314108124</v>
      </c>
    </row>
    <row r="2028" spans="1:11" ht="12.45">
      <c r="A2028" s="2" t="str">
        <f ca="1">IFERROR(__xludf.DUMMYFUNCTION("""COMPUTED_VALUE"""),"1772314161428")</f>
        <v>1772314161428</v>
      </c>
      <c r="B2028" s="2"/>
      <c r="C2028" s="2" t="str">
        <v>0</v>
      </c>
      <c r="D2028" s="2"/>
      <c r="F2028" s="2" t="str">
        <v>0</v>
      </c>
      <c r="I2028" s="2" t="str">
        <f ca="1">IFERROR(__xludf.DUMMYFUNCTION("""COMPUTED_VALUE"""),"Nguyễn Bảo Uyên")</f>
        <v>Nguyễn Bảo Uyên</v>
      </c>
      <c r="J2028" s="3" t="str">
        <f ca="1">IFERROR(__xludf.DUMMYFUNCTION("""COMPUTED_VALUE"""),"0865575345")</f>
        <v>0865575345</v>
      </c>
      <c r="K2028" s="2" t="str">
        <f ca="1">IFERROR(__xludf.DUMMYFUNCTION("""COMPUTED_VALUE"""),"1772314161428")</f>
        <v>1772314161428</v>
      </c>
    </row>
    <row r="2029" spans="1:11" ht="12.45">
      <c r="A2029" s="2" t="str">
        <f ca="1">IFERROR(__xludf.DUMMYFUNCTION("""COMPUTED_VALUE"""),"1772314197178")</f>
        <v>1772314197178</v>
      </c>
      <c r="B2029" s="2"/>
      <c r="C2029" s="2" t="str">
        <v>0</v>
      </c>
      <c r="D2029" s="2"/>
      <c r="F2029" s="2" t="str">
        <v>0</v>
      </c>
      <c r="I2029" s="2" t="str">
        <f ca="1">IFERROR(__xludf.DUMMYFUNCTION("""COMPUTED_VALUE"""),"Hà Thu Huệ")</f>
        <v>Hà Thu Huệ</v>
      </c>
      <c r="J2029" s="3" t="str">
        <f ca="1">IFERROR(__xludf.DUMMYFUNCTION("""COMPUTED_VALUE"""),"0398990362")</f>
        <v>0398990362</v>
      </c>
      <c r="K2029" s="2" t="str">
        <f ca="1">IFERROR(__xludf.DUMMYFUNCTION("""COMPUTED_VALUE"""),"1772314197178")</f>
        <v>1772314197178</v>
      </c>
    </row>
    <row r="2030" spans="1:11" ht="12.45">
      <c r="A2030" s="2" t="str">
        <f ca="1">IFERROR(__xludf.DUMMYFUNCTION("""COMPUTED_VALUE"""),"1772314222495")</f>
        <v>1772314222495</v>
      </c>
      <c r="B2030" s="2"/>
      <c r="C2030" s="2" t="str">
        <v>0</v>
      </c>
      <c r="D2030" s="2"/>
      <c r="F2030" s="2" t="str">
        <v>0</v>
      </c>
      <c r="I2030" s="2" t="str">
        <f ca="1">IFERROR(__xludf.DUMMYFUNCTION("""COMPUTED_VALUE"""),"Vũ Như Gấm")</f>
        <v>Vũ Như Gấm</v>
      </c>
      <c r="J2030" s="3" t="str">
        <f ca="1">IFERROR(__xludf.DUMMYFUNCTION("""COMPUTED_VALUE"""),"0398779146")</f>
        <v>0398779146</v>
      </c>
      <c r="K2030" s="2" t="str">
        <f ca="1">IFERROR(__xludf.DUMMYFUNCTION("""COMPUTED_VALUE"""),"1772314222495")</f>
        <v>1772314222495</v>
      </c>
    </row>
    <row r="2031" spans="1:11" ht="12.45">
      <c r="A2031" s="2" t="str">
        <f ca="1">IFERROR(__xludf.DUMMYFUNCTION("""COMPUTED_VALUE"""),"1772314266976")</f>
        <v>1772314266976</v>
      </c>
      <c r="B2031" s="2"/>
      <c r="C2031" s="2" t="str">
        <v>0</v>
      </c>
      <c r="D2031" s="2"/>
      <c r="F2031" s="2" t="str">
        <v>0</v>
      </c>
      <c r="I2031" s="2" t="str">
        <f ca="1">IFERROR(__xludf.DUMMYFUNCTION("""COMPUTED_VALUE"""),"Bùi Thị Kim Chi ")</f>
        <v xml:space="preserve">Bùi Thị Kim Chi </v>
      </c>
      <c r="J2031" s="3" t="str">
        <f ca="1">IFERROR(__xludf.DUMMYFUNCTION("""COMPUTED_VALUE"""),"0977492559")</f>
        <v>0977492559</v>
      </c>
      <c r="K2031" s="2" t="str">
        <f ca="1">IFERROR(__xludf.DUMMYFUNCTION("""COMPUTED_VALUE"""),"1772314266976")</f>
        <v>1772314266976</v>
      </c>
    </row>
    <row r="2032" spans="1:11" ht="12.45">
      <c r="A2032" s="2" t="str">
        <f ca="1">IFERROR(__xludf.DUMMYFUNCTION("""COMPUTED_VALUE"""),"1772314286915")</f>
        <v>1772314286915</v>
      </c>
      <c r="B2032" s="2"/>
      <c r="C2032" s="2" t="str">
        <v>0</v>
      </c>
      <c r="D2032" s="2"/>
      <c r="F2032" s="2" t="str">
        <v>0</v>
      </c>
      <c r="I2032" s="2" t="str">
        <f ca="1">IFERROR(__xludf.DUMMYFUNCTION("""COMPUTED_VALUE"""),"Nguyễn Trần Vân Anh")</f>
        <v>Nguyễn Trần Vân Anh</v>
      </c>
      <c r="J2032" s="3" t="str">
        <f ca="1">IFERROR(__xludf.DUMMYFUNCTION("""COMPUTED_VALUE"""),"0962204774")</f>
        <v>0962204774</v>
      </c>
      <c r="K2032" s="2" t="str">
        <f ca="1">IFERROR(__xludf.DUMMYFUNCTION("""COMPUTED_VALUE"""),"1772314286915")</f>
        <v>1772314286915</v>
      </c>
    </row>
    <row r="2033" spans="1:11" ht="12.45">
      <c r="A2033" s="2" t="str">
        <f ca="1">IFERROR(__xludf.DUMMYFUNCTION("""COMPUTED_VALUE"""),"1772314314081")</f>
        <v>1772314314081</v>
      </c>
      <c r="B2033" s="2"/>
      <c r="C2033" s="2" t="str">
        <v>0</v>
      </c>
      <c r="D2033" s="2"/>
      <c r="F2033" s="2" t="str">
        <v>0</v>
      </c>
      <c r="I2033" s="2" t="str">
        <f ca="1">IFERROR(__xludf.DUMMYFUNCTION("""COMPUTED_VALUE"""),"Nguyễn Quỳnh Nhung")</f>
        <v>Nguyễn Quỳnh Nhung</v>
      </c>
      <c r="J2033" s="3" t="str">
        <f ca="1">IFERROR(__xludf.DUMMYFUNCTION("""COMPUTED_VALUE"""),"0946482812")</f>
        <v>0946482812</v>
      </c>
      <c r="K2033" s="2" t="str">
        <f ca="1">IFERROR(__xludf.DUMMYFUNCTION("""COMPUTED_VALUE"""),"1772314314081")</f>
        <v>1772314314081</v>
      </c>
    </row>
    <row r="2034" spans="1:11" ht="12.45">
      <c r="A2034" s="2" t="str">
        <f ca="1">IFERROR(__xludf.DUMMYFUNCTION("""COMPUTED_VALUE"""),"1772314352405")</f>
        <v>1772314352405</v>
      </c>
      <c r="B2034" s="2"/>
      <c r="C2034" s="2" t="str">
        <v>0</v>
      </c>
      <c r="D2034" s="2"/>
      <c r="F2034" s="2" t="str">
        <v>0</v>
      </c>
      <c r="I2034" s="2" t="str">
        <f ca="1">IFERROR(__xludf.DUMMYFUNCTION("""COMPUTED_VALUE"""),"Phạm Bảo Nghi")</f>
        <v>Phạm Bảo Nghi</v>
      </c>
      <c r="J2034" s="3" t="str">
        <f ca="1">IFERROR(__xludf.DUMMYFUNCTION("""COMPUTED_VALUE"""),"0962249301")</f>
        <v>0962249301</v>
      </c>
      <c r="K2034" s="2" t="str">
        <f ca="1">IFERROR(__xludf.DUMMYFUNCTION("""COMPUTED_VALUE"""),"1772314352405")</f>
        <v>1772314352405</v>
      </c>
    </row>
    <row r="2035" spans="1:11" ht="12.45">
      <c r="A2035" s="2" t="str">
        <f ca="1">IFERROR(__xludf.DUMMYFUNCTION("""COMPUTED_VALUE"""),"1772314381864")</f>
        <v>1772314381864</v>
      </c>
      <c r="B2035" s="2"/>
      <c r="C2035" s="2" t="str">
        <v>0</v>
      </c>
      <c r="D2035" s="2"/>
      <c r="F2035" s="2" t="str">
        <v>0</v>
      </c>
      <c r="I2035" s="2" t="str">
        <f ca="1">IFERROR(__xludf.DUMMYFUNCTION("""COMPUTED_VALUE"""),"Hoàng Ngọc Ngà")</f>
        <v>Hoàng Ngọc Ngà</v>
      </c>
      <c r="J2035" s="3" t="str">
        <f ca="1">IFERROR(__xludf.DUMMYFUNCTION("""COMPUTED_VALUE"""),"0862173474")</f>
        <v>0862173474</v>
      </c>
      <c r="K2035" s="2" t="str">
        <f ca="1">IFERROR(__xludf.DUMMYFUNCTION("""COMPUTED_VALUE"""),"1772314381864")</f>
        <v>1772314381864</v>
      </c>
    </row>
    <row r="2036" spans="1:11" ht="12.45">
      <c r="A2036" s="2" t="str">
        <f ca="1">IFERROR(__xludf.DUMMYFUNCTION("""COMPUTED_VALUE"""),"1772314405443")</f>
        <v>1772314405443</v>
      </c>
      <c r="B2036" s="2"/>
      <c r="C2036" s="2" t="str">
        <v>0</v>
      </c>
      <c r="D2036" s="2"/>
      <c r="F2036" s="2" t="str">
        <v>0</v>
      </c>
      <c r="I2036" s="2" t="str">
        <f ca="1">IFERROR(__xludf.DUMMYFUNCTION("""COMPUTED_VALUE"""),"Nguyễn Phương Anh")</f>
        <v>Nguyễn Phương Anh</v>
      </c>
      <c r="J2036" s="3" t="str">
        <f ca="1">IFERROR(__xludf.DUMMYFUNCTION("""COMPUTED_VALUE"""),"0359138874")</f>
        <v>0359138874</v>
      </c>
      <c r="K2036" s="2" t="str">
        <f ca="1">IFERROR(__xludf.DUMMYFUNCTION("""COMPUTED_VALUE"""),"1772314405443")</f>
        <v>1772314405443</v>
      </c>
    </row>
    <row r="2037" spans="1:11" ht="12.45">
      <c r="A2037" s="2" t="str">
        <f ca="1">IFERROR(__xludf.DUMMYFUNCTION("""COMPUTED_VALUE"""),"1772314426234")</f>
        <v>1772314426234</v>
      </c>
      <c r="B2037" s="2"/>
      <c r="C2037" s="2" t="str">
        <v>0</v>
      </c>
      <c r="D2037" s="2"/>
      <c r="F2037" s="2" t="str">
        <v>0</v>
      </c>
      <c r="I2037" s="2" t="str">
        <f ca="1">IFERROR(__xludf.DUMMYFUNCTION("""COMPUTED_VALUE"""),"Nguyễn Thị Lan Anh ")</f>
        <v xml:space="preserve">Nguyễn Thị Lan Anh </v>
      </c>
      <c r="J2037" s="3" t="str">
        <f ca="1">IFERROR(__xludf.DUMMYFUNCTION("""COMPUTED_VALUE"""),"0962916933")</f>
        <v>0962916933</v>
      </c>
      <c r="K2037" s="2" t="str">
        <f ca="1">IFERROR(__xludf.DUMMYFUNCTION("""COMPUTED_VALUE"""),"1772314426234")</f>
        <v>1772314426234</v>
      </c>
    </row>
    <row r="2038" spans="1:11" ht="12.45">
      <c r="A2038" s="2" t="str">
        <f ca="1">IFERROR(__xludf.DUMMYFUNCTION("""COMPUTED_VALUE"""),"1772314452932")</f>
        <v>1772314452932</v>
      </c>
      <c r="B2038" s="2"/>
      <c r="C2038" s="2" t="str">
        <v>0</v>
      </c>
      <c r="D2038" s="2"/>
      <c r="F2038" s="2" t="str">
        <v>0</v>
      </c>
      <c r="I2038" s="2" t="str">
        <f ca="1">IFERROR(__xludf.DUMMYFUNCTION("""COMPUTED_VALUE"""),"Trần Thị Mỹ Dung")</f>
        <v>Trần Thị Mỹ Dung</v>
      </c>
      <c r="J2038" s="3" t="str">
        <f ca="1">IFERROR(__xludf.DUMMYFUNCTION("""COMPUTED_VALUE"""),"0949365629")</f>
        <v>0949365629</v>
      </c>
      <c r="K2038" s="2" t="str">
        <f ca="1">IFERROR(__xludf.DUMMYFUNCTION("""COMPUTED_VALUE"""),"1772314452932")</f>
        <v>1772314452932</v>
      </c>
    </row>
    <row r="2039" spans="1:11" ht="12.45">
      <c r="A2039" s="2" t="str">
        <f ca="1">IFERROR(__xludf.DUMMYFUNCTION("""COMPUTED_VALUE"""),"1772314476815")</f>
        <v>1772314476815</v>
      </c>
      <c r="B2039" s="2"/>
      <c r="C2039" s="2" t="str">
        <v>0</v>
      </c>
      <c r="D2039" s="2"/>
      <c r="F2039" s="2" t="str">
        <v>0</v>
      </c>
      <c r="I2039" s="2" t="str">
        <f ca="1">IFERROR(__xludf.DUMMYFUNCTION("""COMPUTED_VALUE"""),"Phan Châu Như Quỳnh")</f>
        <v>Phan Châu Như Quỳnh</v>
      </c>
      <c r="J2039" s="3" t="str">
        <f ca="1">IFERROR(__xludf.DUMMYFUNCTION("""COMPUTED_VALUE"""),"0375766557")</f>
        <v>0375766557</v>
      </c>
      <c r="K2039" s="2" t="str">
        <f ca="1">IFERROR(__xludf.DUMMYFUNCTION("""COMPUTED_VALUE"""),"1772314476815")</f>
        <v>1772314476815</v>
      </c>
    </row>
    <row r="2040" spans="1:11" ht="12.45">
      <c r="A2040" s="2" t="str">
        <f ca="1">IFERROR(__xludf.DUMMYFUNCTION("""COMPUTED_VALUE"""),"1772314511640")</f>
        <v>1772314511640</v>
      </c>
      <c r="B2040" s="2"/>
      <c r="C2040" s="2" t="str">
        <v>0</v>
      </c>
      <c r="D2040" s="2"/>
      <c r="F2040" s="2" t="str">
        <v>0</v>
      </c>
      <c r="I2040" s="2" t="str">
        <f ca="1">IFERROR(__xludf.DUMMYFUNCTION("""COMPUTED_VALUE"""),"Lê Đoàn Phát")</f>
        <v>Lê Đoàn Phát</v>
      </c>
      <c r="J2040" s="3" t="str">
        <f ca="1">IFERROR(__xludf.DUMMYFUNCTION("""COMPUTED_VALUE"""),"0945494786")</f>
        <v>0945494786</v>
      </c>
      <c r="K2040" s="2" t="str">
        <f ca="1">IFERROR(__xludf.DUMMYFUNCTION("""COMPUTED_VALUE"""),"1772314511640")</f>
        <v>1772314511640</v>
      </c>
    </row>
    <row r="2041" spans="1:11" ht="12.45">
      <c r="A2041" s="2" t="str">
        <f ca="1">IFERROR(__xludf.DUMMYFUNCTION("""COMPUTED_VALUE"""),"1772314534788")</f>
        <v>1772314534788</v>
      </c>
      <c r="B2041" s="2"/>
      <c r="C2041" s="2" t="str">
        <v>0</v>
      </c>
      <c r="D2041" s="2"/>
      <c r="F2041" s="2" t="str">
        <v>0</v>
      </c>
      <c r="I2041" s="2" t="str">
        <f ca="1">IFERROR(__xludf.DUMMYFUNCTION("""COMPUTED_VALUE"""),"Nguyễn Hữu Tùng")</f>
        <v>Nguyễn Hữu Tùng</v>
      </c>
      <c r="J2041" s="3" t="str">
        <f ca="1">IFERROR(__xludf.DUMMYFUNCTION("""COMPUTED_VALUE"""),"0387103772")</f>
        <v>0387103772</v>
      </c>
      <c r="K2041" s="2" t="str">
        <f ca="1">IFERROR(__xludf.DUMMYFUNCTION("""COMPUTED_VALUE"""),"1772314534788")</f>
        <v>1772314534788</v>
      </c>
    </row>
    <row r="2042" spans="1:11" ht="12.45">
      <c r="A2042" s="2" t="str">
        <f ca="1">IFERROR(__xludf.DUMMYFUNCTION("""COMPUTED_VALUE"""),"1772314560663")</f>
        <v>1772314560663</v>
      </c>
      <c r="B2042" s="2"/>
      <c r="C2042" s="2" t="str">
        <v>0</v>
      </c>
      <c r="D2042" s="2"/>
      <c r="F2042" s="2" t="str">
        <v>0</v>
      </c>
      <c r="I2042" s="2" t="str">
        <f ca="1">IFERROR(__xludf.DUMMYFUNCTION("""COMPUTED_VALUE"""),"Trần Tâm Anh")</f>
        <v>Trần Tâm Anh</v>
      </c>
      <c r="J2042" s="3" t="str">
        <f ca="1">IFERROR(__xludf.DUMMYFUNCTION("""COMPUTED_VALUE"""),"0358662127")</f>
        <v>0358662127</v>
      </c>
      <c r="K2042" s="2" t="str">
        <f ca="1">IFERROR(__xludf.DUMMYFUNCTION("""COMPUTED_VALUE"""),"1772314560663")</f>
        <v>1772314560663</v>
      </c>
    </row>
    <row r="2043" spans="1:11" ht="12.45">
      <c r="A2043" s="2" t="str">
        <f ca="1">IFERROR(__xludf.DUMMYFUNCTION("""COMPUTED_VALUE"""),"1772314586567")</f>
        <v>1772314586567</v>
      </c>
      <c r="B2043" s="2"/>
      <c r="C2043" s="2" t="str">
        <v>0</v>
      </c>
      <c r="D2043" s="2"/>
      <c r="F2043" s="2" t="str">
        <v>0</v>
      </c>
      <c r="I2043" s="2" t="str">
        <f ca="1">IFERROR(__xludf.DUMMYFUNCTION("""COMPUTED_VALUE"""),"Nguyễn Phương Dung")</f>
        <v>Nguyễn Phương Dung</v>
      </c>
      <c r="J2043" s="3" t="str">
        <f ca="1">IFERROR(__xludf.DUMMYFUNCTION("""COMPUTED_VALUE"""),"0328311420")</f>
        <v>0328311420</v>
      </c>
      <c r="K2043" s="2" t="str">
        <f ca="1">IFERROR(__xludf.DUMMYFUNCTION("""COMPUTED_VALUE"""),"1772314586567")</f>
        <v>1772314586567</v>
      </c>
    </row>
    <row r="2044" spans="1:11" ht="12.45">
      <c r="A2044" s="2" t="str">
        <f ca="1">IFERROR(__xludf.DUMMYFUNCTION("""COMPUTED_VALUE"""),"1772314609399")</f>
        <v>1772314609399</v>
      </c>
      <c r="B2044" s="2"/>
      <c r="C2044" s="2" t="str">
        <v>0</v>
      </c>
      <c r="D2044" s="2"/>
      <c r="F2044" s="2" t="str">
        <v>0</v>
      </c>
      <c r="I2044" s="2" t="str">
        <f ca="1">IFERROR(__xludf.DUMMYFUNCTION("""COMPUTED_VALUE"""),"Trần Ngọc Thảo Anh ")</f>
        <v xml:space="preserve">Trần Ngọc Thảo Anh </v>
      </c>
      <c r="J2044" s="3" t="str">
        <f ca="1">IFERROR(__xludf.DUMMYFUNCTION("""COMPUTED_VALUE"""),"0814210707")</f>
        <v>0814210707</v>
      </c>
      <c r="K2044" s="2" t="str">
        <f ca="1">IFERROR(__xludf.DUMMYFUNCTION("""COMPUTED_VALUE"""),"1772314609399")</f>
        <v>1772314609399</v>
      </c>
    </row>
    <row r="2045" spans="1:11" ht="12.45">
      <c r="A2045" s="2" t="str">
        <f ca="1">IFERROR(__xludf.DUMMYFUNCTION("""COMPUTED_VALUE"""),"1772314637171")</f>
        <v>1772314637171</v>
      </c>
      <c r="B2045" s="2"/>
      <c r="C2045" s="2" t="str">
        <v>0</v>
      </c>
      <c r="D2045" s="2"/>
      <c r="F2045" s="2" t="str">
        <v>0</v>
      </c>
      <c r="I2045" s="2" t="str">
        <f ca="1">IFERROR(__xludf.DUMMYFUNCTION("""COMPUTED_VALUE"""),"Vũ Yến Nhi")</f>
        <v>Vũ Yến Nhi</v>
      </c>
      <c r="J2045" s="3" t="str">
        <f ca="1">IFERROR(__xludf.DUMMYFUNCTION("""COMPUTED_VALUE"""),"0353196816")</f>
        <v>0353196816</v>
      </c>
      <c r="K2045" s="2" t="str">
        <f ca="1">IFERROR(__xludf.DUMMYFUNCTION("""COMPUTED_VALUE"""),"1772314637171")</f>
        <v>1772314637171</v>
      </c>
    </row>
    <row r="2046" spans="1:11" ht="12.45">
      <c r="A2046" s="2" t="str">
        <f ca="1">IFERROR(__xludf.DUMMYFUNCTION("""COMPUTED_VALUE"""),"1772314660413")</f>
        <v>1772314660413</v>
      </c>
      <c r="B2046" s="2"/>
      <c r="C2046" s="2" t="str">
        <v>0</v>
      </c>
      <c r="D2046" s="2"/>
      <c r="F2046" s="2" t="str">
        <v>0</v>
      </c>
      <c r="I2046" s="2" t="str">
        <f ca="1">IFERROR(__xludf.DUMMYFUNCTION("""COMPUTED_VALUE"""),"Đặng Thuỳ Trinh")</f>
        <v>Đặng Thuỳ Trinh</v>
      </c>
      <c r="J2046" s="3" t="str">
        <f ca="1">IFERROR(__xludf.DUMMYFUNCTION("""COMPUTED_VALUE"""),"0349282313")</f>
        <v>0349282313</v>
      </c>
      <c r="K2046" s="2" t="str">
        <f ca="1">IFERROR(__xludf.DUMMYFUNCTION("""COMPUTED_VALUE"""),"1772314660413")</f>
        <v>1772314660413</v>
      </c>
    </row>
    <row r="2047" spans="1:11" ht="12.45">
      <c r="A2047" s="2" t="str">
        <f ca="1">IFERROR(__xludf.DUMMYFUNCTION("""COMPUTED_VALUE"""),"1772314681152")</f>
        <v>1772314681152</v>
      </c>
      <c r="B2047" s="2"/>
      <c r="C2047" s="2" t="str">
        <v>0</v>
      </c>
      <c r="D2047" s="2"/>
      <c r="F2047" s="2" t="str">
        <v>0</v>
      </c>
      <c r="I2047" s="2" t="str">
        <f ca="1">IFERROR(__xludf.DUMMYFUNCTION("""COMPUTED_VALUE"""),"Bùi ngọc quế trân")</f>
        <v>Bùi ngọc quế trân</v>
      </c>
      <c r="J2047" s="3" t="str">
        <f ca="1">IFERROR(__xludf.DUMMYFUNCTION("""COMPUTED_VALUE"""),"0369756030")</f>
        <v>0369756030</v>
      </c>
      <c r="K2047" s="2" t="str">
        <f ca="1">IFERROR(__xludf.DUMMYFUNCTION("""COMPUTED_VALUE"""),"1772314681152")</f>
        <v>1772314681152</v>
      </c>
    </row>
    <row r="2048" spans="1:11" ht="12.45">
      <c r="A2048" s="2" t="str">
        <f ca="1">IFERROR(__xludf.DUMMYFUNCTION("""COMPUTED_VALUE"""),"1772314703409")</f>
        <v>1772314703409</v>
      </c>
      <c r="B2048" s="2"/>
      <c r="C2048" s="2" t="str">
        <v>0</v>
      </c>
      <c r="D2048" s="2"/>
      <c r="F2048" s="2" t="str">
        <v>0</v>
      </c>
      <c r="I2048" s="2" t="str">
        <f ca="1">IFERROR(__xludf.DUMMYFUNCTION("""COMPUTED_VALUE"""),"Nguyễn Thị Hằng Nga")</f>
        <v>Nguyễn Thị Hằng Nga</v>
      </c>
      <c r="J2048" s="3" t="str">
        <f ca="1">IFERROR(__xludf.DUMMYFUNCTION("""COMPUTED_VALUE"""),"0906157854")</f>
        <v>0906157854</v>
      </c>
      <c r="K2048" s="2" t="str">
        <f ca="1">IFERROR(__xludf.DUMMYFUNCTION("""COMPUTED_VALUE"""),"1772314703409")</f>
        <v>1772314703409</v>
      </c>
    </row>
    <row r="2049" spans="1:11" ht="12.45">
      <c r="A2049" s="2" t="str">
        <f ca="1">IFERROR(__xludf.DUMMYFUNCTION("""COMPUTED_VALUE"""),"1772314724292")</f>
        <v>1772314724292</v>
      </c>
      <c r="B2049" s="2"/>
      <c r="C2049" s="2" t="str">
        <v>0</v>
      </c>
      <c r="D2049" s="2"/>
      <c r="F2049" s="2" t="str">
        <v>0</v>
      </c>
      <c r="I2049" s="2" t="str">
        <f ca="1">IFERROR(__xludf.DUMMYFUNCTION("""COMPUTED_VALUE"""),"Phùng Phương Dung")</f>
        <v>Phùng Phương Dung</v>
      </c>
      <c r="J2049" s="3" t="str">
        <f ca="1">IFERROR(__xludf.DUMMYFUNCTION("""COMPUTED_VALUE"""),"0965588607")</f>
        <v>0965588607</v>
      </c>
      <c r="K2049" s="2" t="str">
        <f ca="1">IFERROR(__xludf.DUMMYFUNCTION("""COMPUTED_VALUE"""),"1772314724292")</f>
        <v>1772314724292</v>
      </c>
    </row>
    <row r="2050" spans="1:11" ht="12.45">
      <c r="A2050" s="2" t="str">
        <f ca="1">IFERROR(__xludf.DUMMYFUNCTION("""COMPUTED_VALUE"""),"1772314746062")</f>
        <v>1772314746062</v>
      </c>
      <c r="B2050" s="2"/>
      <c r="C2050" s="2" t="str">
        <v>0</v>
      </c>
      <c r="D2050" s="2"/>
      <c r="F2050" s="2" t="str">
        <v>0</v>
      </c>
      <c r="I2050" s="2" t="str">
        <f ca="1">IFERROR(__xludf.DUMMYFUNCTION("""COMPUTED_VALUE"""),"Trần Phương Linh ")</f>
        <v xml:space="preserve">Trần Phương Linh </v>
      </c>
      <c r="J2050" s="3" t="str">
        <f ca="1">IFERROR(__xludf.DUMMYFUNCTION("""COMPUTED_VALUE"""),"0971188545")</f>
        <v>0971188545</v>
      </c>
      <c r="K2050" s="2" t="str">
        <f ca="1">IFERROR(__xludf.DUMMYFUNCTION("""COMPUTED_VALUE"""),"1772314746062")</f>
        <v>1772314746062</v>
      </c>
    </row>
    <row r="2051" spans="1:11" ht="12.45">
      <c r="A2051" s="2" t="str">
        <f ca="1">IFERROR(__xludf.DUMMYFUNCTION("""COMPUTED_VALUE"""),"1772314770165")</f>
        <v>1772314770165</v>
      </c>
      <c r="B2051" s="2"/>
      <c r="C2051" s="2" t="str">
        <v>0</v>
      </c>
      <c r="D2051" s="2"/>
      <c r="F2051" s="2" t="str">
        <v>0</v>
      </c>
      <c r="I2051" s="2" t="str">
        <f ca="1">IFERROR(__xludf.DUMMYFUNCTION("""COMPUTED_VALUE"""),"Triệu Thị Thu Hiền")</f>
        <v>Triệu Thị Thu Hiền</v>
      </c>
      <c r="J2051" s="3" t="str">
        <f ca="1">IFERROR(__xludf.DUMMYFUNCTION("""COMPUTED_VALUE"""),"0814336586")</f>
        <v>0814336586</v>
      </c>
      <c r="K2051" s="2" t="str">
        <f ca="1">IFERROR(__xludf.DUMMYFUNCTION("""COMPUTED_VALUE"""),"1772314770165")</f>
        <v>1772314770165</v>
      </c>
    </row>
    <row r="2052" spans="1:11" ht="12.45">
      <c r="A2052" s="2" t="str">
        <f ca="1">IFERROR(__xludf.DUMMYFUNCTION("""COMPUTED_VALUE"""),"1772314790510")</f>
        <v>1772314790510</v>
      </c>
      <c r="B2052" s="2"/>
      <c r="C2052" s="2" t="str">
        <v>0</v>
      </c>
      <c r="D2052" s="2"/>
      <c r="F2052" s="2" t="str">
        <v>0</v>
      </c>
      <c r="I2052" s="2" t="str">
        <f ca="1">IFERROR(__xludf.DUMMYFUNCTION("""COMPUTED_VALUE"""),"Lê Ngọc Mai")</f>
        <v>Lê Ngọc Mai</v>
      </c>
      <c r="J2052" s="3" t="str">
        <f ca="1">IFERROR(__xludf.DUMMYFUNCTION("""COMPUTED_VALUE"""),"0368858430")</f>
        <v>0368858430</v>
      </c>
      <c r="K2052" s="2" t="str">
        <f ca="1">IFERROR(__xludf.DUMMYFUNCTION("""COMPUTED_VALUE"""),"1772314790510")</f>
        <v>1772314790510</v>
      </c>
    </row>
    <row r="2053" spans="1:11" ht="12.45">
      <c r="A2053" s="2" t="str">
        <f ca="1">IFERROR(__xludf.DUMMYFUNCTION("""COMPUTED_VALUE"""),"1772314812995")</f>
        <v>1772314812995</v>
      </c>
      <c r="B2053" s="2"/>
      <c r="C2053" s="2" t="str">
        <v>0</v>
      </c>
      <c r="D2053" s="2"/>
      <c r="F2053" s="2" t="str">
        <v>0</v>
      </c>
      <c r="I2053" s="2" t="str">
        <f ca="1">IFERROR(__xludf.DUMMYFUNCTION("""COMPUTED_VALUE"""),"Nguyễn Thanh Vy")</f>
        <v>Nguyễn Thanh Vy</v>
      </c>
      <c r="J2053" s="3" t="str">
        <f ca="1">IFERROR(__xludf.DUMMYFUNCTION("""COMPUTED_VALUE"""),"0938308371")</f>
        <v>0938308371</v>
      </c>
      <c r="K2053" s="2" t="str">
        <f ca="1">IFERROR(__xludf.DUMMYFUNCTION("""COMPUTED_VALUE"""),"1772314812995")</f>
        <v>1772314812995</v>
      </c>
    </row>
    <row r="2054" spans="1:11" ht="12.45">
      <c r="A2054" s="2" t="str">
        <f ca="1">IFERROR(__xludf.DUMMYFUNCTION("""COMPUTED_VALUE"""),"1772314839034")</f>
        <v>1772314839034</v>
      </c>
      <c r="B2054" s="2"/>
      <c r="C2054" s="2" t="str">
        <v>0</v>
      </c>
      <c r="D2054" s="2"/>
      <c r="F2054" s="2" t="str">
        <v>0</v>
      </c>
      <c r="I2054" s="2" t="str">
        <f ca="1">IFERROR(__xludf.DUMMYFUNCTION("""COMPUTED_VALUE"""),"VO THI TU GIANG ")</f>
        <v xml:space="preserve">VO THI TU GIANG </v>
      </c>
      <c r="J2054" s="3" t="str">
        <f ca="1">IFERROR(__xludf.DUMMYFUNCTION("""COMPUTED_VALUE"""),"0335945372")</f>
        <v>0335945372</v>
      </c>
      <c r="K2054" s="2" t="str">
        <f ca="1">IFERROR(__xludf.DUMMYFUNCTION("""COMPUTED_VALUE"""),"1772314839034")</f>
        <v>1772314839034</v>
      </c>
    </row>
    <row r="2055" spans="1:11" ht="12.45">
      <c r="A2055" s="2" t="str">
        <f ca="1">IFERROR(__xludf.DUMMYFUNCTION("""COMPUTED_VALUE"""),"1772314863722")</f>
        <v>1772314863722</v>
      </c>
      <c r="B2055" s="2"/>
      <c r="C2055" s="2" t="str">
        <v>0</v>
      </c>
      <c r="D2055" s="2"/>
      <c r="F2055" s="2" t="str">
        <v>0</v>
      </c>
      <c r="I2055" s="2" t="str">
        <f ca="1">IFERROR(__xludf.DUMMYFUNCTION("""COMPUTED_VALUE"""),"Hoàng Thị Phương Linh")</f>
        <v>Hoàng Thị Phương Linh</v>
      </c>
      <c r="J2055" s="3" t="str">
        <f ca="1">IFERROR(__xludf.DUMMYFUNCTION("""COMPUTED_VALUE"""),"0988459148")</f>
        <v>0988459148</v>
      </c>
      <c r="K2055" s="2" t="str">
        <f ca="1">IFERROR(__xludf.DUMMYFUNCTION("""COMPUTED_VALUE"""),"1772314863722")</f>
        <v>1772314863722</v>
      </c>
    </row>
    <row r="2056" spans="1:11" ht="12.45">
      <c r="A2056" s="2" t="str">
        <f ca="1">IFERROR(__xludf.DUMMYFUNCTION("""COMPUTED_VALUE"""),"1772314885409")</f>
        <v>1772314885409</v>
      </c>
      <c r="B2056" s="2"/>
      <c r="C2056" s="2" t="str">
        <v>0</v>
      </c>
      <c r="D2056" s="2"/>
      <c r="F2056" s="2" t="str">
        <v>0</v>
      </c>
      <c r="I2056" s="2" t="str">
        <f ca="1">IFERROR(__xludf.DUMMYFUNCTION("""COMPUTED_VALUE"""),"Nguyễn Phúc Khánh Ngọc ")</f>
        <v xml:space="preserve">Nguyễn Phúc Khánh Ngọc </v>
      </c>
      <c r="J2056" s="3" t="str">
        <f ca="1">IFERROR(__xludf.DUMMYFUNCTION("""COMPUTED_VALUE"""),"0379910385")</f>
        <v>0379910385</v>
      </c>
      <c r="K2056" s="2" t="str">
        <f ca="1">IFERROR(__xludf.DUMMYFUNCTION("""COMPUTED_VALUE"""),"1772314885409")</f>
        <v>1772314885409</v>
      </c>
    </row>
    <row r="2057" spans="1:11" ht="12.45">
      <c r="A2057" s="2" t="str">
        <f ca="1">IFERROR(__xludf.DUMMYFUNCTION("""COMPUTED_VALUE"""),"1772314910871")</f>
        <v>1772314910871</v>
      </c>
      <c r="B2057" s="2"/>
      <c r="C2057" s="2" t="str">
        <v>0</v>
      </c>
      <c r="D2057" s="2"/>
      <c r="F2057" s="2" t="str">
        <v>0</v>
      </c>
      <c r="I2057" s="2" t="str">
        <f ca="1">IFERROR(__xludf.DUMMYFUNCTION("""COMPUTED_VALUE"""),"Nguyễn Phương Nga")</f>
        <v>Nguyễn Phương Nga</v>
      </c>
      <c r="J2057" s="3" t="str">
        <f ca="1">IFERROR(__xludf.DUMMYFUNCTION("""COMPUTED_VALUE"""),"0344788624")</f>
        <v>0344788624</v>
      </c>
      <c r="K2057" s="2" t="str">
        <f ca="1">IFERROR(__xludf.DUMMYFUNCTION("""COMPUTED_VALUE"""),"1772314910871")</f>
        <v>1772314910871</v>
      </c>
    </row>
    <row r="2058" spans="1:11" ht="12.45">
      <c r="A2058" s="2" t="str">
        <f ca="1">IFERROR(__xludf.DUMMYFUNCTION("""COMPUTED_VALUE"""),"1772314968453")</f>
        <v>1772314968453</v>
      </c>
      <c r="B2058" s="2"/>
      <c r="C2058" s="2" t="str">
        <v>0</v>
      </c>
      <c r="D2058" s="2"/>
      <c r="F2058" s="2" t="str">
        <v>0</v>
      </c>
      <c r="I2058" s="2" t="str">
        <f ca="1">IFERROR(__xludf.DUMMYFUNCTION("""COMPUTED_VALUE"""),"Nguyễn Thị Bích Tuyền ")</f>
        <v xml:space="preserve">Nguyễn Thị Bích Tuyền </v>
      </c>
      <c r="J2058" s="3" t="str">
        <f ca="1">IFERROR(__xludf.DUMMYFUNCTION("""COMPUTED_VALUE"""),"0337700399")</f>
        <v>0337700399</v>
      </c>
      <c r="K2058" s="2" t="str">
        <f ca="1">IFERROR(__xludf.DUMMYFUNCTION("""COMPUTED_VALUE"""),"1772314968453")</f>
        <v>1772314968453</v>
      </c>
    </row>
    <row r="2059" spans="1:11" ht="12.45">
      <c r="A2059" s="2" t="str">
        <f ca="1">IFERROR(__xludf.DUMMYFUNCTION("""COMPUTED_VALUE"""),"1772314993854")</f>
        <v>1772314993854</v>
      </c>
      <c r="B2059" s="2"/>
      <c r="C2059" s="2" t="str">
        <v>0</v>
      </c>
      <c r="D2059" s="2"/>
      <c r="F2059" s="2" t="str">
        <v>0</v>
      </c>
      <c r="I2059" s="2" t="str">
        <f ca="1">IFERROR(__xludf.DUMMYFUNCTION("""COMPUTED_VALUE"""),"Đỗ Thị Mai Linh ")</f>
        <v xml:space="preserve">Đỗ Thị Mai Linh </v>
      </c>
      <c r="J2059" s="3" t="str">
        <f ca="1">IFERROR(__xludf.DUMMYFUNCTION("""COMPUTED_VALUE"""),"0398902861")</f>
        <v>0398902861</v>
      </c>
      <c r="K2059" s="2" t="str">
        <f ca="1">IFERROR(__xludf.DUMMYFUNCTION("""COMPUTED_VALUE"""),"1772314993854")</f>
        <v>1772314993854</v>
      </c>
    </row>
    <row r="2060" spans="1:11" ht="12.45">
      <c r="A2060" s="2" t="str">
        <f ca="1">IFERROR(__xludf.DUMMYFUNCTION("""COMPUTED_VALUE"""),"1772315023897")</f>
        <v>1772315023897</v>
      </c>
      <c r="B2060" s="2"/>
      <c r="C2060" s="2" t="str">
        <v>0</v>
      </c>
      <c r="D2060" s="2"/>
      <c r="F2060" s="2" t="str">
        <v>0</v>
      </c>
      <c r="I2060" s="2" t="str">
        <f ca="1">IFERROR(__xludf.DUMMYFUNCTION("""COMPUTED_VALUE"""),"Dương Bảo Anh ")</f>
        <v xml:space="preserve">Dương Bảo Anh </v>
      </c>
      <c r="J2060" s="3" t="str">
        <f ca="1">IFERROR(__xludf.DUMMYFUNCTION("""COMPUTED_VALUE"""),"0915778297")</f>
        <v>0915778297</v>
      </c>
      <c r="K2060" s="2" t="str">
        <f ca="1">IFERROR(__xludf.DUMMYFUNCTION("""COMPUTED_VALUE"""),"1772315023897")</f>
        <v>1772315023897</v>
      </c>
    </row>
    <row r="2061" spans="1:11" ht="12.45">
      <c r="A2061" s="2" t="str">
        <f ca="1">IFERROR(__xludf.DUMMYFUNCTION("""COMPUTED_VALUE"""),"1772315048369")</f>
        <v>1772315048369</v>
      </c>
      <c r="B2061" s="2"/>
      <c r="C2061" s="2" t="str">
        <v>0</v>
      </c>
      <c r="D2061" s="2"/>
      <c r="F2061" s="2" t="str">
        <v>0</v>
      </c>
      <c r="I2061" s="2" t="str">
        <f ca="1">IFERROR(__xludf.DUMMYFUNCTION("""COMPUTED_VALUE"""),"Nguyễn Hà Tưởng")</f>
        <v>Nguyễn Hà Tưởng</v>
      </c>
      <c r="J2061" s="3" t="str">
        <f ca="1">IFERROR(__xludf.DUMMYFUNCTION("""COMPUTED_VALUE"""),"0818945535")</f>
        <v>0818945535</v>
      </c>
      <c r="K2061" s="2" t="str">
        <f ca="1">IFERROR(__xludf.DUMMYFUNCTION("""COMPUTED_VALUE"""),"1772315048369")</f>
        <v>1772315048369</v>
      </c>
    </row>
    <row r="2062" spans="1:11" ht="12.45">
      <c r="A2062" s="2" t="str">
        <f ca="1">IFERROR(__xludf.DUMMYFUNCTION("""COMPUTED_VALUE"""),"1772315072605")</f>
        <v>1772315072605</v>
      </c>
      <c r="B2062" s="2"/>
      <c r="C2062" s="2" t="str">
        <v>0</v>
      </c>
      <c r="D2062" s="2"/>
      <c r="F2062" s="2" t="str">
        <v>0</v>
      </c>
      <c r="I2062" s="2" t="str">
        <f ca="1">IFERROR(__xludf.DUMMYFUNCTION("""COMPUTED_VALUE"""),"Hồ Thị Ngân")</f>
        <v>Hồ Thị Ngân</v>
      </c>
      <c r="J2062" s="3" t="str">
        <f ca="1">IFERROR(__xludf.DUMMYFUNCTION("""COMPUTED_VALUE"""),"0974548703")</f>
        <v>0974548703</v>
      </c>
      <c r="K2062" s="2" t="str">
        <f ca="1">IFERROR(__xludf.DUMMYFUNCTION("""COMPUTED_VALUE"""),"1772315072605")</f>
        <v>1772315072605</v>
      </c>
    </row>
    <row r="2063" spans="1:11" ht="12.45">
      <c r="A2063" s="2" t="str">
        <f ca="1">IFERROR(__xludf.DUMMYFUNCTION("""COMPUTED_VALUE"""),"1772315100785")</f>
        <v>1772315100785</v>
      </c>
      <c r="B2063" s="2"/>
      <c r="C2063" s="2" t="str">
        <v>0</v>
      </c>
      <c r="D2063" s="2"/>
      <c r="F2063" s="2" t="str">
        <v>0</v>
      </c>
      <c r="I2063" s="2" t="str">
        <f ca="1">IFERROR(__xludf.DUMMYFUNCTION("""COMPUTED_VALUE"""),"Phạm Thị Khánh Vân")</f>
        <v>Phạm Thị Khánh Vân</v>
      </c>
      <c r="J2063" s="3" t="str">
        <f ca="1">IFERROR(__xludf.DUMMYFUNCTION("""COMPUTED_VALUE"""),"0386934452")</f>
        <v>0386934452</v>
      </c>
      <c r="K2063" s="2" t="str">
        <f ca="1">IFERROR(__xludf.DUMMYFUNCTION("""COMPUTED_VALUE"""),"1772315100785")</f>
        <v>1772315100785</v>
      </c>
    </row>
    <row r="2064" spans="1:11" ht="12.45">
      <c r="A2064" s="2" t="str">
        <f ca="1">IFERROR(__xludf.DUMMYFUNCTION("""COMPUTED_VALUE"""),"1732645991465")</f>
        <v>1732645991465</v>
      </c>
      <c r="B2064" s="2"/>
      <c r="C2064" s="2" t="str">
        <v>0</v>
      </c>
      <c r="D2064" s="2"/>
      <c r="F2064" s="2" t="str">
        <v>0</v>
      </c>
      <c r="I2064" s="2" t="str">
        <f ca="1">IFERROR(__xludf.DUMMYFUNCTION("""COMPUTED_VALUE"""),"Phan Tuyết Mai")</f>
        <v>Phan Tuyết Mai</v>
      </c>
      <c r="J2064" s="3" t="str">
        <f ca="1">IFERROR(__xludf.DUMMYFUNCTION("""COMPUTED_VALUE"""),"0398993794")</f>
        <v>0398993794</v>
      </c>
      <c r="K2064" s="2" t="str">
        <f ca="1">IFERROR(__xludf.DUMMYFUNCTION("""COMPUTED_VALUE"""),"1732645991465")</f>
        <v>1732645991465</v>
      </c>
    </row>
    <row r="2065" spans="1:11" ht="12.45">
      <c r="A2065" s="2" t="str">
        <f ca="1">IFERROR(__xludf.DUMMYFUNCTION("""COMPUTED_VALUE"""),"1732646047031")</f>
        <v>1732646047031</v>
      </c>
      <c r="B2065" s="2"/>
      <c r="C2065" s="2" t="str">
        <v>0</v>
      </c>
      <c r="D2065" s="2"/>
      <c r="F2065" s="2" t="str">
        <v>0</v>
      </c>
      <c r="I2065" s="2" t="str">
        <f ca="1">IFERROR(__xludf.DUMMYFUNCTION("""COMPUTED_VALUE"""),"Trân Vy")</f>
        <v>Trân Vy</v>
      </c>
      <c r="J2065" s="3" t="str">
        <f ca="1">IFERROR(__xludf.DUMMYFUNCTION("""COMPUTED_VALUE"""),"0396493089")</f>
        <v>0396493089</v>
      </c>
      <c r="K2065" s="2" t="str">
        <f ca="1">IFERROR(__xludf.DUMMYFUNCTION("""COMPUTED_VALUE"""),"1732646047031")</f>
        <v>1732646047031</v>
      </c>
    </row>
    <row r="2066" spans="1:11" ht="12.45">
      <c r="A2066" s="2" t="str">
        <f ca="1">IFERROR(__xludf.DUMMYFUNCTION("""COMPUTED_VALUE"""),"1732646110597")</f>
        <v>1732646110597</v>
      </c>
      <c r="B2066" s="2"/>
      <c r="C2066" s="2" t="str">
        <v>0</v>
      </c>
      <c r="D2066" s="2"/>
      <c r="F2066" s="2" t="str">
        <v>0</v>
      </c>
      <c r="I2066" s="2" t="str">
        <f ca="1">IFERROR(__xludf.DUMMYFUNCTION("""COMPUTED_VALUE"""),"Lâm Thị Hoàng Vy")</f>
        <v>Lâm Thị Hoàng Vy</v>
      </c>
      <c r="J2066" s="3" t="str">
        <f ca="1">IFERROR(__xludf.DUMMYFUNCTION("""COMPUTED_VALUE"""),"0369866927")</f>
        <v>0369866927</v>
      </c>
      <c r="K2066" s="2" t="str">
        <f ca="1">IFERROR(__xludf.DUMMYFUNCTION("""COMPUTED_VALUE"""),"1732646110597")</f>
        <v>1732646110597</v>
      </c>
    </row>
    <row r="2067" spans="1:11" ht="12.45">
      <c r="A2067" s="2" t="str">
        <f ca="1">IFERROR(__xludf.DUMMYFUNCTION("""COMPUTED_VALUE"""),"1732646162084")</f>
        <v>1732646162084</v>
      </c>
      <c r="B2067" s="2"/>
      <c r="C2067" s="2" t="str">
        <v>0</v>
      </c>
      <c r="D2067" s="2"/>
      <c r="F2067" s="2" t="str">
        <v>0</v>
      </c>
      <c r="I2067" s="2" t="str">
        <f ca="1">IFERROR(__xludf.DUMMYFUNCTION("""COMPUTED_VALUE"""),"Trần Phương Linh")</f>
        <v>Trần Phương Linh</v>
      </c>
      <c r="J2067" s="3" t="str">
        <f ca="1">IFERROR(__xludf.DUMMYFUNCTION("""COMPUTED_VALUE"""),"0987000475")</f>
        <v>0987000475</v>
      </c>
      <c r="K2067" s="2" t="str">
        <f ca="1">IFERROR(__xludf.DUMMYFUNCTION("""COMPUTED_VALUE"""),"1732646162084")</f>
        <v>1732646162084</v>
      </c>
    </row>
    <row r="2068" spans="1:11" ht="12.45">
      <c r="A2068" s="2" t="str">
        <f ca="1">IFERROR(__xludf.DUMMYFUNCTION("""COMPUTED_VALUE"""),"1732646209219")</f>
        <v>1732646209219</v>
      </c>
      <c r="B2068" s="2"/>
      <c r="C2068" s="2" t="str">
        <v>0</v>
      </c>
      <c r="D2068" s="2"/>
      <c r="F2068" s="2" t="str">
        <v>0</v>
      </c>
      <c r="I2068" s="2" t="str">
        <f ca="1">IFERROR(__xludf.DUMMYFUNCTION("""COMPUTED_VALUE"""),"Phạm Hoàng Uyên Nhã")</f>
        <v>Phạm Hoàng Uyên Nhã</v>
      </c>
      <c r="J2068" s="3" t="str">
        <f ca="1">IFERROR(__xludf.DUMMYFUNCTION("""COMPUTED_VALUE"""),"0826180057")</f>
        <v>0826180057</v>
      </c>
      <c r="K2068" s="2" t="str">
        <f ca="1">IFERROR(__xludf.DUMMYFUNCTION("""COMPUTED_VALUE"""),"1732646209219")</f>
        <v>1732646209219</v>
      </c>
    </row>
    <row r="2069" spans="1:11" ht="12.45">
      <c r="A2069" s="2" t="str">
        <f ca="1">IFERROR(__xludf.DUMMYFUNCTION("""COMPUTED_VALUE"""),"1732646258350")</f>
        <v>1732646258350</v>
      </c>
      <c r="B2069" s="2"/>
      <c r="C2069" s="2" t="str">
        <v>0</v>
      </c>
      <c r="D2069" s="2"/>
      <c r="F2069" s="2" t="str">
        <v>0</v>
      </c>
      <c r="I2069" s="2" t="str">
        <f ca="1">IFERROR(__xludf.DUMMYFUNCTION("""COMPUTED_VALUE"""),"Nguyễn Hải Huyền ")</f>
        <v xml:space="preserve">Nguyễn Hải Huyền </v>
      </c>
      <c r="J2069" s="3" t="str">
        <f ca="1">IFERROR(__xludf.DUMMYFUNCTION("""COMPUTED_VALUE"""),"0375882665")</f>
        <v>0375882665</v>
      </c>
      <c r="K2069" s="2" t="str">
        <f ca="1">IFERROR(__xludf.DUMMYFUNCTION("""COMPUTED_VALUE"""),"1732646258350")</f>
        <v>1732646258350</v>
      </c>
    </row>
    <row r="2070" spans="1:11" ht="12.45">
      <c r="A2070" s="2" t="str">
        <f ca="1">IFERROR(__xludf.DUMMYFUNCTION("""COMPUTED_VALUE"""),"1732646329289")</f>
        <v>1732646329289</v>
      </c>
      <c r="B2070" s="2"/>
      <c r="C2070" s="2" t="str">
        <v>0</v>
      </c>
      <c r="D2070" s="2"/>
      <c r="F2070" s="2" t="str">
        <v>0</v>
      </c>
      <c r="I2070" s="2" t="str">
        <f ca="1">IFERROR(__xludf.DUMMYFUNCTION("""COMPUTED_VALUE"""),"Đặng Văn Đạt ")</f>
        <v xml:space="preserve">Đặng Văn Đạt </v>
      </c>
      <c r="J2070" s="3" t="str">
        <f ca="1">IFERROR(__xludf.DUMMYFUNCTION("""COMPUTED_VALUE"""),"0392556965")</f>
        <v>0392556965</v>
      </c>
      <c r="K2070" s="2" t="str">
        <f ca="1">IFERROR(__xludf.DUMMYFUNCTION("""COMPUTED_VALUE"""),"1732646329289")</f>
        <v>1732646329289</v>
      </c>
    </row>
    <row r="2071" spans="1:11" ht="12.45">
      <c r="A2071" s="2" t="str">
        <f ca="1">IFERROR(__xludf.DUMMYFUNCTION("""COMPUTED_VALUE"""),"1732646408987")</f>
        <v>1732646408987</v>
      </c>
      <c r="B2071" s="2"/>
      <c r="C2071" s="2" t="str">
        <v>0</v>
      </c>
      <c r="D2071" s="2"/>
      <c r="F2071" s="2" t="str">
        <v>0</v>
      </c>
      <c r="I2071" s="2" t="str">
        <f ca="1">IFERROR(__xludf.DUMMYFUNCTION("""COMPUTED_VALUE"""),"Vũ Hà Anh Tú")</f>
        <v>Vũ Hà Anh Tú</v>
      </c>
      <c r="J2071" s="3" t="str">
        <f ca="1">IFERROR(__xludf.DUMMYFUNCTION("""COMPUTED_VALUE"""),"0336933965")</f>
        <v>0336933965</v>
      </c>
      <c r="K2071" s="2" t="str">
        <f ca="1">IFERROR(__xludf.DUMMYFUNCTION("""COMPUTED_VALUE"""),"1732646408987")</f>
        <v>1732646408987</v>
      </c>
    </row>
    <row r="2072" spans="1:11" ht="12.45">
      <c r="A2072" s="2" t="str">
        <f ca="1">IFERROR(__xludf.DUMMYFUNCTION("""COMPUTED_VALUE"""),"1732646462109")</f>
        <v>1732646462109</v>
      </c>
      <c r="B2072" s="2"/>
      <c r="C2072" s="2" t="str">
        <v>0</v>
      </c>
      <c r="D2072" s="2"/>
      <c r="F2072" s="2" t="str">
        <v>0</v>
      </c>
      <c r="I2072" s="2" t="str">
        <f ca="1">IFERROR(__xludf.DUMMYFUNCTION("""COMPUTED_VALUE"""),"Nguyễn Lê Mai Thương")</f>
        <v>Nguyễn Lê Mai Thương</v>
      </c>
      <c r="J2072" s="3" t="str">
        <f ca="1">IFERROR(__xludf.DUMMYFUNCTION("""COMPUTED_VALUE"""),"0395451254")</f>
        <v>0395451254</v>
      </c>
      <c r="K2072" s="2" t="str">
        <f ca="1">IFERROR(__xludf.DUMMYFUNCTION("""COMPUTED_VALUE"""),"1732646462109")</f>
        <v>1732646462109</v>
      </c>
    </row>
    <row r="2073" spans="1:11" ht="12.45">
      <c r="A2073" s="2" t="str">
        <f ca="1">IFERROR(__xludf.DUMMYFUNCTION("""COMPUTED_VALUE"""),"1732646507133")</f>
        <v>1732646507133</v>
      </c>
      <c r="B2073" s="2"/>
      <c r="C2073" s="2" t="str">
        <v>0</v>
      </c>
      <c r="D2073" s="2"/>
      <c r="F2073" s="2" t="str">
        <v>0</v>
      </c>
      <c r="I2073" s="2" t="str">
        <f ca="1">IFERROR(__xludf.DUMMYFUNCTION("""COMPUTED_VALUE"""),"Đoàn Phương Anh")</f>
        <v>Đoàn Phương Anh</v>
      </c>
      <c r="J2073" s="3" t="str">
        <f ca="1">IFERROR(__xludf.DUMMYFUNCTION("""COMPUTED_VALUE"""),"0325367490")</f>
        <v>0325367490</v>
      </c>
      <c r="K2073" s="2" t="str">
        <f ca="1">IFERROR(__xludf.DUMMYFUNCTION("""COMPUTED_VALUE"""),"1732646507133")</f>
        <v>1732646507133</v>
      </c>
    </row>
    <row r="2074" spans="1:11" ht="12.45">
      <c r="A2074" s="2" t="str">
        <f ca="1">IFERROR(__xludf.DUMMYFUNCTION("""COMPUTED_VALUE"""),"1732646564025")</f>
        <v>1732646564025</v>
      </c>
      <c r="B2074" s="2"/>
      <c r="C2074" s="2" t="str">
        <v>0</v>
      </c>
      <c r="D2074" s="2"/>
      <c r="F2074" s="2" t="str">
        <v>0</v>
      </c>
      <c r="I2074" s="2" t="str">
        <f ca="1">IFERROR(__xludf.DUMMYFUNCTION("""COMPUTED_VALUE"""),"Nguyễn Quỳnh Trang")</f>
        <v>Nguyễn Quỳnh Trang</v>
      </c>
      <c r="J2074" s="3" t="str">
        <f ca="1">IFERROR(__xludf.DUMMYFUNCTION("""COMPUTED_VALUE"""),"0975538777")</f>
        <v>0975538777</v>
      </c>
      <c r="K2074" s="2" t="str">
        <f ca="1">IFERROR(__xludf.DUMMYFUNCTION("""COMPUTED_VALUE"""),"1732646564025")</f>
        <v>1732646564025</v>
      </c>
    </row>
    <row r="2075" spans="1:11" ht="12.45">
      <c r="A2075" s="2" t="str">
        <f ca="1">IFERROR(__xludf.DUMMYFUNCTION("""COMPUTED_VALUE"""),"1732646595692")</f>
        <v>1732646595692</v>
      </c>
      <c r="B2075" s="2"/>
      <c r="C2075" s="2" t="str">
        <v>0</v>
      </c>
      <c r="D2075" s="2"/>
      <c r="F2075" s="2" t="str">
        <v>0</v>
      </c>
      <c r="I2075" s="2" t="str">
        <f ca="1">IFERROR(__xludf.DUMMYFUNCTION("""COMPUTED_VALUE"""),"Đỗ Thị Thanh Nhàn")</f>
        <v>Đỗ Thị Thanh Nhàn</v>
      </c>
      <c r="J2075" s="3" t="str">
        <f ca="1">IFERROR(__xludf.DUMMYFUNCTION("""COMPUTED_VALUE"""),"0961075491")</f>
        <v>0961075491</v>
      </c>
      <c r="K2075" s="2" t="str">
        <f ca="1">IFERROR(__xludf.DUMMYFUNCTION("""COMPUTED_VALUE"""),"1732646595692")</f>
        <v>1732646595692</v>
      </c>
    </row>
    <row r="2076" spans="1:11" ht="12.45">
      <c r="A2076" s="2" t="str">
        <f ca="1">IFERROR(__xludf.DUMMYFUNCTION("""COMPUTED_VALUE"""),"1732646623160")</f>
        <v>1732646623160</v>
      </c>
      <c r="B2076" s="2"/>
      <c r="C2076" s="2" t="str">
        <v>0</v>
      </c>
      <c r="D2076" s="2"/>
      <c r="F2076" s="2" t="str">
        <v>0</v>
      </c>
      <c r="I2076" s="2" t="str">
        <f ca="1">IFERROR(__xludf.DUMMYFUNCTION("""COMPUTED_VALUE"""),"Ôn Gia Hân")</f>
        <v>Ôn Gia Hân</v>
      </c>
      <c r="J2076" s="3" t="str">
        <f ca="1">IFERROR(__xludf.DUMMYFUNCTION("""COMPUTED_VALUE"""),"0769333912")</f>
        <v>0769333912</v>
      </c>
      <c r="K2076" s="2" t="str">
        <f ca="1">IFERROR(__xludf.DUMMYFUNCTION("""COMPUTED_VALUE"""),"1732646623160")</f>
        <v>1732646623160</v>
      </c>
    </row>
    <row r="2077" spans="1:11" ht="12.45">
      <c r="A2077" s="2" t="str">
        <f ca="1">IFERROR(__xludf.DUMMYFUNCTION("""COMPUTED_VALUE"""),"1732646659387")</f>
        <v>1732646659387</v>
      </c>
      <c r="B2077" s="2"/>
      <c r="C2077" s="2" t="str">
        <v>0</v>
      </c>
      <c r="D2077" s="2"/>
      <c r="F2077" s="2" t="str">
        <v>0</v>
      </c>
      <c r="I2077" s="2" t="str">
        <f ca="1">IFERROR(__xludf.DUMMYFUNCTION("""COMPUTED_VALUE"""),"Nguyễn Thị Thanh Mỹ")</f>
        <v>Nguyễn Thị Thanh Mỹ</v>
      </c>
      <c r="J2077" s="3" t="str">
        <f ca="1">IFERROR(__xludf.DUMMYFUNCTION("""COMPUTED_VALUE"""),"0909653428")</f>
        <v>0909653428</v>
      </c>
      <c r="K2077" s="2" t="str">
        <f ca="1">IFERROR(__xludf.DUMMYFUNCTION("""COMPUTED_VALUE"""),"1732646659387")</f>
        <v>1732646659387</v>
      </c>
    </row>
    <row r="2078" spans="1:11" ht="12.45">
      <c r="A2078" s="2" t="str">
        <f ca="1">IFERROR(__xludf.DUMMYFUNCTION("""COMPUTED_VALUE"""),"1732646700451")</f>
        <v>1732646700451</v>
      </c>
      <c r="B2078" s="2"/>
      <c r="C2078" s="2" t="str">
        <v>0</v>
      </c>
      <c r="D2078" s="2"/>
      <c r="F2078" s="2" t="str">
        <v>0</v>
      </c>
      <c r="I2078" s="2" t="str">
        <f ca="1">IFERROR(__xludf.DUMMYFUNCTION("""COMPUTED_VALUE"""),"Nguyễn Hải Thảo")</f>
        <v>Nguyễn Hải Thảo</v>
      </c>
      <c r="J2078" s="3" t="str">
        <f ca="1">IFERROR(__xludf.DUMMYFUNCTION("""COMPUTED_VALUE"""),"0387097980")</f>
        <v>0387097980</v>
      </c>
      <c r="K2078" s="2" t="str">
        <f ca="1">IFERROR(__xludf.DUMMYFUNCTION("""COMPUTED_VALUE"""),"1732646700451")</f>
        <v>1732646700451</v>
      </c>
    </row>
    <row r="2079" spans="1:11" ht="12.45">
      <c r="A2079" s="2" t="str">
        <f ca="1">IFERROR(__xludf.DUMMYFUNCTION("""COMPUTED_VALUE"""),"1732646752580")</f>
        <v>1732646752580</v>
      </c>
      <c r="B2079" s="2"/>
      <c r="C2079" s="2" t="str">
        <v>0</v>
      </c>
      <c r="D2079" s="2"/>
      <c r="F2079" s="2" t="str">
        <v>0</v>
      </c>
      <c r="I2079" s="2" t="str">
        <f ca="1">IFERROR(__xludf.DUMMYFUNCTION("""COMPUTED_VALUE"""),"Lê Khánh Duy")</f>
        <v>Lê Khánh Duy</v>
      </c>
      <c r="J2079" s="3" t="str">
        <f ca="1">IFERROR(__xludf.DUMMYFUNCTION("""COMPUTED_VALUE"""),"0936409131")</f>
        <v>0936409131</v>
      </c>
      <c r="K2079" s="2" t="str">
        <f ca="1">IFERROR(__xludf.DUMMYFUNCTION("""COMPUTED_VALUE"""),"1732646752580")</f>
        <v>1732646752580</v>
      </c>
    </row>
    <row r="2080" spans="1:11" ht="12.45">
      <c r="A2080" s="2" t="str">
        <f ca="1">IFERROR(__xludf.DUMMYFUNCTION("""COMPUTED_VALUE"""),"1732646791353")</f>
        <v>1732646791353</v>
      </c>
      <c r="B2080" s="2"/>
      <c r="C2080" s="2" t="str">
        <v>0</v>
      </c>
      <c r="D2080" s="2"/>
      <c r="F2080" s="2" t="str">
        <v>0</v>
      </c>
      <c r="I2080" s="2" t="str">
        <f ca="1">IFERROR(__xludf.DUMMYFUNCTION("""COMPUTED_VALUE"""),"Nguyễn Thị Thùy Dương")</f>
        <v>Nguyễn Thị Thùy Dương</v>
      </c>
      <c r="J2080" s="3" t="str">
        <f ca="1">IFERROR(__xludf.DUMMYFUNCTION("""COMPUTED_VALUE"""),"0382685561")</f>
        <v>0382685561</v>
      </c>
      <c r="K2080" s="2" t="str">
        <f ca="1">IFERROR(__xludf.DUMMYFUNCTION("""COMPUTED_VALUE"""),"1732646791353")</f>
        <v>1732646791353</v>
      </c>
    </row>
    <row r="2081" spans="1:11" ht="12.45">
      <c r="A2081" s="2" t="str">
        <f ca="1">IFERROR(__xludf.DUMMYFUNCTION("""COMPUTED_VALUE"""),"1732646831107")</f>
        <v>1732646831107</v>
      </c>
      <c r="B2081" s="2"/>
      <c r="C2081" s="2" t="str">
        <v>0</v>
      </c>
      <c r="D2081" s="2"/>
      <c r="F2081" s="2" t="str">
        <v>0</v>
      </c>
      <c r="I2081" s="2" t="str">
        <f ca="1">IFERROR(__xludf.DUMMYFUNCTION("""COMPUTED_VALUE"""),"Le Nguyen Nhan ")</f>
        <v xml:space="preserve">Le Nguyen Nhan </v>
      </c>
      <c r="J2081" s="3" t="str">
        <f ca="1">IFERROR(__xludf.DUMMYFUNCTION("""COMPUTED_VALUE"""),"0345086305")</f>
        <v>0345086305</v>
      </c>
      <c r="K2081" s="2" t="str">
        <f ca="1">IFERROR(__xludf.DUMMYFUNCTION("""COMPUTED_VALUE"""),"1732646831107")</f>
        <v>1732646831107</v>
      </c>
    </row>
    <row r="2082" spans="1:11" ht="12.45">
      <c r="A2082" s="2" t="str">
        <f ca="1">IFERROR(__xludf.DUMMYFUNCTION("""COMPUTED_VALUE"""),"1732646869036")</f>
        <v>1732646869036</v>
      </c>
      <c r="B2082" s="2"/>
      <c r="C2082" s="2" t="str">
        <v>0</v>
      </c>
      <c r="D2082" s="2"/>
      <c r="F2082" s="2" t="str">
        <v>0</v>
      </c>
      <c r="I2082" s="3" t="str">
        <f ca="1">IFERROR(__xludf.DUMMYFUNCTION("""COMPUTED_VALUE"""),"Nguyễn Thị Khánh Ly ")</f>
        <v xml:space="preserve">Nguyễn Thị Khánh Ly </v>
      </c>
      <c r="J2082" s="3" t="str">
        <f ca="1">IFERROR(__xludf.DUMMYFUNCTION("""COMPUTED_VALUE"""),"0974995064")</f>
        <v>0974995064</v>
      </c>
      <c r="K2082" s="2" t="str">
        <f ca="1">IFERROR(__xludf.DUMMYFUNCTION("""COMPUTED_VALUE"""),"1732646869036")</f>
        <v>1732646869036</v>
      </c>
    </row>
    <row r="2083" spans="1:11" ht="12.45">
      <c r="A2083" s="2" t="str">
        <f ca="1">IFERROR(__xludf.DUMMYFUNCTION("""COMPUTED_VALUE"""),"1732646902669")</f>
        <v>1732646902669</v>
      </c>
      <c r="B2083" s="2"/>
      <c r="C2083" s="2" t="str">
        <v>0</v>
      </c>
      <c r="D2083" s="2"/>
      <c r="F2083" s="2" t="str">
        <v>0</v>
      </c>
      <c r="I2083" s="2" t="str">
        <f ca="1">IFERROR(__xludf.DUMMYFUNCTION("""COMPUTED_VALUE"""),"Hồ Thị Trà My ")</f>
        <v xml:space="preserve">Hồ Thị Trà My </v>
      </c>
      <c r="J2083" s="3" t="str">
        <f ca="1">IFERROR(__xludf.DUMMYFUNCTION("""COMPUTED_VALUE"""),"0375229021")</f>
        <v>0375229021</v>
      </c>
      <c r="K2083" s="2" t="str">
        <f ca="1">IFERROR(__xludf.DUMMYFUNCTION("""COMPUTED_VALUE"""),"1732646902669")</f>
        <v>1732646902669</v>
      </c>
    </row>
    <row r="2084" spans="1:11" ht="12.45">
      <c r="A2084" s="2" t="str">
        <f ca="1">IFERROR(__xludf.DUMMYFUNCTION("""COMPUTED_VALUE"""),"1732646929626")</f>
        <v>1732646929626</v>
      </c>
      <c r="B2084" s="2"/>
      <c r="C2084" s="2" t="str">
        <v>0</v>
      </c>
      <c r="D2084" s="2"/>
      <c r="F2084" s="2" t="str">
        <v>0</v>
      </c>
      <c r="I2084" s="2" t="str">
        <f ca="1">IFERROR(__xludf.DUMMYFUNCTION("""COMPUTED_VALUE"""),"Dương Bỉnh Văn")</f>
        <v>Dương Bỉnh Văn</v>
      </c>
      <c r="J2084" s="3" t="str">
        <f ca="1">IFERROR(__xludf.DUMMYFUNCTION("""COMPUTED_VALUE"""),"0944661187")</f>
        <v>0944661187</v>
      </c>
      <c r="K2084" s="2" t="str">
        <f ca="1">IFERROR(__xludf.DUMMYFUNCTION("""COMPUTED_VALUE"""),"1732646929626")</f>
        <v>1732646929626</v>
      </c>
    </row>
    <row r="2085" spans="1:11" ht="12.45">
      <c r="A2085" s="2" t="str">
        <f ca="1">IFERROR(__xludf.DUMMYFUNCTION("""COMPUTED_VALUE"""),"1732646961905")</f>
        <v>1732646961905</v>
      </c>
      <c r="B2085" s="2"/>
      <c r="C2085" s="2" t="str">
        <v>0</v>
      </c>
      <c r="D2085" s="2"/>
      <c r="F2085" s="2" t="str">
        <v>0</v>
      </c>
      <c r="I2085" s="2" t="str">
        <f ca="1">IFERROR(__xludf.DUMMYFUNCTION("""COMPUTED_VALUE"""),"Nguyễn Hải Vân")</f>
        <v>Nguyễn Hải Vân</v>
      </c>
      <c r="J2085" s="3" t="str">
        <f ca="1">IFERROR(__xludf.DUMMYFUNCTION("""COMPUTED_VALUE"""),"0395084986")</f>
        <v>0395084986</v>
      </c>
      <c r="K2085" s="2" t="str">
        <f ca="1">IFERROR(__xludf.DUMMYFUNCTION("""COMPUTED_VALUE"""),"1732646961905")</f>
        <v>1732646961905</v>
      </c>
    </row>
    <row r="2086" spans="1:11" ht="12.45">
      <c r="A2086" s="2" t="str">
        <f ca="1">IFERROR(__xludf.DUMMYFUNCTION("""COMPUTED_VALUE"""),"1732646996154")</f>
        <v>1732646996154</v>
      </c>
      <c r="B2086" s="2"/>
      <c r="C2086" s="2" t="str">
        <v>0</v>
      </c>
      <c r="D2086" s="2"/>
      <c r="F2086" s="2" t="str">
        <v>0</v>
      </c>
      <c r="I2086" s="2" t="str">
        <f ca="1">IFERROR(__xludf.DUMMYFUNCTION("""COMPUTED_VALUE"""),"Nghiêm Thị Ánh Ngọc ")</f>
        <v xml:space="preserve">Nghiêm Thị Ánh Ngọc </v>
      </c>
      <c r="J2086" s="3" t="str">
        <f ca="1">IFERROR(__xludf.DUMMYFUNCTION("""COMPUTED_VALUE"""),"0837607846")</f>
        <v>0837607846</v>
      </c>
      <c r="K2086" s="2" t="str">
        <f ca="1">IFERROR(__xludf.DUMMYFUNCTION("""COMPUTED_VALUE"""),"1732646996154")</f>
        <v>1732646996154</v>
      </c>
    </row>
    <row r="2087" spans="1:11" ht="12.45">
      <c r="A2087" s="2" t="str">
        <f ca="1">IFERROR(__xludf.DUMMYFUNCTION("""COMPUTED_VALUE"""),"1732647031527")</f>
        <v>1732647031527</v>
      </c>
      <c r="B2087" s="2"/>
      <c r="C2087" s="2" t="str">
        <v>0</v>
      </c>
      <c r="D2087" s="2"/>
      <c r="F2087" s="2" t="str">
        <v>0</v>
      </c>
      <c r="I2087" s="2" t="str">
        <f ca="1">IFERROR(__xludf.DUMMYFUNCTION("""COMPUTED_VALUE"""),"Trần Thu Hằng ")</f>
        <v xml:space="preserve">Trần Thu Hằng </v>
      </c>
      <c r="J2087" s="3" t="str">
        <f ca="1">IFERROR(__xludf.DUMMYFUNCTION("""COMPUTED_VALUE"""),"0383793500")</f>
        <v>0383793500</v>
      </c>
      <c r="K2087" s="2" t="str">
        <f ca="1">IFERROR(__xludf.DUMMYFUNCTION("""COMPUTED_VALUE"""),"1732647031527")</f>
        <v>1732647031527</v>
      </c>
    </row>
    <row r="2088" spans="1:11" ht="12.45">
      <c r="A2088" s="2" t="str">
        <f ca="1">IFERROR(__xludf.DUMMYFUNCTION("""COMPUTED_VALUE"""),"1732647065621")</f>
        <v>1732647065621</v>
      </c>
      <c r="B2088" s="2"/>
      <c r="C2088" s="2" t="str">
        <v>0</v>
      </c>
      <c r="D2088" s="2"/>
      <c r="F2088" s="2" t="str">
        <v>0</v>
      </c>
      <c r="I2088" s="2" t="str">
        <f ca="1">IFERROR(__xludf.DUMMYFUNCTION("""COMPUTED_VALUE"""),"Nguyễn Phi Hùng")</f>
        <v>Nguyễn Phi Hùng</v>
      </c>
      <c r="J2088" s="3" t="str">
        <f ca="1">IFERROR(__xludf.DUMMYFUNCTION("""COMPUTED_VALUE"""),"0365878697")</f>
        <v>0365878697</v>
      </c>
      <c r="K2088" s="2" t="str">
        <f ca="1">IFERROR(__xludf.DUMMYFUNCTION("""COMPUTED_VALUE"""),"1732647065621")</f>
        <v>1732647065621</v>
      </c>
    </row>
    <row r="2089" spans="1:11" ht="12.45">
      <c r="A2089" s="2" t="str">
        <f ca="1">IFERROR(__xludf.DUMMYFUNCTION("""COMPUTED_VALUE"""),"1732647093618")</f>
        <v>1732647093618</v>
      </c>
      <c r="B2089" s="2"/>
      <c r="C2089" s="2" t="str">
        <v>0</v>
      </c>
      <c r="D2089" s="2"/>
      <c r="F2089" s="2" t="str">
        <v>0</v>
      </c>
      <c r="I2089" s="2" t="str">
        <f ca="1">IFERROR(__xludf.DUMMYFUNCTION("""COMPUTED_VALUE"""),"Bùi Thị Phương Linh ")</f>
        <v xml:space="preserve">Bùi Thị Phương Linh </v>
      </c>
      <c r="J2089" s="3" t="str">
        <f ca="1">IFERROR(__xludf.DUMMYFUNCTION("""COMPUTED_VALUE"""),"0972982806")</f>
        <v>0972982806</v>
      </c>
      <c r="K2089" s="2" t="str">
        <f ca="1">IFERROR(__xludf.DUMMYFUNCTION("""COMPUTED_VALUE"""),"1732647093618")</f>
        <v>1732647093618</v>
      </c>
    </row>
    <row r="2090" spans="1:11" ht="12.45">
      <c r="A2090" s="2" t="str">
        <f ca="1">IFERROR(__xludf.DUMMYFUNCTION("""COMPUTED_VALUE"""),"1732647141818")</f>
        <v>1732647141818</v>
      </c>
      <c r="B2090" s="2"/>
      <c r="C2090" s="2" t="str">
        <v>0</v>
      </c>
      <c r="D2090" s="2"/>
      <c r="F2090" s="2" t="str">
        <v>0</v>
      </c>
      <c r="I2090" s="2" t="str">
        <f ca="1">IFERROR(__xludf.DUMMYFUNCTION("""COMPUTED_VALUE"""),"Trương Huyền Vy")</f>
        <v>Trương Huyền Vy</v>
      </c>
      <c r="J2090" s="3" t="str">
        <f ca="1">IFERROR(__xludf.DUMMYFUNCTION("""COMPUTED_VALUE"""),"0387220606")</f>
        <v>0387220606</v>
      </c>
      <c r="K2090" s="2" t="str">
        <f ca="1">IFERROR(__xludf.DUMMYFUNCTION("""COMPUTED_VALUE"""),"1732647141818")</f>
        <v>1732647141818</v>
      </c>
    </row>
    <row r="2091" spans="1:11" ht="12.45">
      <c r="A2091" s="2" t="str">
        <f ca="1">IFERROR(__xludf.DUMMYFUNCTION("""COMPUTED_VALUE"""),"1732647191413")</f>
        <v>1732647191413</v>
      </c>
      <c r="B2091" s="2"/>
      <c r="C2091" s="2" t="str">
        <v>0</v>
      </c>
      <c r="D2091" s="2"/>
      <c r="F2091" s="2" t="str">
        <v>0</v>
      </c>
      <c r="I2091" s="2" t="str">
        <f ca="1">IFERROR(__xludf.DUMMYFUNCTION("""COMPUTED_VALUE"""),"Trần Phương Ngọc")</f>
        <v>Trần Phương Ngọc</v>
      </c>
      <c r="J2091" s="3" t="str">
        <f ca="1">IFERROR(__xludf.DUMMYFUNCTION("""COMPUTED_VALUE"""),"0363094623")</f>
        <v>0363094623</v>
      </c>
      <c r="K2091" s="2" t="str">
        <f ca="1">IFERROR(__xludf.DUMMYFUNCTION("""COMPUTED_VALUE"""),"1732647191413")</f>
        <v>1732647191413</v>
      </c>
    </row>
    <row r="2092" spans="1:11" ht="12.45">
      <c r="A2092" s="2" t="str">
        <f ca="1">IFERROR(__xludf.DUMMYFUNCTION("""COMPUTED_VALUE"""),"1732647226844")</f>
        <v>1732647226844</v>
      </c>
      <c r="B2092" s="2"/>
      <c r="C2092" s="2" t="str">
        <v>0</v>
      </c>
      <c r="D2092" s="2"/>
      <c r="F2092" s="2" t="str">
        <v>0</v>
      </c>
      <c r="I2092" s="2" t="str">
        <f ca="1">IFERROR(__xludf.DUMMYFUNCTION("""COMPUTED_VALUE"""),"Vũ Thị Thanh Thùy ")</f>
        <v xml:space="preserve">Vũ Thị Thanh Thùy </v>
      </c>
      <c r="J2092" s="3" t="str">
        <f ca="1">IFERROR(__xludf.DUMMYFUNCTION("""COMPUTED_VALUE"""),"0395108267")</f>
        <v>0395108267</v>
      </c>
      <c r="K2092" s="2" t="str">
        <f ca="1">IFERROR(__xludf.DUMMYFUNCTION("""COMPUTED_VALUE"""),"1732647226844")</f>
        <v>1732647226844</v>
      </c>
    </row>
    <row r="2093" spans="1:11" ht="12.45">
      <c r="A2093" s="2" t="str">
        <f ca="1">IFERROR(__xludf.DUMMYFUNCTION("""COMPUTED_VALUE"""),"1732647283036")</f>
        <v>1732647283036</v>
      </c>
      <c r="B2093" s="2"/>
      <c r="C2093" s="2" t="str">
        <v>0</v>
      </c>
      <c r="D2093" s="2"/>
      <c r="F2093" s="2" t="str">
        <v>0</v>
      </c>
      <c r="I2093" s="2" t="str">
        <f ca="1">IFERROR(__xludf.DUMMYFUNCTION("""COMPUTED_VALUE"""),"Nguyễn Bảo Khánh")</f>
        <v>Nguyễn Bảo Khánh</v>
      </c>
      <c r="J2093" s="3" t="str">
        <f ca="1">IFERROR(__xludf.DUMMYFUNCTION("""COMPUTED_VALUE"""),"0338144616")</f>
        <v>0338144616</v>
      </c>
      <c r="K2093" s="2" t="str">
        <f ca="1">IFERROR(__xludf.DUMMYFUNCTION("""COMPUTED_VALUE"""),"1732647283036")</f>
        <v>1732647283036</v>
      </c>
    </row>
    <row r="2094" spans="1:11" ht="12.45">
      <c r="A2094" s="2" t="str">
        <f ca="1">IFERROR(__xludf.DUMMYFUNCTION("""COMPUTED_VALUE"""),"1732647336824")</f>
        <v>1732647336824</v>
      </c>
      <c r="B2094" s="2"/>
      <c r="C2094" s="2" t="str">
        <v>0</v>
      </c>
      <c r="D2094" s="2"/>
      <c r="F2094" s="2" t="str">
        <v>0</v>
      </c>
      <c r="I2094" s="2" t="str">
        <f ca="1">IFERROR(__xludf.DUMMYFUNCTION("""COMPUTED_VALUE"""),"Nguyễn Bạch Tuệ An ")</f>
        <v xml:space="preserve">Nguyễn Bạch Tuệ An </v>
      </c>
      <c r="J2094" s="3" t="str">
        <f ca="1">IFERROR(__xludf.DUMMYFUNCTION("""COMPUTED_VALUE"""),"0397843417")</f>
        <v>0397843417</v>
      </c>
      <c r="K2094" s="2" t="str">
        <f ca="1">IFERROR(__xludf.DUMMYFUNCTION("""COMPUTED_VALUE"""),"1732647336824")</f>
        <v>1732647336824</v>
      </c>
    </row>
    <row r="2095" spans="1:11" ht="12.45">
      <c r="A2095" s="2" t="str">
        <f ca="1">IFERROR(__xludf.DUMMYFUNCTION("""COMPUTED_VALUE"""),"1732647371679")</f>
        <v>1732647371679</v>
      </c>
      <c r="B2095" s="2"/>
      <c r="C2095" s="2" t="str">
        <v>0</v>
      </c>
      <c r="D2095" s="2"/>
      <c r="F2095" s="2" t="str">
        <v>0</v>
      </c>
      <c r="I2095" s="2" t="str">
        <f ca="1">IFERROR(__xludf.DUMMYFUNCTION("""COMPUTED_VALUE"""),"Vũ thị thảo")</f>
        <v>Vũ thị thảo</v>
      </c>
      <c r="J2095" s="3" t="str">
        <f ca="1">IFERROR(__xludf.DUMMYFUNCTION("""COMPUTED_VALUE"""),"0337265023")</f>
        <v>0337265023</v>
      </c>
      <c r="K2095" s="2" t="str">
        <f ca="1">IFERROR(__xludf.DUMMYFUNCTION("""COMPUTED_VALUE"""),"1732647371679")</f>
        <v>1732647371679</v>
      </c>
    </row>
    <row r="2096" spans="1:11" ht="12.45">
      <c r="A2096" s="2" t="str">
        <f ca="1">IFERROR(__xludf.DUMMYFUNCTION("""COMPUTED_VALUE"""),"1732647415442")</f>
        <v>1732647415442</v>
      </c>
      <c r="B2096" s="2"/>
      <c r="C2096" s="2" t="str">
        <v>0</v>
      </c>
      <c r="D2096" s="2"/>
      <c r="F2096" s="2" t="str">
        <v>0</v>
      </c>
      <c r="I2096" s="2" t="str">
        <f ca="1">IFERROR(__xludf.DUMMYFUNCTION("""COMPUTED_VALUE"""),"Nguyễn Thùy Linh")</f>
        <v>Nguyễn Thùy Linh</v>
      </c>
      <c r="J2096" s="3" t="str">
        <f ca="1">IFERROR(__xludf.DUMMYFUNCTION("""COMPUTED_VALUE"""),"0398787519")</f>
        <v>0398787519</v>
      </c>
      <c r="K2096" s="2" t="str">
        <f ca="1">IFERROR(__xludf.DUMMYFUNCTION("""COMPUTED_VALUE"""),"1732647415442")</f>
        <v>1732647415442</v>
      </c>
    </row>
    <row r="2097" spans="1:11" ht="12.45">
      <c r="A2097" s="2" t="str">
        <f ca="1">IFERROR(__xludf.DUMMYFUNCTION("""COMPUTED_VALUE"""),"1732647452079")</f>
        <v>1732647452079</v>
      </c>
      <c r="B2097" s="2"/>
      <c r="C2097" s="2" t="str">
        <v>0</v>
      </c>
      <c r="D2097" s="2"/>
      <c r="F2097" s="2" t="str">
        <v>0</v>
      </c>
      <c r="I2097" s="2" t="str">
        <f ca="1">IFERROR(__xludf.DUMMYFUNCTION("""COMPUTED_VALUE"""),"Trần Thị Quế Anh")</f>
        <v>Trần Thị Quế Anh</v>
      </c>
      <c r="J2097" s="3" t="str">
        <f ca="1">IFERROR(__xludf.DUMMYFUNCTION("""COMPUTED_VALUE"""),"0941623543")</f>
        <v>0941623543</v>
      </c>
      <c r="K2097" s="2" t="str">
        <f ca="1">IFERROR(__xludf.DUMMYFUNCTION("""COMPUTED_VALUE"""),"1732647452079")</f>
        <v>1732647452079</v>
      </c>
    </row>
    <row r="2098" spans="1:11" ht="12.45">
      <c r="A2098" s="2" t="str">
        <f ca="1">IFERROR(__xludf.DUMMYFUNCTION("""COMPUTED_VALUE"""),"1732647481761")</f>
        <v>1732647481761</v>
      </c>
      <c r="B2098" s="2"/>
      <c r="C2098" s="2" t="str">
        <v>0</v>
      </c>
      <c r="D2098" s="2"/>
      <c r="F2098" s="2" t="str">
        <v>0</v>
      </c>
      <c r="I2098" s="2" t="str">
        <f ca="1">IFERROR(__xludf.DUMMYFUNCTION("""COMPUTED_VALUE"""),"Ninh Phương Trang")</f>
        <v>Ninh Phương Trang</v>
      </c>
      <c r="J2098" s="3" t="str">
        <f ca="1">IFERROR(__xludf.DUMMYFUNCTION("""COMPUTED_VALUE"""),"0363244210")</f>
        <v>0363244210</v>
      </c>
      <c r="K2098" s="2" t="str">
        <f ca="1">IFERROR(__xludf.DUMMYFUNCTION("""COMPUTED_VALUE"""),"1732647481761")</f>
        <v>1732647481761</v>
      </c>
    </row>
    <row r="2099" spans="1:11" ht="12.45">
      <c r="A2099" s="2" t="str">
        <f ca="1">IFERROR(__xludf.DUMMYFUNCTION("""COMPUTED_VALUE"""),"1732647515279")</f>
        <v>1732647515279</v>
      </c>
      <c r="B2099" s="2"/>
      <c r="C2099" s="2" t="str">
        <v>0</v>
      </c>
      <c r="D2099" s="2"/>
      <c r="F2099" s="2" t="str">
        <v>0</v>
      </c>
      <c r="I2099" s="2" t="str">
        <f ca="1">IFERROR(__xludf.DUMMYFUNCTION("""COMPUTED_VALUE"""),"Trần Lại Anh Thư ")</f>
        <v xml:space="preserve">Trần Lại Anh Thư </v>
      </c>
      <c r="J2099" s="3" t="str">
        <f ca="1">IFERROR(__xludf.DUMMYFUNCTION("""COMPUTED_VALUE"""),"0347062046")</f>
        <v>0347062046</v>
      </c>
      <c r="K2099" s="2" t="str">
        <f ca="1">IFERROR(__xludf.DUMMYFUNCTION("""COMPUTED_VALUE"""),"1732647515279")</f>
        <v>1732647515279</v>
      </c>
    </row>
    <row r="2100" spans="1:11" ht="12.45">
      <c r="A2100" s="2" t="str">
        <f ca="1">IFERROR(__xludf.DUMMYFUNCTION("""COMPUTED_VALUE"""),"1732647551035")</f>
        <v>1732647551035</v>
      </c>
      <c r="B2100" s="2"/>
      <c r="C2100" s="2" t="str">
        <v>0</v>
      </c>
      <c r="D2100" s="2"/>
      <c r="F2100" s="2" t="str">
        <v>0</v>
      </c>
      <c r="I2100" s="2" t="str">
        <f ca="1">IFERROR(__xludf.DUMMYFUNCTION("""COMPUTED_VALUE"""),"Ninh Thị Kim Ngân")</f>
        <v>Ninh Thị Kim Ngân</v>
      </c>
      <c r="J2100" s="3" t="str">
        <f ca="1">IFERROR(__xludf.DUMMYFUNCTION("""COMPUTED_VALUE"""),"0971528229")</f>
        <v>0971528229</v>
      </c>
      <c r="K2100" s="2" t="str">
        <f ca="1">IFERROR(__xludf.DUMMYFUNCTION("""COMPUTED_VALUE"""),"1732647551035")</f>
        <v>1732647551035</v>
      </c>
    </row>
    <row r="2101" spans="1:11" ht="12.45">
      <c r="A2101" s="2" t="str">
        <f ca="1">IFERROR(__xludf.DUMMYFUNCTION("""COMPUTED_VALUE"""),"1732647589586")</f>
        <v>1732647589586</v>
      </c>
      <c r="B2101" s="2"/>
      <c r="C2101" s="2" t="str">
        <v>0</v>
      </c>
      <c r="D2101" s="2"/>
      <c r="F2101" s="2" t="str">
        <v>0</v>
      </c>
      <c r="I2101" s="2" t="str">
        <f ca="1">IFERROR(__xludf.DUMMYFUNCTION("""COMPUTED_VALUE"""),"Nguyễn Thị Khánh Huyền")</f>
        <v>Nguyễn Thị Khánh Huyền</v>
      </c>
      <c r="J2101" s="3" t="str">
        <f ca="1">IFERROR(__xludf.DUMMYFUNCTION("""COMPUTED_VALUE"""),"0971814465")</f>
        <v>0971814465</v>
      </c>
      <c r="K2101" s="2" t="str">
        <f ca="1">IFERROR(__xludf.DUMMYFUNCTION("""COMPUTED_VALUE"""),"1732647589586")</f>
        <v>1732647589586</v>
      </c>
    </row>
    <row r="2102" spans="1:11" ht="12.45">
      <c r="A2102" s="2" t="str">
        <f ca="1">IFERROR(__xludf.DUMMYFUNCTION("""COMPUTED_VALUE"""),"1732647639083")</f>
        <v>1732647639083</v>
      </c>
      <c r="B2102" s="2"/>
      <c r="C2102" s="2" t="str">
        <v>0</v>
      </c>
      <c r="D2102" s="2"/>
      <c r="F2102" s="2" t="str">
        <v>0</v>
      </c>
      <c r="I2102" s="2" t="str">
        <f ca="1">IFERROR(__xludf.DUMMYFUNCTION("""COMPUTED_VALUE"""),"Tạ Xuân Sơn")</f>
        <v>Tạ Xuân Sơn</v>
      </c>
      <c r="J2102" s="3" t="str">
        <f ca="1">IFERROR(__xludf.DUMMYFUNCTION("""COMPUTED_VALUE"""),"0848760871")</f>
        <v>0848760871</v>
      </c>
      <c r="K2102" s="2" t="str">
        <f ca="1">IFERROR(__xludf.DUMMYFUNCTION("""COMPUTED_VALUE"""),"1732647639083")</f>
        <v>1732647639083</v>
      </c>
    </row>
    <row r="2103" spans="1:11" ht="12.45">
      <c r="A2103" s="2" t="str">
        <f ca="1">IFERROR(__xludf.DUMMYFUNCTION("""COMPUTED_VALUE"""),"1732647684771")</f>
        <v>1732647684771</v>
      </c>
      <c r="B2103" s="2"/>
      <c r="C2103" s="2" t="str">
        <v>0</v>
      </c>
      <c r="D2103" s="2"/>
      <c r="F2103" s="2" t="str">
        <v>0</v>
      </c>
      <c r="I2103" s="2" t="str">
        <f ca="1">IFERROR(__xludf.DUMMYFUNCTION("""COMPUTED_VALUE"""),"Phạm Thị Ngọc Ánh")</f>
        <v>Phạm Thị Ngọc Ánh</v>
      </c>
      <c r="J2103" s="3" t="str">
        <f ca="1">IFERROR(__xludf.DUMMYFUNCTION("""COMPUTED_VALUE"""),"0379354100")</f>
        <v>0379354100</v>
      </c>
      <c r="K2103" s="2" t="str">
        <f ca="1">IFERROR(__xludf.DUMMYFUNCTION("""COMPUTED_VALUE"""),"1732647684771")</f>
        <v>1732647684771</v>
      </c>
    </row>
    <row r="2104" spans="1:11" ht="12.45">
      <c r="A2104" s="2" t="str">
        <f ca="1">IFERROR(__xludf.DUMMYFUNCTION("""COMPUTED_VALUE"""),"1732647722891")</f>
        <v>1732647722891</v>
      </c>
      <c r="B2104" s="2"/>
      <c r="C2104" s="2" t="str">
        <v>0</v>
      </c>
      <c r="D2104" s="2"/>
      <c r="F2104" s="2" t="str">
        <v>0</v>
      </c>
      <c r="I2104" s="2" t="str">
        <f ca="1">IFERROR(__xludf.DUMMYFUNCTION("""COMPUTED_VALUE"""),"Vũ Thanh Nhàn")</f>
        <v>Vũ Thanh Nhàn</v>
      </c>
      <c r="J2104" s="3" t="str">
        <f ca="1">IFERROR(__xludf.DUMMYFUNCTION("""COMPUTED_VALUE"""),"0866893092")</f>
        <v>0866893092</v>
      </c>
      <c r="K2104" s="2" t="str">
        <f ca="1">IFERROR(__xludf.DUMMYFUNCTION("""COMPUTED_VALUE"""),"1732647722891")</f>
        <v>1732647722891</v>
      </c>
    </row>
    <row r="2105" spans="1:11" ht="12.45">
      <c r="A2105" s="2" t="str">
        <f ca="1">IFERROR(__xludf.DUMMYFUNCTION("""COMPUTED_VALUE"""),"1732647761338")</f>
        <v>1732647761338</v>
      </c>
      <c r="B2105" s="2"/>
      <c r="C2105" s="2" t="str">
        <v>0</v>
      </c>
      <c r="D2105" s="2"/>
      <c r="F2105" s="2" t="str">
        <v>0</v>
      </c>
      <c r="I2105" s="2" t="str">
        <f ca="1">IFERROR(__xludf.DUMMYFUNCTION("""COMPUTED_VALUE"""),"Ngô Thị An ")</f>
        <v xml:space="preserve">Ngô Thị An </v>
      </c>
      <c r="J2105" s="3" t="str">
        <f ca="1">IFERROR(__xludf.DUMMYFUNCTION("""COMPUTED_VALUE"""),"0374361210")</f>
        <v>0374361210</v>
      </c>
      <c r="K2105" s="2" t="str">
        <f ca="1">IFERROR(__xludf.DUMMYFUNCTION("""COMPUTED_VALUE"""),"1732647761338")</f>
        <v>1732647761338</v>
      </c>
    </row>
    <row r="2106" spans="1:11" ht="12.45">
      <c r="A2106" s="2" t="str">
        <f ca="1">IFERROR(__xludf.DUMMYFUNCTION("""COMPUTED_VALUE"""),"1732647798049")</f>
        <v>1732647798049</v>
      </c>
      <c r="B2106" s="2"/>
      <c r="C2106" s="2" t="str">
        <v>0</v>
      </c>
      <c r="D2106" s="2"/>
      <c r="F2106" s="2" t="str">
        <v>0</v>
      </c>
      <c r="I2106" s="2" t="str">
        <f ca="1">IFERROR(__xludf.DUMMYFUNCTION("""COMPUTED_VALUE"""),"Nguyễn Trần Nhật Linh")</f>
        <v>Nguyễn Trần Nhật Linh</v>
      </c>
      <c r="J2106" s="3" t="str">
        <f ca="1">IFERROR(__xludf.DUMMYFUNCTION("""COMPUTED_VALUE"""),"0917439641")</f>
        <v>0917439641</v>
      </c>
      <c r="K2106" s="2" t="str">
        <f ca="1">IFERROR(__xludf.DUMMYFUNCTION("""COMPUTED_VALUE"""),"1732647798049")</f>
        <v>1732647798049</v>
      </c>
    </row>
    <row r="2107" spans="1:11" ht="12.45">
      <c r="A2107" s="2" t="str">
        <f ca="1">IFERROR(__xludf.DUMMYFUNCTION("""COMPUTED_VALUE"""),"1732647839950")</f>
        <v>1732647839950</v>
      </c>
      <c r="B2107" s="2"/>
      <c r="C2107" s="2" t="str">
        <v>0</v>
      </c>
      <c r="D2107" s="2"/>
      <c r="F2107" s="2" t="str">
        <v>0</v>
      </c>
      <c r="I2107" s="2" t="str">
        <f ca="1">IFERROR(__xludf.DUMMYFUNCTION("""COMPUTED_VALUE"""),"Nguyễn Trịnh Hoài Thương")</f>
        <v>Nguyễn Trịnh Hoài Thương</v>
      </c>
      <c r="J2107" s="3" t="str">
        <f ca="1">IFERROR(__xludf.DUMMYFUNCTION("""COMPUTED_VALUE"""),"0822225948")</f>
        <v>0822225948</v>
      </c>
      <c r="K2107" s="2" t="str">
        <f ca="1">IFERROR(__xludf.DUMMYFUNCTION("""COMPUTED_VALUE"""),"1732647839950")</f>
        <v>1732647839950</v>
      </c>
    </row>
    <row r="2108" spans="1:11" ht="12.45">
      <c r="A2108" s="2" t="str">
        <f ca="1">IFERROR(__xludf.DUMMYFUNCTION("""COMPUTED_VALUE"""),"1732647888742")</f>
        <v>1732647888742</v>
      </c>
      <c r="B2108" s="2"/>
      <c r="C2108" s="2" t="str">
        <v>0</v>
      </c>
      <c r="D2108" s="2"/>
      <c r="F2108" s="2" t="str">
        <v>0</v>
      </c>
      <c r="I2108" s="2" t="str">
        <f ca="1">IFERROR(__xludf.DUMMYFUNCTION("""COMPUTED_VALUE"""),"Lê Thị Ngọc Hân ")</f>
        <v xml:space="preserve">Lê Thị Ngọc Hân </v>
      </c>
      <c r="J2108" s="3" t="str">
        <f ca="1">IFERROR(__xludf.DUMMYFUNCTION("""COMPUTED_VALUE"""),"0858750047")</f>
        <v>0858750047</v>
      </c>
      <c r="K2108" s="2" t="str">
        <f ca="1">IFERROR(__xludf.DUMMYFUNCTION("""COMPUTED_VALUE"""),"1732647888742")</f>
        <v>1732647888742</v>
      </c>
    </row>
    <row r="2109" spans="1:11" ht="12.45">
      <c r="A2109" s="2" t="str">
        <f ca="1">IFERROR(__xludf.DUMMYFUNCTION("""COMPUTED_VALUE"""),"1732647934223")</f>
        <v>1732647934223</v>
      </c>
      <c r="B2109" s="2"/>
      <c r="C2109" s="2" t="str">
        <v>0</v>
      </c>
      <c r="D2109" s="2"/>
      <c r="F2109" s="2" t="str">
        <v>0</v>
      </c>
      <c r="I2109" s="2" t="str">
        <f ca="1">IFERROR(__xludf.DUMMYFUNCTION("""COMPUTED_VALUE"""),"Phan Yến Thy")</f>
        <v>Phan Yến Thy</v>
      </c>
      <c r="J2109" s="3" t="str">
        <f ca="1">IFERROR(__xludf.DUMMYFUNCTION("""COMPUTED_VALUE"""),"0395064060")</f>
        <v>0395064060</v>
      </c>
      <c r="K2109" s="2" t="str">
        <f ca="1">IFERROR(__xludf.DUMMYFUNCTION("""COMPUTED_VALUE"""),"1732647934223")</f>
        <v>1732647934223</v>
      </c>
    </row>
    <row r="2110" spans="1:11" ht="12.45">
      <c r="A2110" s="2" t="str">
        <f ca="1">IFERROR(__xludf.DUMMYFUNCTION("""COMPUTED_VALUE"""),"1732647971852")</f>
        <v>1732647971852</v>
      </c>
      <c r="B2110" s="2"/>
      <c r="C2110" s="2" t="str">
        <v>0</v>
      </c>
      <c r="D2110" s="2"/>
      <c r="F2110" s="2" t="str">
        <v>0</v>
      </c>
      <c r="I2110" s="2" t="str">
        <f ca="1">IFERROR(__xludf.DUMMYFUNCTION("""COMPUTED_VALUE"""),"Nguyễn Hoàng Dung")</f>
        <v>Nguyễn Hoàng Dung</v>
      </c>
      <c r="J2110" s="3" t="str">
        <f ca="1">IFERROR(__xludf.DUMMYFUNCTION("""COMPUTED_VALUE"""),"0385209263")</f>
        <v>0385209263</v>
      </c>
      <c r="K2110" s="2" t="str">
        <f ca="1">IFERROR(__xludf.DUMMYFUNCTION("""COMPUTED_VALUE"""),"1732647971852")</f>
        <v>1732647971852</v>
      </c>
    </row>
    <row r="2111" spans="1:11" ht="12.45">
      <c r="A2111" s="2" t="str">
        <f ca="1">IFERROR(__xludf.DUMMYFUNCTION("""COMPUTED_VALUE"""),"1732648025409")</f>
        <v>1732648025409</v>
      </c>
      <c r="B2111" s="2"/>
      <c r="C2111" s="2" t="str">
        <v>0</v>
      </c>
      <c r="D2111" s="2"/>
      <c r="F2111" s="2" t="str">
        <v>0</v>
      </c>
      <c r="I2111" s="2" t="str">
        <f ca="1">IFERROR(__xludf.DUMMYFUNCTION("""COMPUTED_VALUE"""),"nguyễn bảo vy")</f>
        <v>nguyễn bảo vy</v>
      </c>
      <c r="J2111" s="3" t="str">
        <f ca="1">IFERROR(__xludf.DUMMYFUNCTION("""COMPUTED_VALUE"""),"0768557023")</f>
        <v>0768557023</v>
      </c>
      <c r="K2111" s="2" t="str">
        <f ca="1">IFERROR(__xludf.DUMMYFUNCTION("""COMPUTED_VALUE"""),"1732648025409")</f>
        <v>1732648025409</v>
      </c>
    </row>
    <row r="2112" spans="1:11" ht="12.45">
      <c r="A2112" s="2" t="str">
        <f ca="1">IFERROR(__xludf.DUMMYFUNCTION("""COMPUTED_VALUE"""),"1732648067671")</f>
        <v>1732648067671</v>
      </c>
      <c r="B2112" s="2"/>
      <c r="C2112" s="2" t="str">
        <v>0</v>
      </c>
      <c r="D2112" s="2"/>
      <c r="F2112" s="2" t="str">
        <v>0</v>
      </c>
      <c r="I2112" s="2" t="str">
        <f ca="1">IFERROR(__xludf.DUMMYFUNCTION("""COMPUTED_VALUE"""),"Lê Thị Thùy Dương")</f>
        <v>Lê Thị Thùy Dương</v>
      </c>
      <c r="J2112" s="3" t="str">
        <f ca="1">IFERROR(__xludf.DUMMYFUNCTION("""COMPUTED_VALUE"""),"0344758698")</f>
        <v>0344758698</v>
      </c>
      <c r="K2112" s="2" t="str">
        <f ca="1">IFERROR(__xludf.DUMMYFUNCTION("""COMPUTED_VALUE"""),"1732648067671")</f>
        <v>1732648067671</v>
      </c>
    </row>
    <row r="2113" spans="1:11" ht="12.45">
      <c r="A2113" s="2" t="str">
        <f ca="1">IFERROR(__xludf.DUMMYFUNCTION("""COMPUTED_VALUE"""),"1732648101284")</f>
        <v>1732648101284</v>
      </c>
      <c r="B2113" s="2"/>
      <c r="C2113" s="2" t="str">
        <v>0</v>
      </c>
      <c r="D2113" s="2"/>
      <c r="F2113" s="2" t="str">
        <v>0</v>
      </c>
      <c r="I2113" s="2" t="str">
        <f ca="1">IFERROR(__xludf.DUMMYFUNCTION("""COMPUTED_VALUE"""),"Trịnh Thị Phương Anh")</f>
        <v>Trịnh Thị Phương Anh</v>
      </c>
      <c r="J2113" s="3" t="str">
        <f ca="1">IFERROR(__xludf.DUMMYFUNCTION("""COMPUTED_VALUE"""),"0962505036")</f>
        <v>0962505036</v>
      </c>
      <c r="K2113" s="2" t="str">
        <f ca="1">IFERROR(__xludf.DUMMYFUNCTION("""COMPUTED_VALUE"""),"1732648101284")</f>
        <v>1732648101284</v>
      </c>
    </row>
    <row r="2114" spans="1:11" ht="12.45">
      <c r="A2114" s="2" t="str">
        <f ca="1">IFERROR(__xludf.DUMMYFUNCTION("""COMPUTED_VALUE"""),"1732648140591")</f>
        <v>1732648140591</v>
      </c>
      <c r="B2114" s="2"/>
      <c r="C2114" s="2" t="str">
        <v>0</v>
      </c>
      <c r="D2114" s="2"/>
      <c r="F2114" s="2" t="str">
        <v>0</v>
      </c>
      <c r="I2114" s="2" t="str">
        <f ca="1">IFERROR(__xludf.DUMMYFUNCTION("""COMPUTED_VALUE"""),"Nguyễn Thị Hoài Thu ")</f>
        <v xml:space="preserve">Nguyễn Thị Hoài Thu </v>
      </c>
      <c r="J2114" s="3" t="str">
        <f ca="1">IFERROR(__xludf.DUMMYFUNCTION("""COMPUTED_VALUE"""),"0827064500")</f>
        <v>0827064500</v>
      </c>
      <c r="K2114" s="2" t="str">
        <f ca="1">IFERROR(__xludf.DUMMYFUNCTION("""COMPUTED_VALUE"""),"1732648140591")</f>
        <v>1732648140591</v>
      </c>
    </row>
    <row r="2115" spans="1:11" ht="12.45">
      <c r="A2115" s="2" t="str">
        <f ca="1">IFERROR(__xludf.DUMMYFUNCTION("""COMPUTED_VALUE"""),"1732648198137")</f>
        <v>1732648198137</v>
      </c>
      <c r="B2115" s="2"/>
      <c r="C2115" s="2" t="str">
        <v>0</v>
      </c>
      <c r="D2115" s="2"/>
      <c r="F2115" s="2" t="str">
        <v>0</v>
      </c>
      <c r="I2115" s="2" t="str">
        <f ca="1">IFERROR(__xludf.DUMMYFUNCTION("""COMPUTED_VALUE"""),"Nguyễn Thị Thảo Linh ")</f>
        <v xml:space="preserve">Nguyễn Thị Thảo Linh </v>
      </c>
      <c r="J2115" s="3" t="str">
        <f ca="1">IFERROR(__xludf.DUMMYFUNCTION("""COMPUTED_VALUE"""),"0326071107")</f>
        <v>0326071107</v>
      </c>
      <c r="K2115" s="2" t="str">
        <f ca="1">IFERROR(__xludf.DUMMYFUNCTION("""COMPUTED_VALUE"""),"1732648198137")</f>
        <v>1732648198137</v>
      </c>
    </row>
    <row r="2116" spans="1:11" ht="12.45">
      <c r="A2116" s="2" t="str">
        <f ca="1">IFERROR(__xludf.DUMMYFUNCTION("""COMPUTED_VALUE"""),"1732648239095")</f>
        <v>1732648239095</v>
      </c>
      <c r="B2116" s="2"/>
      <c r="C2116" s="2" t="str">
        <v>0</v>
      </c>
      <c r="D2116" s="2"/>
      <c r="F2116" s="2" t="str">
        <v>0</v>
      </c>
      <c r="I2116" s="2" t="str">
        <f ca="1">IFERROR(__xludf.DUMMYFUNCTION("""COMPUTED_VALUE"""),"Bùi Ngọc Khánh")</f>
        <v>Bùi Ngọc Khánh</v>
      </c>
      <c r="J2116" s="3" t="str">
        <f ca="1">IFERROR(__xludf.DUMMYFUNCTION("""COMPUTED_VALUE"""),"0398276161")</f>
        <v>0398276161</v>
      </c>
      <c r="K2116" s="2" t="str">
        <f ca="1">IFERROR(__xludf.DUMMYFUNCTION("""COMPUTED_VALUE"""),"1732648239095")</f>
        <v>1732648239095</v>
      </c>
    </row>
    <row r="2117" spans="1:11" ht="12.45">
      <c r="A2117" s="2" t="str">
        <f ca="1">IFERROR(__xludf.DUMMYFUNCTION("""COMPUTED_VALUE"""),"1732648297916")</f>
        <v>1732648297916</v>
      </c>
      <c r="B2117" s="2"/>
      <c r="C2117" s="2" t="str">
        <v>0</v>
      </c>
      <c r="D2117" s="2"/>
      <c r="F2117" s="2" t="str">
        <v>0</v>
      </c>
      <c r="I2117" s="2" t="str">
        <f ca="1">IFERROR(__xludf.DUMMYFUNCTION("""COMPUTED_VALUE"""),"Đồng Thanh Giang")</f>
        <v>Đồng Thanh Giang</v>
      </c>
      <c r="J2117" s="3" t="str">
        <f ca="1">IFERROR(__xludf.DUMMYFUNCTION("""COMPUTED_VALUE"""),"0343906603")</f>
        <v>0343906603</v>
      </c>
      <c r="K2117" s="2" t="str">
        <f ca="1">IFERROR(__xludf.DUMMYFUNCTION("""COMPUTED_VALUE"""),"1732648297916")</f>
        <v>1732648297916</v>
      </c>
    </row>
    <row r="2118" spans="1:11" ht="12.45">
      <c r="A2118" s="2" t="str">
        <f ca="1">IFERROR(__xludf.DUMMYFUNCTION("""COMPUTED_VALUE"""),"1732648338661")</f>
        <v>1732648338661</v>
      </c>
      <c r="B2118" s="2"/>
      <c r="C2118" s="2" t="str">
        <v>0</v>
      </c>
      <c r="D2118" s="2"/>
      <c r="F2118" s="2" t="str">
        <v>0</v>
      </c>
      <c r="I2118" s="2" t="str">
        <f ca="1">IFERROR(__xludf.DUMMYFUNCTION("""COMPUTED_VALUE"""),"Lê Thị Vân ")</f>
        <v xml:space="preserve">Lê Thị Vân </v>
      </c>
      <c r="J2118" s="3" t="str">
        <f ca="1">IFERROR(__xludf.DUMMYFUNCTION("""COMPUTED_VALUE"""),"0867582919")</f>
        <v>0867582919</v>
      </c>
      <c r="K2118" s="2" t="str">
        <f ca="1">IFERROR(__xludf.DUMMYFUNCTION("""COMPUTED_VALUE"""),"1732648338661")</f>
        <v>1732648338661</v>
      </c>
    </row>
    <row r="2119" spans="1:11" ht="12.45">
      <c r="A2119" s="2" t="str">
        <f ca="1">IFERROR(__xludf.DUMMYFUNCTION("""COMPUTED_VALUE"""),"1732648378372")</f>
        <v>1732648378372</v>
      </c>
      <c r="B2119" s="2"/>
      <c r="C2119" s="2" t="str">
        <v>0</v>
      </c>
      <c r="D2119" s="2"/>
      <c r="F2119" s="2" t="str">
        <v>0</v>
      </c>
      <c r="I2119" s="2" t="str">
        <f ca="1">IFERROR(__xludf.DUMMYFUNCTION("""COMPUTED_VALUE"""),"Đỗ Quỳnh Chi")</f>
        <v>Đỗ Quỳnh Chi</v>
      </c>
      <c r="J2119" s="3" t="str">
        <f ca="1">IFERROR(__xludf.DUMMYFUNCTION("""COMPUTED_VALUE"""),"0986785877")</f>
        <v>0986785877</v>
      </c>
      <c r="K2119" s="2" t="str">
        <f ca="1">IFERROR(__xludf.DUMMYFUNCTION("""COMPUTED_VALUE"""),"1732648378372")</f>
        <v>1732648378372</v>
      </c>
    </row>
    <row r="2120" spans="1:11" ht="12.45">
      <c r="A2120" s="2" t="str">
        <f ca="1">IFERROR(__xludf.DUMMYFUNCTION("""COMPUTED_VALUE"""),"1732648434202")</f>
        <v>1732648434202</v>
      </c>
      <c r="B2120" s="2"/>
      <c r="C2120" s="2" t="str">
        <v>0</v>
      </c>
      <c r="D2120" s="2"/>
      <c r="F2120" s="2" t="str">
        <v>0</v>
      </c>
      <c r="I2120" s="2" t="str">
        <f ca="1">IFERROR(__xludf.DUMMYFUNCTION("""COMPUTED_VALUE"""),"Nguyễn Ngọc Như Ý")</f>
        <v>Nguyễn Ngọc Như Ý</v>
      </c>
      <c r="J2120" s="3" t="str">
        <f ca="1">IFERROR(__xludf.DUMMYFUNCTION("""COMPUTED_VALUE"""),"0917378015")</f>
        <v>0917378015</v>
      </c>
      <c r="K2120" s="2" t="str">
        <f ca="1">IFERROR(__xludf.DUMMYFUNCTION("""COMPUTED_VALUE"""),"1732648434202")</f>
        <v>1732648434202</v>
      </c>
    </row>
    <row r="2121" spans="1:11" ht="12.45">
      <c r="A2121" s="2" t="str">
        <f ca="1">IFERROR(__xludf.DUMMYFUNCTION("""COMPUTED_VALUE"""),"1732648475253")</f>
        <v>1732648475253</v>
      </c>
      <c r="B2121" s="2"/>
      <c r="C2121" s="2" t="str">
        <v>0</v>
      </c>
      <c r="D2121" s="2"/>
      <c r="F2121" s="2" t="str">
        <v>0</v>
      </c>
      <c r="I2121" s="2" t="str">
        <f ca="1">IFERROR(__xludf.DUMMYFUNCTION("""COMPUTED_VALUE"""),"Nguyễn Khánh Nguyên")</f>
        <v>Nguyễn Khánh Nguyên</v>
      </c>
      <c r="J2121" s="3" t="str">
        <f ca="1">IFERROR(__xludf.DUMMYFUNCTION("""COMPUTED_VALUE"""),"0345253568")</f>
        <v>0345253568</v>
      </c>
      <c r="K2121" s="2" t="str">
        <f ca="1">IFERROR(__xludf.DUMMYFUNCTION("""COMPUTED_VALUE"""),"1732648475253")</f>
        <v>1732648475253</v>
      </c>
    </row>
    <row r="2122" spans="1:11" ht="12.45">
      <c r="A2122" s="2" t="str">
        <f ca="1">IFERROR(__xludf.DUMMYFUNCTION("""COMPUTED_VALUE"""),"1732648525867")</f>
        <v>1732648525867</v>
      </c>
      <c r="B2122" s="2"/>
      <c r="C2122" s="2" t="str">
        <v>0</v>
      </c>
      <c r="D2122" s="2"/>
      <c r="F2122" s="2" t="str">
        <v>0</v>
      </c>
      <c r="I2122" s="2" t="str">
        <f ca="1">IFERROR(__xludf.DUMMYFUNCTION("""COMPUTED_VALUE"""),"Lê Anh Phát")</f>
        <v>Lê Anh Phát</v>
      </c>
      <c r="J2122" s="3" t="str">
        <f ca="1">IFERROR(__xludf.DUMMYFUNCTION("""COMPUTED_VALUE"""),"0978448323")</f>
        <v>0978448323</v>
      </c>
      <c r="K2122" s="2" t="str">
        <f ca="1">IFERROR(__xludf.DUMMYFUNCTION("""COMPUTED_VALUE"""),"1732648525867")</f>
        <v>1732648525867</v>
      </c>
    </row>
    <row r="2123" spans="1:11" ht="12.45">
      <c r="A2123" s="2" t="str">
        <f ca="1">IFERROR(__xludf.DUMMYFUNCTION("""COMPUTED_VALUE"""),"1732648570239")</f>
        <v>1732648570239</v>
      </c>
      <c r="B2123" s="2"/>
      <c r="C2123" s="2" t="str">
        <v>0</v>
      </c>
      <c r="D2123" s="2"/>
      <c r="F2123" s="2" t="str">
        <v>0</v>
      </c>
      <c r="I2123" s="2" t="str">
        <f ca="1">IFERROR(__xludf.DUMMYFUNCTION("""COMPUTED_VALUE"""),"ĐỖ NGỌC THANH XUÂN ")</f>
        <v xml:space="preserve">ĐỖ NGỌC THANH XUÂN </v>
      </c>
      <c r="J2123" s="3" t="str">
        <f ca="1">IFERROR(__xludf.DUMMYFUNCTION("""COMPUTED_VALUE"""),"0974953425")</f>
        <v>0974953425</v>
      </c>
      <c r="K2123" s="2" t="str">
        <f ca="1">IFERROR(__xludf.DUMMYFUNCTION("""COMPUTED_VALUE"""),"1732648570239")</f>
        <v>1732648570239</v>
      </c>
    </row>
    <row r="2124" spans="1:11" ht="12.45">
      <c r="A2124" s="2" t="str">
        <f ca="1">IFERROR(__xludf.DUMMYFUNCTION("""COMPUTED_VALUE"""),"1732648612386")</f>
        <v>1732648612386</v>
      </c>
      <c r="B2124" s="2"/>
      <c r="C2124" s="2" t="str">
        <v>0</v>
      </c>
      <c r="D2124" s="2"/>
      <c r="F2124" s="2" t="str">
        <v>0</v>
      </c>
      <c r="I2124" s="2" t="str">
        <f ca="1">IFERROR(__xludf.DUMMYFUNCTION("""COMPUTED_VALUE"""),"Lương Yến Nhi ")</f>
        <v xml:space="preserve">Lương Yến Nhi </v>
      </c>
      <c r="J2124" s="3" t="str">
        <f ca="1">IFERROR(__xludf.DUMMYFUNCTION("""COMPUTED_VALUE"""),"0907136366")</f>
        <v>0907136366</v>
      </c>
      <c r="K2124" s="2" t="str">
        <f ca="1">IFERROR(__xludf.DUMMYFUNCTION("""COMPUTED_VALUE"""),"1732648612386")</f>
        <v>1732648612386</v>
      </c>
    </row>
    <row r="2125" spans="1:11" ht="12.45">
      <c r="A2125" s="2" t="str">
        <f ca="1">IFERROR(__xludf.DUMMYFUNCTION("""COMPUTED_VALUE"""),"1732648663158")</f>
        <v>1732648663158</v>
      </c>
      <c r="B2125" s="2"/>
      <c r="C2125" s="2" t="str">
        <v>0</v>
      </c>
      <c r="D2125" s="2"/>
      <c r="F2125" s="2" t="str">
        <v>0</v>
      </c>
      <c r="I2125" s="2" t="str">
        <f ca="1">IFERROR(__xludf.DUMMYFUNCTION("""COMPUTED_VALUE"""),"Nguyễn Thị Chi")</f>
        <v>Nguyễn Thị Chi</v>
      </c>
      <c r="J2125" s="3" t="str">
        <f ca="1">IFERROR(__xludf.DUMMYFUNCTION("""COMPUTED_VALUE"""),"0375054739")</f>
        <v>0375054739</v>
      </c>
      <c r="K2125" s="2" t="str">
        <f ca="1">IFERROR(__xludf.DUMMYFUNCTION("""COMPUTED_VALUE"""),"1732648663158")</f>
        <v>1732648663158</v>
      </c>
    </row>
    <row r="2126" spans="1:11" ht="12.45">
      <c r="A2126" s="2" t="str">
        <f ca="1">IFERROR(__xludf.DUMMYFUNCTION("""COMPUTED_VALUE"""),"1732648694936")</f>
        <v>1732648694936</v>
      </c>
      <c r="B2126" s="2"/>
      <c r="C2126" s="2" t="str">
        <v>0</v>
      </c>
      <c r="D2126" s="2"/>
      <c r="F2126" s="2" t="str">
        <v>0</v>
      </c>
      <c r="I2126" s="2" t="str">
        <f ca="1">IFERROR(__xludf.DUMMYFUNCTION("""COMPUTED_VALUE"""),"Quách Phương Anh")</f>
        <v>Quách Phương Anh</v>
      </c>
      <c r="J2126" s="3" t="str">
        <f ca="1">IFERROR(__xludf.DUMMYFUNCTION("""COMPUTED_VALUE"""),"0865392716")</f>
        <v>0865392716</v>
      </c>
      <c r="K2126" s="2" t="str">
        <f ca="1">IFERROR(__xludf.DUMMYFUNCTION("""COMPUTED_VALUE"""),"1732648694936")</f>
        <v>1732648694936</v>
      </c>
    </row>
    <row r="2127" spans="1:11" ht="12.45">
      <c r="A2127" s="2" t="str">
        <f ca="1">IFERROR(__xludf.DUMMYFUNCTION("""COMPUTED_VALUE"""),"1732648732532")</f>
        <v>1732648732532</v>
      </c>
      <c r="B2127" s="2"/>
      <c r="C2127" s="2" t="str">
        <v>0</v>
      </c>
      <c r="D2127" s="2"/>
      <c r="F2127" s="2" t="str">
        <v>0</v>
      </c>
      <c r="I2127" s="2" t="str">
        <f ca="1">IFERROR(__xludf.DUMMYFUNCTION("""COMPUTED_VALUE"""),"Tố Anh ")</f>
        <v xml:space="preserve">Tố Anh </v>
      </c>
      <c r="J2127" s="3" t="str">
        <f ca="1">IFERROR(__xludf.DUMMYFUNCTION("""COMPUTED_VALUE"""),"0913760226")</f>
        <v>0913760226</v>
      </c>
      <c r="K2127" s="2" t="str">
        <f ca="1">IFERROR(__xludf.DUMMYFUNCTION("""COMPUTED_VALUE"""),"1732648732532")</f>
        <v>1732648732532</v>
      </c>
    </row>
    <row r="2128" spans="1:11" ht="12.45">
      <c r="A2128" s="2" t="str">
        <f ca="1">IFERROR(__xludf.DUMMYFUNCTION("""COMPUTED_VALUE"""),"1732648763743")</f>
        <v>1732648763743</v>
      </c>
      <c r="B2128" s="2"/>
      <c r="C2128" s="2" t="str">
        <v>0</v>
      </c>
      <c r="D2128" s="2"/>
      <c r="F2128" s="2" t="str">
        <v>0</v>
      </c>
      <c r="I2128" s="2" t="str">
        <f ca="1">IFERROR(__xludf.DUMMYFUNCTION("""COMPUTED_VALUE"""),"Bùi Như Quỳnh ")</f>
        <v xml:space="preserve">Bùi Như Quỳnh </v>
      </c>
      <c r="J2128" s="3" t="str">
        <f ca="1">IFERROR(__xludf.DUMMYFUNCTION("""COMPUTED_VALUE"""),"0348501942")</f>
        <v>0348501942</v>
      </c>
      <c r="K2128" s="2" t="str">
        <f ca="1">IFERROR(__xludf.DUMMYFUNCTION("""COMPUTED_VALUE"""),"1732648763743")</f>
        <v>1732648763743</v>
      </c>
    </row>
    <row r="2129" spans="1:11" ht="12.45">
      <c r="A2129" s="2" t="str">
        <f ca="1">IFERROR(__xludf.DUMMYFUNCTION("""COMPUTED_VALUE"""),"1732648800121")</f>
        <v>1732648800121</v>
      </c>
      <c r="B2129" s="2"/>
      <c r="C2129" s="2" t="str">
        <v>0</v>
      </c>
      <c r="D2129" s="2"/>
      <c r="F2129" s="2" t="str">
        <v>0</v>
      </c>
      <c r="I2129" s="2" t="str">
        <f ca="1">IFERROR(__xludf.DUMMYFUNCTION("""COMPUTED_VALUE"""),"Nguyễn Ngọc Hoàng Phúc")</f>
        <v>Nguyễn Ngọc Hoàng Phúc</v>
      </c>
      <c r="J2129" s="3" t="str">
        <f ca="1">IFERROR(__xludf.DUMMYFUNCTION("""COMPUTED_VALUE"""),"0921373884")</f>
        <v>0921373884</v>
      </c>
      <c r="K2129" s="2" t="str">
        <f ca="1">IFERROR(__xludf.DUMMYFUNCTION("""COMPUTED_VALUE"""),"1732648800121")</f>
        <v>1732648800121</v>
      </c>
    </row>
    <row r="2130" spans="1:11" ht="12.45">
      <c r="A2130" s="2" t="str">
        <f ca="1">IFERROR(__xludf.DUMMYFUNCTION("""COMPUTED_VALUE"""),"1732648835163")</f>
        <v>1732648835163</v>
      </c>
      <c r="B2130" s="2"/>
      <c r="C2130" s="2" t="str">
        <v>0</v>
      </c>
      <c r="D2130" s="2"/>
      <c r="F2130" s="2" t="str">
        <v>0</v>
      </c>
      <c r="I2130" s="2" t="str">
        <f ca="1">IFERROR(__xludf.DUMMYFUNCTION("""COMPUTED_VALUE"""),"Nguyễn Lê Sương Mây")</f>
        <v>Nguyễn Lê Sương Mây</v>
      </c>
      <c r="J2130" s="3" t="str">
        <f ca="1">IFERROR(__xludf.DUMMYFUNCTION("""COMPUTED_VALUE"""),"0793617078")</f>
        <v>0793617078</v>
      </c>
      <c r="K2130" s="2" t="str">
        <f ca="1">IFERROR(__xludf.DUMMYFUNCTION("""COMPUTED_VALUE"""),"1732648835163")</f>
        <v>1732648835163</v>
      </c>
    </row>
    <row r="2131" spans="1:11" ht="12.45">
      <c r="A2131" s="2" t="str">
        <f ca="1">IFERROR(__xludf.DUMMYFUNCTION("""COMPUTED_VALUE"""),"1732648885079")</f>
        <v>1732648885079</v>
      </c>
      <c r="B2131" s="2"/>
      <c r="C2131" s="2" t="str">
        <v>0</v>
      </c>
      <c r="D2131" s="2"/>
      <c r="F2131" s="2" t="str">
        <v>0</v>
      </c>
      <c r="I2131" s="2" t="str">
        <f ca="1">IFERROR(__xludf.DUMMYFUNCTION("""COMPUTED_VALUE"""),"Nguyễn Bảo Thuỳ Ân")</f>
        <v>Nguyễn Bảo Thuỳ Ân</v>
      </c>
      <c r="J2131" s="3" t="str">
        <f ca="1">IFERROR(__xludf.DUMMYFUNCTION("""COMPUTED_VALUE"""),"0359259807")</f>
        <v>0359259807</v>
      </c>
      <c r="K2131" s="2" t="str">
        <f ca="1">IFERROR(__xludf.DUMMYFUNCTION("""COMPUTED_VALUE"""),"1732648885079")</f>
        <v>1732648885079</v>
      </c>
    </row>
    <row r="2132" spans="1:11" ht="12.45">
      <c r="A2132" s="2" t="str">
        <f ca="1">IFERROR(__xludf.DUMMYFUNCTION("""COMPUTED_VALUE"""),"1732648953143")</f>
        <v>1732648953143</v>
      </c>
      <c r="B2132" s="2"/>
      <c r="C2132" s="2" t="str">
        <v>0</v>
      </c>
      <c r="D2132" s="2"/>
      <c r="F2132" s="2" t="str">
        <v>0</v>
      </c>
      <c r="I2132" s="2" t="str">
        <f ca="1">IFERROR(__xludf.DUMMYFUNCTION("""COMPUTED_VALUE"""),"Trương Thị Tuyết")</f>
        <v>Trương Thị Tuyết</v>
      </c>
      <c r="J2132" s="3" t="str">
        <f ca="1">IFERROR(__xludf.DUMMYFUNCTION("""COMPUTED_VALUE"""),"0399017246")</f>
        <v>0399017246</v>
      </c>
      <c r="K2132" s="2" t="str">
        <f ca="1">IFERROR(__xludf.DUMMYFUNCTION("""COMPUTED_VALUE"""),"1732648953143")</f>
        <v>1732648953143</v>
      </c>
    </row>
    <row r="2133" spans="1:11" ht="12.45">
      <c r="A2133" s="2" t="str">
        <f ca="1">IFERROR(__xludf.DUMMYFUNCTION("""COMPUTED_VALUE"""),"1732648989043")</f>
        <v>1732648989043</v>
      </c>
      <c r="B2133" s="2"/>
      <c r="C2133" s="2" t="str">
        <v>0</v>
      </c>
      <c r="D2133" s="2"/>
      <c r="F2133" s="2" t="str">
        <v>0</v>
      </c>
      <c r="I2133" s="2" t="str">
        <f ca="1">IFERROR(__xludf.DUMMYFUNCTION("""COMPUTED_VALUE"""),"Nguyễn Thị Quỳnh Hoa")</f>
        <v>Nguyễn Thị Quỳnh Hoa</v>
      </c>
      <c r="J2133" s="3" t="str">
        <f ca="1">IFERROR(__xludf.DUMMYFUNCTION("""COMPUTED_VALUE"""),"0355387504")</f>
        <v>0355387504</v>
      </c>
      <c r="K2133" s="2" t="str">
        <f ca="1">IFERROR(__xludf.DUMMYFUNCTION("""COMPUTED_VALUE"""),"1732648989043")</f>
        <v>1732648989043</v>
      </c>
    </row>
    <row r="2134" spans="1:11" ht="12.45">
      <c r="A2134" s="2" t="str">
        <f ca="1">IFERROR(__xludf.DUMMYFUNCTION("""COMPUTED_VALUE"""),"1732649025466")</f>
        <v>1732649025466</v>
      </c>
      <c r="B2134" s="2"/>
      <c r="C2134" s="2" t="str">
        <v>0</v>
      </c>
      <c r="D2134" s="2"/>
      <c r="F2134" s="2" t="str">
        <v>0</v>
      </c>
      <c r="I2134" s="2" t="str">
        <f ca="1">IFERROR(__xludf.DUMMYFUNCTION("""COMPUTED_VALUE"""),"Võ Nhật Thiên Lam")</f>
        <v>Võ Nhật Thiên Lam</v>
      </c>
      <c r="J2134" s="3" t="str">
        <f ca="1">IFERROR(__xludf.DUMMYFUNCTION("""COMPUTED_VALUE"""),"0868300693")</f>
        <v>0868300693</v>
      </c>
      <c r="K2134" s="2" t="str">
        <f ca="1">IFERROR(__xludf.DUMMYFUNCTION("""COMPUTED_VALUE"""),"1732649025466")</f>
        <v>1732649025466</v>
      </c>
    </row>
    <row r="2135" spans="1:11" ht="12.45">
      <c r="A2135" s="2" t="str">
        <f ca="1">IFERROR(__xludf.DUMMYFUNCTION("""COMPUTED_VALUE"""),"1732649076086")</f>
        <v>1732649076086</v>
      </c>
      <c r="B2135" s="2"/>
      <c r="C2135" s="2" t="str">
        <v>0</v>
      </c>
      <c r="D2135" s="2"/>
      <c r="F2135" s="2" t="str">
        <v>0</v>
      </c>
      <c r="I2135" s="2" t="str">
        <f ca="1">IFERROR(__xludf.DUMMYFUNCTION("""COMPUTED_VALUE"""),"Nguyễn Ngọc Anh")</f>
        <v>Nguyễn Ngọc Anh</v>
      </c>
      <c r="J2135" s="3" t="str">
        <f ca="1">IFERROR(__xludf.DUMMYFUNCTION("""COMPUTED_VALUE"""),"0769442038")</f>
        <v>0769442038</v>
      </c>
      <c r="K2135" s="2" t="str">
        <f ca="1">IFERROR(__xludf.DUMMYFUNCTION("""COMPUTED_VALUE"""),"1732649076086")</f>
        <v>1732649076086</v>
      </c>
    </row>
    <row r="2136" spans="1:11" ht="12.45">
      <c r="A2136" s="2" t="str">
        <f ca="1">IFERROR(__xludf.DUMMYFUNCTION("""COMPUTED_VALUE"""),"1732649112559")</f>
        <v>1732649112559</v>
      </c>
      <c r="B2136" s="2"/>
      <c r="C2136" s="2" t="str">
        <v>0</v>
      </c>
      <c r="D2136" s="2"/>
      <c r="F2136" s="2" t="str">
        <v>0</v>
      </c>
      <c r="I2136" s="2" t="str">
        <f ca="1">IFERROR(__xludf.DUMMYFUNCTION("""COMPUTED_VALUE"""),"Nguyễn Thị Vân Anh")</f>
        <v>Nguyễn Thị Vân Anh</v>
      </c>
      <c r="J2136" s="3" t="str">
        <f ca="1">IFERROR(__xludf.DUMMYFUNCTION("""COMPUTED_VALUE"""),"0862588101")</f>
        <v>0862588101</v>
      </c>
      <c r="K2136" s="2" t="str">
        <f ca="1">IFERROR(__xludf.DUMMYFUNCTION("""COMPUTED_VALUE"""),"1732649112559")</f>
        <v>1732649112559</v>
      </c>
    </row>
    <row r="2137" spans="1:11" ht="12.45">
      <c r="A2137" s="2" t="str">
        <f ca="1">IFERROR(__xludf.DUMMYFUNCTION("""COMPUTED_VALUE"""),"1732649160025")</f>
        <v>1732649160025</v>
      </c>
      <c r="B2137" s="2"/>
      <c r="C2137" s="2" t="str">
        <v>0</v>
      </c>
      <c r="D2137" s="2"/>
      <c r="F2137" s="2" t="str">
        <v>0</v>
      </c>
      <c r="I2137" s="2" t="str">
        <f ca="1">IFERROR(__xludf.DUMMYFUNCTION("""COMPUTED_VALUE"""),"Nguyễn Thị Hồng Hạnh")</f>
        <v>Nguyễn Thị Hồng Hạnh</v>
      </c>
      <c r="J2137" s="3" t="str">
        <f ca="1">IFERROR(__xludf.DUMMYFUNCTION("""COMPUTED_VALUE"""),"0947863287")</f>
        <v>0947863287</v>
      </c>
      <c r="K2137" s="2" t="str">
        <f ca="1">IFERROR(__xludf.DUMMYFUNCTION("""COMPUTED_VALUE"""),"1732649160025")</f>
        <v>1732649160025</v>
      </c>
    </row>
    <row r="2138" spans="1:11" ht="12.45">
      <c r="A2138" s="2" t="str">
        <f ca="1">IFERROR(__xludf.DUMMYFUNCTION("""COMPUTED_VALUE"""),"1732649195047")</f>
        <v>1732649195047</v>
      </c>
      <c r="B2138" s="2"/>
      <c r="C2138" s="2" t="str">
        <v>0</v>
      </c>
      <c r="D2138" s="2"/>
      <c r="F2138" s="2" t="str">
        <v>0</v>
      </c>
      <c r="I2138" s="2" t="str">
        <f ca="1">IFERROR(__xludf.DUMMYFUNCTION("""COMPUTED_VALUE"""),"Nguyễn Ngọc Thanh Tuyền")</f>
        <v>Nguyễn Ngọc Thanh Tuyền</v>
      </c>
      <c r="J2138" s="3" t="str">
        <f ca="1">IFERROR(__xludf.DUMMYFUNCTION("""COMPUTED_VALUE"""),"0815471648")</f>
        <v>0815471648</v>
      </c>
      <c r="K2138" s="2" t="str">
        <f ca="1">IFERROR(__xludf.DUMMYFUNCTION("""COMPUTED_VALUE"""),"1732649195047")</f>
        <v>1732649195047</v>
      </c>
    </row>
    <row r="2139" spans="1:11" ht="12.45">
      <c r="A2139" s="2" t="str">
        <f ca="1">IFERROR(__xludf.DUMMYFUNCTION("""COMPUTED_VALUE"""),"1732649246583")</f>
        <v>1732649246583</v>
      </c>
      <c r="B2139" s="2"/>
      <c r="C2139" s="2" t="str">
        <v>0</v>
      </c>
      <c r="D2139" s="2"/>
      <c r="F2139" s="2" t="str">
        <v>0</v>
      </c>
      <c r="I2139" s="2" t="str">
        <f ca="1">IFERROR(__xludf.DUMMYFUNCTION("""COMPUTED_VALUE"""),"Lê Võ Minh Phương")</f>
        <v>Lê Võ Minh Phương</v>
      </c>
      <c r="J2139" s="3" t="str">
        <f ca="1">IFERROR(__xludf.DUMMYFUNCTION("""COMPUTED_VALUE"""),"0396346909")</f>
        <v>0396346909</v>
      </c>
      <c r="K2139" s="2" t="str">
        <f ca="1">IFERROR(__xludf.DUMMYFUNCTION("""COMPUTED_VALUE"""),"1732649246583")</f>
        <v>1732649246583</v>
      </c>
    </row>
    <row r="2140" spans="1:11" ht="12.45">
      <c r="A2140" s="2" t="str">
        <f ca="1">IFERROR(__xludf.DUMMYFUNCTION("""COMPUTED_VALUE"""),"1732649283316")</f>
        <v>1732649283316</v>
      </c>
      <c r="B2140" s="2"/>
      <c r="C2140" s="2" t="str">
        <v>0</v>
      </c>
      <c r="D2140" s="2"/>
      <c r="F2140" s="2" t="str">
        <v>0</v>
      </c>
      <c r="I2140" s="2" t="str">
        <f ca="1">IFERROR(__xludf.DUMMYFUNCTION("""COMPUTED_VALUE"""),"Nguyễn Phương Linh ")</f>
        <v xml:space="preserve">Nguyễn Phương Linh </v>
      </c>
      <c r="J2140" s="3" t="str">
        <f ca="1">IFERROR(__xludf.DUMMYFUNCTION("""COMPUTED_VALUE"""),"0866049404")</f>
        <v>0866049404</v>
      </c>
      <c r="K2140" s="2" t="str">
        <f ca="1">IFERROR(__xludf.DUMMYFUNCTION("""COMPUTED_VALUE"""),"1732649283316")</f>
        <v>1732649283316</v>
      </c>
    </row>
    <row r="2141" spans="1:11" ht="12.45">
      <c r="A2141" s="2" t="str">
        <f ca="1">IFERROR(__xludf.DUMMYFUNCTION("""COMPUTED_VALUE"""),"1732649315413")</f>
        <v>1732649315413</v>
      </c>
      <c r="B2141" s="2"/>
      <c r="C2141" s="2" t="str">
        <v>0</v>
      </c>
      <c r="D2141" s="2"/>
      <c r="F2141" s="2" t="str">
        <v>0</v>
      </c>
      <c r="I2141" s="2" t="str">
        <f ca="1">IFERROR(__xludf.DUMMYFUNCTION("""COMPUTED_VALUE"""),"Nguyễn Hà Linh")</f>
        <v>Nguyễn Hà Linh</v>
      </c>
      <c r="J2141" s="3" t="str">
        <f ca="1">IFERROR(__xludf.DUMMYFUNCTION("""COMPUTED_VALUE"""),"0399850020")</f>
        <v>0399850020</v>
      </c>
      <c r="K2141" s="2" t="str">
        <f ca="1">IFERROR(__xludf.DUMMYFUNCTION("""COMPUTED_VALUE"""),"1732649315413")</f>
        <v>1732649315413</v>
      </c>
    </row>
    <row r="2142" spans="1:11" ht="12.45">
      <c r="A2142" s="2" t="str">
        <f ca="1">IFERROR(__xludf.DUMMYFUNCTION("""COMPUTED_VALUE"""),"1732649377127")</f>
        <v>1732649377127</v>
      </c>
      <c r="B2142" s="2"/>
      <c r="C2142" s="2" t="str">
        <v>0</v>
      </c>
      <c r="D2142" s="2"/>
      <c r="F2142" s="2" t="str">
        <v>0</v>
      </c>
      <c r="I2142" s="2" t="str">
        <f ca="1">IFERROR(__xludf.DUMMYFUNCTION("""COMPUTED_VALUE"""),"Kiều Quỳnh Anh")</f>
        <v>Kiều Quỳnh Anh</v>
      </c>
      <c r="J2142" s="3" t="str">
        <f ca="1">IFERROR(__xludf.DUMMYFUNCTION("""COMPUTED_VALUE"""),"0982158610")</f>
        <v>0982158610</v>
      </c>
      <c r="K2142" s="2" t="str">
        <f ca="1">IFERROR(__xludf.DUMMYFUNCTION("""COMPUTED_VALUE"""),"1732649377127")</f>
        <v>1732649377127</v>
      </c>
    </row>
    <row r="2143" spans="1:11" ht="12.45">
      <c r="A2143" s="2" t="str">
        <f ca="1">IFERROR(__xludf.DUMMYFUNCTION("""COMPUTED_VALUE"""),"1732649440701")</f>
        <v>1732649440701</v>
      </c>
      <c r="B2143" s="2"/>
      <c r="C2143" s="2" t="str">
        <v>0</v>
      </c>
      <c r="D2143" s="2"/>
      <c r="F2143" s="2" t="str">
        <v>0</v>
      </c>
      <c r="I2143" s="2" t="str">
        <f ca="1">IFERROR(__xludf.DUMMYFUNCTION("""COMPUTED_VALUE"""),"Lê Hồng Bảo Ngân")</f>
        <v>Lê Hồng Bảo Ngân</v>
      </c>
      <c r="J2143" s="3" t="str">
        <f ca="1">IFERROR(__xludf.DUMMYFUNCTION("""COMPUTED_VALUE"""),"0785967710")</f>
        <v>0785967710</v>
      </c>
      <c r="K2143" s="2" t="str">
        <f ca="1">IFERROR(__xludf.DUMMYFUNCTION("""COMPUTED_VALUE"""),"1732649440701")</f>
        <v>1732649440701</v>
      </c>
    </row>
    <row r="2144" spans="1:11" ht="12.45">
      <c r="A2144" s="2" t="str">
        <f ca="1">IFERROR(__xludf.DUMMYFUNCTION("""COMPUTED_VALUE"""),"1732649517681")</f>
        <v>1732649517681</v>
      </c>
      <c r="B2144" s="2"/>
      <c r="C2144" s="2" t="str">
        <v>0</v>
      </c>
      <c r="D2144" s="2"/>
      <c r="F2144" s="2" t="str">
        <v>0</v>
      </c>
      <c r="I2144" s="2" t="str">
        <f ca="1">IFERROR(__xludf.DUMMYFUNCTION("""COMPUTED_VALUE"""),"Trịnh Yến Nhi")</f>
        <v>Trịnh Yến Nhi</v>
      </c>
      <c r="J2144" s="3" t="str">
        <f ca="1">IFERROR(__xludf.DUMMYFUNCTION("""COMPUTED_VALUE"""),"0354042580")</f>
        <v>0354042580</v>
      </c>
      <c r="K2144" s="2" t="str">
        <f ca="1">IFERROR(__xludf.DUMMYFUNCTION("""COMPUTED_VALUE"""),"1732649517681")</f>
        <v>1732649517681</v>
      </c>
    </row>
    <row r="2145" spans="1:11" ht="12.45">
      <c r="A2145" s="2" t="str">
        <f ca="1">IFERROR(__xludf.DUMMYFUNCTION("""COMPUTED_VALUE"""),"1732649571217")</f>
        <v>1732649571217</v>
      </c>
      <c r="B2145" s="2"/>
      <c r="C2145" s="2" t="str">
        <v>0</v>
      </c>
      <c r="D2145" s="2"/>
      <c r="F2145" s="2" t="str">
        <v>0</v>
      </c>
      <c r="I2145" s="2" t="str">
        <f ca="1">IFERROR(__xludf.DUMMYFUNCTION("""COMPUTED_VALUE"""),"Nguyễn Lại Thuỳ Trâm ")</f>
        <v xml:space="preserve">Nguyễn Lại Thuỳ Trâm </v>
      </c>
      <c r="J2145" s="3" t="str">
        <f ca="1">IFERROR(__xludf.DUMMYFUNCTION("""COMPUTED_VALUE"""),"0383159014")</f>
        <v>0383159014</v>
      </c>
      <c r="K2145" s="2" t="str">
        <f ca="1">IFERROR(__xludf.DUMMYFUNCTION("""COMPUTED_VALUE"""),"1732649571217")</f>
        <v>1732649571217</v>
      </c>
    </row>
    <row r="2146" spans="1:11" ht="12.45">
      <c r="A2146" s="2" t="str">
        <f ca="1">IFERROR(__xludf.DUMMYFUNCTION("""COMPUTED_VALUE"""),"1732649620821")</f>
        <v>1732649620821</v>
      </c>
      <c r="B2146" s="2"/>
      <c r="C2146" s="2" t="str">
        <v>0</v>
      </c>
      <c r="D2146" s="2"/>
      <c r="F2146" s="2" t="str">
        <v>0</v>
      </c>
      <c r="I2146" s="2" t="str">
        <f ca="1">IFERROR(__xludf.DUMMYFUNCTION("""COMPUTED_VALUE"""),"bùi minh thu")</f>
        <v>bùi minh thu</v>
      </c>
      <c r="J2146" s="3" t="str">
        <f ca="1">IFERROR(__xludf.DUMMYFUNCTION("""COMPUTED_VALUE"""),"0386197607")</f>
        <v>0386197607</v>
      </c>
      <c r="K2146" s="2" t="str">
        <f ca="1">IFERROR(__xludf.DUMMYFUNCTION("""COMPUTED_VALUE"""),"1732649620821")</f>
        <v>1732649620821</v>
      </c>
    </row>
    <row r="2147" spans="1:11" ht="12.45">
      <c r="A2147" s="2" t="str">
        <f ca="1">IFERROR(__xludf.DUMMYFUNCTION("""COMPUTED_VALUE"""),"1732649677193")</f>
        <v>1732649677193</v>
      </c>
      <c r="B2147" s="2"/>
      <c r="C2147" s="2" t="str">
        <v>0</v>
      </c>
      <c r="D2147" s="2"/>
      <c r="F2147" s="2" t="str">
        <v>0</v>
      </c>
      <c r="I2147" s="2" t="str">
        <f ca="1">IFERROR(__xludf.DUMMYFUNCTION("""COMPUTED_VALUE"""),"Lê Phi Trường Võ")</f>
        <v>Lê Phi Trường Võ</v>
      </c>
      <c r="J2147" s="3" t="str">
        <f ca="1">IFERROR(__xludf.DUMMYFUNCTION("""COMPUTED_VALUE"""),"0393295508")</f>
        <v>0393295508</v>
      </c>
      <c r="K2147" s="2" t="str">
        <f ca="1">IFERROR(__xludf.DUMMYFUNCTION("""COMPUTED_VALUE"""),"1732649677193")</f>
        <v>1732649677193</v>
      </c>
    </row>
    <row r="2148" spans="1:11" ht="12.45">
      <c r="A2148" s="2" t="str">
        <f ca="1">IFERROR(__xludf.DUMMYFUNCTION("""COMPUTED_VALUE"""),"1732649724326")</f>
        <v>1732649724326</v>
      </c>
      <c r="B2148" s="2"/>
      <c r="C2148" s="2" t="str">
        <v>0</v>
      </c>
      <c r="D2148" s="2"/>
      <c r="F2148" s="2" t="str">
        <v>0</v>
      </c>
      <c r="I2148" s="2" t="str">
        <f ca="1">IFERROR(__xludf.DUMMYFUNCTION("""COMPUTED_VALUE"""),"Hoàng Phương Uyên")</f>
        <v>Hoàng Phương Uyên</v>
      </c>
      <c r="J2148" s="3" t="str">
        <f ca="1">IFERROR(__xludf.DUMMYFUNCTION("""COMPUTED_VALUE"""),"0962950174")</f>
        <v>0962950174</v>
      </c>
      <c r="K2148" s="2" t="str">
        <f ca="1">IFERROR(__xludf.DUMMYFUNCTION("""COMPUTED_VALUE"""),"1732649724326")</f>
        <v>1732649724326</v>
      </c>
    </row>
    <row r="2149" spans="1:11" ht="12.45">
      <c r="A2149" s="2" t="str">
        <f ca="1">IFERROR(__xludf.DUMMYFUNCTION("""COMPUTED_VALUE"""),"1732649764786")</f>
        <v>1732649764786</v>
      </c>
      <c r="B2149" s="2"/>
      <c r="C2149" s="2" t="str">
        <v>0</v>
      </c>
      <c r="D2149" s="2"/>
      <c r="F2149" s="2" t="str">
        <v>0</v>
      </c>
      <c r="I2149" s="2" t="str">
        <f ca="1">IFERROR(__xludf.DUMMYFUNCTION("""COMPUTED_VALUE"""),"Chu Thị Ngọc Diễm")</f>
        <v>Chu Thị Ngọc Diễm</v>
      </c>
      <c r="J2149" s="3" t="str">
        <f ca="1">IFERROR(__xludf.DUMMYFUNCTION("""COMPUTED_VALUE"""),"0769023969")</f>
        <v>0769023969</v>
      </c>
      <c r="K2149" s="2" t="str">
        <f ca="1">IFERROR(__xludf.DUMMYFUNCTION("""COMPUTED_VALUE"""),"1732649764786")</f>
        <v>1732649764786</v>
      </c>
    </row>
    <row r="2150" spans="1:11" ht="12.45">
      <c r="A2150" s="2" t="str">
        <f ca="1">IFERROR(__xludf.DUMMYFUNCTION("""COMPUTED_VALUE"""),"1735801735772")</f>
        <v>1735801735772</v>
      </c>
      <c r="B2150" s="2"/>
      <c r="C2150" s="2" t="str">
        <v>0</v>
      </c>
      <c r="D2150" s="2"/>
      <c r="F2150" s="2" t="str">
        <v>0</v>
      </c>
      <c r="I2150" s="2" t="str">
        <f ca="1">IFERROR(__xludf.DUMMYFUNCTION("""COMPUTED_VALUE"""),"Nguyễn Thị Hiền Dung ")</f>
        <v xml:space="preserve">Nguyễn Thị Hiền Dung </v>
      </c>
      <c r="J2150" s="3" t="str">
        <f ca="1">IFERROR(__xludf.DUMMYFUNCTION("""COMPUTED_VALUE"""),"0367254858")</f>
        <v>0367254858</v>
      </c>
      <c r="K2150" s="2" t="str">
        <f ca="1">IFERROR(__xludf.DUMMYFUNCTION("""COMPUTED_VALUE"""),"1735801735772")</f>
        <v>1735801735772</v>
      </c>
    </row>
    <row r="2151" spans="1:11" ht="12.45">
      <c r="A2151" s="2" t="str">
        <f ca="1">IFERROR(__xludf.DUMMYFUNCTION("""COMPUTED_VALUE"""),"1732649814693")</f>
        <v>1732649814693</v>
      </c>
      <c r="B2151" s="2"/>
      <c r="C2151" s="2" t="str">
        <v>0</v>
      </c>
      <c r="D2151" s="2"/>
      <c r="F2151" s="2" t="str">
        <v>0</v>
      </c>
      <c r="I2151" s="2" t="str">
        <f ca="1">IFERROR(__xludf.DUMMYFUNCTION("""COMPUTED_VALUE"""),"Lê Bảo Quyên ")</f>
        <v xml:space="preserve">Lê Bảo Quyên </v>
      </c>
      <c r="J2151" s="3" t="str">
        <f ca="1">IFERROR(__xludf.DUMMYFUNCTION("""COMPUTED_VALUE"""),"0774524680")</f>
        <v>0774524680</v>
      </c>
      <c r="K2151" s="2" t="str">
        <f ca="1">IFERROR(__xludf.DUMMYFUNCTION("""COMPUTED_VALUE"""),"1732649814693")</f>
        <v>1732649814693</v>
      </c>
    </row>
    <row r="2152" spans="1:11" ht="12.45">
      <c r="A2152" s="2" t="str">
        <f ca="1">IFERROR(__xludf.DUMMYFUNCTION("""COMPUTED_VALUE"""),"1732649857402")</f>
        <v>1732649857402</v>
      </c>
      <c r="B2152" s="2"/>
      <c r="C2152" s="2" t="str">
        <v>0</v>
      </c>
      <c r="D2152" s="2"/>
      <c r="F2152" s="2" t="str">
        <v>0</v>
      </c>
      <c r="I2152" s="2" t="str">
        <f ca="1">IFERROR(__xludf.DUMMYFUNCTION("""COMPUTED_VALUE"""),"Mai Lê Ngọc Tú")</f>
        <v>Mai Lê Ngọc Tú</v>
      </c>
      <c r="J2152" s="3" t="str">
        <f ca="1">IFERROR(__xludf.DUMMYFUNCTION("""COMPUTED_VALUE"""),"0988267469")</f>
        <v>0988267469</v>
      </c>
      <c r="K2152" s="2" t="str">
        <f ca="1">IFERROR(__xludf.DUMMYFUNCTION("""COMPUTED_VALUE"""),"1732649857402")</f>
        <v>1732649857402</v>
      </c>
    </row>
    <row r="2153" spans="1:11" ht="12.45">
      <c r="A2153" s="2" t="str">
        <f ca="1">IFERROR(__xludf.DUMMYFUNCTION("""COMPUTED_VALUE"""),"1732649894754")</f>
        <v>1732649894754</v>
      </c>
      <c r="B2153" s="2"/>
      <c r="C2153" s="2" t="str">
        <v>0</v>
      </c>
      <c r="D2153" s="2"/>
      <c r="F2153" s="2" t="str">
        <v>0</v>
      </c>
      <c r="I2153" s="2" t="str">
        <f ca="1">IFERROR(__xludf.DUMMYFUNCTION("""COMPUTED_VALUE"""),"Trần Thị Trúc Anh")</f>
        <v>Trần Thị Trúc Anh</v>
      </c>
      <c r="J2153" s="3" t="str">
        <f ca="1">IFERROR(__xludf.DUMMYFUNCTION("""COMPUTED_VALUE"""),"0354737531")</f>
        <v>0354737531</v>
      </c>
      <c r="K2153" s="2" t="str">
        <f ca="1">IFERROR(__xludf.DUMMYFUNCTION("""COMPUTED_VALUE"""),"1732649894754")</f>
        <v>1732649894754</v>
      </c>
    </row>
    <row r="2154" spans="1:11" ht="12.45">
      <c r="A2154" s="2" t="str">
        <f ca="1">IFERROR(__xludf.DUMMYFUNCTION("""COMPUTED_VALUE"""),"1732649947294")</f>
        <v>1732649947294</v>
      </c>
      <c r="B2154" s="2"/>
      <c r="C2154" s="2" t="str">
        <v>0</v>
      </c>
      <c r="D2154" s="2"/>
      <c r="F2154" s="2" t="str">
        <v>0</v>
      </c>
      <c r="I2154" s="2" t="str">
        <f ca="1">IFERROR(__xludf.DUMMYFUNCTION("""COMPUTED_VALUE"""),"Trương Hạ Khuê")</f>
        <v>Trương Hạ Khuê</v>
      </c>
      <c r="J2154" s="3" t="str">
        <f ca="1">IFERROR(__xludf.DUMMYFUNCTION("""COMPUTED_VALUE"""),"0981480085")</f>
        <v>0981480085</v>
      </c>
      <c r="K2154" s="2" t="str">
        <f ca="1">IFERROR(__xludf.DUMMYFUNCTION("""COMPUTED_VALUE"""),"1732649947294")</f>
        <v>1732649947294</v>
      </c>
    </row>
    <row r="2155" spans="1:11" ht="12.45">
      <c r="A2155" s="2">
        <f ca="1">IFERROR(__xludf.DUMMYFUNCTION("""COMPUTED_VALUE"""),1742790635336)</f>
        <v>1742790635336</v>
      </c>
      <c r="B2155" s="2"/>
      <c r="C2155" s="2" t="str">
        <v>0</v>
      </c>
      <c r="D2155" s="2"/>
      <c r="F2155" s="2" t="str">
        <v>0</v>
      </c>
      <c r="I2155" s="2" t="str">
        <f ca="1">IFERROR(__xludf.DUMMYFUNCTION("""COMPUTED_VALUE"""),"Vy Thị Kim Phấn")</f>
        <v>Vy Thị Kim Phấn</v>
      </c>
      <c r="J2155" s="3" t="str">
        <f ca="1">IFERROR(__xludf.DUMMYFUNCTION("""COMPUTED_VALUE"""),"0867871349")</f>
        <v>0867871349</v>
      </c>
      <c r="K2155" s="2">
        <f ca="1">IFERROR(__xludf.DUMMYFUNCTION("""COMPUTED_VALUE"""),1742790635336)</f>
        <v>1742790635336</v>
      </c>
    </row>
    <row r="2156" spans="1:11" ht="12.45">
      <c r="A2156" s="2" t="str">
        <f ca="1">IFERROR(__xludf.DUMMYFUNCTION("""COMPUTED_VALUE"""),"1732649996962")</f>
        <v>1732649996962</v>
      </c>
      <c r="B2156" s="2"/>
      <c r="C2156" s="2" t="str">
        <v>0</v>
      </c>
      <c r="D2156" s="2"/>
      <c r="F2156" s="2" t="str">
        <v>0</v>
      </c>
      <c r="I2156" s="2" t="str">
        <f ca="1">IFERROR(__xludf.DUMMYFUNCTION("""COMPUTED_VALUE"""),"Lê Thị Ánh Dương ")</f>
        <v xml:space="preserve">Lê Thị Ánh Dương </v>
      </c>
      <c r="J2156" s="3" t="str">
        <f ca="1">IFERROR(__xludf.DUMMYFUNCTION("""COMPUTED_VALUE"""),"0354302176")</f>
        <v>0354302176</v>
      </c>
      <c r="K2156" s="2" t="str">
        <f ca="1">IFERROR(__xludf.DUMMYFUNCTION("""COMPUTED_VALUE"""),"1732649996962")</f>
        <v>1732649996962</v>
      </c>
    </row>
    <row r="2157" spans="1:11" ht="12.45">
      <c r="A2157" s="2" t="str">
        <f ca="1">IFERROR(__xludf.DUMMYFUNCTION("""COMPUTED_VALUE"""),"1732650036876")</f>
        <v>1732650036876</v>
      </c>
      <c r="B2157" s="2"/>
      <c r="C2157" s="2" t="str">
        <v>0</v>
      </c>
      <c r="D2157" s="2"/>
      <c r="F2157" s="2" t="str">
        <v>0</v>
      </c>
      <c r="I2157" s="2" t="str">
        <f ca="1">IFERROR(__xludf.DUMMYFUNCTION("""COMPUTED_VALUE"""),"HUẤN NHƯ QUỲNH ")</f>
        <v xml:space="preserve">HUẤN NHƯ QUỲNH </v>
      </c>
      <c r="J2157" s="3" t="str">
        <f ca="1">IFERROR(__xludf.DUMMYFUNCTION("""COMPUTED_VALUE"""),"0353756045")</f>
        <v>0353756045</v>
      </c>
      <c r="K2157" s="2" t="str">
        <f ca="1">IFERROR(__xludf.DUMMYFUNCTION("""COMPUTED_VALUE"""),"1732650036876")</f>
        <v>1732650036876</v>
      </c>
    </row>
    <row r="2158" spans="1:11" ht="12.45">
      <c r="A2158" s="2" t="str">
        <f ca="1">IFERROR(__xludf.DUMMYFUNCTION("""COMPUTED_VALUE"""),"1732650100273")</f>
        <v>1732650100273</v>
      </c>
      <c r="B2158" s="2"/>
      <c r="C2158" s="2" t="str">
        <v>0</v>
      </c>
      <c r="D2158" s="2"/>
      <c r="F2158" s="2" t="str">
        <v>0</v>
      </c>
      <c r="I2158" s="2" t="str">
        <f ca="1">IFERROR(__xludf.DUMMYFUNCTION("""COMPUTED_VALUE"""),"Nguyễn Trần Quỳnh Như")</f>
        <v>Nguyễn Trần Quỳnh Như</v>
      </c>
      <c r="J2158" s="3" t="str">
        <f ca="1">IFERROR(__xludf.DUMMYFUNCTION("""COMPUTED_VALUE"""),"0335752604")</f>
        <v>0335752604</v>
      </c>
      <c r="K2158" s="2" t="str">
        <f ca="1">IFERROR(__xludf.DUMMYFUNCTION("""COMPUTED_VALUE"""),"1732650100273")</f>
        <v>1732650100273</v>
      </c>
    </row>
    <row r="2159" spans="1:11" ht="12.45">
      <c r="A2159" s="2" t="str">
        <f ca="1">IFERROR(__xludf.DUMMYFUNCTION("""COMPUTED_VALUE"""),"1732650135307")</f>
        <v>1732650135307</v>
      </c>
      <c r="B2159" s="2"/>
      <c r="C2159" s="2" t="str">
        <v>0</v>
      </c>
      <c r="D2159" s="2"/>
      <c r="F2159" s="2" t="str">
        <v>0</v>
      </c>
      <c r="I2159" s="2" t="str">
        <f ca="1">IFERROR(__xludf.DUMMYFUNCTION("""COMPUTED_VALUE"""),"NGUYỄN THỊ THU HUYỀN")</f>
        <v>NGUYỄN THỊ THU HUYỀN</v>
      </c>
      <c r="J2159" s="3" t="str">
        <f ca="1">IFERROR(__xludf.DUMMYFUNCTION("""COMPUTED_VALUE"""),"0971872317")</f>
        <v>0971872317</v>
      </c>
      <c r="K2159" s="2" t="str">
        <f ca="1">IFERROR(__xludf.DUMMYFUNCTION("""COMPUTED_VALUE"""),"1732650135307")</f>
        <v>1732650135307</v>
      </c>
    </row>
    <row r="2160" spans="1:11" ht="12.45">
      <c r="A2160" s="2" t="str">
        <f ca="1">IFERROR(__xludf.DUMMYFUNCTION("""COMPUTED_VALUE"""),"1732650173361")</f>
        <v>1732650173361</v>
      </c>
      <c r="B2160" s="2"/>
      <c r="C2160" s="2" t="str">
        <v>0</v>
      </c>
      <c r="D2160" s="2"/>
      <c r="F2160" s="2" t="str">
        <v>0</v>
      </c>
      <c r="I2160" s="2" t="str">
        <f ca="1">IFERROR(__xludf.DUMMYFUNCTION("""COMPUTED_VALUE"""),"Bùi Thu Vân")</f>
        <v>Bùi Thu Vân</v>
      </c>
      <c r="J2160" s="3" t="str">
        <f ca="1">IFERROR(__xludf.DUMMYFUNCTION("""COMPUTED_VALUE"""),"0904667626")</f>
        <v>0904667626</v>
      </c>
      <c r="K2160" s="2" t="str">
        <f ca="1">IFERROR(__xludf.DUMMYFUNCTION("""COMPUTED_VALUE"""),"1732650173361")</f>
        <v>1732650173361</v>
      </c>
    </row>
    <row r="2161" spans="1:11" ht="12.45">
      <c r="A2161" s="2">
        <f ca="1">IFERROR(__xludf.DUMMYFUNCTION("""COMPUTED_VALUE"""),1742790706104)</f>
        <v>1742790706104</v>
      </c>
      <c r="B2161" s="2"/>
      <c r="C2161" s="2" t="str">
        <v>0</v>
      </c>
      <c r="D2161" s="2"/>
      <c r="F2161" s="2" t="str">
        <v>0</v>
      </c>
      <c r="I2161" s="2" t="str">
        <f ca="1">IFERROR(__xludf.DUMMYFUNCTION("""COMPUTED_VALUE"""),"Đặng Thanh Thùy")</f>
        <v>Đặng Thanh Thùy</v>
      </c>
      <c r="J2161" s="3" t="str">
        <f ca="1">IFERROR(__xludf.DUMMYFUNCTION("""COMPUTED_VALUE"""),"0337384582")</f>
        <v>0337384582</v>
      </c>
      <c r="K2161" s="2">
        <f ca="1">IFERROR(__xludf.DUMMYFUNCTION("""COMPUTED_VALUE"""),1742790706104)</f>
        <v>1742790706104</v>
      </c>
    </row>
    <row r="2162" spans="1:11" ht="12.45">
      <c r="A2162" s="2" t="str">
        <f ca="1">IFERROR(__xludf.DUMMYFUNCTION("""COMPUTED_VALUE"""),"1732650218110")</f>
        <v>1732650218110</v>
      </c>
      <c r="B2162" s="2"/>
      <c r="C2162" s="2" t="str">
        <v>0</v>
      </c>
      <c r="D2162" s="2"/>
      <c r="F2162" s="2" t="str">
        <v>0</v>
      </c>
      <c r="I2162" s="2" t="str">
        <f ca="1">IFERROR(__xludf.DUMMYFUNCTION("""COMPUTED_VALUE"""),"Doãn Thuỳ Dương")</f>
        <v>Doãn Thuỳ Dương</v>
      </c>
      <c r="J2162" s="3" t="str">
        <f ca="1">IFERROR(__xludf.DUMMYFUNCTION("""COMPUTED_VALUE"""),"0373000287")</f>
        <v>0373000287</v>
      </c>
      <c r="K2162" s="2" t="str">
        <f ca="1">IFERROR(__xludf.DUMMYFUNCTION("""COMPUTED_VALUE"""),"1732650218110")</f>
        <v>1732650218110</v>
      </c>
    </row>
    <row r="2163" spans="1:11" ht="12.45">
      <c r="A2163" s="2" t="str">
        <f ca="1">IFERROR(__xludf.DUMMYFUNCTION("""COMPUTED_VALUE"""),"1732650256588")</f>
        <v>1732650256588</v>
      </c>
      <c r="B2163" s="2"/>
      <c r="C2163" s="2" t="str">
        <v>0</v>
      </c>
      <c r="D2163" s="2"/>
      <c r="F2163" s="2" t="str">
        <v>0</v>
      </c>
      <c r="I2163" s="2" t="str">
        <f ca="1">IFERROR(__xludf.DUMMYFUNCTION("""COMPUTED_VALUE"""),"Nguyễn Ngọc Tú")</f>
        <v>Nguyễn Ngọc Tú</v>
      </c>
      <c r="J2163" s="3" t="str">
        <f ca="1">IFERROR(__xludf.DUMMYFUNCTION("""COMPUTED_VALUE"""),"0862883087")</f>
        <v>0862883087</v>
      </c>
      <c r="K2163" s="2" t="str">
        <f ca="1">IFERROR(__xludf.DUMMYFUNCTION("""COMPUTED_VALUE"""),"1732650256588")</f>
        <v>1732650256588</v>
      </c>
    </row>
    <row r="2164" spans="1:11" ht="12.45">
      <c r="A2164" s="2" t="str">
        <f ca="1">IFERROR(__xludf.DUMMYFUNCTION("""COMPUTED_VALUE"""),"1732815554165")</f>
        <v>1732815554165</v>
      </c>
      <c r="B2164" s="2"/>
      <c r="C2164" s="2" t="str">
        <v>0</v>
      </c>
      <c r="D2164" s="2"/>
      <c r="F2164" s="2" t="str">
        <v>0</v>
      </c>
      <c r="I2164" s="2" t="str">
        <f ca="1">IFERROR(__xludf.DUMMYFUNCTION("""COMPUTED_VALUE"""),"Lê Ngọc Bảo Trân")</f>
        <v>Lê Ngọc Bảo Trân</v>
      </c>
      <c r="J2164" s="3" t="str">
        <f ca="1">IFERROR(__xludf.DUMMYFUNCTION("""COMPUTED_VALUE"""),"0815466406")</f>
        <v>0815466406</v>
      </c>
      <c r="K2164" s="2" t="str">
        <f ca="1">IFERROR(__xludf.DUMMYFUNCTION("""COMPUTED_VALUE"""),"1732815554165")</f>
        <v>1732815554165</v>
      </c>
    </row>
    <row r="2165" spans="1:11" ht="12.45">
      <c r="A2165" s="2" t="str">
        <f ca="1">IFERROR(__xludf.DUMMYFUNCTION("""COMPUTED_VALUE"""),"1732815634445")</f>
        <v>1732815634445</v>
      </c>
      <c r="B2165" s="2"/>
      <c r="C2165" s="2" t="str">
        <v>0</v>
      </c>
      <c r="D2165" s="2"/>
      <c r="F2165" s="2" t="str">
        <v>0</v>
      </c>
      <c r="I2165" s="2" t="str">
        <f ca="1">IFERROR(__xludf.DUMMYFUNCTION("""COMPUTED_VALUE"""),"Đinh Hà Phương")</f>
        <v>Đinh Hà Phương</v>
      </c>
      <c r="J2165" s="3" t="str">
        <f ca="1">IFERROR(__xludf.DUMMYFUNCTION("""COMPUTED_VALUE"""),"0383963006")</f>
        <v>0383963006</v>
      </c>
      <c r="K2165" s="2" t="str">
        <f ca="1">IFERROR(__xludf.DUMMYFUNCTION("""COMPUTED_VALUE"""),"1732815634445")</f>
        <v>1732815634445</v>
      </c>
    </row>
    <row r="2166" spans="1:11" ht="12.45">
      <c r="A2166" s="2" t="str">
        <f ca="1">IFERROR(__xludf.DUMMYFUNCTION("""COMPUTED_VALUE"""),"1732815682429")</f>
        <v>1732815682429</v>
      </c>
      <c r="B2166" s="2"/>
      <c r="C2166" s="2" t="str">
        <v>0</v>
      </c>
      <c r="D2166" s="2"/>
      <c r="F2166" s="2" t="str">
        <v>0</v>
      </c>
      <c r="I2166" s="2" t="str">
        <f ca="1">IFERROR(__xludf.DUMMYFUNCTION("""COMPUTED_VALUE"""),"Lại Nguyễn Trà My")</f>
        <v>Lại Nguyễn Trà My</v>
      </c>
      <c r="J2166" s="3" t="str">
        <f ca="1">IFERROR(__xludf.DUMMYFUNCTION("""COMPUTED_VALUE"""),"0815216607")</f>
        <v>0815216607</v>
      </c>
      <c r="K2166" s="2" t="str">
        <f ca="1">IFERROR(__xludf.DUMMYFUNCTION("""COMPUTED_VALUE"""),"1732815682429")</f>
        <v>1732815682429</v>
      </c>
    </row>
    <row r="2167" spans="1:11" ht="12.45">
      <c r="A2167" s="2" t="str">
        <f ca="1">IFERROR(__xludf.DUMMYFUNCTION("""COMPUTED_VALUE"""),"1732815731822")</f>
        <v>1732815731822</v>
      </c>
      <c r="B2167" s="2"/>
      <c r="C2167" s="2" t="str">
        <v>0</v>
      </c>
      <c r="D2167" s="2"/>
      <c r="F2167" s="2" t="str">
        <v>0</v>
      </c>
      <c r="I2167" s="2" t="str">
        <f ca="1">IFERROR(__xludf.DUMMYFUNCTION("""COMPUTED_VALUE"""),"Bùi Thị Kim Ngân")</f>
        <v>Bùi Thị Kim Ngân</v>
      </c>
      <c r="J2167" s="3" t="str">
        <f ca="1">IFERROR(__xludf.DUMMYFUNCTION("""COMPUTED_VALUE"""),"0866138386")</f>
        <v>0866138386</v>
      </c>
      <c r="K2167" s="2" t="str">
        <f ca="1">IFERROR(__xludf.DUMMYFUNCTION("""COMPUTED_VALUE"""),"1732815731822")</f>
        <v>1732815731822</v>
      </c>
    </row>
    <row r="2168" spans="1:11" ht="12.45">
      <c r="A2168" s="2" t="str">
        <f ca="1">IFERROR(__xludf.DUMMYFUNCTION("""COMPUTED_VALUE"""),"1732815775239")</f>
        <v>1732815775239</v>
      </c>
      <c r="B2168" s="2"/>
      <c r="C2168" s="2" t="str">
        <v>0</v>
      </c>
      <c r="D2168" s="2"/>
      <c r="F2168" s="2" t="str">
        <v>0</v>
      </c>
      <c r="I2168" s="2" t="str">
        <f ca="1">IFERROR(__xludf.DUMMYFUNCTION("""COMPUTED_VALUE"""),"Nguyễn Đài Trang")</f>
        <v>Nguyễn Đài Trang</v>
      </c>
      <c r="J2168" s="3" t="str">
        <f ca="1">IFERROR(__xludf.DUMMYFUNCTION("""COMPUTED_VALUE"""),"0962804911")</f>
        <v>0962804911</v>
      </c>
      <c r="K2168" s="2" t="str">
        <f ca="1">IFERROR(__xludf.DUMMYFUNCTION("""COMPUTED_VALUE"""),"1732815775239")</f>
        <v>1732815775239</v>
      </c>
    </row>
    <row r="2169" spans="1:11" ht="12.45">
      <c r="A2169" s="2" t="str">
        <f ca="1">IFERROR(__xludf.DUMMYFUNCTION("""COMPUTED_VALUE"""),"1732815814371")</f>
        <v>1732815814371</v>
      </c>
      <c r="B2169" s="2"/>
      <c r="C2169" s="2" t="str">
        <v>0</v>
      </c>
      <c r="D2169" s="2"/>
      <c r="F2169" s="2" t="str">
        <v>0</v>
      </c>
      <c r="I2169" s="2" t="str">
        <f ca="1">IFERROR(__xludf.DUMMYFUNCTION("""COMPUTED_VALUE"""),"Lý Quỳnh Nga")</f>
        <v>Lý Quỳnh Nga</v>
      </c>
      <c r="J2169" s="3" t="str">
        <f ca="1">IFERROR(__xludf.DUMMYFUNCTION("""COMPUTED_VALUE"""),"0348083079")</f>
        <v>0348083079</v>
      </c>
      <c r="K2169" s="2" t="str">
        <f ca="1">IFERROR(__xludf.DUMMYFUNCTION("""COMPUTED_VALUE"""),"1732815814371")</f>
        <v>1732815814371</v>
      </c>
    </row>
    <row r="2170" spans="1:11" ht="12.45">
      <c r="A2170" s="2" t="str">
        <f ca="1">IFERROR(__xludf.DUMMYFUNCTION("""COMPUTED_VALUE"""),"1732815843782")</f>
        <v>1732815843782</v>
      </c>
      <c r="B2170" s="2"/>
      <c r="C2170" s="2" t="str">
        <v>0</v>
      </c>
      <c r="D2170" s="2"/>
      <c r="F2170" s="2" t="str">
        <v>0</v>
      </c>
      <c r="I2170" s="2" t="str">
        <f ca="1">IFERROR(__xludf.DUMMYFUNCTION("""COMPUTED_VALUE"""),"Phạm Nam Long")</f>
        <v>Phạm Nam Long</v>
      </c>
      <c r="J2170" s="3" t="str">
        <f ca="1">IFERROR(__xludf.DUMMYFUNCTION("""COMPUTED_VALUE"""),"0562029889")</f>
        <v>0562029889</v>
      </c>
      <c r="K2170" s="2" t="str">
        <f ca="1">IFERROR(__xludf.DUMMYFUNCTION("""COMPUTED_VALUE"""),"1732815843782")</f>
        <v>1732815843782</v>
      </c>
    </row>
    <row r="2171" spans="1:11" ht="12.45">
      <c r="A2171" s="2" t="str">
        <f ca="1">IFERROR(__xludf.DUMMYFUNCTION("""COMPUTED_VALUE"""),"1732815878954")</f>
        <v>1732815878954</v>
      </c>
      <c r="B2171" s="2"/>
      <c r="C2171" s="2" t="str">
        <v>0</v>
      </c>
      <c r="D2171" s="2"/>
      <c r="F2171" s="2" t="str">
        <v>0</v>
      </c>
      <c r="I2171" s="2" t="str">
        <f ca="1">IFERROR(__xludf.DUMMYFUNCTION("""COMPUTED_VALUE"""),"Đặng Thanh Hương")</f>
        <v>Đặng Thanh Hương</v>
      </c>
      <c r="J2171" s="3" t="str">
        <f ca="1">IFERROR(__xludf.DUMMYFUNCTION("""COMPUTED_VALUE"""),"0978303460")</f>
        <v>0978303460</v>
      </c>
      <c r="K2171" s="2" t="str">
        <f ca="1">IFERROR(__xludf.DUMMYFUNCTION("""COMPUTED_VALUE"""),"1732815878954")</f>
        <v>1732815878954</v>
      </c>
    </row>
    <row r="2172" spans="1:11" ht="12.45">
      <c r="A2172" s="2" t="str">
        <f ca="1">IFERROR(__xludf.DUMMYFUNCTION("""COMPUTED_VALUE"""),"1735801797834")</f>
        <v>1735801797834</v>
      </c>
      <c r="B2172" s="2"/>
      <c r="C2172" s="2" t="str">
        <v>0</v>
      </c>
      <c r="D2172" s="2"/>
      <c r="F2172" s="2" t="str">
        <v>0</v>
      </c>
      <c r="I2172" s="2" t="str">
        <f ca="1">IFERROR(__xludf.DUMMYFUNCTION("""COMPUTED_VALUE"""),"Đồng Hiền Trang Anh")</f>
        <v>Đồng Hiền Trang Anh</v>
      </c>
      <c r="J2172" s="3" t="str">
        <f ca="1">IFERROR(__xludf.DUMMYFUNCTION("""COMPUTED_VALUE"""),"0914350608")</f>
        <v>0914350608</v>
      </c>
      <c r="K2172" s="2" t="str">
        <f ca="1">IFERROR(__xludf.DUMMYFUNCTION("""COMPUTED_VALUE"""),"1735801797834")</f>
        <v>1735801797834</v>
      </c>
    </row>
    <row r="2173" spans="1:11" ht="12.45">
      <c r="A2173" s="2" t="str">
        <f ca="1">IFERROR(__xludf.DUMMYFUNCTION("""COMPUTED_VALUE"""),"1732815917786")</f>
        <v>1732815917786</v>
      </c>
      <c r="B2173" s="2"/>
      <c r="C2173" s="2" t="str">
        <v>0</v>
      </c>
      <c r="D2173" s="2"/>
      <c r="F2173" s="2" t="str">
        <v>0</v>
      </c>
      <c r="I2173" s="2" t="str">
        <f ca="1">IFERROR(__xludf.DUMMYFUNCTION("""COMPUTED_VALUE"""),"Trần Ngọc Nhi")</f>
        <v>Trần Ngọc Nhi</v>
      </c>
      <c r="J2173" s="3" t="str">
        <f ca="1">IFERROR(__xludf.DUMMYFUNCTION("""COMPUTED_VALUE"""),"0898363457")</f>
        <v>0898363457</v>
      </c>
      <c r="K2173" s="2" t="str">
        <f ca="1">IFERROR(__xludf.DUMMYFUNCTION("""COMPUTED_VALUE"""),"1732815917786")</f>
        <v>1732815917786</v>
      </c>
    </row>
    <row r="2174" spans="1:11" ht="12.45">
      <c r="A2174" s="2" t="str">
        <f ca="1">IFERROR(__xludf.DUMMYFUNCTION("""COMPUTED_VALUE"""),"1732815955069")</f>
        <v>1732815955069</v>
      </c>
      <c r="B2174" s="2"/>
      <c r="C2174" s="2" t="str">
        <v>0</v>
      </c>
      <c r="D2174" s="2"/>
      <c r="F2174" s="2" t="str">
        <v>0</v>
      </c>
      <c r="I2174" s="2" t="str">
        <f ca="1">IFERROR(__xludf.DUMMYFUNCTION("""COMPUTED_VALUE"""),"Phan Hiền Bảo Thư")</f>
        <v>Phan Hiền Bảo Thư</v>
      </c>
      <c r="J2174" s="3" t="str">
        <f ca="1">IFERROR(__xludf.DUMMYFUNCTION("""COMPUTED_VALUE"""),"0933918024")</f>
        <v>0933918024</v>
      </c>
      <c r="K2174" s="2" t="str">
        <f ca="1">IFERROR(__xludf.DUMMYFUNCTION("""COMPUTED_VALUE"""),"1732815955069")</f>
        <v>1732815955069</v>
      </c>
    </row>
    <row r="2175" spans="1:11" ht="12.45">
      <c r="A2175" s="2" t="str">
        <f ca="1">IFERROR(__xludf.DUMMYFUNCTION("""COMPUTED_VALUE"""),"1732816031421")</f>
        <v>1732816031421</v>
      </c>
      <c r="B2175" s="2"/>
      <c r="C2175" s="2" t="str">
        <v>0</v>
      </c>
      <c r="D2175" s="2"/>
      <c r="F2175" s="2" t="str">
        <v>0</v>
      </c>
      <c r="I2175" s="2" t="str">
        <f ca="1">IFERROR(__xludf.DUMMYFUNCTION("""COMPUTED_VALUE"""),"Nguyễn Hoàng Thảo Nhi")</f>
        <v>Nguyễn Hoàng Thảo Nhi</v>
      </c>
      <c r="J2175" s="3" t="str">
        <f ca="1">IFERROR(__xludf.DUMMYFUNCTION("""COMPUTED_VALUE"""),"0362760487")</f>
        <v>0362760487</v>
      </c>
      <c r="K2175" s="2" t="str">
        <f ca="1">IFERROR(__xludf.DUMMYFUNCTION("""COMPUTED_VALUE"""),"1732816031421")</f>
        <v>1732816031421</v>
      </c>
    </row>
    <row r="2176" spans="1:11" ht="12.45">
      <c r="A2176" s="2" t="str">
        <f ca="1">IFERROR(__xludf.DUMMYFUNCTION("""COMPUTED_VALUE"""),"1732816071536")</f>
        <v>1732816071536</v>
      </c>
      <c r="B2176" s="2"/>
      <c r="C2176" s="2" t="str">
        <v>0</v>
      </c>
      <c r="D2176" s="2"/>
      <c r="F2176" s="2" t="str">
        <v>0</v>
      </c>
      <c r="I2176" s="2" t="str">
        <f ca="1">IFERROR(__xludf.DUMMYFUNCTION("""COMPUTED_VALUE"""),"Hồ Thị Mỹ Duyên ")</f>
        <v xml:space="preserve">Hồ Thị Mỹ Duyên </v>
      </c>
      <c r="J2176" s="3" t="str">
        <f ca="1">IFERROR(__xludf.DUMMYFUNCTION("""COMPUTED_VALUE"""),"0372521096")</f>
        <v>0372521096</v>
      </c>
      <c r="K2176" s="2" t="str">
        <f ca="1">IFERROR(__xludf.DUMMYFUNCTION("""COMPUTED_VALUE"""),"1732816071536")</f>
        <v>1732816071536</v>
      </c>
    </row>
    <row r="2177" spans="1:11" ht="12.45">
      <c r="A2177" s="2" t="str">
        <f ca="1">IFERROR(__xludf.DUMMYFUNCTION("""COMPUTED_VALUE"""),"1732816111404")</f>
        <v>1732816111404</v>
      </c>
      <c r="B2177" s="2"/>
      <c r="C2177" s="2" t="str">
        <v>0</v>
      </c>
      <c r="D2177" s="2"/>
      <c r="F2177" s="2" t="str">
        <v>0</v>
      </c>
      <c r="I2177" s="2" t="str">
        <f ca="1">IFERROR(__xludf.DUMMYFUNCTION("""COMPUTED_VALUE"""),"Võ Thị Thuý Hằng")</f>
        <v>Võ Thị Thuý Hằng</v>
      </c>
      <c r="J2177" s="3" t="str">
        <f ca="1">IFERROR(__xludf.DUMMYFUNCTION("""COMPUTED_VALUE"""),"0388493659")</f>
        <v>0388493659</v>
      </c>
      <c r="K2177" s="2" t="str">
        <f ca="1">IFERROR(__xludf.DUMMYFUNCTION("""COMPUTED_VALUE"""),"1732816111404")</f>
        <v>1732816111404</v>
      </c>
    </row>
    <row r="2178" spans="1:11" ht="12.45">
      <c r="A2178" s="2" t="str">
        <f ca="1">IFERROR(__xludf.DUMMYFUNCTION("""COMPUTED_VALUE"""),"1732816175322")</f>
        <v>1732816175322</v>
      </c>
      <c r="B2178" s="2"/>
      <c r="C2178" s="2" t="str">
        <v>0</v>
      </c>
      <c r="D2178" s="2"/>
      <c r="F2178" s="2" t="str">
        <v>0</v>
      </c>
      <c r="I2178" s="2" t="str">
        <f ca="1">IFERROR(__xludf.DUMMYFUNCTION("""COMPUTED_VALUE"""),"Nguyễn Mai Kim Anh ")</f>
        <v xml:space="preserve">Nguyễn Mai Kim Anh </v>
      </c>
      <c r="J2178" s="3" t="str">
        <f ca="1">IFERROR(__xludf.DUMMYFUNCTION("""COMPUTED_VALUE"""),"0987603029")</f>
        <v>0987603029</v>
      </c>
      <c r="K2178" s="2" t="str">
        <f ca="1">IFERROR(__xludf.DUMMYFUNCTION("""COMPUTED_VALUE"""),"1732816175322")</f>
        <v>1732816175322</v>
      </c>
    </row>
    <row r="2179" spans="1:11" ht="12.45">
      <c r="A2179" s="2" t="str">
        <f ca="1">IFERROR(__xludf.DUMMYFUNCTION("""COMPUTED_VALUE"""),"1732816247623")</f>
        <v>1732816247623</v>
      </c>
      <c r="B2179" s="2"/>
      <c r="C2179" s="2" t="str">
        <v>0</v>
      </c>
      <c r="D2179" s="2"/>
      <c r="F2179" s="2" t="str">
        <v>0</v>
      </c>
      <c r="I2179" s="2" t="str">
        <f ca="1">IFERROR(__xludf.DUMMYFUNCTION("""COMPUTED_VALUE"""),"Bùi Quang Minh")</f>
        <v>Bùi Quang Minh</v>
      </c>
      <c r="J2179" s="3" t="str">
        <f ca="1">IFERROR(__xludf.DUMMYFUNCTION("""COMPUTED_VALUE"""),"0822828512")</f>
        <v>0822828512</v>
      </c>
      <c r="K2179" s="2" t="str">
        <f ca="1">IFERROR(__xludf.DUMMYFUNCTION("""COMPUTED_VALUE"""),"1732816247623")</f>
        <v>1732816247623</v>
      </c>
    </row>
    <row r="2180" spans="1:11" ht="12.45">
      <c r="A2180" s="2" t="str">
        <f ca="1">IFERROR(__xludf.DUMMYFUNCTION("""COMPUTED_VALUE"""),"1732816298506")</f>
        <v>1732816298506</v>
      </c>
      <c r="B2180" s="2"/>
      <c r="C2180" s="2" t="str">
        <v>0</v>
      </c>
      <c r="D2180" s="2"/>
      <c r="F2180" s="2" t="str">
        <v>0</v>
      </c>
      <c r="I2180" s="2" t="str">
        <f ca="1">IFERROR(__xludf.DUMMYFUNCTION("""COMPUTED_VALUE"""),"Hoàng Minh Thư ")</f>
        <v xml:space="preserve">Hoàng Minh Thư </v>
      </c>
      <c r="J2180" s="3" t="str">
        <f ca="1">IFERROR(__xludf.DUMMYFUNCTION("""COMPUTED_VALUE"""),"0368112337")</f>
        <v>0368112337</v>
      </c>
      <c r="K2180" s="2" t="str">
        <f ca="1">IFERROR(__xludf.DUMMYFUNCTION("""COMPUTED_VALUE"""),"1732816298506")</f>
        <v>1732816298506</v>
      </c>
    </row>
    <row r="2181" spans="1:11" ht="12.45">
      <c r="A2181" s="2" t="str">
        <f ca="1">IFERROR(__xludf.DUMMYFUNCTION("""COMPUTED_VALUE"""),"1732816342421")</f>
        <v>1732816342421</v>
      </c>
      <c r="B2181" s="2"/>
      <c r="C2181" s="2" t="str">
        <v>0</v>
      </c>
      <c r="D2181" s="2"/>
      <c r="F2181" s="2" t="str">
        <v>0</v>
      </c>
      <c r="I2181" s="2" t="str">
        <f ca="1">IFERROR(__xludf.DUMMYFUNCTION("""COMPUTED_VALUE"""),"Nguyễn Ánh Dương")</f>
        <v>Nguyễn Ánh Dương</v>
      </c>
      <c r="J2181" s="3" t="str">
        <f ca="1">IFERROR(__xludf.DUMMYFUNCTION("""COMPUTED_VALUE"""),"0585858898")</f>
        <v>0585858898</v>
      </c>
      <c r="K2181" s="2" t="str">
        <f ca="1">IFERROR(__xludf.DUMMYFUNCTION("""COMPUTED_VALUE"""),"1732816342421")</f>
        <v>1732816342421</v>
      </c>
    </row>
    <row r="2182" spans="1:11" ht="12.45">
      <c r="A2182" s="2" t="str">
        <f ca="1">IFERROR(__xludf.DUMMYFUNCTION("""COMPUTED_VALUE"""),"1732816379086")</f>
        <v>1732816379086</v>
      </c>
      <c r="B2182" s="2"/>
      <c r="C2182" s="2" t="str">
        <v>0</v>
      </c>
      <c r="D2182" s="2"/>
      <c r="F2182" s="2" t="str">
        <v>0</v>
      </c>
      <c r="I2182" s="2" t="str">
        <f ca="1">IFERROR(__xludf.DUMMYFUNCTION("""COMPUTED_VALUE"""),"Đặng Phương Uyên")</f>
        <v>Đặng Phương Uyên</v>
      </c>
      <c r="J2182" s="3" t="str">
        <f ca="1">IFERROR(__xludf.DUMMYFUNCTION("""COMPUTED_VALUE"""),"0373192386")</f>
        <v>0373192386</v>
      </c>
      <c r="K2182" s="2" t="str">
        <f ca="1">IFERROR(__xludf.DUMMYFUNCTION("""COMPUTED_VALUE"""),"1732816379086")</f>
        <v>1732816379086</v>
      </c>
    </row>
    <row r="2183" spans="1:11" ht="12.45">
      <c r="A2183" s="2" t="str">
        <f ca="1">IFERROR(__xludf.DUMMYFUNCTION("""COMPUTED_VALUE"""),"1732816425657")</f>
        <v>1732816425657</v>
      </c>
      <c r="B2183" s="2"/>
      <c r="C2183" s="2" t="str">
        <v>0</v>
      </c>
      <c r="D2183" s="2"/>
      <c r="F2183" s="2" t="str">
        <v>0</v>
      </c>
      <c r="I2183" s="2" t="str">
        <f ca="1">IFERROR(__xludf.DUMMYFUNCTION("""COMPUTED_VALUE"""),"Đinh Yến Ngọc")</f>
        <v>Đinh Yến Ngọc</v>
      </c>
      <c r="J2183" s="3" t="str">
        <f ca="1">IFERROR(__xludf.DUMMYFUNCTION("""COMPUTED_VALUE"""),"0395617073")</f>
        <v>0395617073</v>
      </c>
      <c r="K2183" s="2" t="str">
        <f ca="1">IFERROR(__xludf.DUMMYFUNCTION("""COMPUTED_VALUE"""),"1732816425657")</f>
        <v>1732816425657</v>
      </c>
    </row>
    <row r="2184" spans="1:11" ht="12.45">
      <c r="A2184" s="2" t="str">
        <f ca="1">IFERROR(__xludf.DUMMYFUNCTION("""COMPUTED_VALUE"""),"1735809740814")</f>
        <v>1735809740814</v>
      </c>
      <c r="B2184" s="2"/>
      <c r="C2184" s="2" t="str">
        <v>0</v>
      </c>
      <c r="D2184" s="2"/>
      <c r="F2184" s="2" t="str">
        <v>0</v>
      </c>
      <c r="I2184" s="2" t="str">
        <f ca="1">IFERROR(__xludf.DUMMYFUNCTION("""COMPUTED_VALUE"""),"Nguyễn Thị Thảo Vân ")</f>
        <v xml:space="preserve">Nguyễn Thị Thảo Vân </v>
      </c>
      <c r="J2184" s="3" t="str">
        <f ca="1">IFERROR(__xludf.DUMMYFUNCTION("""COMPUTED_VALUE"""),"0348136726")</f>
        <v>0348136726</v>
      </c>
      <c r="K2184" s="2" t="str">
        <f ca="1">IFERROR(__xludf.DUMMYFUNCTION("""COMPUTED_VALUE"""),"1735809740814")</f>
        <v>1735809740814</v>
      </c>
    </row>
    <row r="2185" spans="1:11" ht="12.45">
      <c r="A2185" s="2" t="str">
        <f ca="1">IFERROR(__xludf.DUMMYFUNCTION("""COMPUTED_VALUE"""),"Không giao sách")</f>
        <v>Không giao sách</v>
      </c>
      <c r="B2185" s="2"/>
      <c r="C2185" s="2" t="str">
        <v>0</v>
      </c>
      <c r="D2185" s="2"/>
      <c r="F2185" s="2" t="str">
        <v>0</v>
      </c>
      <c r="I2185" s="2" t="str">
        <f ca="1">IFERROR(__xludf.DUMMYFUNCTION("""COMPUTED_VALUE"""),"Ngô Lý Thảo Nguyên")</f>
        <v>Ngô Lý Thảo Nguyên</v>
      </c>
      <c r="J2185" s="3" t="str">
        <f ca="1">IFERROR(__xludf.DUMMYFUNCTION("""COMPUTED_VALUE"""),"0934055157")</f>
        <v>0934055157</v>
      </c>
      <c r="K2185" s="2" t="str">
        <f ca="1">IFERROR(__xludf.DUMMYFUNCTION("""COMPUTED_VALUE"""),"Không giao sách")</f>
        <v>Không giao sách</v>
      </c>
    </row>
    <row r="2186" spans="1:11" ht="12.45">
      <c r="A2186" s="2" t="str">
        <f ca="1">IFERROR(__xludf.DUMMYFUNCTION("""COMPUTED_VALUE"""),"1732816470815")</f>
        <v>1732816470815</v>
      </c>
      <c r="B2186" s="2"/>
      <c r="C2186" s="2" t="str">
        <v>0</v>
      </c>
      <c r="D2186" s="2"/>
      <c r="F2186" s="2" t="str">
        <v>0</v>
      </c>
      <c r="I2186" s="2" t="str">
        <f ca="1">IFERROR(__xludf.DUMMYFUNCTION("""COMPUTED_VALUE"""),"Bùi Thanh Hằng ")</f>
        <v xml:space="preserve">Bùi Thanh Hằng </v>
      </c>
      <c r="J2186" s="3" t="str">
        <f ca="1">IFERROR(__xludf.DUMMYFUNCTION("""COMPUTED_VALUE"""),"0984935732")</f>
        <v>0984935732</v>
      </c>
      <c r="K2186" s="2" t="str">
        <f ca="1">IFERROR(__xludf.DUMMYFUNCTION("""COMPUTED_VALUE"""),"1732816470815")</f>
        <v>1732816470815</v>
      </c>
    </row>
    <row r="2187" spans="1:11" ht="12.45">
      <c r="A2187" s="2" t="str">
        <f ca="1">IFERROR(__xludf.DUMMYFUNCTION("""COMPUTED_VALUE"""),"1732816516092")</f>
        <v>1732816516092</v>
      </c>
      <c r="B2187" s="2"/>
      <c r="C2187" s="2" t="str">
        <v>0</v>
      </c>
      <c r="D2187" s="2"/>
      <c r="F2187" s="2" t="str">
        <v>0</v>
      </c>
      <c r="I2187" s="2" t="str">
        <f ca="1">IFERROR(__xludf.DUMMYFUNCTION("""COMPUTED_VALUE"""),"Nguyễn Thị Ngọc Hân")</f>
        <v>Nguyễn Thị Ngọc Hân</v>
      </c>
      <c r="J2187" s="3" t="str">
        <f ca="1">IFERROR(__xludf.DUMMYFUNCTION("""COMPUTED_VALUE"""),"0912153707")</f>
        <v>0912153707</v>
      </c>
      <c r="K2187" s="2" t="str">
        <f ca="1">IFERROR(__xludf.DUMMYFUNCTION("""COMPUTED_VALUE"""),"1732816516092")</f>
        <v>1732816516092</v>
      </c>
    </row>
    <row r="2188" spans="1:11" ht="12.45">
      <c r="A2188" s="2" t="str">
        <f ca="1">IFERROR(__xludf.DUMMYFUNCTION("""COMPUTED_VALUE"""),"1732816560871")</f>
        <v>1732816560871</v>
      </c>
      <c r="B2188" s="2"/>
      <c r="C2188" s="2" t="str">
        <v>0</v>
      </c>
      <c r="D2188" s="2"/>
      <c r="F2188" s="2" t="str">
        <v>0</v>
      </c>
      <c r="I2188" s="2" t="str">
        <f ca="1">IFERROR(__xludf.DUMMYFUNCTION("""COMPUTED_VALUE"""),"Lê Thị Thúy Thanh ")</f>
        <v xml:space="preserve">Lê Thị Thúy Thanh </v>
      </c>
      <c r="J2188" s="3" t="str">
        <f ca="1">IFERROR(__xludf.DUMMYFUNCTION("""COMPUTED_VALUE"""),"0981125020")</f>
        <v>0981125020</v>
      </c>
      <c r="K2188" s="2" t="str">
        <f ca="1">IFERROR(__xludf.DUMMYFUNCTION("""COMPUTED_VALUE"""),"1732816560871")</f>
        <v>1732816560871</v>
      </c>
    </row>
    <row r="2189" spans="1:11" ht="12.45">
      <c r="A2189" s="2" t="str">
        <f ca="1">IFERROR(__xludf.DUMMYFUNCTION("""COMPUTED_VALUE"""),"1732816626767")</f>
        <v>1732816626767</v>
      </c>
      <c r="B2189" s="2"/>
      <c r="C2189" s="2" t="str">
        <v>0</v>
      </c>
      <c r="D2189" s="2"/>
      <c r="F2189" s="2" t="str">
        <v>0</v>
      </c>
      <c r="I2189" s="2" t="str">
        <f ca="1">IFERROR(__xludf.DUMMYFUNCTION("""COMPUTED_VALUE"""),"LÊ THỊ NHƯ QUỲNH")</f>
        <v>LÊ THỊ NHƯ QUỲNH</v>
      </c>
      <c r="J2189" s="3" t="str">
        <f ca="1">IFERROR(__xludf.DUMMYFUNCTION("""COMPUTED_VALUE"""),"0384890170")</f>
        <v>0384890170</v>
      </c>
      <c r="K2189" s="2" t="str">
        <f ca="1">IFERROR(__xludf.DUMMYFUNCTION("""COMPUTED_VALUE"""),"1732816626767")</f>
        <v>1732816626767</v>
      </c>
    </row>
    <row r="2190" spans="1:11" ht="12.45">
      <c r="A2190" s="2" t="str">
        <f ca="1">IFERROR(__xludf.DUMMYFUNCTION("""COMPUTED_VALUE"""),"1732816684345")</f>
        <v>1732816684345</v>
      </c>
      <c r="B2190" s="2"/>
      <c r="C2190" s="2" t="str">
        <v>0</v>
      </c>
      <c r="D2190" s="2"/>
      <c r="F2190" s="2" t="str">
        <v>0</v>
      </c>
      <c r="I2190" s="2" t="str">
        <f ca="1">IFERROR(__xludf.DUMMYFUNCTION("""COMPUTED_VALUE"""),"Huyên Bùi")</f>
        <v>Huyên Bùi</v>
      </c>
      <c r="J2190" s="3" t="str">
        <f ca="1">IFERROR(__xludf.DUMMYFUNCTION("""COMPUTED_VALUE"""),"0335283869")</f>
        <v>0335283869</v>
      </c>
      <c r="K2190" s="2" t="str">
        <f ca="1">IFERROR(__xludf.DUMMYFUNCTION("""COMPUTED_VALUE"""),"1732816684345")</f>
        <v>1732816684345</v>
      </c>
    </row>
    <row r="2191" spans="1:11" ht="12.45">
      <c r="A2191" s="2" t="str">
        <f ca="1">IFERROR(__xludf.DUMMYFUNCTION("""COMPUTED_VALUE"""),"1732816738073")</f>
        <v>1732816738073</v>
      </c>
      <c r="B2191" s="2"/>
      <c r="C2191" s="2" t="str">
        <v>0</v>
      </c>
      <c r="D2191" s="2"/>
      <c r="F2191" s="2" t="str">
        <v>0</v>
      </c>
      <c r="I2191" s="2" t="str">
        <f ca="1">IFERROR(__xludf.DUMMYFUNCTION("""COMPUTED_VALUE"""),"Vũ Thị Ánh Tuyết ")</f>
        <v xml:space="preserve">Vũ Thị Ánh Tuyết </v>
      </c>
      <c r="J2191" s="3" t="str">
        <f ca="1">IFERROR(__xludf.DUMMYFUNCTION("""COMPUTED_VALUE"""),"0764653653")</f>
        <v>0764653653</v>
      </c>
      <c r="K2191" s="2" t="str">
        <f ca="1">IFERROR(__xludf.DUMMYFUNCTION("""COMPUTED_VALUE"""),"1732816738073")</f>
        <v>1732816738073</v>
      </c>
    </row>
    <row r="2192" spans="1:11" ht="12.45">
      <c r="A2192" s="2" t="str">
        <f ca="1">IFERROR(__xludf.DUMMYFUNCTION("""COMPUTED_VALUE"""),"1732816779740")</f>
        <v>1732816779740</v>
      </c>
      <c r="B2192" s="2"/>
      <c r="C2192" s="2" t="str">
        <v>0</v>
      </c>
      <c r="D2192" s="2"/>
      <c r="F2192" s="2" t="str">
        <v>0</v>
      </c>
      <c r="I2192" s="2" t="str">
        <f ca="1">IFERROR(__xludf.DUMMYFUNCTION("""COMPUTED_VALUE"""),"Nguyễn Thảo Nguyên")</f>
        <v>Nguyễn Thảo Nguyên</v>
      </c>
      <c r="J2192" s="3" t="str">
        <f ca="1">IFERROR(__xludf.DUMMYFUNCTION("""COMPUTED_VALUE"""),"0333653589")</f>
        <v>0333653589</v>
      </c>
      <c r="K2192" s="2" t="str">
        <f ca="1">IFERROR(__xludf.DUMMYFUNCTION("""COMPUTED_VALUE"""),"1732816779740")</f>
        <v>1732816779740</v>
      </c>
    </row>
    <row r="2193" spans="1:11" ht="12.45">
      <c r="A2193" s="2" t="str">
        <f ca="1">IFERROR(__xludf.DUMMYFUNCTION("""COMPUTED_VALUE"""),"1732816819169")</f>
        <v>1732816819169</v>
      </c>
      <c r="B2193" s="2"/>
      <c r="C2193" s="2" t="str">
        <v>0</v>
      </c>
      <c r="D2193" s="2"/>
      <c r="F2193" s="2" t="str">
        <v>0</v>
      </c>
      <c r="I2193" s="2" t="str">
        <f ca="1">IFERROR(__xludf.DUMMYFUNCTION("""COMPUTED_VALUE"""),"Lê Ngọc Hoa")</f>
        <v>Lê Ngọc Hoa</v>
      </c>
      <c r="J2193" s="3" t="str">
        <f ca="1">IFERROR(__xludf.DUMMYFUNCTION("""COMPUTED_VALUE"""),"0933597534")</f>
        <v>0933597534</v>
      </c>
      <c r="K2193" s="2" t="str">
        <f ca="1">IFERROR(__xludf.DUMMYFUNCTION("""COMPUTED_VALUE"""),"1732816819169")</f>
        <v>1732816819169</v>
      </c>
    </row>
    <row r="2194" spans="1:11" ht="12.45">
      <c r="A2194" s="2" t="str">
        <f ca="1">IFERROR(__xludf.DUMMYFUNCTION("""COMPUTED_VALUE"""),"1732816863783")</f>
        <v>1732816863783</v>
      </c>
      <c r="B2194" s="2"/>
      <c r="C2194" s="2" t="str">
        <v>0</v>
      </c>
      <c r="D2194" s="2"/>
      <c r="F2194" s="2" t="str">
        <v>0</v>
      </c>
      <c r="I2194" s="2" t="str">
        <f ca="1">IFERROR(__xludf.DUMMYFUNCTION("""COMPUTED_VALUE"""),"Nguyễn Huyền Trâm ")</f>
        <v xml:space="preserve">Nguyễn Huyền Trâm </v>
      </c>
      <c r="J2194" s="3" t="str">
        <f ca="1">IFERROR(__xludf.DUMMYFUNCTION("""COMPUTED_VALUE"""),"0762584069")</f>
        <v>0762584069</v>
      </c>
      <c r="K2194" s="2" t="str">
        <f ca="1">IFERROR(__xludf.DUMMYFUNCTION("""COMPUTED_VALUE"""),"1732816863783")</f>
        <v>1732816863783</v>
      </c>
    </row>
    <row r="2195" spans="1:11" ht="12.45">
      <c r="A2195" s="2" t="str">
        <f ca="1">IFERROR(__xludf.DUMMYFUNCTION("""COMPUTED_VALUE"""),"1732816905767")</f>
        <v>1732816905767</v>
      </c>
      <c r="B2195" s="2"/>
      <c r="C2195" s="2" t="str">
        <v>0</v>
      </c>
      <c r="D2195" s="2"/>
      <c r="F2195" s="2" t="str">
        <v>0</v>
      </c>
      <c r="I2195" s="2" t="str">
        <f ca="1">IFERROR(__xludf.DUMMYFUNCTION("""COMPUTED_VALUE"""),"Nguyễn Hoàng Kim")</f>
        <v>Nguyễn Hoàng Kim</v>
      </c>
      <c r="J2195" s="3" t="str">
        <f ca="1">IFERROR(__xludf.DUMMYFUNCTION("""COMPUTED_VALUE"""),"0908092485")</f>
        <v>0908092485</v>
      </c>
      <c r="K2195" s="2" t="str">
        <f ca="1">IFERROR(__xludf.DUMMYFUNCTION("""COMPUTED_VALUE"""),"1732816905767")</f>
        <v>1732816905767</v>
      </c>
    </row>
    <row r="2196" spans="1:11" ht="12.45">
      <c r="A2196" s="2" t="str">
        <f ca="1">IFERROR(__xludf.DUMMYFUNCTION("""COMPUTED_VALUE"""),"1732816951155")</f>
        <v>1732816951155</v>
      </c>
      <c r="B2196" s="2"/>
      <c r="C2196" s="2" t="str">
        <v>0</v>
      </c>
      <c r="D2196" s="2"/>
      <c r="F2196" s="2" t="str">
        <v>0</v>
      </c>
      <c r="I2196" s="2" t="str">
        <f ca="1">IFERROR(__xludf.DUMMYFUNCTION("""COMPUTED_VALUE"""),"Võ Nguyễn Khánh Linh")</f>
        <v>Võ Nguyễn Khánh Linh</v>
      </c>
      <c r="J2196" s="3" t="str">
        <f ca="1">IFERROR(__xludf.DUMMYFUNCTION("""COMPUTED_VALUE"""),"0396832796")</f>
        <v>0396832796</v>
      </c>
      <c r="K2196" s="2" t="str">
        <f ca="1">IFERROR(__xludf.DUMMYFUNCTION("""COMPUTED_VALUE"""),"1732816951155")</f>
        <v>1732816951155</v>
      </c>
    </row>
    <row r="2197" spans="1:11" ht="12.45">
      <c r="A2197" s="2" t="str">
        <f ca="1">IFERROR(__xludf.DUMMYFUNCTION("""COMPUTED_VALUE"""),"1732817017216")</f>
        <v>1732817017216</v>
      </c>
      <c r="B2197" s="2"/>
      <c r="C2197" s="2" t="str">
        <v>0</v>
      </c>
      <c r="D2197" s="2"/>
      <c r="F2197" s="2" t="str">
        <v>0</v>
      </c>
      <c r="I2197" s="2" t="str">
        <f ca="1">IFERROR(__xludf.DUMMYFUNCTION("""COMPUTED_VALUE"""),"Phạm Nguyễn Phúc Toàn ")</f>
        <v xml:space="preserve">Phạm Nguyễn Phúc Toàn </v>
      </c>
      <c r="J2197" s="3" t="str">
        <f ca="1">IFERROR(__xludf.DUMMYFUNCTION("""COMPUTED_VALUE"""),"0867771017")</f>
        <v>0867771017</v>
      </c>
      <c r="K2197" s="2" t="str">
        <f ca="1">IFERROR(__xludf.DUMMYFUNCTION("""COMPUTED_VALUE"""),"1732817017216")</f>
        <v>1732817017216</v>
      </c>
    </row>
    <row r="2198" spans="1:11" ht="12.45">
      <c r="A2198" s="2" t="str">
        <f ca="1">IFERROR(__xludf.DUMMYFUNCTION("""COMPUTED_VALUE"""),"1732817061809")</f>
        <v>1732817061809</v>
      </c>
      <c r="B2198" s="2"/>
      <c r="C2198" s="2" t="str">
        <v>0</v>
      </c>
      <c r="D2198" s="2"/>
      <c r="F2198" s="2" t="str">
        <v>0</v>
      </c>
      <c r="I2198" s="2" t="str">
        <f ca="1">IFERROR(__xludf.DUMMYFUNCTION("""COMPUTED_VALUE"""),"Nguyễn Thị Thanh Hiền")</f>
        <v>Nguyễn Thị Thanh Hiền</v>
      </c>
      <c r="J2198" s="3" t="str">
        <f ca="1">IFERROR(__xludf.DUMMYFUNCTION("""COMPUTED_VALUE"""),"0962701418")</f>
        <v>0962701418</v>
      </c>
      <c r="K2198" s="2" t="str">
        <f ca="1">IFERROR(__xludf.DUMMYFUNCTION("""COMPUTED_VALUE"""),"1732817061809")</f>
        <v>1732817061809</v>
      </c>
    </row>
    <row r="2199" spans="1:11" ht="12.45">
      <c r="A2199" s="2" t="str">
        <f ca="1">IFERROR(__xludf.DUMMYFUNCTION("""COMPUTED_VALUE"""),"1732817096274")</f>
        <v>1732817096274</v>
      </c>
      <c r="B2199" s="2"/>
      <c r="C2199" s="2" t="str">
        <v>0</v>
      </c>
      <c r="D2199" s="2"/>
      <c r="F2199" s="2" t="str">
        <v>0</v>
      </c>
      <c r="I2199" s="2" t="str">
        <f ca="1">IFERROR(__xludf.DUMMYFUNCTION("""COMPUTED_VALUE"""),"Nguyễn Lê Bảo Uyên")</f>
        <v>Nguyễn Lê Bảo Uyên</v>
      </c>
      <c r="J2199" s="3" t="str">
        <f ca="1">IFERROR(__xludf.DUMMYFUNCTION("""COMPUTED_VALUE"""),"0337349908")</f>
        <v>0337349908</v>
      </c>
      <c r="K2199" s="2" t="str">
        <f ca="1">IFERROR(__xludf.DUMMYFUNCTION("""COMPUTED_VALUE"""),"1732817096274")</f>
        <v>1732817096274</v>
      </c>
    </row>
    <row r="2200" spans="1:11" ht="12.45">
      <c r="A2200" s="2" t="str">
        <f ca="1">IFERROR(__xludf.DUMMYFUNCTION("""COMPUTED_VALUE"""),"1732817151556")</f>
        <v>1732817151556</v>
      </c>
      <c r="B2200" s="2"/>
      <c r="C2200" s="2" t="str">
        <v>0</v>
      </c>
      <c r="D2200" s="2"/>
      <c r="F2200" s="2" t="str">
        <v>0</v>
      </c>
      <c r="I2200" s="2" t="str">
        <f ca="1">IFERROR(__xludf.DUMMYFUNCTION("""COMPUTED_VALUE"""),"Mai Viết Vũ")</f>
        <v>Mai Viết Vũ</v>
      </c>
      <c r="J2200" s="3" t="str">
        <f ca="1">IFERROR(__xludf.DUMMYFUNCTION("""COMPUTED_VALUE"""),"0385316445")</f>
        <v>0385316445</v>
      </c>
      <c r="K2200" s="2" t="str">
        <f ca="1">IFERROR(__xludf.DUMMYFUNCTION("""COMPUTED_VALUE"""),"1732817151556")</f>
        <v>1732817151556</v>
      </c>
    </row>
    <row r="2201" spans="1:11" ht="12.45">
      <c r="A2201" s="2" t="str">
        <f ca="1">IFERROR(__xludf.DUMMYFUNCTION("""COMPUTED_VALUE"""),"1732817189793")</f>
        <v>1732817189793</v>
      </c>
      <c r="B2201" s="2"/>
      <c r="C2201" s="2" t="str">
        <v>0</v>
      </c>
      <c r="D2201" s="2"/>
      <c r="F2201" s="2" t="str">
        <v>0</v>
      </c>
      <c r="I2201" s="2" t="str">
        <f ca="1">IFERROR(__xludf.DUMMYFUNCTION("""COMPUTED_VALUE"""),"Đặng Khánh Chi")</f>
        <v>Đặng Khánh Chi</v>
      </c>
      <c r="J2201" s="3" t="str">
        <f ca="1">IFERROR(__xludf.DUMMYFUNCTION("""COMPUTED_VALUE"""),"0961255601")</f>
        <v>0961255601</v>
      </c>
      <c r="K2201" s="2" t="str">
        <f ca="1">IFERROR(__xludf.DUMMYFUNCTION("""COMPUTED_VALUE"""),"1732817189793")</f>
        <v>1732817189793</v>
      </c>
    </row>
    <row r="2202" spans="1:11" ht="12.45">
      <c r="A2202" s="2" t="str">
        <f ca="1">IFERROR(__xludf.DUMMYFUNCTION("""COMPUTED_VALUE"""),"1732817243641")</f>
        <v>1732817243641</v>
      </c>
      <c r="B2202" s="2"/>
      <c r="C2202" s="2" t="str">
        <v>0</v>
      </c>
      <c r="D2202" s="2"/>
      <c r="F2202" s="2" t="str">
        <v>0</v>
      </c>
      <c r="I2202" s="2" t="str">
        <f ca="1">IFERROR(__xludf.DUMMYFUNCTION("""COMPUTED_VALUE"""),"Ngô Thị Lan Anh ")</f>
        <v xml:space="preserve">Ngô Thị Lan Anh </v>
      </c>
      <c r="J2202" s="3" t="str">
        <f ca="1">IFERROR(__xludf.DUMMYFUNCTION("""COMPUTED_VALUE"""),"0963448010")</f>
        <v>0963448010</v>
      </c>
      <c r="K2202" s="2" t="str">
        <f ca="1">IFERROR(__xludf.DUMMYFUNCTION("""COMPUTED_VALUE"""),"1732817243641")</f>
        <v>1732817243641</v>
      </c>
    </row>
    <row r="2203" spans="1:11" ht="12.45">
      <c r="A2203" s="2" t="str">
        <f ca="1">IFERROR(__xludf.DUMMYFUNCTION("""COMPUTED_VALUE"""),"1732817275457")</f>
        <v>1732817275457</v>
      </c>
      <c r="B2203" s="2"/>
      <c r="C2203" s="2" t="str">
        <v>0</v>
      </c>
      <c r="D2203" s="2"/>
      <c r="F2203" s="2" t="str">
        <v>0</v>
      </c>
      <c r="I2203" s="2" t="str">
        <f ca="1">IFERROR(__xludf.DUMMYFUNCTION("""COMPUTED_VALUE"""),"Chu Thị Yến")</f>
        <v>Chu Thị Yến</v>
      </c>
      <c r="J2203" s="3" t="str">
        <f ca="1">IFERROR(__xludf.DUMMYFUNCTION("""COMPUTED_VALUE"""),"0359134109")</f>
        <v>0359134109</v>
      </c>
      <c r="K2203" s="2" t="str">
        <f ca="1">IFERROR(__xludf.DUMMYFUNCTION("""COMPUTED_VALUE"""),"1732817275457")</f>
        <v>1732817275457</v>
      </c>
    </row>
    <row r="2204" spans="1:11" ht="12.45">
      <c r="A2204" s="2" t="str">
        <f ca="1">IFERROR(__xludf.DUMMYFUNCTION("""COMPUTED_VALUE"""),"1732817310155")</f>
        <v>1732817310155</v>
      </c>
      <c r="B2204" s="2"/>
      <c r="C2204" s="2" t="str">
        <v>0</v>
      </c>
      <c r="D2204" s="2"/>
      <c r="F2204" s="2" t="str">
        <v>0</v>
      </c>
      <c r="I2204" s="2" t="str">
        <f ca="1">IFERROR(__xludf.DUMMYFUNCTION("""COMPUTED_VALUE"""),"Ngô Lý Thảo Nguyên")</f>
        <v>Ngô Lý Thảo Nguyên</v>
      </c>
      <c r="J2204" s="3" t="str">
        <f ca="1">IFERROR(__xludf.DUMMYFUNCTION("""COMPUTED_VALUE"""),"0934055157")</f>
        <v>0934055157</v>
      </c>
      <c r="K2204" s="2" t="str">
        <f ca="1">IFERROR(__xludf.DUMMYFUNCTION("""COMPUTED_VALUE"""),"1732817310155")</f>
        <v>1732817310155</v>
      </c>
    </row>
    <row r="2205" spans="1:11" ht="12.45">
      <c r="A2205" s="2" t="str">
        <f ca="1">IFERROR(__xludf.DUMMYFUNCTION("""COMPUTED_VALUE"""),"1732817363268")</f>
        <v>1732817363268</v>
      </c>
      <c r="B2205" s="2"/>
      <c r="C2205" s="2" t="str">
        <v>0</v>
      </c>
      <c r="D2205" s="2"/>
      <c r="F2205" s="2" t="str">
        <v>0</v>
      </c>
      <c r="I2205" s="2" t="str">
        <f ca="1">IFERROR(__xludf.DUMMYFUNCTION("""COMPUTED_VALUE"""),"Trần Hoàng Anh")</f>
        <v>Trần Hoàng Anh</v>
      </c>
      <c r="J2205" s="3" t="str">
        <f ca="1">IFERROR(__xludf.DUMMYFUNCTION("""COMPUTED_VALUE"""),"0347720459")</f>
        <v>0347720459</v>
      </c>
      <c r="K2205" s="2" t="str">
        <f ca="1">IFERROR(__xludf.DUMMYFUNCTION("""COMPUTED_VALUE"""),"1732817363268")</f>
        <v>1732817363268</v>
      </c>
    </row>
    <row r="2206" spans="1:11" ht="12.45">
      <c r="A2206" s="2" t="str">
        <f ca="1">IFERROR(__xludf.DUMMYFUNCTION("""COMPUTED_VALUE"""),"1732817399997")</f>
        <v>1732817399997</v>
      </c>
      <c r="B2206" s="2"/>
      <c r="C2206" s="2" t="str">
        <v>0</v>
      </c>
      <c r="D2206" s="2"/>
      <c r="F2206" s="2" t="str">
        <v>0</v>
      </c>
      <c r="I2206" s="2" t="str">
        <f ca="1">IFERROR(__xludf.DUMMYFUNCTION("""COMPUTED_VALUE"""),"Phan Hiểu Nghi")</f>
        <v>Phan Hiểu Nghi</v>
      </c>
      <c r="J2206" s="3" t="str">
        <f ca="1">IFERROR(__xludf.DUMMYFUNCTION("""COMPUTED_VALUE"""),"0898528504")</f>
        <v>0898528504</v>
      </c>
      <c r="K2206" s="2" t="str">
        <f ca="1">IFERROR(__xludf.DUMMYFUNCTION("""COMPUTED_VALUE"""),"1732817399997")</f>
        <v>1732817399997</v>
      </c>
    </row>
    <row r="2207" spans="1:11" ht="12.45">
      <c r="A2207" s="2" t="str">
        <f ca="1">IFERROR(__xludf.DUMMYFUNCTION("""COMPUTED_VALUE"""),"1732817445120")</f>
        <v>1732817445120</v>
      </c>
      <c r="B2207" s="2"/>
      <c r="C2207" s="2" t="str">
        <v>0</v>
      </c>
      <c r="D2207" s="2"/>
      <c r="F2207" s="2" t="str">
        <v>0</v>
      </c>
      <c r="I2207" s="2" t="str">
        <f ca="1">IFERROR(__xludf.DUMMYFUNCTION("""COMPUTED_VALUE"""),"Phạm Thúy An")</f>
        <v>Phạm Thúy An</v>
      </c>
      <c r="J2207" s="3" t="str">
        <f ca="1">IFERROR(__xludf.DUMMYFUNCTION("""COMPUTED_VALUE"""),"0981604072")</f>
        <v>0981604072</v>
      </c>
      <c r="K2207" s="2" t="str">
        <f ca="1">IFERROR(__xludf.DUMMYFUNCTION("""COMPUTED_VALUE"""),"1732817445120")</f>
        <v>1732817445120</v>
      </c>
    </row>
    <row r="2208" spans="1:11" ht="12.45">
      <c r="A2208" s="2" t="str">
        <f ca="1">IFERROR(__xludf.DUMMYFUNCTION("""COMPUTED_VALUE"""),"1732817495068")</f>
        <v>1732817495068</v>
      </c>
      <c r="B2208" s="2"/>
      <c r="C2208" s="2" t="str">
        <v>0</v>
      </c>
      <c r="D2208" s="2"/>
      <c r="F2208" s="2" t="str">
        <v>0</v>
      </c>
      <c r="I2208" s="2" t="str">
        <f ca="1">IFERROR(__xludf.DUMMYFUNCTION("""COMPUTED_VALUE"""),"Phạm Thị Hạnh Nhiên ")</f>
        <v xml:space="preserve">Phạm Thị Hạnh Nhiên </v>
      </c>
      <c r="J2208" s="3" t="str">
        <f ca="1">IFERROR(__xludf.DUMMYFUNCTION("""COMPUTED_VALUE"""),"0357054302")</f>
        <v>0357054302</v>
      </c>
      <c r="K2208" s="2" t="str">
        <f ca="1">IFERROR(__xludf.DUMMYFUNCTION("""COMPUTED_VALUE"""),"1732817495068")</f>
        <v>1732817495068</v>
      </c>
    </row>
    <row r="2209" spans="1:11" ht="12.45">
      <c r="A2209" s="2" t="str">
        <f ca="1">IFERROR(__xludf.DUMMYFUNCTION("""COMPUTED_VALUE"""),"1732817532380")</f>
        <v>1732817532380</v>
      </c>
      <c r="B2209" s="2"/>
      <c r="C2209" s="2" t="str">
        <v>0</v>
      </c>
      <c r="D2209" s="2"/>
      <c r="F2209" s="2" t="str">
        <v>0</v>
      </c>
      <c r="I2209" s="2" t="str">
        <f ca="1">IFERROR(__xludf.DUMMYFUNCTION("""COMPUTED_VALUE"""),"Vân Anh")</f>
        <v>Vân Anh</v>
      </c>
      <c r="J2209" s="3" t="str">
        <f ca="1">IFERROR(__xludf.DUMMYFUNCTION("""COMPUTED_VALUE"""),"0866857728")</f>
        <v>0866857728</v>
      </c>
      <c r="K2209" s="2" t="str">
        <f ca="1">IFERROR(__xludf.DUMMYFUNCTION("""COMPUTED_VALUE"""),"1732817532380")</f>
        <v>1732817532380</v>
      </c>
    </row>
    <row r="2210" spans="1:11" ht="12.45">
      <c r="A2210" s="2" t="str">
        <f ca="1">IFERROR(__xludf.DUMMYFUNCTION("""COMPUTED_VALUE"""),"1732817577432")</f>
        <v>1732817577432</v>
      </c>
      <c r="B2210" s="2"/>
      <c r="C2210" s="2" t="str">
        <v>0</v>
      </c>
      <c r="D2210" s="2"/>
      <c r="F2210" s="2" t="str">
        <v>0</v>
      </c>
      <c r="I2210" s="2" t="str">
        <f ca="1">IFERROR(__xludf.DUMMYFUNCTION("""COMPUTED_VALUE"""),"Lê Minh Hiển")</f>
        <v>Lê Minh Hiển</v>
      </c>
      <c r="J2210" s="3" t="str">
        <f ca="1">IFERROR(__xludf.DUMMYFUNCTION("""COMPUTED_VALUE"""),"0383759892")</f>
        <v>0383759892</v>
      </c>
      <c r="K2210" s="2" t="str">
        <f ca="1">IFERROR(__xludf.DUMMYFUNCTION("""COMPUTED_VALUE"""),"1732817577432")</f>
        <v>1732817577432</v>
      </c>
    </row>
    <row r="2211" spans="1:11" ht="12.45">
      <c r="A2211" s="2" t="str">
        <f ca="1">IFERROR(__xludf.DUMMYFUNCTION("""COMPUTED_VALUE"""),"1732817622855")</f>
        <v>1732817622855</v>
      </c>
      <c r="B2211" s="2"/>
      <c r="C2211" s="2" t="str">
        <v>0</v>
      </c>
      <c r="D2211" s="2"/>
      <c r="F2211" s="2" t="str">
        <v>0</v>
      </c>
      <c r="I2211" s="2" t="str">
        <f ca="1">IFERROR(__xludf.DUMMYFUNCTION("""COMPUTED_VALUE"""),"Bùi Gia Hân")</f>
        <v>Bùi Gia Hân</v>
      </c>
      <c r="J2211" s="3" t="str">
        <f ca="1">IFERROR(__xludf.DUMMYFUNCTION("""COMPUTED_VALUE"""),"0344639470")</f>
        <v>0344639470</v>
      </c>
      <c r="K2211" s="2" t="str">
        <f ca="1">IFERROR(__xludf.DUMMYFUNCTION("""COMPUTED_VALUE"""),"1732817622855")</f>
        <v>1732817622855</v>
      </c>
    </row>
    <row r="2212" spans="1:11" ht="12.45">
      <c r="A2212" s="2" t="str">
        <f ca="1">IFERROR(__xludf.DUMMYFUNCTION("""COMPUTED_VALUE"""),"1732817687393")</f>
        <v>1732817687393</v>
      </c>
      <c r="B2212" s="2"/>
      <c r="C2212" s="2" t="str">
        <v>0</v>
      </c>
      <c r="D2212" s="2"/>
      <c r="F2212" s="2" t="str">
        <v>0</v>
      </c>
      <c r="I2212" s="2" t="str">
        <f ca="1">IFERROR(__xludf.DUMMYFUNCTION("""COMPUTED_VALUE"""),"Nguyễn Thị Mai Hồng")</f>
        <v>Nguyễn Thị Mai Hồng</v>
      </c>
      <c r="J2212" s="3" t="str">
        <f ca="1">IFERROR(__xludf.DUMMYFUNCTION("""COMPUTED_VALUE"""),"0835112579")</f>
        <v>0835112579</v>
      </c>
      <c r="K2212" s="2" t="str">
        <f ca="1">IFERROR(__xludf.DUMMYFUNCTION("""COMPUTED_VALUE"""),"1732817687393")</f>
        <v>1732817687393</v>
      </c>
    </row>
    <row r="2213" spans="1:11" ht="12.45">
      <c r="A2213" s="2" t="str">
        <f ca="1">IFERROR(__xludf.DUMMYFUNCTION("""COMPUTED_VALUE"""),"1732817727702")</f>
        <v>1732817727702</v>
      </c>
      <c r="B2213" s="2"/>
      <c r="C2213" s="2" t="str">
        <v>0</v>
      </c>
      <c r="D2213" s="2"/>
      <c r="F2213" s="2" t="str">
        <v>0</v>
      </c>
      <c r="I2213" s="2" t="str">
        <f ca="1">IFERROR(__xludf.DUMMYFUNCTION("""COMPUTED_VALUE"""),"Lê Khánh Huyền")</f>
        <v>Lê Khánh Huyền</v>
      </c>
      <c r="J2213" s="3" t="str">
        <f ca="1">IFERROR(__xludf.DUMMYFUNCTION("""COMPUTED_VALUE"""),"0985441226")</f>
        <v>0985441226</v>
      </c>
      <c r="K2213" s="2" t="str">
        <f ca="1">IFERROR(__xludf.DUMMYFUNCTION("""COMPUTED_VALUE"""),"1732817727702")</f>
        <v>1732817727702</v>
      </c>
    </row>
    <row r="2214" spans="1:11" ht="12.45">
      <c r="A2214" s="2" t="str">
        <f ca="1">IFERROR(__xludf.DUMMYFUNCTION("""COMPUTED_VALUE"""),"1732817773853")</f>
        <v>1732817773853</v>
      </c>
      <c r="B2214" s="2"/>
      <c r="C2214" s="2" t="str">
        <v>0</v>
      </c>
      <c r="D2214" s="2"/>
      <c r="F2214" s="2" t="str">
        <v>0</v>
      </c>
      <c r="I2214" s="2" t="str">
        <f ca="1">IFERROR(__xludf.DUMMYFUNCTION("""COMPUTED_VALUE"""),"Phạm Thanh Thuý")</f>
        <v>Phạm Thanh Thuý</v>
      </c>
      <c r="J2214" s="3" t="str">
        <f ca="1">IFERROR(__xludf.DUMMYFUNCTION("""COMPUTED_VALUE"""),"0842124467")</f>
        <v>0842124467</v>
      </c>
      <c r="K2214" s="2" t="str">
        <f ca="1">IFERROR(__xludf.DUMMYFUNCTION("""COMPUTED_VALUE"""),"1732817773853")</f>
        <v>1732817773853</v>
      </c>
    </row>
    <row r="2215" spans="1:11" ht="12.45">
      <c r="A2215" s="2" t="str">
        <f ca="1">IFERROR(__xludf.DUMMYFUNCTION("""COMPUTED_VALUE"""),"1732817809732")</f>
        <v>1732817809732</v>
      </c>
      <c r="B2215" s="2"/>
      <c r="C2215" s="2" t="str">
        <v>0</v>
      </c>
      <c r="D2215" s="2"/>
      <c r="F2215" s="2" t="str">
        <v>0</v>
      </c>
      <c r="I2215" s="2" t="str">
        <f ca="1">IFERROR(__xludf.DUMMYFUNCTION("""COMPUTED_VALUE"""),"Nguyễn Thị Thùy Dung")</f>
        <v>Nguyễn Thị Thùy Dung</v>
      </c>
      <c r="J2215" s="3" t="str">
        <f ca="1">IFERROR(__xludf.DUMMYFUNCTION("""COMPUTED_VALUE"""),"0962208128")</f>
        <v>0962208128</v>
      </c>
      <c r="K2215" s="2" t="str">
        <f ca="1">IFERROR(__xludf.DUMMYFUNCTION("""COMPUTED_VALUE"""),"1732817809732")</f>
        <v>1732817809732</v>
      </c>
    </row>
    <row r="2216" spans="1:11" ht="12.45">
      <c r="A2216" s="2" t="str">
        <f ca="1">IFERROR(__xludf.DUMMYFUNCTION("""COMPUTED_VALUE"""),"1732817846421")</f>
        <v>1732817846421</v>
      </c>
      <c r="B2216" s="2"/>
      <c r="C2216" s="2" t="str">
        <v>0</v>
      </c>
      <c r="D2216" s="2"/>
      <c r="F2216" s="2" t="str">
        <v>0</v>
      </c>
      <c r="I2216" s="2" t="str">
        <f ca="1">IFERROR(__xludf.DUMMYFUNCTION("""COMPUTED_VALUE"""),"Nguyễn Thiều Phương Linh")</f>
        <v>Nguyễn Thiều Phương Linh</v>
      </c>
      <c r="J2216" s="3" t="str">
        <f ca="1">IFERROR(__xludf.DUMMYFUNCTION("""COMPUTED_VALUE"""),"0338478236")</f>
        <v>0338478236</v>
      </c>
      <c r="K2216" s="2" t="str">
        <f ca="1">IFERROR(__xludf.DUMMYFUNCTION("""COMPUTED_VALUE"""),"1732817846421")</f>
        <v>1732817846421</v>
      </c>
    </row>
    <row r="2217" spans="1:11" ht="12.45">
      <c r="A2217" s="2" t="str">
        <f ca="1">IFERROR(__xludf.DUMMYFUNCTION("""COMPUTED_VALUE"""),"Không giao sách")</f>
        <v>Không giao sách</v>
      </c>
      <c r="B2217" s="2"/>
      <c r="C2217" s="2" t="str">
        <v>0</v>
      </c>
      <c r="D2217" s="2"/>
      <c r="F2217" s="2" t="str">
        <v>0</v>
      </c>
      <c r="I2217" s="2" t="str">
        <f ca="1">IFERROR(__xludf.DUMMYFUNCTION("""COMPUTED_VALUE"""),"TRỊNH THÁI BẢO")</f>
        <v>TRỊNH THÁI BẢO</v>
      </c>
      <c r="J2217" s="3" t="str">
        <f ca="1">IFERROR(__xludf.DUMMYFUNCTION("""COMPUTED_VALUE"""),"0963742012")</f>
        <v>0963742012</v>
      </c>
      <c r="K2217" s="2" t="str">
        <f ca="1">IFERROR(__xludf.DUMMYFUNCTION("""COMPUTED_VALUE"""),"Không giao sách")</f>
        <v>Không giao sách</v>
      </c>
    </row>
    <row r="2218" spans="1:11" ht="12.45">
      <c r="A2218" s="2" t="str">
        <f ca="1">IFERROR(__xludf.DUMMYFUNCTION("""COMPUTED_VALUE"""),"1732817879868")</f>
        <v>1732817879868</v>
      </c>
      <c r="B2218" s="2"/>
      <c r="C2218" s="2" t="str">
        <v>0</v>
      </c>
      <c r="D2218" s="2"/>
      <c r="F2218" s="2" t="str">
        <v>0</v>
      </c>
      <c r="I2218" s="2" t="str">
        <f ca="1">IFERROR(__xludf.DUMMYFUNCTION("""COMPUTED_VALUE"""),"Nguyễn Thân Quỳnh Thi")</f>
        <v>Nguyễn Thân Quỳnh Thi</v>
      </c>
      <c r="J2218" s="3" t="str">
        <f ca="1">IFERROR(__xludf.DUMMYFUNCTION("""COMPUTED_VALUE"""),"0375402598")</f>
        <v>0375402598</v>
      </c>
      <c r="K2218" s="2" t="str">
        <f ca="1">IFERROR(__xludf.DUMMYFUNCTION("""COMPUTED_VALUE"""),"1732817879868")</f>
        <v>1732817879868</v>
      </c>
    </row>
    <row r="2219" spans="1:11" ht="12.45">
      <c r="A2219" s="2" t="str">
        <f ca="1">IFERROR(__xludf.DUMMYFUNCTION("""COMPUTED_VALUE"""),"1732817928162")</f>
        <v>1732817928162</v>
      </c>
      <c r="B2219" s="2"/>
      <c r="C2219" s="2" t="str">
        <v>0</v>
      </c>
      <c r="D2219" s="2"/>
      <c r="F2219" s="2" t="str">
        <v>0</v>
      </c>
      <c r="I2219" s="2" t="str">
        <f ca="1">IFERROR(__xludf.DUMMYFUNCTION("""COMPUTED_VALUE"""),"Vương Minh Hải ")</f>
        <v xml:space="preserve">Vương Minh Hải </v>
      </c>
      <c r="J2219" s="3" t="str">
        <f ca="1">IFERROR(__xludf.DUMMYFUNCTION("""COMPUTED_VALUE"""),"0325508873")</f>
        <v>0325508873</v>
      </c>
      <c r="K2219" s="2" t="str">
        <f ca="1">IFERROR(__xludf.DUMMYFUNCTION("""COMPUTED_VALUE"""),"1732817928162")</f>
        <v>1732817928162</v>
      </c>
    </row>
    <row r="2220" spans="1:11" ht="12.45">
      <c r="A2220" s="2" t="str">
        <f ca="1">IFERROR(__xludf.DUMMYFUNCTION("""COMPUTED_VALUE"""),"1732817956694")</f>
        <v>1732817956694</v>
      </c>
      <c r="B2220" s="2"/>
      <c r="C2220" s="2" t="str">
        <v>0</v>
      </c>
      <c r="D2220" s="2"/>
      <c r="F2220" s="2" t="str">
        <v>0</v>
      </c>
      <c r="I2220" s="2" t="str">
        <f ca="1">IFERROR(__xludf.DUMMYFUNCTION("""COMPUTED_VALUE"""),"Hoàng Thu Phương")</f>
        <v>Hoàng Thu Phương</v>
      </c>
      <c r="J2220" s="3" t="str">
        <f ca="1">IFERROR(__xludf.DUMMYFUNCTION("""COMPUTED_VALUE"""),"0976837603")</f>
        <v>0976837603</v>
      </c>
      <c r="K2220" s="2" t="str">
        <f ca="1">IFERROR(__xludf.DUMMYFUNCTION("""COMPUTED_VALUE"""),"1732817956694")</f>
        <v>1732817956694</v>
      </c>
    </row>
    <row r="2221" spans="1:11" ht="12.45">
      <c r="A2221" s="2" t="str">
        <f ca="1">IFERROR(__xludf.DUMMYFUNCTION("""COMPUTED_VALUE"""),"1732818007005")</f>
        <v>1732818007005</v>
      </c>
      <c r="B2221" s="2"/>
      <c r="C2221" s="2" t="str">
        <v>0</v>
      </c>
      <c r="D2221" s="2"/>
      <c r="F2221" s="2" t="str">
        <v>0</v>
      </c>
      <c r="I2221" s="2" t="str">
        <f ca="1">IFERROR(__xludf.DUMMYFUNCTION("""COMPUTED_VALUE"""),"Nguyễn Tùng Lâm")</f>
        <v>Nguyễn Tùng Lâm</v>
      </c>
      <c r="J2221" s="3" t="str">
        <f ca="1">IFERROR(__xludf.DUMMYFUNCTION("""COMPUTED_VALUE"""),"0965756248")</f>
        <v>0965756248</v>
      </c>
      <c r="K2221" s="2" t="str">
        <f ca="1">IFERROR(__xludf.DUMMYFUNCTION("""COMPUTED_VALUE"""),"1732818007005")</f>
        <v>1732818007005</v>
      </c>
    </row>
    <row r="2222" spans="1:11" ht="12.45">
      <c r="A2222" s="2" t="str">
        <f ca="1">IFERROR(__xludf.DUMMYFUNCTION("""COMPUTED_VALUE"""),"1732818054743")</f>
        <v>1732818054743</v>
      </c>
      <c r="B2222" s="2"/>
      <c r="C2222" s="2" t="str">
        <v>0</v>
      </c>
      <c r="D2222" s="2"/>
      <c r="F2222" s="2" t="str">
        <v>0</v>
      </c>
      <c r="I2222" s="2" t="str">
        <f ca="1">IFERROR(__xludf.DUMMYFUNCTION("""COMPUTED_VALUE"""),"Thu Hiền ")</f>
        <v xml:space="preserve">Thu Hiền </v>
      </c>
      <c r="J2222" s="3" t="str">
        <f ca="1">IFERROR(__xludf.DUMMYFUNCTION("""COMPUTED_VALUE"""),"0375034041")</f>
        <v>0375034041</v>
      </c>
      <c r="K2222" s="2" t="str">
        <f ca="1">IFERROR(__xludf.DUMMYFUNCTION("""COMPUTED_VALUE"""),"1732818054743")</f>
        <v>1732818054743</v>
      </c>
    </row>
    <row r="2223" spans="1:11" ht="12.45">
      <c r="A2223" s="2" t="str">
        <f ca="1">IFERROR(__xludf.DUMMYFUNCTION("""COMPUTED_VALUE"""),"1732818094794")</f>
        <v>1732818094794</v>
      </c>
      <c r="B2223" s="2"/>
      <c r="C2223" s="2" t="str">
        <v>0</v>
      </c>
      <c r="D2223" s="2"/>
      <c r="F2223" s="2" t="str">
        <v>0</v>
      </c>
      <c r="I2223" s="2" t="str">
        <f ca="1">IFERROR(__xludf.DUMMYFUNCTION("""COMPUTED_VALUE"""),"Nguyễn Đức Kiệt")</f>
        <v>Nguyễn Đức Kiệt</v>
      </c>
      <c r="J2223" s="3" t="str">
        <f ca="1">IFERROR(__xludf.DUMMYFUNCTION("""COMPUTED_VALUE"""),"0354797082")</f>
        <v>0354797082</v>
      </c>
      <c r="K2223" s="2" t="str">
        <f ca="1">IFERROR(__xludf.DUMMYFUNCTION("""COMPUTED_VALUE"""),"1732818094794")</f>
        <v>1732818094794</v>
      </c>
    </row>
    <row r="2224" spans="1:11" ht="12.45">
      <c r="A2224" s="2" t="str">
        <f ca="1">IFERROR(__xludf.DUMMYFUNCTION("""COMPUTED_VALUE"""),"1732818141199")</f>
        <v>1732818141199</v>
      </c>
      <c r="B2224" s="2"/>
      <c r="C2224" s="2" t="str">
        <v>0</v>
      </c>
      <c r="D2224" s="2"/>
      <c r="F2224" s="2" t="str">
        <v>0</v>
      </c>
      <c r="I2224" s="2" t="str">
        <f ca="1">IFERROR(__xludf.DUMMYFUNCTION("""COMPUTED_VALUE"""),"Vũ Minh Diệu")</f>
        <v>Vũ Minh Diệu</v>
      </c>
      <c r="J2224" s="3" t="str">
        <f ca="1">IFERROR(__xludf.DUMMYFUNCTION("""COMPUTED_VALUE"""),"0862760997")</f>
        <v>0862760997</v>
      </c>
      <c r="K2224" s="2" t="str">
        <f ca="1">IFERROR(__xludf.DUMMYFUNCTION("""COMPUTED_VALUE"""),"1732818141199")</f>
        <v>1732818141199</v>
      </c>
    </row>
    <row r="2225" spans="1:11" ht="12.45">
      <c r="A2225" s="2" t="str">
        <f ca="1">IFERROR(__xludf.DUMMYFUNCTION("""COMPUTED_VALUE"""),"1732818177042")</f>
        <v>1732818177042</v>
      </c>
      <c r="B2225" s="2"/>
      <c r="C2225" s="2" t="str">
        <v>0</v>
      </c>
      <c r="D2225" s="2"/>
      <c r="F2225" s="2" t="str">
        <v>0</v>
      </c>
      <c r="I2225" s="2" t="str">
        <f ca="1">IFERROR(__xludf.DUMMYFUNCTION("""COMPUTED_VALUE"""),"Đặng Thị Kiều Anh")</f>
        <v>Đặng Thị Kiều Anh</v>
      </c>
      <c r="J2225" s="3" t="str">
        <f ca="1">IFERROR(__xludf.DUMMYFUNCTION("""COMPUTED_VALUE"""),"0862302844")</f>
        <v>0862302844</v>
      </c>
      <c r="K2225" s="2" t="str">
        <f ca="1">IFERROR(__xludf.DUMMYFUNCTION("""COMPUTED_VALUE"""),"1732818177042")</f>
        <v>1732818177042</v>
      </c>
    </row>
    <row r="2226" spans="1:11" ht="12.45">
      <c r="A2226" s="2" t="str">
        <f ca="1">IFERROR(__xludf.DUMMYFUNCTION("""COMPUTED_VALUE"""),"1732818213669")</f>
        <v>1732818213669</v>
      </c>
      <c r="B2226" s="2"/>
      <c r="C2226" s="2" t="str">
        <v>0</v>
      </c>
      <c r="D2226" s="2"/>
      <c r="F2226" s="2" t="str">
        <v>0</v>
      </c>
      <c r="I2226" s="2" t="str">
        <f ca="1">IFERROR(__xludf.DUMMYFUNCTION("""COMPUTED_VALUE"""),"Đặng Thuỳ Linh")</f>
        <v>Đặng Thuỳ Linh</v>
      </c>
      <c r="J2226" s="3" t="str">
        <f ca="1">IFERROR(__xludf.DUMMYFUNCTION("""COMPUTED_VALUE"""),"0386575520")</f>
        <v>0386575520</v>
      </c>
      <c r="K2226" s="2" t="str">
        <f ca="1">IFERROR(__xludf.DUMMYFUNCTION("""COMPUTED_VALUE"""),"1732818213669")</f>
        <v>1732818213669</v>
      </c>
    </row>
    <row r="2227" spans="1:11" ht="12.45">
      <c r="A2227" s="2" t="str">
        <f ca="1">IFERROR(__xludf.DUMMYFUNCTION("""COMPUTED_VALUE"""),"1732818252164")</f>
        <v>1732818252164</v>
      </c>
      <c r="B2227" s="2"/>
      <c r="C2227" s="2" t="str">
        <v>0</v>
      </c>
      <c r="D2227" s="2"/>
      <c r="F2227" s="2" t="str">
        <v>0</v>
      </c>
      <c r="I2227" s="2" t="str">
        <f ca="1">IFERROR(__xludf.DUMMYFUNCTION("""COMPUTED_VALUE"""),"Hoàng Thuỳ Linh")</f>
        <v>Hoàng Thuỳ Linh</v>
      </c>
      <c r="J2227" s="3" t="str">
        <f ca="1">IFERROR(__xludf.DUMMYFUNCTION("""COMPUTED_VALUE"""),"0971764708")</f>
        <v>0971764708</v>
      </c>
      <c r="K2227" s="2" t="str">
        <f ca="1">IFERROR(__xludf.DUMMYFUNCTION("""COMPUTED_VALUE"""),"1732818252164")</f>
        <v>1732818252164</v>
      </c>
    </row>
    <row r="2228" spans="1:11" ht="12.45">
      <c r="A2228" s="2" t="str">
        <f ca="1">IFERROR(__xludf.DUMMYFUNCTION("""COMPUTED_VALUE"""),"1732818285648")</f>
        <v>1732818285648</v>
      </c>
      <c r="B2228" s="2"/>
      <c r="C2228" s="2" t="str">
        <v>0</v>
      </c>
      <c r="D2228" s="2"/>
      <c r="F2228" s="2" t="str">
        <v>0</v>
      </c>
      <c r="I2228" s="2" t="str">
        <f ca="1">IFERROR(__xludf.DUMMYFUNCTION("""COMPUTED_VALUE"""),"NGUYỄN THỊ NHƯ Ý")</f>
        <v>NGUYỄN THỊ NHƯ Ý</v>
      </c>
      <c r="J2228" s="3" t="str">
        <f ca="1">IFERROR(__xludf.DUMMYFUNCTION("""COMPUTED_VALUE"""),"0857654009")</f>
        <v>0857654009</v>
      </c>
      <c r="K2228" s="2" t="str">
        <f ca="1">IFERROR(__xludf.DUMMYFUNCTION("""COMPUTED_VALUE"""),"1732818285648")</f>
        <v>1732818285648</v>
      </c>
    </row>
    <row r="2229" spans="1:11" ht="12.45">
      <c r="A2229" s="2" t="str">
        <f ca="1">IFERROR(__xludf.DUMMYFUNCTION("""COMPUTED_VALUE"""),"1732818323062")</f>
        <v>1732818323062</v>
      </c>
      <c r="B2229" s="2"/>
      <c r="C2229" s="2" t="str">
        <v>0</v>
      </c>
      <c r="D2229" s="2"/>
      <c r="F2229" s="2" t="str">
        <v>0</v>
      </c>
      <c r="I2229" s="2" t="str">
        <f ca="1">IFERROR(__xludf.DUMMYFUNCTION("""COMPUTED_VALUE"""),"Nguyễn Ngọc Khánh Linh")</f>
        <v>Nguyễn Ngọc Khánh Linh</v>
      </c>
      <c r="J2229" s="3" t="str">
        <f ca="1">IFERROR(__xludf.DUMMYFUNCTION("""COMPUTED_VALUE"""),"0359333943")</f>
        <v>0359333943</v>
      </c>
      <c r="K2229" s="2" t="str">
        <f ca="1">IFERROR(__xludf.DUMMYFUNCTION("""COMPUTED_VALUE"""),"1732818323062")</f>
        <v>1732818323062</v>
      </c>
    </row>
    <row r="2230" spans="1:11" ht="12.45">
      <c r="A2230" s="2" t="str">
        <f ca="1">IFERROR(__xludf.DUMMYFUNCTION("""COMPUTED_VALUE"""),"1732818357410")</f>
        <v>1732818357410</v>
      </c>
      <c r="B2230" s="2"/>
      <c r="C2230" s="2" t="str">
        <v>0</v>
      </c>
      <c r="D2230" s="2"/>
      <c r="F2230" s="2" t="str">
        <v>0</v>
      </c>
      <c r="I2230" s="2" t="str">
        <f ca="1">IFERROR(__xludf.DUMMYFUNCTION("""COMPUTED_VALUE"""),"Phan Nguyễn Bảo Uyên")</f>
        <v>Phan Nguyễn Bảo Uyên</v>
      </c>
      <c r="J2230" s="3" t="str">
        <f ca="1">IFERROR(__xludf.DUMMYFUNCTION("""COMPUTED_VALUE"""),"0921287529")</f>
        <v>0921287529</v>
      </c>
      <c r="K2230" s="2" t="str">
        <f ca="1">IFERROR(__xludf.DUMMYFUNCTION("""COMPUTED_VALUE"""),"1732818357410")</f>
        <v>1732818357410</v>
      </c>
    </row>
    <row r="2231" spans="1:11" ht="12.45">
      <c r="A2231" s="2" t="str">
        <f ca="1">IFERROR(__xludf.DUMMYFUNCTION("""COMPUTED_VALUE"""),"1732818399935")</f>
        <v>1732818399935</v>
      </c>
      <c r="B2231" s="2"/>
      <c r="C2231" s="2" t="str">
        <v>0</v>
      </c>
      <c r="D2231" s="2"/>
      <c r="F2231" s="2" t="str">
        <v>0</v>
      </c>
      <c r="I2231" s="2" t="str">
        <f ca="1">IFERROR(__xludf.DUMMYFUNCTION("""COMPUTED_VALUE"""),"Hoàng Vũ Linh Chi")</f>
        <v>Hoàng Vũ Linh Chi</v>
      </c>
      <c r="J2231" s="3" t="str">
        <f ca="1">IFERROR(__xludf.DUMMYFUNCTION("""COMPUTED_VALUE"""),"0984442237")</f>
        <v>0984442237</v>
      </c>
      <c r="K2231" s="2" t="str">
        <f ca="1">IFERROR(__xludf.DUMMYFUNCTION("""COMPUTED_VALUE"""),"1732818399935")</f>
        <v>1732818399935</v>
      </c>
    </row>
    <row r="2232" spans="1:11" ht="12.45">
      <c r="A2232" s="2" t="str">
        <f ca="1">IFERROR(__xludf.DUMMYFUNCTION("""COMPUTED_VALUE"""),"1732818438311")</f>
        <v>1732818438311</v>
      </c>
      <c r="B2232" s="2"/>
      <c r="C2232" s="2" t="str">
        <v>0</v>
      </c>
      <c r="D2232" s="2"/>
      <c r="F2232" s="2" t="str">
        <v>0</v>
      </c>
      <c r="I2232" s="2" t="str">
        <f ca="1">IFERROR(__xludf.DUMMYFUNCTION("""COMPUTED_VALUE"""),"Trịnh Diệu Thảo ")</f>
        <v xml:space="preserve">Trịnh Diệu Thảo </v>
      </c>
      <c r="J2232" s="3" t="str">
        <f ca="1">IFERROR(__xludf.DUMMYFUNCTION("""COMPUTED_VALUE"""),"0914271045")</f>
        <v>0914271045</v>
      </c>
      <c r="K2232" s="2" t="str">
        <f ca="1">IFERROR(__xludf.DUMMYFUNCTION("""COMPUTED_VALUE"""),"1732818438311")</f>
        <v>1732818438311</v>
      </c>
    </row>
    <row r="2233" spans="1:11" ht="12.45">
      <c r="A2233" s="2" t="str">
        <f ca="1">IFERROR(__xludf.DUMMYFUNCTION("""COMPUTED_VALUE"""),"1732818488225")</f>
        <v>1732818488225</v>
      </c>
      <c r="B2233" s="2"/>
      <c r="C2233" s="2" t="str">
        <v>0</v>
      </c>
      <c r="D2233" s="2"/>
      <c r="F2233" s="2" t="str">
        <v>0</v>
      </c>
      <c r="I2233" s="2" t="str">
        <f ca="1">IFERROR(__xludf.DUMMYFUNCTION("""COMPUTED_VALUE"""),"Vũ Thanh Xuân")</f>
        <v>Vũ Thanh Xuân</v>
      </c>
      <c r="J2233" s="3" t="str">
        <f ca="1">IFERROR(__xludf.DUMMYFUNCTION("""COMPUTED_VALUE"""),"0355846024")</f>
        <v>0355846024</v>
      </c>
      <c r="K2233" s="2" t="str">
        <f ca="1">IFERROR(__xludf.DUMMYFUNCTION("""COMPUTED_VALUE"""),"1732818488225")</f>
        <v>1732818488225</v>
      </c>
    </row>
    <row r="2234" spans="1:11" ht="12.45">
      <c r="A2234" s="2" t="str">
        <f ca="1">IFERROR(__xludf.DUMMYFUNCTION("""COMPUTED_VALUE"""),"1732818528948")</f>
        <v>1732818528948</v>
      </c>
      <c r="B2234" s="2"/>
      <c r="C2234" s="2" t="str">
        <v>0</v>
      </c>
      <c r="D2234" s="2"/>
      <c r="F2234" s="2" t="str">
        <v>0</v>
      </c>
      <c r="I2234" s="2" t="str">
        <f ca="1">IFERROR(__xludf.DUMMYFUNCTION("""COMPUTED_VALUE"""),"Hoàng Kiên Trung")</f>
        <v>Hoàng Kiên Trung</v>
      </c>
      <c r="J2234" s="3" t="str">
        <f ca="1">IFERROR(__xludf.DUMMYFUNCTION("""COMPUTED_VALUE"""),"0346748996")</f>
        <v>0346748996</v>
      </c>
      <c r="K2234" s="2" t="str">
        <f ca="1">IFERROR(__xludf.DUMMYFUNCTION("""COMPUTED_VALUE"""),"1732818528948")</f>
        <v>1732818528948</v>
      </c>
    </row>
    <row r="2235" spans="1:11" ht="12.45">
      <c r="A2235" s="2" t="str">
        <f ca="1">IFERROR(__xludf.DUMMYFUNCTION("""COMPUTED_VALUE"""),"1732818562752")</f>
        <v>1732818562752</v>
      </c>
      <c r="B2235" s="2"/>
      <c r="C2235" s="2" t="str">
        <v>0</v>
      </c>
      <c r="D2235" s="2"/>
      <c r="F2235" s="2" t="str">
        <v>0</v>
      </c>
      <c r="I2235" s="2" t="str">
        <f ca="1">IFERROR(__xludf.DUMMYFUNCTION("""COMPUTED_VALUE"""),"Nguyễn Phương Anh ")</f>
        <v xml:space="preserve">Nguyễn Phương Anh </v>
      </c>
      <c r="J2235" s="3" t="str">
        <f ca="1">IFERROR(__xludf.DUMMYFUNCTION("""COMPUTED_VALUE"""),"0387526768")</f>
        <v>0387526768</v>
      </c>
      <c r="K2235" s="2" t="str">
        <f ca="1">IFERROR(__xludf.DUMMYFUNCTION("""COMPUTED_VALUE"""),"1732818562752")</f>
        <v>1732818562752</v>
      </c>
    </row>
    <row r="2236" spans="1:11" ht="12.45">
      <c r="A2236" s="2" t="str">
        <f ca="1">IFERROR(__xludf.DUMMYFUNCTION("""COMPUTED_VALUE"""),"1732818597509")</f>
        <v>1732818597509</v>
      </c>
      <c r="B2236" s="2"/>
      <c r="C2236" s="2" t="str">
        <v>0</v>
      </c>
      <c r="D2236" s="2"/>
      <c r="F2236" s="2" t="str">
        <v>0</v>
      </c>
      <c r="I2236" s="2" t="str">
        <f ca="1">IFERROR(__xludf.DUMMYFUNCTION("""COMPUTED_VALUE"""),"Hồ Trần Huyền Trang")</f>
        <v>Hồ Trần Huyền Trang</v>
      </c>
      <c r="J2236" s="3" t="str">
        <f ca="1">IFERROR(__xludf.DUMMYFUNCTION("""COMPUTED_VALUE"""),"0867561931")</f>
        <v>0867561931</v>
      </c>
      <c r="K2236" s="2" t="str">
        <f ca="1">IFERROR(__xludf.DUMMYFUNCTION("""COMPUTED_VALUE"""),"1732818597509")</f>
        <v>1732818597509</v>
      </c>
    </row>
    <row r="2237" spans="1:11" ht="12.45">
      <c r="A2237" s="2" t="str">
        <f ca="1">IFERROR(__xludf.DUMMYFUNCTION("""COMPUTED_VALUE"""),"1732818639392")</f>
        <v>1732818639392</v>
      </c>
      <c r="B2237" s="2"/>
      <c r="C2237" s="2" t="str">
        <v>0</v>
      </c>
      <c r="D2237" s="2"/>
      <c r="F2237" s="2" t="str">
        <v>0</v>
      </c>
      <c r="I2237" s="2" t="str">
        <f ca="1">IFERROR(__xludf.DUMMYFUNCTION("""COMPUTED_VALUE"""),"Le Thi Minh Anh")</f>
        <v>Le Thi Minh Anh</v>
      </c>
      <c r="J2237" s="3" t="str">
        <f ca="1">IFERROR(__xludf.DUMMYFUNCTION("""COMPUTED_VALUE"""),"0328489040")</f>
        <v>0328489040</v>
      </c>
      <c r="K2237" s="2" t="str">
        <f ca="1">IFERROR(__xludf.DUMMYFUNCTION("""COMPUTED_VALUE"""),"1732818639392")</f>
        <v>1732818639392</v>
      </c>
    </row>
    <row r="2238" spans="1:11" ht="12.45">
      <c r="A2238" s="2" t="str">
        <f ca="1">IFERROR(__xludf.DUMMYFUNCTION("""COMPUTED_VALUE"""),"1732818679466")</f>
        <v>1732818679466</v>
      </c>
      <c r="B2238" s="2"/>
      <c r="C2238" s="2" t="str">
        <v>0</v>
      </c>
      <c r="D2238" s="2"/>
      <c r="F2238" s="2" t="str">
        <v>0</v>
      </c>
      <c r="I2238" s="2" t="str">
        <f ca="1">IFERROR(__xludf.DUMMYFUNCTION("""COMPUTED_VALUE"""),"Hồ Thị Mơ ")</f>
        <v xml:space="preserve">Hồ Thị Mơ </v>
      </c>
      <c r="J2238" s="3" t="str">
        <f ca="1">IFERROR(__xludf.DUMMYFUNCTION("""COMPUTED_VALUE"""),"0898361841")</f>
        <v>0898361841</v>
      </c>
      <c r="K2238" s="2" t="str">
        <f ca="1">IFERROR(__xludf.DUMMYFUNCTION("""COMPUTED_VALUE"""),"1732818679466")</f>
        <v>1732818679466</v>
      </c>
    </row>
    <row r="2239" spans="1:11" ht="12.45">
      <c r="A2239" s="2" t="str">
        <f ca="1">IFERROR(__xludf.DUMMYFUNCTION("""COMPUTED_VALUE"""),"1732818748467")</f>
        <v>1732818748467</v>
      </c>
      <c r="B2239" s="2"/>
      <c r="C2239" s="2" t="str">
        <v>0</v>
      </c>
      <c r="D2239" s="2"/>
      <c r="F2239" s="2" t="str">
        <v>0</v>
      </c>
      <c r="I2239" s="2" t="str">
        <f ca="1">IFERROR(__xludf.DUMMYFUNCTION("""COMPUTED_VALUE"""),"Bùi Huỳnh Bảo Liêm")</f>
        <v>Bùi Huỳnh Bảo Liêm</v>
      </c>
      <c r="J2239" s="3" t="str">
        <f ca="1">IFERROR(__xludf.DUMMYFUNCTION("""COMPUTED_VALUE"""),"0869250348")</f>
        <v>0869250348</v>
      </c>
      <c r="K2239" s="2" t="str">
        <f ca="1">IFERROR(__xludf.DUMMYFUNCTION("""COMPUTED_VALUE"""),"1732818748467")</f>
        <v>1732818748467</v>
      </c>
    </row>
    <row r="2240" spans="1:11" ht="12.45">
      <c r="A2240" s="2" t="str">
        <f ca="1">IFERROR(__xludf.DUMMYFUNCTION("""COMPUTED_VALUE"""),"1732818805016")</f>
        <v>1732818805016</v>
      </c>
      <c r="B2240" s="2"/>
      <c r="C2240" s="2" t="str">
        <v>0</v>
      </c>
      <c r="D2240" s="2"/>
      <c r="F2240" s="2" t="str">
        <v>0</v>
      </c>
      <c r="I2240" s="2" t="str">
        <f ca="1">IFERROR(__xludf.DUMMYFUNCTION("""COMPUTED_VALUE"""),"Phạm Thu Phương ")</f>
        <v xml:space="preserve">Phạm Thu Phương </v>
      </c>
      <c r="J2240" s="3" t="str">
        <f ca="1">IFERROR(__xludf.DUMMYFUNCTION("""COMPUTED_VALUE"""),"0911389200")</f>
        <v>0911389200</v>
      </c>
      <c r="K2240" s="2" t="str">
        <f ca="1">IFERROR(__xludf.DUMMYFUNCTION("""COMPUTED_VALUE"""),"1732818805016")</f>
        <v>1732818805016</v>
      </c>
    </row>
    <row r="2241" spans="1:11" ht="12.45">
      <c r="A2241" s="2" t="str">
        <f ca="1">IFERROR(__xludf.DUMMYFUNCTION("""COMPUTED_VALUE"""),"1732818863275")</f>
        <v>1732818863275</v>
      </c>
      <c r="B2241" s="2"/>
      <c r="C2241" s="2" t="str">
        <v>0</v>
      </c>
      <c r="D2241" s="2"/>
      <c r="F2241" s="2" t="str">
        <v>0</v>
      </c>
      <c r="I2241" s="2" t="str">
        <f ca="1">IFERROR(__xludf.DUMMYFUNCTION("""COMPUTED_VALUE"""),"Đặng Nguyễn Bảo Ngọc")</f>
        <v>Đặng Nguyễn Bảo Ngọc</v>
      </c>
      <c r="J2241" s="3" t="str">
        <f ca="1">IFERROR(__xludf.DUMMYFUNCTION("""COMPUTED_VALUE"""),"0919268395")</f>
        <v>0919268395</v>
      </c>
      <c r="K2241" s="2" t="str">
        <f ca="1">IFERROR(__xludf.DUMMYFUNCTION("""COMPUTED_VALUE"""),"1732818863275")</f>
        <v>1732818863275</v>
      </c>
    </row>
    <row r="2242" spans="1:11" ht="12.45">
      <c r="A2242" s="2" t="str">
        <f ca="1">IFERROR(__xludf.DUMMYFUNCTION("""COMPUTED_VALUE"""),"1732818905728")</f>
        <v>1732818905728</v>
      </c>
      <c r="B2242" s="2"/>
      <c r="C2242" s="2" t="str">
        <v>0</v>
      </c>
      <c r="D2242" s="2"/>
      <c r="F2242" s="2" t="str">
        <v>0</v>
      </c>
      <c r="I2242" s="2" t="str">
        <f ca="1">IFERROR(__xludf.DUMMYFUNCTION("""COMPUTED_VALUE"""),"Nguyễn Khánh Hoà")</f>
        <v>Nguyễn Khánh Hoà</v>
      </c>
      <c r="J2242" s="3" t="str">
        <f ca="1">IFERROR(__xludf.DUMMYFUNCTION("""COMPUTED_VALUE"""),"0924414784")</f>
        <v>0924414784</v>
      </c>
      <c r="K2242" s="2" t="str">
        <f ca="1">IFERROR(__xludf.DUMMYFUNCTION("""COMPUTED_VALUE"""),"1732818905728")</f>
        <v>1732818905728</v>
      </c>
    </row>
    <row r="2243" spans="1:11" ht="12.45">
      <c r="A2243" s="2" t="str">
        <f ca="1">IFERROR(__xludf.DUMMYFUNCTION("""COMPUTED_VALUE"""),"1732818955023")</f>
        <v>1732818955023</v>
      </c>
      <c r="B2243" s="2"/>
      <c r="C2243" s="2" t="str">
        <v>0</v>
      </c>
      <c r="D2243" s="2"/>
      <c r="F2243" s="2" t="str">
        <v>0</v>
      </c>
      <c r="I2243" s="2" t="str">
        <f ca="1">IFERROR(__xludf.DUMMYFUNCTION("""COMPUTED_VALUE"""),"Nguyễn Tố Oanh")</f>
        <v>Nguyễn Tố Oanh</v>
      </c>
      <c r="J2243" s="3" t="str">
        <f ca="1">IFERROR(__xludf.DUMMYFUNCTION("""COMPUTED_VALUE"""),"0905414059")</f>
        <v>0905414059</v>
      </c>
      <c r="K2243" s="2" t="str">
        <f ca="1">IFERROR(__xludf.DUMMYFUNCTION("""COMPUTED_VALUE"""),"1732818955023")</f>
        <v>1732818955023</v>
      </c>
    </row>
    <row r="2244" spans="1:11" ht="12.45">
      <c r="A2244" s="2" t="str">
        <f ca="1">IFERROR(__xludf.DUMMYFUNCTION("""COMPUTED_VALUE"""),"1732818997042")</f>
        <v>1732818997042</v>
      </c>
      <c r="B2244" s="2"/>
      <c r="C2244" s="2" t="str">
        <v>0</v>
      </c>
      <c r="D2244" s="2"/>
      <c r="F2244" s="2" t="str">
        <v>0</v>
      </c>
      <c r="I2244" s="2" t="str">
        <f ca="1">IFERROR(__xludf.DUMMYFUNCTION("""COMPUTED_VALUE"""),"Nguyễn thị khánh hiền")</f>
        <v>Nguyễn thị khánh hiền</v>
      </c>
      <c r="J2244" s="3" t="str">
        <f ca="1">IFERROR(__xludf.DUMMYFUNCTION("""COMPUTED_VALUE"""),"0347659891")</f>
        <v>0347659891</v>
      </c>
      <c r="K2244" s="2" t="str">
        <f ca="1">IFERROR(__xludf.DUMMYFUNCTION("""COMPUTED_VALUE"""),"1732818997042")</f>
        <v>1732818997042</v>
      </c>
    </row>
    <row r="2245" spans="1:11" ht="12.45">
      <c r="A2245" s="2" t="str">
        <f ca="1">IFERROR(__xludf.DUMMYFUNCTION("""COMPUTED_VALUE"""),"1732819027234")</f>
        <v>1732819027234</v>
      </c>
      <c r="B2245" s="2"/>
      <c r="C2245" s="2" t="str">
        <v>0</v>
      </c>
      <c r="D2245" s="2"/>
      <c r="F2245" s="2" t="str">
        <v>0</v>
      </c>
      <c r="I2245" s="2" t="str">
        <f ca="1">IFERROR(__xludf.DUMMYFUNCTION("""COMPUTED_VALUE"""),"Nguyễn Hương Giang")</f>
        <v>Nguyễn Hương Giang</v>
      </c>
      <c r="J2245" s="3" t="str">
        <f ca="1">IFERROR(__xludf.DUMMYFUNCTION("""COMPUTED_VALUE"""),"0969402795")</f>
        <v>0969402795</v>
      </c>
      <c r="K2245" s="2" t="str">
        <f ca="1">IFERROR(__xludf.DUMMYFUNCTION("""COMPUTED_VALUE"""),"1732819027234")</f>
        <v>1732819027234</v>
      </c>
    </row>
    <row r="2246" spans="1:11" ht="12.45">
      <c r="A2246" s="2" t="str">
        <f ca="1">IFERROR(__xludf.DUMMYFUNCTION("""COMPUTED_VALUE"""),"1732819066161")</f>
        <v>1732819066161</v>
      </c>
      <c r="B2246" s="2"/>
      <c r="C2246" s="2" t="str">
        <v>0</v>
      </c>
      <c r="D2246" s="2"/>
      <c r="F2246" s="2" t="str">
        <v>0</v>
      </c>
      <c r="I2246" s="2" t="str">
        <f ca="1">IFERROR(__xludf.DUMMYFUNCTION("""COMPUTED_VALUE"""),"Lê Cao Kỳ")</f>
        <v>Lê Cao Kỳ</v>
      </c>
      <c r="J2246" s="3" t="str">
        <f ca="1">IFERROR(__xludf.DUMMYFUNCTION("""COMPUTED_VALUE"""),"0794646355")</f>
        <v>0794646355</v>
      </c>
      <c r="K2246" s="2" t="str">
        <f ca="1">IFERROR(__xludf.DUMMYFUNCTION("""COMPUTED_VALUE"""),"1732819066161")</f>
        <v>1732819066161</v>
      </c>
    </row>
    <row r="2247" spans="1:11" ht="12.45">
      <c r="A2247" s="2" t="str">
        <f ca="1">IFERROR(__xludf.DUMMYFUNCTION("""COMPUTED_VALUE"""),"1732819115765")</f>
        <v>1732819115765</v>
      </c>
      <c r="B2247" s="2"/>
      <c r="C2247" s="2" t="str">
        <v>0</v>
      </c>
      <c r="D2247" s="2"/>
      <c r="F2247" s="2" t="str">
        <v>0</v>
      </c>
      <c r="I2247" s="2" t="str">
        <f ca="1">IFERROR(__xludf.DUMMYFUNCTION("""COMPUTED_VALUE"""),"Trịnh Hoàng Yến")</f>
        <v>Trịnh Hoàng Yến</v>
      </c>
      <c r="J2247" s="3" t="str">
        <f ca="1">IFERROR(__xludf.DUMMYFUNCTION("""COMPUTED_VALUE"""),"0363957898")</f>
        <v>0363957898</v>
      </c>
      <c r="K2247" s="2" t="str">
        <f ca="1">IFERROR(__xludf.DUMMYFUNCTION("""COMPUTED_VALUE"""),"1732819115765")</f>
        <v>1732819115765</v>
      </c>
    </row>
    <row r="2248" spans="1:11" ht="12.45">
      <c r="A2248" s="2" t="str">
        <f ca="1">IFERROR(__xludf.DUMMYFUNCTION("""COMPUTED_VALUE"""),"1732819159142")</f>
        <v>1732819159142</v>
      </c>
      <c r="B2248" s="2"/>
      <c r="C2248" s="2" t="str">
        <v>0</v>
      </c>
      <c r="D2248" s="2"/>
      <c r="F2248" s="2" t="str">
        <v>0</v>
      </c>
      <c r="I2248" s="2" t="str">
        <f ca="1">IFERROR(__xludf.DUMMYFUNCTION("""COMPUTED_VALUE"""),"Trần Ngọc Khánh Huyền")</f>
        <v>Trần Ngọc Khánh Huyền</v>
      </c>
      <c r="J2248" s="3" t="str">
        <f ca="1">IFERROR(__xludf.DUMMYFUNCTION("""COMPUTED_VALUE"""),"0854602215")</f>
        <v>0854602215</v>
      </c>
      <c r="K2248" s="2" t="str">
        <f ca="1">IFERROR(__xludf.DUMMYFUNCTION("""COMPUTED_VALUE"""),"1732819159142")</f>
        <v>1732819159142</v>
      </c>
    </row>
    <row r="2249" spans="1:11" ht="12.45">
      <c r="A2249" s="2" t="str">
        <f ca="1">IFERROR(__xludf.DUMMYFUNCTION("""COMPUTED_VALUE"""),"1732819209364")</f>
        <v>1732819209364</v>
      </c>
      <c r="B2249" s="2"/>
      <c r="C2249" s="2" t="str">
        <v>0</v>
      </c>
      <c r="D2249" s="2"/>
      <c r="F2249" s="2" t="str">
        <v>0</v>
      </c>
      <c r="I2249" s="2" t="str">
        <f ca="1">IFERROR(__xludf.DUMMYFUNCTION("""COMPUTED_VALUE"""),"Trần Ngọc Mai")</f>
        <v>Trần Ngọc Mai</v>
      </c>
      <c r="J2249" s="3" t="str">
        <f ca="1">IFERROR(__xludf.DUMMYFUNCTION("""COMPUTED_VALUE"""),"0984993087")</f>
        <v>0984993087</v>
      </c>
      <c r="K2249" s="2" t="str">
        <f ca="1">IFERROR(__xludf.DUMMYFUNCTION("""COMPUTED_VALUE"""),"1732819209364")</f>
        <v>1732819209364</v>
      </c>
    </row>
    <row r="2250" spans="1:11" ht="12.45">
      <c r="A2250" s="2" t="str">
        <f ca="1">IFERROR(__xludf.DUMMYFUNCTION("""COMPUTED_VALUE"""),"1732819242551")</f>
        <v>1732819242551</v>
      </c>
      <c r="B2250" s="2"/>
      <c r="C2250" s="2" t="str">
        <v>0</v>
      </c>
      <c r="D2250" s="2"/>
      <c r="F2250" s="2" t="str">
        <v>0</v>
      </c>
      <c r="I2250" s="2" t="str">
        <f ca="1">IFERROR(__xludf.DUMMYFUNCTION("""COMPUTED_VALUE"""),"Nguyễn Minh Hiếu")</f>
        <v>Nguyễn Minh Hiếu</v>
      </c>
      <c r="J2250" s="3" t="str">
        <f ca="1">IFERROR(__xludf.DUMMYFUNCTION("""COMPUTED_VALUE"""),"0332782038")</f>
        <v>0332782038</v>
      </c>
      <c r="K2250" s="2" t="str">
        <f ca="1">IFERROR(__xludf.DUMMYFUNCTION("""COMPUTED_VALUE"""),"1732819242551")</f>
        <v>1732819242551</v>
      </c>
    </row>
    <row r="2251" spans="1:11" ht="12.45">
      <c r="A2251" s="2" t="str">
        <f ca="1">IFERROR(__xludf.DUMMYFUNCTION("""COMPUTED_VALUE"""),"1732819280301")</f>
        <v>1732819280301</v>
      </c>
      <c r="B2251" s="2"/>
      <c r="C2251" s="2" t="str">
        <v>0</v>
      </c>
      <c r="D2251" s="2"/>
      <c r="F2251" s="2" t="str">
        <v>0</v>
      </c>
      <c r="I2251" s="2" t="str">
        <f ca="1">IFERROR(__xludf.DUMMYFUNCTION("""COMPUTED_VALUE"""),"Đỗ Quỳnh Giang")</f>
        <v>Đỗ Quỳnh Giang</v>
      </c>
      <c r="J2251" s="3" t="str">
        <f ca="1">IFERROR(__xludf.DUMMYFUNCTION("""COMPUTED_VALUE"""),"0914692007")</f>
        <v>0914692007</v>
      </c>
      <c r="K2251" s="2" t="str">
        <f ca="1">IFERROR(__xludf.DUMMYFUNCTION("""COMPUTED_VALUE"""),"1732819280301")</f>
        <v>1732819280301</v>
      </c>
    </row>
    <row r="2252" spans="1:11" ht="12.45">
      <c r="A2252" s="2" t="str">
        <f ca="1">IFERROR(__xludf.DUMMYFUNCTION("""COMPUTED_VALUE"""),"1732819333313")</f>
        <v>1732819333313</v>
      </c>
      <c r="B2252" s="2"/>
      <c r="C2252" s="2" t="str">
        <v>0</v>
      </c>
      <c r="D2252" s="2"/>
      <c r="F2252" s="2" t="str">
        <v>0</v>
      </c>
      <c r="I2252" s="2" t="str">
        <f ca="1">IFERROR(__xludf.DUMMYFUNCTION("""COMPUTED_VALUE"""),"Bùi Hoa Lê")</f>
        <v>Bùi Hoa Lê</v>
      </c>
      <c r="J2252" s="3" t="str">
        <f ca="1">IFERROR(__xludf.DUMMYFUNCTION("""COMPUTED_VALUE"""),"0382888300")</f>
        <v>0382888300</v>
      </c>
      <c r="K2252" s="2" t="str">
        <f ca="1">IFERROR(__xludf.DUMMYFUNCTION("""COMPUTED_VALUE"""),"1732819333313")</f>
        <v>1732819333313</v>
      </c>
    </row>
    <row r="2253" spans="1:11" ht="12.45">
      <c r="A2253" s="2" t="str">
        <f ca="1">IFERROR(__xludf.DUMMYFUNCTION("""COMPUTED_VALUE"""),"1732819367520")</f>
        <v>1732819367520</v>
      </c>
      <c r="B2253" s="2"/>
      <c r="C2253" s="2" t="str">
        <v>0</v>
      </c>
      <c r="D2253" s="2"/>
      <c r="F2253" s="2" t="str">
        <v>0</v>
      </c>
      <c r="I2253" s="2" t="str">
        <f ca="1">IFERROR(__xludf.DUMMYFUNCTION("""COMPUTED_VALUE"""),"Huỳnh Hồ Thục Uyên ")</f>
        <v xml:space="preserve">Huỳnh Hồ Thục Uyên </v>
      </c>
      <c r="J2253" s="3" t="str">
        <f ca="1">IFERROR(__xludf.DUMMYFUNCTION("""COMPUTED_VALUE"""),"0869131849")</f>
        <v>0869131849</v>
      </c>
      <c r="K2253" s="2" t="str">
        <f ca="1">IFERROR(__xludf.DUMMYFUNCTION("""COMPUTED_VALUE"""),"1732819367520")</f>
        <v>1732819367520</v>
      </c>
    </row>
    <row r="2254" spans="1:11" ht="12.45">
      <c r="A2254" s="2" t="str">
        <f ca="1">IFERROR(__xludf.DUMMYFUNCTION("""COMPUTED_VALUE"""),"1732819394419")</f>
        <v>1732819394419</v>
      </c>
      <c r="B2254" s="2"/>
      <c r="C2254" s="2" t="str">
        <v>0</v>
      </c>
      <c r="D2254" s="2"/>
      <c r="F2254" s="2" t="str">
        <v>0</v>
      </c>
      <c r="I2254" s="2" t="str">
        <f ca="1">IFERROR(__xludf.DUMMYFUNCTION("""COMPUTED_VALUE"""),"Nguyễn Yến Nhi ")</f>
        <v xml:space="preserve">Nguyễn Yến Nhi </v>
      </c>
      <c r="J2254" s="3" t="str">
        <f ca="1">IFERROR(__xludf.DUMMYFUNCTION("""COMPUTED_VALUE"""),"0987092049")</f>
        <v>0987092049</v>
      </c>
      <c r="K2254" s="2" t="str">
        <f ca="1">IFERROR(__xludf.DUMMYFUNCTION("""COMPUTED_VALUE"""),"1732819394419")</f>
        <v>1732819394419</v>
      </c>
    </row>
    <row r="2255" spans="1:11" ht="12.45">
      <c r="A2255" s="2" t="str">
        <f ca="1">IFERROR(__xludf.DUMMYFUNCTION("""COMPUTED_VALUE"""),"1732819429274")</f>
        <v>1732819429274</v>
      </c>
      <c r="B2255" s="2"/>
      <c r="C2255" s="2" t="str">
        <v>0</v>
      </c>
      <c r="D2255" s="2"/>
      <c r="F2255" s="2" t="str">
        <v>0</v>
      </c>
      <c r="I2255" s="2" t="str">
        <f ca="1">IFERROR(__xludf.DUMMYFUNCTION("""COMPUTED_VALUE"""),"Hoàng Bảo Nhi")</f>
        <v>Hoàng Bảo Nhi</v>
      </c>
      <c r="J2255" s="3" t="str">
        <f ca="1">IFERROR(__xludf.DUMMYFUNCTION("""COMPUTED_VALUE"""),"0947036369")</f>
        <v>0947036369</v>
      </c>
      <c r="K2255" s="2" t="str">
        <f ca="1">IFERROR(__xludf.DUMMYFUNCTION("""COMPUTED_VALUE"""),"1732819429274")</f>
        <v>1732819429274</v>
      </c>
    </row>
    <row r="2256" spans="1:11" ht="12.45">
      <c r="A2256" s="2" t="str">
        <f ca="1">IFERROR(__xludf.DUMMYFUNCTION("""COMPUTED_VALUE"""),"1732819499260")</f>
        <v>1732819499260</v>
      </c>
      <c r="B2256" s="2"/>
      <c r="C2256" s="2" t="str">
        <v>0</v>
      </c>
      <c r="D2256" s="2"/>
      <c r="F2256" s="2" t="str">
        <v>0</v>
      </c>
      <c r="I2256" s="2" t="str">
        <f ca="1">IFERROR(__xludf.DUMMYFUNCTION("""COMPUTED_VALUE"""),"Lê Thu Phương ")</f>
        <v xml:space="preserve">Lê Thu Phương </v>
      </c>
      <c r="J2256" s="3" t="str">
        <f ca="1">IFERROR(__xludf.DUMMYFUNCTION("""COMPUTED_VALUE"""),"0975349232")</f>
        <v>0975349232</v>
      </c>
      <c r="K2256" s="2" t="str">
        <f ca="1">IFERROR(__xludf.DUMMYFUNCTION("""COMPUTED_VALUE"""),"1732819499260")</f>
        <v>1732819499260</v>
      </c>
    </row>
    <row r="2257" spans="1:11" ht="12.45">
      <c r="A2257" s="2" t="str">
        <f ca="1">IFERROR(__xludf.DUMMYFUNCTION("""COMPUTED_VALUE"""),"1732819554697")</f>
        <v>1732819554697</v>
      </c>
      <c r="B2257" s="2"/>
      <c r="C2257" s="2" t="str">
        <v>0</v>
      </c>
      <c r="D2257" s="2"/>
      <c r="F2257" s="2" t="str">
        <v>0</v>
      </c>
      <c r="I2257" s="2" t="str">
        <f ca="1">IFERROR(__xludf.DUMMYFUNCTION("""COMPUTED_VALUE"""),"Nguyễn thị lan hương")</f>
        <v>Nguyễn thị lan hương</v>
      </c>
      <c r="J2257" s="3" t="str">
        <f ca="1">IFERROR(__xludf.DUMMYFUNCTION("""COMPUTED_VALUE"""),"0326491557")</f>
        <v>0326491557</v>
      </c>
      <c r="K2257" s="2" t="str">
        <f ca="1">IFERROR(__xludf.DUMMYFUNCTION("""COMPUTED_VALUE"""),"1732819554697")</f>
        <v>1732819554697</v>
      </c>
    </row>
    <row r="2258" spans="1:11" ht="12.45">
      <c r="A2258" s="2" t="str">
        <f ca="1">IFERROR(__xludf.DUMMYFUNCTION("""COMPUTED_VALUE"""),"1732819632044")</f>
        <v>1732819632044</v>
      </c>
      <c r="B2258" s="2"/>
      <c r="C2258" s="2" t="str">
        <v>0</v>
      </c>
      <c r="D2258" s="2"/>
      <c r="F2258" s="2" t="str">
        <v>0</v>
      </c>
      <c r="I2258" s="2" t="str">
        <f ca="1">IFERROR(__xludf.DUMMYFUNCTION("""COMPUTED_VALUE"""),"Nguyễn Hồng Thuỵ")</f>
        <v>Nguyễn Hồng Thuỵ</v>
      </c>
      <c r="J2258" s="3" t="str">
        <f ca="1">IFERROR(__xludf.DUMMYFUNCTION("""COMPUTED_VALUE"""),"0961001861")</f>
        <v>0961001861</v>
      </c>
      <c r="K2258" s="2" t="str">
        <f ca="1">IFERROR(__xludf.DUMMYFUNCTION("""COMPUTED_VALUE"""),"1732819632044")</f>
        <v>1732819632044</v>
      </c>
    </row>
    <row r="2259" spans="1:11" ht="12.45">
      <c r="A2259" s="2" t="str">
        <f ca="1">IFERROR(__xludf.DUMMYFUNCTION("""COMPUTED_VALUE"""),"1732819678190")</f>
        <v>1732819678190</v>
      </c>
      <c r="B2259" s="2"/>
      <c r="C2259" s="2" t="str">
        <v>0</v>
      </c>
      <c r="D2259" s="2"/>
      <c r="F2259" s="2" t="str">
        <v>0</v>
      </c>
      <c r="I2259" s="2" t="str">
        <f ca="1">IFERROR(__xludf.DUMMYFUNCTION("""COMPUTED_VALUE"""),"Ngô Minh Kim Giao")</f>
        <v>Ngô Minh Kim Giao</v>
      </c>
      <c r="J2259" s="3" t="str">
        <f ca="1">IFERROR(__xludf.DUMMYFUNCTION("""COMPUTED_VALUE"""),"0332261590")</f>
        <v>0332261590</v>
      </c>
      <c r="K2259" s="2" t="str">
        <f ca="1">IFERROR(__xludf.DUMMYFUNCTION("""COMPUTED_VALUE"""),"1732819678190")</f>
        <v>1732819678190</v>
      </c>
    </row>
    <row r="2260" spans="1:11" ht="12.45">
      <c r="A2260" s="2" t="str">
        <f ca="1">IFERROR(__xludf.DUMMYFUNCTION("""COMPUTED_VALUE"""),"1732819740844")</f>
        <v>1732819740844</v>
      </c>
      <c r="B2260" s="2"/>
      <c r="C2260" s="2" t="str">
        <v>0</v>
      </c>
      <c r="D2260" s="2"/>
      <c r="F2260" s="2" t="str">
        <v>0</v>
      </c>
      <c r="I2260" s="2" t="str">
        <f ca="1">IFERROR(__xludf.DUMMYFUNCTION("""COMPUTED_VALUE"""),"Tạ Yến Nhi")</f>
        <v>Tạ Yến Nhi</v>
      </c>
      <c r="J2260" s="3" t="str">
        <f ca="1">IFERROR(__xludf.DUMMYFUNCTION("""COMPUTED_VALUE"""),"0378510312")</f>
        <v>0378510312</v>
      </c>
      <c r="K2260" s="2" t="str">
        <f ca="1">IFERROR(__xludf.DUMMYFUNCTION("""COMPUTED_VALUE"""),"1732819740844")</f>
        <v>1732819740844</v>
      </c>
    </row>
    <row r="2261" spans="1:11" ht="12.45">
      <c r="A2261" s="2" t="str">
        <f ca="1">IFERROR(__xludf.DUMMYFUNCTION("""COMPUTED_VALUE"""),"1732819798529")</f>
        <v>1732819798529</v>
      </c>
      <c r="B2261" s="2"/>
      <c r="C2261" s="2" t="str">
        <v>0</v>
      </c>
      <c r="D2261" s="2"/>
      <c r="F2261" s="2" t="str">
        <v>0</v>
      </c>
      <c r="I2261" s="2" t="str">
        <f ca="1">IFERROR(__xludf.DUMMYFUNCTION("""COMPUTED_VALUE"""),"Nguyễn Thu Trang")</f>
        <v>Nguyễn Thu Trang</v>
      </c>
      <c r="J2261" s="3" t="str">
        <f ca="1">IFERROR(__xludf.DUMMYFUNCTION("""COMPUTED_VALUE"""),"0843052559")</f>
        <v>0843052559</v>
      </c>
      <c r="K2261" s="2" t="str">
        <f ca="1">IFERROR(__xludf.DUMMYFUNCTION("""COMPUTED_VALUE"""),"1732819798529")</f>
        <v>1732819798529</v>
      </c>
    </row>
    <row r="2262" spans="1:11" ht="12.45">
      <c r="A2262" s="2" t="str">
        <f ca="1">IFERROR(__xludf.DUMMYFUNCTION("""COMPUTED_VALUE"""),"1732819832200")</f>
        <v>1732819832200</v>
      </c>
      <c r="B2262" s="2"/>
      <c r="C2262" s="2" t="str">
        <v>0</v>
      </c>
      <c r="D2262" s="2"/>
      <c r="F2262" s="2" t="str">
        <v>0</v>
      </c>
      <c r="I2262" s="2" t="str">
        <f ca="1">IFERROR(__xludf.DUMMYFUNCTION("""COMPUTED_VALUE"""),"Nguyễn thị thu trang ")</f>
        <v xml:space="preserve">Nguyễn thị thu trang </v>
      </c>
      <c r="J2262" s="3" t="str">
        <f ca="1">IFERROR(__xludf.DUMMYFUNCTION("""COMPUTED_VALUE"""),"0968197882")</f>
        <v>0968197882</v>
      </c>
      <c r="K2262" s="2" t="str">
        <f ca="1">IFERROR(__xludf.DUMMYFUNCTION("""COMPUTED_VALUE"""),"1732819832200")</f>
        <v>1732819832200</v>
      </c>
    </row>
    <row r="2263" spans="1:11" ht="12.45">
      <c r="A2263" s="2" t="str">
        <f ca="1">IFERROR(__xludf.DUMMYFUNCTION("""COMPUTED_VALUE"""),"1732819866461")</f>
        <v>1732819866461</v>
      </c>
      <c r="B2263" s="2"/>
      <c r="C2263" s="2" t="str">
        <v>0</v>
      </c>
      <c r="D2263" s="2"/>
      <c r="F2263" s="2" t="str">
        <v>0</v>
      </c>
      <c r="I2263" s="2" t="str">
        <f ca="1">IFERROR(__xludf.DUMMYFUNCTION("""COMPUTED_VALUE"""),"Khổng Ngô Ngọc Ánh")</f>
        <v>Khổng Ngô Ngọc Ánh</v>
      </c>
      <c r="J2263" s="3" t="str">
        <f ca="1">IFERROR(__xludf.DUMMYFUNCTION("""COMPUTED_VALUE"""),"0353406663")</f>
        <v>0353406663</v>
      </c>
      <c r="K2263" s="2" t="str">
        <f ca="1">IFERROR(__xludf.DUMMYFUNCTION("""COMPUTED_VALUE"""),"1732819866461")</f>
        <v>1732819866461</v>
      </c>
    </row>
    <row r="2264" spans="1:11" ht="12.45">
      <c r="A2264" s="2" t="str">
        <f ca="1">IFERROR(__xludf.DUMMYFUNCTION("""COMPUTED_VALUE"""),"1732819913406")</f>
        <v>1732819913406</v>
      </c>
      <c r="B2264" s="2"/>
      <c r="C2264" s="2" t="str">
        <v>0</v>
      </c>
      <c r="D2264" s="2"/>
      <c r="F2264" s="2" t="str">
        <v>0</v>
      </c>
      <c r="I2264" s="2" t="str">
        <f ca="1">IFERROR(__xludf.DUMMYFUNCTION("""COMPUTED_VALUE"""),"Nguyễn Thế Hiếu")</f>
        <v>Nguyễn Thế Hiếu</v>
      </c>
      <c r="J2264" s="3" t="str">
        <f ca="1">IFERROR(__xludf.DUMMYFUNCTION("""COMPUTED_VALUE"""),"0375726524")</f>
        <v>0375726524</v>
      </c>
      <c r="K2264" s="2" t="str">
        <f ca="1">IFERROR(__xludf.DUMMYFUNCTION("""COMPUTED_VALUE"""),"1732819913406")</f>
        <v>1732819913406</v>
      </c>
    </row>
    <row r="2265" spans="1:11" ht="12.45">
      <c r="A2265" s="2" t="str">
        <f ca="1">IFERROR(__xludf.DUMMYFUNCTION("""COMPUTED_VALUE"""),"1732819945752")</f>
        <v>1732819945752</v>
      </c>
      <c r="B2265" s="2"/>
      <c r="C2265" s="2" t="str">
        <v>0</v>
      </c>
      <c r="D2265" s="2"/>
      <c r="F2265" s="2" t="str">
        <v>0</v>
      </c>
      <c r="I2265" s="2" t="str">
        <f ca="1">IFERROR(__xludf.DUMMYFUNCTION("""COMPUTED_VALUE"""),"Nguyễn Phương Anh")</f>
        <v>Nguyễn Phương Anh</v>
      </c>
      <c r="J2265" s="3" t="str">
        <f ca="1">IFERROR(__xludf.DUMMYFUNCTION("""COMPUTED_VALUE"""),"0357893573")</f>
        <v>0357893573</v>
      </c>
      <c r="K2265" s="2" t="str">
        <f ca="1">IFERROR(__xludf.DUMMYFUNCTION("""COMPUTED_VALUE"""),"1732819945752")</f>
        <v>1732819945752</v>
      </c>
    </row>
    <row r="2266" spans="1:11" ht="12.45">
      <c r="A2266" s="2" t="str">
        <f ca="1">IFERROR(__xludf.DUMMYFUNCTION("""COMPUTED_VALUE"""),"1732819971068")</f>
        <v>1732819971068</v>
      </c>
      <c r="B2266" s="2"/>
      <c r="C2266" s="2" t="str">
        <v>0</v>
      </c>
      <c r="D2266" s="2"/>
      <c r="F2266" s="2" t="str">
        <v>0</v>
      </c>
      <c r="I2266" s="2" t="str">
        <f ca="1">IFERROR(__xludf.DUMMYFUNCTION("""COMPUTED_VALUE"""),"Trần Thị Quỳnh Anh ")</f>
        <v xml:space="preserve">Trần Thị Quỳnh Anh </v>
      </c>
      <c r="J2266" s="3" t="str">
        <f ca="1">IFERROR(__xludf.DUMMYFUNCTION("""COMPUTED_VALUE"""),"0373703826")</f>
        <v>0373703826</v>
      </c>
      <c r="K2266" s="2" t="str">
        <f ca="1">IFERROR(__xludf.DUMMYFUNCTION("""COMPUTED_VALUE"""),"1732819971068")</f>
        <v>1732819971068</v>
      </c>
    </row>
    <row r="2267" spans="1:11" ht="12.45">
      <c r="A2267" s="2" t="str">
        <f ca="1">IFERROR(__xludf.DUMMYFUNCTION("""COMPUTED_VALUE"""),"1732820008613")</f>
        <v>1732820008613</v>
      </c>
      <c r="B2267" s="2"/>
      <c r="C2267" s="2" t="str">
        <v>0</v>
      </c>
      <c r="D2267" s="2"/>
      <c r="F2267" s="2" t="str">
        <v>0</v>
      </c>
      <c r="I2267" s="2" t="str">
        <f ca="1">IFERROR(__xludf.DUMMYFUNCTION("""COMPUTED_VALUE"""),"Trần Minh Ngọc")</f>
        <v>Trần Minh Ngọc</v>
      </c>
      <c r="J2267" s="3" t="str">
        <f ca="1">IFERROR(__xludf.DUMMYFUNCTION("""COMPUTED_VALUE"""),"0356039912")</f>
        <v>0356039912</v>
      </c>
      <c r="K2267" s="2" t="str">
        <f ca="1">IFERROR(__xludf.DUMMYFUNCTION("""COMPUTED_VALUE"""),"1732820008613")</f>
        <v>1732820008613</v>
      </c>
    </row>
    <row r="2268" spans="1:11" ht="12.45">
      <c r="A2268" s="2" t="str">
        <f ca="1">IFERROR(__xludf.DUMMYFUNCTION("""COMPUTED_VALUE"""),"1733290609945")</f>
        <v>1733290609945</v>
      </c>
      <c r="B2268" s="2"/>
      <c r="C2268" s="2" t="str">
        <v>0</v>
      </c>
      <c r="D2268" s="2"/>
      <c r="F2268" s="2" t="str">
        <v>0</v>
      </c>
      <c r="I2268" s="2" t="str">
        <f ca="1">IFERROR(__xludf.DUMMYFUNCTION("""COMPUTED_VALUE"""),"Tô Vạn Thông ")</f>
        <v xml:space="preserve">Tô Vạn Thông </v>
      </c>
      <c r="J2268" s="3" t="str">
        <f ca="1">IFERROR(__xludf.DUMMYFUNCTION("""COMPUTED_VALUE"""),"0856218264")</f>
        <v>0856218264</v>
      </c>
      <c r="K2268" s="2" t="str">
        <f ca="1">IFERROR(__xludf.DUMMYFUNCTION("""COMPUTED_VALUE"""),"1733290609945")</f>
        <v>1733290609945</v>
      </c>
    </row>
    <row r="2269" spans="1:11" ht="12.45">
      <c r="A2269" s="2" t="str">
        <f ca="1">IFERROR(__xludf.DUMMYFUNCTION("""COMPUTED_VALUE"""),"1733290691283")</f>
        <v>1733290691283</v>
      </c>
      <c r="B2269" s="2"/>
      <c r="C2269" s="2" t="str">
        <v>0</v>
      </c>
      <c r="D2269" s="2"/>
      <c r="F2269" s="2" t="str">
        <v>0</v>
      </c>
      <c r="I2269" s="2" t="str">
        <f ca="1">IFERROR(__xludf.DUMMYFUNCTION("""COMPUTED_VALUE"""),"Nguyễn Thị Yến Nhi")</f>
        <v>Nguyễn Thị Yến Nhi</v>
      </c>
      <c r="J2269" s="3" t="str">
        <f ca="1">IFERROR(__xludf.DUMMYFUNCTION("""COMPUTED_VALUE"""),"0833381389")</f>
        <v>0833381389</v>
      </c>
      <c r="K2269" s="2" t="str">
        <f ca="1">IFERROR(__xludf.DUMMYFUNCTION("""COMPUTED_VALUE"""),"1733290691283")</f>
        <v>1733290691283</v>
      </c>
    </row>
    <row r="2270" spans="1:11" ht="12.45">
      <c r="A2270" s="2" t="str">
        <f ca="1">IFERROR(__xludf.DUMMYFUNCTION("""COMPUTED_VALUE"""),"1733290738042")</f>
        <v>1733290738042</v>
      </c>
      <c r="B2270" s="2"/>
      <c r="C2270" s="2" t="str">
        <v>0</v>
      </c>
      <c r="D2270" s="2"/>
      <c r="F2270" s="2" t="str">
        <v>0</v>
      </c>
      <c r="I2270" s="2" t="str">
        <f ca="1">IFERROR(__xludf.DUMMYFUNCTION("""COMPUTED_VALUE"""),"Ngô Hà Gia Phúc")</f>
        <v>Ngô Hà Gia Phúc</v>
      </c>
      <c r="J2270" s="3" t="str">
        <f ca="1">IFERROR(__xludf.DUMMYFUNCTION("""COMPUTED_VALUE"""),"0878061349")</f>
        <v>0878061349</v>
      </c>
      <c r="K2270" s="2" t="str">
        <f ca="1">IFERROR(__xludf.DUMMYFUNCTION("""COMPUTED_VALUE"""),"1733290738042")</f>
        <v>1733290738042</v>
      </c>
    </row>
    <row r="2271" spans="1:11" ht="12.45">
      <c r="A2271" s="2" t="str">
        <f ca="1">IFERROR(__xludf.DUMMYFUNCTION("""COMPUTED_VALUE"""),"1733290786214")</f>
        <v>1733290786214</v>
      </c>
      <c r="B2271" s="2"/>
      <c r="C2271" s="2" t="str">
        <v>0</v>
      </c>
      <c r="D2271" s="2"/>
      <c r="F2271" s="2" t="str">
        <v>0</v>
      </c>
      <c r="I2271" s="2" t="str">
        <f ca="1">IFERROR(__xludf.DUMMYFUNCTION("""COMPUTED_VALUE"""),"Nguyễn Lê Ngọc Khánh")</f>
        <v>Nguyễn Lê Ngọc Khánh</v>
      </c>
      <c r="J2271" s="3" t="str">
        <f ca="1">IFERROR(__xludf.DUMMYFUNCTION("""COMPUTED_VALUE"""),"0796555838")</f>
        <v>0796555838</v>
      </c>
      <c r="K2271" s="2" t="str">
        <f ca="1">IFERROR(__xludf.DUMMYFUNCTION("""COMPUTED_VALUE"""),"1733290786214")</f>
        <v>1733290786214</v>
      </c>
    </row>
    <row r="2272" spans="1:11" ht="12.45">
      <c r="A2272" s="2" t="str">
        <f ca="1">IFERROR(__xludf.DUMMYFUNCTION("""COMPUTED_VALUE"""),"1733290829005")</f>
        <v>1733290829005</v>
      </c>
      <c r="B2272" s="2"/>
      <c r="C2272" s="2" t="str">
        <v>0</v>
      </c>
      <c r="D2272" s="2"/>
      <c r="F2272" s="2" t="str">
        <v>0</v>
      </c>
      <c r="I2272" s="2" t="str">
        <f ca="1">IFERROR(__xludf.DUMMYFUNCTION("""COMPUTED_VALUE"""),"Phạm Bùi Khánh Linh")</f>
        <v>Phạm Bùi Khánh Linh</v>
      </c>
      <c r="J2272" s="3" t="str">
        <f ca="1">IFERROR(__xludf.DUMMYFUNCTION("""COMPUTED_VALUE"""),"0977380624")</f>
        <v>0977380624</v>
      </c>
      <c r="K2272" s="2" t="str">
        <f ca="1">IFERROR(__xludf.DUMMYFUNCTION("""COMPUTED_VALUE"""),"1733290829005")</f>
        <v>1733290829005</v>
      </c>
    </row>
    <row r="2273" spans="1:11" ht="12.45">
      <c r="A2273" s="2" t="str">
        <f ca="1">IFERROR(__xludf.DUMMYFUNCTION("""COMPUTED_VALUE"""),"1733290877950")</f>
        <v>1733290877950</v>
      </c>
      <c r="B2273" s="2"/>
      <c r="C2273" s="2" t="str">
        <v>0</v>
      </c>
      <c r="D2273" s="2"/>
      <c r="F2273" s="2" t="str">
        <v>0</v>
      </c>
      <c r="I2273" s="2" t="str">
        <f ca="1">IFERROR(__xludf.DUMMYFUNCTION("""COMPUTED_VALUE"""),"Nguyễn Văn Hoàng")</f>
        <v>Nguyễn Văn Hoàng</v>
      </c>
      <c r="J2273" s="3" t="str">
        <f ca="1">IFERROR(__xludf.DUMMYFUNCTION("""COMPUTED_VALUE"""),"0348653272")</f>
        <v>0348653272</v>
      </c>
      <c r="K2273" s="2" t="str">
        <f ca="1">IFERROR(__xludf.DUMMYFUNCTION("""COMPUTED_VALUE"""),"1733290877950")</f>
        <v>1733290877950</v>
      </c>
    </row>
    <row r="2274" spans="1:11" ht="12.45">
      <c r="A2274" s="2" t="str">
        <f ca="1">IFERROR(__xludf.DUMMYFUNCTION("""COMPUTED_VALUE"""),"1733290935254")</f>
        <v>1733290935254</v>
      </c>
      <c r="B2274" s="2"/>
      <c r="C2274" s="2" t="str">
        <v>0</v>
      </c>
      <c r="D2274" s="2"/>
      <c r="F2274" s="2" t="str">
        <v>0</v>
      </c>
      <c r="I2274" s="2" t="str">
        <f ca="1">IFERROR(__xludf.DUMMYFUNCTION("""COMPUTED_VALUE"""),"Nguyễn Thị Thu Hà")</f>
        <v>Nguyễn Thị Thu Hà</v>
      </c>
      <c r="J2274" s="3" t="str">
        <f ca="1">IFERROR(__xludf.DUMMYFUNCTION("""COMPUTED_VALUE"""),"0979172680")</f>
        <v>0979172680</v>
      </c>
      <c r="K2274" s="2" t="str">
        <f ca="1">IFERROR(__xludf.DUMMYFUNCTION("""COMPUTED_VALUE"""),"1733290935254")</f>
        <v>1733290935254</v>
      </c>
    </row>
    <row r="2275" spans="1:11" ht="12.45">
      <c r="A2275" s="2" t="str">
        <f ca="1">IFERROR(__xludf.DUMMYFUNCTION("""COMPUTED_VALUE"""),"1733290975211")</f>
        <v>1733290975211</v>
      </c>
      <c r="B2275" s="2"/>
      <c r="C2275" s="2" t="str">
        <v>0</v>
      </c>
      <c r="D2275" s="2"/>
      <c r="F2275" s="2" t="str">
        <v>0</v>
      </c>
      <c r="I2275" s="2" t="str">
        <f ca="1">IFERROR(__xludf.DUMMYFUNCTION("""COMPUTED_VALUE"""),"Trịnh Mai Linh")</f>
        <v>Trịnh Mai Linh</v>
      </c>
      <c r="J2275" s="3" t="str">
        <f ca="1">IFERROR(__xludf.DUMMYFUNCTION("""COMPUTED_VALUE"""),"0862943134")</f>
        <v>0862943134</v>
      </c>
      <c r="K2275" s="2" t="str">
        <f ca="1">IFERROR(__xludf.DUMMYFUNCTION("""COMPUTED_VALUE"""),"1733290975211")</f>
        <v>1733290975211</v>
      </c>
    </row>
    <row r="2276" spans="1:11" ht="12.45">
      <c r="A2276" s="2" t="str">
        <f ca="1">IFERROR(__xludf.DUMMYFUNCTION("""COMPUTED_VALUE"""),"1733291025464")</f>
        <v>1733291025464</v>
      </c>
      <c r="B2276" s="2"/>
      <c r="C2276" s="2" t="str">
        <v>0</v>
      </c>
      <c r="D2276" s="2"/>
      <c r="F2276" s="2" t="str">
        <v>0</v>
      </c>
      <c r="I2276" s="2" t="str">
        <f ca="1">IFERROR(__xludf.DUMMYFUNCTION("""COMPUTED_VALUE"""),"Nguyễn Thị He Nin ")</f>
        <v xml:space="preserve">Nguyễn Thị He Nin </v>
      </c>
      <c r="J2276" s="3" t="str">
        <f ca="1">IFERROR(__xludf.DUMMYFUNCTION("""COMPUTED_VALUE"""),"0347788972")</f>
        <v>0347788972</v>
      </c>
      <c r="K2276" s="2" t="str">
        <f ca="1">IFERROR(__xludf.DUMMYFUNCTION("""COMPUTED_VALUE"""),"1733291025464")</f>
        <v>1733291025464</v>
      </c>
    </row>
    <row r="2277" spans="1:11" ht="12.45">
      <c r="A2277" s="2" t="str">
        <f ca="1">IFERROR(__xludf.DUMMYFUNCTION("""COMPUTED_VALUE"""),"1733291064535")</f>
        <v>1733291064535</v>
      </c>
      <c r="B2277" s="2"/>
      <c r="C2277" s="2" t="str">
        <v>0</v>
      </c>
      <c r="D2277" s="2"/>
      <c r="F2277" s="2" t="str">
        <v>0</v>
      </c>
      <c r="I2277" s="2" t="str">
        <f ca="1">IFERROR(__xludf.DUMMYFUNCTION("""COMPUTED_VALUE"""),"Nguyễn Diệu Linh")</f>
        <v>Nguyễn Diệu Linh</v>
      </c>
      <c r="J2277" s="3" t="str">
        <f ca="1">IFERROR(__xludf.DUMMYFUNCTION("""COMPUTED_VALUE"""),"0367793425")</f>
        <v>0367793425</v>
      </c>
      <c r="K2277" s="2" t="str">
        <f ca="1">IFERROR(__xludf.DUMMYFUNCTION("""COMPUTED_VALUE"""),"1733291064535")</f>
        <v>1733291064535</v>
      </c>
    </row>
    <row r="2278" spans="1:11" ht="12.45">
      <c r="A2278" s="2" t="str">
        <f ca="1">IFERROR(__xludf.DUMMYFUNCTION("""COMPUTED_VALUE"""),"1733291099057")</f>
        <v>1733291099057</v>
      </c>
      <c r="B2278" s="2"/>
      <c r="C2278" s="2" t="str">
        <v>0</v>
      </c>
      <c r="D2278" s="2"/>
      <c r="F2278" s="2" t="str">
        <v>0</v>
      </c>
      <c r="I2278" s="2" t="str">
        <f ca="1">IFERROR(__xludf.DUMMYFUNCTION("""COMPUTED_VALUE"""),"Đỗ hà cường")</f>
        <v>Đỗ hà cường</v>
      </c>
      <c r="J2278" s="3" t="str">
        <f ca="1">IFERROR(__xludf.DUMMYFUNCTION("""COMPUTED_VALUE"""),"0389174560")</f>
        <v>0389174560</v>
      </c>
      <c r="K2278" s="2" t="str">
        <f ca="1">IFERROR(__xludf.DUMMYFUNCTION("""COMPUTED_VALUE"""),"1733291099057")</f>
        <v>1733291099057</v>
      </c>
    </row>
    <row r="2279" spans="1:11" ht="12.45">
      <c r="A2279" s="2" t="str">
        <f ca="1">IFERROR(__xludf.DUMMYFUNCTION("""COMPUTED_VALUE"""),"1733291142658")</f>
        <v>1733291142658</v>
      </c>
      <c r="B2279" s="2"/>
      <c r="C2279" s="2" t="str">
        <v>0</v>
      </c>
      <c r="D2279" s="2"/>
      <c r="F2279" s="2" t="str">
        <v>0</v>
      </c>
      <c r="I2279" s="2" t="str">
        <f ca="1">IFERROR(__xludf.DUMMYFUNCTION("""COMPUTED_VALUE"""),"Nguyễn Thanh Nhân ")</f>
        <v xml:space="preserve">Nguyễn Thanh Nhân </v>
      </c>
      <c r="J2279" s="3" t="str">
        <f ca="1">IFERROR(__xludf.DUMMYFUNCTION("""COMPUTED_VALUE"""),"0975462902")</f>
        <v>0975462902</v>
      </c>
      <c r="K2279" s="2" t="str">
        <f ca="1">IFERROR(__xludf.DUMMYFUNCTION("""COMPUTED_VALUE"""),"1733291142658")</f>
        <v>1733291142658</v>
      </c>
    </row>
    <row r="2280" spans="1:11" ht="12.45">
      <c r="A2280" s="2" t="str">
        <f ca="1">IFERROR(__xludf.DUMMYFUNCTION("""COMPUTED_VALUE"""),"1733291177893")</f>
        <v>1733291177893</v>
      </c>
      <c r="B2280" s="2"/>
      <c r="C2280" s="2" t="str">
        <v>0</v>
      </c>
      <c r="D2280" s="2"/>
      <c r="F2280" s="2" t="str">
        <v>0</v>
      </c>
      <c r="I2280" s="2" t="str">
        <f ca="1">IFERROR(__xludf.DUMMYFUNCTION("""COMPUTED_VALUE"""),"Trần Anh Quang")</f>
        <v>Trần Anh Quang</v>
      </c>
      <c r="J2280" s="3" t="str">
        <f ca="1">IFERROR(__xludf.DUMMYFUNCTION("""COMPUTED_VALUE"""),"0334006907")</f>
        <v>0334006907</v>
      </c>
      <c r="K2280" s="2" t="str">
        <f ca="1">IFERROR(__xludf.DUMMYFUNCTION("""COMPUTED_VALUE"""),"1733291177893")</f>
        <v>1733291177893</v>
      </c>
    </row>
    <row r="2281" spans="1:11" ht="12.45">
      <c r="A2281" s="2" t="str">
        <f ca="1">IFERROR(__xludf.DUMMYFUNCTION("""COMPUTED_VALUE"""),"1733291222863")</f>
        <v>1733291222863</v>
      </c>
      <c r="B2281" s="2"/>
      <c r="C2281" s="2" t="str">
        <v>0</v>
      </c>
      <c r="D2281" s="2"/>
      <c r="F2281" s="2" t="str">
        <v>0</v>
      </c>
      <c r="I2281" s="2" t="str">
        <f ca="1">IFERROR(__xludf.DUMMYFUNCTION("""COMPUTED_VALUE"""),"Lường Thúy Hiền ")</f>
        <v xml:space="preserve">Lường Thúy Hiền </v>
      </c>
      <c r="J2281" s="3" t="str">
        <f ca="1">IFERROR(__xludf.DUMMYFUNCTION("""COMPUTED_VALUE"""),"0334742812")</f>
        <v>0334742812</v>
      </c>
      <c r="K2281" s="2" t="str">
        <f ca="1">IFERROR(__xludf.DUMMYFUNCTION("""COMPUTED_VALUE"""),"1733291222863")</f>
        <v>1733291222863</v>
      </c>
    </row>
    <row r="2282" spans="1:11" ht="12.45">
      <c r="A2282" s="2" t="str">
        <f ca="1">IFERROR(__xludf.DUMMYFUNCTION("""COMPUTED_VALUE"""),"1733291265249")</f>
        <v>1733291265249</v>
      </c>
      <c r="B2282" s="2"/>
      <c r="C2282" s="2" t="str">
        <v>0</v>
      </c>
      <c r="D2282" s="2"/>
      <c r="F2282" s="2" t="str">
        <v>0</v>
      </c>
      <c r="I2282" s="2" t="str">
        <f ca="1">IFERROR(__xludf.DUMMYFUNCTION("""COMPUTED_VALUE"""),"Ngô Bùi Yến Nhi")</f>
        <v>Ngô Bùi Yến Nhi</v>
      </c>
      <c r="J2282" s="3" t="str">
        <f ca="1">IFERROR(__xludf.DUMMYFUNCTION("""COMPUTED_VALUE"""),"0339546379")</f>
        <v>0339546379</v>
      </c>
      <c r="K2282" s="2" t="str">
        <f ca="1">IFERROR(__xludf.DUMMYFUNCTION("""COMPUTED_VALUE"""),"1733291265249")</f>
        <v>1733291265249</v>
      </c>
    </row>
    <row r="2283" spans="1:11" ht="12.45">
      <c r="A2283" s="2" t="str">
        <f ca="1">IFERROR(__xludf.DUMMYFUNCTION("""COMPUTED_VALUE"""),"1733291304498")</f>
        <v>1733291304498</v>
      </c>
      <c r="B2283" s="2"/>
      <c r="C2283" s="2" t="str">
        <v>0</v>
      </c>
      <c r="D2283" s="2"/>
      <c r="F2283" s="2" t="str">
        <v>0</v>
      </c>
      <c r="I2283" s="2" t="str">
        <f ca="1">IFERROR(__xludf.DUMMYFUNCTION("""COMPUTED_VALUE"""),"ĐỖ HƯƠNG NGỌC")</f>
        <v>ĐỖ HƯƠNG NGỌC</v>
      </c>
      <c r="J2283" s="3" t="str">
        <f ca="1">IFERROR(__xludf.DUMMYFUNCTION("""COMPUTED_VALUE"""),"0388228610")</f>
        <v>0388228610</v>
      </c>
      <c r="K2283" s="2" t="str">
        <f ca="1">IFERROR(__xludf.DUMMYFUNCTION("""COMPUTED_VALUE"""),"1733291304498")</f>
        <v>1733291304498</v>
      </c>
    </row>
    <row r="2284" spans="1:11" ht="12.45">
      <c r="A2284" s="2" t="str">
        <f ca="1">IFERROR(__xludf.DUMMYFUNCTION("""COMPUTED_VALUE"""),"1733291359187")</f>
        <v>1733291359187</v>
      </c>
      <c r="B2284" s="2"/>
      <c r="C2284" s="2" t="str">
        <v>0</v>
      </c>
      <c r="D2284" s="2"/>
      <c r="F2284" s="2" t="str">
        <v>0</v>
      </c>
      <c r="I2284" s="2" t="str">
        <f ca="1">IFERROR(__xludf.DUMMYFUNCTION("""COMPUTED_VALUE"""),"Nguyễn Trần Bảo Nhi")</f>
        <v>Nguyễn Trần Bảo Nhi</v>
      </c>
      <c r="J2284" s="3" t="str">
        <f ca="1">IFERROR(__xludf.DUMMYFUNCTION("""COMPUTED_VALUE"""),"0948572326")</f>
        <v>0948572326</v>
      </c>
      <c r="K2284" s="2" t="str">
        <f ca="1">IFERROR(__xludf.DUMMYFUNCTION("""COMPUTED_VALUE"""),"1733291359187")</f>
        <v>1733291359187</v>
      </c>
    </row>
    <row r="2285" spans="1:11" ht="12.45">
      <c r="A2285" s="2" t="str">
        <f ca="1">IFERROR(__xludf.DUMMYFUNCTION("""COMPUTED_VALUE"""),"1733291421989")</f>
        <v>1733291421989</v>
      </c>
      <c r="B2285" s="2"/>
      <c r="C2285" s="2" t="str">
        <v>0</v>
      </c>
      <c r="D2285" s="2"/>
      <c r="F2285" s="2" t="str">
        <v>0</v>
      </c>
      <c r="I2285" s="2" t="str">
        <f ca="1">IFERROR(__xludf.DUMMYFUNCTION("""COMPUTED_VALUE"""),"Nguyễn Thùy Duyên ")</f>
        <v xml:space="preserve">Nguyễn Thùy Duyên </v>
      </c>
      <c r="J2285" s="3" t="str">
        <f ca="1">IFERROR(__xludf.DUMMYFUNCTION("""COMPUTED_VALUE"""),"0968328607")</f>
        <v>0968328607</v>
      </c>
      <c r="K2285" s="2" t="str">
        <f ca="1">IFERROR(__xludf.DUMMYFUNCTION("""COMPUTED_VALUE"""),"1733291421989")</f>
        <v>1733291421989</v>
      </c>
    </row>
    <row r="2286" spans="1:11" ht="12.45">
      <c r="A2286" s="2" t="str">
        <f ca="1">IFERROR(__xludf.DUMMYFUNCTION("""COMPUTED_VALUE"""),"1733291475946")</f>
        <v>1733291475946</v>
      </c>
      <c r="B2286" s="2"/>
      <c r="C2286" s="2" t="str">
        <v>0</v>
      </c>
      <c r="D2286" s="2"/>
      <c r="F2286" s="2" t="str">
        <v>0</v>
      </c>
      <c r="I2286" s="2" t="str">
        <f ca="1">IFERROR(__xludf.DUMMYFUNCTION("""COMPUTED_VALUE"""),"Nguyễn Hà Ly")</f>
        <v>Nguyễn Hà Ly</v>
      </c>
      <c r="J2286" s="3" t="str">
        <f ca="1">IFERROR(__xludf.DUMMYFUNCTION("""COMPUTED_VALUE"""),"0915688391")</f>
        <v>0915688391</v>
      </c>
      <c r="K2286" s="2" t="str">
        <f ca="1">IFERROR(__xludf.DUMMYFUNCTION("""COMPUTED_VALUE"""),"1733291475946")</f>
        <v>1733291475946</v>
      </c>
    </row>
    <row r="2287" spans="1:11" ht="12.45">
      <c r="A2287" s="2" t="str">
        <f ca="1">IFERROR(__xludf.DUMMYFUNCTION("""COMPUTED_VALUE"""),"1733291529942")</f>
        <v>1733291529942</v>
      </c>
      <c r="B2287" s="2"/>
      <c r="C2287" s="2" t="str">
        <v>0</v>
      </c>
      <c r="D2287" s="2"/>
      <c r="F2287" s="2" t="str">
        <v>0</v>
      </c>
      <c r="I2287" s="2" t="str">
        <f ca="1">IFERROR(__xludf.DUMMYFUNCTION("""COMPUTED_VALUE"""),"Vũ Hoàng Yến")</f>
        <v>Vũ Hoàng Yến</v>
      </c>
      <c r="J2287" s="3" t="str">
        <f ca="1">IFERROR(__xludf.DUMMYFUNCTION("""COMPUTED_VALUE"""),"0868518800")</f>
        <v>0868518800</v>
      </c>
      <c r="K2287" s="2" t="str">
        <f ca="1">IFERROR(__xludf.DUMMYFUNCTION("""COMPUTED_VALUE"""),"1733291529942")</f>
        <v>1733291529942</v>
      </c>
    </row>
    <row r="2288" spans="1:11" ht="12.45">
      <c r="A2288" s="2" t="str">
        <f ca="1">IFERROR(__xludf.DUMMYFUNCTION("""COMPUTED_VALUE"""),"1733291585276")</f>
        <v>1733291585276</v>
      </c>
      <c r="B2288" s="2"/>
      <c r="C2288" s="2" t="str">
        <v>0</v>
      </c>
      <c r="D2288" s="2"/>
      <c r="F2288" s="2" t="str">
        <v>0</v>
      </c>
      <c r="I2288" s="2" t="str">
        <f ca="1">IFERROR(__xludf.DUMMYFUNCTION("""COMPUTED_VALUE"""),"Bùi Thị Tú Anh ")</f>
        <v xml:space="preserve">Bùi Thị Tú Anh </v>
      </c>
      <c r="J2288" s="3" t="str">
        <f ca="1">IFERROR(__xludf.DUMMYFUNCTION("""COMPUTED_VALUE"""),"0987862558")</f>
        <v>0987862558</v>
      </c>
      <c r="K2288" s="2" t="str">
        <f ca="1">IFERROR(__xludf.DUMMYFUNCTION("""COMPUTED_VALUE"""),"1733291585276")</f>
        <v>1733291585276</v>
      </c>
    </row>
    <row r="2289" spans="1:11" ht="12.45">
      <c r="A2289" s="2" t="str">
        <f ca="1">IFERROR(__xludf.DUMMYFUNCTION("""COMPUTED_VALUE"""),"1733291627542")</f>
        <v>1733291627542</v>
      </c>
      <c r="B2289" s="2"/>
      <c r="C2289" s="2" t="str">
        <v>0</v>
      </c>
      <c r="D2289" s="2"/>
      <c r="F2289" s="2" t="str">
        <v>0</v>
      </c>
      <c r="I2289" s="2" t="str">
        <f ca="1">IFERROR(__xludf.DUMMYFUNCTION("""COMPUTED_VALUE"""),"Vũ Hà Anh ")</f>
        <v xml:space="preserve">Vũ Hà Anh </v>
      </c>
      <c r="J2289" s="3" t="str">
        <f ca="1">IFERROR(__xludf.DUMMYFUNCTION("""COMPUTED_VALUE"""),"0868253317")</f>
        <v>0868253317</v>
      </c>
      <c r="K2289" s="2" t="str">
        <f ca="1">IFERROR(__xludf.DUMMYFUNCTION("""COMPUTED_VALUE"""),"1733291627542")</f>
        <v>1733291627542</v>
      </c>
    </row>
    <row r="2290" spans="1:11" ht="12.45">
      <c r="A2290" s="2" t="str">
        <f ca="1">IFERROR(__xludf.DUMMYFUNCTION("""COMPUTED_VALUE"""),"1733291672400")</f>
        <v>1733291672400</v>
      </c>
      <c r="B2290" s="2"/>
      <c r="C2290" s="2" t="str">
        <v>0</v>
      </c>
      <c r="D2290" s="2"/>
      <c r="F2290" s="2" t="str">
        <v>0</v>
      </c>
      <c r="I2290" s="2" t="str">
        <f ca="1">IFERROR(__xludf.DUMMYFUNCTION("""COMPUTED_VALUE"""),"Trịnh Tuấn")</f>
        <v>Trịnh Tuấn</v>
      </c>
      <c r="J2290" s="3" t="str">
        <f ca="1">IFERROR(__xludf.DUMMYFUNCTION("""COMPUTED_VALUE"""),"0916156499")</f>
        <v>0916156499</v>
      </c>
      <c r="K2290" s="2" t="str">
        <f ca="1">IFERROR(__xludf.DUMMYFUNCTION("""COMPUTED_VALUE"""),"1733291672400")</f>
        <v>1733291672400</v>
      </c>
    </row>
    <row r="2291" spans="1:11" ht="12.45">
      <c r="A2291" s="2" t="str">
        <f ca="1">IFERROR(__xludf.DUMMYFUNCTION("""COMPUTED_VALUE"""),"1733291724582")</f>
        <v>1733291724582</v>
      </c>
      <c r="B2291" s="2"/>
      <c r="C2291" s="2" t="str">
        <v>0</v>
      </c>
      <c r="D2291" s="2"/>
      <c r="F2291" s="2" t="str">
        <v>0</v>
      </c>
      <c r="I2291" s="2" t="str">
        <f ca="1">IFERROR(__xludf.DUMMYFUNCTION("""COMPUTED_VALUE"""),"Tạ Quốc Anh")</f>
        <v>Tạ Quốc Anh</v>
      </c>
      <c r="J2291" s="3" t="str">
        <f ca="1">IFERROR(__xludf.DUMMYFUNCTION("""COMPUTED_VALUE"""),"0975963923")</f>
        <v>0975963923</v>
      </c>
      <c r="K2291" s="2" t="str">
        <f ca="1">IFERROR(__xludf.DUMMYFUNCTION("""COMPUTED_VALUE"""),"1733291724582")</f>
        <v>1733291724582</v>
      </c>
    </row>
    <row r="2292" spans="1:11" ht="12.45">
      <c r="A2292" s="2" t="str">
        <f ca="1">IFERROR(__xludf.DUMMYFUNCTION("""COMPUTED_VALUE"""),"1733291782825")</f>
        <v>1733291782825</v>
      </c>
      <c r="B2292" s="2"/>
      <c r="C2292" s="2" t="str">
        <v>0</v>
      </c>
      <c r="D2292" s="2"/>
      <c r="F2292" s="2" t="str">
        <v>0</v>
      </c>
      <c r="I2292" s="2" t="str">
        <f ca="1">IFERROR(__xludf.DUMMYFUNCTION("""COMPUTED_VALUE"""),"Cao Thị Thanh Huyền ")</f>
        <v xml:space="preserve">Cao Thị Thanh Huyền </v>
      </c>
      <c r="J2292" s="3" t="str">
        <f ca="1">IFERROR(__xludf.DUMMYFUNCTION("""COMPUTED_VALUE"""),"0353361025")</f>
        <v>0353361025</v>
      </c>
      <c r="K2292" s="2" t="str">
        <f ca="1">IFERROR(__xludf.DUMMYFUNCTION("""COMPUTED_VALUE"""),"1733291782825")</f>
        <v>1733291782825</v>
      </c>
    </row>
    <row r="2293" spans="1:11" ht="12.45">
      <c r="A2293" s="2" t="str">
        <f ca="1">IFERROR(__xludf.DUMMYFUNCTION("""COMPUTED_VALUE"""),"1733291851115")</f>
        <v>1733291851115</v>
      </c>
      <c r="B2293" s="2"/>
      <c r="C2293" s="2" t="str">
        <v>0</v>
      </c>
      <c r="D2293" s="2"/>
      <c r="F2293" s="2" t="str">
        <v>0</v>
      </c>
      <c r="I2293" s="2" t="str">
        <f ca="1">IFERROR(__xludf.DUMMYFUNCTION("""COMPUTED_VALUE"""),"Nguyễn Phương Anh")</f>
        <v>Nguyễn Phương Anh</v>
      </c>
      <c r="J2293" s="3" t="str">
        <f ca="1">IFERROR(__xludf.DUMMYFUNCTION("""COMPUTED_VALUE"""),"0327665861")</f>
        <v>0327665861</v>
      </c>
      <c r="K2293" s="2" t="str">
        <f ca="1">IFERROR(__xludf.DUMMYFUNCTION("""COMPUTED_VALUE"""),"1733291851115")</f>
        <v>1733291851115</v>
      </c>
    </row>
    <row r="2294" spans="1:11" ht="12.45">
      <c r="A2294" s="2" t="str">
        <f ca="1">IFERROR(__xludf.DUMMYFUNCTION("""COMPUTED_VALUE"""),"1733291910942")</f>
        <v>1733291910942</v>
      </c>
      <c r="B2294" s="2"/>
      <c r="C2294" s="2" t="str">
        <v>0</v>
      </c>
      <c r="D2294" s="2"/>
      <c r="F2294" s="2" t="str">
        <v>0</v>
      </c>
      <c r="I2294" s="2" t="str">
        <f ca="1">IFERROR(__xludf.DUMMYFUNCTION("""COMPUTED_VALUE"""),"Trương Thanh Tú")</f>
        <v>Trương Thanh Tú</v>
      </c>
      <c r="J2294" s="3" t="str">
        <f ca="1">IFERROR(__xludf.DUMMYFUNCTION("""COMPUTED_VALUE"""),"0386267638")</f>
        <v>0386267638</v>
      </c>
      <c r="K2294" s="2" t="str">
        <f ca="1">IFERROR(__xludf.DUMMYFUNCTION("""COMPUTED_VALUE"""),"1733291910942")</f>
        <v>1733291910942</v>
      </c>
    </row>
    <row r="2295" spans="1:11" ht="12.45">
      <c r="A2295" s="2" t="str">
        <f ca="1">IFERROR(__xludf.DUMMYFUNCTION("""COMPUTED_VALUE"""),"1733291962818")</f>
        <v>1733291962818</v>
      </c>
      <c r="B2295" s="2"/>
      <c r="C2295" s="2" t="str">
        <v>0</v>
      </c>
      <c r="D2295" s="2"/>
      <c r="F2295" s="2" t="str">
        <v>0</v>
      </c>
      <c r="I2295" s="2" t="str">
        <f ca="1">IFERROR(__xludf.DUMMYFUNCTION("""COMPUTED_VALUE"""),"Trần thị bích hà ")</f>
        <v xml:space="preserve">Trần thị bích hà </v>
      </c>
      <c r="J2295" s="3" t="str">
        <f ca="1">IFERROR(__xludf.DUMMYFUNCTION("""COMPUTED_VALUE"""),"0915309359")</f>
        <v>0915309359</v>
      </c>
      <c r="K2295" s="2" t="str">
        <f ca="1">IFERROR(__xludf.DUMMYFUNCTION("""COMPUTED_VALUE"""),"1733291962818")</f>
        <v>1733291962818</v>
      </c>
    </row>
    <row r="2296" spans="1:11" ht="12.45">
      <c r="A2296" s="2" t="str">
        <f ca="1">IFERROR(__xludf.DUMMYFUNCTION("""COMPUTED_VALUE"""),"1733292019710")</f>
        <v>1733292019710</v>
      </c>
      <c r="B2296" s="2"/>
      <c r="C2296" s="2" t="str">
        <v>0</v>
      </c>
      <c r="D2296" s="2"/>
      <c r="F2296" s="2" t="str">
        <v>0</v>
      </c>
      <c r="I2296" s="2" t="str">
        <f ca="1">IFERROR(__xludf.DUMMYFUNCTION("""COMPUTED_VALUE"""),"Nguyễn Thủy Tiên")</f>
        <v>Nguyễn Thủy Tiên</v>
      </c>
      <c r="J2296" s="3" t="str">
        <f ca="1">IFERROR(__xludf.DUMMYFUNCTION("""COMPUTED_VALUE"""),"0869893394")</f>
        <v>0869893394</v>
      </c>
      <c r="K2296" s="2" t="str">
        <f ca="1">IFERROR(__xludf.DUMMYFUNCTION("""COMPUTED_VALUE"""),"1733292019710")</f>
        <v>1733292019710</v>
      </c>
    </row>
    <row r="2297" spans="1:11" ht="12.45">
      <c r="A2297" s="2" t="str">
        <f ca="1">IFERROR(__xludf.DUMMYFUNCTION("""COMPUTED_VALUE"""),"1733292063332")</f>
        <v>1733292063332</v>
      </c>
      <c r="B2297" s="2"/>
      <c r="C2297" s="2" t="str">
        <v>0</v>
      </c>
      <c r="D2297" s="2"/>
      <c r="F2297" s="2" t="str">
        <v>0</v>
      </c>
      <c r="I2297" s="2" t="str">
        <f ca="1">IFERROR(__xludf.DUMMYFUNCTION("""COMPUTED_VALUE"""),"Nguyễn Thị Ánh Thuận")</f>
        <v>Nguyễn Thị Ánh Thuận</v>
      </c>
      <c r="J2297" s="3" t="str">
        <f ca="1">IFERROR(__xludf.DUMMYFUNCTION("""COMPUTED_VALUE"""),"0774549337")</f>
        <v>0774549337</v>
      </c>
      <c r="K2297" s="2" t="str">
        <f ca="1">IFERROR(__xludf.DUMMYFUNCTION("""COMPUTED_VALUE"""),"1733292063332")</f>
        <v>1733292063332</v>
      </c>
    </row>
    <row r="2298" spans="1:11" ht="12.45">
      <c r="A2298" s="2" t="str">
        <f ca="1">IFERROR(__xludf.DUMMYFUNCTION("""COMPUTED_VALUE"""),"1733292110546")</f>
        <v>1733292110546</v>
      </c>
      <c r="B2298" s="2"/>
      <c r="C2298" s="2" t="str">
        <v>0</v>
      </c>
      <c r="D2298" s="2"/>
      <c r="F2298" s="2" t="str">
        <v>0</v>
      </c>
      <c r="I2298" s="2" t="str">
        <f ca="1">IFERROR(__xludf.DUMMYFUNCTION("""COMPUTED_VALUE"""),"Hồ Nguyễn Ngọc Diễm")</f>
        <v>Hồ Nguyễn Ngọc Diễm</v>
      </c>
      <c r="J2298" s="3" t="str">
        <f ca="1">IFERROR(__xludf.DUMMYFUNCTION("""COMPUTED_VALUE"""),"0397234699")</f>
        <v>0397234699</v>
      </c>
      <c r="K2298" s="2" t="str">
        <f ca="1">IFERROR(__xludf.DUMMYFUNCTION("""COMPUTED_VALUE"""),"1733292110546")</f>
        <v>1733292110546</v>
      </c>
    </row>
    <row r="2299" spans="1:11" ht="12.45">
      <c r="A2299" s="2" t="str">
        <f ca="1">IFERROR(__xludf.DUMMYFUNCTION("""COMPUTED_VALUE"""),"1733292148514")</f>
        <v>1733292148514</v>
      </c>
      <c r="B2299" s="2"/>
      <c r="C2299" s="2" t="str">
        <v>0</v>
      </c>
      <c r="D2299" s="2"/>
      <c r="F2299" s="2" t="str">
        <v>0</v>
      </c>
      <c r="I2299" s="2" t="str">
        <f ca="1">IFERROR(__xludf.DUMMYFUNCTION("""COMPUTED_VALUE"""),"Trần thảo vân")</f>
        <v>Trần thảo vân</v>
      </c>
      <c r="J2299" s="3" t="str">
        <f ca="1">IFERROR(__xludf.DUMMYFUNCTION("""COMPUTED_VALUE"""),"0983853272")</f>
        <v>0983853272</v>
      </c>
      <c r="K2299" s="2" t="str">
        <f ca="1">IFERROR(__xludf.DUMMYFUNCTION("""COMPUTED_VALUE"""),"1733292148514")</f>
        <v>1733292148514</v>
      </c>
    </row>
    <row r="2300" spans="1:11" ht="12.45">
      <c r="A2300" s="2" t="str">
        <f ca="1">IFERROR(__xludf.DUMMYFUNCTION("""COMPUTED_VALUE"""),"1733292181967")</f>
        <v>1733292181967</v>
      </c>
      <c r="B2300" s="2"/>
      <c r="C2300" s="2" t="str">
        <v>0</v>
      </c>
      <c r="D2300" s="2"/>
      <c r="F2300" s="2" t="str">
        <v>0</v>
      </c>
      <c r="I2300" s="2" t="str">
        <f ca="1">IFERROR(__xludf.DUMMYFUNCTION("""COMPUTED_VALUE"""),"Nguyễn Bảo Ngọc")</f>
        <v>Nguyễn Bảo Ngọc</v>
      </c>
      <c r="J2300" s="3" t="str">
        <f ca="1">IFERROR(__xludf.DUMMYFUNCTION("""COMPUTED_VALUE"""),"0868431428")</f>
        <v>0868431428</v>
      </c>
      <c r="K2300" s="2" t="str">
        <f ca="1">IFERROR(__xludf.DUMMYFUNCTION("""COMPUTED_VALUE"""),"1733292181967")</f>
        <v>1733292181967</v>
      </c>
    </row>
    <row r="2301" spans="1:11" ht="12.45">
      <c r="A2301" s="2" t="str">
        <f ca="1">IFERROR(__xludf.DUMMYFUNCTION("""COMPUTED_VALUE"""),"1733292229117")</f>
        <v>1733292229117</v>
      </c>
      <c r="B2301" s="2"/>
      <c r="C2301" s="2" t="str">
        <v>0</v>
      </c>
      <c r="D2301" s="2"/>
      <c r="F2301" s="2" t="str">
        <v>0</v>
      </c>
      <c r="I2301" s="2" t="str">
        <f ca="1">IFERROR(__xludf.DUMMYFUNCTION("""COMPUTED_VALUE"""),"Nguyễn Thị Minh Ngọc ")</f>
        <v xml:space="preserve">Nguyễn Thị Minh Ngọc </v>
      </c>
      <c r="J2301" s="3" t="str">
        <f ca="1">IFERROR(__xludf.DUMMYFUNCTION("""COMPUTED_VALUE"""),"0348042980")</f>
        <v>0348042980</v>
      </c>
      <c r="K2301" s="2" t="str">
        <f ca="1">IFERROR(__xludf.DUMMYFUNCTION("""COMPUTED_VALUE"""),"1733292229117")</f>
        <v>1733292229117</v>
      </c>
    </row>
    <row r="2302" spans="1:11" ht="12.45">
      <c r="A2302" s="2" t="str">
        <f ca="1">IFERROR(__xludf.DUMMYFUNCTION("""COMPUTED_VALUE"""),"Không giao sách")</f>
        <v>Không giao sách</v>
      </c>
      <c r="B2302" s="2"/>
      <c r="C2302" s="2" t="str">
        <v>0</v>
      </c>
      <c r="D2302" s="2"/>
      <c r="F2302" s="2" t="str">
        <v>0</v>
      </c>
      <c r="I2302" s="2" t="str">
        <f ca="1">IFERROR(__xludf.DUMMYFUNCTION("""COMPUTED_VALUE"""),"NGUYỄN THỊ NHƯ Ý")</f>
        <v>NGUYỄN THỊ NHƯ Ý</v>
      </c>
      <c r="J2302" s="3" t="str">
        <f ca="1">IFERROR(__xludf.DUMMYFUNCTION("""COMPUTED_VALUE"""),"0857654009")</f>
        <v>0857654009</v>
      </c>
      <c r="K2302" s="2" t="str">
        <f ca="1">IFERROR(__xludf.DUMMYFUNCTION("""COMPUTED_VALUE"""),"Không giao sách")</f>
        <v>Không giao sách</v>
      </c>
    </row>
    <row r="2303" spans="1:11" ht="12.45">
      <c r="A2303" s="2" t="str">
        <f ca="1">IFERROR(__xludf.DUMMYFUNCTION("""COMPUTED_VALUE"""),"1733292274352")</f>
        <v>1733292274352</v>
      </c>
      <c r="B2303" s="2"/>
      <c r="C2303" s="2" t="str">
        <v>0</v>
      </c>
      <c r="D2303" s="2"/>
      <c r="F2303" s="2" t="str">
        <v>0</v>
      </c>
      <c r="I2303" s="2" t="str">
        <f ca="1">IFERROR(__xludf.DUMMYFUNCTION("""COMPUTED_VALUE"""),"Bùi Thị Ngọc Hiếu")</f>
        <v>Bùi Thị Ngọc Hiếu</v>
      </c>
      <c r="J2303" s="3" t="str">
        <f ca="1">IFERROR(__xludf.DUMMYFUNCTION("""COMPUTED_VALUE"""),"0772969714")</f>
        <v>0772969714</v>
      </c>
      <c r="K2303" s="2" t="str">
        <f ca="1">IFERROR(__xludf.DUMMYFUNCTION("""COMPUTED_VALUE"""),"1733292274352")</f>
        <v>1733292274352</v>
      </c>
    </row>
    <row r="2304" spans="1:11" ht="12.45">
      <c r="A2304" s="2" t="str">
        <f ca="1">IFERROR(__xludf.DUMMYFUNCTION("""COMPUTED_VALUE"""),"1733292322526")</f>
        <v>1733292322526</v>
      </c>
      <c r="B2304" s="2"/>
      <c r="C2304" s="2" t="str">
        <v>0</v>
      </c>
      <c r="D2304" s="2"/>
      <c r="F2304" s="2" t="str">
        <v>0</v>
      </c>
      <c r="I2304" s="2" t="str">
        <f ca="1">IFERROR(__xludf.DUMMYFUNCTION("""COMPUTED_VALUE"""),"NGUYỄN KHÁNH LY")</f>
        <v>NGUYỄN KHÁNH LY</v>
      </c>
      <c r="J2304" s="3" t="str">
        <f ca="1">IFERROR(__xludf.DUMMYFUNCTION("""COMPUTED_VALUE"""),"0912784268")</f>
        <v>0912784268</v>
      </c>
      <c r="K2304" s="2" t="str">
        <f ca="1">IFERROR(__xludf.DUMMYFUNCTION("""COMPUTED_VALUE"""),"1733292322526")</f>
        <v>1733292322526</v>
      </c>
    </row>
    <row r="2305" spans="1:11" ht="12.45">
      <c r="A2305" s="2" t="str">
        <f ca="1">IFERROR(__xludf.DUMMYFUNCTION("""COMPUTED_VALUE"""),"1733292374825")</f>
        <v>1733292374825</v>
      </c>
      <c r="B2305" s="2"/>
      <c r="C2305" s="2" t="str">
        <v>0</v>
      </c>
      <c r="D2305" s="2"/>
      <c r="F2305" s="2" t="str">
        <v>0</v>
      </c>
      <c r="I2305" s="2" t="str">
        <f ca="1">IFERROR(__xludf.DUMMYFUNCTION("""COMPUTED_VALUE"""),"Võ đình khánh ngọc")</f>
        <v>Võ đình khánh ngọc</v>
      </c>
      <c r="J2305" s="3" t="str">
        <f ca="1">IFERROR(__xludf.DUMMYFUNCTION("""COMPUTED_VALUE"""),"0373243768")</f>
        <v>0373243768</v>
      </c>
      <c r="K2305" s="2" t="str">
        <f ca="1">IFERROR(__xludf.DUMMYFUNCTION("""COMPUTED_VALUE"""),"1733292374825")</f>
        <v>1733292374825</v>
      </c>
    </row>
    <row r="2306" spans="1:11" ht="12.45">
      <c r="A2306" s="2" t="str">
        <f ca="1">IFERROR(__xludf.DUMMYFUNCTION("""COMPUTED_VALUE"""),"1733292416237")</f>
        <v>1733292416237</v>
      </c>
      <c r="B2306" s="2"/>
      <c r="C2306" s="2" t="str">
        <v>0</v>
      </c>
      <c r="D2306" s="2"/>
      <c r="F2306" s="2" t="str">
        <v>0</v>
      </c>
      <c r="I2306" s="2" t="str">
        <f ca="1">IFERROR(__xludf.DUMMYFUNCTION("""COMPUTED_VALUE"""),"Trần Hiểu Lâm")</f>
        <v>Trần Hiểu Lâm</v>
      </c>
      <c r="J2306" s="3" t="str">
        <f ca="1">IFERROR(__xludf.DUMMYFUNCTION("""COMPUTED_VALUE"""),"0932317968")</f>
        <v>0932317968</v>
      </c>
      <c r="K2306" s="2" t="str">
        <f ca="1">IFERROR(__xludf.DUMMYFUNCTION("""COMPUTED_VALUE"""),"1733292416237")</f>
        <v>1733292416237</v>
      </c>
    </row>
    <row r="2307" spans="1:11" ht="12.45">
      <c r="A2307" s="2" t="str">
        <f ca="1">IFERROR(__xludf.DUMMYFUNCTION("""COMPUTED_VALUE"""),"1733292465310")</f>
        <v>1733292465310</v>
      </c>
      <c r="B2307" s="2"/>
      <c r="C2307" s="2" t="str">
        <v>0</v>
      </c>
      <c r="D2307" s="2"/>
      <c r="F2307" s="2" t="str">
        <v>0</v>
      </c>
      <c r="I2307" s="2" t="str">
        <f ca="1">IFERROR(__xludf.DUMMYFUNCTION("""COMPUTED_VALUE"""),"Bùi Thị Huyền Trân")</f>
        <v>Bùi Thị Huyền Trân</v>
      </c>
      <c r="J2307" s="3" t="str">
        <f ca="1">IFERROR(__xludf.DUMMYFUNCTION("""COMPUTED_VALUE"""),"0868367551")</f>
        <v>0868367551</v>
      </c>
      <c r="K2307" s="2" t="str">
        <f ca="1">IFERROR(__xludf.DUMMYFUNCTION("""COMPUTED_VALUE"""),"1733292465310")</f>
        <v>1733292465310</v>
      </c>
    </row>
    <row r="2308" spans="1:11" ht="12.45">
      <c r="A2308" s="2" t="str">
        <f ca="1">IFERROR(__xludf.DUMMYFUNCTION("""COMPUTED_VALUE"""),"1733292516403")</f>
        <v>1733292516403</v>
      </c>
      <c r="B2308" s="2"/>
      <c r="C2308" s="2" t="str">
        <v>0</v>
      </c>
      <c r="D2308" s="2"/>
      <c r="F2308" s="2" t="str">
        <v>0</v>
      </c>
      <c r="I2308" s="2" t="str">
        <f ca="1">IFERROR(__xludf.DUMMYFUNCTION("""COMPUTED_VALUE"""),"Nguyễn Thanh Kim Vệ")</f>
        <v>Nguyễn Thanh Kim Vệ</v>
      </c>
      <c r="J2308" s="3" t="str">
        <f ca="1">IFERROR(__xludf.DUMMYFUNCTION("""COMPUTED_VALUE"""),"0342901537")</f>
        <v>0342901537</v>
      </c>
      <c r="K2308" s="2" t="str">
        <f ca="1">IFERROR(__xludf.DUMMYFUNCTION("""COMPUTED_VALUE"""),"1733292516403")</f>
        <v>1733292516403</v>
      </c>
    </row>
    <row r="2309" spans="1:11" ht="12.45">
      <c r="A2309" s="2" t="str">
        <f ca="1">IFERROR(__xludf.DUMMYFUNCTION("""COMPUTED_VALUE"""),"1733292581858")</f>
        <v>1733292581858</v>
      </c>
      <c r="B2309" s="2"/>
      <c r="C2309" s="2" t="str">
        <v>0</v>
      </c>
      <c r="D2309" s="2"/>
      <c r="F2309" s="2" t="str">
        <v>0</v>
      </c>
      <c r="I2309" s="2" t="str">
        <f ca="1">IFERROR(__xludf.DUMMYFUNCTION("""COMPUTED_VALUE"""),"Nguyễn Thiện Duy")</f>
        <v>Nguyễn Thiện Duy</v>
      </c>
      <c r="J2309" s="3" t="str">
        <f ca="1">IFERROR(__xludf.DUMMYFUNCTION("""COMPUTED_VALUE"""),"0849996110")</f>
        <v>0849996110</v>
      </c>
      <c r="K2309" s="2" t="str">
        <f ca="1">IFERROR(__xludf.DUMMYFUNCTION("""COMPUTED_VALUE"""),"1733292581858")</f>
        <v>1733292581858</v>
      </c>
    </row>
    <row r="2310" spans="1:11" ht="12.45">
      <c r="A2310" s="2" t="str">
        <f ca="1">IFERROR(__xludf.DUMMYFUNCTION("""COMPUTED_VALUE"""),"1733292614267")</f>
        <v>1733292614267</v>
      </c>
      <c r="B2310" s="2"/>
      <c r="C2310" s="2" t="str">
        <v>0</v>
      </c>
      <c r="D2310" s="2"/>
      <c r="F2310" s="2" t="str">
        <v>0</v>
      </c>
      <c r="I2310" s="2" t="str">
        <f ca="1">IFERROR(__xludf.DUMMYFUNCTION("""COMPUTED_VALUE"""),"Nguyễn Thị Phương Thảo ")</f>
        <v xml:space="preserve">Nguyễn Thị Phương Thảo </v>
      </c>
      <c r="J2310" s="3" t="str">
        <f ca="1">IFERROR(__xludf.DUMMYFUNCTION("""COMPUTED_VALUE"""),"0973486608")</f>
        <v>0973486608</v>
      </c>
      <c r="K2310" s="2" t="str">
        <f ca="1">IFERROR(__xludf.DUMMYFUNCTION("""COMPUTED_VALUE"""),"1733292614267")</f>
        <v>1733292614267</v>
      </c>
    </row>
    <row r="2311" spans="1:11" ht="12.45">
      <c r="A2311" s="2" t="str">
        <f ca="1">IFERROR(__xludf.DUMMYFUNCTION("""COMPUTED_VALUE"""),"1733292673442")</f>
        <v>1733292673442</v>
      </c>
      <c r="B2311" s="2"/>
      <c r="C2311" s="2" t="str">
        <v>0</v>
      </c>
      <c r="D2311" s="2"/>
      <c r="F2311" s="2" t="str">
        <v>0</v>
      </c>
      <c r="I2311" s="2" t="str">
        <f ca="1">IFERROR(__xludf.DUMMYFUNCTION("""COMPUTED_VALUE"""),"Phùng Thị Yến ")</f>
        <v xml:space="preserve">Phùng Thị Yến </v>
      </c>
      <c r="J2311" s="3" t="str">
        <f ca="1">IFERROR(__xludf.DUMMYFUNCTION("""COMPUTED_VALUE"""),"0836369019")</f>
        <v>0836369019</v>
      </c>
      <c r="K2311" s="2" t="str">
        <f ca="1">IFERROR(__xludf.DUMMYFUNCTION("""COMPUTED_VALUE"""),"1733292673442")</f>
        <v>1733292673442</v>
      </c>
    </row>
    <row r="2312" spans="1:11" ht="12.45">
      <c r="A2312" s="2" t="str">
        <f ca="1">IFERROR(__xludf.DUMMYFUNCTION("""COMPUTED_VALUE"""),"1733292729541")</f>
        <v>1733292729541</v>
      </c>
      <c r="B2312" s="2"/>
      <c r="C2312" s="2" t="str">
        <v>0</v>
      </c>
      <c r="D2312" s="2"/>
      <c r="F2312" s="2" t="str">
        <v>0</v>
      </c>
      <c r="I2312" s="2" t="str">
        <f ca="1">IFERROR(__xludf.DUMMYFUNCTION("""COMPUTED_VALUE"""),"Vũ Thị Huệ")</f>
        <v>Vũ Thị Huệ</v>
      </c>
      <c r="J2312" s="3" t="str">
        <f ca="1">IFERROR(__xludf.DUMMYFUNCTION("""COMPUTED_VALUE"""),"0362494540")</f>
        <v>0362494540</v>
      </c>
      <c r="K2312" s="2" t="str">
        <f ca="1">IFERROR(__xludf.DUMMYFUNCTION("""COMPUTED_VALUE"""),"1733292729541")</f>
        <v>1733292729541</v>
      </c>
    </row>
    <row r="2313" spans="1:11" ht="12.45">
      <c r="A2313" s="2" t="str">
        <f ca="1">IFERROR(__xludf.DUMMYFUNCTION("""COMPUTED_VALUE"""),"1733292769241")</f>
        <v>1733292769241</v>
      </c>
      <c r="B2313" s="2"/>
      <c r="C2313" s="2" t="str">
        <v>0</v>
      </c>
      <c r="D2313" s="2"/>
      <c r="F2313" s="2" t="str">
        <v>0</v>
      </c>
      <c r="I2313" s="2" t="str">
        <f ca="1">IFERROR(__xludf.DUMMYFUNCTION("""COMPUTED_VALUE"""),"Đỗ Phương Uyên ")</f>
        <v xml:space="preserve">Đỗ Phương Uyên </v>
      </c>
      <c r="J2313" s="3" t="str">
        <f ca="1">IFERROR(__xludf.DUMMYFUNCTION("""COMPUTED_VALUE"""),"0869926786")</f>
        <v>0869926786</v>
      </c>
      <c r="K2313" s="2" t="str">
        <f ca="1">IFERROR(__xludf.DUMMYFUNCTION("""COMPUTED_VALUE"""),"1733292769241")</f>
        <v>1733292769241</v>
      </c>
    </row>
    <row r="2314" spans="1:11" ht="12.45">
      <c r="A2314" s="2" t="str">
        <f ca="1">IFERROR(__xludf.DUMMYFUNCTION("""COMPUTED_VALUE"""),"1733292817528")</f>
        <v>1733292817528</v>
      </c>
      <c r="B2314" s="2"/>
      <c r="C2314" s="2" t="str">
        <v>0</v>
      </c>
      <c r="D2314" s="2"/>
      <c r="F2314" s="2" t="str">
        <v>0</v>
      </c>
      <c r="I2314" s="2" t="str">
        <f ca="1">IFERROR(__xludf.DUMMYFUNCTION("""COMPUTED_VALUE"""),"Nguyễn Đoàn Thảo Nhi")</f>
        <v>Nguyễn Đoàn Thảo Nhi</v>
      </c>
      <c r="J2314" s="3" t="str">
        <f ca="1">IFERROR(__xludf.DUMMYFUNCTION("""COMPUTED_VALUE"""),"0385929389")</f>
        <v>0385929389</v>
      </c>
      <c r="K2314" s="2" t="str">
        <f ca="1">IFERROR(__xludf.DUMMYFUNCTION("""COMPUTED_VALUE"""),"1733292817528")</f>
        <v>1733292817528</v>
      </c>
    </row>
    <row r="2315" spans="1:11" ht="12.45">
      <c r="A2315" s="2" t="str">
        <f ca="1">IFERROR(__xludf.DUMMYFUNCTION("""COMPUTED_VALUE"""),"1733292871767")</f>
        <v>1733292871767</v>
      </c>
      <c r="B2315" s="2"/>
      <c r="C2315" s="2" t="str">
        <v>0</v>
      </c>
      <c r="D2315" s="2"/>
      <c r="F2315" s="2" t="str">
        <v>0</v>
      </c>
      <c r="I2315" s="2" t="str">
        <f ca="1">IFERROR(__xludf.DUMMYFUNCTION("""COMPUTED_VALUE"""),"Đỗ Thị Bảo Ngọc ")</f>
        <v xml:space="preserve">Đỗ Thị Bảo Ngọc </v>
      </c>
      <c r="J2315" s="3" t="str">
        <f ca="1">IFERROR(__xludf.DUMMYFUNCTION("""COMPUTED_VALUE"""),"0392077467")</f>
        <v>0392077467</v>
      </c>
      <c r="K2315" s="2" t="str">
        <f ca="1">IFERROR(__xludf.DUMMYFUNCTION("""COMPUTED_VALUE"""),"1733292871767")</f>
        <v>1733292871767</v>
      </c>
    </row>
    <row r="2316" spans="1:11" ht="12.45">
      <c r="A2316" s="2" t="str">
        <f ca="1">IFERROR(__xludf.DUMMYFUNCTION("""COMPUTED_VALUE"""),"1733292911020")</f>
        <v>1733292911020</v>
      </c>
      <c r="B2316" s="2"/>
      <c r="C2316" s="2" t="str">
        <v>0</v>
      </c>
      <c r="D2316" s="2"/>
      <c r="F2316" s="2" t="str">
        <v>0</v>
      </c>
      <c r="I2316" s="2" t="str">
        <f ca="1">IFERROR(__xludf.DUMMYFUNCTION("""COMPUTED_VALUE"""),"Trần Nguyễn Ngọc Nhi")</f>
        <v>Trần Nguyễn Ngọc Nhi</v>
      </c>
      <c r="J2316" s="3" t="str">
        <f ca="1">IFERROR(__xludf.DUMMYFUNCTION("""COMPUTED_VALUE"""),"0383821459")</f>
        <v>0383821459</v>
      </c>
      <c r="K2316" s="2" t="str">
        <f ca="1">IFERROR(__xludf.DUMMYFUNCTION("""COMPUTED_VALUE"""),"1733292911020")</f>
        <v>1733292911020</v>
      </c>
    </row>
    <row r="2317" spans="1:11" ht="12.45">
      <c r="A2317" s="2" t="str">
        <f ca="1">IFERROR(__xludf.DUMMYFUNCTION("""COMPUTED_VALUE"""),"1733292968795")</f>
        <v>1733292968795</v>
      </c>
      <c r="B2317" s="2"/>
      <c r="C2317" s="2" t="str">
        <v>0</v>
      </c>
      <c r="D2317" s="2"/>
      <c r="F2317" s="2" t="str">
        <v>0</v>
      </c>
      <c r="I2317" s="2" t="str">
        <f ca="1">IFERROR(__xludf.DUMMYFUNCTION("""COMPUTED_VALUE"""),"Lê Đặng Khánh Vy")</f>
        <v>Lê Đặng Khánh Vy</v>
      </c>
      <c r="J2317" s="3" t="str">
        <f ca="1">IFERROR(__xludf.DUMMYFUNCTION("""COMPUTED_VALUE"""),"0399754510")</f>
        <v>0399754510</v>
      </c>
      <c r="K2317" s="2" t="str">
        <f ca="1">IFERROR(__xludf.DUMMYFUNCTION("""COMPUTED_VALUE"""),"1733292968795")</f>
        <v>1733292968795</v>
      </c>
    </row>
    <row r="2318" spans="1:11" ht="12.45">
      <c r="A2318" s="2" t="str">
        <f ca="1">IFERROR(__xludf.DUMMYFUNCTION("""COMPUTED_VALUE"""),"1733293033006")</f>
        <v>1733293033006</v>
      </c>
      <c r="B2318" s="2"/>
      <c r="C2318" s="2" t="str">
        <v>0</v>
      </c>
      <c r="D2318" s="2"/>
      <c r="F2318" s="2" t="str">
        <v>0</v>
      </c>
      <c r="I2318" s="2" t="str">
        <f ca="1">IFERROR(__xludf.DUMMYFUNCTION("""COMPUTED_VALUE"""),"Phạm Thanh Thi ")</f>
        <v xml:space="preserve">Phạm Thanh Thi </v>
      </c>
      <c r="J2318" s="3" t="str">
        <f ca="1">IFERROR(__xludf.DUMMYFUNCTION("""COMPUTED_VALUE"""),"0396273954")</f>
        <v>0396273954</v>
      </c>
      <c r="K2318" s="2" t="str">
        <f ca="1">IFERROR(__xludf.DUMMYFUNCTION("""COMPUTED_VALUE"""),"1733293033006")</f>
        <v>1733293033006</v>
      </c>
    </row>
    <row r="2319" spans="1:11" ht="12.45">
      <c r="A2319" s="2" t="str">
        <f ca="1">IFERROR(__xludf.DUMMYFUNCTION("""COMPUTED_VALUE"""),"1733293087529")</f>
        <v>1733293087529</v>
      </c>
      <c r="B2319" s="2"/>
      <c r="C2319" s="2" t="str">
        <v>0</v>
      </c>
      <c r="D2319" s="2"/>
      <c r="F2319" s="2" t="str">
        <v>0</v>
      </c>
      <c r="I2319" s="2" t="str">
        <f ca="1">IFERROR(__xludf.DUMMYFUNCTION("""COMPUTED_VALUE"""),"Nguyễn Thu Nga")</f>
        <v>Nguyễn Thu Nga</v>
      </c>
      <c r="J2319" s="3" t="str">
        <f ca="1">IFERROR(__xludf.DUMMYFUNCTION("""COMPUTED_VALUE"""),"0358395937")</f>
        <v>0358395937</v>
      </c>
      <c r="K2319" s="2" t="str">
        <f ca="1">IFERROR(__xludf.DUMMYFUNCTION("""COMPUTED_VALUE"""),"1733293087529")</f>
        <v>1733293087529</v>
      </c>
    </row>
    <row r="2320" spans="1:11" ht="12.45">
      <c r="A2320" s="2" t="str">
        <f ca="1">IFERROR(__xludf.DUMMYFUNCTION("""COMPUTED_VALUE"""),"1733293136069")</f>
        <v>1733293136069</v>
      </c>
      <c r="B2320" s="2"/>
      <c r="C2320" s="2" t="str">
        <v>0</v>
      </c>
      <c r="D2320" s="2"/>
      <c r="F2320" s="2" t="str">
        <v>0</v>
      </c>
      <c r="I2320" s="2" t="str">
        <f ca="1">IFERROR(__xludf.DUMMYFUNCTION("""COMPUTED_VALUE"""),"Nguyễn Thị Thu Hà ")</f>
        <v xml:space="preserve">Nguyễn Thị Thu Hà </v>
      </c>
      <c r="J2320" s="3" t="str">
        <f ca="1">IFERROR(__xludf.DUMMYFUNCTION("""COMPUTED_VALUE"""),"0363884656")</f>
        <v>0363884656</v>
      </c>
      <c r="K2320" s="2" t="str">
        <f ca="1">IFERROR(__xludf.DUMMYFUNCTION("""COMPUTED_VALUE"""),"1733293136069")</f>
        <v>1733293136069</v>
      </c>
    </row>
    <row r="2321" spans="1:11" ht="12.45">
      <c r="A2321" s="2" t="str">
        <f ca="1">IFERROR(__xludf.DUMMYFUNCTION("""COMPUTED_VALUE"""),"1733293194272")</f>
        <v>1733293194272</v>
      </c>
      <c r="B2321" s="2"/>
      <c r="C2321" s="2" t="str">
        <v>0</v>
      </c>
      <c r="D2321" s="2"/>
      <c r="F2321" s="2" t="str">
        <v>0</v>
      </c>
      <c r="I2321" s="2" t="str">
        <f ca="1">IFERROR(__xludf.DUMMYFUNCTION("""COMPUTED_VALUE"""),"Nguyễn Vũ Quỳnh Dương ")</f>
        <v xml:space="preserve">Nguyễn Vũ Quỳnh Dương </v>
      </c>
      <c r="J2321" s="3" t="str">
        <f ca="1">IFERROR(__xludf.DUMMYFUNCTION("""COMPUTED_VALUE"""),"0333761525")</f>
        <v>0333761525</v>
      </c>
      <c r="K2321" s="2" t="str">
        <f ca="1">IFERROR(__xludf.DUMMYFUNCTION("""COMPUTED_VALUE"""),"1733293194272")</f>
        <v>1733293194272</v>
      </c>
    </row>
    <row r="2322" spans="1:11" ht="12.45">
      <c r="A2322" s="2" t="str">
        <f ca="1">IFERROR(__xludf.DUMMYFUNCTION("""COMPUTED_VALUE"""),"1733293246490")</f>
        <v>1733293246490</v>
      </c>
      <c r="B2322" s="2"/>
      <c r="C2322" s="2" t="str">
        <v>0</v>
      </c>
      <c r="D2322" s="2"/>
      <c r="F2322" s="2" t="str">
        <v>0</v>
      </c>
      <c r="I2322" s="2" t="str">
        <f ca="1">IFERROR(__xludf.DUMMYFUNCTION("""COMPUTED_VALUE"""),"Đỗ Lan Nhi")</f>
        <v>Đỗ Lan Nhi</v>
      </c>
      <c r="J2322" s="3" t="str">
        <f ca="1">IFERROR(__xludf.DUMMYFUNCTION("""COMPUTED_VALUE"""),"0397358733")</f>
        <v>0397358733</v>
      </c>
      <c r="K2322" s="2" t="str">
        <f ca="1">IFERROR(__xludf.DUMMYFUNCTION("""COMPUTED_VALUE"""),"1733293246490")</f>
        <v>1733293246490</v>
      </c>
    </row>
    <row r="2323" spans="1:11" ht="12.45">
      <c r="A2323" s="2" t="str">
        <f ca="1">IFERROR(__xludf.DUMMYFUNCTION("""COMPUTED_VALUE"""),"1733293292537")</f>
        <v>1733293292537</v>
      </c>
      <c r="B2323" s="2"/>
      <c r="C2323" s="2" t="str">
        <v>0</v>
      </c>
      <c r="D2323" s="2"/>
      <c r="F2323" s="2" t="str">
        <v>0</v>
      </c>
      <c r="I2323" s="2" t="str">
        <f ca="1">IFERROR(__xludf.DUMMYFUNCTION("""COMPUTED_VALUE"""),"Trần Thị Ngọc Huyền ")</f>
        <v xml:space="preserve">Trần Thị Ngọc Huyền </v>
      </c>
      <c r="J2323" s="3" t="str">
        <f ca="1">IFERROR(__xludf.DUMMYFUNCTION("""COMPUTED_VALUE"""),"0368749925")</f>
        <v>0368749925</v>
      </c>
      <c r="K2323" s="2" t="str">
        <f ca="1">IFERROR(__xludf.DUMMYFUNCTION("""COMPUTED_VALUE"""),"1733293292537")</f>
        <v>1733293292537</v>
      </c>
    </row>
    <row r="2324" spans="1:11" ht="12.45">
      <c r="A2324" s="2" t="str">
        <f ca="1">IFERROR(__xludf.DUMMYFUNCTION("""COMPUTED_VALUE"""),"1733293349198")</f>
        <v>1733293349198</v>
      </c>
      <c r="B2324" s="2"/>
      <c r="C2324" s="2" t="str">
        <v>0</v>
      </c>
      <c r="D2324" s="2"/>
      <c r="F2324" s="2" t="str">
        <v>0</v>
      </c>
      <c r="I2324" s="2" t="str">
        <f ca="1">IFERROR(__xludf.DUMMYFUNCTION("""COMPUTED_VALUE"""),"Hứa Mỹ Trân")</f>
        <v>Hứa Mỹ Trân</v>
      </c>
      <c r="J2324" s="3" t="str">
        <f ca="1">IFERROR(__xludf.DUMMYFUNCTION("""COMPUTED_VALUE"""),"0786155838")</f>
        <v>0786155838</v>
      </c>
      <c r="K2324" s="2" t="str">
        <f ca="1">IFERROR(__xludf.DUMMYFUNCTION("""COMPUTED_VALUE"""),"1733293349198")</f>
        <v>1733293349198</v>
      </c>
    </row>
    <row r="2325" spans="1:11" ht="12.45">
      <c r="A2325" s="2" t="str">
        <f ca="1">IFERROR(__xludf.DUMMYFUNCTION("""COMPUTED_VALUE"""),"1733293400543")</f>
        <v>1733293400543</v>
      </c>
      <c r="B2325" s="2"/>
      <c r="C2325" s="2" t="str">
        <v>0</v>
      </c>
      <c r="D2325" s="2"/>
      <c r="F2325" s="2" t="str">
        <v>0</v>
      </c>
      <c r="I2325" s="2" t="str">
        <f ca="1">IFERROR(__xludf.DUMMYFUNCTION("""COMPUTED_VALUE"""),"Anh Thư")</f>
        <v>Anh Thư</v>
      </c>
      <c r="J2325" s="3" t="str">
        <f ca="1">IFERROR(__xludf.DUMMYFUNCTION("""COMPUTED_VALUE"""),"0911195348")</f>
        <v>0911195348</v>
      </c>
      <c r="K2325" s="2" t="str">
        <f ca="1">IFERROR(__xludf.DUMMYFUNCTION("""COMPUTED_VALUE"""),"1733293400543")</f>
        <v>1733293400543</v>
      </c>
    </row>
    <row r="2326" spans="1:11" ht="12.45">
      <c r="A2326" s="2" t="str">
        <f ca="1">IFERROR(__xludf.DUMMYFUNCTION("""COMPUTED_VALUE"""),"1733293460955")</f>
        <v>1733293460955</v>
      </c>
      <c r="B2326" s="2"/>
      <c r="C2326" s="2" t="str">
        <v>0</v>
      </c>
      <c r="D2326" s="2"/>
      <c r="F2326" s="2" t="str">
        <v>0</v>
      </c>
      <c r="I2326" s="2" t="str">
        <f ca="1">IFERROR(__xludf.DUMMYFUNCTION("""COMPUTED_VALUE"""),"Vũ Thị Trang")</f>
        <v>Vũ Thị Trang</v>
      </c>
      <c r="J2326" s="3" t="str">
        <f ca="1">IFERROR(__xludf.DUMMYFUNCTION("""COMPUTED_VALUE"""),"0337592283")</f>
        <v>0337592283</v>
      </c>
      <c r="K2326" s="2" t="str">
        <f ca="1">IFERROR(__xludf.DUMMYFUNCTION("""COMPUTED_VALUE"""),"1733293460955")</f>
        <v>1733293460955</v>
      </c>
    </row>
    <row r="2327" spans="1:11" ht="12.45">
      <c r="A2327" s="2" t="str">
        <f ca="1">IFERROR(__xludf.DUMMYFUNCTION("""COMPUTED_VALUE"""),"1733293526070")</f>
        <v>1733293526070</v>
      </c>
      <c r="B2327" s="2"/>
      <c r="C2327" s="2" t="str">
        <v>0</v>
      </c>
      <c r="D2327" s="2"/>
      <c r="F2327" s="2" t="str">
        <v>0</v>
      </c>
      <c r="I2327" s="2" t="str">
        <f ca="1">IFERROR(__xludf.DUMMYFUNCTION("""COMPUTED_VALUE"""),"Ngô Ngọc Linh")</f>
        <v>Ngô Ngọc Linh</v>
      </c>
      <c r="J2327" s="3" t="str">
        <f ca="1">IFERROR(__xludf.DUMMYFUNCTION("""COMPUTED_VALUE"""),"0392940518")</f>
        <v>0392940518</v>
      </c>
      <c r="K2327" s="2" t="str">
        <f ca="1">IFERROR(__xludf.DUMMYFUNCTION("""COMPUTED_VALUE"""),"1733293526070")</f>
        <v>1733293526070</v>
      </c>
    </row>
    <row r="2328" spans="1:11" ht="12.45">
      <c r="A2328" s="2" t="str">
        <f ca="1">IFERROR(__xludf.DUMMYFUNCTION("""COMPUTED_VALUE"""),"1733293589669")</f>
        <v>1733293589669</v>
      </c>
      <c r="B2328" s="2"/>
      <c r="C2328" s="2" t="str">
        <v>0</v>
      </c>
      <c r="D2328" s="2"/>
      <c r="F2328" s="2" t="str">
        <v>0</v>
      </c>
      <c r="I2328" s="2" t="str">
        <f ca="1">IFERROR(__xludf.DUMMYFUNCTION("""COMPUTED_VALUE"""),"Ma phương quyên")</f>
        <v>Ma phương quyên</v>
      </c>
      <c r="J2328" s="2" t="str">
        <f ca="1">IFERROR(__xludf.DUMMYFUNCTION("""COMPUTED_VALUE"""),"08437980656")</f>
        <v>08437980656</v>
      </c>
      <c r="K2328" s="2" t="str">
        <f ca="1">IFERROR(__xludf.DUMMYFUNCTION("""COMPUTED_VALUE"""),"1733293589669")</f>
        <v>1733293589669</v>
      </c>
    </row>
    <row r="2329" spans="1:11" ht="12.45">
      <c r="A2329" s="2" t="str">
        <f ca="1">IFERROR(__xludf.DUMMYFUNCTION("""COMPUTED_VALUE"""),"1733293639379")</f>
        <v>1733293639379</v>
      </c>
      <c r="B2329" s="2"/>
      <c r="C2329" s="2" t="str">
        <v>0</v>
      </c>
      <c r="D2329" s="2"/>
      <c r="F2329" s="2" t="str">
        <v>0</v>
      </c>
      <c r="I2329" s="2" t="str">
        <f ca="1">IFERROR(__xludf.DUMMYFUNCTION("""COMPUTED_VALUE"""),"Vũ Hoàng Anh")</f>
        <v>Vũ Hoàng Anh</v>
      </c>
      <c r="J2329" s="3" t="str">
        <f ca="1">IFERROR(__xludf.DUMMYFUNCTION("""COMPUTED_VALUE"""),"0912980723")</f>
        <v>0912980723</v>
      </c>
      <c r="K2329" s="2" t="str">
        <f ca="1">IFERROR(__xludf.DUMMYFUNCTION("""COMPUTED_VALUE"""),"1733293639379")</f>
        <v>1733293639379</v>
      </c>
    </row>
    <row r="2330" spans="1:11" ht="12.45">
      <c r="A2330" s="2" t="str">
        <f ca="1">IFERROR(__xludf.DUMMYFUNCTION("""COMPUTED_VALUE"""),"1733293700759")</f>
        <v>1733293700759</v>
      </c>
      <c r="B2330" s="2"/>
      <c r="C2330" s="2" t="str">
        <v>0</v>
      </c>
      <c r="D2330" s="2"/>
      <c r="F2330" s="2" t="str">
        <v>0</v>
      </c>
      <c r="I2330" s="2" t="str">
        <f ca="1">IFERROR(__xludf.DUMMYFUNCTION("""COMPUTED_VALUE"""),"An Thu Hà")</f>
        <v>An Thu Hà</v>
      </c>
      <c r="J2330" s="3" t="str">
        <f ca="1">IFERROR(__xludf.DUMMYFUNCTION("""COMPUTED_VALUE"""),"0332275929")</f>
        <v>0332275929</v>
      </c>
      <c r="K2330" s="2" t="str">
        <f ca="1">IFERROR(__xludf.DUMMYFUNCTION("""COMPUTED_VALUE"""),"1733293700759")</f>
        <v>1733293700759</v>
      </c>
    </row>
    <row r="2331" spans="1:11" ht="12.45">
      <c r="A2331" s="2" t="str">
        <f ca="1">IFERROR(__xludf.DUMMYFUNCTION("""COMPUTED_VALUE"""),"1733293760102")</f>
        <v>1733293760102</v>
      </c>
      <c r="B2331" s="2"/>
      <c r="C2331" s="2" t="str">
        <v>0</v>
      </c>
      <c r="D2331" s="2"/>
      <c r="F2331" s="2" t="str">
        <v>0</v>
      </c>
      <c r="I2331" s="2" t="str">
        <f ca="1">IFERROR(__xludf.DUMMYFUNCTION("""COMPUTED_VALUE"""),"Đỗ Thu Hằng")</f>
        <v>Đỗ Thu Hằng</v>
      </c>
      <c r="J2331" s="3" t="str">
        <f ca="1">IFERROR(__xludf.DUMMYFUNCTION("""COMPUTED_VALUE"""),"0338098209")</f>
        <v>0338098209</v>
      </c>
      <c r="K2331" s="2" t="str">
        <f ca="1">IFERROR(__xludf.DUMMYFUNCTION("""COMPUTED_VALUE"""),"1733293760102")</f>
        <v>1733293760102</v>
      </c>
    </row>
    <row r="2332" spans="1:11" ht="12.45">
      <c r="A2332" s="2" t="str">
        <f ca="1">IFERROR(__xludf.DUMMYFUNCTION("""COMPUTED_VALUE"""),"1735809788063")</f>
        <v>1735809788063</v>
      </c>
      <c r="B2332" s="2"/>
      <c r="C2332" s="2" t="str">
        <v>0</v>
      </c>
      <c r="D2332" s="2"/>
      <c r="F2332" s="2" t="str">
        <v>0</v>
      </c>
      <c r="I2332" s="2" t="str">
        <f ca="1">IFERROR(__xludf.DUMMYFUNCTION("""COMPUTED_VALUE"""),"Nguyễn Ánh Vy")</f>
        <v>Nguyễn Ánh Vy</v>
      </c>
      <c r="J2332" s="3" t="str">
        <f ca="1">IFERROR(__xludf.DUMMYFUNCTION("""COMPUTED_VALUE"""),"0378990853")</f>
        <v>0378990853</v>
      </c>
      <c r="K2332" s="2" t="str">
        <f ca="1">IFERROR(__xludf.DUMMYFUNCTION("""COMPUTED_VALUE"""),"1735809788063")</f>
        <v>1735809788063</v>
      </c>
    </row>
    <row r="2333" spans="1:11" ht="12.45">
      <c r="A2333" s="2" t="str">
        <f ca="1">IFERROR(__xludf.DUMMYFUNCTION("""COMPUTED_VALUE"""),"1733293795702")</f>
        <v>1733293795702</v>
      </c>
      <c r="B2333" s="2"/>
      <c r="C2333" s="2" t="str">
        <v>0</v>
      </c>
      <c r="D2333" s="2"/>
      <c r="F2333" s="2" t="str">
        <v>0</v>
      </c>
      <c r="I2333" s="2" t="str">
        <f ca="1">IFERROR(__xludf.DUMMYFUNCTION("""COMPUTED_VALUE"""),"Nguyễn Như Quỳnh")</f>
        <v>Nguyễn Như Quỳnh</v>
      </c>
      <c r="J2333" s="3" t="str">
        <f ca="1">IFERROR(__xludf.DUMMYFUNCTION("""COMPUTED_VALUE"""),"0338681207")</f>
        <v>0338681207</v>
      </c>
      <c r="K2333" s="2" t="str">
        <f ca="1">IFERROR(__xludf.DUMMYFUNCTION("""COMPUTED_VALUE"""),"1733293795702")</f>
        <v>1733293795702</v>
      </c>
    </row>
    <row r="2334" spans="1:11" ht="12.45">
      <c r="A2334" s="2" t="str">
        <f ca="1">IFERROR(__xludf.DUMMYFUNCTION("""COMPUTED_VALUE"""),"1733293836868")</f>
        <v>1733293836868</v>
      </c>
      <c r="B2334" s="2"/>
      <c r="C2334" s="2" t="str">
        <v>0</v>
      </c>
      <c r="D2334" s="2"/>
      <c r="F2334" s="2" t="str">
        <v>0</v>
      </c>
      <c r="I2334" s="2" t="str">
        <f ca="1">IFERROR(__xludf.DUMMYFUNCTION("""COMPUTED_VALUE"""),"Hà Nga")</f>
        <v>Hà Nga</v>
      </c>
      <c r="J2334" s="3" t="str">
        <f ca="1">IFERROR(__xludf.DUMMYFUNCTION("""COMPUTED_VALUE"""),"0378316137")</f>
        <v>0378316137</v>
      </c>
      <c r="K2334" s="2" t="str">
        <f ca="1">IFERROR(__xludf.DUMMYFUNCTION("""COMPUTED_VALUE"""),"1733293836868")</f>
        <v>1733293836868</v>
      </c>
    </row>
    <row r="2335" spans="1:11" ht="12.45">
      <c r="A2335" s="2" t="str">
        <f ca="1">IFERROR(__xludf.DUMMYFUNCTION("""COMPUTED_VALUE"""),"1733293881282")</f>
        <v>1733293881282</v>
      </c>
      <c r="B2335" s="2"/>
      <c r="C2335" s="2" t="str">
        <v>0</v>
      </c>
      <c r="D2335" s="2"/>
      <c r="F2335" s="2" t="str">
        <v>0</v>
      </c>
      <c r="I2335" s="2" t="str">
        <f ca="1">IFERROR(__xludf.DUMMYFUNCTION("""COMPUTED_VALUE"""),"Lê Thị Hương Ly")</f>
        <v>Lê Thị Hương Ly</v>
      </c>
      <c r="J2335" s="3" t="str">
        <f ca="1">IFERROR(__xludf.DUMMYFUNCTION("""COMPUTED_VALUE"""),"0348677231")</f>
        <v>0348677231</v>
      </c>
      <c r="K2335" s="2" t="str">
        <f ca="1">IFERROR(__xludf.DUMMYFUNCTION("""COMPUTED_VALUE"""),"1733293881282")</f>
        <v>1733293881282</v>
      </c>
    </row>
    <row r="2336" spans="1:11" ht="12.45">
      <c r="A2336" s="2" t="str">
        <f ca="1">IFERROR(__xludf.DUMMYFUNCTION("""COMPUTED_VALUE"""),"1733293930849")</f>
        <v>1733293930849</v>
      </c>
      <c r="B2336" s="2"/>
      <c r="C2336" s="2" t="str">
        <v>0</v>
      </c>
      <c r="D2336" s="2"/>
      <c r="F2336" s="2" t="str">
        <v>0</v>
      </c>
      <c r="I2336" s="2" t="str">
        <f ca="1">IFERROR(__xludf.DUMMYFUNCTION("""COMPUTED_VALUE"""),"Nguyễn Ngọc Như Quỳnh")</f>
        <v>Nguyễn Ngọc Như Quỳnh</v>
      </c>
      <c r="J2336" s="3" t="str">
        <f ca="1">IFERROR(__xludf.DUMMYFUNCTION("""COMPUTED_VALUE"""),"0798073776")</f>
        <v>0798073776</v>
      </c>
      <c r="K2336" s="2" t="str">
        <f ca="1">IFERROR(__xludf.DUMMYFUNCTION("""COMPUTED_VALUE"""),"1733293930849")</f>
        <v>1733293930849</v>
      </c>
    </row>
    <row r="2337" spans="1:11" ht="12.45">
      <c r="A2337" s="2" t="str">
        <f ca="1">IFERROR(__xludf.DUMMYFUNCTION("""COMPUTED_VALUE"""),"1733293975839")</f>
        <v>1733293975839</v>
      </c>
      <c r="B2337" s="2"/>
      <c r="C2337" s="2" t="str">
        <v>0</v>
      </c>
      <c r="D2337" s="2"/>
      <c r="F2337" s="2" t="str">
        <v>0</v>
      </c>
      <c r="I2337" s="2" t="str">
        <f ca="1">IFERROR(__xludf.DUMMYFUNCTION("""COMPUTED_VALUE"""),"Mai Khánh Huyền")</f>
        <v>Mai Khánh Huyền</v>
      </c>
      <c r="J2337" s="3" t="str">
        <f ca="1">IFERROR(__xludf.DUMMYFUNCTION("""COMPUTED_VALUE"""),"0886207136")</f>
        <v>0886207136</v>
      </c>
      <c r="K2337" s="2" t="str">
        <f ca="1">IFERROR(__xludf.DUMMYFUNCTION("""COMPUTED_VALUE"""),"1733293975839")</f>
        <v>1733293975839</v>
      </c>
    </row>
    <row r="2338" spans="1:11" ht="12.45">
      <c r="A2338" s="2" t="str">
        <f ca="1">IFERROR(__xludf.DUMMYFUNCTION("""COMPUTED_VALUE"""),"1733294014586")</f>
        <v>1733294014586</v>
      </c>
      <c r="B2338" s="2"/>
      <c r="C2338" s="2" t="str">
        <v>0</v>
      </c>
      <c r="D2338" s="2"/>
      <c r="F2338" s="2" t="str">
        <v>0</v>
      </c>
      <c r="I2338" s="2" t="str">
        <f ca="1">IFERROR(__xludf.DUMMYFUNCTION("""COMPUTED_VALUE"""),"Nguyễn Thị Hường")</f>
        <v>Nguyễn Thị Hường</v>
      </c>
      <c r="J2338" s="3" t="str">
        <f ca="1">IFERROR(__xludf.DUMMYFUNCTION("""COMPUTED_VALUE"""),"0862025727")</f>
        <v>0862025727</v>
      </c>
      <c r="K2338" s="2" t="str">
        <f ca="1">IFERROR(__xludf.DUMMYFUNCTION("""COMPUTED_VALUE"""),"1733294014586")</f>
        <v>1733294014586</v>
      </c>
    </row>
    <row r="2339" spans="1:11" ht="12.45">
      <c r="A2339" s="2" t="str">
        <f ca="1">IFERROR(__xludf.DUMMYFUNCTION("""COMPUTED_VALUE"""),"1733294045110")</f>
        <v>1733294045110</v>
      </c>
      <c r="B2339" s="2"/>
      <c r="C2339" s="2" t="str">
        <v>0</v>
      </c>
      <c r="D2339" s="2"/>
      <c r="F2339" s="2" t="str">
        <v>0</v>
      </c>
      <c r="I2339" s="2" t="str">
        <f ca="1">IFERROR(__xludf.DUMMYFUNCTION("""COMPUTED_VALUE"""),"Nguyễn Hà Anh")</f>
        <v>Nguyễn Hà Anh</v>
      </c>
      <c r="J2339" s="3" t="str">
        <f ca="1">IFERROR(__xludf.DUMMYFUNCTION("""COMPUTED_VALUE"""),"0868906877")</f>
        <v>0868906877</v>
      </c>
      <c r="K2339" s="2" t="str">
        <f ca="1">IFERROR(__xludf.DUMMYFUNCTION("""COMPUTED_VALUE"""),"1733294045110")</f>
        <v>1733294045110</v>
      </c>
    </row>
    <row r="2340" spans="1:11" ht="12.45">
      <c r="A2340" s="2" t="str">
        <f ca="1">IFERROR(__xludf.DUMMYFUNCTION("""COMPUTED_VALUE"""),"1733294092226")</f>
        <v>1733294092226</v>
      </c>
      <c r="B2340" s="2"/>
      <c r="C2340" s="2" t="str">
        <v>0</v>
      </c>
      <c r="D2340" s="2"/>
      <c r="F2340" s="2" t="str">
        <v>0</v>
      </c>
      <c r="I2340" s="2" t="str">
        <f ca="1">IFERROR(__xludf.DUMMYFUNCTION("""COMPUTED_VALUE"""),"Tạ Phương Linh")</f>
        <v>Tạ Phương Linh</v>
      </c>
      <c r="J2340" s="3" t="str">
        <f ca="1">IFERROR(__xludf.DUMMYFUNCTION("""COMPUTED_VALUE"""),"0363045057")</f>
        <v>0363045057</v>
      </c>
      <c r="K2340" s="2" t="str">
        <f ca="1">IFERROR(__xludf.DUMMYFUNCTION("""COMPUTED_VALUE"""),"1733294092226")</f>
        <v>1733294092226</v>
      </c>
    </row>
    <row r="2341" spans="1:11" ht="12.45">
      <c r="A2341" s="2" t="str">
        <f ca="1">IFERROR(__xludf.DUMMYFUNCTION("""COMPUTED_VALUE"""),"1733294128063")</f>
        <v>1733294128063</v>
      </c>
      <c r="B2341" s="2"/>
      <c r="C2341" s="2" t="str">
        <v>0</v>
      </c>
      <c r="D2341" s="2"/>
      <c r="F2341" s="2" t="str">
        <v>0</v>
      </c>
      <c r="I2341" s="2" t="str">
        <f ca="1">IFERROR(__xludf.DUMMYFUNCTION("""COMPUTED_VALUE"""),"Nguyễn Hải Anh ")</f>
        <v xml:space="preserve">Nguyễn Hải Anh </v>
      </c>
      <c r="J2341" s="3" t="str">
        <f ca="1">IFERROR(__xludf.DUMMYFUNCTION("""COMPUTED_VALUE"""),"0382080907")</f>
        <v>0382080907</v>
      </c>
      <c r="K2341" s="2" t="str">
        <f ca="1">IFERROR(__xludf.DUMMYFUNCTION("""COMPUTED_VALUE"""),"1733294128063")</f>
        <v>1733294128063</v>
      </c>
    </row>
    <row r="2342" spans="1:11" ht="12.45">
      <c r="A2342" s="2" t="str">
        <f ca="1">IFERROR(__xludf.DUMMYFUNCTION("""COMPUTED_VALUE"""),"1733294174613")</f>
        <v>1733294174613</v>
      </c>
      <c r="B2342" s="2"/>
      <c r="C2342" s="2" t="str">
        <v>0</v>
      </c>
      <c r="D2342" s="2"/>
      <c r="F2342" s="2" t="str">
        <v>0</v>
      </c>
      <c r="I2342" s="2" t="str">
        <f ca="1">IFERROR(__xludf.DUMMYFUNCTION("""COMPUTED_VALUE"""),"Nguyễn Ngọc Thuý Vy")</f>
        <v>Nguyễn Ngọc Thuý Vy</v>
      </c>
      <c r="J2342" s="3" t="str">
        <f ca="1">IFERROR(__xludf.DUMMYFUNCTION("""COMPUTED_VALUE"""),"0934394849")</f>
        <v>0934394849</v>
      </c>
      <c r="K2342" s="2" t="str">
        <f ca="1">IFERROR(__xludf.DUMMYFUNCTION("""COMPUTED_VALUE"""),"1733294174613")</f>
        <v>1733294174613</v>
      </c>
    </row>
    <row r="2343" spans="1:11" ht="12.45">
      <c r="A2343" s="2" t="str">
        <f ca="1">IFERROR(__xludf.DUMMYFUNCTION("""COMPUTED_VALUE"""),"1733294228047")</f>
        <v>1733294228047</v>
      </c>
      <c r="B2343" s="2"/>
      <c r="C2343" s="2" t="str">
        <v>0</v>
      </c>
      <c r="D2343" s="2"/>
      <c r="F2343" s="2" t="str">
        <v>0</v>
      </c>
      <c r="I2343" s="2" t="str">
        <f ca="1">IFERROR(__xludf.DUMMYFUNCTION("""COMPUTED_VALUE"""),"Nguyễn Mai Thu Trang ")</f>
        <v xml:space="preserve">Nguyễn Mai Thu Trang </v>
      </c>
      <c r="J2343" s="3" t="str">
        <f ca="1">IFERROR(__xludf.DUMMYFUNCTION("""COMPUTED_VALUE"""),"0963166207")</f>
        <v>0963166207</v>
      </c>
      <c r="K2343" s="2" t="str">
        <f ca="1">IFERROR(__xludf.DUMMYFUNCTION("""COMPUTED_VALUE"""),"1733294228047")</f>
        <v>1733294228047</v>
      </c>
    </row>
    <row r="2344" spans="1:11" ht="12.45">
      <c r="A2344" s="2" t="str">
        <f ca="1">IFERROR(__xludf.DUMMYFUNCTION("""COMPUTED_VALUE"""),"1733294254293")</f>
        <v>1733294254293</v>
      </c>
      <c r="B2344" s="2"/>
      <c r="C2344" s="2" t="str">
        <v>0</v>
      </c>
      <c r="D2344" s="2"/>
      <c r="F2344" s="2" t="str">
        <v>0</v>
      </c>
      <c r="I2344" s="2" t="str">
        <f ca="1">IFERROR(__xludf.DUMMYFUNCTION("""COMPUTED_VALUE"""),"Nguyễn Thị Mai Uyên")</f>
        <v>Nguyễn Thị Mai Uyên</v>
      </c>
      <c r="J2344" s="3" t="str">
        <f ca="1">IFERROR(__xludf.DUMMYFUNCTION("""COMPUTED_VALUE"""),"0962383207")</f>
        <v>0962383207</v>
      </c>
      <c r="K2344" s="2" t="str">
        <f ca="1">IFERROR(__xludf.DUMMYFUNCTION("""COMPUTED_VALUE"""),"1733294254293")</f>
        <v>1733294254293</v>
      </c>
    </row>
    <row r="2345" spans="1:11" ht="12.45">
      <c r="A2345" s="2" t="str">
        <f ca="1">IFERROR(__xludf.DUMMYFUNCTION("""COMPUTED_VALUE"""),"1733294300132")</f>
        <v>1733294300132</v>
      </c>
      <c r="B2345" s="2"/>
      <c r="C2345" s="2" t="str">
        <v>0</v>
      </c>
      <c r="D2345" s="2"/>
      <c r="F2345" s="2" t="str">
        <v>0</v>
      </c>
      <c r="I2345" s="2" t="str">
        <f ca="1">IFERROR(__xludf.DUMMYFUNCTION("""COMPUTED_VALUE"""),"Trần Anh Thư")</f>
        <v>Trần Anh Thư</v>
      </c>
      <c r="J2345" s="3" t="str">
        <f ca="1">IFERROR(__xludf.DUMMYFUNCTION("""COMPUTED_VALUE"""),"0368976179")</f>
        <v>0368976179</v>
      </c>
      <c r="K2345" s="2" t="str">
        <f ca="1">IFERROR(__xludf.DUMMYFUNCTION("""COMPUTED_VALUE"""),"1733294300132")</f>
        <v>1733294300132</v>
      </c>
    </row>
    <row r="2346" spans="1:11" ht="12.45">
      <c r="A2346" s="2" t="str">
        <f ca="1">IFERROR(__xludf.DUMMYFUNCTION("""COMPUTED_VALUE"""),"1733294343601")</f>
        <v>1733294343601</v>
      </c>
      <c r="B2346" s="2"/>
      <c r="C2346" s="2" t="str">
        <v>0</v>
      </c>
      <c r="D2346" s="2"/>
      <c r="F2346" s="2" t="str">
        <v>0</v>
      </c>
      <c r="I2346" s="2" t="str">
        <f ca="1">IFERROR(__xludf.DUMMYFUNCTION("""COMPUTED_VALUE"""),"Hoàng Thảo Vy ")</f>
        <v xml:space="preserve">Hoàng Thảo Vy </v>
      </c>
      <c r="J2346" s="3" t="str">
        <f ca="1">IFERROR(__xludf.DUMMYFUNCTION("""COMPUTED_VALUE"""),"0386537064")</f>
        <v>0386537064</v>
      </c>
      <c r="K2346" s="2" t="str">
        <f ca="1">IFERROR(__xludf.DUMMYFUNCTION("""COMPUTED_VALUE"""),"1733294343601")</f>
        <v>1733294343601</v>
      </c>
    </row>
    <row r="2347" spans="1:11" ht="12.45">
      <c r="A2347" s="2" t="str">
        <f ca="1">IFERROR(__xludf.DUMMYFUNCTION("""COMPUTED_VALUE"""),"1733294387635")</f>
        <v>1733294387635</v>
      </c>
      <c r="B2347" s="2"/>
      <c r="C2347" s="2" t="str">
        <v>0</v>
      </c>
      <c r="D2347" s="2"/>
      <c r="F2347" s="2" t="str">
        <v>0</v>
      </c>
      <c r="I2347" s="2" t="str">
        <f ca="1">IFERROR(__xludf.DUMMYFUNCTION("""COMPUTED_VALUE"""),"Hoàng Thu Trang")</f>
        <v>Hoàng Thu Trang</v>
      </c>
      <c r="J2347" s="3" t="str">
        <f ca="1">IFERROR(__xludf.DUMMYFUNCTION("""COMPUTED_VALUE"""),"0912359264")</f>
        <v>0912359264</v>
      </c>
      <c r="K2347" s="2" t="str">
        <f ca="1">IFERROR(__xludf.DUMMYFUNCTION("""COMPUTED_VALUE"""),"1733294387635")</f>
        <v>1733294387635</v>
      </c>
    </row>
    <row r="2348" spans="1:11" ht="12.45">
      <c r="A2348" s="2" t="str">
        <f ca="1">IFERROR(__xludf.DUMMYFUNCTION("""COMPUTED_VALUE"""),"1733294422452")</f>
        <v>1733294422452</v>
      </c>
      <c r="B2348" s="2"/>
      <c r="C2348" s="2" t="str">
        <v>0</v>
      </c>
      <c r="D2348" s="2"/>
      <c r="F2348" s="2" t="str">
        <v>0</v>
      </c>
      <c r="I2348" s="2" t="str">
        <f ca="1">IFERROR(__xludf.DUMMYFUNCTION("""COMPUTED_VALUE"""),"Võ Nhất Nguyên An")</f>
        <v>Võ Nhất Nguyên An</v>
      </c>
      <c r="J2348" s="3" t="str">
        <f ca="1">IFERROR(__xludf.DUMMYFUNCTION("""COMPUTED_VALUE"""),"0793576207")</f>
        <v>0793576207</v>
      </c>
      <c r="K2348" s="2" t="str">
        <f ca="1">IFERROR(__xludf.DUMMYFUNCTION("""COMPUTED_VALUE"""),"1733294422452")</f>
        <v>1733294422452</v>
      </c>
    </row>
    <row r="2349" spans="1:11" ht="12.45">
      <c r="A2349" s="2" t="str">
        <f ca="1">IFERROR(__xludf.DUMMYFUNCTION("""COMPUTED_VALUE"""),"1733294466271")</f>
        <v>1733294466271</v>
      </c>
      <c r="B2349" s="2"/>
      <c r="C2349" s="2" t="str">
        <v>0</v>
      </c>
      <c r="D2349" s="2"/>
      <c r="F2349" s="2" t="str">
        <v>0</v>
      </c>
      <c r="I2349" s="2" t="str">
        <f ca="1">IFERROR(__xludf.DUMMYFUNCTION("""COMPUTED_VALUE"""),"Nguyễn Minh Đức")</f>
        <v>Nguyễn Minh Đức</v>
      </c>
      <c r="J2349" s="3" t="str">
        <f ca="1">IFERROR(__xludf.DUMMYFUNCTION("""COMPUTED_VALUE"""),"0858689779")</f>
        <v>0858689779</v>
      </c>
      <c r="K2349" s="2" t="str">
        <f ca="1">IFERROR(__xludf.DUMMYFUNCTION("""COMPUTED_VALUE"""),"1733294466271")</f>
        <v>1733294466271</v>
      </c>
    </row>
    <row r="2350" spans="1:11" ht="12.45">
      <c r="A2350" s="2" t="str">
        <f ca="1">IFERROR(__xludf.DUMMYFUNCTION("""COMPUTED_VALUE"""),"1733294517157")</f>
        <v>1733294517157</v>
      </c>
      <c r="B2350" s="2"/>
      <c r="C2350" s="2" t="str">
        <v>0</v>
      </c>
      <c r="D2350" s="2"/>
      <c r="F2350" s="2" t="str">
        <v>0</v>
      </c>
      <c r="I2350" s="2" t="str">
        <f ca="1">IFERROR(__xludf.DUMMYFUNCTION("""COMPUTED_VALUE"""),"lê thị thu hiền ")</f>
        <v xml:space="preserve">lê thị thu hiền </v>
      </c>
      <c r="J2350" s="3" t="str">
        <f ca="1">IFERROR(__xludf.DUMMYFUNCTION("""COMPUTED_VALUE"""),"0898897473")</f>
        <v>0898897473</v>
      </c>
      <c r="K2350" s="2" t="str">
        <f ca="1">IFERROR(__xludf.DUMMYFUNCTION("""COMPUTED_VALUE"""),"1733294517157")</f>
        <v>1733294517157</v>
      </c>
    </row>
    <row r="2351" spans="1:11" ht="12.45">
      <c r="A2351" s="2" t="str">
        <f ca="1">IFERROR(__xludf.DUMMYFUNCTION("""COMPUTED_VALUE"""),"1733294549967")</f>
        <v>1733294549967</v>
      </c>
      <c r="B2351" s="2"/>
      <c r="C2351" s="2" t="str">
        <v>0</v>
      </c>
      <c r="D2351" s="2"/>
      <c r="F2351" s="2" t="str">
        <v>0</v>
      </c>
      <c r="I2351" s="2" t="str">
        <f ca="1">IFERROR(__xludf.DUMMYFUNCTION("""COMPUTED_VALUE"""),"Nguyễn Thị Hoài Thương")</f>
        <v>Nguyễn Thị Hoài Thương</v>
      </c>
      <c r="J2351" s="3" t="str">
        <f ca="1">IFERROR(__xludf.DUMMYFUNCTION("""COMPUTED_VALUE"""),"0353703704")</f>
        <v>0353703704</v>
      </c>
      <c r="K2351" s="2" t="str">
        <f ca="1">IFERROR(__xludf.DUMMYFUNCTION("""COMPUTED_VALUE"""),"1733294549967")</f>
        <v>1733294549967</v>
      </c>
    </row>
    <row r="2352" spans="1:11" ht="12.45">
      <c r="A2352" s="2" t="str">
        <f ca="1">IFERROR(__xludf.DUMMYFUNCTION("""COMPUTED_VALUE"""),"1733294591978")</f>
        <v>1733294591978</v>
      </c>
      <c r="B2352" s="2"/>
      <c r="C2352" s="2" t="str">
        <v>0</v>
      </c>
      <c r="D2352" s="2"/>
      <c r="F2352" s="2" t="str">
        <v>0</v>
      </c>
      <c r="I2352" s="2" t="str">
        <f ca="1">IFERROR(__xludf.DUMMYFUNCTION("""COMPUTED_VALUE"""),"Tống Vân anh")</f>
        <v>Tống Vân anh</v>
      </c>
      <c r="J2352" s="3" t="str">
        <f ca="1">IFERROR(__xludf.DUMMYFUNCTION("""COMPUTED_VALUE"""),"0346227556")</f>
        <v>0346227556</v>
      </c>
      <c r="K2352" s="2" t="str">
        <f ca="1">IFERROR(__xludf.DUMMYFUNCTION("""COMPUTED_VALUE"""),"1733294591978")</f>
        <v>1733294591978</v>
      </c>
    </row>
    <row r="2353" spans="1:11" ht="12.45">
      <c r="A2353" s="2" t="str">
        <f ca="1">IFERROR(__xludf.DUMMYFUNCTION("""COMPUTED_VALUE"""),"1733294630685")</f>
        <v>1733294630685</v>
      </c>
      <c r="B2353" s="2"/>
      <c r="C2353" s="2" t="str">
        <v>0</v>
      </c>
      <c r="D2353" s="2"/>
      <c r="F2353" s="2" t="str">
        <v>0</v>
      </c>
      <c r="I2353" s="2" t="str">
        <f ca="1">IFERROR(__xludf.DUMMYFUNCTION("""COMPUTED_VALUE"""),"Vũ Quỳnh Anh")</f>
        <v>Vũ Quỳnh Anh</v>
      </c>
      <c r="J2353" s="3" t="str">
        <f ca="1">IFERROR(__xludf.DUMMYFUNCTION("""COMPUTED_VALUE"""),"0868246632")</f>
        <v>0868246632</v>
      </c>
      <c r="K2353" s="2" t="str">
        <f ca="1">IFERROR(__xludf.DUMMYFUNCTION("""COMPUTED_VALUE"""),"1733294630685")</f>
        <v>1733294630685</v>
      </c>
    </row>
    <row r="2354" spans="1:11" ht="12.45">
      <c r="A2354" s="2" t="str">
        <f ca="1">IFERROR(__xludf.DUMMYFUNCTION("""COMPUTED_VALUE"""),"1733294663749")</f>
        <v>1733294663749</v>
      </c>
      <c r="B2354" s="2"/>
      <c r="C2354" s="2" t="str">
        <v>0</v>
      </c>
      <c r="D2354" s="2"/>
      <c r="F2354" s="2" t="str">
        <v>0</v>
      </c>
      <c r="I2354" s="2" t="str">
        <f ca="1">IFERROR(__xludf.DUMMYFUNCTION("""COMPUTED_VALUE"""),"Nguyễn Phương Chi")</f>
        <v>Nguyễn Phương Chi</v>
      </c>
      <c r="J2354" s="3" t="str">
        <f ca="1">IFERROR(__xludf.DUMMYFUNCTION("""COMPUTED_VALUE"""),"0334095008")</f>
        <v>0334095008</v>
      </c>
      <c r="K2354" s="2" t="str">
        <f ca="1">IFERROR(__xludf.DUMMYFUNCTION("""COMPUTED_VALUE"""),"1733294663749")</f>
        <v>1733294663749</v>
      </c>
    </row>
    <row r="2355" spans="1:11" ht="12.45">
      <c r="A2355" s="2" t="str">
        <f ca="1">IFERROR(__xludf.DUMMYFUNCTION("""COMPUTED_VALUE"""),"1733294702601")</f>
        <v>1733294702601</v>
      </c>
      <c r="B2355" s="2"/>
      <c r="C2355" s="2" t="str">
        <v>0</v>
      </c>
      <c r="D2355" s="2"/>
      <c r="F2355" s="2" t="str">
        <v>0</v>
      </c>
      <c r="I2355" s="2" t="str">
        <f ca="1">IFERROR(__xludf.DUMMYFUNCTION("""COMPUTED_VALUE"""),"Quàng Thị Thu Thuỷ ")</f>
        <v xml:space="preserve">Quàng Thị Thu Thuỷ </v>
      </c>
      <c r="J2355" s="3" t="str">
        <f ca="1">IFERROR(__xludf.DUMMYFUNCTION("""COMPUTED_VALUE"""),"0982967714")</f>
        <v>0982967714</v>
      </c>
      <c r="K2355" s="2" t="str">
        <f ca="1">IFERROR(__xludf.DUMMYFUNCTION("""COMPUTED_VALUE"""),"1733294702601")</f>
        <v>1733294702601</v>
      </c>
    </row>
    <row r="2356" spans="1:11" ht="12.45">
      <c r="A2356" s="2" t="str">
        <f ca="1">IFERROR(__xludf.DUMMYFUNCTION("""COMPUTED_VALUE"""),"1733294742345")</f>
        <v>1733294742345</v>
      </c>
      <c r="B2356" s="2"/>
      <c r="C2356" s="2" t="str">
        <v>0</v>
      </c>
      <c r="D2356" s="2"/>
      <c r="F2356" s="2" t="str">
        <v>0</v>
      </c>
      <c r="I2356" s="2" t="str">
        <f ca="1">IFERROR(__xludf.DUMMYFUNCTION("""COMPUTED_VALUE"""),"Vũ Nguyễn Quỳnh giao ")</f>
        <v xml:space="preserve">Vũ Nguyễn Quỳnh giao </v>
      </c>
      <c r="J2356" s="3" t="str">
        <f ca="1">IFERROR(__xludf.DUMMYFUNCTION("""COMPUTED_VALUE"""),"0904692873")</f>
        <v>0904692873</v>
      </c>
      <c r="K2356" s="2" t="str">
        <f ca="1">IFERROR(__xludf.DUMMYFUNCTION("""COMPUTED_VALUE"""),"1733294742345")</f>
        <v>1733294742345</v>
      </c>
    </row>
    <row r="2357" spans="1:11" ht="12.45">
      <c r="A2357" s="2" t="str">
        <f ca="1">IFERROR(__xludf.DUMMYFUNCTION("""COMPUTED_VALUE"""),"1733294803467")</f>
        <v>1733294803467</v>
      </c>
      <c r="B2357" s="2"/>
      <c r="C2357" s="2" t="str">
        <v>0</v>
      </c>
      <c r="D2357" s="2"/>
      <c r="F2357" s="2" t="str">
        <v>0</v>
      </c>
      <c r="I2357" s="2" t="str">
        <f ca="1">IFERROR(__xludf.DUMMYFUNCTION("""COMPUTED_VALUE"""),"Nguyễn Kiều Oanh")</f>
        <v>Nguyễn Kiều Oanh</v>
      </c>
      <c r="J2357" s="3" t="str">
        <f ca="1">IFERROR(__xludf.DUMMYFUNCTION("""COMPUTED_VALUE"""),"0982518942")</f>
        <v>0982518942</v>
      </c>
      <c r="K2357" s="2" t="str">
        <f ca="1">IFERROR(__xludf.DUMMYFUNCTION("""COMPUTED_VALUE"""),"1733294803467")</f>
        <v>1733294803467</v>
      </c>
    </row>
    <row r="2358" spans="1:11" ht="12.45">
      <c r="A2358" s="2" t="str">
        <f ca="1">IFERROR(__xludf.DUMMYFUNCTION("""COMPUTED_VALUE"""),"1733294857377")</f>
        <v>1733294857377</v>
      </c>
      <c r="B2358" s="2"/>
      <c r="C2358" s="2" t="str">
        <v>0</v>
      </c>
      <c r="D2358" s="2"/>
      <c r="F2358" s="2" t="str">
        <v>0</v>
      </c>
      <c r="I2358" s="2" t="str">
        <f ca="1">IFERROR(__xludf.DUMMYFUNCTION("""COMPUTED_VALUE"""),"Nguyễn Minh Ánh")</f>
        <v>Nguyễn Minh Ánh</v>
      </c>
      <c r="J2358" s="3" t="str">
        <f ca="1">IFERROR(__xludf.DUMMYFUNCTION("""COMPUTED_VALUE"""),"0922092008")</f>
        <v>0922092008</v>
      </c>
      <c r="K2358" s="2" t="str">
        <f ca="1">IFERROR(__xludf.DUMMYFUNCTION("""COMPUTED_VALUE"""),"1733294857377")</f>
        <v>1733294857377</v>
      </c>
    </row>
    <row r="2359" spans="1:11" ht="12.45">
      <c r="A2359" s="2" t="str">
        <f ca="1">IFERROR(__xludf.DUMMYFUNCTION("""COMPUTED_VALUE"""),"1733294901352")</f>
        <v>1733294901352</v>
      </c>
      <c r="B2359" s="2"/>
      <c r="C2359" s="2" t="str">
        <v>0</v>
      </c>
      <c r="D2359" s="2"/>
      <c r="F2359" s="2" t="str">
        <v>0</v>
      </c>
      <c r="I2359" s="2" t="str">
        <f ca="1">IFERROR(__xludf.DUMMYFUNCTION("""COMPUTED_VALUE"""),"Hoàng Ngọc Khuê ")</f>
        <v xml:space="preserve">Hoàng Ngọc Khuê </v>
      </c>
      <c r="J2359" s="3" t="str">
        <f ca="1">IFERROR(__xludf.DUMMYFUNCTION("""COMPUTED_VALUE"""),"0969669338")</f>
        <v>0969669338</v>
      </c>
      <c r="K2359" s="2" t="str">
        <f ca="1">IFERROR(__xludf.DUMMYFUNCTION("""COMPUTED_VALUE"""),"1733294901352")</f>
        <v>1733294901352</v>
      </c>
    </row>
    <row r="2360" spans="1:11" ht="12.45">
      <c r="A2360" s="2" t="str">
        <f ca="1">IFERROR(__xludf.DUMMYFUNCTION("""COMPUTED_VALUE"""),"1733294942898")</f>
        <v>1733294942898</v>
      </c>
      <c r="B2360" s="2"/>
      <c r="C2360" s="2" t="str">
        <v>0</v>
      </c>
      <c r="D2360" s="2"/>
      <c r="F2360" s="2" t="str">
        <v>0</v>
      </c>
      <c r="I2360" s="2" t="str">
        <f ca="1">IFERROR(__xludf.DUMMYFUNCTION("""COMPUTED_VALUE"""),"đinh ngọc diệp")</f>
        <v>đinh ngọc diệp</v>
      </c>
      <c r="J2360" s="3" t="str">
        <f ca="1">IFERROR(__xludf.DUMMYFUNCTION("""COMPUTED_VALUE"""),"0386655923")</f>
        <v>0386655923</v>
      </c>
      <c r="K2360" s="2" t="str">
        <f ca="1">IFERROR(__xludf.DUMMYFUNCTION("""COMPUTED_VALUE"""),"1733294942898")</f>
        <v>1733294942898</v>
      </c>
    </row>
    <row r="2361" spans="1:11" ht="12.45">
      <c r="A2361" s="2" t="str">
        <f ca="1">IFERROR(__xludf.DUMMYFUNCTION("""COMPUTED_VALUE"""),"1733294978746")</f>
        <v>1733294978746</v>
      </c>
      <c r="B2361" s="2"/>
      <c r="C2361" s="2" t="str">
        <v>0</v>
      </c>
      <c r="D2361" s="2"/>
      <c r="F2361" s="2" t="str">
        <v>0</v>
      </c>
      <c r="I2361" s="2" t="str">
        <f ca="1">IFERROR(__xludf.DUMMYFUNCTION("""COMPUTED_VALUE"""),"Nguyễn Ngọc Anh")</f>
        <v>Nguyễn Ngọc Anh</v>
      </c>
      <c r="J2361" s="3" t="str">
        <f ca="1">IFERROR(__xludf.DUMMYFUNCTION("""COMPUTED_VALUE"""),"0342976014")</f>
        <v>0342976014</v>
      </c>
      <c r="K2361" s="2" t="str">
        <f ca="1">IFERROR(__xludf.DUMMYFUNCTION("""COMPUTED_VALUE"""),"1733294978746")</f>
        <v>1733294978746</v>
      </c>
    </row>
    <row r="2362" spans="1:11" ht="12.45">
      <c r="A2362" s="2" t="str">
        <f ca="1">IFERROR(__xludf.DUMMYFUNCTION("""COMPUTED_VALUE"""),"1733295020511")</f>
        <v>1733295020511</v>
      </c>
      <c r="B2362" s="2"/>
      <c r="C2362" s="2" t="str">
        <v>0</v>
      </c>
      <c r="D2362" s="2"/>
      <c r="F2362" s="2" t="str">
        <v>0</v>
      </c>
      <c r="I2362" s="2" t="str">
        <f ca="1">IFERROR(__xludf.DUMMYFUNCTION("""COMPUTED_VALUE"""),"Nguyễn Mạnh Cầm")</f>
        <v>Nguyễn Mạnh Cầm</v>
      </c>
      <c r="J2362" s="3" t="str">
        <f ca="1">IFERROR(__xludf.DUMMYFUNCTION("""COMPUTED_VALUE"""),"0336806472")</f>
        <v>0336806472</v>
      </c>
      <c r="K2362" s="2" t="str">
        <f ca="1">IFERROR(__xludf.DUMMYFUNCTION("""COMPUTED_VALUE"""),"1733295020511")</f>
        <v>1733295020511</v>
      </c>
    </row>
    <row r="2363" spans="1:11" ht="12.45">
      <c r="A2363" s="2" t="str">
        <f ca="1">IFERROR(__xludf.DUMMYFUNCTION("""COMPUTED_VALUE"""),"1733295063538")</f>
        <v>1733295063538</v>
      </c>
      <c r="B2363" s="2"/>
      <c r="C2363" s="2" t="str">
        <v>0</v>
      </c>
      <c r="D2363" s="2"/>
      <c r="F2363" s="2" t="str">
        <v>0</v>
      </c>
      <c r="I2363" s="2" t="str">
        <f ca="1">IFERROR(__xludf.DUMMYFUNCTION("""COMPUTED_VALUE"""),"Nguyễn Minh Hải")</f>
        <v>Nguyễn Minh Hải</v>
      </c>
      <c r="J2363" s="3" t="str">
        <f ca="1">IFERROR(__xludf.DUMMYFUNCTION("""COMPUTED_VALUE"""),"0981382594")</f>
        <v>0981382594</v>
      </c>
      <c r="K2363" s="2" t="str">
        <f ca="1">IFERROR(__xludf.DUMMYFUNCTION("""COMPUTED_VALUE"""),"1733295063538")</f>
        <v>1733295063538</v>
      </c>
    </row>
    <row r="2364" spans="1:11" ht="12.45">
      <c r="A2364" s="2" t="str">
        <f ca="1">IFERROR(__xludf.DUMMYFUNCTION("""COMPUTED_VALUE"""),"1733295108319")</f>
        <v>1733295108319</v>
      </c>
      <c r="B2364" s="2"/>
      <c r="C2364" s="2" t="str">
        <v>0</v>
      </c>
      <c r="D2364" s="2"/>
      <c r="F2364" s="2" t="str">
        <v>0</v>
      </c>
      <c r="I2364" s="2" t="str">
        <f ca="1">IFERROR(__xludf.DUMMYFUNCTION("""COMPUTED_VALUE"""),"Nguyễn thành long")</f>
        <v>Nguyễn thành long</v>
      </c>
      <c r="J2364" s="3" t="str">
        <f ca="1">IFERROR(__xludf.DUMMYFUNCTION("""COMPUTED_VALUE"""),"0337750868")</f>
        <v>0337750868</v>
      </c>
      <c r="K2364" s="2" t="str">
        <f ca="1">IFERROR(__xludf.DUMMYFUNCTION("""COMPUTED_VALUE"""),"1733295108319")</f>
        <v>1733295108319</v>
      </c>
    </row>
    <row r="2365" spans="1:11" ht="12.45">
      <c r="A2365" s="2" t="str">
        <f ca="1">IFERROR(__xludf.DUMMYFUNCTION("""COMPUTED_VALUE"""),"1733295143977")</f>
        <v>1733295143977</v>
      </c>
      <c r="B2365" s="2"/>
      <c r="C2365" s="2" t="str">
        <v>0</v>
      </c>
      <c r="D2365" s="2"/>
      <c r="F2365" s="2" t="str">
        <v>0</v>
      </c>
      <c r="I2365" s="2" t="str">
        <f ca="1">IFERROR(__xludf.DUMMYFUNCTION("""COMPUTED_VALUE"""),"Nguyễn Đào Quỳnh Anh ")</f>
        <v xml:space="preserve">Nguyễn Đào Quỳnh Anh </v>
      </c>
      <c r="J2365" s="3" t="str">
        <f ca="1">IFERROR(__xludf.DUMMYFUNCTION("""COMPUTED_VALUE"""),"0399294275")</f>
        <v>0399294275</v>
      </c>
      <c r="K2365" s="2" t="str">
        <f ca="1">IFERROR(__xludf.DUMMYFUNCTION("""COMPUTED_VALUE"""),"1733295143977")</f>
        <v>1733295143977</v>
      </c>
    </row>
    <row r="2366" spans="1:11" ht="12.45">
      <c r="A2366" s="2" t="str">
        <f ca="1">IFERROR(__xludf.DUMMYFUNCTION("""COMPUTED_VALUE"""),"1733295189376")</f>
        <v>1733295189376</v>
      </c>
      <c r="B2366" s="2"/>
      <c r="C2366" s="2" t="str">
        <v>0</v>
      </c>
      <c r="D2366" s="2"/>
      <c r="F2366" s="2" t="str">
        <v>0</v>
      </c>
      <c r="I2366" s="2" t="str">
        <f ca="1">IFERROR(__xludf.DUMMYFUNCTION("""COMPUTED_VALUE"""),"Phan Thị Trang")</f>
        <v>Phan Thị Trang</v>
      </c>
      <c r="J2366" s="3" t="str">
        <f ca="1">IFERROR(__xludf.DUMMYFUNCTION("""COMPUTED_VALUE"""),"0354717347")</f>
        <v>0354717347</v>
      </c>
      <c r="K2366" s="2" t="str">
        <f ca="1">IFERROR(__xludf.DUMMYFUNCTION("""COMPUTED_VALUE"""),"1733295189376")</f>
        <v>1733295189376</v>
      </c>
    </row>
    <row r="2367" spans="1:11" ht="12.45">
      <c r="A2367" s="2" t="str">
        <f ca="1">IFERROR(__xludf.DUMMYFUNCTION("""COMPUTED_VALUE"""),"1733295240001")</f>
        <v>1733295240001</v>
      </c>
      <c r="B2367" s="2"/>
      <c r="C2367" s="2" t="str">
        <v>0</v>
      </c>
      <c r="D2367" s="2"/>
      <c r="F2367" s="2" t="str">
        <v>0</v>
      </c>
      <c r="I2367" s="2" t="str">
        <f ca="1">IFERROR(__xludf.DUMMYFUNCTION("""COMPUTED_VALUE"""),"Nguyễn Ngọc Tường Lan")</f>
        <v>Nguyễn Ngọc Tường Lan</v>
      </c>
      <c r="J2367" s="3" t="str">
        <f ca="1">IFERROR(__xludf.DUMMYFUNCTION("""COMPUTED_VALUE"""),"0824237695")</f>
        <v>0824237695</v>
      </c>
      <c r="K2367" s="2" t="str">
        <f ca="1">IFERROR(__xludf.DUMMYFUNCTION("""COMPUTED_VALUE"""),"1733295240001")</f>
        <v>1733295240001</v>
      </c>
    </row>
    <row r="2368" spans="1:11" ht="12.45">
      <c r="A2368" s="2" t="str">
        <f ca="1">IFERROR(__xludf.DUMMYFUNCTION("""COMPUTED_VALUE"""),"1733295275580")</f>
        <v>1733295275580</v>
      </c>
      <c r="B2368" s="2"/>
      <c r="C2368" s="2" t="str">
        <v>0</v>
      </c>
      <c r="D2368" s="2"/>
      <c r="F2368" s="2" t="str">
        <v>0</v>
      </c>
      <c r="I2368" s="2" t="str">
        <f ca="1">IFERROR(__xludf.DUMMYFUNCTION("""COMPUTED_VALUE"""),"Nguyễn Trần Thu Hà")</f>
        <v>Nguyễn Trần Thu Hà</v>
      </c>
      <c r="J2368" s="3" t="str">
        <f ca="1">IFERROR(__xludf.DUMMYFUNCTION("""COMPUTED_VALUE"""),"0974974288")</f>
        <v>0974974288</v>
      </c>
      <c r="K2368" s="2" t="str">
        <f ca="1">IFERROR(__xludf.DUMMYFUNCTION("""COMPUTED_VALUE"""),"1733295275580")</f>
        <v>1733295275580</v>
      </c>
    </row>
    <row r="2369" spans="1:11" ht="12.45">
      <c r="A2369" s="2" t="str">
        <f ca="1">IFERROR(__xludf.DUMMYFUNCTION("""COMPUTED_VALUE"""),"1733295333778")</f>
        <v>1733295333778</v>
      </c>
      <c r="B2369" s="2"/>
      <c r="C2369" s="2" t="str">
        <v>0</v>
      </c>
      <c r="D2369" s="2"/>
      <c r="F2369" s="2" t="str">
        <v>0</v>
      </c>
      <c r="I2369" s="2" t="str">
        <f ca="1">IFERROR(__xludf.DUMMYFUNCTION("""COMPUTED_VALUE"""),"Lê Ngọc Nhàn ")</f>
        <v xml:space="preserve">Lê Ngọc Nhàn </v>
      </c>
      <c r="J2369" s="3" t="str">
        <f ca="1">IFERROR(__xludf.DUMMYFUNCTION("""COMPUTED_VALUE"""),"0337714033")</f>
        <v>0337714033</v>
      </c>
      <c r="K2369" s="2" t="str">
        <f ca="1">IFERROR(__xludf.DUMMYFUNCTION("""COMPUTED_VALUE"""),"1733295333778")</f>
        <v>1733295333778</v>
      </c>
    </row>
    <row r="2370" spans="1:11" ht="12.45">
      <c r="A2370" s="2" t="str">
        <f ca="1">IFERROR(__xludf.DUMMYFUNCTION("""COMPUTED_VALUE"""),"1733528440522")</f>
        <v>1733528440522</v>
      </c>
      <c r="B2370" s="2"/>
      <c r="C2370" s="2" t="str">
        <v>0</v>
      </c>
      <c r="D2370" s="2"/>
      <c r="F2370" s="2" t="str">
        <v>0</v>
      </c>
      <c r="I2370" s="2" t="str">
        <f ca="1">IFERROR(__xludf.DUMMYFUNCTION("""COMPUTED_VALUE"""),"Hoàng Thu Trang ")</f>
        <v xml:space="preserve">Hoàng Thu Trang </v>
      </c>
      <c r="J2370" s="3" t="str">
        <f ca="1">IFERROR(__xludf.DUMMYFUNCTION("""COMPUTED_VALUE"""),"0865842284")</f>
        <v>0865842284</v>
      </c>
      <c r="K2370" s="2" t="str">
        <f ca="1">IFERROR(__xludf.DUMMYFUNCTION("""COMPUTED_VALUE"""),"1733528440522")</f>
        <v>1733528440522</v>
      </c>
    </row>
    <row r="2371" spans="1:11" ht="12.45">
      <c r="A2371" s="2" t="str">
        <f ca="1">IFERROR(__xludf.DUMMYFUNCTION("""COMPUTED_VALUE"""),"1733528478631")</f>
        <v>1733528478631</v>
      </c>
      <c r="B2371" s="2"/>
      <c r="C2371" s="2" t="str">
        <v>0</v>
      </c>
      <c r="D2371" s="2"/>
      <c r="F2371" s="2" t="str">
        <v>0</v>
      </c>
      <c r="I2371" s="2" t="str">
        <f ca="1">IFERROR(__xludf.DUMMYFUNCTION("""COMPUTED_VALUE"""),"Lê Thị Khánh linh ")</f>
        <v xml:space="preserve">Lê Thị Khánh linh </v>
      </c>
      <c r="J2371" s="3" t="str">
        <f ca="1">IFERROR(__xludf.DUMMYFUNCTION("""COMPUTED_VALUE"""),"0814370598")</f>
        <v>0814370598</v>
      </c>
      <c r="K2371" s="2" t="str">
        <f ca="1">IFERROR(__xludf.DUMMYFUNCTION("""COMPUTED_VALUE"""),"1733528478631")</f>
        <v>1733528478631</v>
      </c>
    </row>
    <row r="2372" spans="1:11" ht="12.45">
      <c r="A2372" s="2" t="str">
        <f ca="1">IFERROR(__xludf.DUMMYFUNCTION("""COMPUTED_VALUE"""),"1733528514744")</f>
        <v>1733528514744</v>
      </c>
      <c r="B2372" s="2"/>
      <c r="C2372" s="2" t="str">
        <v>0</v>
      </c>
      <c r="D2372" s="2"/>
      <c r="F2372" s="2" t="str">
        <v>0</v>
      </c>
      <c r="I2372" s="2" t="str">
        <f ca="1">IFERROR(__xludf.DUMMYFUNCTION("""COMPUTED_VALUE"""),"Lê Thanh Thảo")</f>
        <v>Lê Thanh Thảo</v>
      </c>
      <c r="J2372" s="3" t="str">
        <f ca="1">IFERROR(__xludf.DUMMYFUNCTION("""COMPUTED_VALUE"""),"0859720952")</f>
        <v>0859720952</v>
      </c>
      <c r="K2372" s="2" t="str">
        <f ca="1">IFERROR(__xludf.DUMMYFUNCTION("""COMPUTED_VALUE"""),"1733528514744")</f>
        <v>1733528514744</v>
      </c>
    </row>
    <row r="2373" spans="1:11" ht="12.45">
      <c r="A2373" s="2" t="str">
        <f ca="1">IFERROR(__xludf.DUMMYFUNCTION("""COMPUTED_VALUE"""),"1733528549588")</f>
        <v>1733528549588</v>
      </c>
      <c r="B2373" s="2"/>
      <c r="C2373" s="2" t="str">
        <v>0</v>
      </c>
      <c r="D2373" s="2"/>
      <c r="F2373" s="2" t="str">
        <v>0</v>
      </c>
      <c r="I2373" s="2" t="str">
        <f ca="1">IFERROR(__xludf.DUMMYFUNCTION("""COMPUTED_VALUE"""),"Nguyễn Thảo Nhi ")</f>
        <v xml:space="preserve">Nguyễn Thảo Nhi </v>
      </c>
      <c r="J2373" s="3" t="str">
        <f ca="1">IFERROR(__xludf.DUMMYFUNCTION("""COMPUTED_VALUE"""),"0824665155")</f>
        <v>0824665155</v>
      </c>
      <c r="K2373" s="2" t="str">
        <f ca="1">IFERROR(__xludf.DUMMYFUNCTION("""COMPUTED_VALUE"""),"1733528549588")</f>
        <v>1733528549588</v>
      </c>
    </row>
    <row r="2374" spans="1:11" ht="12.45">
      <c r="A2374" s="2" t="str">
        <f ca="1">IFERROR(__xludf.DUMMYFUNCTION("""COMPUTED_VALUE"""),"1733528578935")</f>
        <v>1733528578935</v>
      </c>
      <c r="B2374" s="2"/>
      <c r="C2374" s="2" t="str">
        <v>0</v>
      </c>
      <c r="D2374" s="2"/>
      <c r="F2374" s="2" t="str">
        <v>0</v>
      </c>
      <c r="I2374" s="2" t="str">
        <f ca="1">IFERROR(__xludf.DUMMYFUNCTION("""COMPUTED_VALUE"""),"Võ Tú Uyên")</f>
        <v>Võ Tú Uyên</v>
      </c>
      <c r="J2374" s="3" t="str">
        <f ca="1">IFERROR(__xludf.DUMMYFUNCTION("""COMPUTED_VALUE"""),"0768727864")</f>
        <v>0768727864</v>
      </c>
      <c r="K2374" s="2" t="str">
        <f ca="1">IFERROR(__xludf.DUMMYFUNCTION("""COMPUTED_VALUE"""),"1733528578935")</f>
        <v>1733528578935</v>
      </c>
    </row>
    <row r="2375" spans="1:11" ht="12.45">
      <c r="A2375" s="2" t="str">
        <f ca="1">IFERROR(__xludf.DUMMYFUNCTION("""COMPUTED_VALUE"""),"1733528621729")</f>
        <v>1733528621729</v>
      </c>
      <c r="B2375" s="2"/>
      <c r="C2375" s="2" t="str">
        <v>0</v>
      </c>
      <c r="D2375" s="2"/>
      <c r="F2375" s="2" t="str">
        <v>0</v>
      </c>
      <c r="I2375" s="2" t="str">
        <f ca="1">IFERROR(__xludf.DUMMYFUNCTION("""COMPUTED_VALUE"""),"Hoàng Thuỳ Trang")</f>
        <v>Hoàng Thuỳ Trang</v>
      </c>
      <c r="J2375" s="3" t="str">
        <f ca="1">IFERROR(__xludf.DUMMYFUNCTION("""COMPUTED_VALUE"""),"0354402751")</f>
        <v>0354402751</v>
      </c>
      <c r="K2375" s="2" t="str">
        <f ca="1">IFERROR(__xludf.DUMMYFUNCTION("""COMPUTED_VALUE"""),"1733528621729")</f>
        <v>1733528621729</v>
      </c>
    </row>
    <row r="2376" spans="1:11" ht="12.45">
      <c r="A2376" s="2" t="str">
        <f ca="1">IFERROR(__xludf.DUMMYFUNCTION("""COMPUTED_VALUE"""),"1733528655419")</f>
        <v>1733528655419</v>
      </c>
      <c r="B2376" s="2"/>
      <c r="C2376" s="2" t="str">
        <v>0</v>
      </c>
      <c r="D2376" s="2"/>
      <c r="F2376" s="2" t="str">
        <v>0</v>
      </c>
      <c r="I2376" s="2" t="str">
        <f ca="1">IFERROR(__xludf.DUMMYFUNCTION("""COMPUTED_VALUE"""),"Phan Thu Hiền")</f>
        <v>Phan Thu Hiền</v>
      </c>
      <c r="J2376" s="3" t="str">
        <f ca="1">IFERROR(__xludf.DUMMYFUNCTION("""COMPUTED_VALUE"""),"0347976207")</f>
        <v>0347976207</v>
      </c>
      <c r="K2376" s="2" t="str">
        <f ca="1">IFERROR(__xludf.DUMMYFUNCTION("""COMPUTED_VALUE"""),"1733528655419")</f>
        <v>1733528655419</v>
      </c>
    </row>
    <row r="2377" spans="1:11" ht="12.45">
      <c r="A2377" s="2" t="str">
        <f ca="1">IFERROR(__xludf.DUMMYFUNCTION("""COMPUTED_VALUE"""),"1733528682610")</f>
        <v>1733528682610</v>
      </c>
      <c r="B2377" s="2"/>
      <c r="C2377" s="2" t="str">
        <v>0</v>
      </c>
      <c r="D2377" s="2"/>
      <c r="F2377" s="2" t="str">
        <v>0</v>
      </c>
      <c r="I2377" s="2" t="str">
        <f ca="1">IFERROR(__xludf.DUMMYFUNCTION("""COMPUTED_VALUE"""),"Phạm Khánh Huyền")</f>
        <v>Phạm Khánh Huyền</v>
      </c>
      <c r="J2377" s="3" t="str">
        <f ca="1">IFERROR(__xludf.DUMMYFUNCTION("""COMPUTED_VALUE"""),"0947953886")</f>
        <v>0947953886</v>
      </c>
      <c r="K2377" s="2" t="str">
        <f ca="1">IFERROR(__xludf.DUMMYFUNCTION("""COMPUTED_VALUE"""),"1733528682610")</f>
        <v>1733528682610</v>
      </c>
    </row>
    <row r="2378" spans="1:11" ht="12.45">
      <c r="A2378" s="2" t="str">
        <f ca="1">IFERROR(__xludf.DUMMYFUNCTION("""COMPUTED_VALUE"""),"1733528726886")</f>
        <v>1733528726886</v>
      </c>
      <c r="B2378" s="2"/>
      <c r="C2378" s="2" t="str">
        <v>0</v>
      </c>
      <c r="D2378" s="2"/>
      <c r="F2378" s="2" t="str">
        <v>0</v>
      </c>
      <c r="I2378" s="2" t="str">
        <f ca="1">IFERROR(__xludf.DUMMYFUNCTION("""COMPUTED_VALUE"""),"Vi Thị Ngọc Trâm ")</f>
        <v xml:space="preserve">Vi Thị Ngọc Trâm </v>
      </c>
      <c r="J2378" s="3" t="str">
        <f ca="1">IFERROR(__xludf.DUMMYFUNCTION("""COMPUTED_VALUE"""),"0814158678")</f>
        <v>0814158678</v>
      </c>
      <c r="K2378" s="2" t="str">
        <f ca="1">IFERROR(__xludf.DUMMYFUNCTION("""COMPUTED_VALUE"""),"1733528726886")</f>
        <v>1733528726886</v>
      </c>
    </row>
    <row r="2379" spans="1:11" ht="12.45">
      <c r="A2379" s="2" t="str">
        <f ca="1">IFERROR(__xludf.DUMMYFUNCTION("""COMPUTED_VALUE"""),"1733528765401")</f>
        <v>1733528765401</v>
      </c>
      <c r="B2379" s="2"/>
      <c r="C2379" s="2" t="str">
        <v>0</v>
      </c>
      <c r="D2379" s="2"/>
      <c r="F2379" s="2" t="str">
        <v>0</v>
      </c>
      <c r="I2379" s="2" t="str">
        <f ca="1">IFERROR(__xludf.DUMMYFUNCTION("""COMPUTED_VALUE"""),"Lê Nguyễn Khánh Chi")</f>
        <v>Lê Nguyễn Khánh Chi</v>
      </c>
      <c r="J2379" s="3" t="str">
        <f ca="1">IFERROR(__xludf.DUMMYFUNCTION("""COMPUTED_VALUE"""),"0376264080")</f>
        <v>0376264080</v>
      </c>
      <c r="K2379" s="2" t="str">
        <f ca="1">IFERROR(__xludf.DUMMYFUNCTION("""COMPUTED_VALUE"""),"1733528765401")</f>
        <v>1733528765401</v>
      </c>
    </row>
    <row r="2380" spans="1:11" ht="12.45">
      <c r="A2380" s="2" t="str">
        <f ca="1">IFERROR(__xludf.DUMMYFUNCTION("""COMPUTED_VALUE"""),"1759487429372")</f>
        <v>1759487429372</v>
      </c>
      <c r="B2380" s="2"/>
      <c r="C2380" s="2" t="str">
        <v>0</v>
      </c>
      <c r="D2380" s="2"/>
      <c r="F2380" s="2" t="str">
        <v>0</v>
      </c>
      <c r="I2380" s="2" t="str">
        <f ca="1">IFERROR(__xludf.DUMMYFUNCTION("""COMPUTED_VALUE"""),"Phạm Khánh Linh")</f>
        <v>Phạm Khánh Linh</v>
      </c>
      <c r="J2380" s="3" t="str">
        <f ca="1">IFERROR(__xludf.DUMMYFUNCTION("""COMPUTED_VALUE"""),"0329511055")</f>
        <v>0329511055</v>
      </c>
      <c r="K2380" s="2" t="str">
        <f ca="1">IFERROR(__xludf.DUMMYFUNCTION("""COMPUTED_VALUE"""),"1759487429372")</f>
        <v>1759487429372</v>
      </c>
    </row>
    <row r="2381" spans="1:11" ht="12.45">
      <c r="A2381" s="2" t="str">
        <f ca="1">IFERROR(__xludf.DUMMYFUNCTION("""COMPUTED_VALUE"""),"1733528807837")</f>
        <v>1733528807837</v>
      </c>
      <c r="B2381" s="2"/>
      <c r="C2381" s="2" t="str">
        <v>0</v>
      </c>
      <c r="D2381" s="2"/>
      <c r="F2381" s="2" t="str">
        <v>0</v>
      </c>
      <c r="I2381" s="2" t="str">
        <f ca="1">IFERROR(__xludf.DUMMYFUNCTION("""COMPUTED_VALUE"""),"Trịnh Thảo Uyên")</f>
        <v>Trịnh Thảo Uyên</v>
      </c>
      <c r="J2381" s="3" t="str">
        <f ca="1">IFERROR(__xludf.DUMMYFUNCTION("""COMPUTED_VALUE"""),"0905298244")</f>
        <v>0905298244</v>
      </c>
      <c r="K2381" s="2" t="str">
        <f ca="1">IFERROR(__xludf.DUMMYFUNCTION("""COMPUTED_VALUE"""),"1733528807837")</f>
        <v>1733528807837</v>
      </c>
    </row>
    <row r="2382" spans="1:11" ht="12.45">
      <c r="A2382" s="2" t="str">
        <f ca="1">IFERROR(__xludf.DUMMYFUNCTION("""COMPUTED_VALUE"""),"1733528840996")</f>
        <v>1733528840996</v>
      </c>
      <c r="B2382" s="2"/>
      <c r="C2382" s="2" t="str">
        <v>0</v>
      </c>
      <c r="D2382" s="2"/>
      <c r="F2382" s="2" t="str">
        <v>0</v>
      </c>
      <c r="I2382" s="3" t="str">
        <f ca="1">IFERROR(__xludf.DUMMYFUNCTION("""COMPUTED_VALUE"""),"Phùng Minh Đức")</f>
        <v>Phùng Minh Đức</v>
      </c>
      <c r="J2382" s="3" t="str">
        <f ca="1">IFERROR(__xludf.DUMMYFUNCTION("""COMPUTED_VALUE"""),"0898328849")</f>
        <v>0898328849</v>
      </c>
      <c r="K2382" s="2" t="str">
        <f ca="1">IFERROR(__xludf.DUMMYFUNCTION("""COMPUTED_VALUE"""),"1733528840996")</f>
        <v>1733528840996</v>
      </c>
    </row>
    <row r="2383" spans="1:11" ht="12.45">
      <c r="A2383" s="2" t="str">
        <f ca="1">IFERROR(__xludf.DUMMYFUNCTION("""COMPUTED_VALUE"""),"1733528871348")</f>
        <v>1733528871348</v>
      </c>
      <c r="B2383" s="2"/>
      <c r="C2383" s="2" t="str">
        <v>0</v>
      </c>
      <c r="D2383" s="2"/>
      <c r="F2383" s="2" t="str">
        <v>0</v>
      </c>
      <c r="I2383" s="2" t="str">
        <f ca="1">IFERROR(__xludf.DUMMYFUNCTION("""COMPUTED_VALUE"""),"Hoàng Gia Linh")</f>
        <v>Hoàng Gia Linh</v>
      </c>
      <c r="J2383" s="3" t="str">
        <f ca="1">IFERROR(__xludf.DUMMYFUNCTION("""COMPUTED_VALUE"""),"0989201952")</f>
        <v>0989201952</v>
      </c>
      <c r="K2383" s="2" t="str">
        <f ca="1">IFERROR(__xludf.DUMMYFUNCTION("""COMPUTED_VALUE"""),"1733528871348")</f>
        <v>1733528871348</v>
      </c>
    </row>
    <row r="2384" spans="1:11" ht="12.45">
      <c r="A2384" s="2" t="str">
        <f ca="1">IFERROR(__xludf.DUMMYFUNCTION("""COMPUTED_VALUE"""),"1733528901107")</f>
        <v>1733528901107</v>
      </c>
      <c r="B2384" s="2"/>
      <c r="C2384" s="2" t="str">
        <v>0</v>
      </c>
      <c r="D2384" s="2"/>
      <c r="F2384" s="2" t="str">
        <v>0</v>
      </c>
      <c r="I2384" s="2" t="str">
        <f ca="1">IFERROR(__xludf.DUMMYFUNCTION("""COMPUTED_VALUE"""),"Trương Đức Hoàng Hải ")</f>
        <v xml:space="preserve">Trương Đức Hoàng Hải </v>
      </c>
      <c r="J2384" s="3" t="str">
        <f ca="1">IFERROR(__xludf.DUMMYFUNCTION("""COMPUTED_VALUE"""),"0862765778")</f>
        <v>0862765778</v>
      </c>
      <c r="K2384" s="2" t="str">
        <f ca="1">IFERROR(__xludf.DUMMYFUNCTION("""COMPUTED_VALUE"""),"1733528901107")</f>
        <v>1733528901107</v>
      </c>
    </row>
    <row r="2385" spans="1:11" ht="12.45">
      <c r="A2385" s="2" t="str">
        <f ca="1">IFERROR(__xludf.DUMMYFUNCTION("""COMPUTED_VALUE"""),"1733528935211")</f>
        <v>1733528935211</v>
      </c>
      <c r="B2385" s="2"/>
      <c r="C2385" s="2" t="str">
        <v>0</v>
      </c>
      <c r="D2385" s="2"/>
      <c r="F2385" s="2" t="str">
        <v>0</v>
      </c>
      <c r="I2385" s="2" t="str">
        <f ca="1">IFERROR(__xludf.DUMMYFUNCTION("""COMPUTED_VALUE"""),"Nguyễn Trường Phát ")</f>
        <v xml:space="preserve">Nguyễn Trường Phát </v>
      </c>
      <c r="J2385" s="3" t="str">
        <f ca="1">IFERROR(__xludf.DUMMYFUNCTION("""COMPUTED_VALUE"""),"0352643764")</f>
        <v>0352643764</v>
      </c>
      <c r="K2385" s="2" t="str">
        <f ca="1">IFERROR(__xludf.DUMMYFUNCTION("""COMPUTED_VALUE"""),"1733528935211")</f>
        <v>1733528935211</v>
      </c>
    </row>
    <row r="2386" spans="1:11" ht="12.45">
      <c r="A2386" s="2" t="str">
        <f ca="1">IFERROR(__xludf.DUMMYFUNCTION("""COMPUTED_VALUE"""),"1733528973856")</f>
        <v>1733528973856</v>
      </c>
      <c r="B2386" s="2"/>
      <c r="C2386" s="2" t="str">
        <v>0</v>
      </c>
      <c r="D2386" s="2"/>
      <c r="F2386" s="2" t="str">
        <v>0</v>
      </c>
      <c r="I2386" s="2" t="str">
        <f ca="1">IFERROR(__xludf.DUMMYFUNCTION("""COMPUTED_VALUE"""),"Hắc Ngọc Trí")</f>
        <v>Hắc Ngọc Trí</v>
      </c>
      <c r="J2386" s="3" t="str">
        <f ca="1">IFERROR(__xludf.DUMMYFUNCTION("""COMPUTED_VALUE"""),"0337792652")</f>
        <v>0337792652</v>
      </c>
      <c r="K2386" s="2" t="str">
        <f ca="1">IFERROR(__xludf.DUMMYFUNCTION("""COMPUTED_VALUE"""),"1733528973856")</f>
        <v>1733528973856</v>
      </c>
    </row>
    <row r="2387" spans="1:11" ht="12.45">
      <c r="A2387" s="2" t="str">
        <f ca="1">IFERROR(__xludf.DUMMYFUNCTION("""COMPUTED_VALUE"""),"1733529002630")</f>
        <v>1733529002630</v>
      </c>
      <c r="B2387" s="2"/>
      <c r="C2387" s="2" t="str">
        <v>0</v>
      </c>
      <c r="D2387" s="2"/>
      <c r="F2387" s="2" t="str">
        <v>0</v>
      </c>
      <c r="I2387" s="2" t="str">
        <f ca="1">IFERROR(__xludf.DUMMYFUNCTION("""COMPUTED_VALUE"""),"Lê Thuỳ Dương")</f>
        <v>Lê Thuỳ Dương</v>
      </c>
      <c r="J2387" s="3" t="str">
        <f ca="1">IFERROR(__xludf.DUMMYFUNCTION("""COMPUTED_VALUE"""),"0328876576")</f>
        <v>0328876576</v>
      </c>
      <c r="K2387" s="2" t="str">
        <f ca="1">IFERROR(__xludf.DUMMYFUNCTION("""COMPUTED_VALUE"""),"1733529002630")</f>
        <v>1733529002630</v>
      </c>
    </row>
    <row r="2388" spans="1:11" ht="12.45">
      <c r="A2388" s="2" t="str">
        <f ca="1">IFERROR(__xludf.DUMMYFUNCTION("""COMPUTED_VALUE"""),"1733529037599")</f>
        <v>1733529037599</v>
      </c>
      <c r="B2388" s="2"/>
      <c r="C2388" s="2" t="str">
        <v>0</v>
      </c>
      <c r="D2388" s="2"/>
      <c r="F2388" s="2" t="str">
        <v>0</v>
      </c>
      <c r="I2388" s="2" t="str">
        <f ca="1">IFERROR(__xludf.DUMMYFUNCTION("""COMPUTED_VALUE"""),"NGUYỄN HÀ MY")</f>
        <v>NGUYỄN HÀ MY</v>
      </c>
      <c r="J2388" s="3" t="str">
        <f ca="1">IFERROR(__xludf.DUMMYFUNCTION("""COMPUTED_VALUE"""),"0867738196")</f>
        <v>0867738196</v>
      </c>
      <c r="K2388" s="2" t="str">
        <f ca="1">IFERROR(__xludf.DUMMYFUNCTION("""COMPUTED_VALUE"""),"1733529037599")</f>
        <v>1733529037599</v>
      </c>
    </row>
    <row r="2389" spans="1:11" ht="12.45">
      <c r="A2389" s="2" t="str">
        <f ca="1">IFERROR(__xludf.DUMMYFUNCTION("""COMPUTED_VALUE"""),"1733529073817")</f>
        <v>1733529073817</v>
      </c>
      <c r="B2389" s="2"/>
      <c r="C2389" s="2" t="str">
        <v>0</v>
      </c>
      <c r="D2389" s="2"/>
      <c r="F2389" s="2" t="str">
        <v>0</v>
      </c>
      <c r="I2389" s="2" t="str">
        <f ca="1">IFERROR(__xludf.DUMMYFUNCTION("""COMPUTED_VALUE"""),"Hà Vĩnh Kiệt")</f>
        <v>Hà Vĩnh Kiệt</v>
      </c>
      <c r="J2389" s="3" t="str">
        <f ca="1">IFERROR(__xludf.DUMMYFUNCTION("""COMPUTED_VALUE"""),"0876501522")</f>
        <v>0876501522</v>
      </c>
      <c r="K2389" s="2" t="str">
        <f ca="1">IFERROR(__xludf.DUMMYFUNCTION("""COMPUTED_VALUE"""),"1733529073817")</f>
        <v>1733529073817</v>
      </c>
    </row>
    <row r="2390" spans="1:11" ht="12.45">
      <c r="A2390" s="2" t="str">
        <f ca="1">IFERROR(__xludf.DUMMYFUNCTION("""COMPUTED_VALUE"""),"1733529118317")</f>
        <v>1733529118317</v>
      </c>
      <c r="B2390" s="2"/>
      <c r="C2390" s="2" t="str">
        <v>0</v>
      </c>
      <c r="D2390" s="2"/>
      <c r="F2390" s="2" t="str">
        <v>0</v>
      </c>
      <c r="I2390" s="2" t="str">
        <f ca="1">IFERROR(__xludf.DUMMYFUNCTION("""COMPUTED_VALUE"""),"Đỗ Thái Bảo")</f>
        <v>Đỗ Thái Bảo</v>
      </c>
      <c r="J2390" s="3" t="str">
        <f ca="1">IFERROR(__xludf.DUMMYFUNCTION("""COMPUTED_VALUE"""),"0345019461")</f>
        <v>0345019461</v>
      </c>
      <c r="K2390" s="2" t="str">
        <f ca="1">IFERROR(__xludf.DUMMYFUNCTION("""COMPUTED_VALUE"""),"1733529118317")</f>
        <v>1733529118317</v>
      </c>
    </row>
    <row r="2391" spans="1:11" ht="12.45">
      <c r="A2391" s="2" t="str">
        <f ca="1">IFERROR(__xludf.DUMMYFUNCTION("""COMPUTED_VALUE"""),"1733529157961")</f>
        <v>1733529157961</v>
      </c>
      <c r="B2391" s="2"/>
      <c r="C2391" s="2" t="str">
        <v>0</v>
      </c>
      <c r="D2391" s="2"/>
      <c r="F2391" s="2" t="str">
        <v>0</v>
      </c>
      <c r="I2391" s="2" t="str">
        <f ca="1">IFERROR(__xludf.DUMMYFUNCTION("""COMPUTED_VALUE"""),"Đinh An Khang")</f>
        <v>Đinh An Khang</v>
      </c>
      <c r="J2391" s="3" t="str">
        <f ca="1">IFERROR(__xludf.DUMMYFUNCTION("""COMPUTED_VALUE"""),"0975949899")</f>
        <v>0975949899</v>
      </c>
      <c r="K2391" s="2" t="str">
        <f ca="1">IFERROR(__xludf.DUMMYFUNCTION("""COMPUTED_VALUE"""),"1733529157961")</f>
        <v>1733529157961</v>
      </c>
    </row>
    <row r="2392" spans="1:11" ht="12.45">
      <c r="A2392" s="2" t="str">
        <f ca="1">IFERROR(__xludf.DUMMYFUNCTION("""COMPUTED_VALUE"""),"1733529222084")</f>
        <v>1733529222084</v>
      </c>
      <c r="B2392" s="2"/>
      <c r="C2392" s="2" t="str">
        <v>0</v>
      </c>
      <c r="D2392" s="2"/>
      <c r="F2392" s="2" t="str">
        <v>0</v>
      </c>
      <c r="I2392" s="2" t="str">
        <f ca="1">IFERROR(__xludf.DUMMYFUNCTION("""COMPUTED_VALUE"""),"Ngô Thị Bảo Châu")</f>
        <v>Ngô Thị Bảo Châu</v>
      </c>
      <c r="J2392" s="3" t="str">
        <f ca="1">IFERROR(__xludf.DUMMYFUNCTION("""COMPUTED_VALUE"""),"0368682804")</f>
        <v>0368682804</v>
      </c>
      <c r="K2392" s="2" t="str">
        <f ca="1">IFERROR(__xludf.DUMMYFUNCTION("""COMPUTED_VALUE"""),"1733529222084")</f>
        <v>1733529222084</v>
      </c>
    </row>
    <row r="2393" spans="1:11" ht="12.45">
      <c r="A2393" s="2" t="str">
        <f ca="1">IFERROR(__xludf.DUMMYFUNCTION("""COMPUTED_VALUE"""),"1733529264564")</f>
        <v>1733529264564</v>
      </c>
      <c r="B2393" s="2"/>
      <c r="C2393" s="2" t="str">
        <v>0</v>
      </c>
      <c r="D2393" s="2"/>
      <c r="F2393" s="2" t="str">
        <v>0</v>
      </c>
      <c r="I2393" s="2" t="str">
        <f ca="1">IFERROR(__xludf.DUMMYFUNCTION("""COMPUTED_VALUE"""),"Nguyễn Thị Tiến")</f>
        <v>Nguyễn Thị Tiến</v>
      </c>
      <c r="J2393" s="3" t="str">
        <f ca="1">IFERROR(__xludf.DUMMYFUNCTION("""COMPUTED_VALUE"""),"0339102642")</f>
        <v>0339102642</v>
      </c>
      <c r="K2393" s="2" t="str">
        <f ca="1">IFERROR(__xludf.DUMMYFUNCTION("""COMPUTED_VALUE"""),"1733529264564")</f>
        <v>1733529264564</v>
      </c>
    </row>
    <row r="2394" spans="1:11" ht="12.45">
      <c r="A2394" s="2" t="str">
        <f ca="1">IFERROR(__xludf.DUMMYFUNCTION("""COMPUTED_VALUE"""),"1733529303114")</f>
        <v>1733529303114</v>
      </c>
      <c r="B2394" s="2"/>
      <c r="C2394" s="2" t="str">
        <v>0</v>
      </c>
      <c r="D2394" s="2"/>
      <c r="F2394" s="2" t="str">
        <v>0</v>
      </c>
      <c r="I2394" s="2" t="str">
        <f ca="1">IFERROR(__xludf.DUMMYFUNCTION("""COMPUTED_VALUE"""),"Phạm Thị Phương Anh")</f>
        <v>Phạm Thị Phương Anh</v>
      </c>
      <c r="J2394" s="3" t="str">
        <f ca="1">IFERROR(__xludf.DUMMYFUNCTION("""COMPUTED_VALUE"""),"0399556657")</f>
        <v>0399556657</v>
      </c>
      <c r="K2394" s="2" t="str">
        <f ca="1">IFERROR(__xludf.DUMMYFUNCTION("""COMPUTED_VALUE"""),"1733529303114")</f>
        <v>1733529303114</v>
      </c>
    </row>
    <row r="2395" spans="1:11" ht="12.45">
      <c r="A2395" s="2" t="str">
        <f ca="1">IFERROR(__xludf.DUMMYFUNCTION("""COMPUTED_VALUE"""),"1733529363493")</f>
        <v>1733529363493</v>
      </c>
      <c r="B2395" s="2"/>
      <c r="C2395" s="2" t="str">
        <v>0</v>
      </c>
      <c r="D2395" s="2"/>
      <c r="F2395" s="2" t="str">
        <v>0</v>
      </c>
      <c r="I2395" s="2" t="str">
        <f ca="1">IFERROR(__xludf.DUMMYFUNCTION("""COMPUTED_VALUE"""),"Lưu Thanh Thu Huyền")</f>
        <v>Lưu Thanh Thu Huyền</v>
      </c>
      <c r="J2395" s="3" t="str">
        <f ca="1">IFERROR(__xludf.DUMMYFUNCTION("""COMPUTED_VALUE"""),"0888621608")</f>
        <v>0888621608</v>
      </c>
      <c r="K2395" s="2" t="str">
        <f ca="1">IFERROR(__xludf.DUMMYFUNCTION("""COMPUTED_VALUE"""),"1733529363493")</f>
        <v>1733529363493</v>
      </c>
    </row>
    <row r="2396" spans="1:11" ht="12.45">
      <c r="A2396" s="2" t="str">
        <f ca="1">IFERROR(__xludf.DUMMYFUNCTION("""COMPUTED_VALUE"""),"1733529395450")</f>
        <v>1733529395450</v>
      </c>
      <c r="B2396" s="2"/>
      <c r="C2396" s="2" t="str">
        <v>0</v>
      </c>
      <c r="D2396" s="2"/>
      <c r="F2396" s="2" t="str">
        <v>0</v>
      </c>
      <c r="I2396" s="2" t="str">
        <f ca="1">IFERROR(__xludf.DUMMYFUNCTION("""COMPUTED_VALUE"""),"Nguyễn Thị Thu Uyên")</f>
        <v>Nguyễn Thị Thu Uyên</v>
      </c>
      <c r="J2396" s="3" t="str">
        <f ca="1">IFERROR(__xludf.DUMMYFUNCTION("""COMPUTED_VALUE"""),"0987665083")</f>
        <v>0987665083</v>
      </c>
      <c r="K2396" s="2" t="str">
        <f ca="1">IFERROR(__xludf.DUMMYFUNCTION("""COMPUTED_VALUE"""),"1733529395450")</f>
        <v>1733529395450</v>
      </c>
    </row>
    <row r="2397" spans="1:11" ht="12.45">
      <c r="A2397" s="2" t="str">
        <f ca="1">IFERROR(__xludf.DUMMYFUNCTION("""COMPUTED_VALUE"""),"1733529427365")</f>
        <v>1733529427365</v>
      </c>
      <c r="B2397" s="2"/>
      <c r="C2397" s="2" t="str">
        <v>0</v>
      </c>
      <c r="D2397" s="2"/>
      <c r="F2397" s="2" t="str">
        <v>0</v>
      </c>
      <c r="I2397" s="2" t="str">
        <f ca="1">IFERROR(__xludf.DUMMYFUNCTION("""COMPUTED_VALUE"""),"Đinh Thị Phượng ")</f>
        <v xml:space="preserve">Đinh Thị Phượng </v>
      </c>
      <c r="J2397" s="3" t="str">
        <f ca="1">IFERROR(__xludf.DUMMYFUNCTION("""COMPUTED_VALUE"""),"0364693240")</f>
        <v>0364693240</v>
      </c>
      <c r="K2397" s="2" t="str">
        <f ca="1">IFERROR(__xludf.DUMMYFUNCTION("""COMPUTED_VALUE"""),"1733529427365")</f>
        <v>1733529427365</v>
      </c>
    </row>
    <row r="2398" spans="1:11" ht="12.45">
      <c r="A2398" s="2" t="str">
        <f ca="1">IFERROR(__xludf.DUMMYFUNCTION("""COMPUTED_VALUE"""),"1733529471322")</f>
        <v>1733529471322</v>
      </c>
      <c r="B2398" s="2"/>
      <c r="C2398" s="2" t="str">
        <v>0</v>
      </c>
      <c r="D2398" s="2"/>
      <c r="F2398" s="2" t="str">
        <v>0</v>
      </c>
      <c r="I2398" s="2" t="str">
        <f ca="1">IFERROR(__xludf.DUMMYFUNCTION("""COMPUTED_VALUE"""),"Đoàn Thị Thu Trang")</f>
        <v>Đoàn Thị Thu Trang</v>
      </c>
      <c r="J2398" s="3" t="str">
        <f ca="1">IFERROR(__xludf.DUMMYFUNCTION("""COMPUTED_VALUE"""),"0793808464")</f>
        <v>0793808464</v>
      </c>
      <c r="K2398" s="2" t="str">
        <f ca="1">IFERROR(__xludf.DUMMYFUNCTION("""COMPUTED_VALUE"""),"1733529471322")</f>
        <v>1733529471322</v>
      </c>
    </row>
    <row r="2399" spans="1:11" ht="12.45">
      <c r="A2399" s="2" t="str">
        <f ca="1">IFERROR(__xludf.DUMMYFUNCTION("""COMPUTED_VALUE"""),"1733529509253")</f>
        <v>1733529509253</v>
      </c>
      <c r="B2399" s="2"/>
      <c r="C2399" s="2" t="str">
        <v>0</v>
      </c>
      <c r="D2399" s="2"/>
      <c r="F2399" s="2" t="str">
        <v>0</v>
      </c>
      <c r="I2399" s="2" t="str">
        <f ca="1">IFERROR(__xludf.DUMMYFUNCTION("""COMPUTED_VALUE"""),"Vũ Phan Ngọc Diệp")</f>
        <v>Vũ Phan Ngọc Diệp</v>
      </c>
      <c r="J2399" s="3" t="str">
        <f ca="1">IFERROR(__xludf.DUMMYFUNCTION("""COMPUTED_VALUE"""),"0911226696")</f>
        <v>0911226696</v>
      </c>
      <c r="K2399" s="2" t="str">
        <f ca="1">IFERROR(__xludf.DUMMYFUNCTION("""COMPUTED_VALUE"""),"1733529509253")</f>
        <v>1733529509253</v>
      </c>
    </row>
    <row r="2400" spans="1:11" ht="12.45">
      <c r="A2400" s="2" t="str">
        <f ca="1">IFERROR(__xludf.DUMMYFUNCTION("""COMPUTED_VALUE"""),"1733529548562")</f>
        <v>1733529548562</v>
      </c>
      <c r="B2400" s="2"/>
      <c r="C2400" s="2" t="str">
        <v>0</v>
      </c>
      <c r="D2400" s="2"/>
      <c r="F2400" s="2" t="str">
        <v>0</v>
      </c>
      <c r="I2400" s="2" t="str">
        <f ca="1">IFERROR(__xludf.DUMMYFUNCTION("""COMPUTED_VALUE"""),"Nguyễn Thị Thu Huyền ")</f>
        <v xml:space="preserve">Nguyễn Thị Thu Huyền </v>
      </c>
      <c r="J2400" s="3" t="str">
        <f ca="1">IFERROR(__xludf.DUMMYFUNCTION("""COMPUTED_VALUE"""),"0983205140")</f>
        <v>0983205140</v>
      </c>
      <c r="K2400" s="2" t="str">
        <f ca="1">IFERROR(__xludf.DUMMYFUNCTION("""COMPUTED_VALUE"""),"1733529548562")</f>
        <v>1733529548562</v>
      </c>
    </row>
    <row r="2401" spans="1:11" ht="12.45">
      <c r="A2401" s="2" t="str">
        <f ca="1">IFERROR(__xludf.DUMMYFUNCTION("""COMPUTED_VALUE"""),"1733529597310")</f>
        <v>1733529597310</v>
      </c>
      <c r="B2401" s="2"/>
      <c r="C2401" s="2" t="str">
        <v>0</v>
      </c>
      <c r="D2401" s="2"/>
      <c r="F2401" s="2" t="str">
        <v>0</v>
      </c>
      <c r="I2401" s="2" t="str">
        <f ca="1">IFERROR(__xludf.DUMMYFUNCTION("""COMPUTED_VALUE"""),"Lường Ngọc Linh")</f>
        <v>Lường Ngọc Linh</v>
      </c>
      <c r="J2401" s="3" t="str">
        <f ca="1">IFERROR(__xludf.DUMMYFUNCTION("""COMPUTED_VALUE"""),"0358468604")</f>
        <v>0358468604</v>
      </c>
      <c r="K2401" s="2" t="str">
        <f ca="1">IFERROR(__xludf.DUMMYFUNCTION("""COMPUTED_VALUE"""),"1733529597310")</f>
        <v>1733529597310</v>
      </c>
    </row>
    <row r="2402" spans="1:11" ht="12.45">
      <c r="A2402" s="2" t="str">
        <f ca="1">IFERROR(__xludf.DUMMYFUNCTION("""COMPUTED_VALUE"""),"1733529631284")</f>
        <v>1733529631284</v>
      </c>
      <c r="B2402" s="2"/>
      <c r="C2402" s="2" t="str">
        <v>0</v>
      </c>
      <c r="D2402" s="2"/>
      <c r="F2402" s="2" t="str">
        <v>0</v>
      </c>
      <c r="I2402" s="2" t="str">
        <f ca="1">IFERROR(__xludf.DUMMYFUNCTION("""COMPUTED_VALUE"""),"Khoàng Khánh Vy")</f>
        <v>Khoàng Khánh Vy</v>
      </c>
      <c r="J2402" s="3" t="str">
        <f ca="1">IFERROR(__xludf.DUMMYFUNCTION("""COMPUTED_VALUE"""),"0966077963")</f>
        <v>0966077963</v>
      </c>
      <c r="K2402" s="2" t="str">
        <f ca="1">IFERROR(__xludf.DUMMYFUNCTION("""COMPUTED_VALUE"""),"1733529631284")</f>
        <v>1733529631284</v>
      </c>
    </row>
    <row r="2403" spans="1:11" ht="12.45">
      <c r="A2403" s="2" t="str">
        <f ca="1">IFERROR(__xludf.DUMMYFUNCTION("""COMPUTED_VALUE"""),"1733529669274")</f>
        <v>1733529669274</v>
      </c>
      <c r="B2403" s="2"/>
      <c r="C2403" s="2" t="str">
        <v>0</v>
      </c>
      <c r="D2403" s="2"/>
      <c r="F2403" s="2" t="str">
        <v>0</v>
      </c>
      <c r="I2403" s="2" t="str">
        <f ca="1">IFERROR(__xludf.DUMMYFUNCTION("""COMPUTED_VALUE"""),"Nguyễn Thị Hiền Lương")</f>
        <v>Nguyễn Thị Hiền Lương</v>
      </c>
      <c r="J2403" s="3" t="str">
        <f ca="1">IFERROR(__xludf.DUMMYFUNCTION("""COMPUTED_VALUE"""),"0974212637")</f>
        <v>0974212637</v>
      </c>
      <c r="K2403" s="2" t="str">
        <f ca="1">IFERROR(__xludf.DUMMYFUNCTION("""COMPUTED_VALUE"""),"1733529669274")</f>
        <v>1733529669274</v>
      </c>
    </row>
    <row r="2404" spans="1:11" ht="12.45">
      <c r="A2404" s="2" t="str">
        <f ca="1">IFERROR(__xludf.DUMMYFUNCTION("""COMPUTED_VALUE"""),"1733529711950")</f>
        <v>1733529711950</v>
      </c>
      <c r="B2404" s="2"/>
      <c r="C2404" s="2" t="str">
        <v>0</v>
      </c>
      <c r="D2404" s="2"/>
      <c r="F2404" s="2" t="str">
        <v>0</v>
      </c>
      <c r="I2404" s="2" t="str">
        <f ca="1">IFERROR(__xludf.DUMMYFUNCTION("""COMPUTED_VALUE"""),"Trần Ngọc Bảo Thanh")</f>
        <v>Trần Ngọc Bảo Thanh</v>
      </c>
      <c r="J2404" s="3" t="str">
        <f ca="1">IFERROR(__xludf.DUMMYFUNCTION("""COMPUTED_VALUE"""),"0768435094")</f>
        <v>0768435094</v>
      </c>
      <c r="K2404" s="2" t="str">
        <f ca="1">IFERROR(__xludf.DUMMYFUNCTION("""COMPUTED_VALUE"""),"1733529711950")</f>
        <v>1733529711950</v>
      </c>
    </row>
    <row r="2405" spans="1:11" ht="12.45">
      <c r="A2405" s="2" t="str">
        <f ca="1">IFERROR(__xludf.DUMMYFUNCTION("""COMPUTED_VALUE"""),"1733529764781")</f>
        <v>1733529764781</v>
      </c>
      <c r="B2405" s="2"/>
      <c r="C2405" s="2" t="str">
        <v>0</v>
      </c>
      <c r="D2405" s="2"/>
      <c r="F2405" s="2" t="str">
        <v>0</v>
      </c>
      <c r="I2405" s="2" t="str">
        <f ca="1">IFERROR(__xludf.DUMMYFUNCTION("""COMPUTED_VALUE"""),"Bùi Thành Vương")</f>
        <v>Bùi Thành Vương</v>
      </c>
      <c r="J2405" s="3" t="str">
        <f ca="1">IFERROR(__xludf.DUMMYFUNCTION("""COMPUTED_VALUE"""),"0949882423")</f>
        <v>0949882423</v>
      </c>
      <c r="K2405" s="2" t="str">
        <f ca="1">IFERROR(__xludf.DUMMYFUNCTION("""COMPUTED_VALUE"""),"1733529764781")</f>
        <v>1733529764781</v>
      </c>
    </row>
    <row r="2406" spans="1:11" ht="12.45">
      <c r="A2406" s="2" t="str">
        <f ca="1">IFERROR(__xludf.DUMMYFUNCTION("""COMPUTED_VALUE"""),"1733529805871")</f>
        <v>1733529805871</v>
      </c>
      <c r="B2406" s="2"/>
      <c r="C2406" s="2" t="str">
        <v>0</v>
      </c>
      <c r="D2406" s="2"/>
      <c r="F2406" s="2" t="str">
        <v>0</v>
      </c>
      <c r="I2406" s="2" t="str">
        <f ca="1">IFERROR(__xludf.DUMMYFUNCTION("""COMPUTED_VALUE"""),"Võ Thị Tú Uyên ")</f>
        <v xml:space="preserve">Võ Thị Tú Uyên </v>
      </c>
      <c r="J2406" s="3" t="str">
        <f ca="1">IFERROR(__xludf.DUMMYFUNCTION("""COMPUTED_VALUE"""),"0834128167")</f>
        <v>0834128167</v>
      </c>
      <c r="K2406" s="2" t="str">
        <f ca="1">IFERROR(__xludf.DUMMYFUNCTION("""COMPUTED_VALUE"""),"1733529805871")</f>
        <v>1733529805871</v>
      </c>
    </row>
    <row r="2407" spans="1:11" ht="12.45">
      <c r="A2407" s="2" t="str">
        <f ca="1">IFERROR(__xludf.DUMMYFUNCTION("""COMPUTED_VALUE"""),"1733529839660")</f>
        <v>1733529839660</v>
      </c>
      <c r="B2407" s="2"/>
      <c r="C2407" s="2" t="str">
        <v>0</v>
      </c>
      <c r="D2407" s="2"/>
      <c r="F2407" s="2" t="str">
        <v>0</v>
      </c>
      <c r="I2407" s="2" t="str">
        <f ca="1">IFERROR(__xludf.DUMMYFUNCTION("""COMPUTED_VALUE"""),"Huỳnh Gia Hân")</f>
        <v>Huỳnh Gia Hân</v>
      </c>
      <c r="J2407" s="3" t="str">
        <f ca="1">IFERROR(__xludf.DUMMYFUNCTION("""COMPUTED_VALUE"""),"0949456001")</f>
        <v>0949456001</v>
      </c>
      <c r="K2407" s="2" t="str">
        <f ca="1">IFERROR(__xludf.DUMMYFUNCTION("""COMPUTED_VALUE"""),"1733529839660")</f>
        <v>1733529839660</v>
      </c>
    </row>
    <row r="2408" spans="1:11" ht="12.45">
      <c r="A2408" s="2" t="str">
        <f ca="1">IFERROR(__xludf.DUMMYFUNCTION("""COMPUTED_VALUE"""),"1733529895479")</f>
        <v>1733529895479</v>
      </c>
      <c r="B2408" s="2"/>
      <c r="C2408" s="2" t="str">
        <v>0</v>
      </c>
      <c r="D2408" s="2"/>
      <c r="F2408" s="2" t="str">
        <v>0</v>
      </c>
      <c r="I2408" s="2" t="str">
        <f ca="1">IFERROR(__xludf.DUMMYFUNCTION("""COMPUTED_VALUE"""),"Nguyễn Thị Tình ")</f>
        <v xml:space="preserve">Nguyễn Thị Tình </v>
      </c>
      <c r="J2408" s="3" t="str">
        <f ca="1">IFERROR(__xludf.DUMMYFUNCTION("""COMPUTED_VALUE"""),"0962536602")</f>
        <v>0962536602</v>
      </c>
      <c r="K2408" s="2" t="str">
        <f ca="1">IFERROR(__xludf.DUMMYFUNCTION("""COMPUTED_VALUE"""),"1733529895479")</f>
        <v>1733529895479</v>
      </c>
    </row>
    <row r="2409" spans="1:11" ht="12.45">
      <c r="A2409" s="2" t="str">
        <f ca="1">IFERROR(__xludf.DUMMYFUNCTION("""COMPUTED_VALUE"""),"1733529923953")</f>
        <v>1733529923953</v>
      </c>
      <c r="B2409" s="2"/>
      <c r="C2409" s="2" t="str">
        <v>0</v>
      </c>
      <c r="D2409" s="2"/>
      <c r="F2409" s="2" t="str">
        <v>0</v>
      </c>
      <c r="I2409" s="2" t="str">
        <f ca="1">IFERROR(__xludf.DUMMYFUNCTION("""COMPUTED_VALUE"""),"LÊ NGỌC TRÚC LINH")</f>
        <v>LÊ NGỌC TRÚC LINH</v>
      </c>
      <c r="J2409" s="3" t="str">
        <f ca="1">IFERROR(__xludf.DUMMYFUNCTION("""COMPUTED_VALUE"""),"0336760938")</f>
        <v>0336760938</v>
      </c>
      <c r="K2409" s="2" t="str">
        <f ca="1">IFERROR(__xludf.DUMMYFUNCTION("""COMPUTED_VALUE"""),"1733529923953")</f>
        <v>1733529923953</v>
      </c>
    </row>
    <row r="2410" spans="1:11" ht="12.45">
      <c r="A2410" s="2" t="str">
        <f ca="1">IFERROR(__xludf.DUMMYFUNCTION("""COMPUTED_VALUE"""),"1733529954635")</f>
        <v>1733529954635</v>
      </c>
      <c r="B2410" s="2"/>
      <c r="C2410" s="2" t="str">
        <v>0</v>
      </c>
      <c r="D2410" s="2"/>
      <c r="F2410" s="2" t="str">
        <v>0</v>
      </c>
      <c r="I2410" s="2" t="str">
        <f ca="1">IFERROR(__xludf.DUMMYFUNCTION("""COMPUTED_VALUE"""),"Nguyễn Thị Mai Hương ")</f>
        <v xml:space="preserve">Nguyễn Thị Mai Hương </v>
      </c>
      <c r="J2410" s="3" t="str">
        <f ca="1">IFERROR(__xludf.DUMMYFUNCTION("""COMPUTED_VALUE"""),"0384323843")</f>
        <v>0384323843</v>
      </c>
      <c r="K2410" s="2" t="str">
        <f ca="1">IFERROR(__xludf.DUMMYFUNCTION("""COMPUTED_VALUE"""),"1733529954635")</f>
        <v>1733529954635</v>
      </c>
    </row>
    <row r="2411" spans="1:11" ht="12.45">
      <c r="A2411" s="2" t="str">
        <f ca="1">IFERROR(__xludf.DUMMYFUNCTION("""COMPUTED_VALUE"""),"1733529988215")</f>
        <v>1733529988215</v>
      </c>
      <c r="B2411" s="2"/>
      <c r="C2411" s="2" t="str">
        <v>0</v>
      </c>
      <c r="D2411" s="2"/>
      <c r="F2411" s="2" t="str">
        <v>0</v>
      </c>
      <c r="I2411" s="2" t="str">
        <f ca="1">IFERROR(__xludf.DUMMYFUNCTION("""COMPUTED_VALUE"""),"Nguyễn Trâm Anh ")</f>
        <v xml:space="preserve">Nguyễn Trâm Anh </v>
      </c>
      <c r="J2411" s="3" t="str">
        <f ca="1">IFERROR(__xludf.DUMMYFUNCTION("""COMPUTED_VALUE"""),"0707230947")</f>
        <v>0707230947</v>
      </c>
      <c r="K2411" s="2" t="str">
        <f ca="1">IFERROR(__xludf.DUMMYFUNCTION("""COMPUTED_VALUE"""),"1733529988215")</f>
        <v>1733529988215</v>
      </c>
    </row>
    <row r="2412" spans="1:11" ht="12.45">
      <c r="A2412" s="2" t="str">
        <f ca="1">IFERROR(__xludf.DUMMYFUNCTION("""COMPUTED_VALUE"""),"1733530014275")</f>
        <v>1733530014275</v>
      </c>
      <c r="B2412" s="2"/>
      <c r="C2412" s="2" t="str">
        <v>0</v>
      </c>
      <c r="D2412" s="2"/>
      <c r="F2412" s="2" t="str">
        <v>0</v>
      </c>
      <c r="I2412" s="2" t="str">
        <f ca="1">IFERROR(__xludf.DUMMYFUNCTION("""COMPUTED_VALUE"""),"Nguyễn Trần Phương Thảo")</f>
        <v>Nguyễn Trần Phương Thảo</v>
      </c>
      <c r="J2412" s="3" t="str">
        <f ca="1">IFERROR(__xludf.DUMMYFUNCTION("""COMPUTED_VALUE"""),"0346758463")</f>
        <v>0346758463</v>
      </c>
      <c r="K2412" s="2" t="str">
        <f ca="1">IFERROR(__xludf.DUMMYFUNCTION("""COMPUTED_VALUE"""),"1733530014275")</f>
        <v>1733530014275</v>
      </c>
    </row>
    <row r="2413" spans="1:11" ht="12.45">
      <c r="A2413" s="2" t="str">
        <f ca="1">IFERROR(__xludf.DUMMYFUNCTION("""COMPUTED_VALUE"""),"1733530051662")</f>
        <v>1733530051662</v>
      </c>
      <c r="B2413" s="2"/>
      <c r="C2413" s="2" t="str">
        <v>0</v>
      </c>
      <c r="D2413" s="2"/>
      <c r="F2413" s="2" t="str">
        <v>0</v>
      </c>
      <c r="I2413" s="2" t="str">
        <f ca="1">IFERROR(__xludf.DUMMYFUNCTION("""COMPUTED_VALUE"""),"Hoàng Khánh Bảo Ngọc ")</f>
        <v xml:space="preserve">Hoàng Khánh Bảo Ngọc </v>
      </c>
      <c r="J2413" s="3" t="str">
        <f ca="1">IFERROR(__xludf.DUMMYFUNCTION("""COMPUTED_VALUE"""),"0834280507")</f>
        <v>0834280507</v>
      </c>
      <c r="K2413" s="2" t="str">
        <f ca="1">IFERROR(__xludf.DUMMYFUNCTION("""COMPUTED_VALUE"""),"1733530051662")</f>
        <v>1733530051662</v>
      </c>
    </row>
    <row r="2414" spans="1:11" ht="12.45">
      <c r="A2414" s="2" t="str">
        <f ca="1">IFERROR(__xludf.DUMMYFUNCTION("""COMPUTED_VALUE"""),"1733530092080")</f>
        <v>1733530092080</v>
      </c>
      <c r="B2414" s="2"/>
      <c r="C2414" s="2" t="str">
        <v>0</v>
      </c>
      <c r="D2414" s="2"/>
      <c r="F2414" s="2" t="str">
        <v>0</v>
      </c>
      <c r="I2414" s="2" t="str">
        <f ca="1">IFERROR(__xludf.DUMMYFUNCTION("""COMPUTED_VALUE"""),"Trần Phương Nam")</f>
        <v>Trần Phương Nam</v>
      </c>
      <c r="J2414" s="3" t="str">
        <f ca="1">IFERROR(__xludf.DUMMYFUNCTION("""COMPUTED_VALUE"""),"0389563860")</f>
        <v>0389563860</v>
      </c>
      <c r="K2414" s="2" t="str">
        <f ca="1">IFERROR(__xludf.DUMMYFUNCTION("""COMPUTED_VALUE"""),"1733530092080")</f>
        <v>1733530092080</v>
      </c>
    </row>
    <row r="2415" spans="1:11" ht="12.45">
      <c r="A2415" s="2" t="str">
        <f ca="1">IFERROR(__xludf.DUMMYFUNCTION("""COMPUTED_VALUE"""),"1733530121806")</f>
        <v>1733530121806</v>
      </c>
      <c r="B2415" s="2"/>
      <c r="C2415" s="2" t="str">
        <v>0</v>
      </c>
      <c r="D2415" s="2"/>
      <c r="F2415" s="2" t="str">
        <v>0</v>
      </c>
      <c r="I2415" s="2" t="str">
        <f ca="1">IFERROR(__xludf.DUMMYFUNCTION("""COMPUTED_VALUE"""),"Huỳnh Bích Ngọc")</f>
        <v>Huỳnh Bích Ngọc</v>
      </c>
      <c r="J2415" s="3" t="str">
        <f ca="1">IFERROR(__xludf.DUMMYFUNCTION("""COMPUTED_VALUE"""),"0386804059")</f>
        <v>0386804059</v>
      </c>
      <c r="K2415" s="2" t="str">
        <f ca="1">IFERROR(__xludf.DUMMYFUNCTION("""COMPUTED_VALUE"""),"1733530121806")</f>
        <v>1733530121806</v>
      </c>
    </row>
    <row r="2416" spans="1:11" ht="12.45">
      <c r="A2416" s="2" t="str">
        <f ca="1">IFERROR(__xludf.DUMMYFUNCTION("""COMPUTED_VALUE"""),"1733530151644")</f>
        <v>1733530151644</v>
      </c>
      <c r="B2416" s="2"/>
      <c r="C2416" s="2" t="str">
        <v>0</v>
      </c>
      <c r="D2416" s="2"/>
      <c r="F2416" s="2" t="str">
        <v>0</v>
      </c>
      <c r="I2416" s="2" t="str">
        <f ca="1">IFERROR(__xludf.DUMMYFUNCTION("""COMPUTED_VALUE"""),"Nguyễn Anh Văn ")</f>
        <v xml:space="preserve">Nguyễn Anh Văn </v>
      </c>
      <c r="J2416" s="3" t="str">
        <f ca="1">IFERROR(__xludf.DUMMYFUNCTION("""COMPUTED_VALUE"""),"0784956650")</f>
        <v>0784956650</v>
      </c>
      <c r="K2416" s="2" t="str">
        <f ca="1">IFERROR(__xludf.DUMMYFUNCTION("""COMPUTED_VALUE"""),"1733530151644")</f>
        <v>1733530151644</v>
      </c>
    </row>
    <row r="2417" spans="1:11" ht="12.45">
      <c r="A2417" s="2" t="str">
        <f ca="1">IFERROR(__xludf.DUMMYFUNCTION("""COMPUTED_VALUE"""),"1735809819872")</f>
        <v>1735809819872</v>
      </c>
      <c r="B2417" s="2"/>
      <c r="C2417" s="2" t="str">
        <v>0</v>
      </c>
      <c r="D2417" s="2"/>
      <c r="F2417" s="2" t="str">
        <v>0</v>
      </c>
      <c r="I2417" s="2" t="str">
        <f ca="1">IFERROR(__xludf.DUMMYFUNCTION("""COMPUTED_VALUE"""),"Vũ Thị Hà My")</f>
        <v>Vũ Thị Hà My</v>
      </c>
      <c r="J2417" s="3" t="str">
        <f ca="1">IFERROR(__xludf.DUMMYFUNCTION("""COMPUTED_VALUE"""),"0858600020")</f>
        <v>0858600020</v>
      </c>
      <c r="K2417" s="2" t="str">
        <f ca="1">IFERROR(__xludf.DUMMYFUNCTION("""COMPUTED_VALUE"""),"1735809819872")</f>
        <v>1735809819872</v>
      </c>
    </row>
    <row r="2418" spans="1:11" ht="12.45">
      <c r="A2418" s="2" t="str">
        <f ca="1">IFERROR(__xludf.DUMMYFUNCTION("""COMPUTED_VALUE"""),"1733530186101")</f>
        <v>1733530186101</v>
      </c>
      <c r="B2418" s="2"/>
      <c r="C2418" s="2" t="str">
        <v>0</v>
      </c>
      <c r="D2418" s="2"/>
      <c r="F2418" s="2" t="str">
        <v>0</v>
      </c>
      <c r="I2418" s="2" t="str">
        <f ca="1">IFERROR(__xludf.DUMMYFUNCTION("""COMPUTED_VALUE"""),"đặng hoàng linh ")</f>
        <v xml:space="preserve">đặng hoàng linh </v>
      </c>
      <c r="J2418" s="3" t="str">
        <f ca="1">IFERROR(__xludf.DUMMYFUNCTION("""COMPUTED_VALUE"""),"0382390407")</f>
        <v>0382390407</v>
      </c>
      <c r="K2418" s="2" t="str">
        <f ca="1">IFERROR(__xludf.DUMMYFUNCTION("""COMPUTED_VALUE"""),"1733530186101")</f>
        <v>1733530186101</v>
      </c>
    </row>
    <row r="2419" spans="1:11" ht="12.45">
      <c r="A2419" s="2" t="str">
        <f ca="1">IFERROR(__xludf.DUMMYFUNCTION("""COMPUTED_VALUE"""),"1733530223232")</f>
        <v>1733530223232</v>
      </c>
      <c r="B2419" s="2"/>
      <c r="C2419" s="2" t="str">
        <v>0</v>
      </c>
      <c r="D2419" s="2"/>
      <c r="F2419" s="2" t="str">
        <v>0</v>
      </c>
      <c r="I2419" s="2" t="str">
        <f ca="1">IFERROR(__xludf.DUMMYFUNCTION("""COMPUTED_VALUE"""),"Trần Minh Nguyệt")</f>
        <v>Trần Minh Nguyệt</v>
      </c>
      <c r="J2419" s="3" t="str">
        <f ca="1">IFERROR(__xludf.DUMMYFUNCTION("""COMPUTED_VALUE"""),"0834693689")</f>
        <v>0834693689</v>
      </c>
      <c r="K2419" s="2" t="str">
        <f ca="1">IFERROR(__xludf.DUMMYFUNCTION("""COMPUTED_VALUE"""),"1733530223232")</f>
        <v>1733530223232</v>
      </c>
    </row>
    <row r="2420" spans="1:11" ht="12.45">
      <c r="A2420" s="2" t="str">
        <f ca="1">IFERROR(__xludf.DUMMYFUNCTION("""COMPUTED_VALUE"""),"1733530260755")</f>
        <v>1733530260755</v>
      </c>
      <c r="B2420" s="2"/>
      <c r="C2420" s="2" t="str">
        <v>0</v>
      </c>
      <c r="D2420" s="2"/>
      <c r="F2420" s="2" t="str">
        <v>0</v>
      </c>
      <c r="I2420" s="2" t="str">
        <f ca="1">IFERROR(__xludf.DUMMYFUNCTION("""COMPUTED_VALUE"""),"Nguyễn Hồ Kim Ngân")</f>
        <v>Nguyễn Hồ Kim Ngân</v>
      </c>
      <c r="J2420" s="3" t="str">
        <f ca="1">IFERROR(__xludf.DUMMYFUNCTION("""COMPUTED_VALUE"""),"0899879259")</f>
        <v>0899879259</v>
      </c>
      <c r="K2420" s="2" t="str">
        <f ca="1">IFERROR(__xludf.DUMMYFUNCTION("""COMPUTED_VALUE"""),"1733530260755")</f>
        <v>1733530260755</v>
      </c>
    </row>
    <row r="2421" spans="1:11" ht="12.45">
      <c r="A2421" s="2" t="str">
        <f ca="1">IFERROR(__xludf.DUMMYFUNCTION("""COMPUTED_VALUE"""),"1733530301283")</f>
        <v>1733530301283</v>
      </c>
      <c r="B2421" s="2"/>
      <c r="C2421" s="2" t="str">
        <v>0</v>
      </c>
      <c r="D2421" s="2"/>
      <c r="F2421" s="2" t="str">
        <v>0</v>
      </c>
      <c r="I2421" s="2" t="str">
        <f ca="1">IFERROR(__xludf.DUMMYFUNCTION("""COMPUTED_VALUE"""),"Nguyễn Thị Hồng Nga ")</f>
        <v xml:space="preserve">Nguyễn Thị Hồng Nga </v>
      </c>
      <c r="J2421" s="3" t="str">
        <f ca="1">IFERROR(__xludf.DUMMYFUNCTION("""COMPUTED_VALUE"""),"0354590747")</f>
        <v>0354590747</v>
      </c>
      <c r="K2421" s="2" t="str">
        <f ca="1">IFERROR(__xludf.DUMMYFUNCTION("""COMPUTED_VALUE"""),"1733530301283")</f>
        <v>1733530301283</v>
      </c>
    </row>
    <row r="2422" spans="1:11" ht="12.45">
      <c r="A2422" s="2" t="str">
        <f ca="1">IFERROR(__xludf.DUMMYFUNCTION("""COMPUTED_VALUE"""),"1733530338883")</f>
        <v>1733530338883</v>
      </c>
      <c r="B2422" s="2"/>
      <c r="C2422" s="2" t="str">
        <v>0</v>
      </c>
      <c r="D2422" s="2"/>
      <c r="F2422" s="2" t="str">
        <v>0</v>
      </c>
      <c r="I2422" s="2" t="str">
        <f ca="1">IFERROR(__xludf.DUMMYFUNCTION("""COMPUTED_VALUE"""),"Nguyễn Ngọc Trúc My")</f>
        <v>Nguyễn Ngọc Trúc My</v>
      </c>
      <c r="J2422" s="3" t="str">
        <f ca="1">IFERROR(__xludf.DUMMYFUNCTION("""COMPUTED_VALUE"""),"0938700125")</f>
        <v>0938700125</v>
      </c>
      <c r="K2422" s="2" t="str">
        <f ca="1">IFERROR(__xludf.DUMMYFUNCTION("""COMPUTED_VALUE"""),"1733530338883")</f>
        <v>1733530338883</v>
      </c>
    </row>
    <row r="2423" spans="1:11" ht="12.45">
      <c r="A2423" s="2" t="str">
        <f ca="1">IFERROR(__xludf.DUMMYFUNCTION("""COMPUTED_VALUE"""),"1733530371224")</f>
        <v>1733530371224</v>
      </c>
      <c r="B2423" s="2"/>
      <c r="C2423" s="2" t="str">
        <v>0</v>
      </c>
      <c r="D2423" s="2"/>
      <c r="F2423" s="2" t="str">
        <v>0</v>
      </c>
      <c r="I2423" s="2" t="str">
        <f ca="1">IFERROR(__xludf.DUMMYFUNCTION("""COMPUTED_VALUE"""),"Bùi Thị Thảo Vân")</f>
        <v>Bùi Thị Thảo Vân</v>
      </c>
      <c r="J2423" s="3" t="str">
        <f ca="1">IFERROR(__xludf.DUMMYFUNCTION("""COMPUTED_VALUE"""),"0366318673")</f>
        <v>0366318673</v>
      </c>
      <c r="K2423" s="2" t="str">
        <f ca="1">IFERROR(__xludf.DUMMYFUNCTION("""COMPUTED_VALUE"""),"1733530371224")</f>
        <v>1733530371224</v>
      </c>
    </row>
    <row r="2424" spans="1:11" ht="12.45">
      <c r="A2424" s="2" t="str">
        <f ca="1">IFERROR(__xludf.DUMMYFUNCTION("""COMPUTED_VALUE"""),"1733530410044")</f>
        <v>1733530410044</v>
      </c>
      <c r="B2424" s="2"/>
      <c r="C2424" s="2" t="str">
        <v>0</v>
      </c>
      <c r="D2424" s="2"/>
      <c r="F2424" s="2" t="str">
        <v>0</v>
      </c>
      <c r="I2424" s="2" t="str">
        <f ca="1">IFERROR(__xludf.DUMMYFUNCTION("""COMPUTED_VALUE"""),"Lý A Vĩnh")</f>
        <v>Lý A Vĩnh</v>
      </c>
      <c r="J2424" s="3" t="str">
        <f ca="1">IFERROR(__xludf.DUMMYFUNCTION("""COMPUTED_VALUE"""),"0333079430")</f>
        <v>0333079430</v>
      </c>
      <c r="K2424" s="2" t="str">
        <f ca="1">IFERROR(__xludf.DUMMYFUNCTION("""COMPUTED_VALUE"""),"1733530410044")</f>
        <v>1733530410044</v>
      </c>
    </row>
    <row r="2425" spans="1:11" ht="12.45">
      <c r="A2425" s="2" t="str">
        <f ca="1">IFERROR(__xludf.DUMMYFUNCTION("""COMPUTED_VALUE"""),"1733530449961")</f>
        <v>1733530449961</v>
      </c>
      <c r="B2425" s="2"/>
      <c r="C2425" s="2" t="str">
        <v>0</v>
      </c>
      <c r="D2425" s="2"/>
      <c r="F2425" s="2" t="str">
        <v>0</v>
      </c>
      <c r="I2425" s="2" t="str">
        <f ca="1">IFERROR(__xludf.DUMMYFUNCTION("""COMPUTED_VALUE"""),"Phạm Thị Vân Thư")</f>
        <v>Phạm Thị Vân Thư</v>
      </c>
      <c r="J2425" s="3" t="str">
        <f ca="1">IFERROR(__xludf.DUMMYFUNCTION("""COMPUTED_VALUE"""),"0325904315")</f>
        <v>0325904315</v>
      </c>
      <c r="K2425" s="2" t="str">
        <f ca="1">IFERROR(__xludf.DUMMYFUNCTION("""COMPUTED_VALUE"""),"1733530449961")</f>
        <v>1733530449961</v>
      </c>
    </row>
    <row r="2426" spans="1:11" ht="12.45">
      <c r="A2426" s="2" t="str">
        <f ca="1">IFERROR(__xludf.DUMMYFUNCTION("""COMPUTED_VALUE"""),"1733530484737")</f>
        <v>1733530484737</v>
      </c>
      <c r="B2426" s="2"/>
      <c r="C2426" s="2" t="str">
        <v>0</v>
      </c>
      <c r="D2426" s="2"/>
      <c r="F2426" s="2" t="str">
        <v>0</v>
      </c>
      <c r="I2426" s="2" t="str">
        <f ca="1">IFERROR(__xludf.DUMMYFUNCTION("""COMPUTED_VALUE"""),"Nguyễn Khánh Nhung ")</f>
        <v xml:space="preserve">Nguyễn Khánh Nhung </v>
      </c>
      <c r="J2426" s="3" t="str">
        <f ca="1">IFERROR(__xludf.DUMMYFUNCTION("""COMPUTED_VALUE"""),"0369486731")</f>
        <v>0369486731</v>
      </c>
      <c r="K2426" s="2" t="str">
        <f ca="1">IFERROR(__xludf.DUMMYFUNCTION("""COMPUTED_VALUE"""),"1733530484737")</f>
        <v>1733530484737</v>
      </c>
    </row>
    <row r="2427" spans="1:11" ht="12.45">
      <c r="A2427" s="2" t="str">
        <f ca="1">IFERROR(__xludf.DUMMYFUNCTION("""COMPUTED_VALUE"""),"1733530527116")</f>
        <v>1733530527116</v>
      </c>
      <c r="B2427" s="2"/>
      <c r="C2427" s="2" t="str">
        <v>0</v>
      </c>
      <c r="D2427" s="2"/>
      <c r="F2427" s="2" t="str">
        <v>0</v>
      </c>
      <c r="I2427" s="2" t="str">
        <f ca="1">IFERROR(__xludf.DUMMYFUNCTION("""COMPUTED_VALUE"""),"Lê Mỹ Duyên")</f>
        <v>Lê Mỹ Duyên</v>
      </c>
      <c r="J2427" s="3" t="str">
        <f ca="1">IFERROR(__xludf.DUMMYFUNCTION("""COMPUTED_VALUE"""),"0867762630")</f>
        <v>0867762630</v>
      </c>
      <c r="K2427" s="2" t="str">
        <f ca="1">IFERROR(__xludf.DUMMYFUNCTION("""COMPUTED_VALUE"""),"1733530527116")</f>
        <v>1733530527116</v>
      </c>
    </row>
    <row r="2428" spans="1:11" ht="12.45">
      <c r="A2428" s="2" t="str">
        <f ca="1">IFERROR(__xludf.DUMMYFUNCTION("""COMPUTED_VALUE"""),"1733530565676")</f>
        <v>1733530565676</v>
      </c>
      <c r="B2428" s="2"/>
      <c r="C2428" s="2" t="str">
        <v>0</v>
      </c>
      <c r="D2428" s="2"/>
      <c r="F2428" s="2" t="str">
        <v>0</v>
      </c>
      <c r="I2428" s="2" t="str">
        <f ca="1">IFERROR(__xludf.DUMMYFUNCTION("""COMPUTED_VALUE"""),"Vương Hải Anh")</f>
        <v>Vương Hải Anh</v>
      </c>
      <c r="J2428" s="3" t="str">
        <f ca="1">IFERROR(__xludf.DUMMYFUNCTION("""COMPUTED_VALUE"""),"0374729959")</f>
        <v>0374729959</v>
      </c>
      <c r="K2428" s="2" t="str">
        <f ca="1">IFERROR(__xludf.DUMMYFUNCTION("""COMPUTED_VALUE"""),"1733530565676")</f>
        <v>1733530565676</v>
      </c>
    </row>
    <row r="2429" spans="1:11" ht="12.45">
      <c r="A2429" s="2" t="str">
        <f ca="1">IFERROR(__xludf.DUMMYFUNCTION("""COMPUTED_VALUE"""),"1733530591545")</f>
        <v>1733530591545</v>
      </c>
      <c r="B2429" s="2"/>
      <c r="C2429" s="2" t="str">
        <v>0</v>
      </c>
      <c r="D2429" s="2"/>
      <c r="F2429" s="2" t="str">
        <v>0</v>
      </c>
      <c r="I2429" s="2" t="str">
        <f ca="1">IFERROR(__xludf.DUMMYFUNCTION("""COMPUTED_VALUE"""),"Nguyễn Thu Phương")</f>
        <v>Nguyễn Thu Phương</v>
      </c>
      <c r="J2429" s="3" t="str">
        <f ca="1">IFERROR(__xludf.DUMMYFUNCTION("""COMPUTED_VALUE"""),"0987753804")</f>
        <v>0987753804</v>
      </c>
      <c r="K2429" s="2" t="str">
        <f ca="1">IFERROR(__xludf.DUMMYFUNCTION("""COMPUTED_VALUE"""),"1733530591545")</f>
        <v>1733530591545</v>
      </c>
    </row>
    <row r="2430" spans="1:11" ht="12.45">
      <c r="A2430" s="2" t="str">
        <f ca="1">IFERROR(__xludf.DUMMYFUNCTION("""COMPUTED_VALUE"""),"1733530621968")</f>
        <v>1733530621968</v>
      </c>
      <c r="B2430" s="2"/>
      <c r="C2430" s="2" t="str">
        <v>0</v>
      </c>
      <c r="D2430" s="2"/>
      <c r="F2430" s="2" t="str">
        <v>0</v>
      </c>
      <c r="I2430" s="2" t="str">
        <f ca="1">IFERROR(__xludf.DUMMYFUNCTION("""COMPUTED_VALUE"""),"Nguyễn Ngọc Như Trang")</f>
        <v>Nguyễn Ngọc Như Trang</v>
      </c>
      <c r="J2430" s="3" t="str">
        <f ca="1">IFERROR(__xludf.DUMMYFUNCTION("""COMPUTED_VALUE"""),"0908079964")</f>
        <v>0908079964</v>
      </c>
      <c r="K2430" s="2" t="str">
        <f ca="1">IFERROR(__xludf.DUMMYFUNCTION("""COMPUTED_VALUE"""),"1733530621968")</f>
        <v>1733530621968</v>
      </c>
    </row>
    <row r="2431" spans="1:11" ht="12.45">
      <c r="A2431" s="2" t="str">
        <f ca="1">IFERROR(__xludf.DUMMYFUNCTION("""COMPUTED_VALUE"""),"1733530660993")</f>
        <v>1733530660993</v>
      </c>
      <c r="B2431" s="2"/>
      <c r="C2431" s="2" t="str">
        <v>0</v>
      </c>
      <c r="D2431" s="2"/>
      <c r="F2431" s="2" t="str">
        <v>0</v>
      </c>
      <c r="I2431" s="2" t="str">
        <f ca="1">IFERROR(__xludf.DUMMYFUNCTION("""COMPUTED_VALUE"""),"Nguyễn Thị Như Ánh")</f>
        <v>Nguyễn Thị Như Ánh</v>
      </c>
      <c r="J2431" s="3" t="str">
        <f ca="1">IFERROR(__xludf.DUMMYFUNCTION("""COMPUTED_VALUE"""),"0373847788")</f>
        <v>0373847788</v>
      </c>
      <c r="K2431" s="2" t="str">
        <f ca="1">IFERROR(__xludf.DUMMYFUNCTION("""COMPUTED_VALUE"""),"1733530660993")</f>
        <v>1733530660993</v>
      </c>
    </row>
    <row r="2432" spans="1:11" ht="12.45">
      <c r="A2432" s="2" t="str">
        <f ca="1">IFERROR(__xludf.DUMMYFUNCTION("""COMPUTED_VALUE"""),"1733530700218")</f>
        <v>1733530700218</v>
      </c>
      <c r="B2432" s="2"/>
      <c r="C2432" s="2" t="str">
        <v>0</v>
      </c>
      <c r="D2432" s="2"/>
      <c r="F2432" s="2" t="str">
        <v>0</v>
      </c>
      <c r="I2432" s="2" t="str">
        <f ca="1">IFERROR(__xludf.DUMMYFUNCTION("""COMPUTED_VALUE"""),"Thạch Kỳ Vĩ")</f>
        <v>Thạch Kỳ Vĩ</v>
      </c>
      <c r="J2432" s="3" t="str">
        <f ca="1">IFERROR(__xludf.DUMMYFUNCTION("""COMPUTED_VALUE"""),"0333836169")</f>
        <v>0333836169</v>
      </c>
      <c r="K2432" s="2" t="str">
        <f ca="1">IFERROR(__xludf.DUMMYFUNCTION("""COMPUTED_VALUE"""),"1733530700218")</f>
        <v>1733530700218</v>
      </c>
    </row>
    <row r="2433" spans="1:11" ht="12.45">
      <c r="A2433" s="2" t="str">
        <f ca="1">IFERROR(__xludf.DUMMYFUNCTION("""COMPUTED_VALUE"""),"1733530738186")</f>
        <v>1733530738186</v>
      </c>
      <c r="B2433" s="2"/>
      <c r="C2433" s="2" t="str">
        <v>0</v>
      </c>
      <c r="D2433" s="2"/>
      <c r="F2433" s="2" t="str">
        <v>0</v>
      </c>
      <c r="I2433" s="2" t="str">
        <f ca="1">IFERROR(__xludf.DUMMYFUNCTION("""COMPUTED_VALUE"""),"Nguyễn Thanh Trúc")</f>
        <v>Nguyễn Thanh Trúc</v>
      </c>
      <c r="J2433" s="3" t="str">
        <f ca="1">IFERROR(__xludf.DUMMYFUNCTION("""COMPUTED_VALUE"""),"0355242109")</f>
        <v>0355242109</v>
      </c>
      <c r="K2433" s="2" t="str">
        <f ca="1">IFERROR(__xludf.DUMMYFUNCTION("""COMPUTED_VALUE"""),"1733530738186")</f>
        <v>1733530738186</v>
      </c>
    </row>
    <row r="2434" spans="1:11" ht="12.45">
      <c r="A2434" s="2" t="str">
        <f ca="1">IFERROR(__xludf.DUMMYFUNCTION("""COMPUTED_VALUE"""),"1733530776979")</f>
        <v>1733530776979</v>
      </c>
      <c r="B2434" s="2"/>
      <c r="C2434" s="2" t="str">
        <v>0</v>
      </c>
      <c r="D2434" s="2"/>
      <c r="F2434" s="2" t="str">
        <v>0</v>
      </c>
      <c r="I2434" s="2" t="str">
        <f ca="1">IFERROR(__xludf.DUMMYFUNCTION("""COMPUTED_VALUE"""),"Phạm Thảo Nguyên")</f>
        <v>Phạm Thảo Nguyên</v>
      </c>
      <c r="J2434" s="3" t="str">
        <f ca="1">IFERROR(__xludf.DUMMYFUNCTION("""COMPUTED_VALUE"""),"0982729629")</f>
        <v>0982729629</v>
      </c>
      <c r="K2434" s="2" t="str">
        <f ca="1">IFERROR(__xludf.DUMMYFUNCTION("""COMPUTED_VALUE"""),"1733530776979")</f>
        <v>1733530776979</v>
      </c>
    </row>
    <row r="2435" spans="1:11" ht="12.45">
      <c r="A2435" s="2" t="str">
        <f ca="1">IFERROR(__xludf.DUMMYFUNCTION("""COMPUTED_VALUE"""),"1733530813112")</f>
        <v>1733530813112</v>
      </c>
      <c r="B2435" s="2"/>
      <c r="C2435" s="2" t="str">
        <v>0</v>
      </c>
      <c r="D2435" s="2"/>
      <c r="F2435" s="2" t="str">
        <v>0</v>
      </c>
      <c r="I2435" s="2" t="str">
        <f ca="1">IFERROR(__xludf.DUMMYFUNCTION("""COMPUTED_VALUE"""),"Đinh Trung Kiên ")</f>
        <v xml:space="preserve">Đinh Trung Kiên </v>
      </c>
      <c r="J2435" s="3" t="str">
        <f ca="1">IFERROR(__xludf.DUMMYFUNCTION("""COMPUTED_VALUE"""),"0942523431")</f>
        <v>0942523431</v>
      </c>
      <c r="K2435" s="2" t="str">
        <f ca="1">IFERROR(__xludf.DUMMYFUNCTION("""COMPUTED_VALUE"""),"1733530813112")</f>
        <v>1733530813112</v>
      </c>
    </row>
    <row r="2436" spans="1:11" ht="12.45">
      <c r="A2436" s="2" t="str">
        <f ca="1">IFERROR(__xludf.DUMMYFUNCTION("""COMPUTED_VALUE"""),"1733530844933")</f>
        <v>1733530844933</v>
      </c>
      <c r="B2436" s="2"/>
      <c r="C2436" s="2" t="str">
        <v>0</v>
      </c>
      <c r="D2436" s="2"/>
      <c r="F2436" s="2" t="str">
        <v>0</v>
      </c>
      <c r="I2436" s="2" t="str">
        <f ca="1">IFERROR(__xludf.DUMMYFUNCTION("""COMPUTED_VALUE"""),"Nguyễn Hồng Thái ")</f>
        <v xml:space="preserve">Nguyễn Hồng Thái </v>
      </c>
      <c r="J2436" s="3" t="str">
        <f ca="1">IFERROR(__xludf.DUMMYFUNCTION("""COMPUTED_VALUE"""),"0767137536")</f>
        <v>0767137536</v>
      </c>
      <c r="K2436" s="2" t="str">
        <f ca="1">IFERROR(__xludf.DUMMYFUNCTION("""COMPUTED_VALUE"""),"1733530844933")</f>
        <v>1733530844933</v>
      </c>
    </row>
    <row r="2437" spans="1:11" ht="12.45">
      <c r="A2437" s="2" t="str">
        <f ca="1">IFERROR(__xludf.DUMMYFUNCTION("""COMPUTED_VALUE"""),"1772312486247")</f>
        <v>1772312486247</v>
      </c>
      <c r="B2437" s="2"/>
      <c r="C2437" s="2" t="str">
        <v>0</v>
      </c>
      <c r="D2437" s="2"/>
      <c r="F2437" s="2" t="str">
        <v>0</v>
      </c>
      <c r="I2437" s="2" t="str">
        <f ca="1">IFERROR(__xludf.DUMMYFUNCTION("""COMPUTED_VALUE"""),"Hoàng Thanh Vân ")</f>
        <v xml:space="preserve">Hoàng Thanh Vân </v>
      </c>
      <c r="J2437" s="3" t="str">
        <f ca="1">IFERROR(__xludf.DUMMYFUNCTION("""COMPUTED_VALUE"""),"0356643089")</f>
        <v>0356643089</v>
      </c>
      <c r="K2437" s="2" t="str">
        <f ca="1">IFERROR(__xludf.DUMMYFUNCTION("""COMPUTED_VALUE"""),"1772312486247")</f>
        <v>1772312486247</v>
      </c>
    </row>
    <row r="2438" spans="1:11" ht="12.45">
      <c r="A2438" s="2" t="str">
        <f ca="1">IFERROR(__xludf.DUMMYFUNCTION("""COMPUTED_VALUE"""),"1733530915596")</f>
        <v>1733530915596</v>
      </c>
      <c r="B2438" s="2"/>
      <c r="C2438" s="2" t="str">
        <v>0</v>
      </c>
      <c r="D2438" s="2"/>
      <c r="F2438" s="2" t="str">
        <v>0</v>
      </c>
      <c r="I2438" s="2" t="str">
        <f ca="1">IFERROR(__xludf.DUMMYFUNCTION("""COMPUTED_VALUE"""),"Nguyễn Thị Ngọc Yến ")</f>
        <v xml:space="preserve">Nguyễn Thị Ngọc Yến </v>
      </c>
      <c r="J2438" s="3" t="str">
        <f ca="1">IFERROR(__xludf.DUMMYFUNCTION("""COMPUTED_VALUE"""),"0332877141")</f>
        <v>0332877141</v>
      </c>
      <c r="K2438" s="2" t="str">
        <f ca="1">IFERROR(__xludf.DUMMYFUNCTION("""COMPUTED_VALUE"""),"1733530915596")</f>
        <v>1733530915596</v>
      </c>
    </row>
    <row r="2439" spans="1:11" ht="12.45">
      <c r="A2439" s="2" t="str">
        <f ca="1">IFERROR(__xludf.DUMMYFUNCTION("""COMPUTED_VALUE"""),"1733530965999")</f>
        <v>1733530965999</v>
      </c>
      <c r="B2439" s="2"/>
      <c r="C2439" s="2" t="str">
        <v>0</v>
      </c>
      <c r="D2439" s="2"/>
      <c r="F2439" s="2" t="str">
        <v>0</v>
      </c>
      <c r="I2439" s="2" t="str">
        <f ca="1">IFERROR(__xludf.DUMMYFUNCTION("""COMPUTED_VALUE"""),"Trần Vi")</f>
        <v>Trần Vi</v>
      </c>
      <c r="J2439" s="3" t="str">
        <f ca="1">IFERROR(__xludf.DUMMYFUNCTION("""COMPUTED_VALUE"""),"0328013255")</f>
        <v>0328013255</v>
      </c>
      <c r="K2439" s="2" t="str">
        <f ca="1">IFERROR(__xludf.DUMMYFUNCTION("""COMPUTED_VALUE"""),"1733530965999")</f>
        <v>1733530965999</v>
      </c>
    </row>
    <row r="2440" spans="1:11" ht="12.45">
      <c r="A2440" s="2" t="str">
        <f ca="1">IFERROR(__xludf.DUMMYFUNCTION("""COMPUTED_VALUE"""),"1733531007738")</f>
        <v>1733531007738</v>
      </c>
      <c r="B2440" s="2"/>
      <c r="C2440" s="2" t="str">
        <v>0</v>
      </c>
      <c r="D2440" s="2"/>
      <c r="F2440" s="2" t="str">
        <v>0</v>
      </c>
      <c r="I2440" s="2" t="str">
        <f ca="1">IFERROR(__xludf.DUMMYFUNCTION("""COMPUTED_VALUE"""),"Nguyễn Thị Hương Ly")</f>
        <v>Nguyễn Thị Hương Ly</v>
      </c>
      <c r="J2440" s="3" t="str">
        <f ca="1">IFERROR(__xludf.DUMMYFUNCTION("""COMPUTED_VALUE"""),"0976409381")</f>
        <v>0976409381</v>
      </c>
      <c r="K2440" s="2" t="str">
        <f ca="1">IFERROR(__xludf.DUMMYFUNCTION("""COMPUTED_VALUE"""),"1733531007738")</f>
        <v>1733531007738</v>
      </c>
    </row>
    <row r="2441" spans="1:11" ht="12.45">
      <c r="A2441" s="2" t="str">
        <f ca="1">IFERROR(__xludf.DUMMYFUNCTION("""COMPUTED_VALUE"""),"1733531041738")</f>
        <v>1733531041738</v>
      </c>
      <c r="B2441" s="2"/>
      <c r="C2441" s="2" t="str">
        <v>0</v>
      </c>
      <c r="D2441" s="2"/>
      <c r="F2441" s="2" t="str">
        <v>0</v>
      </c>
      <c r="I2441" s="2" t="str">
        <f ca="1">IFERROR(__xludf.DUMMYFUNCTION("""COMPUTED_VALUE"""),"Đặng Nguyễn Nguyệt Ánh")</f>
        <v>Đặng Nguyễn Nguyệt Ánh</v>
      </c>
      <c r="J2441" s="3" t="str">
        <f ca="1">IFERROR(__xludf.DUMMYFUNCTION("""COMPUTED_VALUE"""),"0908288672")</f>
        <v>0908288672</v>
      </c>
      <c r="K2441" s="2" t="str">
        <f ca="1">IFERROR(__xludf.DUMMYFUNCTION("""COMPUTED_VALUE"""),"1733531041738")</f>
        <v>1733531041738</v>
      </c>
    </row>
    <row r="2442" spans="1:11" ht="12.45">
      <c r="A2442" s="2" t="str">
        <f ca="1">IFERROR(__xludf.DUMMYFUNCTION("""COMPUTED_VALUE"""),"1733531082745")</f>
        <v>1733531082745</v>
      </c>
      <c r="B2442" s="2"/>
      <c r="C2442" s="2" t="str">
        <v>0</v>
      </c>
      <c r="D2442" s="2"/>
      <c r="F2442" s="2" t="str">
        <v>0</v>
      </c>
      <c r="I2442" s="2" t="str">
        <f ca="1">IFERROR(__xludf.DUMMYFUNCTION("""COMPUTED_VALUE"""),"Võ Phước Ninh ")</f>
        <v xml:space="preserve">Võ Phước Ninh </v>
      </c>
      <c r="J2442" s="3" t="str">
        <f ca="1">IFERROR(__xludf.DUMMYFUNCTION("""COMPUTED_VALUE"""),"0372243254")</f>
        <v>0372243254</v>
      </c>
      <c r="K2442" s="2" t="str">
        <f ca="1">IFERROR(__xludf.DUMMYFUNCTION("""COMPUTED_VALUE"""),"1733531082745")</f>
        <v>1733531082745</v>
      </c>
    </row>
    <row r="2443" spans="1:11" ht="12.45">
      <c r="A2443" s="2" t="str">
        <f ca="1">IFERROR(__xludf.DUMMYFUNCTION("""COMPUTED_VALUE"""),"1733531121527")</f>
        <v>1733531121527</v>
      </c>
      <c r="B2443" s="2"/>
      <c r="C2443" s="2" t="str">
        <v>0</v>
      </c>
      <c r="D2443" s="2"/>
      <c r="F2443" s="2" t="str">
        <v>0</v>
      </c>
      <c r="I2443" s="2" t="str">
        <f ca="1">IFERROR(__xludf.DUMMYFUNCTION("""COMPUTED_VALUE"""),"Đoàn Xuân Trọng")</f>
        <v>Đoàn Xuân Trọng</v>
      </c>
      <c r="J2443" s="3" t="str">
        <f ca="1">IFERROR(__xludf.DUMMYFUNCTION("""COMPUTED_VALUE"""),"0775881222")</f>
        <v>0775881222</v>
      </c>
      <c r="K2443" s="2" t="str">
        <f ca="1">IFERROR(__xludf.DUMMYFUNCTION("""COMPUTED_VALUE"""),"1733531121527")</f>
        <v>1733531121527</v>
      </c>
    </row>
    <row r="2444" spans="1:11" ht="12.45">
      <c r="A2444" s="2" t="str">
        <f ca="1">IFERROR(__xludf.DUMMYFUNCTION("""COMPUTED_VALUE"""),"1733531165059")</f>
        <v>1733531165059</v>
      </c>
      <c r="B2444" s="2"/>
      <c r="C2444" s="2" t="str">
        <v>0</v>
      </c>
      <c r="D2444" s="2"/>
      <c r="F2444" s="2" t="str">
        <v>0</v>
      </c>
      <c r="I2444" s="2" t="str">
        <f ca="1">IFERROR(__xludf.DUMMYFUNCTION("""COMPUTED_VALUE"""),"Nguyễn Thảo Ly")</f>
        <v>Nguyễn Thảo Ly</v>
      </c>
      <c r="J2444" s="3" t="str">
        <f ca="1">IFERROR(__xludf.DUMMYFUNCTION("""COMPUTED_VALUE"""),"0984356168")</f>
        <v>0984356168</v>
      </c>
      <c r="K2444" s="2" t="str">
        <f ca="1">IFERROR(__xludf.DUMMYFUNCTION("""COMPUTED_VALUE"""),"1733531165059")</f>
        <v>1733531165059</v>
      </c>
    </row>
    <row r="2445" spans="1:11" ht="12.45">
      <c r="A2445" s="2" t="str">
        <f ca="1">IFERROR(__xludf.DUMMYFUNCTION("""COMPUTED_VALUE"""),"1733531191884")</f>
        <v>1733531191884</v>
      </c>
      <c r="B2445" s="2"/>
      <c r="C2445" s="2" t="str">
        <v>0</v>
      </c>
      <c r="D2445" s="2"/>
      <c r="F2445" s="2" t="str">
        <v>0</v>
      </c>
      <c r="I2445" s="2" t="str">
        <f ca="1">IFERROR(__xludf.DUMMYFUNCTION("""COMPUTED_VALUE"""),"Lê Trương Thanh Phương")</f>
        <v>Lê Trương Thanh Phương</v>
      </c>
      <c r="J2445" s="3" t="str">
        <f ca="1">IFERROR(__xludf.DUMMYFUNCTION("""COMPUTED_VALUE"""),"0787223171")</f>
        <v>0787223171</v>
      </c>
      <c r="K2445" s="2" t="str">
        <f ca="1">IFERROR(__xludf.DUMMYFUNCTION("""COMPUTED_VALUE"""),"1733531191884")</f>
        <v>1733531191884</v>
      </c>
    </row>
    <row r="2446" spans="1:11" ht="12.45">
      <c r="A2446" s="2" t="str">
        <f ca="1">IFERROR(__xludf.DUMMYFUNCTION("""COMPUTED_VALUE"""),"1733531229137")</f>
        <v>1733531229137</v>
      </c>
      <c r="B2446" s="2"/>
      <c r="C2446" s="2" t="str">
        <v>0</v>
      </c>
      <c r="D2446" s="2"/>
      <c r="F2446" s="2" t="str">
        <v>0</v>
      </c>
      <c r="I2446" s="2" t="str">
        <f ca="1">IFERROR(__xludf.DUMMYFUNCTION("""COMPUTED_VALUE"""),"Nguyễn Tấn Dũng")</f>
        <v>Nguyễn Tấn Dũng</v>
      </c>
      <c r="J2446" s="3" t="str">
        <f ca="1">IFERROR(__xludf.DUMMYFUNCTION("""COMPUTED_VALUE"""),"0357236516")</f>
        <v>0357236516</v>
      </c>
      <c r="K2446" s="2" t="str">
        <f ca="1">IFERROR(__xludf.DUMMYFUNCTION("""COMPUTED_VALUE"""),"1733531229137")</f>
        <v>1733531229137</v>
      </c>
    </row>
    <row r="2447" spans="1:11" ht="12.45">
      <c r="A2447" s="2" t="str">
        <f ca="1">IFERROR(__xludf.DUMMYFUNCTION("""COMPUTED_VALUE"""),"1733531264477")</f>
        <v>1733531264477</v>
      </c>
      <c r="B2447" s="2"/>
      <c r="C2447" s="2" t="str">
        <v>0</v>
      </c>
      <c r="D2447" s="2"/>
      <c r="F2447" s="2" t="str">
        <v>0</v>
      </c>
      <c r="I2447" s="2" t="str">
        <f ca="1">IFERROR(__xludf.DUMMYFUNCTION("""COMPUTED_VALUE"""),"Hoàng Khánh Nguyên")</f>
        <v>Hoàng Khánh Nguyên</v>
      </c>
      <c r="J2447" s="3" t="str">
        <f ca="1">IFERROR(__xludf.DUMMYFUNCTION("""COMPUTED_VALUE"""),"0367586830")</f>
        <v>0367586830</v>
      </c>
      <c r="K2447" s="2" t="str">
        <f ca="1">IFERROR(__xludf.DUMMYFUNCTION("""COMPUTED_VALUE"""),"1733531264477")</f>
        <v>1733531264477</v>
      </c>
    </row>
    <row r="2448" spans="1:11" ht="12.45">
      <c r="A2448" s="2" t="str">
        <f ca="1">IFERROR(__xludf.DUMMYFUNCTION("""COMPUTED_VALUE"""),"1733531322978")</f>
        <v>1733531322978</v>
      </c>
      <c r="B2448" s="2"/>
      <c r="C2448" s="2" t="str">
        <v>0</v>
      </c>
      <c r="D2448" s="2"/>
      <c r="F2448" s="2" t="str">
        <v>0</v>
      </c>
      <c r="I2448" s="2" t="str">
        <f ca="1">IFERROR(__xludf.DUMMYFUNCTION("""COMPUTED_VALUE"""),"Trần Hoàng Tâm Trúc")</f>
        <v>Trần Hoàng Tâm Trúc</v>
      </c>
      <c r="J2448" s="3" t="str">
        <f ca="1">IFERROR(__xludf.DUMMYFUNCTION("""COMPUTED_VALUE"""),"0898164033")</f>
        <v>0898164033</v>
      </c>
      <c r="K2448" s="2" t="str">
        <f ca="1">IFERROR(__xludf.DUMMYFUNCTION("""COMPUTED_VALUE"""),"1733531322978")</f>
        <v>1733531322978</v>
      </c>
    </row>
    <row r="2449" spans="1:11" ht="12.45">
      <c r="A2449" s="2" t="str">
        <f ca="1">IFERROR(__xludf.DUMMYFUNCTION("""COMPUTED_VALUE"""),"1733531359297")</f>
        <v>1733531359297</v>
      </c>
      <c r="B2449" s="2"/>
      <c r="C2449" s="2" t="str">
        <v>0</v>
      </c>
      <c r="D2449" s="2"/>
      <c r="F2449" s="2" t="str">
        <v>0</v>
      </c>
      <c r="I2449" s="2" t="str">
        <f ca="1">IFERROR(__xludf.DUMMYFUNCTION("""COMPUTED_VALUE"""),"Vy Hoàng Hải Hồng")</f>
        <v>Vy Hoàng Hải Hồng</v>
      </c>
      <c r="J2449" s="3" t="str">
        <f ca="1">IFERROR(__xludf.DUMMYFUNCTION("""COMPUTED_VALUE"""),"0346230154")</f>
        <v>0346230154</v>
      </c>
      <c r="K2449" s="2" t="str">
        <f ca="1">IFERROR(__xludf.DUMMYFUNCTION("""COMPUTED_VALUE"""),"1733531359297")</f>
        <v>1733531359297</v>
      </c>
    </row>
    <row r="2450" spans="1:11" ht="12.45">
      <c r="A2450" s="2" t="str">
        <f ca="1">IFERROR(__xludf.DUMMYFUNCTION("""COMPUTED_VALUE"""),"1733531406861")</f>
        <v>1733531406861</v>
      </c>
      <c r="B2450" s="2"/>
      <c r="C2450" s="2" t="str">
        <v>0</v>
      </c>
      <c r="D2450" s="2"/>
      <c r="F2450" s="2" t="str">
        <v>0</v>
      </c>
      <c r="I2450" s="2" t="str">
        <f ca="1">IFERROR(__xludf.DUMMYFUNCTION("""COMPUTED_VALUE"""),"NGUYỄN QUỲNH TRANG")</f>
        <v>NGUYỄN QUỲNH TRANG</v>
      </c>
      <c r="J2450" s="3" t="str">
        <f ca="1">IFERROR(__xludf.DUMMYFUNCTION("""COMPUTED_VALUE"""),"0325657487")</f>
        <v>0325657487</v>
      </c>
      <c r="K2450" s="2" t="str">
        <f ca="1">IFERROR(__xludf.DUMMYFUNCTION("""COMPUTED_VALUE"""),"1733531406861")</f>
        <v>1733531406861</v>
      </c>
    </row>
    <row r="2451" spans="1:11" ht="12.45">
      <c r="A2451" s="2" t="str">
        <f ca="1">IFERROR(__xludf.DUMMYFUNCTION("""COMPUTED_VALUE"""),"Không giao sách")</f>
        <v>Không giao sách</v>
      </c>
      <c r="B2451" s="2"/>
      <c r="C2451" s="2" t="str">
        <v>0</v>
      </c>
      <c r="D2451" s="2"/>
      <c r="F2451" s="2" t="str">
        <v>0</v>
      </c>
      <c r="I2451" s="2" t="str">
        <f ca="1">IFERROR(__xludf.DUMMYFUNCTION("""COMPUTED_VALUE"""),"Lò Thị Diệu Anh")</f>
        <v>Lò Thị Diệu Anh</v>
      </c>
      <c r="J2451" s="3" t="str">
        <f ca="1">IFERROR(__xludf.DUMMYFUNCTION("""COMPUTED_VALUE"""),"0866570396")</f>
        <v>0866570396</v>
      </c>
      <c r="K2451" s="2" t="str">
        <f ca="1">IFERROR(__xludf.DUMMYFUNCTION("""COMPUTED_VALUE"""),"Không giao sách")</f>
        <v>Không giao sách</v>
      </c>
    </row>
    <row r="2452" spans="1:11" ht="12.45">
      <c r="A2452" s="2" t="str">
        <f ca="1">IFERROR(__xludf.DUMMYFUNCTION("""COMPUTED_VALUE"""),"1759203053843")</f>
        <v>1759203053843</v>
      </c>
      <c r="B2452" s="2"/>
      <c r="C2452" s="2" t="str">
        <v>0</v>
      </c>
      <c r="D2452" s="2"/>
      <c r="F2452" s="2" t="str">
        <v>0</v>
      </c>
      <c r="I2452" s="2" t="str">
        <f ca="1">IFERROR(__xludf.DUMMYFUNCTION("""COMPUTED_VALUE"""),"NINH THỊ NGỌC HIẾU")</f>
        <v>NINH THỊ NGỌC HIẾU</v>
      </c>
      <c r="J2452" s="3" t="str">
        <f ca="1">IFERROR(__xludf.DUMMYFUNCTION("""COMPUTED_VALUE"""),"0344300365")</f>
        <v>0344300365</v>
      </c>
      <c r="K2452" s="2" t="str">
        <f ca="1">IFERROR(__xludf.DUMMYFUNCTION("""COMPUTED_VALUE"""),"1759203053843")</f>
        <v>1759203053843</v>
      </c>
    </row>
    <row r="2453" spans="1:11" ht="12.45">
      <c r="A2453" s="2" t="str">
        <f ca="1">IFERROR(__xludf.DUMMYFUNCTION("""COMPUTED_VALUE"""),"1733531449060")</f>
        <v>1733531449060</v>
      </c>
      <c r="B2453" s="2"/>
      <c r="C2453" s="2" t="str">
        <v>0</v>
      </c>
      <c r="D2453" s="2"/>
      <c r="F2453" s="2" t="str">
        <v>0</v>
      </c>
      <c r="I2453" s="2" t="str">
        <f ca="1">IFERROR(__xludf.DUMMYFUNCTION("""COMPUTED_VALUE"""),"Trịnh Thị Trà My ")</f>
        <v xml:space="preserve">Trịnh Thị Trà My </v>
      </c>
      <c r="J2453" s="3" t="str">
        <f ca="1">IFERROR(__xludf.DUMMYFUNCTION("""COMPUTED_VALUE"""),"0816267565")</f>
        <v>0816267565</v>
      </c>
      <c r="K2453" s="2" t="str">
        <f ca="1">IFERROR(__xludf.DUMMYFUNCTION("""COMPUTED_VALUE"""),"1733531449060")</f>
        <v>1733531449060</v>
      </c>
    </row>
    <row r="2454" spans="1:11" ht="12.45">
      <c r="A2454" s="2" t="str">
        <f ca="1">IFERROR(__xludf.DUMMYFUNCTION("""COMPUTED_VALUE"""),"1733531479553")</f>
        <v>1733531479553</v>
      </c>
      <c r="B2454" s="2"/>
      <c r="C2454" s="2" t="str">
        <v>0</v>
      </c>
      <c r="D2454" s="2"/>
      <c r="F2454" s="2" t="str">
        <v>0</v>
      </c>
      <c r="I2454" s="2" t="str">
        <f ca="1">IFERROR(__xludf.DUMMYFUNCTION("""COMPUTED_VALUE"""),"Nguyễn Thanh Thy")</f>
        <v>Nguyễn Thanh Thy</v>
      </c>
      <c r="J2454" s="3" t="str">
        <f ca="1">IFERROR(__xludf.DUMMYFUNCTION("""COMPUTED_VALUE"""),"0846199433")</f>
        <v>0846199433</v>
      </c>
      <c r="K2454" s="2" t="str">
        <f ca="1">IFERROR(__xludf.DUMMYFUNCTION("""COMPUTED_VALUE"""),"1733531479553")</f>
        <v>1733531479553</v>
      </c>
    </row>
    <row r="2455" spans="1:11" ht="12.45">
      <c r="A2455" s="2" t="str">
        <f ca="1">IFERROR(__xludf.DUMMYFUNCTION("""COMPUTED_VALUE"""),"1733531526452")</f>
        <v>1733531526452</v>
      </c>
      <c r="B2455" s="2"/>
      <c r="C2455" s="2" t="str">
        <v>0</v>
      </c>
      <c r="D2455" s="2"/>
      <c r="F2455" s="2" t="str">
        <v>0</v>
      </c>
      <c r="I2455" s="2" t="str">
        <f ca="1">IFERROR(__xludf.DUMMYFUNCTION("""COMPUTED_VALUE"""),"Hoàng Trần Minh Trí")</f>
        <v>Hoàng Trần Minh Trí</v>
      </c>
      <c r="J2455" s="3" t="str">
        <f ca="1">IFERROR(__xludf.DUMMYFUNCTION("""COMPUTED_VALUE"""),"0903966925")</f>
        <v>0903966925</v>
      </c>
      <c r="K2455" s="2" t="str">
        <f ca="1">IFERROR(__xludf.DUMMYFUNCTION("""COMPUTED_VALUE"""),"1733531526452")</f>
        <v>1733531526452</v>
      </c>
    </row>
    <row r="2456" spans="1:11" ht="12.45">
      <c r="A2456" s="2" t="str">
        <f ca="1">IFERROR(__xludf.DUMMYFUNCTION("""COMPUTED_VALUE"""),"1733531569759")</f>
        <v>1733531569759</v>
      </c>
      <c r="B2456" s="2"/>
      <c r="C2456" s="2" t="str">
        <v>0</v>
      </c>
      <c r="D2456" s="2"/>
      <c r="F2456" s="2" t="str">
        <v>0</v>
      </c>
      <c r="I2456" s="2" t="str">
        <f ca="1">IFERROR(__xludf.DUMMYFUNCTION("""COMPUTED_VALUE"""),"Nguyễn Tăng Khôi")</f>
        <v>Nguyễn Tăng Khôi</v>
      </c>
      <c r="J2456" s="3" t="str">
        <f ca="1">IFERROR(__xludf.DUMMYFUNCTION("""COMPUTED_VALUE"""),"0369877847")</f>
        <v>0369877847</v>
      </c>
      <c r="K2456" s="2" t="str">
        <f ca="1">IFERROR(__xludf.DUMMYFUNCTION("""COMPUTED_VALUE"""),"1733531569759")</f>
        <v>1733531569759</v>
      </c>
    </row>
    <row r="2457" spans="1:11" ht="12.45">
      <c r="A2457" s="2" t="str">
        <f ca="1">IFERROR(__xludf.DUMMYFUNCTION("""COMPUTED_VALUE"""),"1733531598342")</f>
        <v>1733531598342</v>
      </c>
      <c r="B2457" s="2"/>
      <c r="C2457" s="2" t="str">
        <v>0</v>
      </c>
      <c r="D2457" s="2"/>
      <c r="F2457" s="2" t="str">
        <v>0</v>
      </c>
      <c r="I2457" s="2" t="str">
        <f ca="1">IFERROR(__xludf.DUMMYFUNCTION("""COMPUTED_VALUE"""),"Hoàng Dương Thu Huệ ")</f>
        <v xml:space="preserve">Hoàng Dương Thu Huệ </v>
      </c>
      <c r="J2457" s="3" t="str">
        <f ca="1">IFERROR(__xludf.DUMMYFUNCTION("""COMPUTED_VALUE"""),"0372902261")</f>
        <v>0372902261</v>
      </c>
      <c r="K2457" s="2" t="str">
        <f ca="1">IFERROR(__xludf.DUMMYFUNCTION("""COMPUTED_VALUE"""),"1733531598342")</f>
        <v>1733531598342</v>
      </c>
    </row>
    <row r="2458" spans="1:11" ht="12.45">
      <c r="A2458" s="2" t="str">
        <f ca="1">IFERROR(__xludf.DUMMYFUNCTION("""COMPUTED_VALUE"""),"1733531631124")</f>
        <v>1733531631124</v>
      </c>
      <c r="B2458" s="2"/>
      <c r="C2458" s="2" t="str">
        <v>0</v>
      </c>
      <c r="D2458" s="2"/>
      <c r="F2458" s="2" t="str">
        <v>0</v>
      </c>
      <c r="I2458" s="2" t="str">
        <f ca="1">IFERROR(__xludf.DUMMYFUNCTION("""COMPUTED_VALUE"""),"Huỳnh Huệ Mẫn")</f>
        <v>Huỳnh Huệ Mẫn</v>
      </c>
      <c r="J2458" s="3" t="str">
        <f ca="1">IFERROR(__xludf.DUMMYFUNCTION("""COMPUTED_VALUE"""),"0906986217")</f>
        <v>0906986217</v>
      </c>
      <c r="K2458" s="2" t="str">
        <f ca="1">IFERROR(__xludf.DUMMYFUNCTION("""COMPUTED_VALUE"""),"1733531631124")</f>
        <v>1733531631124</v>
      </c>
    </row>
    <row r="2459" spans="1:11" ht="12.45">
      <c r="A2459" s="2" t="str">
        <f ca="1">IFERROR(__xludf.DUMMYFUNCTION("""COMPUTED_VALUE"""),"1733531666066")</f>
        <v>1733531666066</v>
      </c>
      <c r="B2459" s="2"/>
      <c r="C2459" s="2" t="str">
        <v>0</v>
      </c>
      <c r="D2459" s="2"/>
      <c r="F2459" s="2" t="str">
        <v>0</v>
      </c>
      <c r="I2459" s="2" t="str">
        <f ca="1">IFERROR(__xludf.DUMMYFUNCTION("""COMPUTED_VALUE"""),"Ngô Yến Nhi")</f>
        <v>Ngô Yến Nhi</v>
      </c>
      <c r="J2459" s="3" t="str">
        <f ca="1">IFERROR(__xludf.DUMMYFUNCTION("""COMPUTED_VALUE"""),"0898914270")</f>
        <v>0898914270</v>
      </c>
      <c r="K2459" s="2" t="str">
        <f ca="1">IFERROR(__xludf.DUMMYFUNCTION("""COMPUTED_VALUE"""),"1733531666066")</f>
        <v>1733531666066</v>
      </c>
    </row>
    <row r="2460" spans="1:11" ht="12.45">
      <c r="A2460" s="2" t="str">
        <f ca="1">IFERROR(__xludf.DUMMYFUNCTION("""COMPUTED_VALUE"""),"1733531697901")</f>
        <v>1733531697901</v>
      </c>
      <c r="B2460" s="2"/>
      <c r="C2460" s="2" t="str">
        <v>0</v>
      </c>
      <c r="D2460" s="2"/>
      <c r="F2460" s="2" t="str">
        <v>0</v>
      </c>
      <c r="I2460" s="2" t="str">
        <f ca="1">IFERROR(__xludf.DUMMYFUNCTION("""COMPUTED_VALUE"""),"Trần Ngọc Phương Uyên")</f>
        <v>Trần Ngọc Phương Uyên</v>
      </c>
      <c r="J2460" s="3" t="str">
        <f ca="1">IFERROR(__xludf.DUMMYFUNCTION("""COMPUTED_VALUE"""),"0766942266")</f>
        <v>0766942266</v>
      </c>
      <c r="K2460" s="2" t="str">
        <f ca="1">IFERROR(__xludf.DUMMYFUNCTION("""COMPUTED_VALUE"""),"1733531697901")</f>
        <v>1733531697901</v>
      </c>
    </row>
    <row r="2461" spans="1:11" ht="12.45">
      <c r="A2461" s="2" t="str">
        <f ca="1">IFERROR(__xludf.DUMMYFUNCTION("""COMPUTED_VALUE"""),"1733531735115")</f>
        <v>1733531735115</v>
      </c>
      <c r="B2461" s="2"/>
      <c r="C2461" s="2" t="str">
        <v>0</v>
      </c>
      <c r="D2461" s="2"/>
      <c r="F2461" s="2" t="str">
        <v>0</v>
      </c>
      <c r="I2461" s="2" t="str">
        <f ca="1">IFERROR(__xludf.DUMMYFUNCTION("""COMPUTED_VALUE"""),"Phí Xuân Trung ")</f>
        <v xml:space="preserve">Phí Xuân Trung </v>
      </c>
      <c r="J2461" s="3" t="str">
        <f ca="1">IFERROR(__xludf.DUMMYFUNCTION("""COMPUTED_VALUE"""),"0398057719")</f>
        <v>0398057719</v>
      </c>
      <c r="K2461" s="2" t="str">
        <f ca="1">IFERROR(__xludf.DUMMYFUNCTION("""COMPUTED_VALUE"""),"1733531735115")</f>
        <v>1733531735115</v>
      </c>
    </row>
    <row r="2462" spans="1:11" ht="12.45">
      <c r="A2462" s="2" t="str">
        <f ca="1">IFERROR(__xludf.DUMMYFUNCTION("""COMPUTED_VALUE"""),"1733531768504")</f>
        <v>1733531768504</v>
      </c>
      <c r="B2462" s="2"/>
      <c r="C2462" s="2" t="str">
        <v>0</v>
      </c>
      <c r="D2462" s="2"/>
      <c r="F2462" s="2" t="str">
        <v>0</v>
      </c>
      <c r="I2462" s="2" t="str">
        <f ca="1">IFERROR(__xludf.DUMMYFUNCTION("""COMPUTED_VALUE"""),"Trần Thị Thuỳ Dương")</f>
        <v>Trần Thị Thuỳ Dương</v>
      </c>
      <c r="J2462" s="3" t="str">
        <f ca="1">IFERROR(__xludf.DUMMYFUNCTION("""COMPUTED_VALUE"""),"0867873372")</f>
        <v>0867873372</v>
      </c>
      <c r="K2462" s="2" t="str">
        <f ca="1">IFERROR(__xludf.DUMMYFUNCTION("""COMPUTED_VALUE"""),"1733531768504")</f>
        <v>1733531768504</v>
      </c>
    </row>
    <row r="2463" spans="1:11" ht="12.45">
      <c r="A2463" s="2" t="str">
        <f ca="1">IFERROR(__xludf.DUMMYFUNCTION("""COMPUTED_VALUE"""),"1733531814920")</f>
        <v>1733531814920</v>
      </c>
      <c r="B2463" s="2"/>
      <c r="C2463" s="2" t="str">
        <v>0</v>
      </c>
      <c r="D2463" s="2"/>
      <c r="F2463" s="2" t="str">
        <v>0</v>
      </c>
      <c r="I2463" s="2" t="str">
        <f ca="1">IFERROR(__xludf.DUMMYFUNCTION("""COMPUTED_VALUE"""),"La Phúc Tâm Như")</f>
        <v>La Phúc Tâm Như</v>
      </c>
      <c r="J2463" s="3" t="str">
        <f ca="1">IFERROR(__xludf.DUMMYFUNCTION("""COMPUTED_VALUE"""),"0816404800")</f>
        <v>0816404800</v>
      </c>
      <c r="K2463" s="2" t="str">
        <f ca="1">IFERROR(__xludf.DUMMYFUNCTION("""COMPUTED_VALUE"""),"1733531814920")</f>
        <v>1733531814920</v>
      </c>
    </row>
    <row r="2464" spans="1:11" ht="12.45">
      <c r="A2464" s="2" t="str">
        <f ca="1">IFERROR(__xludf.DUMMYFUNCTION("""COMPUTED_VALUE"""),"1733531852846")</f>
        <v>1733531852846</v>
      </c>
      <c r="B2464" s="2"/>
      <c r="C2464" s="2" t="str">
        <v>0</v>
      </c>
      <c r="D2464" s="2"/>
      <c r="F2464" s="2" t="str">
        <v>0</v>
      </c>
      <c r="I2464" s="2" t="str">
        <f ca="1">IFERROR(__xludf.DUMMYFUNCTION("""COMPUTED_VALUE"""),"Trần Thị Như Hòa")</f>
        <v>Trần Thị Như Hòa</v>
      </c>
      <c r="J2464" s="3" t="str">
        <f ca="1">IFERROR(__xludf.DUMMYFUNCTION("""COMPUTED_VALUE"""),"0363610267")</f>
        <v>0363610267</v>
      </c>
      <c r="K2464" s="2" t="str">
        <f ca="1">IFERROR(__xludf.DUMMYFUNCTION("""COMPUTED_VALUE"""),"1733531852846")</f>
        <v>1733531852846</v>
      </c>
    </row>
    <row r="2465" spans="1:11" ht="12.45">
      <c r="A2465" s="2" t="str">
        <f ca="1">IFERROR(__xludf.DUMMYFUNCTION("""COMPUTED_VALUE"""),"1733531881823")</f>
        <v>1733531881823</v>
      </c>
      <c r="B2465" s="2"/>
      <c r="C2465" s="2" t="str">
        <v>0</v>
      </c>
      <c r="D2465" s="2"/>
      <c r="F2465" s="2" t="str">
        <v>0</v>
      </c>
      <c r="I2465" s="2" t="str">
        <f ca="1">IFERROR(__xludf.DUMMYFUNCTION("""COMPUTED_VALUE"""),"NGUYỄN HỒNG MAI A")</f>
        <v>NGUYỄN HỒNG MAI A</v>
      </c>
      <c r="J2465" s="3" t="str">
        <f ca="1">IFERROR(__xludf.DUMMYFUNCTION("""COMPUTED_VALUE"""),"0962296118")</f>
        <v>0962296118</v>
      </c>
      <c r="K2465" s="2" t="str">
        <f ca="1">IFERROR(__xludf.DUMMYFUNCTION("""COMPUTED_VALUE"""),"1733531881823")</f>
        <v>1733531881823</v>
      </c>
    </row>
    <row r="2466" spans="1:11" ht="12.45">
      <c r="A2466" s="2" t="str">
        <f ca="1">IFERROR(__xludf.DUMMYFUNCTION("""COMPUTED_VALUE"""),"1733531927470")</f>
        <v>1733531927470</v>
      </c>
      <c r="B2466" s="2"/>
      <c r="C2466" s="2" t="str">
        <v>0</v>
      </c>
      <c r="D2466" s="2"/>
      <c r="F2466" s="2" t="str">
        <v>0</v>
      </c>
      <c r="I2466" s="2" t="str">
        <f ca="1">IFERROR(__xludf.DUMMYFUNCTION("""COMPUTED_VALUE"""),"Nguyễn Thị Vân Anh")</f>
        <v>Nguyễn Thị Vân Anh</v>
      </c>
      <c r="J2466" s="3" t="str">
        <f ca="1">IFERROR(__xludf.DUMMYFUNCTION("""COMPUTED_VALUE"""),"0384944228")</f>
        <v>0384944228</v>
      </c>
      <c r="K2466" s="2" t="str">
        <f ca="1">IFERROR(__xludf.DUMMYFUNCTION("""COMPUTED_VALUE"""),"1733531927470")</f>
        <v>1733531927470</v>
      </c>
    </row>
    <row r="2467" spans="1:11" ht="12.45">
      <c r="A2467" s="2" t="str">
        <f ca="1">IFERROR(__xludf.DUMMYFUNCTION("""COMPUTED_VALUE"""),"1733531966821")</f>
        <v>1733531966821</v>
      </c>
      <c r="B2467" s="2"/>
      <c r="C2467" s="2" t="str">
        <v>0</v>
      </c>
      <c r="D2467" s="2"/>
      <c r="F2467" s="2" t="str">
        <v>0</v>
      </c>
      <c r="I2467" s="2" t="str">
        <f ca="1">IFERROR(__xludf.DUMMYFUNCTION("""COMPUTED_VALUE"""),"Nguyễn Thị Ánh Dương ")</f>
        <v xml:space="preserve">Nguyễn Thị Ánh Dương </v>
      </c>
      <c r="J2467" s="3" t="str">
        <f ca="1">IFERROR(__xludf.DUMMYFUNCTION("""COMPUTED_VALUE"""),"0898886041")</f>
        <v>0898886041</v>
      </c>
      <c r="K2467" s="2" t="str">
        <f ca="1">IFERROR(__xludf.DUMMYFUNCTION("""COMPUTED_VALUE"""),"1733531966821")</f>
        <v>1733531966821</v>
      </c>
    </row>
    <row r="2468" spans="1:11" ht="12.45">
      <c r="A2468" s="2" t="str">
        <f ca="1">IFERROR(__xludf.DUMMYFUNCTION("""COMPUTED_VALUE"""),"1733531998912")</f>
        <v>1733531998912</v>
      </c>
      <c r="B2468" s="2"/>
      <c r="C2468" s="2" t="str">
        <v>0</v>
      </c>
      <c r="D2468" s="2"/>
      <c r="F2468" s="2" t="str">
        <v>0</v>
      </c>
      <c r="I2468" s="2" t="str">
        <f ca="1">IFERROR(__xludf.DUMMYFUNCTION("""COMPUTED_VALUE"""),"Trần Hà Linh")</f>
        <v>Trần Hà Linh</v>
      </c>
      <c r="J2468" s="3" t="str">
        <f ca="1">IFERROR(__xludf.DUMMYFUNCTION("""COMPUTED_VALUE"""),"0587595346")</f>
        <v>0587595346</v>
      </c>
      <c r="K2468" s="2" t="str">
        <f ca="1">IFERROR(__xludf.DUMMYFUNCTION("""COMPUTED_VALUE"""),"1733531998912")</f>
        <v>1733531998912</v>
      </c>
    </row>
    <row r="2469" spans="1:11" ht="12.45">
      <c r="A2469" s="2" t="str">
        <f ca="1">IFERROR(__xludf.DUMMYFUNCTION("""COMPUTED_VALUE"""),"1733532034807")</f>
        <v>1733532034807</v>
      </c>
      <c r="B2469" s="2"/>
      <c r="C2469" s="2" t="str">
        <v>0</v>
      </c>
      <c r="D2469" s="2"/>
      <c r="F2469" s="2" t="str">
        <v>0</v>
      </c>
      <c r="I2469" s="2" t="str">
        <f ca="1">IFERROR(__xludf.DUMMYFUNCTION("""COMPUTED_VALUE"""),"Lê thị ngọc châm ")</f>
        <v xml:space="preserve">Lê thị ngọc châm </v>
      </c>
      <c r="J2469" s="2" t="str">
        <f ca="1">IFERROR(__xludf.DUMMYFUNCTION("""COMPUTED_VALUE"""),"08435310928")</f>
        <v>08435310928</v>
      </c>
      <c r="K2469" s="2" t="str">
        <f ca="1">IFERROR(__xludf.DUMMYFUNCTION("""COMPUTED_VALUE"""),"1733532034807")</f>
        <v>1733532034807</v>
      </c>
    </row>
    <row r="2470" spans="1:11" ht="12.45">
      <c r="A2470" s="2" t="str">
        <f ca="1">IFERROR(__xludf.DUMMYFUNCTION("""COMPUTED_VALUE"""),"1733532066507")</f>
        <v>1733532066507</v>
      </c>
      <c r="B2470" s="2"/>
      <c r="C2470" s="2" t="str">
        <v>0</v>
      </c>
      <c r="D2470" s="2"/>
      <c r="F2470" s="2" t="str">
        <v>0</v>
      </c>
      <c r="I2470" s="2" t="str">
        <f ca="1">IFERROR(__xludf.DUMMYFUNCTION("""COMPUTED_VALUE"""),"Cấn Thị Chúc Anh ")</f>
        <v xml:space="preserve">Cấn Thị Chúc Anh </v>
      </c>
      <c r="J2470" s="3" t="str">
        <f ca="1">IFERROR(__xludf.DUMMYFUNCTION("""COMPUTED_VALUE"""),"0328659182")</f>
        <v>0328659182</v>
      </c>
      <c r="K2470" s="2" t="str">
        <f ca="1">IFERROR(__xludf.DUMMYFUNCTION("""COMPUTED_VALUE"""),"1733532066507")</f>
        <v>1733532066507</v>
      </c>
    </row>
    <row r="2471" spans="1:11" ht="12.45">
      <c r="A2471" s="2" t="str">
        <f ca="1">IFERROR(__xludf.DUMMYFUNCTION("""COMPUTED_VALUE"""),"1733532100341")</f>
        <v>1733532100341</v>
      </c>
      <c r="B2471" s="2"/>
      <c r="C2471" s="2" t="str">
        <v>0</v>
      </c>
      <c r="D2471" s="2"/>
      <c r="F2471" s="2" t="str">
        <v>0</v>
      </c>
      <c r="I2471" s="2" t="str">
        <f ca="1">IFERROR(__xludf.DUMMYFUNCTION("""COMPUTED_VALUE"""),"Trần Thảo Vy")</f>
        <v>Trần Thảo Vy</v>
      </c>
      <c r="J2471" s="3" t="str">
        <f ca="1">IFERROR(__xludf.DUMMYFUNCTION("""COMPUTED_VALUE"""),"0987635708")</f>
        <v>0987635708</v>
      </c>
      <c r="K2471" s="2" t="str">
        <f ca="1">IFERROR(__xludf.DUMMYFUNCTION("""COMPUTED_VALUE"""),"1733532100341")</f>
        <v>1733532100341</v>
      </c>
    </row>
    <row r="2472" spans="1:11" ht="12.45">
      <c r="A2472" s="2" t="str">
        <f ca="1">IFERROR(__xludf.DUMMYFUNCTION("""COMPUTED_VALUE"""),"1733532148142")</f>
        <v>1733532148142</v>
      </c>
      <c r="B2472" s="2"/>
      <c r="C2472" s="2" t="str">
        <v>0</v>
      </c>
      <c r="D2472" s="2"/>
      <c r="F2472" s="2" t="str">
        <v>0</v>
      </c>
      <c r="I2472" s="2" t="str">
        <f ca="1">IFERROR(__xludf.DUMMYFUNCTION("""COMPUTED_VALUE"""),"VŨ UYÊN NHI")</f>
        <v>VŨ UYÊN NHI</v>
      </c>
      <c r="J2472" s="3" t="str">
        <f ca="1">IFERROR(__xludf.DUMMYFUNCTION("""COMPUTED_VALUE"""),"0966035738")</f>
        <v>0966035738</v>
      </c>
      <c r="K2472" s="2" t="str">
        <f ca="1">IFERROR(__xludf.DUMMYFUNCTION("""COMPUTED_VALUE"""),"1733532148142")</f>
        <v>1733532148142</v>
      </c>
    </row>
    <row r="2473" spans="1:11" ht="12.45">
      <c r="A2473" s="2" t="str">
        <f ca="1">IFERROR(__xludf.DUMMYFUNCTION("""COMPUTED_VALUE"""),"1733532184072")</f>
        <v>1733532184072</v>
      </c>
      <c r="B2473" s="2"/>
      <c r="C2473" s="2" t="str">
        <v>0</v>
      </c>
      <c r="D2473" s="2"/>
      <c r="F2473" s="2" t="str">
        <v>0</v>
      </c>
      <c r="I2473" s="2" t="str">
        <f ca="1">IFERROR(__xludf.DUMMYFUNCTION("""COMPUTED_VALUE"""),"Hoàng Như Mai")</f>
        <v>Hoàng Như Mai</v>
      </c>
      <c r="J2473" s="3" t="str">
        <f ca="1">IFERROR(__xludf.DUMMYFUNCTION("""COMPUTED_VALUE"""),"0862116807")</f>
        <v>0862116807</v>
      </c>
      <c r="K2473" s="2" t="str">
        <f ca="1">IFERROR(__xludf.DUMMYFUNCTION("""COMPUTED_VALUE"""),"1733532184072")</f>
        <v>1733532184072</v>
      </c>
    </row>
    <row r="2474" spans="1:11" ht="12.45">
      <c r="A2474" s="2" t="str">
        <f ca="1">IFERROR(__xludf.DUMMYFUNCTION("""COMPUTED_VALUE"""),"1734193893961")</f>
        <v>1734193893961</v>
      </c>
      <c r="B2474" s="2"/>
      <c r="C2474" s="2" t="str">
        <v>0</v>
      </c>
      <c r="D2474" s="2"/>
      <c r="F2474" s="2" t="str">
        <v>0</v>
      </c>
      <c r="I2474" s="2" t="str">
        <f ca="1">IFERROR(__xludf.DUMMYFUNCTION("""COMPUTED_VALUE"""),"Phạm Lê Duyên")</f>
        <v>Phạm Lê Duyên</v>
      </c>
      <c r="J2474" s="3" t="str">
        <f ca="1">IFERROR(__xludf.DUMMYFUNCTION("""COMPUTED_VALUE"""),"0333565758")</f>
        <v>0333565758</v>
      </c>
      <c r="K2474" s="2" t="str">
        <f ca="1">IFERROR(__xludf.DUMMYFUNCTION("""COMPUTED_VALUE"""),"1734193893961")</f>
        <v>1734193893961</v>
      </c>
    </row>
    <row r="2475" spans="1:11" ht="12.45">
      <c r="A2475" s="2" t="str">
        <f ca="1">IFERROR(__xludf.DUMMYFUNCTION("""COMPUTED_VALUE"""),"1734194068832")</f>
        <v>1734194068832</v>
      </c>
      <c r="B2475" s="2"/>
      <c r="C2475" s="2" t="str">
        <v>0</v>
      </c>
      <c r="D2475" s="2"/>
      <c r="F2475" s="2" t="str">
        <v>0</v>
      </c>
      <c r="I2475" s="2" t="str">
        <f ca="1">IFERROR(__xludf.DUMMYFUNCTION("""COMPUTED_VALUE"""),"Lê Như Ý Na ")</f>
        <v xml:space="preserve">Lê Như Ý Na </v>
      </c>
      <c r="J2475" s="3" t="str">
        <f ca="1">IFERROR(__xludf.DUMMYFUNCTION("""COMPUTED_VALUE"""),"0816606399")</f>
        <v>0816606399</v>
      </c>
      <c r="K2475" s="2" t="str">
        <f ca="1">IFERROR(__xludf.DUMMYFUNCTION("""COMPUTED_VALUE"""),"1734194068832")</f>
        <v>1734194068832</v>
      </c>
    </row>
    <row r="2476" spans="1:11" ht="12.45">
      <c r="A2476" s="2" t="str">
        <f ca="1">IFERROR(__xludf.DUMMYFUNCTION("""COMPUTED_VALUE"""),"1734194174823")</f>
        <v>1734194174823</v>
      </c>
      <c r="B2476" s="2"/>
      <c r="C2476" s="2" t="str">
        <v>0</v>
      </c>
      <c r="D2476" s="2"/>
      <c r="F2476" s="2" t="str">
        <v>0</v>
      </c>
      <c r="I2476" s="2" t="str">
        <f ca="1">IFERROR(__xludf.DUMMYFUNCTION("""COMPUTED_VALUE"""),"Hồ Anh Thư")</f>
        <v>Hồ Anh Thư</v>
      </c>
      <c r="J2476" s="3" t="str">
        <f ca="1">IFERROR(__xludf.DUMMYFUNCTION("""COMPUTED_VALUE"""),"0818921311")</f>
        <v>0818921311</v>
      </c>
      <c r="K2476" s="2" t="str">
        <f ca="1">IFERROR(__xludf.DUMMYFUNCTION("""COMPUTED_VALUE"""),"1734194174823")</f>
        <v>1734194174823</v>
      </c>
    </row>
    <row r="2477" spans="1:11" ht="12.45">
      <c r="A2477" s="2" t="str">
        <f ca="1">IFERROR(__xludf.DUMMYFUNCTION("""COMPUTED_VALUE"""),"1734194321635")</f>
        <v>1734194321635</v>
      </c>
      <c r="B2477" s="2"/>
      <c r="C2477" s="2" t="str">
        <v>0</v>
      </c>
      <c r="D2477" s="2"/>
      <c r="F2477" s="2" t="str">
        <v>0</v>
      </c>
      <c r="I2477" s="2" t="str">
        <f ca="1">IFERROR(__xludf.DUMMYFUNCTION("""COMPUTED_VALUE"""),"Bùi Thu Hương")</f>
        <v>Bùi Thu Hương</v>
      </c>
      <c r="J2477" s="3" t="str">
        <f ca="1">IFERROR(__xludf.DUMMYFUNCTION("""COMPUTED_VALUE"""),"0918058399")</f>
        <v>0918058399</v>
      </c>
      <c r="K2477" s="2" t="str">
        <f ca="1">IFERROR(__xludf.DUMMYFUNCTION("""COMPUTED_VALUE"""),"1734194321635")</f>
        <v>1734194321635</v>
      </c>
    </row>
    <row r="2478" spans="1:11" ht="12.45">
      <c r="A2478" s="2" t="str">
        <f ca="1">IFERROR(__xludf.DUMMYFUNCTION("""COMPUTED_VALUE"""),"1734194459880")</f>
        <v>1734194459880</v>
      </c>
      <c r="B2478" s="2"/>
      <c r="C2478" s="2" t="str">
        <v>0</v>
      </c>
      <c r="D2478" s="2"/>
      <c r="F2478" s="2" t="str">
        <v>0</v>
      </c>
      <c r="I2478" s="2" t="str">
        <f ca="1">IFERROR(__xludf.DUMMYFUNCTION("""COMPUTED_VALUE"""),"DANH NGỌC NHƯ QUỲNH")</f>
        <v>DANH NGỌC NHƯ QUỲNH</v>
      </c>
      <c r="J2478" s="3" t="str">
        <f ca="1">IFERROR(__xludf.DUMMYFUNCTION("""COMPUTED_VALUE"""),"0849216009")</f>
        <v>0849216009</v>
      </c>
      <c r="K2478" s="2" t="str">
        <f ca="1">IFERROR(__xludf.DUMMYFUNCTION("""COMPUTED_VALUE"""),"1734194459880")</f>
        <v>1734194459880</v>
      </c>
    </row>
    <row r="2479" spans="1:11" ht="12.45">
      <c r="A2479" s="2" t="str">
        <f ca="1">IFERROR(__xludf.DUMMYFUNCTION("""COMPUTED_VALUE"""),"1734194573966")</f>
        <v>1734194573966</v>
      </c>
      <c r="B2479" s="2"/>
      <c r="C2479" s="2" t="str">
        <v>0</v>
      </c>
      <c r="D2479" s="2"/>
      <c r="F2479" s="2" t="str">
        <v>0</v>
      </c>
      <c r="I2479" s="2" t="str">
        <f ca="1">IFERROR(__xludf.DUMMYFUNCTION("""COMPUTED_VALUE"""),"Lê Minh Nguyệt ")</f>
        <v xml:space="preserve">Lê Minh Nguyệt </v>
      </c>
      <c r="J2479" s="3" t="str">
        <f ca="1">IFERROR(__xludf.DUMMYFUNCTION("""COMPUTED_VALUE"""),"0963299026")</f>
        <v>0963299026</v>
      </c>
      <c r="K2479" s="2" t="str">
        <f ca="1">IFERROR(__xludf.DUMMYFUNCTION("""COMPUTED_VALUE"""),"1734194573966")</f>
        <v>1734194573966</v>
      </c>
    </row>
    <row r="2480" spans="1:11" ht="12.45">
      <c r="A2480" s="2" t="str">
        <f ca="1">IFERROR(__xludf.DUMMYFUNCTION("""COMPUTED_VALUE"""),"1734194693732")</f>
        <v>1734194693732</v>
      </c>
      <c r="B2480" s="2"/>
      <c r="C2480" s="2" t="str">
        <v>0</v>
      </c>
      <c r="D2480" s="2"/>
      <c r="F2480" s="2" t="str">
        <v>0</v>
      </c>
      <c r="I2480" s="2" t="str">
        <f ca="1">IFERROR(__xludf.DUMMYFUNCTION("""COMPUTED_VALUE"""),"Nguyễn Thị Ngọc Anh ")</f>
        <v xml:space="preserve">Nguyễn Thị Ngọc Anh </v>
      </c>
      <c r="J2480" s="3" t="str">
        <f ca="1">IFERROR(__xludf.DUMMYFUNCTION("""COMPUTED_VALUE"""),"0948592114")</f>
        <v>0948592114</v>
      </c>
      <c r="K2480" s="2" t="str">
        <f ca="1">IFERROR(__xludf.DUMMYFUNCTION("""COMPUTED_VALUE"""),"1734194693732")</f>
        <v>1734194693732</v>
      </c>
    </row>
    <row r="2481" spans="1:11" ht="12.45">
      <c r="A2481" s="2" t="str">
        <f ca="1">IFERROR(__xludf.DUMMYFUNCTION("""COMPUTED_VALUE"""),"1734194824700")</f>
        <v>1734194824700</v>
      </c>
      <c r="B2481" s="2"/>
      <c r="C2481" s="2" t="str">
        <v>0</v>
      </c>
      <c r="D2481" s="2"/>
      <c r="F2481" s="2" t="str">
        <v>0</v>
      </c>
      <c r="I2481" s="2" t="str">
        <f ca="1">IFERROR(__xludf.DUMMYFUNCTION("""COMPUTED_VALUE"""),"Phan Thị Thu Huyền")</f>
        <v>Phan Thị Thu Huyền</v>
      </c>
      <c r="J2481" s="3" t="str">
        <f ca="1">IFERROR(__xludf.DUMMYFUNCTION("""COMPUTED_VALUE"""),"0388780513")</f>
        <v>0388780513</v>
      </c>
      <c r="K2481" s="2" t="str">
        <f ca="1">IFERROR(__xludf.DUMMYFUNCTION("""COMPUTED_VALUE"""),"1734194824700")</f>
        <v>1734194824700</v>
      </c>
    </row>
    <row r="2482" spans="1:11" ht="12.45">
      <c r="A2482" s="2" t="str">
        <f ca="1">IFERROR(__xludf.DUMMYFUNCTION("""COMPUTED_VALUE"""),"1734194938029")</f>
        <v>1734194938029</v>
      </c>
      <c r="B2482" s="2"/>
      <c r="C2482" s="2" t="str">
        <v>0</v>
      </c>
      <c r="D2482" s="2"/>
      <c r="F2482" s="2" t="str">
        <v>0</v>
      </c>
      <c r="I2482" s="2" t="str">
        <f ca="1">IFERROR(__xludf.DUMMYFUNCTION("""COMPUTED_VALUE"""),"Phạm Thị Bích Triều")</f>
        <v>Phạm Thị Bích Triều</v>
      </c>
      <c r="J2482" s="3" t="str">
        <f ca="1">IFERROR(__xludf.DUMMYFUNCTION("""COMPUTED_VALUE"""),"0332164375")</f>
        <v>0332164375</v>
      </c>
      <c r="K2482" s="2" t="str">
        <f ca="1">IFERROR(__xludf.DUMMYFUNCTION("""COMPUTED_VALUE"""),"1734194938029")</f>
        <v>1734194938029</v>
      </c>
    </row>
    <row r="2483" spans="1:11" ht="12.45">
      <c r="A2483" s="2" t="str">
        <f ca="1">IFERROR(__xludf.DUMMYFUNCTION("""COMPUTED_VALUE"""),"1734195020418")</f>
        <v>1734195020418</v>
      </c>
      <c r="B2483" s="2"/>
      <c r="C2483" s="2" t="str">
        <v>0</v>
      </c>
      <c r="D2483" s="2"/>
      <c r="F2483" s="2" t="str">
        <v>0</v>
      </c>
      <c r="I2483" s="2" t="str">
        <f ca="1">IFERROR(__xludf.DUMMYFUNCTION("""COMPUTED_VALUE"""),"Hồ Thị Thanh Tuyền ")</f>
        <v xml:space="preserve">Hồ Thị Thanh Tuyền </v>
      </c>
      <c r="J2483" s="3" t="str">
        <f ca="1">IFERROR(__xludf.DUMMYFUNCTION("""COMPUTED_VALUE"""),"0857605770")</f>
        <v>0857605770</v>
      </c>
      <c r="K2483" s="2" t="str">
        <f ca="1">IFERROR(__xludf.DUMMYFUNCTION("""COMPUTED_VALUE"""),"1734195020418")</f>
        <v>1734195020418</v>
      </c>
    </row>
    <row r="2484" spans="1:11" ht="12.45">
      <c r="A2484" s="2" t="str">
        <f ca="1">IFERROR(__xludf.DUMMYFUNCTION("""COMPUTED_VALUE"""),"1734195139603")</f>
        <v>1734195139603</v>
      </c>
      <c r="B2484" s="2"/>
      <c r="C2484" s="2" t="str">
        <v>0</v>
      </c>
      <c r="D2484" s="2"/>
      <c r="F2484" s="2" t="str">
        <v>0</v>
      </c>
      <c r="I2484" s="2" t="str">
        <f ca="1">IFERROR(__xludf.DUMMYFUNCTION("""COMPUTED_VALUE"""),"Nguyễn Hồng Ngọc")</f>
        <v>Nguyễn Hồng Ngọc</v>
      </c>
      <c r="J2484" s="3" t="str">
        <f ca="1">IFERROR(__xludf.DUMMYFUNCTION("""COMPUTED_VALUE"""),"0966081563")</f>
        <v>0966081563</v>
      </c>
      <c r="K2484" s="2" t="str">
        <f ca="1">IFERROR(__xludf.DUMMYFUNCTION("""COMPUTED_VALUE"""),"1734195139603")</f>
        <v>1734195139603</v>
      </c>
    </row>
    <row r="2485" spans="1:11" ht="12.45">
      <c r="A2485" s="2" t="str">
        <f ca="1">IFERROR(__xludf.DUMMYFUNCTION("""COMPUTED_VALUE"""),"1734195247556")</f>
        <v>1734195247556</v>
      </c>
      <c r="B2485" s="2"/>
      <c r="C2485" s="2" t="str">
        <v>0</v>
      </c>
      <c r="D2485" s="2"/>
      <c r="F2485" s="2" t="str">
        <v>0</v>
      </c>
      <c r="I2485" s="2" t="str">
        <f ca="1">IFERROR(__xludf.DUMMYFUNCTION("""COMPUTED_VALUE"""),"Phùng Thị Minh Châu")</f>
        <v>Phùng Thị Minh Châu</v>
      </c>
      <c r="J2485" s="3" t="str">
        <f ca="1">IFERROR(__xludf.DUMMYFUNCTION("""COMPUTED_VALUE"""),"0353046441")</f>
        <v>0353046441</v>
      </c>
      <c r="K2485" s="2" t="str">
        <f ca="1">IFERROR(__xludf.DUMMYFUNCTION("""COMPUTED_VALUE"""),"1734195247556")</f>
        <v>1734195247556</v>
      </c>
    </row>
    <row r="2486" spans="1:11" ht="12.45">
      <c r="A2486" s="2" t="str">
        <f ca="1">IFERROR(__xludf.DUMMYFUNCTION("""COMPUTED_VALUE"""),"1734195328009")</f>
        <v>1734195328009</v>
      </c>
      <c r="B2486" s="2"/>
      <c r="C2486" s="2" t="str">
        <v>0</v>
      </c>
      <c r="D2486" s="2"/>
      <c r="F2486" s="2" t="str">
        <v>0</v>
      </c>
      <c r="I2486" s="2" t="str">
        <f ca="1">IFERROR(__xludf.DUMMYFUNCTION("""COMPUTED_VALUE"""),"Lò Thị Nguyệt Ánh ")</f>
        <v xml:space="preserve">Lò Thị Nguyệt Ánh </v>
      </c>
      <c r="J2486" s="3" t="str">
        <f ca="1">IFERROR(__xludf.DUMMYFUNCTION("""COMPUTED_VALUE"""),"0377461264")</f>
        <v>0377461264</v>
      </c>
      <c r="K2486" s="2" t="str">
        <f ca="1">IFERROR(__xludf.DUMMYFUNCTION("""COMPUTED_VALUE"""),"1734195328009")</f>
        <v>1734195328009</v>
      </c>
    </row>
    <row r="2487" spans="1:11" ht="12.45">
      <c r="A2487" s="2" t="str">
        <f ca="1">IFERROR(__xludf.DUMMYFUNCTION("""COMPUTED_VALUE"""),"1734195395417")</f>
        <v>1734195395417</v>
      </c>
      <c r="B2487" s="2"/>
      <c r="C2487" s="2" t="str">
        <v>0</v>
      </c>
      <c r="D2487" s="2"/>
      <c r="F2487" s="2" t="str">
        <v>0</v>
      </c>
      <c r="I2487" s="2" t="str">
        <f ca="1">IFERROR(__xludf.DUMMYFUNCTION("""COMPUTED_VALUE"""),"Phạm Thị Hà My")</f>
        <v>Phạm Thị Hà My</v>
      </c>
      <c r="J2487" s="3" t="str">
        <f ca="1">IFERROR(__xludf.DUMMYFUNCTION("""COMPUTED_VALUE"""),"0356575546")</f>
        <v>0356575546</v>
      </c>
      <c r="K2487" s="2" t="str">
        <f ca="1">IFERROR(__xludf.DUMMYFUNCTION("""COMPUTED_VALUE"""),"1734195395417")</f>
        <v>1734195395417</v>
      </c>
    </row>
    <row r="2488" spans="1:11" ht="12.45">
      <c r="A2488" s="2" t="str">
        <f ca="1">IFERROR(__xludf.DUMMYFUNCTION("""COMPUTED_VALUE"""),"1734195449241")</f>
        <v>1734195449241</v>
      </c>
      <c r="B2488" s="2"/>
      <c r="C2488" s="2" t="str">
        <v>0</v>
      </c>
      <c r="D2488" s="2"/>
      <c r="F2488" s="2" t="str">
        <v>0</v>
      </c>
      <c r="I2488" s="2" t="str">
        <f ca="1">IFERROR(__xludf.DUMMYFUNCTION("""COMPUTED_VALUE"""),"Nguyễn Hoàng Tường Quyên")</f>
        <v>Nguyễn Hoàng Tường Quyên</v>
      </c>
      <c r="J2488" s="3" t="str">
        <f ca="1">IFERROR(__xludf.DUMMYFUNCTION("""COMPUTED_VALUE"""),"0852105867")</f>
        <v>0852105867</v>
      </c>
      <c r="K2488" s="2" t="str">
        <f ca="1">IFERROR(__xludf.DUMMYFUNCTION("""COMPUTED_VALUE"""),"1734195449241")</f>
        <v>1734195449241</v>
      </c>
    </row>
    <row r="2489" spans="1:11" ht="12.45">
      <c r="A2489" s="2" t="str">
        <f ca="1">IFERROR(__xludf.DUMMYFUNCTION("""COMPUTED_VALUE"""),"1734195531721")</f>
        <v>1734195531721</v>
      </c>
      <c r="B2489" s="2"/>
      <c r="C2489" s="2" t="str">
        <v>0</v>
      </c>
      <c r="D2489" s="2"/>
      <c r="F2489" s="2" t="str">
        <v>0</v>
      </c>
      <c r="I2489" s="2" t="str">
        <f ca="1">IFERROR(__xludf.DUMMYFUNCTION("""COMPUTED_VALUE"""),"Lương Phi Đức Thắng")</f>
        <v>Lương Phi Đức Thắng</v>
      </c>
      <c r="J2489" s="3" t="str">
        <f ca="1">IFERROR(__xludf.DUMMYFUNCTION("""COMPUTED_VALUE"""),"0327343155")</f>
        <v>0327343155</v>
      </c>
      <c r="K2489" s="2" t="str">
        <f ca="1">IFERROR(__xludf.DUMMYFUNCTION("""COMPUTED_VALUE"""),"1734195531721")</f>
        <v>1734195531721</v>
      </c>
    </row>
    <row r="2490" spans="1:11" ht="12.45">
      <c r="A2490" s="2" t="str">
        <f ca="1">IFERROR(__xludf.DUMMYFUNCTION("""COMPUTED_VALUE"""),"1734195643926")</f>
        <v>1734195643926</v>
      </c>
      <c r="B2490" s="2"/>
      <c r="C2490" s="2" t="str">
        <v>0</v>
      </c>
      <c r="D2490" s="2"/>
      <c r="F2490" s="2" t="str">
        <v>0</v>
      </c>
      <c r="I2490" s="2" t="str">
        <f ca="1">IFERROR(__xludf.DUMMYFUNCTION("""COMPUTED_VALUE"""),"Nguyễn Thùy Linh")</f>
        <v>Nguyễn Thùy Linh</v>
      </c>
      <c r="J2490" s="3" t="str">
        <f ca="1">IFERROR(__xludf.DUMMYFUNCTION("""COMPUTED_VALUE"""),"0983665487")</f>
        <v>0983665487</v>
      </c>
      <c r="K2490" s="2" t="str">
        <f ca="1">IFERROR(__xludf.DUMMYFUNCTION("""COMPUTED_VALUE"""),"1734195643926")</f>
        <v>1734195643926</v>
      </c>
    </row>
    <row r="2491" spans="1:11" ht="12.45">
      <c r="A2491" s="2" t="str">
        <f ca="1">IFERROR(__xludf.DUMMYFUNCTION("""COMPUTED_VALUE"""),"1734195788429")</f>
        <v>1734195788429</v>
      </c>
      <c r="B2491" s="2"/>
      <c r="C2491" s="2" t="str">
        <v>0</v>
      </c>
      <c r="D2491" s="2"/>
      <c r="F2491" s="2" t="str">
        <v>0</v>
      </c>
      <c r="I2491" s="2" t="str">
        <f ca="1">IFERROR(__xludf.DUMMYFUNCTION("""COMPUTED_VALUE"""),"Vi Thị Ngọc Hà")</f>
        <v>Vi Thị Ngọc Hà</v>
      </c>
      <c r="J2491" s="2" t="str">
        <f ca="1">IFERROR(__xludf.DUMMYFUNCTION("""COMPUTED_VALUE"""),"08434899830")</f>
        <v>08434899830</v>
      </c>
      <c r="K2491" s="2" t="str">
        <f ca="1">IFERROR(__xludf.DUMMYFUNCTION("""COMPUTED_VALUE"""),"1734195788429")</f>
        <v>1734195788429</v>
      </c>
    </row>
    <row r="2492" spans="1:11" ht="12.45">
      <c r="A2492" s="2" t="str">
        <f ca="1">IFERROR(__xludf.DUMMYFUNCTION("""COMPUTED_VALUE"""),"1734195936728")</f>
        <v>1734195936728</v>
      </c>
      <c r="B2492" s="2"/>
      <c r="C2492" s="2" t="str">
        <v>0</v>
      </c>
      <c r="D2492" s="2"/>
      <c r="F2492" s="2" t="str">
        <v>0</v>
      </c>
      <c r="I2492" s="2" t="str">
        <f ca="1">IFERROR(__xludf.DUMMYFUNCTION("""COMPUTED_VALUE"""),"Lê Đoàn Hương Giang")</f>
        <v>Lê Đoàn Hương Giang</v>
      </c>
      <c r="J2492" s="3" t="str">
        <f ca="1">IFERROR(__xludf.DUMMYFUNCTION("""COMPUTED_VALUE"""),"0842902090")</f>
        <v>0842902090</v>
      </c>
      <c r="K2492" s="2" t="str">
        <f ca="1">IFERROR(__xludf.DUMMYFUNCTION("""COMPUTED_VALUE"""),"1734195936728")</f>
        <v>1734195936728</v>
      </c>
    </row>
    <row r="2493" spans="1:11" ht="12.45">
      <c r="A2493" s="2" t="str">
        <f ca="1">IFERROR(__xludf.DUMMYFUNCTION("""COMPUTED_VALUE"""),"1734196128630")</f>
        <v>1734196128630</v>
      </c>
      <c r="B2493" s="2"/>
      <c r="C2493" s="2" t="str">
        <v>0</v>
      </c>
      <c r="D2493" s="2"/>
      <c r="F2493" s="2" t="str">
        <v>0</v>
      </c>
      <c r="I2493" s="2" t="str">
        <f ca="1">IFERROR(__xludf.DUMMYFUNCTION("""COMPUTED_VALUE"""),"Nguyễn Thảo Vy")</f>
        <v>Nguyễn Thảo Vy</v>
      </c>
      <c r="J2493" s="3" t="str">
        <f ca="1">IFERROR(__xludf.DUMMYFUNCTION("""COMPUTED_VALUE"""),"0979668217")</f>
        <v>0979668217</v>
      </c>
      <c r="K2493" s="2" t="str">
        <f ca="1">IFERROR(__xludf.DUMMYFUNCTION("""COMPUTED_VALUE"""),"1734196128630")</f>
        <v>1734196128630</v>
      </c>
    </row>
    <row r="2494" spans="1:11" ht="12.45">
      <c r="A2494" s="2" t="str">
        <f ca="1">IFERROR(__xludf.DUMMYFUNCTION("""COMPUTED_VALUE"""),"1734196300881")</f>
        <v>1734196300881</v>
      </c>
      <c r="B2494" s="2"/>
      <c r="C2494" s="2" t="str">
        <v>0</v>
      </c>
      <c r="D2494" s="2"/>
      <c r="F2494" s="2" t="str">
        <v>0</v>
      </c>
      <c r="I2494" s="2" t="str">
        <f ca="1">IFERROR(__xludf.DUMMYFUNCTION("""COMPUTED_VALUE"""),"Bùi Xuân Khang")</f>
        <v>Bùi Xuân Khang</v>
      </c>
      <c r="J2494" s="3" t="str">
        <f ca="1">IFERROR(__xludf.DUMMYFUNCTION("""COMPUTED_VALUE"""),"0766678911")</f>
        <v>0766678911</v>
      </c>
      <c r="K2494" s="2" t="str">
        <f ca="1">IFERROR(__xludf.DUMMYFUNCTION("""COMPUTED_VALUE"""),"1734196300881")</f>
        <v>1734196300881</v>
      </c>
    </row>
    <row r="2495" spans="1:11" ht="12.45">
      <c r="A2495" s="2" t="str">
        <f ca="1">IFERROR(__xludf.DUMMYFUNCTION("""COMPUTED_VALUE"""),"1734196411187")</f>
        <v>1734196411187</v>
      </c>
      <c r="B2495" s="2"/>
      <c r="C2495" s="2" t="str">
        <v>0</v>
      </c>
      <c r="D2495" s="2"/>
      <c r="F2495" s="2" t="str">
        <v>0</v>
      </c>
      <c r="I2495" s="2" t="str">
        <f ca="1">IFERROR(__xludf.DUMMYFUNCTION("""COMPUTED_VALUE"""),"NGUYỄN THANH MINH ANH")</f>
        <v>NGUYỄN THANH MINH ANH</v>
      </c>
      <c r="J2495" s="3" t="str">
        <f ca="1">IFERROR(__xludf.DUMMYFUNCTION("""COMPUTED_VALUE"""),"0344471807")</f>
        <v>0344471807</v>
      </c>
      <c r="K2495" s="2" t="str">
        <f ca="1">IFERROR(__xludf.DUMMYFUNCTION("""COMPUTED_VALUE"""),"1734196411187")</f>
        <v>1734196411187</v>
      </c>
    </row>
    <row r="2496" spans="1:11" ht="12.45">
      <c r="A2496" s="2" t="str">
        <f ca="1">IFERROR(__xludf.DUMMYFUNCTION("""COMPUTED_VALUE"""),"1734196499122")</f>
        <v>1734196499122</v>
      </c>
      <c r="B2496" s="2"/>
      <c r="C2496" s="2" t="str">
        <v>0</v>
      </c>
      <c r="D2496" s="2"/>
      <c r="F2496" s="2" t="str">
        <v>0</v>
      </c>
      <c r="I2496" s="2" t="str">
        <f ca="1">IFERROR(__xludf.DUMMYFUNCTION("""COMPUTED_VALUE"""),"Đặng Thuỳ Trâm ")</f>
        <v xml:space="preserve">Đặng Thuỳ Trâm </v>
      </c>
      <c r="J2496" s="3" t="str">
        <f ca="1">IFERROR(__xludf.DUMMYFUNCTION("""COMPUTED_VALUE"""),"0326045618")</f>
        <v>0326045618</v>
      </c>
      <c r="K2496" s="2" t="str">
        <f ca="1">IFERROR(__xludf.DUMMYFUNCTION("""COMPUTED_VALUE"""),"1734196499122")</f>
        <v>1734196499122</v>
      </c>
    </row>
    <row r="2497" spans="1:11" ht="12.45">
      <c r="A2497" s="2" t="str">
        <f ca="1">IFERROR(__xludf.DUMMYFUNCTION("""COMPUTED_VALUE"""),"1734196657125")</f>
        <v>1734196657125</v>
      </c>
      <c r="B2497" s="2"/>
      <c r="C2497" s="2" t="str">
        <v>0</v>
      </c>
      <c r="D2497" s="2"/>
      <c r="F2497" s="2" t="str">
        <v>0</v>
      </c>
      <c r="I2497" s="2" t="str">
        <f ca="1">IFERROR(__xludf.DUMMYFUNCTION("""COMPUTED_VALUE"""),"Lê Khánh Ly")</f>
        <v>Lê Khánh Ly</v>
      </c>
      <c r="J2497" s="3" t="str">
        <f ca="1">IFERROR(__xludf.DUMMYFUNCTION("""COMPUTED_VALUE"""),"0966429172")</f>
        <v>0966429172</v>
      </c>
      <c r="K2497" s="2" t="str">
        <f ca="1">IFERROR(__xludf.DUMMYFUNCTION("""COMPUTED_VALUE"""),"1734196657125")</f>
        <v>1734196657125</v>
      </c>
    </row>
    <row r="2498" spans="1:11" ht="12.45">
      <c r="A2498" s="2" t="str">
        <f ca="1">IFERROR(__xludf.DUMMYFUNCTION("""COMPUTED_VALUE"""),"1734196825157")</f>
        <v>1734196825157</v>
      </c>
      <c r="B2498" s="2"/>
      <c r="C2498" s="2" t="str">
        <v>0</v>
      </c>
      <c r="D2498" s="2"/>
      <c r="F2498" s="2" t="str">
        <v>0</v>
      </c>
      <c r="I2498" s="2" t="str">
        <f ca="1">IFERROR(__xludf.DUMMYFUNCTION("""COMPUTED_VALUE"""),"Nguyễn Võ Hà Nhi")</f>
        <v>Nguyễn Võ Hà Nhi</v>
      </c>
      <c r="J2498" s="3" t="str">
        <f ca="1">IFERROR(__xludf.DUMMYFUNCTION("""COMPUTED_VALUE"""),"0522400339")</f>
        <v>0522400339</v>
      </c>
      <c r="K2498" s="2" t="str">
        <f ca="1">IFERROR(__xludf.DUMMYFUNCTION("""COMPUTED_VALUE"""),"1734196825157")</f>
        <v>1734196825157</v>
      </c>
    </row>
    <row r="2499" spans="1:11" ht="12.45">
      <c r="A2499" s="2" t="str">
        <f ca="1">IFERROR(__xludf.DUMMYFUNCTION("""COMPUTED_VALUE"""),"1734196903560")</f>
        <v>1734196903560</v>
      </c>
      <c r="B2499" s="2"/>
      <c r="C2499" s="2" t="str">
        <v>0</v>
      </c>
      <c r="D2499" s="2"/>
      <c r="F2499" s="2" t="str">
        <v>0</v>
      </c>
      <c r="I2499" s="2" t="str">
        <f ca="1">IFERROR(__xludf.DUMMYFUNCTION("""COMPUTED_VALUE"""),"Trần Trang")</f>
        <v>Trần Trang</v>
      </c>
      <c r="J2499" s="3" t="str">
        <f ca="1">IFERROR(__xludf.DUMMYFUNCTION("""COMPUTED_VALUE"""),"0385762816")</f>
        <v>0385762816</v>
      </c>
      <c r="K2499" s="2" t="str">
        <f ca="1">IFERROR(__xludf.DUMMYFUNCTION("""COMPUTED_VALUE"""),"1734196903560")</f>
        <v>1734196903560</v>
      </c>
    </row>
    <row r="2500" spans="1:11" ht="12.45">
      <c r="A2500" s="2" t="str">
        <f ca="1">IFERROR(__xludf.DUMMYFUNCTION("""COMPUTED_VALUE"""),"1734197008029")</f>
        <v>1734197008029</v>
      </c>
      <c r="B2500" s="2"/>
      <c r="C2500" s="2" t="str">
        <v>0</v>
      </c>
      <c r="D2500" s="2"/>
      <c r="F2500" s="2" t="str">
        <v>0</v>
      </c>
      <c r="I2500" s="2" t="str">
        <f ca="1">IFERROR(__xludf.DUMMYFUNCTION("""COMPUTED_VALUE"""),"Nguyễn Bích Quỳnh")</f>
        <v>Nguyễn Bích Quỳnh</v>
      </c>
      <c r="J2500" s="3" t="str">
        <f ca="1">IFERROR(__xludf.DUMMYFUNCTION("""COMPUTED_VALUE"""),"0702446603")</f>
        <v>0702446603</v>
      </c>
      <c r="K2500" s="2" t="str">
        <f ca="1">IFERROR(__xludf.DUMMYFUNCTION("""COMPUTED_VALUE"""),"1734197008029")</f>
        <v>1734197008029</v>
      </c>
    </row>
    <row r="2501" spans="1:11" ht="12.45">
      <c r="A2501" s="2" t="str">
        <f ca="1">IFERROR(__xludf.DUMMYFUNCTION("""COMPUTED_VALUE"""),"1734197160202")</f>
        <v>1734197160202</v>
      </c>
      <c r="B2501" s="2"/>
      <c r="C2501" s="2" t="str">
        <v>0</v>
      </c>
      <c r="D2501" s="2"/>
      <c r="F2501" s="2" t="str">
        <v>0</v>
      </c>
      <c r="I2501" s="2" t="str">
        <f ca="1">IFERROR(__xludf.DUMMYFUNCTION("""COMPUTED_VALUE"""),"Lê Hà Anh")</f>
        <v>Lê Hà Anh</v>
      </c>
      <c r="J2501" s="3" t="str">
        <f ca="1">IFERROR(__xludf.DUMMYFUNCTION("""COMPUTED_VALUE"""),"0919037301")</f>
        <v>0919037301</v>
      </c>
      <c r="K2501" s="2" t="str">
        <f ca="1">IFERROR(__xludf.DUMMYFUNCTION("""COMPUTED_VALUE"""),"1734197160202")</f>
        <v>1734197160202</v>
      </c>
    </row>
    <row r="2502" spans="1:11" ht="12.45">
      <c r="A2502" s="2" t="str">
        <f ca="1">IFERROR(__xludf.DUMMYFUNCTION("""COMPUTED_VALUE"""),"1734197239967")</f>
        <v>1734197239967</v>
      </c>
      <c r="B2502" s="2"/>
      <c r="C2502" s="2" t="str">
        <v>0</v>
      </c>
      <c r="D2502" s="2"/>
      <c r="F2502" s="2" t="str">
        <v>0</v>
      </c>
      <c r="I2502" s="2" t="str">
        <f ca="1">IFERROR(__xludf.DUMMYFUNCTION("""COMPUTED_VALUE"""),"Thanh Hà")</f>
        <v>Thanh Hà</v>
      </c>
      <c r="J2502" s="3" t="str">
        <f ca="1">IFERROR(__xludf.DUMMYFUNCTION("""COMPUTED_VALUE"""),"0819783829")</f>
        <v>0819783829</v>
      </c>
      <c r="K2502" s="2" t="str">
        <f ca="1">IFERROR(__xludf.DUMMYFUNCTION("""COMPUTED_VALUE"""),"1734197239967")</f>
        <v>1734197239967</v>
      </c>
    </row>
    <row r="2503" spans="1:11" ht="12.45">
      <c r="A2503" s="2" t="str">
        <f ca="1">IFERROR(__xludf.DUMMYFUNCTION("""COMPUTED_VALUE"""),"1734197324140")</f>
        <v>1734197324140</v>
      </c>
      <c r="B2503" s="2"/>
      <c r="C2503" s="2" t="str">
        <v>0</v>
      </c>
      <c r="D2503" s="2"/>
      <c r="F2503" s="2" t="str">
        <v>0</v>
      </c>
      <c r="I2503" s="2" t="str">
        <f ca="1">IFERROR(__xludf.DUMMYFUNCTION("""COMPUTED_VALUE"""),"Nguyễn Trương Khánh Duy")</f>
        <v>Nguyễn Trương Khánh Duy</v>
      </c>
      <c r="J2503" s="3" t="str">
        <f ca="1">IFERROR(__xludf.DUMMYFUNCTION("""COMPUTED_VALUE"""),"0912094062")</f>
        <v>0912094062</v>
      </c>
      <c r="K2503" s="2" t="str">
        <f ca="1">IFERROR(__xludf.DUMMYFUNCTION("""COMPUTED_VALUE"""),"1734197324140")</f>
        <v>1734197324140</v>
      </c>
    </row>
    <row r="2504" spans="1:11" ht="12.45">
      <c r="A2504" s="2" t="str">
        <f ca="1">IFERROR(__xludf.DUMMYFUNCTION("""COMPUTED_VALUE"""),"1734197448026")</f>
        <v>1734197448026</v>
      </c>
      <c r="B2504" s="2"/>
      <c r="C2504" s="2" t="str">
        <v>0</v>
      </c>
      <c r="D2504" s="2"/>
      <c r="F2504" s="2" t="str">
        <v>0</v>
      </c>
      <c r="I2504" s="2" t="str">
        <f ca="1">IFERROR(__xludf.DUMMYFUNCTION("""COMPUTED_VALUE"""),"Vũ Thái Thùy Dung ")</f>
        <v xml:space="preserve">Vũ Thái Thùy Dung </v>
      </c>
      <c r="J2504" s="3" t="str">
        <f ca="1">IFERROR(__xludf.DUMMYFUNCTION("""COMPUTED_VALUE"""),"0372377654")</f>
        <v>0372377654</v>
      </c>
      <c r="K2504" s="2" t="str">
        <f ca="1">IFERROR(__xludf.DUMMYFUNCTION("""COMPUTED_VALUE"""),"1734197448026")</f>
        <v>1734197448026</v>
      </c>
    </row>
    <row r="2505" spans="1:11" ht="12.45">
      <c r="A2505" s="2" t="str">
        <f ca="1">IFERROR(__xludf.DUMMYFUNCTION("""COMPUTED_VALUE"""),"1734197550140")</f>
        <v>1734197550140</v>
      </c>
      <c r="B2505" s="2"/>
      <c r="C2505" s="2" t="str">
        <v>0</v>
      </c>
      <c r="D2505" s="2"/>
      <c r="F2505" s="2" t="str">
        <v>0</v>
      </c>
      <c r="I2505" s="2" t="str">
        <f ca="1">IFERROR(__xludf.DUMMYFUNCTION("""COMPUTED_VALUE"""),"Nguyễn Kiều Thương")</f>
        <v>Nguyễn Kiều Thương</v>
      </c>
      <c r="J2505" s="3" t="str">
        <f ca="1">IFERROR(__xludf.DUMMYFUNCTION("""COMPUTED_VALUE"""),"0918702521")</f>
        <v>0918702521</v>
      </c>
      <c r="K2505" s="2" t="str">
        <f ca="1">IFERROR(__xludf.DUMMYFUNCTION("""COMPUTED_VALUE"""),"1734197550140")</f>
        <v>1734197550140</v>
      </c>
    </row>
    <row r="2506" spans="1:11" ht="12.45">
      <c r="A2506" s="2" t="str">
        <f ca="1">IFERROR(__xludf.DUMMYFUNCTION("""COMPUTED_VALUE"""),"1734197644132")</f>
        <v>1734197644132</v>
      </c>
      <c r="B2506" s="2"/>
      <c r="C2506" s="2" t="str">
        <v>0</v>
      </c>
      <c r="D2506" s="2"/>
      <c r="F2506" s="2" t="str">
        <v>0</v>
      </c>
      <c r="I2506" s="2" t="str">
        <f ca="1">IFERROR(__xludf.DUMMYFUNCTION("""COMPUTED_VALUE"""),"Hà lê nam khánh")</f>
        <v>Hà lê nam khánh</v>
      </c>
      <c r="J2506" s="3" t="str">
        <f ca="1">IFERROR(__xludf.DUMMYFUNCTION("""COMPUTED_VALUE"""),"0826000479")</f>
        <v>0826000479</v>
      </c>
      <c r="K2506" s="2" t="str">
        <f ca="1">IFERROR(__xludf.DUMMYFUNCTION("""COMPUTED_VALUE"""),"1734197644132")</f>
        <v>1734197644132</v>
      </c>
    </row>
    <row r="2507" spans="1:11" ht="12.45">
      <c r="A2507" s="2" t="str">
        <f ca="1">IFERROR(__xludf.DUMMYFUNCTION("""COMPUTED_VALUE"""),"1734197743160")</f>
        <v>1734197743160</v>
      </c>
      <c r="B2507" s="2"/>
      <c r="C2507" s="2" t="str">
        <v>0</v>
      </c>
      <c r="D2507" s="2"/>
      <c r="F2507" s="2" t="str">
        <v>0</v>
      </c>
      <c r="I2507" s="2" t="str">
        <f ca="1">IFERROR(__xludf.DUMMYFUNCTION("""COMPUTED_VALUE"""),"Hoàng Hải")</f>
        <v>Hoàng Hải</v>
      </c>
      <c r="J2507" s="3" t="str">
        <f ca="1">IFERROR(__xludf.DUMMYFUNCTION("""COMPUTED_VALUE"""),"0945879929")</f>
        <v>0945879929</v>
      </c>
      <c r="K2507" s="2" t="str">
        <f ca="1">IFERROR(__xludf.DUMMYFUNCTION("""COMPUTED_VALUE"""),"1734197743160")</f>
        <v>1734197743160</v>
      </c>
    </row>
    <row r="2508" spans="1:11" ht="12.45">
      <c r="A2508" s="2" t="str">
        <f ca="1">IFERROR(__xludf.DUMMYFUNCTION("""COMPUTED_VALUE"""),"1734197823452")</f>
        <v>1734197823452</v>
      </c>
      <c r="B2508" s="2"/>
      <c r="C2508" s="2" t="str">
        <v>0</v>
      </c>
      <c r="D2508" s="2"/>
      <c r="F2508" s="2" t="str">
        <v>0</v>
      </c>
      <c r="I2508" s="2" t="str">
        <f ca="1">IFERROR(__xludf.DUMMYFUNCTION("""COMPUTED_VALUE"""),"Đỗ Hoàng Minh")</f>
        <v>Đỗ Hoàng Minh</v>
      </c>
      <c r="J2508" s="3" t="str">
        <f ca="1">IFERROR(__xludf.DUMMYFUNCTION("""COMPUTED_VALUE"""),"0983276252")</f>
        <v>0983276252</v>
      </c>
      <c r="K2508" s="2" t="str">
        <f ca="1">IFERROR(__xludf.DUMMYFUNCTION("""COMPUTED_VALUE"""),"1734197823452")</f>
        <v>1734197823452</v>
      </c>
    </row>
    <row r="2509" spans="1:11" ht="12.45">
      <c r="A2509" s="2" t="str">
        <f ca="1">IFERROR(__xludf.DUMMYFUNCTION("""COMPUTED_VALUE"""),"1734199021341")</f>
        <v>1734199021341</v>
      </c>
      <c r="B2509" s="2"/>
      <c r="C2509" s="2" t="str">
        <v>0</v>
      </c>
      <c r="D2509" s="2"/>
      <c r="F2509" s="2" t="str">
        <v>0</v>
      </c>
      <c r="I2509" s="2" t="str">
        <f ca="1">IFERROR(__xludf.DUMMYFUNCTION("""COMPUTED_VALUE"""),"Văn Minh Thư ")</f>
        <v xml:space="preserve">Văn Minh Thư </v>
      </c>
      <c r="J2509" s="3" t="str">
        <f ca="1">IFERROR(__xludf.DUMMYFUNCTION("""COMPUTED_VALUE"""),"0845734839")</f>
        <v>0845734839</v>
      </c>
      <c r="K2509" s="2" t="str">
        <f ca="1">IFERROR(__xludf.DUMMYFUNCTION("""COMPUTED_VALUE"""),"1734199021341")</f>
        <v>1734199021341</v>
      </c>
    </row>
    <row r="2510" spans="1:11" ht="12.45">
      <c r="A2510" s="2" t="str">
        <f ca="1">IFERROR(__xludf.DUMMYFUNCTION("""COMPUTED_VALUE"""),"1734197991543")</f>
        <v>1734197991543</v>
      </c>
      <c r="B2510" s="2"/>
      <c r="C2510" s="2" t="str">
        <v>0</v>
      </c>
      <c r="D2510" s="2"/>
      <c r="F2510" s="2" t="str">
        <v>0</v>
      </c>
      <c r="I2510" s="2" t="str">
        <f ca="1">IFERROR(__xludf.DUMMYFUNCTION("""COMPUTED_VALUE"""),"Nguyễn Thị Phước Nhã")</f>
        <v>Nguyễn Thị Phước Nhã</v>
      </c>
      <c r="J2510" s="3" t="str">
        <f ca="1">IFERROR(__xludf.DUMMYFUNCTION("""COMPUTED_VALUE"""),"0965078820")</f>
        <v>0965078820</v>
      </c>
      <c r="K2510" s="2" t="str">
        <f ca="1">IFERROR(__xludf.DUMMYFUNCTION("""COMPUTED_VALUE"""),"1734197991543")</f>
        <v>1734197991543</v>
      </c>
    </row>
    <row r="2511" spans="1:11" ht="12.45">
      <c r="A2511" s="2" t="str">
        <f ca="1">IFERROR(__xludf.DUMMYFUNCTION("""COMPUTED_VALUE"""),"1734198115903")</f>
        <v>1734198115903</v>
      </c>
      <c r="B2511" s="2"/>
      <c r="C2511" s="2" t="str">
        <v>0</v>
      </c>
      <c r="D2511" s="2"/>
      <c r="F2511" s="2" t="str">
        <v>0</v>
      </c>
      <c r="I2511" s="2" t="str">
        <f ca="1">IFERROR(__xludf.DUMMYFUNCTION("""COMPUTED_VALUE"""),"Mai Hoài Nguyễn Tuấn Minh")</f>
        <v>Mai Hoài Nguyễn Tuấn Minh</v>
      </c>
      <c r="J2511" s="3" t="str">
        <f ca="1">IFERROR(__xludf.DUMMYFUNCTION("""COMPUTED_VALUE"""),"0898680609")</f>
        <v>0898680609</v>
      </c>
      <c r="K2511" s="2" t="str">
        <f ca="1">IFERROR(__xludf.DUMMYFUNCTION("""COMPUTED_VALUE"""),"1734198115903")</f>
        <v>1734198115903</v>
      </c>
    </row>
    <row r="2512" spans="1:11" ht="12.45">
      <c r="A2512" s="2" t="str">
        <f ca="1">IFERROR(__xludf.DUMMYFUNCTION("""COMPUTED_VALUE"""),"1734198214349")</f>
        <v>1734198214349</v>
      </c>
      <c r="B2512" s="2"/>
      <c r="C2512" s="2" t="str">
        <v>0</v>
      </c>
      <c r="D2512" s="2"/>
      <c r="F2512" s="2" t="str">
        <v>0</v>
      </c>
      <c r="I2512" s="2" t="str">
        <f ca="1">IFERROR(__xludf.DUMMYFUNCTION("""COMPUTED_VALUE"""),"Lê Thị Thanh Huyền")</f>
        <v>Lê Thị Thanh Huyền</v>
      </c>
      <c r="J2512" s="3" t="str">
        <f ca="1">IFERROR(__xludf.DUMMYFUNCTION("""COMPUTED_VALUE"""),"0879393498")</f>
        <v>0879393498</v>
      </c>
      <c r="K2512" s="2" t="str">
        <f ca="1">IFERROR(__xludf.DUMMYFUNCTION("""COMPUTED_VALUE"""),"1734198214349")</f>
        <v>1734198214349</v>
      </c>
    </row>
    <row r="2513" spans="1:11" ht="12.45">
      <c r="A2513" s="2" t="str">
        <f ca="1">IFERROR(__xludf.DUMMYFUNCTION("""COMPUTED_VALUE"""),"1734198306975")</f>
        <v>1734198306975</v>
      </c>
      <c r="B2513" s="2"/>
      <c r="C2513" s="2" t="str">
        <v>0</v>
      </c>
      <c r="D2513" s="2"/>
      <c r="F2513" s="2" t="str">
        <v>0</v>
      </c>
      <c r="I2513" s="2" t="str">
        <f ca="1">IFERROR(__xludf.DUMMYFUNCTION("""COMPUTED_VALUE"""),"Tạ Thị Ngọc Ánh")</f>
        <v>Tạ Thị Ngọc Ánh</v>
      </c>
      <c r="J2513" s="3" t="str">
        <f ca="1">IFERROR(__xludf.DUMMYFUNCTION("""COMPUTED_VALUE"""),"0962574716")</f>
        <v>0962574716</v>
      </c>
      <c r="K2513" s="2" t="str">
        <f ca="1">IFERROR(__xludf.DUMMYFUNCTION("""COMPUTED_VALUE"""),"1734198306975")</f>
        <v>1734198306975</v>
      </c>
    </row>
    <row r="2514" spans="1:11" ht="12.45">
      <c r="A2514" s="2" t="str">
        <f ca="1">IFERROR(__xludf.DUMMYFUNCTION("""COMPUTED_VALUE"""),"1734198457538")</f>
        <v>1734198457538</v>
      </c>
      <c r="B2514" s="2"/>
      <c r="C2514" s="2" t="str">
        <v>0</v>
      </c>
      <c r="D2514" s="2"/>
      <c r="F2514" s="2" t="str">
        <v>0</v>
      </c>
      <c r="I2514" s="2" t="str">
        <f ca="1">IFERROR(__xludf.DUMMYFUNCTION("""COMPUTED_VALUE"""),"Nguyễn Minh Thư")</f>
        <v>Nguyễn Minh Thư</v>
      </c>
      <c r="J2514" s="3" t="str">
        <f ca="1">IFERROR(__xludf.DUMMYFUNCTION("""COMPUTED_VALUE"""),"0795605009")</f>
        <v>0795605009</v>
      </c>
      <c r="K2514" s="2" t="str">
        <f ca="1">IFERROR(__xludf.DUMMYFUNCTION("""COMPUTED_VALUE"""),"1734198457538")</f>
        <v>1734198457538</v>
      </c>
    </row>
    <row r="2515" spans="1:11" ht="12.45">
      <c r="A2515" s="2" t="str">
        <f ca="1">IFERROR(__xludf.DUMMYFUNCTION("""COMPUTED_VALUE"""),"1734198563865")</f>
        <v>1734198563865</v>
      </c>
      <c r="B2515" s="2"/>
      <c r="C2515" s="2" t="str">
        <v>0</v>
      </c>
      <c r="D2515" s="2"/>
      <c r="F2515" s="2" t="str">
        <v>0</v>
      </c>
      <c r="I2515" s="2" t="str">
        <f ca="1">IFERROR(__xludf.DUMMYFUNCTION("""COMPUTED_VALUE"""),"Phạm Thuỳ Mỹ Khánh")</f>
        <v>Phạm Thuỳ Mỹ Khánh</v>
      </c>
      <c r="J2515" s="3" t="str">
        <f ca="1">IFERROR(__xludf.DUMMYFUNCTION("""COMPUTED_VALUE"""),"0946450132")</f>
        <v>0946450132</v>
      </c>
      <c r="K2515" s="2" t="str">
        <f ca="1">IFERROR(__xludf.DUMMYFUNCTION("""COMPUTED_VALUE"""),"1734198563865")</f>
        <v>1734198563865</v>
      </c>
    </row>
    <row r="2516" spans="1:11" ht="12.45">
      <c r="A2516" s="2" t="str">
        <f ca="1">IFERROR(__xludf.DUMMYFUNCTION("""COMPUTED_VALUE"""),"1734198677942")</f>
        <v>1734198677942</v>
      </c>
      <c r="B2516" s="2"/>
      <c r="C2516" s="2" t="str">
        <v>0</v>
      </c>
      <c r="D2516" s="2"/>
      <c r="F2516" s="2" t="str">
        <v>0</v>
      </c>
      <c r="I2516" s="2" t="str">
        <f ca="1">IFERROR(__xludf.DUMMYFUNCTION("""COMPUTED_VALUE"""),"Mạc Thị Linh ")</f>
        <v xml:space="preserve">Mạc Thị Linh </v>
      </c>
      <c r="J2516" s="3" t="str">
        <f ca="1">IFERROR(__xludf.DUMMYFUNCTION("""COMPUTED_VALUE"""),"0862257914")</f>
        <v>0862257914</v>
      </c>
      <c r="K2516" s="2" t="str">
        <f ca="1">IFERROR(__xludf.DUMMYFUNCTION("""COMPUTED_VALUE"""),"1734198677942")</f>
        <v>1734198677942</v>
      </c>
    </row>
    <row r="2517" spans="1:11" ht="12.45">
      <c r="A2517" s="2" t="str">
        <f ca="1">IFERROR(__xludf.DUMMYFUNCTION("""COMPUTED_VALUE"""),"1734198781976")</f>
        <v>1734198781976</v>
      </c>
      <c r="B2517" s="2"/>
      <c r="C2517" s="2" t="str">
        <v>0</v>
      </c>
      <c r="D2517" s="2"/>
      <c r="F2517" s="2" t="str">
        <v>0</v>
      </c>
      <c r="I2517" s="2" t="str">
        <f ca="1">IFERROR(__xludf.DUMMYFUNCTION("""COMPUTED_VALUE"""),"Nguyễn Ngọc Anh Thư ")</f>
        <v xml:space="preserve">Nguyễn Ngọc Anh Thư </v>
      </c>
      <c r="J2517" s="3" t="str">
        <f ca="1">IFERROR(__xludf.DUMMYFUNCTION("""COMPUTED_VALUE"""),"0792118207")</f>
        <v>0792118207</v>
      </c>
      <c r="K2517" s="2" t="str">
        <f ca="1">IFERROR(__xludf.DUMMYFUNCTION("""COMPUTED_VALUE"""),"1734198781976")</f>
        <v>1734198781976</v>
      </c>
    </row>
    <row r="2518" spans="1:11" ht="12.45">
      <c r="A2518" s="2" t="str">
        <f ca="1">IFERROR(__xludf.DUMMYFUNCTION("""COMPUTED_VALUE"""),"1734199021341")</f>
        <v>1734199021341</v>
      </c>
      <c r="B2518" s="2"/>
      <c r="C2518" s="2" t="str">
        <v>0</v>
      </c>
      <c r="D2518" s="2"/>
      <c r="F2518" s="2" t="str">
        <v>0</v>
      </c>
      <c r="I2518" s="2" t="str">
        <f ca="1">IFERROR(__xludf.DUMMYFUNCTION("""COMPUTED_VALUE"""),"Hà Ngọc Thuận")</f>
        <v>Hà Ngọc Thuận</v>
      </c>
      <c r="J2518" s="3" t="str">
        <f ca="1">IFERROR(__xludf.DUMMYFUNCTION("""COMPUTED_VALUE"""),"0767017611")</f>
        <v>0767017611</v>
      </c>
      <c r="K2518" s="2" t="str">
        <f ca="1">IFERROR(__xludf.DUMMYFUNCTION("""COMPUTED_VALUE"""),"1734199021341")</f>
        <v>1734199021341</v>
      </c>
    </row>
    <row r="2519" spans="1:11" ht="12.45">
      <c r="A2519" s="2" t="str">
        <f ca="1">IFERROR(__xludf.DUMMYFUNCTION("""COMPUTED_VALUE"""),"1734199152395")</f>
        <v>1734199152395</v>
      </c>
      <c r="B2519" s="2"/>
      <c r="C2519" s="2" t="str">
        <v>0</v>
      </c>
      <c r="D2519" s="2"/>
      <c r="F2519" s="2" t="str">
        <v>0</v>
      </c>
      <c r="I2519" s="2" t="str">
        <f ca="1">IFERROR(__xludf.DUMMYFUNCTION("""COMPUTED_VALUE"""),"Trương Nguyễn Lộc ")</f>
        <v xml:space="preserve">Trương Nguyễn Lộc </v>
      </c>
      <c r="J2519" s="3" t="str">
        <f ca="1">IFERROR(__xludf.DUMMYFUNCTION("""COMPUTED_VALUE"""),"0962289697")</f>
        <v>0962289697</v>
      </c>
      <c r="K2519" s="2" t="str">
        <f ca="1">IFERROR(__xludf.DUMMYFUNCTION("""COMPUTED_VALUE"""),"1734199152395")</f>
        <v>1734199152395</v>
      </c>
    </row>
    <row r="2520" spans="1:11" ht="12.45">
      <c r="A2520" s="2" t="str">
        <f ca="1">IFERROR(__xludf.DUMMYFUNCTION("""COMPUTED_VALUE"""),"1734199248578")</f>
        <v>1734199248578</v>
      </c>
      <c r="B2520" s="2"/>
      <c r="C2520" s="2" t="str">
        <v>0</v>
      </c>
      <c r="D2520" s="2"/>
      <c r="F2520" s="2" t="str">
        <v>0</v>
      </c>
      <c r="I2520" s="2" t="str">
        <f ca="1">IFERROR(__xludf.DUMMYFUNCTION("""COMPUTED_VALUE"""),"Lường Dương Huyền Anh")</f>
        <v>Lường Dương Huyền Anh</v>
      </c>
      <c r="J2520" s="3" t="str">
        <f ca="1">IFERROR(__xludf.DUMMYFUNCTION("""COMPUTED_VALUE"""),"0393303898")</f>
        <v>0393303898</v>
      </c>
      <c r="K2520" s="2" t="str">
        <f ca="1">IFERROR(__xludf.DUMMYFUNCTION("""COMPUTED_VALUE"""),"1734199248578")</f>
        <v>1734199248578</v>
      </c>
    </row>
    <row r="2521" spans="1:11" ht="12.45">
      <c r="A2521" s="2" t="str">
        <f ca="1">IFERROR(__xludf.DUMMYFUNCTION("""COMPUTED_VALUE"""),"1734199348661")</f>
        <v>1734199348661</v>
      </c>
      <c r="B2521" s="2"/>
      <c r="C2521" s="2" t="str">
        <v>0</v>
      </c>
      <c r="D2521" s="2"/>
      <c r="F2521" s="2" t="str">
        <v>0</v>
      </c>
      <c r="I2521" s="2" t="str">
        <f ca="1">IFERROR(__xludf.DUMMYFUNCTION("""COMPUTED_VALUE""")," Nguyễn Hồng Phúc")</f>
        <v xml:space="preserve"> Nguyễn Hồng Phúc</v>
      </c>
      <c r="J2521" s="3" t="str">
        <f ca="1">IFERROR(__xludf.DUMMYFUNCTION("""COMPUTED_VALUE"""),"0986085937")</f>
        <v>0986085937</v>
      </c>
      <c r="K2521" s="2" t="str">
        <f ca="1">IFERROR(__xludf.DUMMYFUNCTION("""COMPUTED_VALUE"""),"1734199348661")</f>
        <v>1734199348661</v>
      </c>
    </row>
    <row r="2522" spans="1:11" ht="12.45">
      <c r="A2522" s="2" t="str">
        <f ca="1">IFERROR(__xludf.DUMMYFUNCTION("""COMPUTED_VALUE"""),"1734199479890")</f>
        <v>1734199479890</v>
      </c>
      <c r="B2522" s="2"/>
      <c r="C2522" s="2" t="str">
        <v>0</v>
      </c>
      <c r="D2522" s="2"/>
      <c r="F2522" s="2" t="str">
        <v>0</v>
      </c>
      <c r="I2522" s="2" t="str">
        <f ca="1">IFERROR(__xludf.DUMMYFUNCTION("""COMPUTED_VALUE"""),"Phan Phạm Kiều Vy ")</f>
        <v xml:space="preserve">Phan Phạm Kiều Vy </v>
      </c>
      <c r="J2522" s="3" t="str">
        <f ca="1">IFERROR(__xludf.DUMMYFUNCTION("""COMPUTED_VALUE"""),"0352782499")</f>
        <v>0352782499</v>
      </c>
      <c r="K2522" s="2" t="str">
        <f ca="1">IFERROR(__xludf.DUMMYFUNCTION("""COMPUTED_VALUE"""),"1734199479890")</f>
        <v>1734199479890</v>
      </c>
    </row>
    <row r="2523" spans="1:11" ht="12.45">
      <c r="A2523" s="2" t="str">
        <f ca="1">IFERROR(__xludf.DUMMYFUNCTION("""COMPUTED_VALUE"""),"1734199598072")</f>
        <v>1734199598072</v>
      </c>
      <c r="B2523" s="2"/>
      <c r="C2523" s="2" t="str">
        <v>0</v>
      </c>
      <c r="D2523" s="2"/>
      <c r="F2523" s="2" t="str">
        <v>0</v>
      </c>
      <c r="I2523" s="2" t="str">
        <f ca="1">IFERROR(__xludf.DUMMYFUNCTION("""COMPUTED_VALUE"""),"Nguyễn Phúc Gia Bảo")</f>
        <v>Nguyễn Phúc Gia Bảo</v>
      </c>
      <c r="J2523" s="3" t="str">
        <f ca="1">IFERROR(__xludf.DUMMYFUNCTION("""COMPUTED_VALUE"""),"0981446380")</f>
        <v>0981446380</v>
      </c>
      <c r="K2523" s="2" t="str">
        <f ca="1">IFERROR(__xludf.DUMMYFUNCTION("""COMPUTED_VALUE"""),"1734199598072")</f>
        <v>1734199598072</v>
      </c>
    </row>
    <row r="2524" spans="1:11" ht="12.45">
      <c r="A2524" s="2" t="str">
        <f ca="1">IFERROR(__xludf.DUMMYFUNCTION("""COMPUTED_VALUE"""),"1734199703072")</f>
        <v>1734199703072</v>
      </c>
      <c r="B2524" s="2"/>
      <c r="C2524" s="2" t="str">
        <v>0</v>
      </c>
      <c r="D2524" s="2"/>
      <c r="F2524" s="2" t="str">
        <v>0</v>
      </c>
      <c r="I2524" s="2" t="str">
        <f ca="1">IFERROR(__xludf.DUMMYFUNCTION("""COMPUTED_VALUE"""),"Âu Thị Phương Thảo")</f>
        <v>Âu Thị Phương Thảo</v>
      </c>
      <c r="J2524" s="3" t="str">
        <f ca="1">IFERROR(__xludf.DUMMYFUNCTION("""COMPUTED_VALUE"""),"0901530480")</f>
        <v>0901530480</v>
      </c>
      <c r="K2524" s="2" t="str">
        <f ca="1">IFERROR(__xludf.DUMMYFUNCTION("""COMPUTED_VALUE"""),"1734199703072")</f>
        <v>1734199703072</v>
      </c>
    </row>
    <row r="2525" spans="1:11" ht="12.45">
      <c r="A2525" s="2" t="str">
        <f ca="1">IFERROR(__xludf.DUMMYFUNCTION("""COMPUTED_VALUE"""),"1734199783783")</f>
        <v>1734199783783</v>
      </c>
      <c r="B2525" s="2"/>
      <c r="C2525" s="2" t="str">
        <v>0</v>
      </c>
      <c r="D2525" s="2"/>
      <c r="F2525" s="2" t="str">
        <v>0</v>
      </c>
      <c r="I2525" s="2" t="str">
        <f ca="1">IFERROR(__xludf.DUMMYFUNCTION("""COMPUTED_VALUE"""),"Lê Nguyên Trí")</f>
        <v>Lê Nguyên Trí</v>
      </c>
      <c r="J2525" s="3" t="str">
        <f ca="1">IFERROR(__xludf.DUMMYFUNCTION("""COMPUTED_VALUE"""),"0762573467")</f>
        <v>0762573467</v>
      </c>
      <c r="K2525" s="2" t="str">
        <f ca="1">IFERROR(__xludf.DUMMYFUNCTION("""COMPUTED_VALUE"""),"1734199783783")</f>
        <v>1734199783783</v>
      </c>
    </row>
    <row r="2526" spans="1:11" ht="12.45">
      <c r="A2526" s="2" t="str">
        <f ca="1">IFERROR(__xludf.DUMMYFUNCTION("""COMPUTED_VALUE"""),"1734199935353")</f>
        <v>1734199935353</v>
      </c>
      <c r="B2526" s="2"/>
      <c r="C2526" s="2" t="str">
        <v>0</v>
      </c>
      <c r="D2526" s="2"/>
      <c r="F2526" s="2" t="str">
        <v>0</v>
      </c>
      <c r="I2526" s="2" t="str">
        <f ca="1">IFERROR(__xludf.DUMMYFUNCTION("""COMPUTED_VALUE"""),"Hồ Gia Bảo ")</f>
        <v xml:space="preserve">Hồ Gia Bảo </v>
      </c>
      <c r="J2526" s="3" t="str">
        <f ca="1">IFERROR(__xludf.DUMMYFUNCTION("""COMPUTED_VALUE"""),"0963689451")</f>
        <v>0963689451</v>
      </c>
      <c r="K2526" s="2" t="str">
        <f ca="1">IFERROR(__xludf.DUMMYFUNCTION("""COMPUTED_VALUE"""),"1734199935353")</f>
        <v>1734199935353</v>
      </c>
    </row>
    <row r="2527" spans="1:11" ht="12.45">
      <c r="A2527" s="2" t="str">
        <f ca="1">IFERROR(__xludf.DUMMYFUNCTION("""COMPUTED_VALUE"""),"1734200059403")</f>
        <v>1734200059403</v>
      </c>
      <c r="B2527" s="2"/>
      <c r="C2527" s="2" t="str">
        <v>0</v>
      </c>
      <c r="D2527" s="2"/>
      <c r="F2527" s="2" t="str">
        <v>0</v>
      </c>
      <c r="I2527" s="2" t="str">
        <f ca="1">IFERROR(__xludf.DUMMYFUNCTION("""COMPUTED_VALUE"""),"Trịnh Khánh Ly")</f>
        <v>Trịnh Khánh Ly</v>
      </c>
      <c r="J2527" s="3" t="str">
        <f ca="1">IFERROR(__xludf.DUMMYFUNCTION("""COMPUTED_VALUE"""),"0344412216")</f>
        <v>0344412216</v>
      </c>
      <c r="K2527" s="2" t="str">
        <f ca="1">IFERROR(__xludf.DUMMYFUNCTION("""COMPUTED_VALUE"""),"1734200059403")</f>
        <v>1734200059403</v>
      </c>
    </row>
    <row r="2528" spans="1:11" ht="12.45">
      <c r="A2528" s="2" t="str">
        <f ca="1">IFERROR(__xludf.DUMMYFUNCTION("""COMPUTED_VALUE"""),"1734200171521")</f>
        <v>1734200171521</v>
      </c>
      <c r="B2528" s="2"/>
      <c r="C2528" s="2" t="str">
        <v>0</v>
      </c>
      <c r="D2528" s="2"/>
      <c r="F2528" s="2" t="str">
        <v>0</v>
      </c>
      <c r="I2528" s="2" t="str">
        <f ca="1">IFERROR(__xludf.DUMMYFUNCTION("""COMPUTED_VALUE"""),"Huỳnh Lý Khánh Vy")</f>
        <v>Huỳnh Lý Khánh Vy</v>
      </c>
      <c r="J2528" s="3" t="str">
        <f ca="1">IFERROR(__xludf.DUMMYFUNCTION("""COMPUTED_VALUE"""),"0383430723")</f>
        <v>0383430723</v>
      </c>
      <c r="K2528" s="2" t="str">
        <f ca="1">IFERROR(__xludf.DUMMYFUNCTION("""COMPUTED_VALUE"""),"1734200171521")</f>
        <v>1734200171521</v>
      </c>
    </row>
    <row r="2529" spans="1:11" ht="12.45">
      <c r="A2529" s="2" t="str">
        <f ca="1">IFERROR(__xludf.DUMMYFUNCTION("""COMPUTED_VALUE"""),"1734200279758")</f>
        <v>1734200279758</v>
      </c>
      <c r="B2529" s="2"/>
      <c r="C2529" s="2" t="str">
        <v>0</v>
      </c>
      <c r="D2529" s="2"/>
      <c r="F2529" s="2" t="str">
        <v>0</v>
      </c>
      <c r="I2529" s="2" t="str">
        <f ca="1">IFERROR(__xludf.DUMMYFUNCTION("""COMPUTED_VALUE"""),"Nguyễn Huỳnh Thảo Vy ")</f>
        <v xml:space="preserve">Nguyễn Huỳnh Thảo Vy </v>
      </c>
      <c r="J2529" s="3" t="str">
        <f ca="1">IFERROR(__xludf.DUMMYFUNCTION("""COMPUTED_VALUE"""),"0911198515")</f>
        <v>0911198515</v>
      </c>
      <c r="K2529" s="2" t="str">
        <f ca="1">IFERROR(__xludf.DUMMYFUNCTION("""COMPUTED_VALUE"""),"1734200279758")</f>
        <v>1734200279758</v>
      </c>
    </row>
    <row r="2530" spans="1:11" ht="12.45">
      <c r="A2530" s="2" t="str">
        <f ca="1">IFERROR(__xludf.DUMMYFUNCTION("""COMPUTED_VALUE"""),"1734200423665")</f>
        <v>1734200423665</v>
      </c>
      <c r="B2530" s="2"/>
      <c r="C2530" s="2" t="str">
        <v>0</v>
      </c>
      <c r="D2530" s="2"/>
      <c r="F2530" s="2" t="str">
        <v>0</v>
      </c>
      <c r="I2530" s="2" t="str">
        <f ca="1">IFERROR(__xludf.DUMMYFUNCTION("""COMPUTED_VALUE"""),"Đỗ Thị Phượng ")</f>
        <v xml:space="preserve">Đỗ Thị Phượng </v>
      </c>
      <c r="J2530" s="3" t="str">
        <f ca="1">IFERROR(__xludf.DUMMYFUNCTION("""COMPUTED_VALUE"""),"0325100859")</f>
        <v>0325100859</v>
      </c>
      <c r="K2530" s="2" t="str">
        <f ca="1">IFERROR(__xludf.DUMMYFUNCTION("""COMPUTED_VALUE"""),"1734200423665")</f>
        <v>1734200423665</v>
      </c>
    </row>
    <row r="2531" spans="1:11" ht="12.45">
      <c r="A2531" s="2" t="str">
        <f ca="1">IFERROR(__xludf.DUMMYFUNCTION("""COMPUTED_VALUE"""),"1734200521626")</f>
        <v>1734200521626</v>
      </c>
      <c r="B2531" s="2"/>
      <c r="C2531" s="2" t="str">
        <v>0</v>
      </c>
      <c r="D2531" s="2"/>
      <c r="F2531" s="2" t="str">
        <v>0</v>
      </c>
      <c r="I2531" s="2" t="str">
        <f ca="1">IFERROR(__xludf.DUMMYFUNCTION("""COMPUTED_VALUE"""),"BÙI HỮU GIANG")</f>
        <v>BÙI HỮU GIANG</v>
      </c>
      <c r="J2531" s="3" t="str">
        <f ca="1">IFERROR(__xludf.DUMMYFUNCTION("""COMPUTED_VALUE"""),"0327520332")</f>
        <v>0327520332</v>
      </c>
      <c r="K2531" s="2" t="str">
        <f ca="1">IFERROR(__xludf.DUMMYFUNCTION("""COMPUTED_VALUE"""),"1734200521626")</f>
        <v>1734200521626</v>
      </c>
    </row>
    <row r="2532" spans="1:11" ht="12.45">
      <c r="A2532" s="2" t="str">
        <f ca="1">IFERROR(__xludf.DUMMYFUNCTION("""COMPUTED_VALUE"""),"1734200655317")</f>
        <v>1734200655317</v>
      </c>
      <c r="B2532" s="2"/>
      <c r="C2532" s="2" t="str">
        <v>0</v>
      </c>
      <c r="D2532" s="2"/>
      <c r="F2532" s="2" t="str">
        <v>0</v>
      </c>
      <c r="I2532" s="2" t="str">
        <f ca="1">IFERROR(__xludf.DUMMYFUNCTION("""COMPUTED_VALUE"""),"Trần Thị Ngọc Điệp ")</f>
        <v xml:space="preserve">Trần Thị Ngọc Điệp </v>
      </c>
      <c r="J2532" s="3" t="str">
        <f ca="1">IFERROR(__xludf.DUMMYFUNCTION("""COMPUTED_VALUE"""),"0776487909")</f>
        <v>0776487909</v>
      </c>
      <c r="K2532" s="2" t="str">
        <f ca="1">IFERROR(__xludf.DUMMYFUNCTION("""COMPUTED_VALUE"""),"1734200655317")</f>
        <v>1734200655317</v>
      </c>
    </row>
    <row r="2533" spans="1:11" ht="12.45">
      <c r="A2533" s="2" t="str">
        <f ca="1">IFERROR(__xludf.DUMMYFUNCTION("""COMPUTED_VALUE"""),"1734200780011")</f>
        <v>1734200780011</v>
      </c>
      <c r="B2533" s="2"/>
      <c r="C2533" s="2" t="str">
        <v>0</v>
      </c>
      <c r="D2533" s="2"/>
      <c r="F2533" s="2" t="str">
        <v>0</v>
      </c>
      <c r="I2533" s="2" t="str">
        <f ca="1">IFERROR(__xludf.DUMMYFUNCTION("""COMPUTED_VALUE"""),"Âu Mỹ Ân")</f>
        <v>Âu Mỹ Ân</v>
      </c>
      <c r="J2533" s="3" t="str">
        <f ca="1">IFERROR(__xludf.DUMMYFUNCTION("""COMPUTED_VALUE"""),"0783118498")</f>
        <v>0783118498</v>
      </c>
      <c r="K2533" s="2" t="str">
        <f ca="1">IFERROR(__xludf.DUMMYFUNCTION("""COMPUTED_VALUE"""),"1734200780011")</f>
        <v>1734200780011</v>
      </c>
    </row>
    <row r="2534" spans="1:11" ht="12.45">
      <c r="A2534" s="2" t="str">
        <f ca="1">IFERROR(__xludf.DUMMYFUNCTION("""COMPUTED_VALUE"""),"1734200908027")</f>
        <v>1734200908027</v>
      </c>
      <c r="B2534" s="2"/>
      <c r="C2534" s="2" t="str">
        <v>0</v>
      </c>
      <c r="D2534" s="2"/>
      <c r="F2534" s="2" t="str">
        <v>0</v>
      </c>
      <c r="I2534" s="2" t="str">
        <f ca="1">IFERROR(__xludf.DUMMYFUNCTION("""COMPUTED_VALUE"""),"Trần Nhật Anh")</f>
        <v>Trần Nhật Anh</v>
      </c>
      <c r="J2534" s="3" t="str">
        <f ca="1">IFERROR(__xludf.DUMMYFUNCTION("""COMPUTED_VALUE"""),"0394626299")</f>
        <v>0394626299</v>
      </c>
      <c r="K2534" s="2" t="str">
        <f ca="1">IFERROR(__xludf.DUMMYFUNCTION("""COMPUTED_VALUE"""),"1734200908027")</f>
        <v>1734200908027</v>
      </c>
    </row>
    <row r="2535" spans="1:11" ht="12.45">
      <c r="A2535" s="2" t="str">
        <f ca="1">IFERROR(__xludf.DUMMYFUNCTION("""COMPUTED_VALUE"""),"1734201021666")</f>
        <v>1734201021666</v>
      </c>
      <c r="B2535" s="2"/>
      <c r="C2535" s="2" t="str">
        <v>0</v>
      </c>
      <c r="D2535" s="2"/>
      <c r="F2535" s="2" t="str">
        <v>0</v>
      </c>
      <c r="I2535" s="2" t="str">
        <f ca="1">IFERROR(__xludf.DUMMYFUNCTION("""COMPUTED_VALUE"""),"Nguyễn Như Quỳnh")</f>
        <v>Nguyễn Như Quỳnh</v>
      </c>
      <c r="J2535" s="3" t="str">
        <f ca="1">IFERROR(__xludf.DUMMYFUNCTION("""COMPUTED_VALUE"""),"0368591916")</f>
        <v>0368591916</v>
      </c>
      <c r="K2535" s="2" t="str">
        <f ca="1">IFERROR(__xludf.DUMMYFUNCTION("""COMPUTED_VALUE"""),"1734201021666")</f>
        <v>1734201021666</v>
      </c>
    </row>
    <row r="2536" spans="1:11" ht="12.45">
      <c r="A2536" s="2" t="str">
        <f ca="1">IFERROR(__xludf.DUMMYFUNCTION("""COMPUTED_VALUE"""),"1734201129217")</f>
        <v>1734201129217</v>
      </c>
      <c r="B2536" s="2"/>
      <c r="C2536" s="2" t="str">
        <v>0</v>
      </c>
      <c r="D2536" s="2"/>
      <c r="F2536" s="2" t="str">
        <v>0</v>
      </c>
      <c r="I2536" s="2" t="str">
        <f ca="1">IFERROR(__xludf.DUMMYFUNCTION("""COMPUTED_VALUE"""),"Nguyễn Nhật Tuyết Minh")</f>
        <v>Nguyễn Nhật Tuyết Minh</v>
      </c>
      <c r="J2536" s="3" t="str">
        <f ca="1">IFERROR(__xludf.DUMMYFUNCTION("""COMPUTED_VALUE"""),"0933439739")</f>
        <v>0933439739</v>
      </c>
      <c r="K2536" s="2" t="str">
        <f ca="1">IFERROR(__xludf.DUMMYFUNCTION("""COMPUTED_VALUE"""),"1734201129217")</f>
        <v>1734201129217</v>
      </c>
    </row>
    <row r="2537" spans="1:11" ht="12.45">
      <c r="A2537" s="2" t="str">
        <f ca="1">IFERROR(__xludf.DUMMYFUNCTION("""COMPUTED_VALUE"""),"1734201204599")</f>
        <v>1734201204599</v>
      </c>
      <c r="B2537" s="2"/>
      <c r="C2537" s="2" t="str">
        <v>0</v>
      </c>
      <c r="D2537" s="2"/>
      <c r="F2537" s="2" t="str">
        <v>0</v>
      </c>
      <c r="I2537" s="2" t="str">
        <f ca="1">IFERROR(__xludf.DUMMYFUNCTION("""COMPUTED_VALUE"""),"Vũ Như Mai")</f>
        <v>Vũ Như Mai</v>
      </c>
      <c r="J2537" s="3" t="str">
        <f ca="1">IFERROR(__xludf.DUMMYFUNCTION("""COMPUTED_VALUE"""),"0388682563")</f>
        <v>0388682563</v>
      </c>
      <c r="K2537" s="2" t="str">
        <f ca="1">IFERROR(__xludf.DUMMYFUNCTION("""COMPUTED_VALUE"""),"1734201204599")</f>
        <v>1734201204599</v>
      </c>
    </row>
    <row r="2538" spans="1:11" ht="12.45">
      <c r="A2538" s="2" t="str">
        <f ca="1">IFERROR(__xludf.DUMMYFUNCTION("""COMPUTED_VALUE"""),"1734201276832")</f>
        <v>1734201276832</v>
      </c>
      <c r="B2538" s="2"/>
      <c r="C2538" s="2" t="str">
        <v>0</v>
      </c>
      <c r="D2538" s="2"/>
      <c r="F2538" s="2" t="str">
        <v>0</v>
      </c>
      <c r="I2538" s="2" t="str">
        <f ca="1">IFERROR(__xludf.DUMMYFUNCTION("""COMPUTED_VALUE"""),"Nguyễn Minh Thuỳ")</f>
        <v>Nguyễn Minh Thuỳ</v>
      </c>
      <c r="J2538" s="3" t="str">
        <f ca="1">IFERROR(__xludf.DUMMYFUNCTION("""COMPUTED_VALUE"""),"0329600734")</f>
        <v>0329600734</v>
      </c>
      <c r="K2538" s="2" t="str">
        <f ca="1">IFERROR(__xludf.DUMMYFUNCTION("""COMPUTED_VALUE"""),"1734201276832")</f>
        <v>1734201276832</v>
      </c>
    </row>
    <row r="2539" spans="1:11" ht="12.45">
      <c r="A2539" s="2" t="str">
        <f ca="1">IFERROR(__xludf.DUMMYFUNCTION("""COMPUTED_VALUE"""),"1734201352721")</f>
        <v>1734201352721</v>
      </c>
      <c r="B2539" s="2"/>
      <c r="C2539" s="2" t="str">
        <v>0</v>
      </c>
      <c r="D2539" s="2"/>
      <c r="F2539" s="2" t="str">
        <v>0</v>
      </c>
      <c r="I2539" s="2" t="str">
        <f ca="1">IFERROR(__xludf.DUMMYFUNCTION("""COMPUTED_VALUE"""),"Nguyễn Ngọc Ánh")</f>
        <v>Nguyễn Ngọc Ánh</v>
      </c>
      <c r="J2539" s="3" t="str">
        <f ca="1">IFERROR(__xludf.DUMMYFUNCTION("""COMPUTED_VALUE"""),"0967116207")</f>
        <v>0967116207</v>
      </c>
      <c r="K2539" s="2" t="str">
        <f ca="1">IFERROR(__xludf.DUMMYFUNCTION("""COMPUTED_VALUE"""),"1734201352721")</f>
        <v>1734201352721</v>
      </c>
    </row>
    <row r="2540" spans="1:11" ht="12.45">
      <c r="A2540" s="2" t="str">
        <f ca="1">IFERROR(__xludf.DUMMYFUNCTION("""COMPUTED_VALUE"""),"1734201464395")</f>
        <v>1734201464395</v>
      </c>
      <c r="B2540" s="2"/>
      <c r="C2540" s="2" t="str">
        <v>0</v>
      </c>
      <c r="D2540" s="2"/>
      <c r="F2540" s="2" t="str">
        <v>0</v>
      </c>
      <c r="I2540" s="2" t="str">
        <f ca="1">IFERROR(__xludf.DUMMYFUNCTION("""COMPUTED_VALUE"""),"Nguyễn Thị Hiên")</f>
        <v>Nguyễn Thị Hiên</v>
      </c>
      <c r="J2540" s="3" t="str">
        <f ca="1">IFERROR(__xludf.DUMMYFUNCTION("""COMPUTED_VALUE"""),"0969590280")</f>
        <v>0969590280</v>
      </c>
      <c r="K2540" s="2" t="str">
        <f ca="1">IFERROR(__xludf.DUMMYFUNCTION("""COMPUTED_VALUE"""),"1734201464395")</f>
        <v>1734201464395</v>
      </c>
    </row>
    <row r="2541" spans="1:11" ht="12.45">
      <c r="A2541" s="2" t="str">
        <f ca="1">IFERROR(__xludf.DUMMYFUNCTION("""COMPUTED_VALUE"""),"1734201574683")</f>
        <v>1734201574683</v>
      </c>
      <c r="B2541" s="2"/>
      <c r="C2541" s="2" t="str">
        <v>0</v>
      </c>
      <c r="D2541" s="2"/>
      <c r="F2541" s="2" t="str">
        <v>0</v>
      </c>
      <c r="I2541" s="2" t="str">
        <f ca="1">IFERROR(__xludf.DUMMYFUNCTION("""COMPUTED_VALUE"""),"Đinh Thị Bích Ngọc")</f>
        <v>Đinh Thị Bích Ngọc</v>
      </c>
      <c r="J2541" s="3" t="str">
        <f ca="1">IFERROR(__xludf.DUMMYFUNCTION("""COMPUTED_VALUE"""),"0975564846")</f>
        <v>0975564846</v>
      </c>
      <c r="K2541" s="2" t="str">
        <f ca="1">IFERROR(__xludf.DUMMYFUNCTION("""COMPUTED_VALUE"""),"1734201574683")</f>
        <v>1734201574683</v>
      </c>
    </row>
    <row r="2542" spans="1:11" ht="12.45">
      <c r="A2542" s="2" t="str">
        <f ca="1">IFERROR(__xludf.DUMMYFUNCTION("""COMPUTED_VALUE"""),"1734201690214")</f>
        <v>1734201690214</v>
      </c>
      <c r="B2542" s="2"/>
      <c r="C2542" s="2" t="str">
        <v>0</v>
      </c>
      <c r="D2542" s="2"/>
      <c r="F2542" s="2" t="str">
        <v>0</v>
      </c>
      <c r="I2542" s="2" t="str">
        <f ca="1">IFERROR(__xludf.DUMMYFUNCTION("""COMPUTED_VALUE"""),"Thục Bình")</f>
        <v>Thục Bình</v>
      </c>
      <c r="J2542" s="3" t="str">
        <f ca="1">IFERROR(__xludf.DUMMYFUNCTION("""COMPUTED_VALUE"""),"0366639611")</f>
        <v>0366639611</v>
      </c>
      <c r="K2542" s="2" t="str">
        <f ca="1">IFERROR(__xludf.DUMMYFUNCTION("""COMPUTED_VALUE"""),"1734201690214")</f>
        <v>1734201690214</v>
      </c>
    </row>
    <row r="2543" spans="1:11" ht="12.45">
      <c r="A2543" s="2" t="str">
        <f ca="1">IFERROR(__xludf.DUMMYFUNCTION("""COMPUTED_VALUE"""),"1734201786650")</f>
        <v>1734201786650</v>
      </c>
      <c r="B2543" s="2"/>
      <c r="C2543" s="2" t="str">
        <v>0</v>
      </c>
      <c r="D2543" s="2"/>
      <c r="F2543" s="2" t="str">
        <v>0</v>
      </c>
      <c r="I2543" s="2" t="str">
        <f ca="1">IFERROR(__xludf.DUMMYFUNCTION("""COMPUTED_VALUE"""),"Nguyễn Lê Gia Hân")</f>
        <v>Nguyễn Lê Gia Hân</v>
      </c>
      <c r="J2543" s="3" t="str">
        <f ca="1">IFERROR(__xludf.DUMMYFUNCTION("""COMPUTED_VALUE"""),"0969867972")</f>
        <v>0969867972</v>
      </c>
      <c r="K2543" s="2" t="str">
        <f ca="1">IFERROR(__xludf.DUMMYFUNCTION("""COMPUTED_VALUE"""),"1734201786650")</f>
        <v>1734201786650</v>
      </c>
    </row>
    <row r="2544" spans="1:11" ht="12.45">
      <c r="A2544" s="2" t="str">
        <f ca="1">IFERROR(__xludf.DUMMYFUNCTION("""COMPUTED_VALUE"""),"1734201875850")</f>
        <v>1734201875850</v>
      </c>
      <c r="B2544" s="2"/>
      <c r="C2544" s="2" t="str">
        <v>0</v>
      </c>
      <c r="D2544" s="2"/>
      <c r="F2544" s="2" t="str">
        <v>0</v>
      </c>
      <c r="I2544" s="2" t="str">
        <f ca="1">IFERROR(__xludf.DUMMYFUNCTION("""COMPUTED_VALUE"""),"Phan Minh Trang")</f>
        <v>Phan Minh Trang</v>
      </c>
      <c r="J2544" s="3" t="str">
        <f ca="1">IFERROR(__xludf.DUMMYFUNCTION("""COMPUTED_VALUE"""),"0982751912")</f>
        <v>0982751912</v>
      </c>
      <c r="K2544" s="2" t="str">
        <f ca="1">IFERROR(__xludf.DUMMYFUNCTION("""COMPUTED_VALUE"""),"1734201875850")</f>
        <v>1734201875850</v>
      </c>
    </row>
    <row r="2545" spans="1:11" ht="12.45">
      <c r="A2545" s="2" t="str">
        <f ca="1">IFERROR(__xludf.DUMMYFUNCTION("""COMPUTED_VALUE"""),"1734202004360")</f>
        <v>1734202004360</v>
      </c>
      <c r="B2545" s="2"/>
      <c r="C2545" s="2" t="str">
        <v>0</v>
      </c>
      <c r="D2545" s="2"/>
      <c r="F2545" s="2" t="str">
        <v>0</v>
      </c>
      <c r="I2545" s="2" t="str">
        <f ca="1">IFERROR(__xludf.DUMMYFUNCTION("""COMPUTED_VALUE"""),"Nguyễn Thị Ánh Kim")</f>
        <v>Nguyễn Thị Ánh Kim</v>
      </c>
      <c r="J2545" s="3" t="str">
        <f ca="1">IFERROR(__xludf.DUMMYFUNCTION("""COMPUTED_VALUE"""),"0775570142")</f>
        <v>0775570142</v>
      </c>
      <c r="K2545" s="2" t="str">
        <f ca="1">IFERROR(__xludf.DUMMYFUNCTION("""COMPUTED_VALUE"""),"1734202004360")</f>
        <v>1734202004360</v>
      </c>
    </row>
    <row r="2546" spans="1:11" ht="12.45">
      <c r="A2546" s="2" t="str">
        <f ca="1">IFERROR(__xludf.DUMMYFUNCTION("""COMPUTED_VALUE"""),"1734202077395")</f>
        <v>1734202077395</v>
      </c>
      <c r="B2546" s="2"/>
      <c r="C2546" s="2" t="str">
        <v>0</v>
      </c>
      <c r="D2546" s="2"/>
      <c r="F2546" s="2" t="str">
        <v>0</v>
      </c>
      <c r="I2546" s="2" t="str">
        <f ca="1">IFERROR(__xludf.DUMMYFUNCTION("""COMPUTED_VALUE"""),"Nguyễn Như Đông Hà")</f>
        <v>Nguyễn Như Đông Hà</v>
      </c>
      <c r="J2546" s="2" t="str">
        <f ca="1">IFERROR(__xludf.DUMMYFUNCTION("""COMPUTED_VALUE"""),"08481725007")</f>
        <v>08481725007</v>
      </c>
      <c r="K2546" s="2" t="str">
        <f ca="1">IFERROR(__xludf.DUMMYFUNCTION("""COMPUTED_VALUE"""),"1734202077395")</f>
        <v>1734202077395</v>
      </c>
    </row>
    <row r="2547" spans="1:11" ht="12.45">
      <c r="A2547" s="2" t="str">
        <f ca="1">IFERROR(__xludf.DUMMYFUNCTION("""COMPUTED_VALUE"""),"1734202140232")</f>
        <v>1734202140232</v>
      </c>
      <c r="B2547" s="2"/>
      <c r="C2547" s="2" t="str">
        <v>0</v>
      </c>
      <c r="D2547" s="2"/>
      <c r="F2547" s="2" t="str">
        <v>0</v>
      </c>
      <c r="I2547" s="2" t="str">
        <f ca="1">IFERROR(__xludf.DUMMYFUNCTION("""COMPUTED_VALUE"""),"Nguyễn Thị Ngọc Ánh")</f>
        <v>Nguyễn Thị Ngọc Ánh</v>
      </c>
      <c r="J2547" s="2" t="str">
        <f ca="1">IFERROR(__xludf.DUMMYFUNCTION("""COMPUTED_VALUE"""),"08486925108")</f>
        <v>08486925108</v>
      </c>
      <c r="K2547" s="2" t="str">
        <f ca="1">IFERROR(__xludf.DUMMYFUNCTION("""COMPUTED_VALUE"""),"1734202140232")</f>
        <v>1734202140232</v>
      </c>
    </row>
    <row r="2548" spans="1:11" ht="12.45">
      <c r="A2548" s="2" t="str">
        <f ca="1">IFERROR(__xludf.DUMMYFUNCTION("""COMPUTED_VALUE"""),"1734202190166")</f>
        <v>1734202190166</v>
      </c>
      <c r="B2548" s="2"/>
      <c r="C2548" s="2" t="str">
        <v>0</v>
      </c>
      <c r="D2548" s="2"/>
      <c r="F2548" s="2" t="str">
        <v>0</v>
      </c>
      <c r="I2548" s="2" t="str">
        <f ca="1">IFERROR(__xludf.DUMMYFUNCTION("""COMPUTED_VALUE"""),"Phạm Bảo Trâm")</f>
        <v>Phạm Bảo Trâm</v>
      </c>
      <c r="J2548" s="3" t="str">
        <f ca="1">IFERROR(__xludf.DUMMYFUNCTION("""COMPUTED_VALUE"""),"0819231233")</f>
        <v>0819231233</v>
      </c>
      <c r="K2548" s="2" t="str">
        <f ca="1">IFERROR(__xludf.DUMMYFUNCTION("""COMPUTED_VALUE"""),"1734202190166")</f>
        <v>1734202190166</v>
      </c>
    </row>
    <row r="2549" spans="1:11" ht="12.45">
      <c r="A2549" s="2" t="str">
        <f ca="1">IFERROR(__xludf.DUMMYFUNCTION("""COMPUTED_VALUE"""),"1734202329897")</f>
        <v>1734202329897</v>
      </c>
      <c r="B2549" s="2"/>
      <c r="C2549" s="2" t="str">
        <v>0</v>
      </c>
      <c r="D2549" s="2"/>
      <c r="F2549" s="2" t="str">
        <v>0</v>
      </c>
      <c r="I2549" s="2" t="str">
        <f ca="1">IFERROR(__xludf.DUMMYFUNCTION("""COMPUTED_VALUE"""),"Châu Chánh Tín")</f>
        <v>Châu Chánh Tín</v>
      </c>
      <c r="J2549" s="3" t="str">
        <f ca="1">IFERROR(__xludf.DUMMYFUNCTION("""COMPUTED_VALUE"""),"0776928537")</f>
        <v>0776928537</v>
      </c>
      <c r="K2549" s="2" t="str">
        <f ca="1">IFERROR(__xludf.DUMMYFUNCTION("""COMPUTED_VALUE"""),"1734202329897")</f>
        <v>1734202329897</v>
      </c>
    </row>
    <row r="2550" spans="1:11" ht="12.45">
      <c r="A2550" s="2" t="str">
        <f ca="1">IFERROR(__xludf.DUMMYFUNCTION("""COMPUTED_VALUE"""),"1734202417915")</f>
        <v>1734202417915</v>
      </c>
      <c r="B2550" s="2"/>
      <c r="C2550" s="2" t="str">
        <v>0</v>
      </c>
      <c r="D2550" s="2"/>
      <c r="F2550" s="2" t="str">
        <v>0</v>
      </c>
      <c r="I2550" s="2" t="str">
        <f ca="1">IFERROR(__xludf.DUMMYFUNCTION("""COMPUTED_VALUE"""),"Trần Ngọc Anh Thư")</f>
        <v>Trần Ngọc Anh Thư</v>
      </c>
      <c r="J2550" s="3" t="str">
        <f ca="1">IFERROR(__xludf.DUMMYFUNCTION("""COMPUTED_VALUE"""),"0784184044")</f>
        <v>0784184044</v>
      </c>
      <c r="K2550" s="2" t="str">
        <f ca="1">IFERROR(__xludf.DUMMYFUNCTION("""COMPUTED_VALUE"""),"1734202417915")</f>
        <v>1734202417915</v>
      </c>
    </row>
    <row r="2551" spans="1:11" ht="12.45">
      <c r="A2551" s="2" t="str">
        <f ca="1">IFERROR(__xludf.DUMMYFUNCTION("""COMPUTED_VALUE"""),"1734202545014")</f>
        <v>1734202545014</v>
      </c>
      <c r="B2551" s="2"/>
      <c r="C2551" s="2" t="str">
        <v>0</v>
      </c>
      <c r="D2551" s="2"/>
      <c r="F2551" s="2" t="str">
        <v>0</v>
      </c>
      <c r="I2551" s="2" t="str">
        <f ca="1">IFERROR(__xludf.DUMMYFUNCTION("""COMPUTED_VALUE"""),"Lê Nguyễn Anh Thư")</f>
        <v>Lê Nguyễn Anh Thư</v>
      </c>
      <c r="J2551" s="3" t="str">
        <f ca="1">IFERROR(__xludf.DUMMYFUNCTION("""COMPUTED_VALUE"""),"0942180008")</f>
        <v>0942180008</v>
      </c>
      <c r="K2551" s="2" t="str">
        <f ca="1">IFERROR(__xludf.DUMMYFUNCTION("""COMPUTED_VALUE"""),"1734202545014")</f>
        <v>1734202545014</v>
      </c>
    </row>
    <row r="2552" spans="1:11" ht="12.45">
      <c r="A2552" s="2" t="str">
        <f ca="1">IFERROR(__xludf.DUMMYFUNCTION("""COMPUTED_VALUE"""),"1734202646804")</f>
        <v>1734202646804</v>
      </c>
      <c r="B2552" s="2"/>
      <c r="C2552" s="2" t="str">
        <v>0</v>
      </c>
      <c r="D2552" s="2"/>
      <c r="F2552" s="2" t="str">
        <v>0</v>
      </c>
      <c r="I2552" s="2" t="str">
        <f ca="1">IFERROR(__xludf.DUMMYFUNCTION("""COMPUTED_VALUE"""),"Trần Anh Sâm")</f>
        <v>Trần Anh Sâm</v>
      </c>
      <c r="J2552" s="3" t="str">
        <f ca="1">IFERROR(__xludf.DUMMYFUNCTION("""COMPUTED_VALUE"""),"0814750999")</f>
        <v>0814750999</v>
      </c>
      <c r="K2552" s="2" t="str">
        <f ca="1">IFERROR(__xludf.DUMMYFUNCTION("""COMPUTED_VALUE"""),"1734202646804")</f>
        <v>1734202646804</v>
      </c>
    </row>
    <row r="2553" spans="1:11" ht="12.45">
      <c r="A2553" s="2" t="str">
        <f ca="1">IFERROR(__xludf.DUMMYFUNCTION("""COMPUTED_VALUE"""),"1734202787570")</f>
        <v>1734202787570</v>
      </c>
      <c r="B2553" s="2"/>
      <c r="C2553" s="2" t="str">
        <v>0</v>
      </c>
      <c r="D2553" s="2"/>
      <c r="F2553" s="2" t="str">
        <v>0</v>
      </c>
      <c r="I2553" s="2" t="str">
        <f ca="1">IFERROR(__xludf.DUMMYFUNCTION("""COMPUTED_VALUE"""),"Vũ Ánh Ngọc")</f>
        <v>Vũ Ánh Ngọc</v>
      </c>
      <c r="J2553" s="3" t="str">
        <f ca="1">IFERROR(__xludf.DUMMYFUNCTION("""COMPUTED_VALUE"""),"0913762538")</f>
        <v>0913762538</v>
      </c>
      <c r="K2553" s="2" t="str">
        <f ca="1">IFERROR(__xludf.DUMMYFUNCTION("""COMPUTED_VALUE"""),"1734202787570")</f>
        <v>1734202787570</v>
      </c>
    </row>
    <row r="2554" spans="1:11" ht="12.45">
      <c r="A2554" s="2" t="str">
        <f ca="1">IFERROR(__xludf.DUMMYFUNCTION("""COMPUTED_VALUE"""),"1734202892617")</f>
        <v>1734202892617</v>
      </c>
      <c r="B2554" s="2"/>
      <c r="C2554" s="2" t="str">
        <v>0</v>
      </c>
      <c r="D2554" s="2"/>
      <c r="F2554" s="2" t="str">
        <v>0</v>
      </c>
      <c r="I2554" s="2" t="str">
        <f ca="1">IFERROR(__xludf.DUMMYFUNCTION("""COMPUTED_VALUE"""),"Bùi Thị Hà Hương")</f>
        <v>Bùi Thị Hà Hương</v>
      </c>
      <c r="J2554" s="3" t="str">
        <f ca="1">IFERROR(__xludf.DUMMYFUNCTION("""COMPUTED_VALUE"""),"0848379207")</f>
        <v>0848379207</v>
      </c>
      <c r="K2554" s="2" t="str">
        <f ca="1">IFERROR(__xludf.DUMMYFUNCTION("""COMPUTED_VALUE"""),"1734202892617")</f>
        <v>1734202892617</v>
      </c>
    </row>
    <row r="2555" spans="1:11" ht="12.45">
      <c r="A2555" s="2" t="str">
        <f ca="1">IFERROR(__xludf.DUMMYFUNCTION("""COMPUTED_VALUE"""),"1734203026940")</f>
        <v>1734203026940</v>
      </c>
      <c r="B2555" s="2"/>
      <c r="C2555" s="2" t="str">
        <v>0</v>
      </c>
      <c r="D2555" s="2"/>
      <c r="F2555" s="2" t="str">
        <v>0</v>
      </c>
      <c r="I2555" s="2" t="str">
        <f ca="1">IFERROR(__xludf.DUMMYFUNCTION("""COMPUTED_VALUE"""),"Bùi Ngọc Thuỳ Trang")</f>
        <v>Bùi Ngọc Thuỳ Trang</v>
      </c>
      <c r="J2555" s="3" t="str">
        <f ca="1">IFERROR(__xludf.DUMMYFUNCTION("""COMPUTED_VALUE"""),"0867137906")</f>
        <v>0867137906</v>
      </c>
      <c r="K2555" s="2" t="str">
        <f ca="1">IFERROR(__xludf.DUMMYFUNCTION("""COMPUTED_VALUE"""),"1734203026940")</f>
        <v>1734203026940</v>
      </c>
    </row>
    <row r="2556" spans="1:11" ht="12.45">
      <c r="A2556" s="2" t="str">
        <f ca="1">IFERROR(__xludf.DUMMYFUNCTION("""COMPUTED_VALUE"""),"1734203124828")</f>
        <v>1734203124828</v>
      </c>
      <c r="B2556" s="2"/>
      <c r="C2556" s="2" t="str">
        <v>0</v>
      </c>
      <c r="D2556" s="2"/>
      <c r="F2556" s="2" t="str">
        <v>0</v>
      </c>
      <c r="I2556" s="2" t="str">
        <f ca="1">IFERROR(__xludf.DUMMYFUNCTION("""COMPUTED_VALUE"""),"Bùi Hà Phương")</f>
        <v>Bùi Hà Phương</v>
      </c>
      <c r="J2556" s="3" t="str">
        <f ca="1">IFERROR(__xludf.DUMMYFUNCTION("""COMPUTED_VALUE"""),"0373089930")</f>
        <v>0373089930</v>
      </c>
      <c r="K2556" s="2" t="str">
        <f ca="1">IFERROR(__xludf.DUMMYFUNCTION("""COMPUTED_VALUE"""),"1734203124828")</f>
        <v>1734203124828</v>
      </c>
    </row>
    <row r="2557" spans="1:11" ht="12.45">
      <c r="A2557" s="2" t="str">
        <f ca="1">IFERROR(__xludf.DUMMYFUNCTION("""COMPUTED_VALUE"""),"1734203198134")</f>
        <v>1734203198134</v>
      </c>
      <c r="B2557" s="2"/>
      <c r="C2557" s="2" t="str">
        <v>0</v>
      </c>
      <c r="D2557" s="2"/>
      <c r="F2557" s="2" t="str">
        <v>0</v>
      </c>
      <c r="I2557" s="2" t="str">
        <f ca="1">IFERROR(__xludf.DUMMYFUNCTION("""COMPUTED_VALUE"""),"Đoàn Thị Ý Nhi")</f>
        <v>Đoàn Thị Ý Nhi</v>
      </c>
      <c r="J2557" s="3" t="str">
        <f ca="1">IFERROR(__xludf.DUMMYFUNCTION("""COMPUTED_VALUE"""),"0971873284")</f>
        <v>0971873284</v>
      </c>
      <c r="K2557" s="2" t="str">
        <f ca="1">IFERROR(__xludf.DUMMYFUNCTION("""COMPUTED_VALUE"""),"1734203198134")</f>
        <v>1734203198134</v>
      </c>
    </row>
    <row r="2558" spans="1:11" ht="12.45">
      <c r="A2558" s="2" t="str">
        <f ca="1">IFERROR(__xludf.DUMMYFUNCTION("""COMPUTED_VALUE"""),"1734203309822")</f>
        <v>1734203309822</v>
      </c>
      <c r="B2558" s="2"/>
      <c r="C2558" s="2" t="str">
        <v>0</v>
      </c>
      <c r="D2558" s="2"/>
      <c r="F2558" s="2" t="str">
        <v>0</v>
      </c>
      <c r="I2558" s="2" t="str">
        <f ca="1">IFERROR(__xludf.DUMMYFUNCTION("""COMPUTED_VALUE"""),"Lê Thanh Thanh")</f>
        <v>Lê Thanh Thanh</v>
      </c>
      <c r="J2558" s="3" t="str">
        <f ca="1">IFERROR(__xludf.DUMMYFUNCTION("""COMPUTED_VALUE"""),"0366216684")</f>
        <v>0366216684</v>
      </c>
      <c r="K2558" s="2" t="str">
        <f ca="1">IFERROR(__xludf.DUMMYFUNCTION("""COMPUTED_VALUE"""),"1734203309822")</f>
        <v>1734203309822</v>
      </c>
    </row>
    <row r="2559" spans="1:11" ht="12.45">
      <c r="A2559" s="2" t="str">
        <f ca="1">IFERROR(__xludf.DUMMYFUNCTION("""COMPUTED_VALUE"""),"1734203429624")</f>
        <v>1734203429624</v>
      </c>
      <c r="B2559" s="2"/>
      <c r="C2559" s="2" t="str">
        <v>0</v>
      </c>
      <c r="D2559" s="2"/>
      <c r="F2559" s="2" t="str">
        <v>0</v>
      </c>
      <c r="I2559" s="2" t="str">
        <f ca="1">IFERROR(__xludf.DUMMYFUNCTION("""COMPUTED_VALUE"""),"Hoàng Khánh Chi")</f>
        <v>Hoàng Khánh Chi</v>
      </c>
      <c r="J2559" s="3" t="str">
        <f ca="1">IFERROR(__xludf.DUMMYFUNCTION("""COMPUTED_VALUE"""),"0984805158")</f>
        <v>0984805158</v>
      </c>
      <c r="K2559" s="2" t="str">
        <f ca="1">IFERROR(__xludf.DUMMYFUNCTION("""COMPUTED_VALUE"""),"1734203429624")</f>
        <v>1734203429624</v>
      </c>
    </row>
    <row r="2560" spans="1:11" ht="12.45">
      <c r="A2560" s="2" t="str">
        <f ca="1">IFERROR(__xludf.DUMMYFUNCTION("""COMPUTED_VALUE"""),"1734203514576")</f>
        <v>1734203514576</v>
      </c>
      <c r="B2560" s="2"/>
      <c r="C2560" s="2" t="str">
        <v>0</v>
      </c>
      <c r="D2560" s="2"/>
      <c r="F2560" s="2" t="str">
        <v>0</v>
      </c>
      <c r="I2560" s="2" t="str">
        <f ca="1">IFERROR(__xludf.DUMMYFUNCTION("""COMPUTED_VALUE"""),"Bùi Thị Khánh Ly")</f>
        <v>Bùi Thị Khánh Ly</v>
      </c>
      <c r="J2560" s="3" t="str">
        <f ca="1">IFERROR(__xludf.DUMMYFUNCTION("""COMPUTED_VALUE"""),"0942532705")</f>
        <v>0942532705</v>
      </c>
      <c r="K2560" s="2" t="str">
        <f ca="1">IFERROR(__xludf.DUMMYFUNCTION("""COMPUTED_VALUE"""),"1734203514576")</f>
        <v>1734203514576</v>
      </c>
    </row>
    <row r="2561" spans="1:11" ht="12.45">
      <c r="A2561" s="2" t="str">
        <f ca="1">IFERROR(__xludf.DUMMYFUNCTION("""COMPUTED_VALUE"""),"1734203606952")</f>
        <v>1734203606952</v>
      </c>
      <c r="B2561" s="2"/>
      <c r="C2561" s="2" t="str">
        <v>0</v>
      </c>
      <c r="D2561" s="2"/>
      <c r="F2561" s="2" t="str">
        <v>0</v>
      </c>
      <c r="I2561" s="2" t="str">
        <f ca="1">IFERROR(__xludf.DUMMYFUNCTION("""COMPUTED_VALUE"""),"Nguyễn Thị Kim Ngân ")</f>
        <v xml:space="preserve">Nguyễn Thị Kim Ngân </v>
      </c>
      <c r="J2561" s="3" t="str">
        <f ca="1">IFERROR(__xludf.DUMMYFUNCTION("""COMPUTED_VALUE"""),"0326546836")</f>
        <v>0326546836</v>
      </c>
      <c r="K2561" s="2" t="str">
        <f ca="1">IFERROR(__xludf.DUMMYFUNCTION("""COMPUTED_VALUE"""),"1734203606952")</f>
        <v>1734203606952</v>
      </c>
    </row>
    <row r="2562" spans="1:11" ht="12.45">
      <c r="A2562" s="2" t="str">
        <f ca="1">IFERROR(__xludf.DUMMYFUNCTION("""COMPUTED_VALUE"""),"1734203747350")</f>
        <v>1734203747350</v>
      </c>
      <c r="B2562" s="2"/>
      <c r="C2562" s="2" t="str">
        <v>0</v>
      </c>
      <c r="D2562" s="2"/>
      <c r="F2562" s="2" t="str">
        <v>0</v>
      </c>
      <c r="I2562" s="2" t="str">
        <f ca="1">IFERROR(__xludf.DUMMYFUNCTION("""COMPUTED_VALUE"""),"Trần Thị Thanh Hằng")</f>
        <v>Trần Thị Thanh Hằng</v>
      </c>
      <c r="J2562" s="3" t="str">
        <f ca="1">IFERROR(__xludf.DUMMYFUNCTION("""COMPUTED_VALUE"""),"0968588544")</f>
        <v>0968588544</v>
      </c>
      <c r="K2562" s="2" t="str">
        <f ca="1">IFERROR(__xludf.DUMMYFUNCTION("""COMPUTED_VALUE"""),"1734203747350")</f>
        <v>1734203747350</v>
      </c>
    </row>
    <row r="2563" spans="1:11" ht="12.45">
      <c r="A2563" s="2" t="str">
        <f ca="1">IFERROR(__xludf.DUMMYFUNCTION("""COMPUTED_VALUE"""),"1734203869512")</f>
        <v>1734203869512</v>
      </c>
      <c r="B2563" s="2"/>
      <c r="C2563" s="2" t="str">
        <v>0</v>
      </c>
      <c r="D2563" s="2"/>
      <c r="F2563" s="2" t="str">
        <v>0</v>
      </c>
      <c r="I2563" s="2" t="str">
        <f ca="1">IFERROR(__xludf.DUMMYFUNCTION("""COMPUTED_VALUE"""),"Lò Thị Mai Hồng ")</f>
        <v xml:space="preserve">Lò Thị Mai Hồng </v>
      </c>
      <c r="J2563" s="3" t="str">
        <f ca="1">IFERROR(__xludf.DUMMYFUNCTION("""COMPUTED_VALUE"""),"0368456389")</f>
        <v>0368456389</v>
      </c>
      <c r="K2563" s="2" t="str">
        <f ca="1">IFERROR(__xludf.DUMMYFUNCTION("""COMPUTED_VALUE"""),"1734203869512")</f>
        <v>1734203869512</v>
      </c>
    </row>
    <row r="2564" spans="1:11" ht="12.45">
      <c r="A2564" s="2" t="str">
        <f ca="1">IFERROR(__xludf.DUMMYFUNCTION("""COMPUTED_VALUE"""),"1734203962183")</f>
        <v>1734203962183</v>
      </c>
      <c r="B2564" s="2"/>
      <c r="C2564" s="2" t="str">
        <v>0</v>
      </c>
      <c r="D2564" s="2"/>
      <c r="F2564" s="2" t="str">
        <v>0</v>
      </c>
      <c r="I2564" s="2" t="str">
        <f ca="1">IFERROR(__xludf.DUMMYFUNCTION("""COMPUTED_VALUE"""),"Lâm Yến Vi")</f>
        <v>Lâm Yến Vi</v>
      </c>
      <c r="J2564" s="3" t="str">
        <f ca="1">IFERROR(__xludf.DUMMYFUNCTION("""COMPUTED_VALUE"""),"0819390307")</f>
        <v>0819390307</v>
      </c>
      <c r="K2564" s="2" t="str">
        <f ca="1">IFERROR(__xludf.DUMMYFUNCTION("""COMPUTED_VALUE"""),"1734203962183")</f>
        <v>1734203962183</v>
      </c>
    </row>
    <row r="2565" spans="1:11" ht="12.45">
      <c r="A2565" s="2" t="str">
        <f ca="1">IFERROR(__xludf.DUMMYFUNCTION("""COMPUTED_VALUE"""),"1734204074757")</f>
        <v>1734204074757</v>
      </c>
      <c r="B2565" s="2"/>
      <c r="C2565" s="2" t="str">
        <v>0</v>
      </c>
      <c r="D2565" s="2"/>
      <c r="F2565" s="2" t="str">
        <v>0</v>
      </c>
      <c r="I2565" s="2" t="str">
        <f ca="1">IFERROR(__xludf.DUMMYFUNCTION("""COMPUTED_VALUE"""),"Tạ Hoàng Mai Huóng")</f>
        <v>Tạ Hoàng Mai Huóng</v>
      </c>
      <c r="J2565" s="3" t="str">
        <f ca="1">IFERROR(__xludf.DUMMYFUNCTION("""COMPUTED_VALUE"""),"0399286993")</f>
        <v>0399286993</v>
      </c>
      <c r="K2565" s="2" t="str">
        <f ca="1">IFERROR(__xludf.DUMMYFUNCTION("""COMPUTED_VALUE"""),"1734204074757")</f>
        <v>1734204074757</v>
      </c>
    </row>
    <row r="2566" spans="1:11" ht="12.45">
      <c r="A2566" s="2" t="str">
        <f ca="1">IFERROR(__xludf.DUMMYFUNCTION("""COMPUTED_VALUE"""),"1734204195551")</f>
        <v>1734204195551</v>
      </c>
      <c r="B2566" s="2"/>
      <c r="C2566" s="2" t="str">
        <v>0</v>
      </c>
      <c r="D2566" s="2"/>
      <c r="F2566" s="2" t="str">
        <v>0</v>
      </c>
      <c r="I2566" s="2" t="str">
        <f ca="1">IFERROR(__xludf.DUMMYFUNCTION("""COMPUTED_VALUE"""),"Triệu Diệu Anh")</f>
        <v>Triệu Diệu Anh</v>
      </c>
      <c r="J2566" s="3" t="str">
        <f ca="1">IFERROR(__xludf.DUMMYFUNCTION("""COMPUTED_VALUE"""),"0886470507")</f>
        <v>0886470507</v>
      </c>
      <c r="K2566" s="2" t="str">
        <f ca="1">IFERROR(__xludf.DUMMYFUNCTION("""COMPUTED_VALUE"""),"1734204195551")</f>
        <v>1734204195551</v>
      </c>
    </row>
    <row r="2567" spans="1:11" ht="12.45">
      <c r="A2567" s="2" t="str">
        <f ca="1">IFERROR(__xludf.DUMMYFUNCTION("""COMPUTED_VALUE"""),"1734204292344")</f>
        <v>1734204292344</v>
      </c>
      <c r="B2567" s="2"/>
      <c r="C2567" s="2" t="str">
        <v>0</v>
      </c>
      <c r="D2567" s="2"/>
      <c r="F2567" s="2" t="str">
        <v>0</v>
      </c>
      <c r="I2567" s="2" t="str">
        <f ca="1">IFERROR(__xludf.DUMMYFUNCTION("""COMPUTED_VALUE"""),"Tăng Anh Thư")</f>
        <v>Tăng Anh Thư</v>
      </c>
      <c r="J2567" s="3" t="str">
        <f ca="1">IFERROR(__xludf.DUMMYFUNCTION("""COMPUTED_VALUE"""),"0962563395")</f>
        <v>0962563395</v>
      </c>
      <c r="K2567" s="2" t="str">
        <f ca="1">IFERROR(__xludf.DUMMYFUNCTION("""COMPUTED_VALUE"""),"1734204292344")</f>
        <v>1734204292344</v>
      </c>
    </row>
    <row r="2568" spans="1:11" ht="12.45">
      <c r="A2568" s="2" t="str">
        <f ca="1">IFERROR(__xludf.DUMMYFUNCTION("""COMPUTED_VALUE"""),"1734204411899")</f>
        <v>1734204411899</v>
      </c>
      <c r="B2568" s="2"/>
      <c r="C2568" s="2" t="str">
        <v>0</v>
      </c>
      <c r="D2568" s="2"/>
      <c r="F2568" s="2" t="str">
        <v>0</v>
      </c>
      <c r="I2568" s="2" t="str">
        <f ca="1">IFERROR(__xludf.DUMMYFUNCTION("""COMPUTED_VALUE"""),"Lưu Xuân Quỳnh")</f>
        <v>Lưu Xuân Quỳnh</v>
      </c>
      <c r="J2568" s="3" t="str">
        <f ca="1">IFERROR(__xludf.DUMMYFUNCTION("""COMPUTED_VALUE"""),"0335498550")</f>
        <v>0335498550</v>
      </c>
      <c r="K2568" s="2" t="str">
        <f ca="1">IFERROR(__xludf.DUMMYFUNCTION("""COMPUTED_VALUE"""),"1734204411899")</f>
        <v>1734204411899</v>
      </c>
    </row>
    <row r="2569" spans="1:11" ht="12.45">
      <c r="A2569" s="2" t="str">
        <f ca="1">IFERROR(__xludf.DUMMYFUNCTION("""COMPUTED_VALUE"""),"1734204533669")</f>
        <v>1734204533669</v>
      </c>
      <c r="B2569" s="2"/>
      <c r="C2569" s="2" t="str">
        <v>0</v>
      </c>
      <c r="D2569" s="2"/>
      <c r="F2569" s="2" t="str">
        <v>0</v>
      </c>
      <c r="I2569" s="2" t="str">
        <f ca="1">IFERROR(__xludf.DUMMYFUNCTION("""COMPUTED_VALUE"""),"Nguyễn Minh Ánh")</f>
        <v>Nguyễn Minh Ánh</v>
      </c>
      <c r="J2569" s="3" t="str">
        <f ca="1">IFERROR(__xludf.DUMMYFUNCTION("""COMPUTED_VALUE"""),"0383439097")</f>
        <v>0383439097</v>
      </c>
      <c r="K2569" s="2" t="str">
        <f ca="1">IFERROR(__xludf.DUMMYFUNCTION("""COMPUTED_VALUE"""),"1734204533669")</f>
        <v>1734204533669</v>
      </c>
    </row>
    <row r="2570" spans="1:11" ht="12.45">
      <c r="A2570" s="2" t="str">
        <f ca="1">IFERROR(__xludf.DUMMYFUNCTION("""COMPUTED_VALUE"""),"1734204661090")</f>
        <v>1734204661090</v>
      </c>
      <c r="B2570" s="2"/>
      <c r="C2570" s="2" t="str">
        <v>0</v>
      </c>
      <c r="D2570" s="2"/>
      <c r="F2570" s="2" t="str">
        <v>0</v>
      </c>
      <c r="I2570" s="2" t="str">
        <f ca="1">IFERROR(__xludf.DUMMYFUNCTION("""COMPUTED_VALUE"""),"Nguyễn Thị Thanh Trà")</f>
        <v>Nguyễn Thị Thanh Trà</v>
      </c>
      <c r="J2570" s="3" t="str">
        <f ca="1">IFERROR(__xludf.DUMMYFUNCTION("""COMPUTED_VALUE"""),"0383281162")</f>
        <v>0383281162</v>
      </c>
      <c r="K2570" s="2" t="str">
        <f ca="1">IFERROR(__xludf.DUMMYFUNCTION("""COMPUTED_VALUE"""),"1734204661090")</f>
        <v>1734204661090</v>
      </c>
    </row>
    <row r="2571" spans="1:11" ht="12.45">
      <c r="A2571" s="2" t="str">
        <f ca="1">IFERROR(__xludf.DUMMYFUNCTION("""COMPUTED_VALUE"""),"1734204767932")</f>
        <v>1734204767932</v>
      </c>
      <c r="B2571" s="2"/>
      <c r="C2571" s="2" t="str">
        <v>0</v>
      </c>
      <c r="D2571" s="2"/>
      <c r="F2571" s="2" t="str">
        <v>0</v>
      </c>
      <c r="I2571" s="2" t="str">
        <f ca="1">IFERROR(__xludf.DUMMYFUNCTION("""COMPUTED_VALUE"""),"Vũ Bích Hoà")</f>
        <v>Vũ Bích Hoà</v>
      </c>
      <c r="J2571" s="3" t="str">
        <f ca="1">IFERROR(__xludf.DUMMYFUNCTION("""COMPUTED_VALUE"""),"0378485071")</f>
        <v>0378485071</v>
      </c>
      <c r="K2571" s="2" t="str">
        <f ca="1">IFERROR(__xludf.DUMMYFUNCTION("""COMPUTED_VALUE"""),"1734204767932")</f>
        <v>1734204767932</v>
      </c>
    </row>
    <row r="2572" spans="1:11" ht="12.45">
      <c r="A2572" s="2" t="str">
        <f ca="1">IFERROR(__xludf.DUMMYFUNCTION("""COMPUTED_VALUE"""),"1744768435315")</f>
        <v>1744768435315</v>
      </c>
      <c r="B2572" s="2"/>
      <c r="C2572" s="2" t="str">
        <v>0</v>
      </c>
      <c r="D2572" s="2"/>
      <c r="F2572" s="2" t="str">
        <v>0</v>
      </c>
      <c r="I2572" s="2" t="str">
        <f ca="1">IFERROR(__xludf.DUMMYFUNCTION("""COMPUTED_VALUE"""),"Nguyễn Huyền Thương")</f>
        <v>Nguyễn Huyền Thương</v>
      </c>
      <c r="J2572" s="3" t="str">
        <f ca="1">IFERROR(__xludf.DUMMYFUNCTION("""COMPUTED_VALUE"""),"0985170736")</f>
        <v>0985170736</v>
      </c>
      <c r="K2572" s="2" t="str">
        <f ca="1">IFERROR(__xludf.DUMMYFUNCTION("""COMPUTED_VALUE"""),"1744768435315")</f>
        <v>1744768435315</v>
      </c>
    </row>
    <row r="2573" spans="1:11" ht="12.45">
      <c r="A2573" s="2" t="str">
        <f ca="1">IFERROR(__xludf.DUMMYFUNCTION("""COMPUTED_VALUE"""),"1734204856085")</f>
        <v>1734204856085</v>
      </c>
      <c r="B2573" s="2"/>
      <c r="C2573" s="2" t="str">
        <v>0</v>
      </c>
      <c r="D2573" s="2"/>
      <c r="F2573" s="2" t="str">
        <v>0</v>
      </c>
      <c r="I2573" s="2" t="str">
        <f ca="1">IFERROR(__xludf.DUMMYFUNCTION("""COMPUTED_VALUE"""),"Ngân Anh")</f>
        <v>Ngân Anh</v>
      </c>
      <c r="J2573" s="3" t="str">
        <f ca="1">IFERROR(__xludf.DUMMYFUNCTION("""COMPUTED_VALUE"""),"0937182007")</f>
        <v>0937182007</v>
      </c>
      <c r="K2573" s="2" t="str">
        <f ca="1">IFERROR(__xludf.DUMMYFUNCTION("""COMPUTED_VALUE"""),"1734204856085")</f>
        <v>1734204856085</v>
      </c>
    </row>
    <row r="2574" spans="1:11" ht="12.45">
      <c r="A2574" s="2" t="str">
        <f ca="1">IFERROR(__xludf.DUMMYFUNCTION("""COMPUTED_VALUE"""),"1734401374327")</f>
        <v>1734401374327</v>
      </c>
      <c r="B2574" s="2"/>
      <c r="C2574" s="2" t="str">
        <v>0</v>
      </c>
      <c r="D2574" s="2"/>
      <c r="F2574" s="2" t="str">
        <v>0</v>
      </c>
      <c r="I2574" s="2" t="str">
        <f ca="1">IFERROR(__xludf.DUMMYFUNCTION("""COMPUTED_VALUE"""),"Lý Thành Nhân")</f>
        <v>Lý Thành Nhân</v>
      </c>
      <c r="J2574" s="3" t="str">
        <f ca="1">IFERROR(__xludf.DUMMYFUNCTION("""COMPUTED_VALUE"""),"0839153493")</f>
        <v>0839153493</v>
      </c>
      <c r="K2574" s="2" t="str">
        <f ca="1">IFERROR(__xludf.DUMMYFUNCTION("""COMPUTED_VALUE"""),"1734401374327")</f>
        <v>1734401374327</v>
      </c>
    </row>
    <row r="2575" spans="1:11" ht="12.45">
      <c r="A2575" s="2" t="str">
        <f ca="1">IFERROR(__xludf.DUMMYFUNCTION("""COMPUTED_VALUE"""),"1734401455692")</f>
        <v>1734401455692</v>
      </c>
      <c r="B2575" s="2"/>
      <c r="C2575" s="2" t="str">
        <v>0</v>
      </c>
      <c r="D2575" s="2"/>
      <c r="F2575" s="2" t="str">
        <v>0</v>
      </c>
      <c r="I2575" s="2" t="str">
        <f ca="1">IFERROR(__xludf.DUMMYFUNCTION("""COMPUTED_VALUE"""),"Trần Hồng Anh")</f>
        <v>Trần Hồng Anh</v>
      </c>
      <c r="J2575" s="3" t="str">
        <f ca="1">IFERROR(__xludf.DUMMYFUNCTION("""COMPUTED_VALUE"""),"0369385852")</f>
        <v>0369385852</v>
      </c>
      <c r="K2575" s="2" t="str">
        <f ca="1">IFERROR(__xludf.DUMMYFUNCTION("""COMPUTED_VALUE"""),"1734401455692")</f>
        <v>1734401455692</v>
      </c>
    </row>
    <row r="2576" spans="1:11" ht="12.45">
      <c r="A2576" s="2" t="str">
        <f ca="1">IFERROR(__xludf.DUMMYFUNCTION("""COMPUTED_VALUE"""),"1734401509319")</f>
        <v>1734401509319</v>
      </c>
      <c r="B2576" s="2"/>
      <c r="C2576" s="2" t="str">
        <v>0</v>
      </c>
      <c r="D2576" s="2"/>
      <c r="F2576" s="2" t="str">
        <v>0</v>
      </c>
      <c r="I2576" s="2" t="str">
        <f ca="1">IFERROR(__xludf.DUMMYFUNCTION("""COMPUTED_VALUE"""),"Lương Đức Thiện")</f>
        <v>Lương Đức Thiện</v>
      </c>
      <c r="J2576" s="3" t="str">
        <f ca="1">IFERROR(__xludf.DUMMYFUNCTION("""COMPUTED_VALUE"""),"0355097510")</f>
        <v>0355097510</v>
      </c>
      <c r="K2576" s="2" t="str">
        <f ca="1">IFERROR(__xludf.DUMMYFUNCTION("""COMPUTED_VALUE"""),"1734401509319")</f>
        <v>1734401509319</v>
      </c>
    </row>
    <row r="2577" spans="1:11" ht="12.45">
      <c r="A2577" s="2" t="str">
        <f ca="1">IFERROR(__xludf.DUMMYFUNCTION("""COMPUTED_VALUE"""),"1734401567631")</f>
        <v>1734401567631</v>
      </c>
      <c r="B2577" s="2"/>
      <c r="C2577" s="2" t="str">
        <v>0</v>
      </c>
      <c r="D2577" s="2"/>
      <c r="F2577" s="2" t="str">
        <v>0</v>
      </c>
      <c r="I2577" s="2" t="str">
        <f ca="1">IFERROR(__xludf.DUMMYFUNCTION("""COMPUTED_VALUE"""),"Việt Hoàng ")</f>
        <v xml:space="preserve">Việt Hoàng </v>
      </c>
      <c r="J2577" s="3" t="str">
        <f ca="1">IFERROR(__xludf.DUMMYFUNCTION("""COMPUTED_VALUE"""),"0357795998")</f>
        <v>0357795998</v>
      </c>
      <c r="K2577" s="2" t="str">
        <f ca="1">IFERROR(__xludf.DUMMYFUNCTION("""COMPUTED_VALUE"""),"1734401567631")</f>
        <v>1734401567631</v>
      </c>
    </row>
    <row r="2578" spans="1:11" ht="12.45">
      <c r="A2578" s="2" t="str">
        <f ca="1">IFERROR(__xludf.DUMMYFUNCTION("""COMPUTED_VALUE"""),"1734401634445")</f>
        <v>1734401634445</v>
      </c>
      <c r="B2578" s="2"/>
      <c r="C2578" s="2" t="str">
        <v>0</v>
      </c>
      <c r="D2578" s="2"/>
      <c r="F2578" s="2" t="str">
        <v>0</v>
      </c>
      <c r="I2578" s="2" t="str">
        <f ca="1">IFERROR(__xludf.DUMMYFUNCTION("""COMPUTED_VALUE"""),"Nguyễn Ngọc Uyên Nhi")</f>
        <v>Nguyễn Ngọc Uyên Nhi</v>
      </c>
      <c r="J2578" s="3" t="str">
        <f ca="1">IFERROR(__xludf.DUMMYFUNCTION("""COMPUTED_VALUE"""),"0387575855")</f>
        <v>0387575855</v>
      </c>
      <c r="K2578" s="2" t="str">
        <f ca="1">IFERROR(__xludf.DUMMYFUNCTION("""COMPUTED_VALUE"""),"1734401634445")</f>
        <v>1734401634445</v>
      </c>
    </row>
    <row r="2579" spans="1:11" ht="12.45">
      <c r="A2579" s="2" t="str">
        <f ca="1">IFERROR(__xludf.DUMMYFUNCTION("""COMPUTED_VALUE"""),"1734401705451")</f>
        <v>1734401705451</v>
      </c>
      <c r="B2579" s="2"/>
      <c r="C2579" s="2" t="str">
        <v>0</v>
      </c>
      <c r="D2579" s="2"/>
      <c r="F2579" s="2" t="str">
        <v>0</v>
      </c>
      <c r="I2579" s="2" t="str">
        <f ca="1">IFERROR(__xludf.DUMMYFUNCTION("""COMPUTED_VALUE"""),"Trần Linh Anh")</f>
        <v>Trần Linh Anh</v>
      </c>
      <c r="J2579" s="3" t="str">
        <f ca="1">IFERROR(__xludf.DUMMYFUNCTION("""COMPUTED_VALUE"""),"0869681602")</f>
        <v>0869681602</v>
      </c>
      <c r="K2579" s="2" t="str">
        <f ca="1">IFERROR(__xludf.DUMMYFUNCTION("""COMPUTED_VALUE"""),"1734401705451")</f>
        <v>1734401705451</v>
      </c>
    </row>
    <row r="2580" spans="1:11" ht="12.45">
      <c r="A2580" s="2" t="str">
        <f ca="1">IFERROR(__xludf.DUMMYFUNCTION("""COMPUTED_VALUE"""),"1734401745431")</f>
        <v>1734401745431</v>
      </c>
      <c r="B2580" s="2"/>
      <c r="C2580" s="2" t="str">
        <v>0</v>
      </c>
      <c r="D2580" s="2"/>
      <c r="F2580" s="2" t="str">
        <v>0</v>
      </c>
      <c r="I2580" s="2" t="str">
        <f ca="1">IFERROR(__xludf.DUMMYFUNCTION("""COMPUTED_VALUE"""),"Hồ Thị Tú Quỳnh")</f>
        <v>Hồ Thị Tú Quỳnh</v>
      </c>
      <c r="J2580" s="3" t="str">
        <f ca="1">IFERROR(__xludf.DUMMYFUNCTION("""COMPUTED_VALUE"""),"0394231718")</f>
        <v>0394231718</v>
      </c>
      <c r="K2580" s="2" t="str">
        <f ca="1">IFERROR(__xludf.DUMMYFUNCTION("""COMPUTED_VALUE"""),"1734401745431")</f>
        <v>1734401745431</v>
      </c>
    </row>
    <row r="2581" spans="1:11" ht="12.45">
      <c r="A2581" s="2" t="str">
        <f ca="1">IFERROR(__xludf.DUMMYFUNCTION("""COMPUTED_VALUE"""),"1734401799529")</f>
        <v>1734401799529</v>
      </c>
      <c r="B2581" s="2"/>
      <c r="C2581" s="2" t="str">
        <v>0</v>
      </c>
      <c r="D2581" s="2"/>
      <c r="F2581" s="2" t="str">
        <v>0</v>
      </c>
      <c r="I2581" s="2" t="str">
        <f ca="1">IFERROR(__xludf.DUMMYFUNCTION("""COMPUTED_VALUE"""),"Nguyễn Hương Giang")</f>
        <v>Nguyễn Hương Giang</v>
      </c>
      <c r="J2581" s="3" t="str">
        <f ca="1">IFERROR(__xludf.DUMMYFUNCTION("""COMPUTED_VALUE"""),"0926456614")</f>
        <v>0926456614</v>
      </c>
      <c r="K2581" s="2" t="str">
        <f ca="1">IFERROR(__xludf.DUMMYFUNCTION("""COMPUTED_VALUE"""),"1734401799529")</f>
        <v>1734401799529</v>
      </c>
    </row>
    <row r="2582" spans="1:11" ht="12.45">
      <c r="A2582" s="2" t="str">
        <f ca="1">IFERROR(__xludf.DUMMYFUNCTION("""COMPUTED_VALUE"""),"1734401837316")</f>
        <v>1734401837316</v>
      </c>
      <c r="B2582" s="2"/>
      <c r="C2582" s="2" t="str">
        <v>0</v>
      </c>
      <c r="D2582" s="2"/>
      <c r="F2582" s="2" t="str">
        <v>0</v>
      </c>
      <c r="I2582" s="2" t="str">
        <f ca="1">IFERROR(__xludf.DUMMYFUNCTION("""COMPUTED_VALUE"""),"Vũ Thị Ngọc Anh ")</f>
        <v xml:space="preserve">Vũ Thị Ngọc Anh </v>
      </c>
      <c r="J2582" s="3" t="str">
        <f ca="1">IFERROR(__xludf.DUMMYFUNCTION("""COMPUTED_VALUE"""),"0978308513")</f>
        <v>0978308513</v>
      </c>
      <c r="K2582" s="2" t="str">
        <f ca="1">IFERROR(__xludf.DUMMYFUNCTION("""COMPUTED_VALUE"""),"1734401837316")</f>
        <v>1734401837316</v>
      </c>
    </row>
    <row r="2583" spans="1:11" ht="12.45">
      <c r="A2583" s="2" t="str">
        <f ca="1">IFERROR(__xludf.DUMMYFUNCTION("""COMPUTED_VALUE"""),"1734401866948")</f>
        <v>1734401866948</v>
      </c>
      <c r="B2583" s="2"/>
      <c r="C2583" s="2" t="str">
        <v>0</v>
      </c>
      <c r="D2583" s="2"/>
      <c r="F2583" s="2" t="str">
        <v>0</v>
      </c>
      <c r="I2583" s="2" t="str">
        <f ca="1">IFERROR(__xludf.DUMMYFUNCTION("""COMPUTED_VALUE"""),"Đặng Thị Hồng Ngọc")</f>
        <v>Đặng Thị Hồng Ngọc</v>
      </c>
      <c r="J2583" s="3" t="str">
        <f ca="1">IFERROR(__xludf.DUMMYFUNCTION("""COMPUTED_VALUE"""),"0862933986")</f>
        <v>0862933986</v>
      </c>
      <c r="K2583" s="2" t="str">
        <f ca="1">IFERROR(__xludf.DUMMYFUNCTION("""COMPUTED_VALUE"""),"1734401866948")</f>
        <v>1734401866948</v>
      </c>
    </row>
    <row r="2584" spans="1:11" ht="12.45">
      <c r="A2584" s="2" t="str">
        <f ca="1">IFERROR(__xludf.DUMMYFUNCTION("""COMPUTED_VALUE"""),"1734401911442")</f>
        <v>1734401911442</v>
      </c>
      <c r="B2584" s="2"/>
      <c r="C2584" s="2" t="str">
        <v>0</v>
      </c>
      <c r="D2584" s="2"/>
      <c r="F2584" s="2" t="str">
        <v>0</v>
      </c>
      <c r="I2584" s="2" t="str">
        <f ca="1">IFERROR(__xludf.DUMMYFUNCTION("""COMPUTED_VALUE"""),"Lê Hương Nhàn ")</f>
        <v xml:space="preserve">Lê Hương Nhàn </v>
      </c>
      <c r="J2584" s="3" t="str">
        <f ca="1">IFERROR(__xludf.DUMMYFUNCTION("""COMPUTED_VALUE"""),"0332989348")</f>
        <v>0332989348</v>
      </c>
      <c r="K2584" s="2" t="str">
        <f ca="1">IFERROR(__xludf.DUMMYFUNCTION("""COMPUTED_VALUE"""),"1734401911442")</f>
        <v>1734401911442</v>
      </c>
    </row>
    <row r="2585" spans="1:11" ht="12.45">
      <c r="A2585" s="2" t="str">
        <f ca="1">IFERROR(__xludf.DUMMYFUNCTION("""COMPUTED_VALUE"""),"1734401952659")</f>
        <v>1734401952659</v>
      </c>
      <c r="B2585" s="2"/>
      <c r="C2585" s="2" t="str">
        <v>0</v>
      </c>
      <c r="D2585" s="2"/>
      <c r="F2585" s="2" t="str">
        <v>0</v>
      </c>
      <c r="I2585" s="2" t="str">
        <f ca="1">IFERROR(__xludf.DUMMYFUNCTION("""COMPUTED_VALUE"""),"Vũ Thị Phương Uyên ")</f>
        <v xml:space="preserve">Vũ Thị Phương Uyên </v>
      </c>
      <c r="J2585" s="3" t="str">
        <f ca="1">IFERROR(__xludf.DUMMYFUNCTION("""COMPUTED_VALUE"""),"0978016478")</f>
        <v>0978016478</v>
      </c>
      <c r="K2585" s="2" t="str">
        <f ca="1">IFERROR(__xludf.DUMMYFUNCTION("""COMPUTED_VALUE"""),"1734401952659")</f>
        <v>1734401952659</v>
      </c>
    </row>
    <row r="2586" spans="1:11" ht="12.45">
      <c r="A2586" s="2" t="str">
        <f ca="1">IFERROR(__xludf.DUMMYFUNCTION("""COMPUTED_VALUE"""),"1734401999632")</f>
        <v>1734401999632</v>
      </c>
      <c r="B2586" s="2"/>
      <c r="C2586" s="2" t="str">
        <v>0</v>
      </c>
      <c r="D2586" s="2"/>
      <c r="F2586" s="2" t="str">
        <v>0</v>
      </c>
      <c r="I2586" s="2" t="str">
        <f ca="1">IFERROR(__xludf.DUMMYFUNCTION("""COMPUTED_VALUE"""),"Đồng Thảo Linh")</f>
        <v>Đồng Thảo Linh</v>
      </c>
      <c r="J2586" s="3" t="str">
        <f ca="1">IFERROR(__xludf.DUMMYFUNCTION("""COMPUTED_VALUE"""),"0388051635")</f>
        <v>0388051635</v>
      </c>
      <c r="K2586" s="2" t="str">
        <f ca="1">IFERROR(__xludf.DUMMYFUNCTION("""COMPUTED_VALUE"""),"1734401999632")</f>
        <v>1734401999632</v>
      </c>
    </row>
    <row r="2587" spans="1:11" ht="12.45">
      <c r="A2587" s="2" t="str">
        <f ca="1">IFERROR(__xludf.DUMMYFUNCTION("""COMPUTED_VALUE"""),"1734402034969")</f>
        <v>1734402034969</v>
      </c>
      <c r="B2587" s="2"/>
      <c r="C2587" s="2" t="str">
        <v>0</v>
      </c>
      <c r="D2587" s="2"/>
      <c r="F2587" s="2" t="str">
        <v>0</v>
      </c>
      <c r="I2587" s="2" t="str">
        <f ca="1">IFERROR(__xludf.DUMMYFUNCTION("""COMPUTED_VALUE"""),"Vũ Trương Minh Đức")</f>
        <v>Vũ Trương Minh Đức</v>
      </c>
      <c r="J2587" s="3" t="str">
        <f ca="1">IFERROR(__xludf.DUMMYFUNCTION("""COMPUTED_VALUE"""),"0903842657")</f>
        <v>0903842657</v>
      </c>
      <c r="K2587" s="2" t="str">
        <f ca="1">IFERROR(__xludf.DUMMYFUNCTION("""COMPUTED_VALUE"""),"1734402034969")</f>
        <v>1734402034969</v>
      </c>
    </row>
    <row r="2588" spans="1:11" ht="12.45">
      <c r="A2588" s="2" t="str">
        <f ca="1">IFERROR(__xludf.DUMMYFUNCTION("""COMPUTED_VALUE"""),"1734402062265")</f>
        <v>1734402062265</v>
      </c>
      <c r="B2588" s="2"/>
      <c r="C2588" s="2" t="str">
        <v>0</v>
      </c>
      <c r="D2588" s="2"/>
      <c r="F2588" s="2" t="str">
        <v>0</v>
      </c>
      <c r="I2588" s="2" t="str">
        <f ca="1">IFERROR(__xludf.DUMMYFUNCTION("""COMPUTED_VALUE"""),"Nguyễn Ngọc Phương Vy")</f>
        <v>Nguyễn Ngọc Phương Vy</v>
      </c>
      <c r="J2588" s="3" t="str">
        <f ca="1">IFERROR(__xludf.DUMMYFUNCTION("""COMPUTED_VALUE"""),"0376584103")</f>
        <v>0376584103</v>
      </c>
      <c r="K2588" s="2" t="str">
        <f ca="1">IFERROR(__xludf.DUMMYFUNCTION("""COMPUTED_VALUE"""),"1734402062265")</f>
        <v>1734402062265</v>
      </c>
    </row>
    <row r="2589" spans="1:11" ht="12.45">
      <c r="A2589" s="2" t="str">
        <f ca="1">IFERROR(__xludf.DUMMYFUNCTION("""COMPUTED_VALUE"""),"1734402095917")</f>
        <v>1734402095917</v>
      </c>
      <c r="B2589" s="2"/>
      <c r="C2589" s="2" t="str">
        <v>0</v>
      </c>
      <c r="D2589" s="2"/>
      <c r="F2589" s="2" t="str">
        <v>0</v>
      </c>
      <c r="I2589" s="2" t="str">
        <f ca="1">IFERROR(__xludf.DUMMYFUNCTION("""COMPUTED_VALUE"""),"Nguyễn Lê Hồng Ân")</f>
        <v>Nguyễn Lê Hồng Ân</v>
      </c>
      <c r="J2589" s="3" t="str">
        <f ca="1">IFERROR(__xludf.DUMMYFUNCTION("""COMPUTED_VALUE"""),"0949168414")</f>
        <v>0949168414</v>
      </c>
      <c r="K2589" s="2" t="str">
        <f ca="1">IFERROR(__xludf.DUMMYFUNCTION("""COMPUTED_VALUE"""),"1734402095917")</f>
        <v>1734402095917</v>
      </c>
    </row>
    <row r="2590" spans="1:11" ht="12.45">
      <c r="A2590" s="2" t="str">
        <f ca="1">IFERROR(__xludf.DUMMYFUNCTION("""COMPUTED_VALUE"""),"1734402128196")</f>
        <v>1734402128196</v>
      </c>
      <c r="B2590" s="2"/>
      <c r="C2590" s="2" t="str">
        <v>0</v>
      </c>
      <c r="D2590" s="2"/>
      <c r="F2590" s="2" t="str">
        <v>0</v>
      </c>
      <c r="I2590" s="2" t="str">
        <f ca="1">IFERROR(__xludf.DUMMYFUNCTION("""COMPUTED_VALUE"""),"Phạm Thị Thu Chang")</f>
        <v>Phạm Thị Thu Chang</v>
      </c>
      <c r="J2590" s="3" t="str">
        <f ca="1">IFERROR(__xludf.DUMMYFUNCTION("""COMPUTED_VALUE"""),"0968445518")</f>
        <v>0968445518</v>
      </c>
      <c r="K2590" s="2" t="str">
        <f ca="1">IFERROR(__xludf.DUMMYFUNCTION("""COMPUTED_VALUE"""),"1734402128196")</f>
        <v>1734402128196</v>
      </c>
    </row>
    <row r="2591" spans="1:11" ht="12.45">
      <c r="A2591" s="2" t="str">
        <f ca="1">IFERROR(__xludf.DUMMYFUNCTION("""COMPUTED_VALUE"""),"1734402158752")</f>
        <v>1734402158752</v>
      </c>
      <c r="B2591" s="2"/>
      <c r="C2591" s="2" t="str">
        <v>0</v>
      </c>
      <c r="D2591" s="2"/>
      <c r="F2591" s="2" t="str">
        <v>0</v>
      </c>
      <c r="I2591" s="2" t="str">
        <f ca="1">IFERROR(__xludf.DUMMYFUNCTION("""COMPUTED_VALUE"""),"Lê Ngọc Linh ")</f>
        <v xml:space="preserve">Lê Ngọc Linh </v>
      </c>
      <c r="J2591" s="3" t="str">
        <f ca="1">IFERROR(__xludf.DUMMYFUNCTION("""COMPUTED_VALUE"""),"0328320160")</f>
        <v>0328320160</v>
      </c>
      <c r="K2591" s="2" t="str">
        <f ca="1">IFERROR(__xludf.DUMMYFUNCTION("""COMPUTED_VALUE"""),"1734402158752")</f>
        <v>1734402158752</v>
      </c>
    </row>
    <row r="2592" spans="1:11" ht="12.45">
      <c r="A2592" s="2" t="str">
        <f ca="1">IFERROR(__xludf.DUMMYFUNCTION("""COMPUTED_VALUE"""),"1734402191198")</f>
        <v>1734402191198</v>
      </c>
      <c r="B2592" s="2"/>
      <c r="C2592" s="2" t="str">
        <v>0</v>
      </c>
      <c r="D2592" s="2"/>
      <c r="F2592" s="2" t="str">
        <v>0</v>
      </c>
      <c r="I2592" s="2" t="str">
        <f ca="1">IFERROR(__xludf.DUMMYFUNCTION("""COMPUTED_VALUE"""),"Lê Thị Thanh Huyền")</f>
        <v>Lê Thị Thanh Huyền</v>
      </c>
      <c r="J2592" s="3" t="str">
        <f ca="1">IFERROR(__xludf.DUMMYFUNCTION("""COMPUTED_VALUE"""),"0373874228")</f>
        <v>0373874228</v>
      </c>
      <c r="K2592" s="2" t="str">
        <f ca="1">IFERROR(__xludf.DUMMYFUNCTION("""COMPUTED_VALUE"""),"1734402191198")</f>
        <v>1734402191198</v>
      </c>
    </row>
    <row r="2593" spans="1:11" ht="12.45">
      <c r="A2593" s="2" t="str">
        <f ca="1">IFERROR(__xludf.DUMMYFUNCTION("""COMPUTED_VALUE"""),"1734402255525")</f>
        <v>1734402255525</v>
      </c>
      <c r="B2593" s="2"/>
      <c r="C2593" s="2" t="str">
        <v>0</v>
      </c>
      <c r="D2593" s="2"/>
      <c r="F2593" s="2" t="str">
        <v>0</v>
      </c>
      <c r="I2593" s="2" t="str">
        <f ca="1">IFERROR(__xludf.DUMMYFUNCTION("""COMPUTED_VALUE"""),"Cao Thuỳ Dương")</f>
        <v>Cao Thuỳ Dương</v>
      </c>
      <c r="J2593" s="3" t="str">
        <f ca="1">IFERROR(__xludf.DUMMYFUNCTION("""COMPUTED_VALUE"""),"0827882898")</f>
        <v>0827882898</v>
      </c>
      <c r="K2593" s="2" t="str">
        <f ca="1">IFERROR(__xludf.DUMMYFUNCTION("""COMPUTED_VALUE"""),"1734402255525")</f>
        <v>1734402255525</v>
      </c>
    </row>
    <row r="2594" spans="1:11" ht="12.45">
      <c r="A2594" s="2" t="str">
        <f ca="1">IFERROR(__xludf.DUMMYFUNCTION("""COMPUTED_VALUE"""),"1734402295562")</f>
        <v>1734402295562</v>
      </c>
      <c r="B2594" s="2"/>
      <c r="C2594" s="2" t="str">
        <v>0</v>
      </c>
      <c r="D2594" s="2"/>
      <c r="F2594" s="2" t="str">
        <v>0</v>
      </c>
      <c r="I2594" s="2" t="str">
        <f ca="1">IFERROR(__xludf.DUMMYFUNCTION("""COMPUTED_VALUE"""),"Nguyễn Thị Hằng")</f>
        <v>Nguyễn Thị Hằng</v>
      </c>
      <c r="J2594" s="3" t="str">
        <f ca="1">IFERROR(__xludf.DUMMYFUNCTION("""COMPUTED_VALUE"""),"0981262509")</f>
        <v>0981262509</v>
      </c>
      <c r="K2594" s="2" t="str">
        <f ca="1">IFERROR(__xludf.DUMMYFUNCTION("""COMPUTED_VALUE"""),"1734402295562")</f>
        <v>1734402295562</v>
      </c>
    </row>
    <row r="2595" spans="1:11" ht="12.45">
      <c r="A2595" s="2" t="str">
        <f ca="1">IFERROR(__xludf.DUMMYFUNCTION("""COMPUTED_VALUE"""),"1734402333610")</f>
        <v>1734402333610</v>
      </c>
      <c r="B2595" s="2"/>
      <c r="C2595" s="2" t="str">
        <v>0</v>
      </c>
      <c r="D2595" s="2"/>
      <c r="F2595" s="2" t="str">
        <v>0</v>
      </c>
      <c r="I2595" s="2" t="str">
        <f ca="1">IFERROR(__xludf.DUMMYFUNCTION("""COMPUTED_VALUE"""),"Nguyễn Thị Thanh Mai")</f>
        <v>Nguyễn Thị Thanh Mai</v>
      </c>
      <c r="J2595" s="3" t="str">
        <f ca="1">IFERROR(__xludf.DUMMYFUNCTION("""COMPUTED_VALUE"""),"0382114796")</f>
        <v>0382114796</v>
      </c>
      <c r="K2595" s="2" t="str">
        <f ca="1">IFERROR(__xludf.DUMMYFUNCTION("""COMPUTED_VALUE"""),"1734402333610")</f>
        <v>1734402333610</v>
      </c>
    </row>
    <row r="2596" spans="1:11" ht="12.45">
      <c r="A2596" s="2" t="str">
        <f ca="1">IFERROR(__xludf.DUMMYFUNCTION("""COMPUTED_VALUE"""),"1734402414511")</f>
        <v>1734402414511</v>
      </c>
      <c r="B2596" s="2"/>
      <c r="C2596" s="2" t="str">
        <v>0</v>
      </c>
      <c r="D2596" s="2"/>
      <c r="F2596" s="2" t="str">
        <v>0</v>
      </c>
      <c r="I2596" s="2" t="str">
        <f ca="1">IFERROR(__xludf.DUMMYFUNCTION("""COMPUTED_VALUE"""),"hoàng phương yến nhi")</f>
        <v>hoàng phương yến nhi</v>
      </c>
      <c r="J2596" s="3" t="str">
        <f ca="1">IFERROR(__xludf.DUMMYFUNCTION("""COMPUTED_VALUE"""),"0964945983")</f>
        <v>0964945983</v>
      </c>
      <c r="K2596" s="2" t="str">
        <f ca="1">IFERROR(__xludf.DUMMYFUNCTION("""COMPUTED_VALUE"""),"1734402414511")</f>
        <v>1734402414511</v>
      </c>
    </row>
    <row r="2597" spans="1:11" ht="12.45">
      <c r="A2597" s="2" t="str">
        <f ca="1">IFERROR(__xludf.DUMMYFUNCTION("""COMPUTED_VALUE"""),"1734402495607")</f>
        <v>1734402495607</v>
      </c>
      <c r="B2597" s="2"/>
      <c r="C2597" s="2" t="str">
        <v>0</v>
      </c>
      <c r="D2597" s="2"/>
      <c r="F2597" s="2" t="str">
        <v>0</v>
      </c>
      <c r="I2597" s="2" t="str">
        <f ca="1">IFERROR(__xludf.DUMMYFUNCTION("""COMPUTED_VALUE"""),"Vi Hoàng Như Ngọc")</f>
        <v>Vi Hoàng Như Ngọc</v>
      </c>
      <c r="J2597" s="3" t="str">
        <f ca="1">IFERROR(__xludf.DUMMYFUNCTION("""COMPUTED_VALUE"""),"0912411763")</f>
        <v>0912411763</v>
      </c>
      <c r="K2597" s="2" t="str">
        <f ca="1">IFERROR(__xludf.DUMMYFUNCTION("""COMPUTED_VALUE"""),"1734402495607")</f>
        <v>1734402495607</v>
      </c>
    </row>
    <row r="2598" spans="1:11" ht="12.45">
      <c r="A2598" s="2" t="str">
        <f ca="1">IFERROR(__xludf.DUMMYFUNCTION("""COMPUTED_VALUE"""),"1734402555313")</f>
        <v>1734402555313</v>
      </c>
      <c r="B2598" s="2"/>
      <c r="C2598" s="2" t="str">
        <v>0</v>
      </c>
      <c r="D2598" s="2"/>
      <c r="F2598" s="2" t="str">
        <v>0</v>
      </c>
      <c r="I2598" s="2" t="str">
        <f ca="1">IFERROR(__xludf.DUMMYFUNCTION("""COMPUTED_VALUE"""),"Phan Lê Xuân Hiếu")</f>
        <v>Phan Lê Xuân Hiếu</v>
      </c>
      <c r="J2598" s="3" t="str">
        <f ca="1">IFERROR(__xludf.DUMMYFUNCTION("""COMPUTED_VALUE"""),"0849253778")</f>
        <v>0849253778</v>
      </c>
      <c r="K2598" s="2" t="str">
        <f ca="1">IFERROR(__xludf.DUMMYFUNCTION("""COMPUTED_VALUE"""),"1734402555313")</f>
        <v>1734402555313</v>
      </c>
    </row>
    <row r="2599" spans="1:11" ht="12.45">
      <c r="A2599" s="2" t="str">
        <f ca="1">IFERROR(__xludf.DUMMYFUNCTION("""COMPUTED_VALUE"""),"1734402598702")</f>
        <v>1734402598702</v>
      </c>
      <c r="B2599" s="2"/>
      <c r="C2599" s="2" t="str">
        <v>0</v>
      </c>
      <c r="D2599" s="2"/>
      <c r="F2599" s="2" t="str">
        <v>0</v>
      </c>
      <c r="I2599" s="2" t="str">
        <f ca="1">IFERROR(__xludf.DUMMYFUNCTION("""COMPUTED_VALUE"""),"Lê Tấn Trọng")</f>
        <v>Lê Tấn Trọng</v>
      </c>
      <c r="J2599" s="3" t="str">
        <f ca="1">IFERROR(__xludf.DUMMYFUNCTION("""COMPUTED_VALUE"""),"0332350424")</f>
        <v>0332350424</v>
      </c>
      <c r="K2599" s="2" t="str">
        <f ca="1">IFERROR(__xludf.DUMMYFUNCTION("""COMPUTED_VALUE"""),"1734402598702")</f>
        <v>1734402598702</v>
      </c>
    </row>
    <row r="2600" spans="1:11" ht="12.45">
      <c r="A2600" s="2" t="str">
        <f ca="1">IFERROR(__xludf.DUMMYFUNCTION("""COMPUTED_VALUE"""),"1734402644087")</f>
        <v>1734402644087</v>
      </c>
      <c r="B2600" s="2"/>
      <c r="C2600" s="2" t="str">
        <v>0</v>
      </c>
      <c r="D2600" s="2"/>
      <c r="F2600" s="2" t="str">
        <v>0</v>
      </c>
      <c r="I2600" s="2" t="str">
        <f ca="1">IFERROR(__xludf.DUMMYFUNCTION("""COMPUTED_VALUE"""),"Lê Huy Hoàng")</f>
        <v>Lê Huy Hoàng</v>
      </c>
      <c r="J2600" s="3" t="str">
        <f ca="1">IFERROR(__xludf.DUMMYFUNCTION("""COMPUTED_VALUE"""),"0845744899")</f>
        <v>0845744899</v>
      </c>
      <c r="K2600" s="2" t="str">
        <f ca="1">IFERROR(__xludf.DUMMYFUNCTION("""COMPUTED_VALUE"""),"1734402644087")</f>
        <v>1734402644087</v>
      </c>
    </row>
    <row r="2601" spans="1:11" ht="12.45">
      <c r="A2601" s="2" t="str">
        <f ca="1">IFERROR(__xludf.DUMMYFUNCTION("""COMPUTED_VALUE"""),"1734402689336")</f>
        <v>1734402689336</v>
      </c>
      <c r="B2601" s="2"/>
      <c r="C2601" s="2" t="str">
        <v>0</v>
      </c>
      <c r="D2601" s="2"/>
      <c r="F2601" s="2" t="str">
        <v>0</v>
      </c>
      <c r="I2601" s="2" t="str">
        <f ca="1">IFERROR(__xludf.DUMMYFUNCTION("""COMPUTED_VALUE"""),"Trương Khánh Thuận ")</f>
        <v xml:space="preserve">Trương Khánh Thuận </v>
      </c>
      <c r="J2601" s="3" t="str">
        <f ca="1">IFERROR(__xludf.DUMMYFUNCTION("""COMPUTED_VALUE"""),"0906456652")</f>
        <v>0906456652</v>
      </c>
      <c r="K2601" s="2" t="str">
        <f ca="1">IFERROR(__xludf.DUMMYFUNCTION("""COMPUTED_VALUE"""),"1734402689336")</f>
        <v>1734402689336</v>
      </c>
    </row>
    <row r="2602" spans="1:11" ht="12.45">
      <c r="A2602" s="2" t="str">
        <f ca="1">IFERROR(__xludf.DUMMYFUNCTION("""COMPUTED_VALUE"""),"1734402755017")</f>
        <v>1734402755017</v>
      </c>
      <c r="B2602" s="2"/>
      <c r="C2602" s="2" t="str">
        <v>0</v>
      </c>
      <c r="D2602" s="2"/>
      <c r="F2602" s="2" t="str">
        <v>0</v>
      </c>
      <c r="I2602" s="2" t="str">
        <f ca="1">IFERROR(__xludf.DUMMYFUNCTION("""COMPUTED_VALUE"""),"Nguyễn Minh Huyền")</f>
        <v>Nguyễn Minh Huyền</v>
      </c>
      <c r="J2602" s="3" t="str">
        <f ca="1">IFERROR(__xludf.DUMMYFUNCTION("""COMPUTED_VALUE"""),"0973144138")</f>
        <v>0973144138</v>
      </c>
      <c r="K2602" s="2" t="str">
        <f ca="1">IFERROR(__xludf.DUMMYFUNCTION("""COMPUTED_VALUE"""),"1734402755017")</f>
        <v>1734402755017</v>
      </c>
    </row>
    <row r="2603" spans="1:11" ht="12.45">
      <c r="A2603" s="2" t="str">
        <f ca="1">IFERROR(__xludf.DUMMYFUNCTION("""COMPUTED_VALUE"""),"1734402792806")</f>
        <v>1734402792806</v>
      </c>
      <c r="B2603" s="2"/>
      <c r="C2603" s="2" t="str">
        <v>0</v>
      </c>
      <c r="D2603" s="2"/>
      <c r="F2603" s="2" t="str">
        <v>0</v>
      </c>
      <c r="I2603" s="2" t="str">
        <f ca="1">IFERROR(__xludf.DUMMYFUNCTION("""COMPUTED_VALUE"""),"Đặng Đông Đào")</f>
        <v>Đặng Đông Đào</v>
      </c>
      <c r="J2603" s="3" t="str">
        <f ca="1">IFERROR(__xludf.DUMMYFUNCTION("""COMPUTED_VALUE"""),"0968346177")</f>
        <v>0968346177</v>
      </c>
      <c r="K2603" s="2" t="str">
        <f ca="1">IFERROR(__xludf.DUMMYFUNCTION("""COMPUTED_VALUE"""),"1734402792806")</f>
        <v>1734402792806</v>
      </c>
    </row>
    <row r="2604" spans="1:11" ht="12.45">
      <c r="A2604" s="2" t="str">
        <f ca="1">IFERROR(__xludf.DUMMYFUNCTION("""COMPUTED_VALUE"""),"1734402821346")</f>
        <v>1734402821346</v>
      </c>
      <c r="B2604" s="2"/>
      <c r="C2604" s="2" t="str">
        <v>0</v>
      </c>
      <c r="D2604" s="2"/>
      <c r="F2604" s="2" t="str">
        <v>0</v>
      </c>
      <c r="I2604" s="2" t="str">
        <f ca="1">IFERROR(__xludf.DUMMYFUNCTION("""COMPUTED_VALUE"""),"Phạm Phương Ly ")</f>
        <v xml:space="preserve">Phạm Phương Ly </v>
      </c>
      <c r="J2604" s="3" t="str">
        <f ca="1">IFERROR(__xludf.DUMMYFUNCTION("""COMPUTED_VALUE"""),"0967900284")</f>
        <v>0967900284</v>
      </c>
      <c r="K2604" s="2" t="str">
        <f ca="1">IFERROR(__xludf.DUMMYFUNCTION("""COMPUTED_VALUE"""),"1734402821346")</f>
        <v>1734402821346</v>
      </c>
    </row>
    <row r="2605" spans="1:11" ht="12.45">
      <c r="A2605" s="2" t="str">
        <f ca="1">IFERROR(__xludf.DUMMYFUNCTION("""COMPUTED_VALUE"""),"1734402863380")</f>
        <v>1734402863380</v>
      </c>
      <c r="B2605" s="2"/>
      <c r="C2605" s="2" t="str">
        <v>0</v>
      </c>
      <c r="D2605" s="2"/>
      <c r="F2605" s="2" t="str">
        <v>0</v>
      </c>
      <c r="I2605" s="2" t="str">
        <f ca="1">IFERROR(__xludf.DUMMYFUNCTION("""COMPUTED_VALUE"""),"Nguyễn Như Ý")</f>
        <v>Nguyễn Như Ý</v>
      </c>
      <c r="J2605" s="3" t="str">
        <f ca="1">IFERROR(__xludf.DUMMYFUNCTION("""COMPUTED_VALUE"""),"0362221149")</f>
        <v>0362221149</v>
      </c>
      <c r="K2605" s="2" t="str">
        <f ca="1">IFERROR(__xludf.DUMMYFUNCTION("""COMPUTED_VALUE"""),"1734402863380")</f>
        <v>1734402863380</v>
      </c>
    </row>
    <row r="2606" spans="1:11" ht="12.45">
      <c r="A2606" s="2" t="str">
        <f ca="1">IFERROR(__xludf.DUMMYFUNCTION("""COMPUTED_VALUE"""),"1734402903060")</f>
        <v>1734402903060</v>
      </c>
      <c r="B2606" s="2"/>
      <c r="C2606" s="2" t="str">
        <v>0</v>
      </c>
      <c r="D2606" s="2"/>
      <c r="F2606" s="2" t="str">
        <v>0</v>
      </c>
      <c r="I2606" s="2" t="str">
        <f ca="1">IFERROR(__xludf.DUMMYFUNCTION("""COMPUTED_VALUE"""),"Bùi Thị Kim Oanh ")</f>
        <v xml:space="preserve">Bùi Thị Kim Oanh </v>
      </c>
      <c r="J2606" s="3" t="str">
        <f ca="1">IFERROR(__xludf.DUMMYFUNCTION("""COMPUTED_VALUE"""),"0392880209")</f>
        <v>0392880209</v>
      </c>
      <c r="K2606" s="2" t="str">
        <f ca="1">IFERROR(__xludf.DUMMYFUNCTION("""COMPUTED_VALUE"""),"1734402903060")</f>
        <v>1734402903060</v>
      </c>
    </row>
    <row r="2607" spans="1:11" ht="12.45">
      <c r="A2607" s="2" t="str">
        <f ca="1">IFERROR(__xludf.DUMMYFUNCTION("""COMPUTED_VALUE"""),"1734402957801")</f>
        <v>1734402957801</v>
      </c>
      <c r="B2607" s="2"/>
      <c r="C2607" s="2" t="str">
        <v>0</v>
      </c>
      <c r="D2607" s="2"/>
      <c r="F2607" s="2" t="str">
        <v>0</v>
      </c>
      <c r="I2607" s="2" t="str">
        <f ca="1">IFERROR(__xludf.DUMMYFUNCTION("""COMPUTED_VALUE"""),"Trần Đình Bách Tùng Anh")</f>
        <v>Trần Đình Bách Tùng Anh</v>
      </c>
      <c r="J2607" s="3" t="str">
        <f ca="1">IFERROR(__xludf.DUMMYFUNCTION("""COMPUTED_VALUE"""),"0903106154")</f>
        <v>0903106154</v>
      </c>
      <c r="K2607" s="2" t="str">
        <f ca="1">IFERROR(__xludf.DUMMYFUNCTION("""COMPUTED_VALUE"""),"1734402957801")</f>
        <v>1734402957801</v>
      </c>
    </row>
    <row r="2608" spans="1:11" ht="12.45">
      <c r="A2608" s="2" t="str">
        <f ca="1">IFERROR(__xludf.DUMMYFUNCTION("""COMPUTED_VALUE"""),"1734402994840")</f>
        <v>1734402994840</v>
      </c>
      <c r="B2608" s="2"/>
      <c r="C2608" s="2" t="str">
        <v>0</v>
      </c>
      <c r="D2608" s="2"/>
      <c r="F2608" s="2" t="str">
        <v>0</v>
      </c>
      <c r="I2608" s="2" t="str">
        <f ca="1">IFERROR(__xludf.DUMMYFUNCTION("""COMPUTED_VALUE"""),"Phạm Văn Mạnh ")</f>
        <v xml:space="preserve">Phạm Văn Mạnh </v>
      </c>
      <c r="J2608" s="3" t="str">
        <f ca="1">IFERROR(__xludf.DUMMYFUNCTION("""COMPUTED_VALUE"""),"0355584174")</f>
        <v>0355584174</v>
      </c>
      <c r="K2608" s="2" t="str">
        <f ca="1">IFERROR(__xludf.DUMMYFUNCTION("""COMPUTED_VALUE"""),"1734402994840")</f>
        <v>1734402994840</v>
      </c>
    </row>
    <row r="2609" spans="1:11" ht="12.45">
      <c r="A2609" s="2" t="str">
        <f ca="1">IFERROR(__xludf.DUMMYFUNCTION("""COMPUTED_VALUE"""),"1734403040518")</f>
        <v>1734403040518</v>
      </c>
      <c r="B2609" s="2"/>
      <c r="C2609" s="2" t="str">
        <v>0</v>
      </c>
      <c r="D2609" s="2"/>
      <c r="F2609" s="2" t="str">
        <v>0</v>
      </c>
      <c r="I2609" s="2" t="str">
        <f ca="1">IFERROR(__xludf.DUMMYFUNCTION("""COMPUTED_VALUE"""),"Nguyễn Ngọc Thanh Thảo")</f>
        <v>Nguyễn Ngọc Thanh Thảo</v>
      </c>
      <c r="J2609" s="3" t="str">
        <f ca="1">IFERROR(__xludf.DUMMYFUNCTION("""COMPUTED_VALUE"""),"0358425207")</f>
        <v>0358425207</v>
      </c>
      <c r="K2609" s="2" t="str">
        <f ca="1">IFERROR(__xludf.DUMMYFUNCTION("""COMPUTED_VALUE"""),"1734403040518")</f>
        <v>1734403040518</v>
      </c>
    </row>
    <row r="2610" spans="1:11" ht="12.45">
      <c r="A2610" s="2" t="str">
        <f ca="1">IFERROR(__xludf.DUMMYFUNCTION("""COMPUTED_VALUE"""),"1734403087579")</f>
        <v>1734403087579</v>
      </c>
      <c r="B2610" s="2"/>
      <c r="C2610" s="2" t="str">
        <v>0</v>
      </c>
      <c r="D2610" s="2"/>
      <c r="F2610" s="2" t="str">
        <v>0</v>
      </c>
      <c r="I2610" s="2" t="str">
        <f ca="1">IFERROR(__xludf.DUMMYFUNCTION("""COMPUTED_VALUE"""),"Ngô Khánh Ly")</f>
        <v>Ngô Khánh Ly</v>
      </c>
      <c r="J2610" s="3" t="str">
        <f ca="1">IFERROR(__xludf.DUMMYFUNCTION("""COMPUTED_VALUE"""),"0382924867")</f>
        <v>0382924867</v>
      </c>
      <c r="K2610" s="2" t="str">
        <f ca="1">IFERROR(__xludf.DUMMYFUNCTION("""COMPUTED_VALUE"""),"1734403087579")</f>
        <v>1734403087579</v>
      </c>
    </row>
    <row r="2611" spans="1:11" ht="12.45">
      <c r="A2611" s="2" t="str">
        <f ca="1">IFERROR(__xludf.DUMMYFUNCTION("""COMPUTED_VALUE"""),"1734403149355")</f>
        <v>1734403149355</v>
      </c>
      <c r="B2611" s="2"/>
      <c r="C2611" s="2" t="str">
        <v>0</v>
      </c>
      <c r="D2611" s="2"/>
      <c r="F2611" s="2" t="str">
        <v>0</v>
      </c>
      <c r="I2611" s="2" t="str">
        <f ca="1">IFERROR(__xludf.DUMMYFUNCTION("""COMPUTED_VALUE"""),"Nguyễn Ngọc Anh")</f>
        <v>Nguyễn Ngọc Anh</v>
      </c>
      <c r="J2611" s="3" t="str">
        <f ca="1">IFERROR(__xludf.DUMMYFUNCTION("""COMPUTED_VALUE"""),"0373812107")</f>
        <v>0373812107</v>
      </c>
      <c r="K2611" s="2" t="str">
        <f ca="1">IFERROR(__xludf.DUMMYFUNCTION("""COMPUTED_VALUE"""),"1734403149355")</f>
        <v>1734403149355</v>
      </c>
    </row>
    <row r="2612" spans="1:11" ht="12.45">
      <c r="A2612" s="2" t="str">
        <f ca="1">IFERROR(__xludf.DUMMYFUNCTION("""COMPUTED_VALUE"""),"1734403210027")</f>
        <v>1734403210027</v>
      </c>
      <c r="B2612" s="2"/>
      <c r="C2612" s="2" t="str">
        <v>0</v>
      </c>
      <c r="D2612" s="2"/>
      <c r="F2612" s="2" t="str">
        <v>0</v>
      </c>
      <c r="I2612" s="2" t="str">
        <f ca="1">IFERROR(__xludf.DUMMYFUNCTION("""COMPUTED_VALUE"""),"Hà Nguyễn Thế Nhật")</f>
        <v>Hà Nguyễn Thế Nhật</v>
      </c>
      <c r="J2612" s="3" t="str">
        <f ca="1">IFERROR(__xludf.DUMMYFUNCTION("""COMPUTED_VALUE"""),"0939103411")</f>
        <v>0939103411</v>
      </c>
      <c r="K2612" s="2" t="str">
        <f ca="1">IFERROR(__xludf.DUMMYFUNCTION("""COMPUTED_VALUE"""),"1734403210027")</f>
        <v>1734403210027</v>
      </c>
    </row>
    <row r="2613" spans="1:11" ht="12.45">
      <c r="A2613" s="2" t="str">
        <f ca="1">IFERROR(__xludf.DUMMYFUNCTION("""COMPUTED_VALUE"""),"1734403287921")</f>
        <v>1734403287921</v>
      </c>
      <c r="B2613" s="2"/>
      <c r="C2613" s="2" t="str">
        <v>0</v>
      </c>
      <c r="D2613" s="2"/>
      <c r="F2613" s="2" t="str">
        <v>0</v>
      </c>
      <c r="I2613" s="2" t="str">
        <f ca="1">IFERROR(__xludf.DUMMYFUNCTION("""COMPUTED_VALUE"""),"Nguyễn thị quỳnh anh")</f>
        <v>Nguyễn thị quỳnh anh</v>
      </c>
      <c r="J2613" s="3" t="str">
        <f ca="1">IFERROR(__xludf.DUMMYFUNCTION("""COMPUTED_VALUE"""),"0397172237")</f>
        <v>0397172237</v>
      </c>
      <c r="K2613" s="2" t="str">
        <f ca="1">IFERROR(__xludf.DUMMYFUNCTION("""COMPUTED_VALUE"""),"1734403287921")</f>
        <v>1734403287921</v>
      </c>
    </row>
    <row r="2614" spans="1:11" ht="12.45">
      <c r="A2614" s="2" t="str">
        <f ca="1">IFERROR(__xludf.DUMMYFUNCTION("""COMPUTED_VALUE"""),"1734403363367")</f>
        <v>1734403363367</v>
      </c>
      <c r="B2614" s="2"/>
      <c r="C2614" s="2" t="str">
        <v>0</v>
      </c>
      <c r="D2614" s="2"/>
      <c r="F2614" s="2" t="str">
        <v>0</v>
      </c>
      <c r="I2614" s="2" t="str">
        <f ca="1">IFERROR(__xludf.DUMMYFUNCTION("""COMPUTED_VALUE"""),"Nguyễn Thanh Thảo ")</f>
        <v xml:space="preserve">Nguyễn Thanh Thảo </v>
      </c>
      <c r="J2614" s="3" t="str">
        <f ca="1">IFERROR(__xludf.DUMMYFUNCTION("""COMPUTED_VALUE"""),"0856859778")</f>
        <v>0856859778</v>
      </c>
      <c r="K2614" s="2" t="str">
        <f ca="1">IFERROR(__xludf.DUMMYFUNCTION("""COMPUTED_VALUE"""),"1734403363367")</f>
        <v>1734403363367</v>
      </c>
    </row>
    <row r="2615" spans="1:11" ht="12.45">
      <c r="A2615" s="2" t="str">
        <f ca="1">IFERROR(__xludf.DUMMYFUNCTION("""COMPUTED_VALUE"""),"1734403443166")</f>
        <v>1734403443166</v>
      </c>
      <c r="B2615" s="2"/>
      <c r="C2615" s="2" t="str">
        <v>0</v>
      </c>
      <c r="D2615" s="2"/>
      <c r="F2615" s="2" t="str">
        <v>0</v>
      </c>
      <c r="I2615" s="2" t="str">
        <f ca="1">IFERROR(__xludf.DUMMYFUNCTION("""COMPUTED_VALUE"""),"Huỳnh Thị Diễm Hằng")</f>
        <v>Huỳnh Thị Diễm Hằng</v>
      </c>
      <c r="J2615" s="3" t="str">
        <f ca="1">IFERROR(__xludf.DUMMYFUNCTION("""COMPUTED_VALUE"""),"0338422821")</f>
        <v>0338422821</v>
      </c>
      <c r="K2615" s="2" t="str">
        <f ca="1">IFERROR(__xludf.DUMMYFUNCTION("""COMPUTED_VALUE"""),"1734403443166")</f>
        <v>1734403443166</v>
      </c>
    </row>
    <row r="2616" spans="1:11" ht="12.45">
      <c r="A2616" s="2" t="str">
        <f ca="1">IFERROR(__xludf.DUMMYFUNCTION("""COMPUTED_VALUE"""),"1734403504854")</f>
        <v>1734403504854</v>
      </c>
      <c r="B2616" s="2"/>
      <c r="C2616" s="2" t="str">
        <v>0</v>
      </c>
      <c r="D2616" s="2"/>
      <c r="F2616" s="2" t="str">
        <v>0</v>
      </c>
      <c r="I2616" s="2" t="str">
        <f ca="1">IFERROR(__xludf.DUMMYFUNCTION("""COMPUTED_VALUE"""),"Nông Thảo Thúy")</f>
        <v>Nông Thảo Thúy</v>
      </c>
      <c r="J2616" s="3" t="str">
        <f ca="1">IFERROR(__xludf.DUMMYFUNCTION("""COMPUTED_VALUE"""),"0827720249")</f>
        <v>0827720249</v>
      </c>
      <c r="K2616" s="2" t="str">
        <f ca="1">IFERROR(__xludf.DUMMYFUNCTION("""COMPUTED_VALUE"""),"1734403504854")</f>
        <v>1734403504854</v>
      </c>
    </row>
    <row r="2617" spans="1:11" ht="12.45">
      <c r="A2617" s="2" t="str">
        <f ca="1">IFERROR(__xludf.DUMMYFUNCTION("""COMPUTED_VALUE"""),"1734403566595")</f>
        <v>1734403566595</v>
      </c>
      <c r="B2617" s="2"/>
      <c r="C2617" s="2" t="str">
        <v>0</v>
      </c>
      <c r="D2617" s="2"/>
      <c r="F2617" s="2" t="str">
        <v>0</v>
      </c>
      <c r="I2617" s="2" t="str">
        <f ca="1">IFERROR(__xludf.DUMMYFUNCTION("""COMPUTED_VALUE"""),"Đoàn Hương Giang ")</f>
        <v xml:space="preserve">Đoàn Hương Giang </v>
      </c>
      <c r="J2617" s="3" t="str">
        <f ca="1">IFERROR(__xludf.DUMMYFUNCTION("""COMPUTED_VALUE"""),"0395281473")</f>
        <v>0395281473</v>
      </c>
      <c r="K2617" s="2" t="str">
        <f ca="1">IFERROR(__xludf.DUMMYFUNCTION("""COMPUTED_VALUE"""),"1734403566595")</f>
        <v>1734403566595</v>
      </c>
    </row>
    <row r="2618" spans="1:11" ht="12.45">
      <c r="A2618" s="2" t="str">
        <f ca="1">IFERROR(__xludf.DUMMYFUNCTION("""COMPUTED_VALUE"""),"1734403619394")</f>
        <v>1734403619394</v>
      </c>
      <c r="B2618" s="2"/>
      <c r="C2618" s="2" t="str">
        <v>0</v>
      </c>
      <c r="D2618" s="2"/>
      <c r="F2618" s="2" t="str">
        <v>0</v>
      </c>
      <c r="I2618" s="2" t="str">
        <f ca="1">IFERROR(__xludf.DUMMYFUNCTION("""COMPUTED_VALUE"""),"Lê Minh Anh ")</f>
        <v xml:space="preserve">Lê Minh Anh </v>
      </c>
      <c r="J2618" s="3" t="str">
        <f ca="1">IFERROR(__xludf.DUMMYFUNCTION("""COMPUTED_VALUE"""),"0385997696")</f>
        <v>0385997696</v>
      </c>
      <c r="K2618" s="2" t="str">
        <f ca="1">IFERROR(__xludf.DUMMYFUNCTION("""COMPUTED_VALUE"""),"1734403619394")</f>
        <v>1734403619394</v>
      </c>
    </row>
    <row r="2619" spans="1:11" ht="12.45">
      <c r="A2619" s="2" t="str">
        <f ca="1">IFERROR(__xludf.DUMMYFUNCTION("""COMPUTED_VALUE"""),"1734403668069")</f>
        <v>1734403668069</v>
      </c>
      <c r="B2619" s="2"/>
      <c r="C2619" s="2" t="str">
        <v>0</v>
      </c>
      <c r="D2619" s="2"/>
      <c r="F2619" s="2" t="str">
        <v>0</v>
      </c>
      <c r="I2619" s="2" t="str">
        <f ca="1">IFERROR(__xludf.DUMMYFUNCTION("""COMPUTED_VALUE"""),"Đỗ Thị Thanh Hường")</f>
        <v>Đỗ Thị Thanh Hường</v>
      </c>
      <c r="J2619" s="3" t="str">
        <f ca="1">IFERROR(__xludf.DUMMYFUNCTION("""COMPUTED_VALUE"""),"0706229541")</f>
        <v>0706229541</v>
      </c>
      <c r="K2619" s="2" t="str">
        <f ca="1">IFERROR(__xludf.DUMMYFUNCTION("""COMPUTED_VALUE"""),"1734403668069")</f>
        <v>1734403668069</v>
      </c>
    </row>
    <row r="2620" spans="1:11" ht="12.45">
      <c r="A2620" s="2" t="str">
        <f ca="1">IFERROR(__xludf.DUMMYFUNCTION("""COMPUTED_VALUE"""),"1734403720945")</f>
        <v>1734403720945</v>
      </c>
      <c r="B2620" s="2"/>
      <c r="C2620" s="2" t="str">
        <v>0</v>
      </c>
      <c r="D2620" s="2"/>
      <c r="F2620" s="2" t="str">
        <v>0</v>
      </c>
      <c r="I2620" s="2" t="str">
        <f ca="1">IFERROR(__xludf.DUMMYFUNCTION("""COMPUTED_VALUE"""),"Nguyễn Ngọc Diệp")</f>
        <v>Nguyễn Ngọc Diệp</v>
      </c>
      <c r="J2620" s="3" t="str">
        <f ca="1">IFERROR(__xludf.DUMMYFUNCTION("""COMPUTED_VALUE"""),"0389905956")</f>
        <v>0389905956</v>
      </c>
      <c r="K2620" s="2" t="str">
        <f ca="1">IFERROR(__xludf.DUMMYFUNCTION("""COMPUTED_VALUE"""),"1734403720945")</f>
        <v>1734403720945</v>
      </c>
    </row>
    <row r="2621" spans="1:11" ht="12.45">
      <c r="A2621" s="2" t="str">
        <f ca="1">IFERROR(__xludf.DUMMYFUNCTION("""COMPUTED_VALUE"""),"1734403761756")</f>
        <v>1734403761756</v>
      </c>
      <c r="B2621" s="2"/>
      <c r="C2621" s="2" t="str">
        <v>0</v>
      </c>
      <c r="D2621" s="2"/>
      <c r="F2621" s="2" t="str">
        <v>0</v>
      </c>
      <c r="I2621" s="2" t="str">
        <f ca="1">IFERROR(__xludf.DUMMYFUNCTION("""COMPUTED_VALUE"""),"Đào Hà My ")</f>
        <v xml:space="preserve">Đào Hà My </v>
      </c>
      <c r="J2621" s="3" t="str">
        <f ca="1">IFERROR(__xludf.DUMMYFUNCTION("""COMPUTED_VALUE"""),"0973264016")</f>
        <v>0973264016</v>
      </c>
      <c r="K2621" s="2" t="str">
        <f ca="1">IFERROR(__xludf.DUMMYFUNCTION("""COMPUTED_VALUE"""),"1734403761756")</f>
        <v>1734403761756</v>
      </c>
    </row>
    <row r="2622" spans="1:11" ht="12.45">
      <c r="A2622" s="2" t="str">
        <f ca="1">IFERROR(__xludf.DUMMYFUNCTION("""COMPUTED_VALUE"""),"1734403830353")</f>
        <v>1734403830353</v>
      </c>
      <c r="B2622" s="2"/>
      <c r="C2622" s="2" t="str">
        <v>0</v>
      </c>
      <c r="D2622" s="2"/>
      <c r="F2622" s="2" t="str">
        <v>0</v>
      </c>
      <c r="I2622" s="2" t="str">
        <f ca="1">IFERROR(__xludf.DUMMYFUNCTION("""COMPUTED_VALUE"""),"Trần Ngọc Như Ý ")</f>
        <v xml:space="preserve">Trần Ngọc Như Ý </v>
      </c>
      <c r="J2622" s="3" t="str">
        <f ca="1">IFERROR(__xludf.DUMMYFUNCTION("""COMPUTED_VALUE"""),"0823595982")</f>
        <v>0823595982</v>
      </c>
      <c r="K2622" s="2" t="str">
        <f ca="1">IFERROR(__xludf.DUMMYFUNCTION("""COMPUTED_VALUE"""),"1734403830353")</f>
        <v>1734403830353</v>
      </c>
    </row>
    <row r="2623" spans="1:11" ht="12.45">
      <c r="A2623" s="2" t="str">
        <f ca="1">IFERROR(__xludf.DUMMYFUNCTION("""COMPUTED_VALUE"""),"1734403891659")</f>
        <v>1734403891659</v>
      </c>
      <c r="B2623" s="2"/>
      <c r="C2623" s="2" t="str">
        <v>0</v>
      </c>
      <c r="D2623" s="2"/>
      <c r="F2623" s="2" t="str">
        <v>0</v>
      </c>
      <c r="I2623" s="2" t="str">
        <f ca="1">IFERROR(__xludf.DUMMYFUNCTION("""COMPUTED_VALUE"""),"Phạm Châu Anh")</f>
        <v>Phạm Châu Anh</v>
      </c>
      <c r="J2623" s="3" t="str">
        <f ca="1">IFERROR(__xludf.DUMMYFUNCTION("""COMPUTED_VALUE"""),"0941698484")</f>
        <v>0941698484</v>
      </c>
      <c r="K2623" s="2" t="str">
        <f ca="1">IFERROR(__xludf.DUMMYFUNCTION("""COMPUTED_VALUE"""),"1734403891659")</f>
        <v>1734403891659</v>
      </c>
    </row>
    <row r="2624" spans="1:11" ht="12.45">
      <c r="A2624" s="2" t="str">
        <f ca="1">IFERROR(__xludf.DUMMYFUNCTION("""COMPUTED_VALUE"""),"1734403933496")</f>
        <v>1734403933496</v>
      </c>
      <c r="B2624" s="2"/>
      <c r="C2624" s="2" t="str">
        <v>0</v>
      </c>
      <c r="D2624" s="2"/>
      <c r="F2624" s="2" t="str">
        <v>0</v>
      </c>
      <c r="I2624" s="2" t="str">
        <f ca="1">IFERROR(__xludf.DUMMYFUNCTION("""COMPUTED_VALUE"""),"Nguyễn Gia Hỷ")</f>
        <v>Nguyễn Gia Hỷ</v>
      </c>
      <c r="J2624" s="3" t="str">
        <f ca="1">IFERROR(__xludf.DUMMYFUNCTION("""COMPUTED_VALUE"""),"0937887264")</f>
        <v>0937887264</v>
      </c>
      <c r="K2624" s="2" t="str">
        <f ca="1">IFERROR(__xludf.DUMMYFUNCTION("""COMPUTED_VALUE"""),"1734403933496")</f>
        <v>1734403933496</v>
      </c>
    </row>
    <row r="2625" spans="1:11" ht="12.45">
      <c r="A2625" s="2" t="str">
        <f ca="1">IFERROR(__xludf.DUMMYFUNCTION("""COMPUTED_VALUE"""),"1734403979198")</f>
        <v>1734403979198</v>
      </c>
      <c r="B2625" s="2"/>
      <c r="C2625" s="2" t="str">
        <v>0</v>
      </c>
      <c r="D2625" s="2"/>
      <c r="F2625" s="2" t="str">
        <v>0</v>
      </c>
      <c r="I2625" s="2" t="str">
        <f ca="1">IFERROR(__xludf.DUMMYFUNCTION("""COMPUTED_VALUE"""),"Vũ Diệu Linh")</f>
        <v>Vũ Diệu Linh</v>
      </c>
      <c r="J2625" s="3" t="str">
        <f ca="1">IFERROR(__xludf.DUMMYFUNCTION("""COMPUTED_VALUE"""),"0886956986")</f>
        <v>0886956986</v>
      </c>
      <c r="K2625" s="2" t="str">
        <f ca="1">IFERROR(__xludf.DUMMYFUNCTION("""COMPUTED_VALUE"""),"1734403979198")</f>
        <v>1734403979198</v>
      </c>
    </row>
    <row r="2626" spans="1:11" ht="12.45">
      <c r="A2626" s="2" t="str">
        <f ca="1">IFERROR(__xludf.DUMMYFUNCTION("""COMPUTED_VALUE"""),"1734404029932")</f>
        <v>1734404029932</v>
      </c>
      <c r="B2626" s="2"/>
      <c r="C2626" s="2" t="str">
        <v>0</v>
      </c>
      <c r="D2626" s="2"/>
      <c r="F2626" s="2" t="str">
        <v>0</v>
      </c>
      <c r="I2626" s="2" t="str">
        <f ca="1">IFERROR(__xludf.DUMMYFUNCTION("""COMPUTED_VALUE"""),"Nguyễn Lê Khánh ngọc ")</f>
        <v xml:space="preserve">Nguyễn Lê Khánh ngọc </v>
      </c>
      <c r="J2626" s="3" t="str">
        <f ca="1">IFERROR(__xludf.DUMMYFUNCTION("""COMPUTED_VALUE"""),"0908222073")</f>
        <v>0908222073</v>
      </c>
      <c r="K2626" s="2" t="str">
        <f ca="1">IFERROR(__xludf.DUMMYFUNCTION("""COMPUTED_VALUE"""),"1734404029932")</f>
        <v>1734404029932</v>
      </c>
    </row>
    <row r="2627" spans="1:11" ht="12.45">
      <c r="A2627" s="2" t="str">
        <f ca="1">IFERROR(__xludf.DUMMYFUNCTION("""COMPUTED_VALUE"""),"1734404075965")</f>
        <v>1734404075965</v>
      </c>
      <c r="B2627" s="2"/>
      <c r="C2627" s="2" t="str">
        <v>0</v>
      </c>
      <c r="D2627" s="2"/>
      <c r="F2627" s="2" t="str">
        <v>0</v>
      </c>
      <c r="I2627" s="2" t="str">
        <f ca="1">IFERROR(__xludf.DUMMYFUNCTION("""COMPUTED_VALUE"""),"Lê Thị Khánh Linh")</f>
        <v>Lê Thị Khánh Linh</v>
      </c>
      <c r="J2627" s="3" t="str">
        <f ca="1">IFERROR(__xludf.DUMMYFUNCTION("""COMPUTED_VALUE"""),"0773338913")</f>
        <v>0773338913</v>
      </c>
      <c r="K2627" s="2" t="str">
        <f ca="1">IFERROR(__xludf.DUMMYFUNCTION("""COMPUTED_VALUE"""),"1734404075965")</f>
        <v>1734404075965</v>
      </c>
    </row>
    <row r="2628" spans="1:11" ht="12.45">
      <c r="A2628" s="2" t="str">
        <f ca="1">IFERROR(__xludf.DUMMYFUNCTION("""COMPUTED_VALUE"""),"1734404118806")</f>
        <v>1734404118806</v>
      </c>
      <c r="B2628" s="2"/>
      <c r="C2628" s="2" t="str">
        <v>0</v>
      </c>
      <c r="D2628" s="2"/>
      <c r="F2628" s="2" t="str">
        <v>0</v>
      </c>
      <c r="I2628" s="2" t="str">
        <f ca="1">IFERROR(__xludf.DUMMYFUNCTION("""COMPUTED_VALUE"""),"Trần Thuỳ Phương")</f>
        <v>Trần Thuỳ Phương</v>
      </c>
      <c r="J2628" s="3" t="str">
        <f ca="1">IFERROR(__xludf.DUMMYFUNCTION("""COMPUTED_VALUE"""),"0382420082")</f>
        <v>0382420082</v>
      </c>
      <c r="K2628" s="2" t="str">
        <f ca="1">IFERROR(__xludf.DUMMYFUNCTION("""COMPUTED_VALUE"""),"1734404118806")</f>
        <v>1734404118806</v>
      </c>
    </row>
    <row r="2629" spans="1:11" ht="12.45">
      <c r="A2629" s="2" t="str">
        <f ca="1">IFERROR(__xludf.DUMMYFUNCTION("""COMPUTED_VALUE"""),"1734404156023")</f>
        <v>1734404156023</v>
      </c>
      <c r="B2629" s="2"/>
      <c r="C2629" s="2" t="str">
        <v>0</v>
      </c>
      <c r="D2629" s="2"/>
      <c r="F2629" s="2" t="str">
        <v>0</v>
      </c>
      <c r="I2629" s="2" t="str">
        <f ca="1">IFERROR(__xludf.DUMMYFUNCTION("""COMPUTED_VALUE"""),"Đặng Thị Anh Thư")</f>
        <v>Đặng Thị Anh Thư</v>
      </c>
      <c r="J2629" s="3" t="str">
        <f ca="1">IFERROR(__xludf.DUMMYFUNCTION("""COMPUTED_VALUE"""),"0366532477")</f>
        <v>0366532477</v>
      </c>
      <c r="K2629" s="2" t="str">
        <f ca="1">IFERROR(__xludf.DUMMYFUNCTION("""COMPUTED_VALUE"""),"1734404156023")</f>
        <v>1734404156023</v>
      </c>
    </row>
    <row r="2630" spans="1:11" ht="12.45">
      <c r="A2630" s="2" t="str">
        <f ca="1">IFERROR(__xludf.DUMMYFUNCTION("""COMPUTED_VALUE"""),"1734404206293")</f>
        <v>1734404206293</v>
      </c>
      <c r="B2630" s="2"/>
      <c r="C2630" s="2" t="str">
        <v>0</v>
      </c>
      <c r="D2630" s="2"/>
      <c r="F2630" s="2" t="str">
        <v>0</v>
      </c>
      <c r="I2630" s="2" t="str">
        <f ca="1">IFERROR(__xludf.DUMMYFUNCTION("""COMPUTED_VALUE"""),"Nguyễn Thị Thanh Kiều")</f>
        <v>Nguyễn Thị Thanh Kiều</v>
      </c>
      <c r="J2630" s="3" t="str">
        <f ca="1">IFERROR(__xludf.DUMMYFUNCTION("""COMPUTED_VALUE"""),"0386158824")</f>
        <v>0386158824</v>
      </c>
      <c r="K2630" s="2" t="str">
        <f ca="1">IFERROR(__xludf.DUMMYFUNCTION("""COMPUTED_VALUE"""),"1734404206293")</f>
        <v>1734404206293</v>
      </c>
    </row>
    <row r="2631" spans="1:11" ht="12.45">
      <c r="A2631" s="2" t="str">
        <f ca="1">IFERROR(__xludf.DUMMYFUNCTION("""COMPUTED_VALUE"""),"1734404253841")</f>
        <v>1734404253841</v>
      </c>
      <c r="B2631" s="2"/>
      <c r="C2631" s="2" t="str">
        <v>0</v>
      </c>
      <c r="D2631" s="2"/>
      <c r="F2631" s="2" t="str">
        <v>0</v>
      </c>
      <c r="I2631" s="2" t="str">
        <f ca="1">IFERROR(__xludf.DUMMYFUNCTION("""COMPUTED_VALUE"""),"Đàm Quỳnh Như")</f>
        <v>Đàm Quỳnh Như</v>
      </c>
      <c r="J2631" s="3" t="str">
        <f ca="1">IFERROR(__xludf.DUMMYFUNCTION("""COMPUTED_VALUE"""),"0386535517")</f>
        <v>0386535517</v>
      </c>
      <c r="K2631" s="2" t="str">
        <f ca="1">IFERROR(__xludf.DUMMYFUNCTION("""COMPUTED_VALUE"""),"1734404253841")</f>
        <v>1734404253841</v>
      </c>
    </row>
    <row r="2632" spans="1:11" ht="12.45">
      <c r="A2632" s="2" t="str">
        <f ca="1">IFERROR(__xludf.DUMMYFUNCTION("""COMPUTED_VALUE"""),"1734404311112")</f>
        <v>1734404311112</v>
      </c>
      <c r="B2632" s="2"/>
      <c r="C2632" s="2" t="str">
        <v>0</v>
      </c>
      <c r="D2632" s="2"/>
      <c r="F2632" s="2" t="str">
        <v>0</v>
      </c>
      <c r="I2632" s="2" t="str">
        <f ca="1">IFERROR(__xludf.DUMMYFUNCTION("""COMPUTED_VALUE"""),"Đoàn Ngọc Khánh")</f>
        <v>Đoàn Ngọc Khánh</v>
      </c>
      <c r="J2632" s="3" t="str">
        <f ca="1">IFERROR(__xludf.DUMMYFUNCTION("""COMPUTED_VALUE"""),"0344861057")</f>
        <v>0344861057</v>
      </c>
      <c r="K2632" s="2" t="str">
        <f ca="1">IFERROR(__xludf.DUMMYFUNCTION("""COMPUTED_VALUE"""),"1734404311112")</f>
        <v>1734404311112</v>
      </c>
    </row>
    <row r="2633" spans="1:11" ht="12.45">
      <c r="A2633" s="2" t="str">
        <f ca="1">IFERROR(__xludf.DUMMYFUNCTION("""COMPUTED_VALUE"""),"1734404355419")</f>
        <v>1734404355419</v>
      </c>
      <c r="B2633" s="2"/>
      <c r="C2633" s="2" t="str">
        <v>0</v>
      </c>
      <c r="D2633" s="2"/>
      <c r="F2633" s="2" t="str">
        <v>0</v>
      </c>
      <c r="I2633" s="2" t="str">
        <f ca="1">IFERROR(__xludf.DUMMYFUNCTION("""COMPUTED_VALUE"""),"Tô Yến Khanh ")</f>
        <v xml:space="preserve">Tô Yến Khanh </v>
      </c>
      <c r="J2633" s="3" t="str">
        <f ca="1">IFERROR(__xludf.DUMMYFUNCTION("""COMPUTED_VALUE"""),"0905547350")</f>
        <v>0905547350</v>
      </c>
      <c r="K2633" s="2" t="str">
        <f ca="1">IFERROR(__xludf.DUMMYFUNCTION("""COMPUTED_VALUE"""),"1734404355419")</f>
        <v>1734404355419</v>
      </c>
    </row>
    <row r="2634" spans="1:11" ht="12.45">
      <c r="A2634" s="2" t="str">
        <f ca="1">IFERROR(__xludf.DUMMYFUNCTION("""COMPUTED_VALUE"""),"1734404395394")</f>
        <v>1734404395394</v>
      </c>
      <c r="B2634" s="2"/>
      <c r="C2634" s="2" t="str">
        <v>0</v>
      </c>
      <c r="D2634" s="2"/>
      <c r="F2634" s="2" t="str">
        <v>0</v>
      </c>
      <c r="I2634" s="2" t="str">
        <f ca="1">IFERROR(__xludf.DUMMYFUNCTION("""COMPUTED_VALUE"""),"Lý Thị Hoài ")</f>
        <v xml:space="preserve">Lý Thị Hoài </v>
      </c>
      <c r="J2634" s="3" t="str">
        <f ca="1">IFERROR(__xludf.DUMMYFUNCTION("""COMPUTED_VALUE"""),"0886093316")</f>
        <v>0886093316</v>
      </c>
      <c r="K2634" s="2" t="str">
        <f ca="1">IFERROR(__xludf.DUMMYFUNCTION("""COMPUTED_VALUE"""),"1734404395394")</f>
        <v>1734404395394</v>
      </c>
    </row>
    <row r="2635" spans="1:11" ht="12.45">
      <c r="A2635" s="2" t="str">
        <f ca="1">IFERROR(__xludf.DUMMYFUNCTION("""COMPUTED_VALUE"""),"1734404436862")</f>
        <v>1734404436862</v>
      </c>
      <c r="B2635" s="2"/>
      <c r="C2635" s="2" t="str">
        <v>0</v>
      </c>
      <c r="D2635" s="2"/>
      <c r="F2635" s="2" t="str">
        <v>0</v>
      </c>
      <c r="I2635" s="2" t="str">
        <f ca="1">IFERROR(__xludf.DUMMYFUNCTION("""COMPUTED_VALUE"""),"Nguyễn Thị Hoàng Diệu")</f>
        <v>Nguyễn Thị Hoàng Diệu</v>
      </c>
      <c r="J2635" s="3" t="str">
        <f ca="1">IFERROR(__xludf.DUMMYFUNCTION("""COMPUTED_VALUE"""),"0779160707")</f>
        <v>0779160707</v>
      </c>
      <c r="K2635" s="2" t="str">
        <f ca="1">IFERROR(__xludf.DUMMYFUNCTION("""COMPUTED_VALUE"""),"1734404436862")</f>
        <v>1734404436862</v>
      </c>
    </row>
    <row r="2636" spans="1:11" ht="12.45">
      <c r="A2636" s="2" t="str">
        <f ca="1">IFERROR(__xludf.DUMMYFUNCTION("""COMPUTED_VALUE"""),"1734404481989")</f>
        <v>1734404481989</v>
      </c>
      <c r="B2636" s="2"/>
      <c r="C2636" s="2" t="str">
        <v>0</v>
      </c>
      <c r="D2636" s="2"/>
      <c r="F2636" s="2" t="str">
        <v>0</v>
      </c>
      <c r="I2636" s="2" t="str">
        <f ca="1">IFERROR(__xludf.DUMMYFUNCTION("""COMPUTED_VALUE"""),"Nguyễn Huỳnh Bảo Trâm")</f>
        <v>Nguyễn Huỳnh Bảo Trâm</v>
      </c>
      <c r="J2636" s="3" t="str">
        <f ca="1">IFERROR(__xludf.DUMMYFUNCTION("""COMPUTED_VALUE"""),"0797364115")</f>
        <v>0797364115</v>
      </c>
      <c r="K2636" s="2" t="str">
        <f ca="1">IFERROR(__xludf.DUMMYFUNCTION("""COMPUTED_VALUE"""),"1734404481989")</f>
        <v>1734404481989</v>
      </c>
    </row>
    <row r="2637" spans="1:11" ht="12.45">
      <c r="A2637" s="2" t="str">
        <f ca="1">IFERROR(__xludf.DUMMYFUNCTION("""COMPUTED_VALUE"""),"1734404524203")</f>
        <v>1734404524203</v>
      </c>
      <c r="B2637" s="2"/>
      <c r="C2637" s="2" t="str">
        <v>0</v>
      </c>
      <c r="D2637" s="2"/>
      <c r="F2637" s="2" t="str">
        <v>0</v>
      </c>
      <c r="I2637" s="2" t="str">
        <f ca="1">IFERROR(__xludf.DUMMYFUNCTION("""COMPUTED_VALUE"""),"ĐỖ KHÁNH HUYỀN")</f>
        <v>ĐỖ KHÁNH HUYỀN</v>
      </c>
      <c r="J2637" s="3" t="str">
        <f ca="1">IFERROR(__xludf.DUMMYFUNCTION("""COMPUTED_VALUE"""),"0862730581")</f>
        <v>0862730581</v>
      </c>
      <c r="K2637" s="2" t="str">
        <f ca="1">IFERROR(__xludf.DUMMYFUNCTION("""COMPUTED_VALUE"""),"1734404524203")</f>
        <v>1734404524203</v>
      </c>
    </row>
    <row r="2638" spans="1:11" ht="12.45">
      <c r="A2638" s="2" t="str">
        <f ca="1">IFERROR(__xludf.DUMMYFUNCTION("""COMPUTED_VALUE"""),"1734404578147")</f>
        <v>1734404578147</v>
      </c>
      <c r="B2638" s="2"/>
      <c r="C2638" s="2" t="str">
        <v>0</v>
      </c>
      <c r="D2638" s="2"/>
      <c r="F2638" s="2" t="str">
        <v>0</v>
      </c>
      <c r="I2638" s="2" t="str">
        <f ca="1">IFERROR(__xludf.DUMMYFUNCTION("""COMPUTED_VALUE"""),"Lê Khánh Huyền")</f>
        <v>Lê Khánh Huyền</v>
      </c>
      <c r="J2638" s="3" t="str">
        <f ca="1">IFERROR(__xludf.DUMMYFUNCTION("""COMPUTED_VALUE"""),"0399619526")</f>
        <v>0399619526</v>
      </c>
      <c r="K2638" s="2" t="str">
        <f ca="1">IFERROR(__xludf.DUMMYFUNCTION("""COMPUTED_VALUE"""),"1734404578147")</f>
        <v>1734404578147</v>
      </c>
    </row>
    <row r="2639" spans="1:11" ht="12.45">
      <c r="A2639" s="2" t="str">
        <f ca="1">IFERROR(__xludf.DUMMYFUNCTION("""COMPUTED_VALUE"""),"1734404623772")</f>
        <v>1734404623772</v>
      </c>
      <c r="B2639" s="2"/>
      <c r="C2639" s="2" t="str">
        <v>0</v>
      </c>
      <c r="D2639" s="2"/>
      <c r="F2639" s="2" t="str">
        <v>0</v>
      </c>
      <c r="I2639" s="2" t="str">
        <f ca="1">IFERROR(__xludf.DUMMYFUNCTION("""COMPUTED_VALUE"""),"Phan Cảnh Minh Anh")</f>
        <v>Phan Cảnh Minh Anh</v>
      </c>
      <c r="J2639" s="3" t="str">
        <f ca="1">IFERROR(__xludf.DUMMYFUNCTION("""COMPUTED_VALUE"""),"0786332913")</f>
        <v>0786332913</v>
      </c>
      <c r="K2639" s="2" t="str">
        <f ca="1">IFERROR(__xludf.DUMMYFUNCTION("""COMPUTED_VALUE"""),"1734404623772")</f>
        <v>1734404623772</v>
      </c>
    </row>
    <row r="2640" spans="1:11" ht="12.45">
      <c r="A2640" s="2" t="str">
        <f ca="1">IFERROR(__xludf.DUMMYFUNCTION("""COMPUTED_VALUE"""),"1734404695667")</f>
        <v>1734404695667</v>
      </c>
      <c r="B2640" s="2"/>
      <c r="C2640" s="2" t="str">
        <v>0</v>
      </c>
      <c r="D2640" s="2"/>
      <c r="F2640" s="2" t="str">
        <v>0</v>
      </c>
      <c r="I2640" s="2" t="str">
        <f ca="1">IFERROR(__xludf.DUMMYFUNCTION("""COMPUTED_VALUE"""),"Nguyễn Ngọc Diệp")</f>
        <v>Nguyễn Ngọc Diệp</v>
      </c>
      <c r="J2640" s="3" t="str">
        <f ca="1">IFERROR(__xludf.DUMMYFUNCTION("""COMPUTED_VALUE"""),"0392695386")</f>
        <v>0392695386</v>
      </c>
      <c r="K2640" s="2" t="str">
        <f ca="1">IFERROR(__xludf.DUMMYFUNCTION("""COMPUTED_VALUE"""),"1734404695667")</f>
        <v>1734404695667</v>
      </c>
    </row>
    <row r="2641" spans="1:11" ht="12.45">
      <c r="A2641" s="2" t="str">
        <f ca="1">IFERROR(__xludf.DUMMYFUNCTION("""COMPUTED_VALUE"""),"1734404747231")</f>
        <v>1734404747231</v>
      </c>
      <c r="B2641" s="2"/>
      <c r="C2641" s="2" t="str">
        <v>0</v>
      </c>
      <c r="D2641" s="2"/>
      <c r="F2641" s="2" t="str">
        <v>0</v>
      </c>
      <c r="I2641" s="2" t="str">
        <f ca="1">IFERROR(__xludf.DUMMYFUNCTION("""COMPUTED_VALUE"""),"Lê Thị Thu Nguyệt ")</f>
        <v xml:space="preserve">Lê Thị Thu Nguyệt </v>
      </c>
      <c r="J2641" s="3" t="str">
        <f ca="1">IFERROR(__xludf.DUMMYFUNCTION("""COMPUTED_VALUE"""),"0358559787")</f>
        <v>0358559787</v>
      </c>
      <c r="K2641" s="2" t="str">
        <f ca="1">IFERROR(__xludf.DUMMYFUNCTION("""COMPUTED_VALUE"""),"1734404747231")</f>
        <v>1734404747231</v>
      </c>
    </row>
    <row r="2642" spans="1:11" ht="12.45">
      <c r="A2642" s="2" t="str">
        <f ca="1">IFERROR(__xludf.DUMMYFUNCTION("""COMPUTED_VALUE"""),"1734404817740")</f>
        <v>1734404817740</v>
      </c>
      <c r="B2642" s="2"/>
      <c r="C2642" s="2" t="str">
        <v>0</v>
      </c>
      <c r="D2642" s="2"/>
      <c r="F2642" s="2" t="str">
        <v>0</v>
      </c>
      <c r="I2642" s="2" t="str">
        <f ca="1">IFERROR(__xludf.DUMMYFUNCTION("""COMPUTED_VALUE"""),"Nguyễn Bảo Gia Hân")</f>
        <v>Nguyễn Bảo Gia Hân</v>
      </c>
      <c r="J2642" s="3" t="str">
        <f ca="1">IFERROR(__xludf.DUMMYFUNCTION("""COMPUTED_VALUE"""),"0582063613")</f>
        <v>0582063613</v>
      </c>
      <c r="K2642" s="2" t="str">
        <f ca="1">IFERROR(__xludf.DUMMYFUNCTION("""COMPUTED_VALUE"""),"1734404817740")</f>
        <v>1734404817740</v>
      </c>
    </row>
    <row r="2643" spans="1:11" ht="12.45">
      <c r="A2643" s="2" t="str">
        <f ca="1">IFERROR(__xludf.DUMMYFUNCTION("""COMPUTED_VALUE"""),"1734404898668")</f>
        <v>1734404898668</v>
      </c>
      <c r="B2643" s="2"/>
      <c r="C2643" s="2" t="str">
        <v>0</v>
      </c>
      <c r="D2643" s="2"/>
      <c r="F2643" s="2" t="str">
        <v>0</v>
      </c>
      <c r="I2643" s="2" t="str">
        <f ca="1">IFERROR(__xludf.DUMMYFUNCTION("""COMPUTED_VALUE"""),"Nguyễn Cẩm Ly ")</f>
        <v xml:space="preserve">Nguyễn Cẩm Ly </v>
      </c>
      <c r="J2643" s="3" t="str">
        <f ca="1">IFERROR(__xludf.DUMMYFUNCTION("""COMPUTED_VALUE"""),"0865782913")</f>
        <v>0865782913</v>
      </c>
      <c r="K2643" s="2" t="str">
        <f ca="1">IFERROR(__xludf.DUMMYFUNCTION("""COMPUTED_VALUE"""),"1734404898668")</f>
        <v>1734404898668</v>
      </c>
    </row>
    <row r="2644" spans="1:11" ht="12.45">
      <c r="A2644" s="2" t="str">
        <f ca="1">IFERROR(__xludf.DUMMYFUNCTION("""COMPUTED_VALUE"""),"1734404956498")</f>
        <v>1734404956498</v>
      </c>
      <c r="B2644" s="2"/>
      <c r="C2644" s="2" t="str">
        <v>0</v>
      </c>
      <c r="D2644" s="2"/>
      <c r="F2644" s="2" t="str">
        <v>0</v>
      </c>
      <c r="I2644" s="2" t="str">
        <f ca="1">IFERROR(__xludf.DUMMYFUNCTION("""COMPUTED_VALUE"""),"Nguyễn Hạ Khôi ")</f>
        <v xml:space="preserve">Nguyễn Hạ Khôi </v>
      </c>
      <c r="J2644" s="3" t="str">
        <f ca="1">IFERROR(__xludf.DUMMYFUNCTION("""COMPUTED_VALUE"""),"0908073402")</f>
        <v>0908073402</v>
      </c>
      <c r="K2644" s="2" t="str">
        <f ca="1">IFERROR(__xludf.DUMMYFUNCTION("""COMPUTED_VALUE"""),"1734404956498")</f>
        <v>1734404956498</v>
      </c>
    </row>
    <row r="2645" spans="1:11" ht="12.45">
      <c r="A2645" s="2" t="str">
        <f ca="1">IFERROR(__xludf.DUMMYFUNCTION("""COMPUTED_VALUE"""),"1734405030225")</f>
        <v>1734405030225</v>
      </c>
      <c r="B2645" s="2"/>
      <c r="C2645" s="2" t="str">
        <v>0</v>
      </c>
      <c r="D2645" s="2"/>
      <c r="F2645" s="2" t="str">
        <v>0</v>
      </c>
      <c r="I2645" s="2" t="str">
        <f ca="1">IFERROR(__xludf.DUMMYFUNCTION("""COMPUTED_VALUE"""),"NGUYỄN YẾN NHI")</f>
        <v>NGUYỄN YẾN NHI</v>
      </c>
      <c r="J2645" s="3" t="str">
        <f ca="1">IFERROR(__xludf.DUMMYFUNCTION("""COMPUTED_VALUE"""),"0855641207")</f>
        <v>0855641207</v>
      </c>
      <c r="K2645" s="2" t="str">
        <f ca="1">IFERROR(__xludf.DUMMYFUNCTION("""COMPUTED_VALUE"""),"1734405030225")</f>
        <v>1734405030225</v>
      </c>
    </row>
    <row r="2646" spans="1:11" ht="12.45">
      <c r="A2646" s="2">
        <f ca="1">IFERROR(__xludf.DUMMYFUNCTION("""COMPUTED_VALUE"""),1742790763835)</f>
        <v>1742790763835</v>
      </c>
      <c r="B2646" s="2"/>
      <c r="C2646" s="2" t="str">
        <v>0</v>
      </c>
      <c r="D2646" s="2"/>
      <c r="F2646" s="2" t="str">
        <v>0</v>
      </c>
      <c r="I2646" s="2" t="str">
        <f ca="1">IFERROR(__xludf.DUMMYFUNCTION("""COMPUTED_VALUE"""),"Nguyễn Mai Phương ")</f>
        <v xml:space="preserve">Nguyễn Mai Phương </v>
      </c>
      <c r="J2646" s="3" t="str">
        <f ca="1">IFERROR(__xludf.DUMMYFUNCTION("""COMPUTED_VALUE"""),"0378459136")</f>
        <v>0378459136</v>
      </c>
      <c r="K2646" s="2">
        <f ca="1">IFERROR(__xludf.DUMMYFUNCTION("""COMPUTED_VALUE"""),1742790763835)</f>
        <v>1742790763835</v>
      </c>
    </row>
    <row r="2647" spans="1:11" ht="12.45">
      <c r="A2647" s="2" t="str">
        <f ca="1">IFERROR(__xludf.DUMMYFUNCTION("""COMPUTED_VALUE"""),"1734405106618")</f>
        <v>1734405106618</v>
      </c>
      <c r="B2647" s="2"/>
      <c r="C2647" s="2" t="str">
        <v>0</v>
      </c>
      <c r="D2647" s="2"/>
      <c r="F2647" s="2" t="str">
        <v>0</v>
      </c>
      <c r="I2647" s="2" t="str">
        <f ca="1">IFERROR(__xludf.DUMMYFUNCTION("""COMPUTED_VALUE"""),"Đỗ Vũ Hương Quỳnh")</f>
        <v>Đỗ Vũ Hương Quỳnh</v>
      </c>
      <c r="J2647" s="3" t="str">
        <f ca="1">IFERROR(__xludf.DUMMYFUNCTION("""COMPUTED_VALUE"""),"0856190108")</f>
        <v>0856190108</v>
      </c>
      <c r="K2647" s="2" t="str">
        <f ca="1">IFERROR(__xludf.DUMMYFUNCTION("""COMPUTED_VALUE"""),"1734405106618")</f>
        <v>1734405106618</v>
      </c>
    </row>
    <row r="2648" spans="1:11" ht="12.45">
      <c r="A2648" s="2" t="str">
        <f ca="1">IFERROR(__xludf.DUMMYFUNCTION("""COMPUTED_VALUE"""),"1734405160350")</f>
        <v>1734405160350</v>
      </c>
      <c r="B2648" s="2"/>
      <c r="C2648" s="2" t="str">
        <v>0</v>
      </c>
      <c r="D2648" s="2"/>
      <c r="F2648" s="2" t="str">
        <v>0</v>
      </c>
      <c r="I2648" s="2" t="str">
        <f ca="1">IFERROR(__xludf.DUMMYFUNCTION("""COMPUTED_VALUE"""),"Lê Thị Bảo Lan")</f>
        <v>Lê Thị Bảo Lan</v>
      </c>
      <c r="J2648" s="3" t="str">
        <f ca="1">IFERROR(__xludf.DUMMYFUNCTION("""COMPUTED_VALUE"""),"0377102400")</f>
        <v>0377102400</v>
      </c>
      <c r="K2648" s="2" t="str">
        <f ca="1">IFERROR(__xludf.DUMMYFUNCTION("""COMPUTED_VALUE"""),"1734405160350")</f>
        <v>1734405160350</v>
      </c>
    </row>
    <row r="2649" spans="1:11" ht="12.45">
      <c r="A2649" s="2" t="str">
        <f ca="1">IFERROR(__xludf.DUMMYFUNCTION("""COMPUTED_VALUE"""),"1734405225260")</f>
        <v>1734405225260</v>
      </c>
      <c r="B2649" s="2"/>
      <c r="C2649" s="2" t="str">
        <v>0</v>
      </c>
      <c r="D2649" s="2"/>
      <c r="F2649" s="2" t="str">
        <v>0</v>
      </c>
      <c r="I2649" s="2" t="str">
        <f ca="1">IFERROR(__xludf.DUMMYFUNCTION("""COMPUTED_VALUE"""),"Nguyễn Hồng Hới")</f>
        <v>Nguyễn Hồng Hới</v>
      </c>
      <c r="J2649" s="3" t="str">
        <f ca="1">IFERROR(__xludf.DUMMYFUNCTION("""COMPUTED_VALUE"""),"0842014490")</f>
        <v>0842014490</v>
      </c>
      <c r="K2649" s="2" t="str">
        <f ca="1">IFERROR(__xludf.DUMMYFUNCTION("""COMPUTED_VALUE"""),"1734405225260")</f>
        <v>1734405225260</v>
      </c>
    </row>
    <row r="2650" spans="1:11" ht="12.45">
      <c r="A2650" s="2" t="str">
        <f ca="1">IFERROR(__xludf.DUMMYFUNCTION("""COMPUTED_VALUE"""),"1734405304768")</f>
        <v>1734405304768</v>
      </c>
      <c r="B2650" s="2"/>
      <c r="C2650" s="2" t="str">
        <v>0</v>
      </c>
      <c r="D2650" s="2"/>
      <c r="F2650" s="2" t="str">
        <v>0</v>
      </c>
      <c r="I2650" s="2" t="str">
        <f ca="1">IFERROR(__xludf.DUMMYFUNCTION("""COMPUTED_VALUE"""),"Ngô Hương Ly")</f>
        <v>Ngô Hương Ly</v>
      </c>
      <c r="J2650" s="3" t="str">
        <f ca="1">IFERROR(__xludf.DUMMYFUNCTION("""COMPUTED_VALUE"""),"0966335185")</f>
        <v>0966335185</v>
      </c>
      <c r="K2650" s="2" t="str">
        <f ca="1">IFERROR(__xludf.DUMMYFUNCTION("""COMPUTED_VALUE"""),"1734405304768")</f>
        <v>1734405304768</v>
      </c>
    </row>
    <row r="2651" spans="1:11" ht="12.45">
      <c r="A2651" s="2" t="str">
        <f ca="1">IFERROR(__xludf.DUMMYFUNCTION("""COMPUTED_VALUE"""),"1734405346692")</f>
        <v>1734405346692</v>
      </c>
      <c r="B2651" s="2"/>
      <c r="C2651" s="2" t="str">
        <v>0</v>
      </c>
      <c r="D2651" s="2"/>
      <c r="F2651" s="2" t="str">
        <v>0</v>
      </c>
      <c r="I2651" s="2" t="str">
        <f ca="1">IFERROR(__xludf.DUMMYFUNCTION("""COMPUTED_VALUE"""),"Phạm Minh Hiền")</f>
        <v>Phạm Minh Hiền</v>
      </c>
      <c r="J2651" s="3" t="str">
        <f ca="1">IFERROR(__xludf.DUMMYFUNCTION("""COMPUTED_VALUE"""),"0792316609")</f>
        <v>0792316609</v>
      </c>
      <c r="K2651" s="2" t="str">
        <f ca="1">IFERROR(__xludf.DUMMYFUNCTION("""COMPUTED_VALUE"""),"1734405346692")</f>
        <v>1734405346692</v>
      </c>
    </row>
    <row r="2652" spans="1:11" ht="12.45">
      <c r="A2652" s="2" t="str">
        <f ca="1">IFERROR(__xludf.DUMMYFUNCTION("""COMPUTED_VALUE"""),"1734405385865")</f>
        <v>1734405385865</v>
      </c>
      <c r="B2652" s="2"/>
      <c r="C2652" s="2" t="str">
        <v>0</v>
      </c>
      <c r="D2652" s="2"/>
      <c r="F2652" s="2" t="str">
        <v>0</v>
      </c>
      <c r="I2652" s="2" t="str">
        <f ca="1">IFERROR(__xludf.DUMMYFUNCTION("""COMPUTED_VALUE"""),"Vũ Thị Hồng Nhung")</f>
        <v>Vũ Thị Hồng Nhung</v>
      </c>
      <c r="J2652" s="3" t="str">
        <f ca="1">IFERROR(__xludf.DUMMYFUNCTION("""COMPUTED_VALUE"""),"0356769142")</f>
        <v>0356769142</v>
      </c>
      <c r="K2652" s="2" t="str">
        <f ca="1">IFERROR(__xludf.DUMMYFUNCTION("""COMPUTED_VALUE"""),"1734405385865")</f>
        <v>1734405385865</v>
      </c>
    </row>
    <row r="2653" spans="1:11" ht="12.45">
      <c r="A2653" s="2" t="str">
        <f ca="1">IFERROR(__xludf.DUMMYFUNCTION("""COMPUTED_VALUE"""),"1734405433586")</f>
        <v>1734405433586</v>
      </c>
      <c r="B2653" s="2"/>
      <c r="C2653" s="2" t="str">
        <v>0</v>
      </c>
      <c r="D2653" s="2"/>
      <c r="F2653" s="2" t="str">
        <v>0</v>
      </c>
      <c r="I2653" s="2" t="str">
        <f ca="1">IFERROR(__xludf.DUMMYFUNCTION("""COMPUTED_VALUE"""),"Trịnh Khánh Linh")</f>
        <v>Trịnh Khánh Linh</v>
      </c>
      <c r="J2653" s="3" t="str">
        <f ca="1">IFERROR(__xludf.DUMMYFUNCTION("""COMPUTED_VALUE"""),"0914350533")</f>
        <v>0914350533</v>
      </c>
      <c r="K2653" s="2" t="str">
        <f ca="1">IFERROR(__xludf.DUMMYFUNCTION("""COMPUTED_VALUE"""),"1734405433586")</f>
        <v>1734405433586</v>
      </c>
    </row>
    <row r="2654" spans="1:11" ht="12.45">
      <c r="A2654" s="2" t="str">
        <f ca="1">IFERROR(__xludf.DUMMYFUNCTION("""COMPUTED_VALUE"""),"1734405476785")</f>
        <v>1734405476785</v>
      </c>
      <c r="B2654" s="2"/>
      <c r="C2654" s="2" t="str">
        <v>0</v>
      </c>
      <c r="D2654" s="2"/>
      <c r="F2654" s="2" t="str">
        <v>0</v>
      </c>
      <c r="I2654" s="2" t="str">
        <f ca="1">IFERROR(__xludf.DUMMYFUNCTION("""COMPUTED_VALUE"""),"Nguyễn Ngọc Vàng Anh ")</f>
        <v xml:space="preserve">Nguyễn Ngọc Vàng Anh </v>
      </c>
      <c r="J2654" s="3" t="str">
        <f ca="1">IFERROR(__xludf.DUMMYFUNCTION("""COMPUTED_VALUE"""),"0901120307")</f>
        <v>0901120307</v>
      </c>
      <c r="K2654" s="2" t="str">
        <f ca="1">IFERROR(__xludf.DUMMYFUNCTION("""COMPUTED_VALUE"""),"1734405476785")</f>
        <v>1734405476785</v>
      </c>
    </row>
    <row r="2655" spans="1:11" ht="12.45">
      <c r="A2655" s="2" t="str">
        <f ca="1">IFERROR(__xludf.DUMMYFUNCTION("""COMPUTED_VALUE"""),"1734405510121")</f>
        <v>1734405510121</v>
      </c>
      <c r="B2655" s="2"/>
      <c r="C2655" s="2" t="str">
        <v>0</v>
      </c>
      <c r="D2655" s="2"/>
      <c r="F2655" s="2" t="str">
        <v>0</v>
      </c>
      <c r="I2655" s="2" t="str">
        <f ca="1">IFERROR(__xludf.DUMMYFUNCTION("""COMPUTED_VALUE"""),"Nguyễn Khánh Linh")</f>
        <v>Nguyễn Khánh Linh</v>
      </c>
      <c r="J2655" s="3" t="str">
        <f ca="1">IFERROR(__xludf.DUMMYFUNCTION("""COMPUTED_VALUE"""),"0382020926")</f>
        <v>0382020926</v>
      </c>
      <c r="K2655" s="2" t="str">
        <f ca="1">IFERROR(__xludf.DUMMYFUNCTION("""COMPUTED_VALUE"""),"1734405510121")</f>
        <v>1734405510121</v>
      </c>
    </row>
    <row r="2656" spans="1:11" ht="12.45">
      <c r="A2656" s="2" t="str">
        <f ca="1">IFERROR(__xludf.DUMMYFUNCTION("""COMPUTED_VALUE"""),"1744768462828")</f>
        <v>1744768462828</v>
      </c>
      <c r="B2656" s="2"/>
      <c r="C2656" s="2" t="str">
        <v>0</v>
      </c>
      <c r="D2656" s="2"/>
      <c r="F2656" s="2" t="str">
        <v>0</v>
      </c>
      <c r="I2656" s="2" t="str">
        <f ca="1">IFERROR(__xludf.DUMMYFUNCTION("""COMPUTED_VALUE"""),"Kim Ngọc Thảo")</f>
        <v>Kim Ngọc Thảo</v>
      </c>
      <c r="J2656" s="3" t="str">
        <f ca="1">IFERROR(__xludf.DUMMYFUNCTION("""COMPUTED_VALUE"""),"0862593326")</f>
        <v>0862593326</v>
      </c>
      <c r="K2656" s="2" t="str">
        <f ca="1">IFERROR(__xludf.DUMMYFUNCTION("""COMPUTED_VALUE"""),"1744768462828")</f>
        <v>1744768462828</v>
      </c>
    </row>
    <row r="2657" spans="1:11" ht="12.45">
      <c r="A2657" s="2" t="str">
        <f ca="1">IFERROR(__xludf.DUMMYFUNCTION("""COMPUTED_VALUE"""),"1734405553020")</f>
        <v>1734405553020</v>
      </c>
      <c r="B2657" s="2"/>
      <c r="C2657" s="2" t="str">
        <v>0</v>
      </c>
      <c r="D2657" s="2"/>
      <c r="F2657" s="2" t="str">
        <v>0</v>
      </c>
      <c r="I2657" s="2" t="str">
        <f ca="1">IFERROR(__xludf.DUMMYFUNCTION("""COMPUTED_VALUE"""),"Vũ Trần Thảo Linh")</f>
        <v>Vũ Trần Thảo Linh</v>
      </c>
      <c r="J2657" s="3" t="str">
        <f ca="1">IFERROR(__xludf.DUMMYFUNCTION("""COMPUTED_VALUE"""),"0356412423")</f>
        <v>0356412423</v>
      </c>
      <c r="K2657" s="2" t="str">
        <f ca="1">IFERROR(__xludf.DUMMYFUNCTION("""COMPUTED_VALUE"""),"1734405553020")</f>
        <v>1734405553020</v>
      </c>
    </row>
    <row r="2658" spans="1:11" ht="12.45">
      <c r="A2658" s="2" t="str">
        <f ca="1">IFERROR(__xludf.DUMMYFUNCTION("""COMPUTED_VALUE"""),"1734405590700")</f>
        <v>1734405590700</v>
      </c>
      <c r="B2658" s="2"/>
      <c r="C2658" s="2" t="str">
        <v>0</v>
      </c>
      <c r="D2658" s="2"/>
      <c r="F2658" s="2" t="str">
        <v>0</v>
      </c>
      <c r="I2658" s="2" t="str">
        <f ca="1">IFERROR(__xludf.DUMMYFUNCTION("""COMPUTED_VALUE"""),"CAO MAI KHÁNH LINH")</f>
        <v>CAO MAI KHÁNH LINH</v>
      </c>
      <c r="J2658" s="3" t="str">
        <f ca="1">IFERROR(__xludf.DUMMYFUNCTION("""COMPUTED_VALUE"""),"0989223675")</f>
        <v>0989223675</v>
      </c>
      <c r="K2658" s="2" t="str">
        <f ca="1">IFERROR(__xludf.DUMMYFUNCTION("""COMPUTED_VALUE"""),"1734405590700")</f>
        <v>1734405590700</v>
      </c>
    </row>
    <row r="2659" spans="1:11" ht="12.45">
      <c r="A2659" s="2" t="str">
        <f ca="1">IFERROR(__xludf.DUMMYFUNCTION("""COMPUTED_VALUE"""),"1734405622304")</f>
        <v>1734405622304</v>
      </c>
      <c r="B2659" s="2"/>
      <c r="C2659" s="2" t="str">
        <v>0</v>
      </c>
      <c r="D2659" s="2"/>
      <c r="F2659" s="2" t="str">
        <v>0</v>
      </c>
      <c r="I2659" s="2" t="str">
        <f ca="1">IFERROR(__xludf.DUMMYFUNCTION("""COMPUTED_VALUE"""),"Nguyễn Thị Khánh Huyền")</f>
        <v>Nguyễn Thị Khánh Huyền</v>
      </c>
      <c r="J2659" s="3" t="str">
        <f ca="1">IFERROR(__xludf.DUMMYFUNCTION("""COMPUTED_VALUE"""),"0372606927")</f>
        <v>0372606927</v>
      </c>
      <c r="K2659" s="2" t="str">
        <f ca="1">IFERROR(__xludf.DUMMYFUNCTION("""COMPUTED_VALUE"""),"1734405622304")</f>
        <v>1734405622304</v>
      </c>
    </row>
    <row r="2660" spans="1:11" ht="12.45">
      <c r="A2660" s="2" t="str">
        <f ca="1">IFERROR(__xludf.DUMMYFUNCTION("""COMPUTED_VALUE"""),"1734405667719")</f>
        <v>1734405667719</v>
      </c>
      <c r="B2660" s="2"/>
      <c r="C2660" s="2" t="str">
        <v>0</v>
      </c>
      <c r="D2660" s="2"/>
      <c r="F2660" s="2" t="str">
        <v>0</v>
      </c>
      <c r="I2660" s="2" t="str">
        <f ca="1">IFERROR(__xludf.DUMMYFUNCTION("""COMPUTED_VALUE"""),"Nguyễn Ngọc Nhi ")</f>
        <v xml:space="preserve">Nguyễn Ngọc Nhi </v>
      </c>
      <c r="J2660" s="3" t="str">
        <f ca="1">IFERROR(__xludf.DUMMYFUNCTION("""COMPUTED_VALUE"""),"0886302269")</f>
        <v>0886302269</v>
      </c>
      <c r="K2660" s="2" t="str">
        <f ca="1">IFERROR(__xludf.DUMMYFUNCTION("""COMPUTED_VALUE"""),"1734405667719")</f>
        <v>1734405667719</v>
      </c>
    </row>
    <row r="2661" spans="1:11" ht="12.45">
      <c r="A2661" s="2" t="str">
        <f ca="1">IFERROR(__xludf.DUMMYFUNCTION("""COMPUTED_VALUE"""),"1734405719201")</f>
        <v>1734405719201</v>
      </c>
      <c r="B2661" s="2"/>
      <c r="C2661" s="2" t="str">
        <v>0</v>
      </c>
      <c r="D2661" s="2"/>
      <c r="F2661" s="2" t="str">
        <v>0</v>
      </c>
      <c r="I2661" s="2" t="str">
        <f ca="1">IFERROR(__xludf.DUMMYFUNCTION("""COMPUTED_VALUE"""),"Phạm Thu Hà")</f>
        <v>Phạm Thu Hà</v>
      </c>
      <c r="J2661" s="3" t="str">
        <f ca="1">IFERROR(__xludf.DUMMYFUNCTION("""COMPUTED_VALUE"""),"0888628207")</f>
        <v>0888628207</v>
      </c>
      <c r="K2661" s="2" t="str">
        <f ca="1">IFERROR(__xludf.DUMMYFUNCTION("""COMPUTED_VALUE"""),"1734405719201")</f>
        <v>1734405719201</v>
      </c>
    </row>
    <row r="2662" spans="1:11" ht="12.45">
      <c r="A2662" s="2" t="str">
        <f ca="1">IFERROR(__xludf.DUMMYFUNCTION("""COMPUTED_VALUE"""),"1734405756307")</f>
        <v>1734405756307</v>
      </c>
      <c r="B2662" s="2"/>
      <c r="C2662" s="2" t="str">
        <v>0</v>
      </c>
      <c r="D2662" s="2"/>
      <c r="F2662" s="2" t="str">
        <v>0</v>
      </c>
      <c r="I2662" s="2" t="str">
        <f ca="1">IFERROR(__xludf.DUMMYFUNCTION("""COMPUTED_VALUE"""),"Nguyễn Bích Hải")</f>
        <v>Nguyễn Bích Hải</v>
      </c>
      <c r="J2662" s="3" t="str">
        <f ca="1">IFERROR(__xludf.DUMMYFUNCTION("""COMPUTED_VALUE"""),"0397641462")</f>
        <v>0397641462</v>
      </c>
      <c r="K2662" s="2" t="str">
        <f ca="1">IFERROR(__xludf.DUMMYFUNCTION("""COMPUTED_VALUE"""),"1734405756307")</f>
        <v>1734405756307</v>
      </c>
    </row>
    <row r="2663" spans="1:11" ht="12.45">
      <c r="A2663" s="2" t="str">
        <f ca="1">IFERROR(__xludf.DUMMYFUNCTION("""COMPUTED_VALUE"""),"1734405801118")</f>
        <v>1734405801118</v>
      </c>
      <c r="B2663" s="2"/>
      <c r="C2663" s="2" t="str">
        <v>0</v>
      </c>
      <c r="D2663" s="2"/>
      <c r="F2663" s="2" t="str">
        <v>0</v>
      </c>
      <c r="I2663" s="2" t="str">
        <f ca="1">IFERROR(__xludf.DUMMYFUNCTION("""COMPUTED_VALUE"""),"Vũ Lan Chi")</f>
        <v>Vũ Lan Chi</v>
      </c>
      <c r="J2663" s="3" t="str">
        <f ca="1">IFERROR(__xludf.DUMMYFUNCTION("""COMPUTED_VALUE"""),"0359658758")</f>
        <v>0359658758</v>
      </c>
      <c r="K2663" s="2" t="str">
        <f ca="1">IFERROR(__xludf.DUMMYFUNCTION("""COMPUTED_VALUE"""),"1734405801118")</f>
        <v>1734405801118</v>
      </c>
    </row>
    <row r="2664" spans="1:11" ht="12.45">
      <c r="A2664" s="2" t="str">
        <f ca="1">IFERROR(__xludf.DUMMYFUNCTION("""COMPUTED_VALUE"""),"1734405843171")</f>
        <v>1734405843171</v>
      </c>
      <c r="B2664" s="2"/>
      <c r="C2664" s="2" t="str">
        <v>0</v>
      </c>
      <c r="D2664" s="2"/>
      <c r="F2664" s="2" t="str">
        <v>0</v>
      </c>
      <c r="I2664" s="2" t="str">
        <f ca="1">IFERROR(__xludf.DUMMYFUNCTION("""COMPUTED_VALUE"""),"Mai Thu Trang ")</f>
        <v xml:space="preserve">Mai Thu Trang </v>
      </c>
      <c r="J2664" s="3" t="str">
        <f ca="1">IFERROR(__xludf.DUMMYFUNCTION("""COMPUTED_VALUE"""),"0357634048")</f>
        <v>0357634048</v>
      </c>
      <c r="K2664" s="2" t="str">
        <f ca="1">IFERROR(__xludf.DUMMYFUNCTION("""COMPUTED_VALUE"""),"1734405843171")</f>
        <v>1734405843171</v>
      </c>
    </row>
    <row r="2665" spans="1:11" ht="12.45">
      <c r="A2665" s="2" t="str">
        <f ca="1">IFERROR(__xludf.DUMMYFUNCTION("""COMPUTED_VALUE"""),"1734405894697")</f>
        <v>1734405894697</v>
      </c>
      <c r="B2665" s="2"/>
      <c r="C2665" s="2" t="str">
        <v>0</v>
      </c>
      <c r="D2665" s="2"/>
      <c r="F2665" s="2" t="str">
        <v>0</v>
      </c>
      <c r="I2665" s="2" t="str">
        <f ca="1">IFERROR(__xludf.DUMMYFUNCTION("""COMPUTED_VALUE"""),"Đoàn Nhật Ý Nhi")</f>
        <v>Đoàn Nhật Ý Nhi</v>
      </c>
      <c r="J2665" s="3" t="str">
        <f ca="1">IFERROR(__xludf.DUMMYFUNCTION("""COMPUTED_VALUE"""),"0396690029")</f>
        <v>0396690029</v>
      </c>
      <c r="K2665" s="2" t="str">
        <f ca="1">IFERROR(__xludf.DUMMYFUNCTION("""COMPUTED_VALUE"""),"1734405894697")</f>
        <v>1734405894697</v>
      </c>
    </row>
    <row r="2666" spans="1:11" ht="12.45">
      <c r="A2666" s="2" t="str">
        <f ca="1">IFERROR(__xludf.DUMMYFUNCTION("""COMPUTED_VALUE"""),"1734405933573")</f>
        <v>1734405933573</v>
      </c>
      <c r="B2666" s="2"/>
      <c r="C2666" s="2" t="str">
        <v>0</v>
      </c>
      <c r="D2666" s="2"/>
      <c r="F2666" s="2" t="str">
        <v>0</v>
      </c>
      <c r="I2666" s="2" t="str">
        <f ca="1">IFERROR(__xludf.DUMMYFUNCTION("""COMPUTED_VALUE"""),"Nguyễn Mai Hoa")</f>
        <v>Nguyễn Mai Hoa</v>
      </c>
      <c r="J2666" s="3" t="str">
        <f ca="1">IFERROR(__xludf.DUMMYFUNCTION("""COMPUTED_VALUE"""),"0964598566")</f>
        <v>0964598566</v>
      </c>
      <c r="K2666" s="2" t="str">
        <f ca="1">IFERROR(__xludf.DUMMYFUNCTION("""COMPUTED_VALUE"""),"1734405933573")</f>
        <v>1734405933573</v>
      </c>
    </row>
    <row r="2667" spans="1:11" ht="12.45">
      <c r="A2667" s="2" t="str">
        <f ca="1">IFERROR(__xludf.DUMMYFUNCTION("""COMPUTED_VALUE"""),"1734405973695")</f>
        <v>1734405973695</v>
      </c>
      <c r="B2667" s="2"/>
      <c r="C2667" s="2" t="str">
        <v>0</v>
      </c>
      <c r="D2667" s="2"/>
      <c r="F2667" s="2" t="str">
        <v>0</v>
      </c>
      <c r="I2667" s="2" t="str">
        <f ca="1">IFERROR(__xludf.DUMMYFUNCTION("""COMPUTED_VALUE"""),"Nguyễn Huỳnh Bửu Kim")</f>
        <v>Nguyễn Huỳnh Bửu Kim</v>
      </c>
      <c r="J2667" s="3" t="str">
        <f ca="1">IFERROR(__xludf.DUMMYFUNCTION("""COMPUTED_VALUE"""),"0396851776")</f>
        <v>0396851776</v>
      </c>
      <c r="K2667" s="2" t="str">
        <f ca="1">IFERROR(__xludf.DUMMYFUNCTION("""COMPUTED_VALUE"""),"1734405973695")</f>
        <v>1734405973695</v>
      </c>
    </row>
    <row r="2668" spans="1:11" ht="12.45">
      <c r="A2668" s="2" t="str">
        <f ca="1">IFERROR(__xludf.DUMMYFUNCTION("""COMPUTED_VALUE"""),"1734406004923")</f>
        <v>1734406004923</v>
      </c>
      <c r="B2668" s="2"/>
      <c r="C2668" s="2" t="str">
        <v>0</v>
      </c>
      <c r="D2668" s="2"/>
      <c r="F2668" s="2" t="str">
        <v>0</v>
      </c>
      <c r="I2668" s="2" t="str">
        <f ca="1">IFERROR(__xludf.DUMMYFUNCTION("""COMPUTED_VALUE"""),"Trần Thuỳ Dương ")</f>
        <v xml:space="preserve">Trần Thuỳ Dương </v>
      </c>
      <c r="J2668" s="3" t="str">
        <f ca="1">IFERROR(__xludf.DUMMYFUNCTION("""COMPUTED_VALUE"""),"0965922366")</f>
        <v>0965922366</v>
      </c>
      <c r="K2668" s="2" t="str">
        <f ca="1">IFERROR(__xludf.DUMMYFUNCTION("""COMPUTED_VALUE"""),"1734406004923")</f>
        <v>1734406004923</v>
      </c>
    </row>
    <row r="2669" spans="1:11" ht="12.45">
      <c r="A2669" s="2" t="str">
        <f ca="1">IFERROR(__xludf.DUMMYFUNCTION("""COMPUTED_VALUE"""),"1734406047943")</f>
        <v>1734406047943</v>
      </c>
      <c r="B2669" s="2"/>
      <c r="C2669" s="2" t="str">
        <v>0</v>
      </c>
      <c r="D2669" s="2"/>
      <c r="F2669" s="2" t="str">
        <v>0</v>
      </c>
      <c r="I2669" s="2" t="str">
        <f ca="1">IFERROR(__xludf.DUMMYFUNCTION("""COMPUTED_VALUE"""),"Phan Bùi Bảo Thy")</f>
        <v>Phan Bùi Bảo Thy</v>
      </c>
      <c r="J2669" s="3" t="str">
        <f ca="1">IFERROR(__xludf.DUMMYFUNCTION("""COMPUTED_VALUE"""),"0773944331")</f>
        <v>0773944331</v>
      </c>
      <c r="K2669" s="2" t="str">
        <f ca="1">IFERROR(__xludf.DUMMYFUNCTION("""COMPUTED_VALUE"""),"1734406047943")</f>
        <v>1734406047943</v>
      </c>
    </row>
    <row r="2670" spans="1:11" ht="12.45">
      <c r="A2670" s="2" t="str">
        <f ca="1">IFERROR(__xludf.DUMMYFUNCTION("""COMPUTED_VALUE"""),"1734406088156")</f>
        <v>1734406088156</v>
      </c>
      <c r="B2670" s="2"/>
      <c r="C2670" s="2" t="str">
        <v>0</v>
      </c>
      <c r="D2670" s="2"/>
      <c r="F2670" s="2" t="str">
        <v>0</v>
      </c>
      <c r="I2670" s="2" t="str">
        <f ca="1">IFERROR(__xludf.DUMMYFUNCTION("""COMPUTED_VALUE"""),"Lê Mai Ngọc")</f>
        <v>Lê Mai Ngọc</v>
      </c>
      <c r="J2670" s="3" t="str">
        <f ca="1">IFERROR(__xludf.DUMMYFUNCTION("""COMPUTED_VALUE"""),"0911960863")</f>
        <v>0911960863</v>
      </c>
      <c r="K2670" s="2" t="str">
        <f ca="1">IFERROR(__xludf.DUMMYFUNCTION("""COMPUTED_VALUE"""),"1734406088156")</f>
        <v>1734406088156</v>
      </c>
    </row>
    <row r="2671" spans="1:11" ht="12.45">
      <c r="A2671" s="2" t="str">
        <f ca="1">IFERROR(__xludf.DUMMYFUNCTION("""COMPUTED_VALUE"""),"1734406141787")</f>
        <v>1734406141787</v>
      </c>
      <c r="B2671" s="2"/>
      <c r="C2671" s="2" t="str">
        <v>0</v>
      </c>
      <c r="D2671" s="2"/>
      <c r="F2671" s="2" t="str">
        <v>0</v>
      </c>
      <c r="I2671" s="2" t="str">
        <f ca="1">IFERROR(__xludf.DUMMYFUNCTION("""COMPUTED_VALUE"""),"Lê Kim Ngân")</f>
        <v>Lê Kim Ngân</v>
      </c>
      <c r="J2671" s="3" t="str">
        <f ca="1">IFERROR(__xludf.DUMMYFUNCTION("""COMPUTED_VALUE"""),"0796986153")</f>
        <v>0796986153</v>
      </c>
      <c r="K2671" s="2" t="str">
        <f ca="1">IFERROR(__xludf.DUMMYFUNCTION("""COMPUTED_VALUE"""),"1734406141787")</f>
        <v>1734406141787</v>
      </c>
    </row>
    <row r="2672" spans="1:11" ht="12.45">
      <c r="A2672" s="2" t="str">
        <f ca="1">IFERROR(__xludf.DUMMYFUNCTION("""COMPUTED_VALUE"""),"1734406216853")</f>
        <v>1734406216853</v>
      </c>
      <c r="B2672" s="2"/>
      <c r="C2672" s="2" t="str">
        <v>0</v>
      </c>
      <c r="D2672" s="2"/>
      <c r="F2672" s="2" t="str">
        <v>0</v>
      </c>
      <c r="I2672" s="2" t="str">
        <f ca="1">IFERROR(__xludf.DUMMYFUNCTION("""COMPUTED_VALUE"""),"Tạ Thuỳ Linh")</f>
        <v>Tạ Thuỳ Linh</v>
      </c>
      <c r="J2672" s="3" t="str">
        <f ca="1">IFERROR(__xludf.DUMMYFUNCTION("""COMPUTED_VALUE"""),"0822836355")</f>
        <v>0822836355</v>
      </c>
      <c r="K2672" s="2" t="str">
        <f ca="1">IFERROR(__xludf.DUMMYFUNCTION("""COMPUTED_VALUE"""),"1734406216853")</f>
        <v>1734406216853</v>
      </c>
    </row>
    <row r="2673" spans="1:11" ht="12.45">
      <c r="A2673" s="2" t="str">
        <f ca="1">IFERROR(__xludf.DUMMYFUNCTION("""COMPUTED_VALUE"""),"1734406291816")</f>
        <v>1734406291816</v>
      </c>
      <c r="B2673" s="2"/>
      <c r="C2673" s="2" t="str">
        <v>0</v>
      </c>
      <c r="D2673" s="2"/>
      <c r="F2673" s="2" t="str">
        <v>0</v>
      </c>
      <c r="I2673" s="2" t="str">
        <f ca="1">IFERROR(__xludf.DUMMYFUNCTION("""COMPUTED_VALUE"""),"Phạm Minh Tâm")</f>
        <v>Phạm Minh Tâm</v>
      </c>
      <c r="J2673" s="3" t="str">
        <f ca="1">IFERROR(__xludf.DUMMYFUNCTION("""COMPUTED_VALUE"""),"0971658088")</f>
        <v>0971658088</v>
      </c>
      <c r="K2673" s="2" t="str">
        <f ca="1">IFERROR(__xludf.DUMMYFUNCTION("""COMPUTED_VALUE"""),"1734406291816")</f>
        <v>1734406291816</v>
      </c>
    </row>
    <row r="2674" spans="1:11" ht="12.45">
      <c r="A2674" s="2" t="str">
        <f ca="1">IFERROR(__xludf.DUMMYFUNCTION("""COMPUTED_VALUE"""),"1734406356323")</f>
        <v>1734406356323</v>
      </c>
      <c r="B2674" s="2"/>
      <c r="C2674" s="2" t="str">
        <v>0</v>
      </c>
      <c r="D2674" s="2"/>
      <c r="F2674" s="2" t="str">
        <v>0</v>
      </c>
      <c r="I2674" s="2" t="str">
        <f ca="1">IFERROR(__xludf.DUMMYFUNCTION("""COMPUTED_VALUE"""),"Phạm Nguyễn Kim Ngân")</f>
        <v>Phạm Nguyễn Kim Ngân</v>
      </c>
      <c r="J2674" s="3" t="str">
        <f ca="1">IFERROR(__xludf.DUMMYFUNCTION("""COMPUTED_VALUE"""),"0987613998")</f>
        <v>0987613998</v>
      </c>
      <c r="K2674" s="2" t="str">
        <f ca="1">IFERROR(__xludf.DUMMYFUNCTION("""COMPUTED_VALUE"""),"1734406356323")</f>
        <v>1734406356323</v>
      </c>
    </row>
    <row r="2675" spans="1:11" ht="12.45">
      <c r="A2675" s="2" t="str">
        <f ca="1">IFERROR(__xludf.DUMMYFUNCTION("""COMPUTED_VALUE"""),"1735932592267")</f>
        <v>1735932592267</v>
      </c>
      <c r="B2675" s="2"/>
      <c r="C2675" s="2" t="str">
        <v>0</v>
      </c>
      <c r="D2675" s="2"/>
      <c r="F2675" s="2" t="str">
        <v>0</v>
      </c>
      <c r="I2675" s="2" t="str">
        <f ca="1">IFERROR(__xludf.DUMMYFUNCTION("""COMPUTED_VALUE"""),"Đồng Minh Hạnh")</f>
        <v>Đồng Minh Hạnh</v>
      </c>
      <c r="J2675" s="3" t="str">
        <f ca="1">IFERROR(__xludf.DUMMYFUNCTION("""COMPUTED_VALUE"""),"0356274886")</f>
        <v>0356274886</v>
      </c>
      <c r="K2675" s="2" t="str">
        <f ca="1">IFERROR(__xludf.DUMMYFUNCTION("""COMPUTED_VALUE"""),"1735932592267")</f>
        <v>1735932592267</v>
      </c>
    </row>
    <row r="2676" spans="1:11" ht="12.45">
      <c r="A2676" s="2" t="str">
        <f ca="1">IFERROR(__xludf.DUMMYFUNCTION("""COMPUTED_VALUE"""),"1735932649814")</f>
        <v>1735932649814</v>
      </c>
      <c r="B2676" s="2"/>
      <c r="C2676" s="2" t="str">
        <v>0</v>
      </c>
      <c r="D2676" s="2"/>
      <c r="F2676" s="2" t="str">
        <v>0</v>
      </c>
      <c r="I2676" s="2" t="str">
        <f ca="1">IFERROR(__xludf.DUMMYFUNCTION("""COMPUTED_VALUE"""),"Nông Thị Trúc Quỳnh")</f>
        <v>Nông Thị Trúc Quỳnh</v>
      </c>
      <c r="J2676" s="3" t="str">
        <f ca="1">IFERROR(__xludf.DUMMYFUNCTION("""COMPUTED_VALUE"""),"0878411147")</f>
        <v>0878411147</v>
      </c>
      <c r="K2676" s="2" t="str">
        <f ca="1">IFERROR(__xludf.DUMMYFUNCTION("""COMPUTED_VALUE"""),"1735932649814")</f>
        <v>1735932649814</v>
      </c>
    </row>
    <row r="2677" spans="1:11" ht="12.45">
      <c r="A2677" s="2" t="str">
        <f ca="1">IFERROR(__xludf.DUMMYFUNCTION("""COMPUTED_VALUE"""),"1735932693260")</f>
        <v>1735932693260</v>
      </c>
      <c r="B2677" s="2"/>
      <c r="C2677" s="2" t="str">
        <v>0</v>
      </c>
      <c r="D2677" s="2"/>
      <c r="F2677" s="2" t="str">
        <v>0</v>
      </c>
      <c r="I2677" s="2" t="str">
        <f ca="1">IFERROR(__xludf.DUMMYFUNCTION("""COMPUTED_VALUE"""),"Nguyễn Thị Vân Anh")</f>
        <v>Nguyễn Thị Vân Anh</v>
      </c>
      <c r="J2677" s="3" t="str">
        <f ca="1">IFERROR(__xludf.DUMMYFUNCTION("""COMPUTED_VALUE"""),"0382922207")</f>
        <v>0382922207</v>
      </c>
      <c r="K2677" s="2" t="str">
        <f ca="1">IFERROR(__xludf.DUMMYFUNCTION("""COMPUTED_VALUE"""),"1735932693260")</f>
        <v>1735932693260</v>
      </c>
    </row>
    <row r="2678" spans="1:11" ht="12.45">
      <c r="A2678" s="2" t="str">
        <f ca="1">IFERROR(__xludf.DUMMYFUNCTION("""COMPUTED_VALUE"""),"1735932722864")</f>
        <v>1735932722864</v>
      </c>
      <c r="B2678" s="2"/>
      <c r="C2678" s="2" t="str">
        <v>0</v>
      </c>
      <c r="D2678" s="2"/>
      <c r="F2678" s="2" t="str">
        <v>0</v>
      </c>
      <c r="I2678" s="2" t="str">
        <f ca="1">IFERROR(__xludf.DUMMYFUNCTION("""COMPUTED_VALUE"""),"Nguyễn Thị Hồng")</f>
        <v>Nguyễn Thị Hồng</v>
      </c>
      <c r="J2678" s="3" t="str">
        <f ca="1">IFERROR(__xludf.DUMMYFUNCTION("""COMPUTED_VALUE"""),"0989148807")</f>
        <v>0989148807</v>
      </c>
      <c r="K2678" s="2" t="str">
        <f ca="1">IFERROR(__xludf.DUMMYFUNCTION("""COMPUTED_VALUE"""),"1735932722864")</f>
        <v>1735932722864</v>
      </c>
    </row>
    <row r="2679" spans="1:11" ht="12.45">
      <c r="A2679" s="2" t="str">
        <f ca="1">IFERROR(__xludf.DUMMYFUNCTION("""COMPUTED_VALUE"""),"1735932759045")</f>
        <v>1735932759045</v>
      </c>
      <c r="B2679" s="2"/>
      <c r="C2679" s="2" t="str">
        <v>0</v>
      </c>
      <c r="D2679" s="2"/>
      <c r="F2679" s="2" t="str">
        <v>0</v>
      </c>
      <c r="I2679" s="2" t="str">
        <f ca="1">IFERROR(__xludf.DUMMYFUNCTION("""COMPUTED_VALUE"""),"Đặng Thanh Thảo")</f>
        <v>Đặng Thanh Thảo</v>
      </c>
      <c r="J2679" s="3" t="str">
        <f ca="1">IFERROR(__xludf.DUMMYFUNCTION("""COMPUTED_VALUE"""),"0375391198")</f>
        <v>0375391198</v>
      </c>
      <c r="K2679" s="2" t="str">
        <f ca="1">IFERROR(__xludf.DUMMYFUNCTION("""COMPUTED_VALUE"""),"1735932759045")</f>
        <v>1735932759045</v>
      </c>
    </row>
    <row r="2680" spans="1:11" ht="12.45">
      <c r="A2680" s="2" t="str">
        <f ca="1">IFERROR(__xludf.DUMMYFUNCTION("""COMPUTED_VALUE"""),"1735932794382")</f>
        <v>1735932794382</v>
      </c>
      <c r="B2680" s="2"/>
      <c r="C2680" s="2" t="str">
        <v>0</v>
      </c>
      <c r="D2680" s="2"/>
      <c r="F2680" s="2" t="str">
        <v>0</v>
      </c>
      <c r="I2680" s="2" t="str">
        <f ca="1">IFERROR(__xludf.DUMMYFUNCTION("""COMPUTED_VALUE"""),"Nguyễn Phương Thanh ")</f>
        <v xml:space="preserve">Nguyễn Phương Thanh </v>
      </c>
      <c r="J2680" s="3" t="str">
        <f ca="1">IFERROR(__xludf.DUMMYFUNCTION("""COMPUTED_VALUE"""),"0978237935")</f>
        <v>0978237935</v>
      </c>
      <c r="K2680" s="2" t="str">
        <f ca="1">IFERROR(__xludf.DUMMYFUNCTION("""COMPUTED_VALUE"""),"1735932794382")</f>
        <v>1735932794382</v>
      </c>
    </row>
    <row r="2681" spans="1:11" ht="12.45">
      <c r="A2681" s="2" t="str">
        <f ca="1">IFERROR(__xludf.DUMMYFUNCTION("""COMPUTED_VALUE"""),"1735932828974")</f>
        <v>1735932828974</v>
      </c>
      <c r="B2681" s="2"/>
      <c r="C2681" s="2" t="str">
        <v>0</v>
      </c>
      <c r="D2681" s="2"/>
      <c r="F2681" s="2" t="str">
        <v>0</v>
      </c>
      <c r="I2681" s="2" t="str">
        <f ca="1">IFERROR(__xludf.DUMMYFUNCTION("""COMPUTED_VALUE"""),"Quách Khả Vy")</f>
        <v>Quách Khả Vy</v>
      </c>
      <c r="J2681" s="3" t="str">
        <f ca="1">IFERROR(__xludf.DUMMYFUNCTION("""COMPUTED_VALUE"""),"0787872930")</f>
        <v>0787872930</v>
      </c>
      <c r="K2681" s="2" t="str">
        <f ca="1">IFERROR(__xludf.DUMMYFUNCTION("""COMPUTED_VALUE"""),"1735932828974")</f>
        <v>1735932828974</v>
      </c>
    </row>
    <row r="2682" spans="1:11" ht="12.45">
      <c r="A2682" s="2" t="str">
        <f ca="1">IFERROR(__xludf.DUMMYFUNCTION("""COMPUTED_VALUE"""),"1735932863811")</f>
        <v>1735932863811</v>
      </c>
      <c r="B2682" s="2"/>
      <c r="C2682" s="2" t="str">
        <v>0</v>
      </c>
      <c r="D2682" s="2"/>
      <c r="F2682" s="2" t="str">
        <v>0</v>
      </c>
      <c r="I2682" s="2" t="str">
        <f ca="1">IFERROR(__xludf.DUMMYFUNCTION("""COMPUTED_VALUE"""),"Phạm Thị Thanh Thảo")</f>
        <v>Phạm Thị Thanh Thảo</v>
      </c>
      <c r="J2682" s="3" t="str">
        <f ca="1">IFERROR(__xludf.DUMMYFUNCTION("""COMPUTED_VALUE"""),"0908399724")</f>
        <v>0908399724</v>
      </c>
      <c r="K2682" s="2" t="str">
        <f ca="1">IFERROR(__xludf.DUMMYFUNCTION("""COMPUTED_VALUE"""),"1735932863811")</f>
        <v>1735932863811</v>
      </c>
    </row>
    <row r="2683" spans="1:11" ht="12.45">
      <c r="A2683" s="2" t="str">
        <f ca="1">IFERROR(__xludf.DUMMYFUNCTION("""COMPUTED_VALUE"""),"1735932896320")</f>
        <v>1735932896320</v>
      </c>
      <c r="B2683" s="2"/>
      <c r="C2683" s="2" t="str">
        <v>0</v>
      </c>
      <c r="D2683" s="2"/>
      <c r="F2683" s="2" t="str">
        <v>0</v>
      </c>
      <c r="I2683" s="2" t="str">
        <f ca="1">IFERROR(__xludf.DUMMYFUNCTION("""COMPUTED_VALUE"""),"Nguyễn phương thảo ")</f>
        <v xml:space="preserve">Nguyễn phương thảo </v>
      </c>
      <c r="J2683" s="3" t="str">
        <f ca="1">IFERROR(__xludf.DUMMYFUNCTION("""COMPUTED_VALUE"""),"0962702511")</f>
        <v>0962702511</v>
      </c>
      <c r="K2683" s="2" t="str">
        <f ca="1">IFERROR(__xludf.DUMMYFUNCTION("""COMPUTED_VALUE"""),"1735932896320")</f>
        <v>1735932896320</v>
      </c>
    </row>
    <row r="2684" spans="1:11" ht="12.45">
      <c r="A2684" s="2" t="str">
        <f ca="1">IFERROR(__xludf.DUMMYFUNCTION("""COMPUTED_VALUE"""),"1735932935403")</f>
        <v>1735932935403</v>
      </c>
      <c r="B2684" s="2"/>
      <c r="C2684" s="2" t="str">
        <v>0</v>
      </c>
      <c r="D2684" s="2"/>
      <c r="F2684" s="2" t="str">
        <v>0</v>
      </c>
      <c r="I2684" s="2" t="str">
        <f ca="1">IFERROR(__xludf.DUMMYFUNCTION("""COMPUTED_VALUE"""),"Nguyễn Thị Cẩm hương ")</f>
        <v xml:space="preserve">Nguyễn Thị Cẩm hương </v>
      </c>
      <c r="J2684" s="3" t="str">
        <f ca="1">IFERROR(__xludf.DUMMYFUNCTION("""COMPUTED_VALUE"""),"0334144563")</f>
        <v>0334144563</v>
      </c>
      <c r="K2684" s="2" t="str">
        <f ca="1">IFERROR(__xludf.DUMMYFUNCTION("""COMPUTED_VALUE"""),"1735932935403")</f>
        <v>1735932935403</v>
      </c>
    </row>
    <row r="2685" spans="1:11" ht="12.45">
      <c r="A2685" s="2" t="str">
        <f ca="1">IFERROR(__xludf.DUMMYFUNCTION("""COMPUTED_VALUE"""),"1735932982936")</f>
        <v>1735932982936</v>
      </c>
      <c r="B2685" s="2"/>
      <c r="C2685" s="2" t="str">
        <v>0</v>
      </c>
      <c r="D2685" s="2"/>
      <c r="F2685" s="2" t="str">
        <v>0</v>
      </c>
      <c r="I2685" s="2" t="str">
        <f ca="1">IFERROR(__xludf.DUMMYFUNCTION("""COMPUTED_VALUE"""),"Đoàn Thanh Thảo")</f>
        <v>Đoàn Thanh Thảo</v>
      </c>
      <c r="J2685" s="3" t="str">
        <f ca="1">IFERROR(__xludf.DUMMYFUNCTION("""COMPUTED_VALUE"""),"0942591998")</f>
        <v>0942591998</v>
      </c>
      <c r="K2685" s="2" t="str">
        <f ca="1">IFERROR(__xludf.DUMMYFUNCTION("""COMPUTED_VALUE"""),"1735932982936")</f>
        <v>1735932982936</v>
      </c>
    </row>
    <row r="2686" spans="1:11" ht="12.45">
      <c r="A2686" s="2" t="str">
        <f ca="1">IFERROR(__xludf.DUMMYFUNCTION("""COMPUTED_VALUE"""),"1735933016468")</f>
        <v>1735933016468</v>
      </c>
      <c r="B2686" s="2"/>
      <c r="C2686" s="2" t="str">
        <v>0</v>
      </c>
      <c r="D2686" s="2"/>
      <c r="F2686" s="2" t="str">
        <v>0</v>
      </c>
      <c r="I2686" s="2" t="str">
        <f ca="1">IFERROR(__xludf.DUMMYFUNCTION("""COMPUTED_VALUE"""),"Nguyễn Nhật Anh")</f>
        <v>Nguyễn Nhật Anh</v>
      </c>
      <c r="J2686" s="3" t="str">
        <f ca="1">IFERROR(__xludf.DUMMYFUNCTION("""COMPUTED_VALUE"""),"0393896824")</f>
        <v>0393896824</v>
      </c>
      <c r="K2686" s="2" t="str">
        <f ca="1">IFERROR(__xludf.DUMMYFUNCTION("""COMPUTED_VALUE"""),"1735933016468")</f>
        <v>1735933016468</v>
      </c>
    </row>
    <row r="2687" spans="1:11" ht="12.45">
      <c r="A2687" s="2" t="str">
        <f ca="1">IFERROR(__xludf.DUMMYFUNCTION("""COMPUTED_VALUE"""),"1735933068446")</f>
        <v>1735933068446</v>
      </c>
      <c r="B2687" s="2"/>
      <c r="C2687" s="2" t="str">
        <v>0</v>
      </c>
      <c r="D2687" s="2"/>
      <c r="F2687" s="2" t="str">
        <v>0</v>
      </c>
      <c r="I2687" s="2" t="str">
        <f ca="1">IFERROR(__xludf.DUMMYFUNCTION("""COMPUTED_VALUE"""),"Nguyễn Trần Khả Vy ")</f>
        <v xml:space="preserve">Nguyễn Trần Khả Vy </v>
      </c>
      <c r="J2687" s="3" t="str">
        <f ca="1">IFERROR(__xludf.DUMMYFUNCTION("""COMPUTED_VALUE"""),"0949461931")</f>
        <v>0949461931</v>
      </c>
      <c r="K2687" s="2" t="str">
        <f ca="1">IFERROR(__xludf.DUMMYFUNCTION("""COMPUTED_VALUE"""),"1735933068446")</f>
        <v>1735933068446</v>
      </c>
    </row>
    <row r="2688" spans="1:11" ht="12.45">
      <c r="A2688" s="2" t="str">
        <f ca="1">IFERROR(__xludf.DUMMYFUNCTION("""COMPUTED_VALUE"""),"1735933137450")</f>
        <v>1735933137450</v>
      </c>
      <c r="B2688" s="2"/>
      <c r="C2688" s="2" t="str">
        <v>0</v>
      </c>
      <c r="D2688" s="2"/>
      <c r="F2688" s="2" t="str">
        <v>0</v>
      </c>
      <c r="I2688" s="2" t="str">
        <f ca="1">IFERROR(__xludf.DUMMYFUNCTION("""COMPUTED_VALUE"""),"Nông Đỗ Nhật Minh")</f>
        <v>Nông Đỗ Nhật Minh</v>
      </c>
      <c r="J2688" s="3" t="str">
        <f ca="1">IFERROR(__xludf.DUMMYFUNCTION("""COMPUTED_VALUE"""),"0912219458")</f>
        <v>0912219458</v>
      </c>
      <c r="K2688" s="2" t="str">
        <f ca="1">IFERROR(__xludf.DUMMYFUNCTION("""COMPUTED_VALUE"""),"1735933137450")</f>
        <v>1735933137450</v>
      </c>
    </row>
    <row r="2689" spans="1:11" ht="12.45">
      <c r="A2689" s="2" t="str">
        <f ca="1">IFERROR(__xludf.DUMMYFUNCTION("""COMPUTED_VALUE"""),"1735933192073")</f>
        <v>1735933192073</v>
      </c>
      <c r="B2689" s="2"/>
      <c r="C2689" s="2" t="str">
        <v>0</v>
      </c>
      <c r="D2689" s="2"/>
      <c r="F2689" s="2" t="str">
        <v>0</v>
      </c>
      <c r="I2689" s="2" t="str">
        <f ca="1">IFERROR(__xludf.DUMMYFUNCTION("""COMPUTED_VALUE"""),"Nguyễn Thị Minh Ánh")</f>
        <v>Nguyễn Thị Minh Ánh</v>
      </c>
      <c r="J2689" s="3" t="str">
        <f ca="1">IFERROR(__xludf.DUMMYFUNCTION("""COMPUTED_VALUE"""),"0919722551")</f>
        <v>0919722551</v>
      </c>
      <c r="K2689" s="2" t="str">
        <f ca="1">IFERROR(__xludf.DUMMYFUNCTION("""COMPUTED_VALUE"""),"1735933192073")</f>
        <v>1735933192073</v>
      </c>
    </row>
    <row r="2690" spans="1:11" ht="12.45">
      <c r="A2690" s="2" t="str">
        <f ca="1">IFERROR(__xludf.DUMMYFUNCTION("""COMPUTED_VALUE"""),"1735933232225")</f>
        <v>1735933232225</v>
      </c>
      <c r="B2690" s="2"/>
      <c r="C2690" s="2" t="str">
        <v>0</v>
      </c>
      <c r="D2690" s="2"/>
      <c r="F2690" s="2" t="str">
        <v>0</v>
      </c>
      <c r="I2690" s="2" t="str">
        <f ca="1">IFERROR(__xludf.DUMMYFUNCTION("""COMPUTED_VALUE"""),"Nguyễn Ngọc Liên")</f>
        <v>Nguyễn Ngọc Liên</v>
      </c>
      <c r="J2690" s="3" t="str">
        <f ca="1">IFERROR(__xludf.DUMMYFUNCTION("""COMPUTED_VALUE"""),"0373285358")</f>
        <v>0373285358</v>
      </c>
      <c r="K2690" s="2" t="str">
        <f ca="1">IFERROR(__xludf.DUMMYFUNCTION("""COMPUTED_VALUE"""),"1735933232225")</f>
        <v>1735933232225</v>
      </c>
    </row>
    <row r="2691" spans="1:11" ht="12.45">
      <c r="A2691" s="2" t="str">
        <f ca="1">IFERROR(__xludf.DUMMYFUNCTION("""COMPUTED_VALUE"""),"1735933264293")</f>
        <v>1735933264293</v>
      </c>
      <c r="B2691" s="2"/>
      <c r="C2691" s="2" t="str">
        <v>0</v>
      </c>
      <c r="D2691" s="2"/>
      <c r="F2691" s="2" t="str">
        <v>0</v>
      </c>
      <c r="I2691" s="2" t="str">
        <f ca="1">IFERROR(__xludf.DUMMYFUNCTION("""COMPUTED_VALUE"""),"Đỗ Phương Anh")</f>
        <v>Đỗ Phương Anh</v>
      </c>
      <c r="J2691" s="3" t="str">
        <f ca="1">IFERROR(__xludf.DUMMYFUNCTION("""COMPUTED_VALUE"""),"0397625967")</f>
        <v>0397625967</v>
      </c>
      <c r="K2691" s="2" t="str">
        <f ca="1">IFERROR(__xludf.DUMMYFUNCTION("""COMPUTED_VALUE"""),"1735933264293")</f>
        <v>1735933264293</v>
      </c>
    </row>
    <row r="2692" spans="1:11" ht="12.45">
      <c r="A2692" s="2" t="str">
        <f ca="1">IFERROR(__xludf.DUMMYFUNCTION("""COMPUTED_VALUE"""),"1735933298018")</f>
        <v>1735933298018</v>
      </c>
      <c r="B2692" s="2"/>
      <c r="C2692" s="2" t="str">
        <v>0</v>
      </c>
      <c r="D2692" s="2"/>
      <c r="F2692" s="2" t="str">
        <v>0</v>
      </c>
      <c r="I2692" s="2" t="str">
        <f ca="1">IFERROR(__xludf.DUMMYFUNCTION("""COMPUTED_VALUE"""),"Đinh Thị Hồng Thắm ")</f>
        <v xml:space="preserve">Đinh Thị Hồng Thắm </v>
      </c>
      <c r="J2692" s="3" t="str">
        <f ca="1">IFERROR(__xludf.DUMMYFUNCTION("""COMPUTED_VALUE"""),"0326246755")</f>
        <v>0326246755</v>
      </c>
      <c r="K2692" s="2" t="str">
        <f ca="1">IFERROR(__xludf.DUMMYFUNCTION("""COMPUTED_VALUE"""),"1735933298018")</f>
        <v>1735933298018</v>
      </c>
    </row>
    <row r="2693" spans="1:11" ht="12.45">
      <c r="A2693" s="2" t="str">
        <f ca="1">IFERROR(__xludf.DUMMYFUNCTION("""COMPUTED_VALUE"""),"1735933350704")</f>
        <v>1735933350704</v>
      </c>
      <c r="B2693" s="2"/>
      <c r="C2693" s="2" t="str">
        <v>0</v>
      </c>
      <c r="D2693" s="2"/>
      <c r="F2693" s="2" t="str">
        <v>0</v>
      </c>
      <c r="I2693" s="2" t="str">
        <f ca="1">IFERROR(__xludf.DUMMYFUNCTION("""COMPUTED_VALUE"""),"Nguyễn Thị Thảo Vi ")</f>
        <v xml:space="preserve">Nguyễn Thị Thảo Vi </v>
      </c>
      <c r="J2693" s="3" t="str">
        <f ca="1">IFERROR(__xludf.DUMMYFUNCTION("""COMPUTED_VALUE"""),"0367817534")</f>
        <v>0367817534</v>
      </c>
      <c r="K2693" s="2" t="str">
        <f ca="1">IFERROR(__xludf.DUMMYFUNCTION("""COMPUTED_VALUE"""),"1735933350704")</f>
        <v>1735933350704</v>
      </c>
    </row>
    <row r="2694" spans="1:11" ht="12.45">
      <c r="A2694" s="2" t="str">
        <f ca="1">IFERROR(__xludf.DUMMYFUNCTION("""COMPUTED_VALUE"""),"1735933400935")</f>
        <v>1735933400935</v>
      </c>
      <c r="B2694" s="2"/>
      <c r="C2694" s="2" t="str">
        <v>0</v>
      </c>
      <c r="D2694" s="2"/>
      <c r="F2694" s="2" t="str">
        <v>0</v>
      </c>
      <c r="I2694" s="2" t="str">
        <f ca="1">IFERROR(__xludf.DUMMYFUNCTION("""COMPUTED_VALUE"""),"Nguyễn Thanh Nga ")</f>
        <v xml:space="preserve">Nguyễn Thanh Nga </v>
      </c>
      <c r="J2694" s="3" t="str">
        <f ca="1">IFERROR(__xludf.DUMMYFUNCTION("""COMPUTED_VALUE"""),"0399590408")</f>
        <v>0399590408</v>
      </c>
      <c r="K2694" s="2" t="str">
        <f ca="1">IFERROR(__xludf.DUMMYFUNCTION("""COMPUTED_VALUE"""),"1735933400935")</f>
        <v>1735933400935</v>
      </c>
    </row>
    <row r="2695" spans="1:11" ht="12.45">
      <c r="A2695" s="2" t="str">
        <f ca="1">IFERROR(__xludf.DUMMYFUNCTION("""COMPUTED_VALUE"""),"1735933436706")</f>
        <v>1735933436706</v>
      </c>
      <c r="B2695" s="2"/>
      <c r="C2695" s="2" t="str">
        <v>0</v>
      </c>
      <c r="D2695" s="2"/>
      <c r="F2695" s="2" t="str">
        <v>0</v>
      </c>
      <c r="I2695" s="2" t="str">
        <f ca="1">IFERROR(__xludf.DUMMYFUNCTION("""COMPUTED_VALUE"""),"Lại Huyền Trang")</f>
        <v>Lại Huyền Trang</v>
      </c>
      <c r="J2695" s="3" t="str">
        <f ca="1">IFERROR(__xludf.DUMMYFUNCTION("""COMPUTED_VALUE"""),"0367786231")</f>
        <v>0367786231</v>
      </c>
      <c r="K2695" s="2" t="str">
        <f ca="1">IFERROR(__xludf.DUMMYFUNCTION("""COMPUTED_VALUE"""),"1735933436706")</f>
        <v>1735933436706</v>
      </c>
    </row>
    <row r="2696" spans="1:11" ht="12.45">
      <c r="A2696" s="2" t="str">
        <f ca="1">IFERROR(__xludf.DUMMYFUNCTION("""COMPUTED_VALUE"""),"1735933473098")</f>
        <v>1735933473098</v>
      </c>
      <c r="B2696" s="2"/>
      <c r="C2696" s="2" t="str">
        <v>0</v>
      </c>
      <c r="D2696" s="2"/>
      <c r="F2696" s="2" t="str">
        <v>0</v>
      </c>
      <c r="I2696" s="2" t="str">
        <f ca="1">IFERROR(__xludf.DUMMYFUNCTION("""COMPUTED_VALUE"""),"Nguyễn Huỳnh Ái Quyên")</f>
        <v>Nguyễn Huỳnh Ái Quyên</v>
      </c>
      <c r="J2696" s="3" t="str">
        <f ca="1">IFERROR(__xludf.DUMMYFUNCTION("""COMPUTED_VALUE"""),"0352369035")</f>
        <v>0352369035</v>
      </c>
      <c r="K2696" s="2" t="str">
        <f ca="1">IFERROR(__xludf.DUMMYFUNCTION("""COMPUTED_VALUE"""),"1735933473098")</f>
        <v>1735933473098</v>
      </c>
    </row>
    <row r="2697" spans="1:11" ht="12.45">
      <c r="A2697" s="2" t="str">
        <f ca="1">IFERROR(__xludf.DUMMYFUNCTION("""COMPUTED_VALUE"""),"1735933505131")</f>
        <v>1735933505131</v>
      </c>
      <c r="B2697" s="2"/>
      <c r="C2697" s="2" t="str">
        <v>0</v>
      </c>
      <c r="D2697" s="2"/>
      <c r="F2697" s="2" t="str">
        <v>0</v>
      </c>
      <c r="I2697" s="2" t="str">
        <f ca="1">IFERROR(__xludf.DUMMYFUNCTION("""COMPUTED_VALUE"""),"Nguyễn Hoa Thuỷ Tiên")</f>
        <v>Nguyễn Hoa Thuỷ Tiên</v>
      </c>
      <c r="J2697" s="3" t="str">
        <f ca="1">IFERROR(__xludf.DUMMYFUNCTION("""COMPUTED_VALUE"""),"0981472007")</f>
        <v>0981472007</v>
      </c>
      <c r="K2697" s="2" t="str">
        <f ca="1">IFERROR(__xludf.DUMMYFUNCTION("""COMPUTED_VALUE"""),"1735933505131")</f>
        <v>1735933505131</v>
      </c>
    </row>
    <row r="2698" spans="1:11" ht="12.45">
      <c r="A2698" s="2" t="str">
        <f ca="1">IFERROR(__xludf.DUMMYFUNCTION("""COMPUTED_VALUE"""),"1735933544800")</f>
        <v>1735933544800</v>
      </c>
      <c r="B2698" s="2"/>
      <c r="C2698" s="2" t="str">
        <v>0</v>
      </c>
      <c r="D2698" s="2"/>
      <c r="F2698" s="2" t="str">
        <v>0</v>
      </c>
      <c r="I2698" s="2" t="str">
        <f ca="1">IFERROR(__xludf.DUMMYFUNCTION("""COMPUTED_VALUE"""),"Trang Khánh Linh")</f>
        <v>Trang Khánh Linh</v>
      </c>
      <c r="J2698" s="3" t="str">
        <f ca="1">IFERROR(__xludf.DUMMYFUNCTION("""COMPUTED_VALUE"""),"0975566401")</f>
        <v>0975566401</v>
      </c>
      <c r="K2698" s="2" t="str">
        <f ca="1">IFERROR(__xludf.DUMMYFUNCTION("""COMPUTED_VALUE"""),"1735933544800")</f>
        <v>1735933544800</v>
      </c>
    </row>
    <row r="2699" spans="1:11" ht="12.45">
      <c r="A2699" s="2" t="str">
        <f ca="1">IFERROR(__xludf.DUMMYFUNCTION("""COMPUTED_VALUE"""),"1735933583840")</f>
        <v>1735933583840</v>
      </c>
      <c r="B2699" s="2"/>
      <c r="C2699" s="2" t="str">
        <v>0</v>
      </c>
      <c r="D2699" s="2"/>
      <c r="F2699" s="2" t="str">
        <v>0</v>
      </c>
      <c r="I2699" s="2" t="str">
        <f ca="1">IFERROR(__xludf.DUMMYFUNCTION("""COMPUTED_VALUE"""),"Hoàng Trúc Anh ")</f>
        <v xml:space="preserve">Hoàng Trúc Anh </v>
      </c>
      <c r="J2699" s="3" t="str">
        <f ca="1">IFERROR(__xludf.DUMMYFUNCTION("""COMPUTED_VALUE"""),"0377622523")</f>
        <v>0377622523</v>
      </c>
      <c r="K2699" s="2" t="str">
        <f ca="1">IFERROR(__xludf.DUMMYFUNCTION("""COMPUTED_VALUE"""),"1735933583840")</f>
        <v>1735933583840</v>
      </c>
    </row>
    <row r="2700" spans="1:11" ht="12.45">
      <c r="A2700" s="2" t="str">
        <f ca="1">IFERROR(__xludf.DUMMYFUNCTION("""COMPUTED_VALUE"""),"1735933625872")</f>
        <v>1735933625872</v>
      </c>
      <c r="B2700" s="2"/>
      <c r="C2700" s="2" t="str">
        <v>0</v>
      </c>
      <c r="D2700" s="2"/>
      <c r="F2700" s="2" t="str">
        <v>0</v>
      </c>
      <c r="I2700" s="2" t="str">
        <f ca="1">IFERROR(__xludf.DUMMYFUNCTION("""COMPUTED_VALUE"""),"Lê Anh Thi ")</f>
        <v xml:space="preserve">Lê Anh Thi </v>
      </c>
      <c r="J2700" s="3" t="str">
        <f ca="1">IFERROR(__xludf.DUMMYFUNCTION("""COMPUTED_VALUE"""),"0355046616")</f>
        <v>0355046616</v>
      </c>
      <c r="K2700" s="2" t="str">
        <f ca="1">IFERROR(__xludf.DUMMYFUNCTION("""COMPUTED_VALUE"""),"1735933625872")</f>
        <v>1735933625872</v>
      </c>
    </row>
    <row r="2701" spans="1:11" ht="12.45">
      <c r="A2701" s="2" t="str">
        <f ca="1">IFERROR(__xludf.DUMMYFUNCTION("""COMPUTED_VALUE"""),"1735933673267")</f>
        <v>1735933673267</v>
      </c>
      <c r="B2701" s="2"/>
      <c r="C2701" s="2" t="str">
        <v>0</v>
      </c>
      <c r="D2701" s="2"/>
      <c r="F2701" s="2" t="str">
        <v>0</v>
      </c>
      <c r="I2701" s="2" t="str">
        <f ca="1">IFERROR(__xludf.DUMMYFUNCTION("""COMPUTED_VALUE"""),"Nguyễn Phương Linh ")</f>
        <v xml:space="preserve">Nguyễn Phương Linh </v>
      </c>
      <c r="J2701" s="3" t="str">
        <f ca="1">IFERROR(__xludf.DUMMYFUNCTION("""COMPUTED_VALUE"""),"0977530937")</f>
        <v>0977530937</v>
      </c>
      <c r="K2701" s="2" t="str">
        <f ca="1">IFERROR(__xludf.DUMMYFUNCTION("""COMPUTED_VALUE"""),"1735933673267")</f>
        <v>1735933673267</v>
      </c>
    </row>
    <row r="2702" spans="1:11" ht="12.45">
      <c r="A2702" s="2" t="str">
        <f ca="1">IFERROR(__xludf.DUMMYFUNCTION("""COMPUTED_VALUE"""),"1735933711026")</f>
        <v>1735933711026</v>
      </c>
      <c r="B2702" s="2"/>
      <c r="C2702" s="2" t="str">
        <v>0</v>
      </c>
      <c r="D2702" s="2"/>
      <c r="F2702" s="2" t="str">
        <v>0</v>
      </c>
      <c r="I2702" s="2" t="str">
        <f ca="1">IFERROR(__xludf.DUMMYFUNCTION("""COMPUTED_VALUE"""),"Lê Thị Kim Ngân")</f>
        <v>Lê Thị Kim Ngân</v>
      </c>
      <c r="J2702" s="3" t="str">
        <f ca="1">IFERROR(__xludf.DUMMYFUNCTION("""COMPUTED_VALUE"""),"0985582039")</f>
        <v>0985582039</v>
      </c>
      <c r="K2702" s="2" t="str">
        <f ca="1">IFERROR(__xludf.DUMMYFUNCTION("""COMPUTED_VALUE"""),"1735933711026")</f>
        <v>1735933711026</v>
      </c>
    </row>
    <row r="2703" spans="1:11" ht="12.45">
      <c r="A2703" s="2" t="str">
        <f ca="1">IFERROR(__xludf.DUMMYFUNCTION("""COMPUTED_VALUE"""),"1735933745081")</f>
        <v>1735933745081</v>
      </c>
      <c r="B2703" s="2"/>
      <c r="C2703" s="2" t="str">
        <v>0</v>
      </c>
      <c r="D2703" s="2"/>
      <c r="F2703" s="2" t="str">
        <v>0</v>
      </c>
      <c r="I2703" s="2" t="str">
        <f ca="1">IFERROR(__xludf.DUMMYFUNCTION("""COMPUTED_VALUE"""),"Phan thị thu huyền")</f>
        <v>Phan thị thu huyền</v>
      </c>
      <c r="J2703" s="3" t="str">
        <f ca="1">IFERROR(__xludf.DUMMYFUNCTION("""COMPUTED_VALUE"""),"0349157313")</f>
        <v>0349157313</v>
      </c>
      <c r="K2703" s="2" t="str">
        <f ca="1">IFERROR(__xludf.DUMMYFUNCTION("""COMPUTED_VALUE"""),"1735933745081")</f>
        <v>1735933745081</v>
      </c>
    </row>
    <row r="2704" spans="1:11" ht="12.45">
      <c r="A2704" s="2" t="str">
        <f ca="1">IFERROR(__xludf.DUMMYFUNCTION("""COMPUTED_VALUE"""),"1735933785313")</f>
        <v>1735933785313</v>
      </c>
      <c r="B2704" s="2"/>
      <c r="C2704" s="2" t="str">
        <v>0</v>
      </c>
      <c r="D2704" s="2"/>
      <c r="F2704" s="2" t="str">
        <v>0</v>
      </c>
      <c r="I2704" s="2" t="str">
        <f ca="1">IFERROR(__xludf.DUMMYFUNCTION("""COMPUTED_VALUE"""),"Trần Thị Thu Huyền")</f>
        <v>Trần Thị Thu Huyền</v>
      </c>
      <c r="J2704" s="3" t="str">
        <f ca="1">IFERROR(__xludf.DUMMYFUNCTION("""COMPUTED_VALUE"""),"0968668064")</f>
        <v>0968668064</v>
      </c>
      <c r="K2704" s="2" t="str">
        <f ca="1">IFERROR(__xludf.DUMMYFUNCTION("""COMPUTED_VALUE"""),"1735933785313")</f>
        <v>1735933785313</v>
      </c>
    </row>
    <row r="2705" spans="1:11" ht="12.45">
      <c r="A2705" s="2" t="str">
        <f ca="1">IFERROR(__xludf.DUMMYFUNCTION("""COMPUTED_VALUE"""),"1735933843318")</f>
        <v>1735933843318</v>
      </c>
      <c r="B2705" s="2"/>
      <c r="C2705" s="2" t="str">
        <v>0</v>
      </c>
      <c r="D2705" s="2"/>
      <c r="F2705" s="2" t="str">
        <v>0</v>
      </c>
      <c r="I2705" s="2" t="str">
        <f ca="1">IFERROR(__xludf.DUMMYFUNCTION("""COMPUTED_VALUE"""),"Lê Minh Nhật Tâm")</f>
        <v>Lê Minh Nhật Tâm</v>
      </c>
      <c r="J2705" s="3" t="str">
        <f ca="1">IFERROR(__xludf.DUMMYFUNCTION("""COMPUTED_VALUE"""),"0342940079")</f>
        <v>0342940079</v>
      </c>
      <c r="K2705" s="2" t="str">
        <f ca="1">IFERROR(__xludf.DUMMYFUNCTION("""COMPUTED_VALUE"""),"1735933843318")</f>
        <v>1735933843318</v>
      </c>
    </row>
    <row r="2706" spans="1:11" ht="12.45">
      <c r="A2706" s="2" t="str">
        <f ca="1">IFERROR(__xludf.DUMMYFUNCTION("""COMPUTED_VALUE"""),"1735933881627")</f>
        <v>1735933881627</v>
      </c>
      <c r="B2706" s="2"/>
      <c r="C2706" s="2" t="str">
        <v>0</v>
      </c>
      <c r="D2706" s="2"/>
      <c r="F2706" s="2" t="str">
        <v>0</v>
      </c>
      <c r="I2706" s="2" t="str">
        <f ca="1">IFERROR(__xludf.DUMMYFUNCTION("""COMPUTED_VALUE"""),"Phạm Thị Hạnh Lê")</f>
        <v>Phạm Thị Hạnh Lê</v>
      </c>
      <c r="J2706" s="3" t="str">
        <f ca="1">IFERROR(__xludf.DUMMYFUNCTION("""COMPUTED_VALUE"""),"0846611247")</f>
        <v>0846611247</v>
      </c>
      <c r="K2706" s="2" t="str">
        <f ca="1">IFERROR(__xludf.DUMMYFUNCTION("""COMPUTED_VALUE"""),"1735933881627")</f>
        <v>1735933881627</v>
      </c>
    </row>
    <row r="2707" spans="1:11" ht="12.45">
      <c r="A2707" s="2" t="str">
        <f ca="1">IFERROR(__xludf.DUMMYFUNCTION("""COMPUTED_VALUE"""),"1735809851269")</f>
        <v>1735809851269</v>
      </c>
      <c r="B2707" s="2"/>
      <c r="C2707" s="2" t="str">
        <v>0</v>
      </c>
      <c r="D2707" s="2"/>
      <c r="F2707" s="2" t="str">
        <v>0</v>
      </c>
      <c r="I2707" s="2" t="str">
        <f ca="1">IFERROR(__xludf.DUMMYFUNCTION("""COMPUTED_VALUE"""),"Võ Thành Tài")</f>
        <v>Võ Thành Tài</v>
      </c>
      <c r="J2707" s="3" t="str">
        <f ca="1">IFERROR(__xludf.DUMMYFUNCTION("""COMPUTED_VALUE"""),"0327707867")</f>
        <v>0327707867</v>
      </c>
      <c r="K2707" s="2" t="str">
        <f ca="1">IFERROR(__xludf.DUMMYFUNCTION("""COMPUTED_VALUE"""),"1735809851269")</f>
        <v>1735809851269</v>
      </c>
    </row>
    <row r="2708" spans="1:11" ht="12.45">
      <c r="A2708" s="2" t="str">
        <f ca="1">IFERROR(__xludf.DUMMYFUNCTION("""COMPUTED_VALUE"""),"1735933925559")</f>
        <v>1735933925559</v>
      </c>
      <c r="B2708" s="2"/>
      <c r="C2708" s="2" t="str">
        <v>0</v>
      </c>
      <c r="D2708" s="2"/>
      <c r="F2708" s="2" t="str">
        <v>0</v>
      </c>
      <c r="I2708" s="2" t="str">
        <f ca="1">IFERROR(__xludf.DUMMYFUNCTION("""COMPUTED_VALUE"""),"Nguyễn Duy Đức Nhất")</f>
        <v>Nguyễn Duy Đức Nhất</v>
      </c>
      <c r="J2708" s="3" t="str">
        <f ca="1">IFERROR(__xludf.DUMMYFUNCTION("""COMPUTED_VALUE"""),"0399052910")</f>
        <v>0399052910</v>
      </c>
      <c r="K2708" s="2" t="str">
        <f ca="1">IFERROR(__xludf.DUMMYFUNCTION("""COMPUTED_VALUE"""),"1735933925559")</f>
        <v>1735933925559</v>
      </c>
    </row>
    <row r="2709" spans="1:11" ht="12.45">
      <c r="A2709" s="2" t="str">
        <f ca="1">IFERROR(__xludf.DUMMYFUNCTION("""COMPUTED_VALUE"""),"1735933964906")</f>
        <v>1735933964906</v>
      </c>
      <c r="B2709" s="2"/>
      <c r="C2709" s="2" t="str">
        <v>0</v>
      </c>
      <c r="D2709" s="2"/>
      <c r="F2709" s="2" t="str">
        <v>0</v>
      </c>
      <c r="I2709" s="2" t="str">
        <f ca="1">IFERROR(__xludf.DUMMYFUNCTION("""COMPUTED_VALUE"""),"Lê Thị Như Quỳnh")</f>
        <v>Lê Thị Như Quỳnh</v>
      </c>
      <c r="J2709" s="3" t="str">
        <f ca="1">IFERROR(__xludf.DUMMYFUNCTION("""COMPUTED_VALUE"""),"0372092457")</f>
        <v>0372092457</v>
      </c>
      <c r="K2709" s="2" t="str">
        <f ca="1">IFERROR(__xludf.DUMMYFUNCTION("""COMPUTED_VALUE"""),"1735933964906")</f>
        <v>1735933964906</v>
      </c>
    </row>
    <row r="2710" spans="1:11" ht="12.45">
      <c r="A2710" s="2" t="str">
        <f ca="1">IFERROR(__xludf.DUMMYFUNCTION("""COMPUTED_VALUE"""),"1735933995248")</f>
        <v>1735933995248</v>
      </c>
      <c r="B2710" s="2"/>
      <c r="C2710" s="2" t="str">
        <v>0</v>
      </c>
      <c r="D2710" s="2"/>
      <c r="F2710" s="2" t="str">
        <v>0</v>
      </c>
      <c r="I2710" s="2" t="str">
        <f ca="1">IFERROR(__xludf.DUMMYFUNCTION("""COMPUTED_VALUE"""),"Phan Thị Hà Vy")</f>
        <v>Phan Thị Hà Vy</v>
      </c>
      <c r="J2710" s="3" t="str">
        <f ca="1">IFERROR(__xludf.DUMMYFUNCTION("""COMPUTED_VALUE"""),"0943161728")</f>
        <v>0943161728</v>
      </c>
      <c r="K2710" s="2" t="str">
        <f ca="1">IFERROR(__xludf.DUMMYFUNCTION("""COMPUTED_VALUE"""),"1735933995248")</f>
        <v>1735933995248</v>
      </c>
    </row>
    <row r="2711" spans="1:11" ht="12.45">
      <c r="A2711" s="2" t="str">
        <f ca="1">IFERROR(__xludf.DUMMYFUNCTION("""COMPUTED_VALUE"""),"1735934030701")</f>
        <v>1735934030701</v>
      </c>
      <c r="B2711" s="2"/>
      <c r="C2711" s="2" t="str">
        <v>0</v>
      </c>
      <c r="D2711" s="2"/>
      <c r="F2711" s="2" t="str">
        <v>0</v>
      </c>
      <c r="I2711" s="2" t="str">
        <f ca="1">IFERROR(__xludf.DUMMYFUNCTION("""COMPUTED_VALUE"""),"Lê Thị Phương Thảo ")</f>
        <v xml:space="preserve">Lê Thị Phương Thảo </v>
      </c>
      <c r="J2711" s="3" t="str">
        <f ca="1">IFERROR(__xludf.DUMMYFUNCTION("""COMPUTED_VALUE"""),"0345726702")</f>
        <v>0345726702</v>
      </c>
      <c r="K2711" s="2" t="str">
        <f ca="1">IFERROR(__xludf.DUMMYFUNCTION("""COMPUTED_VALUE"""),"1735934030701")</f>
        <v>1735934030701</v>
      </c>
    </row>
    <row r="2712" spans="1:11" ht="12.45">
      <c r="A2712" s="2" t="str">
        <f ca="1">IFERROR(__xludf.DUMMYFUNCTION("""COMPUTED_VALUE"""),"1735934069966")</f>
        <v>1735934069966</v>
      </c>
      <c r="B2712" s="2"/>
      <c r="C2712" s="2" t="str">
        <v>0</v>
      </c>
      <c r="D2712" s="2"/>
      <c r="F2712" s="2" t="str">
        <v>0</v>
      </c>
      <c r="I2712" s="2" t="str">
        <f ca="1">IFERROR(__xludf.DUMMYFUNCTION("""COMPUTED_VALUE"""),"Nguyễn Lê Hiền Trân")</f>
        <v>Nguyễn Lê Hiền Trân</v>
      </c>
      <c r="J2712" s="3" t="str">
        <f ca="1">IFERROR(__xludf.DUMMYFUNCTION("""COMPUTED_VALUE"""),"0768070107")</f>
        <v>0768070107</v>
      </c>
      <c r="K2712" s="2" t="str">
        <f ca="1">IFERROR(__xludf.DUMMYFUNCTION("""COMPUTED_VALUE"""),"1735934069966")</f>
        <v>1735934069966</v>
      </c>
    </row>
    <row r="2713" spans="1:11" ht="12.45">
      <c r="A2713" s="2" t="str">
        <f ca="1">IFERROR(__xludf.DUMMYFUNCTION("""COMPUTED_VALUE"""),"1735934103706")</f>
        <v>1735934103706</v>
      </c>
      <c r="B2713" s="2"/>
      <c r="C2713" s="2" t="str">
        <v>0</v>
      </c>
      <c r="D2713" s="2"/>
      <c r="F2713" s="2" t="str">
        <v>0</v>
      </c>
      <c r="I2713" s="2" t="str">
        <f ca="1">IFERROR(__xludf.DUMMYFUNCTION("""COMPUTED_VALUE"""),"Huỳnh Ngô Thanh Huyền")</f>
        <v>Huỳnh Ngô Thanh Huyền</v>
      </c>
      <c r="J2713" s="3" t="str">
        <f ca="1">IFERROR(__xludf.DUMMYFUNCTION("""COMPUTED_VALUE"""),"0335211605")</f>
        <v>0335211605</v>
      </c>
      <c r="K2713" s="2" t="str">
        <f ca="1">IFERROR(__xludf.DUMMYFUNCTION("""COMPUTED_VALUE"""),"1735934103706")</f>
        <v>1735934103706</v>
      </c>
    </row>
    <row r="2714" spans="1:11" ht="12.45">
      <c r="A2714" s="2" t="str">
        <f ca="1">IFERROR(__xludf.DUMMYFUNCTION("""COMPUTED_VALUE"""),"1735934139519")</f>
        <v>1735934139519</v>
      </c>
      <c r="B2714" s="2"/>
      <c r="C2714" s="2" t="str">
        <v>0</v>
      </c>
      <c r="D2714" s="2"/>
      <c r="F2714" s="2" t="str">
        <v>0</v>
      </c>
      <c r="I2714" s="2" t="str">
        <f ca="1">IFERROR(__xludf.DUMMYFUNCTION("""COMPUTED_VALUE"""),"Nguyễn Trần Minh Quang")</f>
        <v>Nguyễn Trần Minh Quang</v>
      </c>
      <c r="J2714" s="3" t="str">
        <f ca="1">IFERROR(__xludf.DUMMYFUNCTION("""COMPUTED_VALUE"""),"0984370647")</f>
        <v>0984370647</v>
      </c>
      <c r="K2714" s="2" t="str">
        <f ca="1">IFERROR(__xludf.DUMMYFUNCTION("""COMPUTED_VALUE"""),"1735934139519")</f>
        <v>1735934139519</v>
      </c>
    </row>
    <row r="2715" spans="1:11" ht="12.45">
      <c r="A2715" s="2" t="str">
        <f ca="1">IFERROR(__xludf.DUMMYFUNCTION("""COMPUTED_VALUE"""),"1735934195760")</f>
        <v>1735934195760</v>
      </c>
      <c r="B2715" s="2"/>
      <c r="C2715" s="2" t="str">
        <v>0</v>
      </c>
      <c r="D2715" s="2"/>
      <c r="F2715" s="2" t="str">
        <v>0</v>
      </c>
      <c r="I2715" s="2" t="str">
        <f ca="1">IFERROR(__xludf.DUMMYFUNCTION("""COMPUTED_VALUE"""),"Đinh Thị Thuỳ Linh")</f>
        <v>Đinh Thị Thuỳ Linh</v>
      </c>
      <c r="J2715" s="3" t="str">
        <f ca="1">IFERROR(__xludf.DUMMYFUNCTION("""COMPUTED_VALUE"""),"0326220533")</f>
        <v>0326220533</v>
      </c>
      <c r="K2715" s="2" t="str">
        <f ca="1">IFERROR(__xludf.DUMMYFUNCTION("""COMPUTED_VALUE"""),"1735934195760")</f>
        <v>1735934195760</v>
      </c>
    </row>
    <row r="2716" spans="1:11" ht="12.45">
      <c r="A2716" s="2" t="str">
        <f ca="1">IFERROR(__xludf.DUMMYFUNCTION("""COMPUTED_VALUE"""),"1735934244690")</f>
        <v>1735934244690</v>
      </c>
      <c r="B2716" s="2"/>
      <c r="C2716" s="2" t="str">
        <v>0</v>
      </c>
      <c r="D2716" s="2"/>
      <c r="F2716" s="2" t="str">
        <v>0</v>
      </c>
      <c r="I2716" s="2" t="str">
        <f ca="1">IFERROR(__xludf.DUMMYFUNCTION("""COMPUTED_VALUE"""),"Nguyễn Phi Long")</f>
        <v>Nguyễn Phi Long</v>
      </c>
      <c r="J2716" s="3" t="str">
        <f ca="1">IFERROR(__xludf.DUMMYFUNCTION("""COMPUTED_VALUE"""),"0975518308")</f>
        <v>0975518308</v>
      </c>
      <c r="K2716" s="2" t="str">
        <f ca="1">IFERROR(__xludf.DUMMYFUNCTION("""COMPUTED_VALUE"""),"1735934244690")</f>
        <v>1735934244690</v>
      </c>
    </row>
    <row r="2717" spans="1:11" ht="12.45">
      <c r="A2717" s="2" t="str">
        <f ca="1">IFERROR(__xludf.DUMMYFUNCTION("""COMPUTED_VALUE"""),"1735934287801")</f>
        <v>1735934287801</v>
      </c>
      <c r="B2717" s="2"/>
      <c r="C2717" s="2" t="str">
        <v>0</v>
      </c>
      <c r="D2717" s="2"/>
      <c r="F2717" s="2" t="str">
        <v>0</v>
      </c>
      <c r="I2717" s="2" t="str">
        <f ca="1">IFERROR(__xludf.DUMMYFUNCTION("""COMPUTED_VALUE"""),"Hồ Khánh Huyền")</f>
        <v>Hồ Khánh Huyền</v>
      </c>
      <c r="J2717" s="3" t="str">
        <f ca="1">IFERROR(__xludf.DUMMYFUNCTION("""COMPUTED_VALUE"""),"0397909756")</f>
        <v>0397909756</v>
      </c>
      <c r="K2717" s="2" t="str">
        <f ca="1">IFERROR(__xludf.DUMMYFUNCTION("""COMPUTED_VALUE"""),"1735934287801")</f>
        <v>1735934287801</v>
      </c>
    </row>
    <row r="2718" spans="1:11" ht="12.45">
      <c r="A2718" s="2" t="str">
        <f ca="1">IFERROR(__xludf.DUMMYFUNCTION("""COMPUTED_VALUE"""),"1735934326929")</f>
        <v>1735934326929</v>
      </c>
      <c r="B2718" s="2"/>
      <c r="C2718" s="2" t="str">
        <v>0</v>
      </c>
      <c r="D2718" s="2"/>
      <c r="F2718" s="2" t="str">
        <v>0</v>
      </c>
      <c r="I2718" s="2" t="str">
        <f ca="1">IFERROR(__xludf.DUMMYFUNCTION("""COMPUTED_VALUE"""),"Nguyễn Thị Anh Đào")</f>
        <v>Nguyễn Thị Anh Đào</v>
      </c>
      <c r="J2718" s="3" t="str">
        <f ca="1">IFERROR(__xludf.DUMMYFUNCTION("""COMPUTED_VALUE"""),"0834600169")</f>
        <v>0834600169</v>
      </c>
      <c r="K2718" s="2" t="str">
        <f ca="1">IFERROR(__xludf.DUMMYFUNCTION("""COMPUTED_VALUE"""),"1735934326929")</f>
        <v>1735934326929</v>
      </c>
    </row>
    <row r="2719" spans="1:11" ht="12.45">
      <c r="A2719" s="2" t="str">
        <f ca="1">IFERROR(__xludf.DUMMYFUNCTION("""COMPUTED_VALUE"""),"1735934363710")</f>
        <v>1735934363710</v>
      </c>
      <c r="B2719" s="2"/>
      <c r="C2719" s="2" t="str">
        <v>0</v>
      </c>
      <c r="D2719" s="2"/>
      <c r="F2719" s="2" t="str">
        <v>0</v>
      </c>
      <c r="I2719" s="2" t="str">
        <f ca="1">IFERROR(__xludf.DUMMYFUNCTION("""COMPUTED_VALUE"""),"Nguyễn Phạm Bảo Ngân")</f>
        <v>Nguyễn Phạm Bảo Ngân</v>
      </c>
      <c r="J2719" s="3" t="str">
        <f ca="1">IFERROR(__xludf.DUMMYFUNCTION("""COMPUTED_VALUE"""),"0818993907")</f>
        <v>0818993907</v>
      </c>
      <c r="K2719" s="2" t="str">
        <f ca="1">IFERROR(__xludf.DUMMYFUNCTION("""COMPUTED_VALUE"""),"1735934363710")</f>
        <v>1735934363710</v>
      </c>
    </row>
    <row r="2720" spans="1:11" ht="12.45">
      <c r="A2720" s="2" t="str">
        <f ca="1">IFERROR(__xludf.DUMMYFUNCTION("""COMPUTED_VALUE"""),"1735809882206")</f>
        <v>1735809882206</v>
      </c>
      <c r="B2720" s="2"/>
      <c r="C2720" s="2" t="str">
        <v>0</v>
      </c>
      <c r="D2720" s="2"/>
      <c r="F2720" s="2" t="str">
        <v>0</v>
      </c>
      <c r="I2720" s="2" t="str">
        <f ca="1">IFERROR(__xludf.DUMMYFUNCTION("""COMPUTED_VALUE"""),"Đinh Thị Anh Thư")</f>
        <v>Đinh Thị Anh Thư</v>
      </c>
      <c r="J2720" s="3" t="str">
        <f ca="1">IFERROR(__xludf.DUMMYFUNCTION("""COMPUTED_VALUE"""),"0365973182")</f>
        <v>0365973182</v>
      </c>
      <c r="K2720" s="2" t="str">
        <f ca="1">IFERROR(__xludf.DUMMYFUNCTION("""COMPUTED_VALUE"""),"1735809882206")</f>
        <v>1735809882206</v>
      </c>
    </row>
    <row r="2721" spans="1:11" ht="12.45">
      <c r="A2721" s="2" t="str">
        <f ca="1">IFERROR(__xludf.DUMMYFUNCTION("""COMPUTED_VALUE"""),"1735934412766")</f>
        <v>1735934412766</v>
      </c>
      <c r="B2721" s="2"/>
      <c r="C2721" s="2" t="str">
        <v>0</v>
      </c>
      <c r="D2721" s="2"/>
      <c r="F2721" s="2" t="str">
        <v>0</v>
      </c>
      <c r="I2721" s="2" t="str">
        <f ca="1">IFERROR(__xludf.DUMMYFUNCTION("""COMPUTED_VALUE"""),"Nguyễn Trương Ái My")</f>
        <v>Nguyễn Trương Ái My</v>
      </c>
      <c r="J2721" s="3" t="str">
        <f ca="1">IFERROR(__xludf.DUMMYFUNCTION("""COMPUTED_VALUE"""),"0375895845")</f>
        <v>0375895845</v>
      </c>
      <c r="K2721" s="2" t="str">
        <f ca="1">IFERROR(__xludf.DUMMYFUNCTION("""COMPUTED_VALUE"""),"1735934412766")</f>
        <v>1735934412766</v>
      </c>
    </row>
    <row r="2722" spans="1:11" ht="12.45">
      <c r="A2722" s="2" t="str">
        <f ca="1">IFERROR(__xludf.DUMMYFUNCTION("""COMPUTED_VALUE"""),"1735934459617")</f>
        <v>1735934459617</v>
      </c>
      <c r="B2722" s="2"/>
      <c r="C2722" s="2" t="str">
        <v>0</v>
      </c>
      <c r="D2722" s="2"/>
      <c r="F2722" s="2" t="str">
        <v>0</v>
      </c>
      <c r="I2722" s="2" t="str">
        <f ca="1">IFERROR(__xludf.DUMMYFUNCTION("""COMPUTED_VALUE"""),"Lê Nguyễn Thảo Huyền")</f>
        <v>Lê Nguyễn Thảo Huyền</v>
      </c>
      <c r="J2722" s="3" t="str">
        <f ca="1">IFERROR(__xludf.DUMMYFUNCTION("""COMPUTED_VALUE"""),"0978206709")</f>
        <v>0978206709</v>
      </c>
      <c r="K2722" s="2" t="str">
        <f ca="1">IFERROR(__xludf.DUMMYFUNCTION("""COMPUTED_VALUE"""),"1735934459617")</f>
        <v>1735934459617</v>
      </c>
    </row>
    <row r="2723" spans="1:11" ht="12.45">
      <c r="A2723" s="2" t="str">
        <f ca="1">IFERROR(__xludf.DUMMYFUNCTION("""COMPUTED_VALUE"""),"1735934500869")</f>
        <v>1735934500869</v>
      </c>
      <c r="B2723" s="2"/>
      <c r="C2723" s="2" t="str">
        <v>0</v>
      </c>
      <c r="D2723" s="2"/>
      <c r="F2723" s="2" t="str">
        <v>0</v>
      </c>
      <c r="I2723" s="2" t="str">
        <f ca="1">IFERROR(__xludf.DUMMYFUNCTION("""COMPUTED_VALUE"""),"Đặng Ngọc Ánh")</f>
        <v>Đặng Ngọc Ánh</v>
      </c>
      <c r="J2723" s="3" t="str">
        <f ca="1">IFERROR(__xludf.DUMMYFUNCTION("""COMPUTED_VALUE"""),"0377293003")</f>
        <v>0377293003</v>
      </c>
      <c r="K2723" s="2" t="str">
        <f ca="1">IFERROR(__xludf.DUMMYFUNCTION("""COMPUTED_VALUE"""),"1735934500869")</f>
        <v>1735934500869</v>
      </c>
    </row>
    <row r="2724" spans="1:11" ht="12.45">
      <c r="A2724" s="2" t="str">
        <f ca="1">IFERROR(__xludf.DUMMYFUNCTION("""COMPUTED_VALUE"""),"1735934548578")</f>
        <v>1735934548578</v>
      </c>
      <c r="B2724" s="2"/>
      <c r="C2724" s="2" t="str">
        <v>0</v>
      </c>
      <c r="D2724" s="2"/>
      <c r="F2724" s="2" t="str">
        <v>0</v>
      </c>
      <c r="I2724" s="2" t="str">
        <f ca="1">IFERROR(__xludf.DUMMYFUNCTION("""COMPUTED_VALUE"""),"Hồ Thị Thúy Vân")</f>
        <v>Hồ Thị Thúy Vân</v>
      </c>
      <c r="J2724" s="3" t="str">
        <f ca="1">IFERROR(__xludf.DUMMYFUNCTION("""COMPUTED_VALUE"""),"0364543741")</f>
        <v>0364543741</v>
      </c>
      <c r="K2724" s="2" t="str">
        <f ca="1">IFERROR(__xludf.DUMMYFUNCTION("""COMPUTED_VALUE"""),"1735934548578")</f>
        <v>1735934548578</v>
      </c>
    </row>
    <row r="2725" spans="1:11" ht="12.45">
      <c r="A2725" s="2" t="str">
        <f ca="1">IFERROR(__xludf.DUMMYFUNCTION("""COMPUTED_VALUE"""),"1735934602710")</f>
        <v>1735934602710</v>
      </c>
      <c r="B2725" s="2"/>
      <c r="C2725" s="2" t="str">
        <v>0</v>
      </c>
      <c r="D2725" s="2"/>
      <c r="F2725" s="2" t="str">
        <v>0</v>
      </c>
      <c r="I2725" s="2" t="str">
        <f ca="1">IFERROR(__xludf.DUMMYFUNCTION("""COMPUTED_VALUE"""),"Nguyễn hoàng vũ")</f>
        <v>Nguyễn hoàng vũ</v>
      </c>
      <c r="J2725" s="3" t="str">
        <f ca="1">IFERROR(__xludf.DUMMYFUNCTION("""COMPUTED_VALUE"""),"0357539822")</f>
        <v>0357539822</v>
      </c>
      <c r="K2725" s="2" t="str">
        <f ca="1">IFERROR(__xludf.DUMMYFUNCTION("""COMPUTED_VALUE"""),"1735934602710")</f>
        <v>1735934602710</v>
      </c>
    </row>
    <row r="2726" spans="1:11" ht="12.45">
      <c r="A2726" s="2" t="str">
        <f ca="1">IFERROR(__xludf.DUMMYFUNCTION("""COMPUTED_VALUE"""),"1735934635603")</f>
        <v>1735934635603</v>
      </c>
      <c r="B2726" s="2"/>
      <c r="C2726" s="2" t="str">
        <v>0</v>
      </c>
      <c r="D2726" s="2"/>
      <c r="F2726" s="2" t="str">
        <v>0</v>
      </c>
      <c r="I2726" s="2" t="str">
        <f ca="1">IFERROR(__xludf.DUMMYFUNCTION("""COMPUTED_VALUE"""),"Đỗ Thị Vân ")</f>
        <v xml:space="preserve">Đỗ Thị Vân </v>
      </c>
      <c r="J2726" s="3" t="str">
        <f ca="1">IFERROR(__xludf.DUMMYFUNCTION("""COMPUTED_VALUE"""),"0394403190")</f>
        <v>0394403190</v>
      </c>
      <c r="K2726" s="2" t="str">
        <f ca="1">IFERROR(__xludf.DUMMYFUNCTION("""COMPUTED_VALUE"""),"1735934635603")</f>
        <v>1735934635603</v>
      </c>
    </row>
    <row r="2727" spans="1:11" ht="12.45">
      <c r="A2727" s="2" t="str">
        <f ca="1">IFERROR(__xludf.DUMMYFUNCTION("""COMPUTED_VALUE"""),"1735934671067")</f>
        <v>1735934671067</v>
      </c>
      <c r="B2727" s="2"/>
      <c r="C2727" s="2" t="str">
        <v>0</v>
      </c>
      <c r="D2727" s="2"/>
      <c r="F2727" s="2" t="str">
        <v>0</v>
      </c>
      <c r="I2727" s="2" t="str">
        <f ca="1">IFERROR(__xludf.DUMMYFUNCTION("""COMPUTED_VALUE"""),"Lưu Thị Minh Ngọc")</f>
        <v>Lưu Thị Minh Ngọc</v>
      </c>
      <c r="J2727" s="3" t="str">
        <f ca="1">IFERROR(__xludf.DUMMYFUNCTION("""COMPUTED_VALUE"""),"0374180407")</f>
        <v>0374180407</v>
      </c>
      <c r="K2727" s="2" t="str">
        <f ca="1">IFERROR(__xludf.DUMMYFUNCTION("""COMPUTED_VALUE"""),"1735934671067")</f>
        <v>1735934671067</v>
      </c>
    </row>
    <row r="2728" spans="1:11" ht="12.45">
      <c r="A2728" s="2" t="str">
        <f ca="1">IFERROR(__xludf.DUMMYFUNCTION("""COMPUTED_VALUE"""),"1735934700075")</f>
        <v>1735934700075</v>
      </c>
      <c r="B2728" s="2"/>
      <c r="C2728" s="2" t="str">
        <v>0</v>
      </c>
      <c r="D2728" s="2"/>
      <c r="F2728" s="2" t="str">
        <v>0</v>
      </c>
      <c r="I2728" s="2" t="str">
        <f ca="1">IFERROR(__xludf.DUMMYFUNCTION("""COMPUTED_VALUE"""),"Trần Tố Anh")</f>
        <v>Trần Tố Anh</v>
      </c>
      <c r="J2728" s="3" t="str">
        <f ca="1">IFERROR(__xludf.DUMMYFUNCTION("""COMPUTED_VALUE"""),"0974908016")</f>
        <v>0974908016</v>
      </c>
      <c r="K2728" s="2" t="str">
        <f ca="1">IFERROR(__xludf.DUMMYFUNCTION("""COMPUTED_VALUE"""),"1735934700075")</f>
        <v>1735934700075</v>
      </c>
    </row>
    <row r="2729" spans="1:11" ht="12.45">
      <c r="A2729" s="2" t="str">
        <f ca="1">IFERROR(__xludf.DUMMYFUNCTION("""COMPUTED_VALUE"""),"1735934737410")</f>
        <v>1735934737410</v>
      </c>
      <c r="B2729" s="2"/>
      <c r="C2729" s="2" t="str">
        <v>0</v>
      </c>
      <c r="D2729" s="2"/>
      <c r="F2729" s="2" t="str">
        <v>0</v>
      </c>
      <c r="I2729" s="2" t="str">
        <f ca="1">IFERROR(__xludf.DUMMYFUNCTION("""COMPUTED_VALUE"""),"Đinh Thị Nam Huyên")</f>
        <v>Đinh Thị Nam Huyên</v>
      </c>
      <c r="J2729" s="3" t="str">
        <f ca="1">IFERROR(__xludf.DUMMYFUNCTION("""COMPUTED_VALUE"""),"0963188278")</f>
        <v>0963188278</v>
      </c>
      <c r="K2729" s="2" t="str">
        <f ca="1">IFERROR(__xludf.DUMMYFUNCTION("""COMPUTED_VALUE"""),"1735934737410")</f>
        <v>1735934737410</v>
      </c>
    </row>
    <row r="2730" spans="1:11" ht="12.45">
      <c r="A2730" s="2" t="str">
        <f ca="1">IFERROR(__xludf.DUMMYFUNCTION("""COMPUTED_VALUE"""),"1735934775961")</f>
        <v>1735934775961</v>
      </c>
      <c r="B2730" s="2"/>
      <c r="C2730" s="2" t="str">
        <v>0</v>
      </c>
      <c r="D2730" s="2"/>
      <c r="F2730" s="2" t="str">
        <v>0</v>
      </c>
      <c r="I2730" s="2" t="str">
        <f ca="1">IFERROR(__xludf.DUMMYFUNCTION("""COMPUTED_VALUE"""),"Huỳnhs Tiểu Băng ")</f>
        <v xml:space="preserve">Huỳnhs Tiểu Băng </v>
      </c>
      <c r="J2730" s="3" t="str">
        <f ca="1">IFERROR(__xludf.DUMMYFUNCTION("""COMPUTED_VALUE"""),"0397609224")</f>
        <v>0397609224</v>
      </c>
      <c r="K2730" s="2" t="str">
        <f ca="1">IFERROR(__xludf.DUMMYFUNCTION("""COMPUTED_VALUE"""),"1735934775961")</f>
        <v>1735934775961</v>
      </c>
    </row>
    <row r="2731" spans="1:11" ht="12.45">
      <c r="A2731" s="2" t="str">
        <f ca="1">IFERROR(__xludf.DUMMYFUNCTION("""COMPUTED_VALUE"""),"1735934809825")</f>
        <v>1735934809825</v>
      </c>
      <c r="B2731" s="2"/>
      <c r="C2731" s="2" t="str">
        <v>0</v>
      </c>
      <c r="D2731" s="2"/>
      <c r="F2731" s="2" t="str">
        <v>0</v>
      </c>
      <c r="I2731" s="2" t="str">
        <f ca="1">IFERROR(__xludf.DUMMYFUNCTION("""COMPUTED_VALUE"""),"Đặng Thị Bích Ngọc ")</f>
        <v xml:space="preserve">Đặng Thị Bích Ngọc </v>
      </c>
      <c r="J2731" s="3" t="str">
        <f ca="1">IFERROR(__xludf.DUMMYFUNCTION("""COMPUTED_VALUE"""),"0397279032")</f>
        <v>0397279032</v>
      </c>
      <c r="K2731" s="2" t="str">
        <f ca="1">IFERROR(__xludf.DUMMYFUNCTION("""COMPUTED_VALUE"""),"1735934809825")</f>
        <v>1735934809825</v>
      </c>
    </row>
    <row r="2732" spans="1:11" ht="12.45">
      <c r="A2732" s="2" t="str">
        <f ca="1">IFERROR(__xludf.DUMMYFUNCTION("""COMPUTED_VALUE"""),"1735934901542")</f>
        <v>1735934901542</v>
      </c>
      <c r="B2732" s="2"/>
      <c r="C2732" s="2" t="str">
        <v>0</v>
      </c>
      <c r="D2732" s="2"/>
      <c r="F2732" s="2" t="str">
        <v>0</v>
      </c>
      <c r="I2732" s="2" t="str">
        <f ca="1">IFERROR(__xludf.DUMMYFUNCTION("""COMPUTED_VALUE"""),"Vũ Phương Thảo")</f>
        <v>Vũ Phương Thảo</v>
      </c>
      <c r="J2732" s="3" t="str">
        <f ca="1">IFERROR(__xludf.DUMMYFUNCTION("""COMPUTED_VALUE"""),"0827266620")</f>
        <v>0827266620</v>
      </c>
      <c r="K2732" s="2" t="str">
        <f ca="1">IFERROR(__xludf.DUMMYFUNCTION("""COMPUTED_VALUE"""),"1735934901542")</f>
        <v>1735934901542</v>
      </c>
    </row>
    <row r="2733" spans="1:11" ht="12.45">
      <c r="A2733" s="2" t="str">
        <f ca="1">IFERROR(__xludf.DUMMYFUNCTION("""COMPUTED_VALUE"""),"1735934938160")</f>
        <v>1735934938160</v>
      </c>
      <c r="B2733" s="2"/>
      <c r="C2733" s="2" t="str">
        <v>0</v>
      </c>
      <c r="D2733" s="2"/>
      <c r="F2733" s="2" t="str">
        <v>0</v>
      </c>
      <c r="I2733" s="2" t="str">
        <f ca="1">IFERROR(__xludf.DUMMYFUNCTION("""COMPUTED_VALUE"""),"Nguyễn Thị Bảo Hân")</f>
        <v>Nguyễn Thị Bảo Hân</v>
      </c>
      <c r="J2733" s="3" t="str">
        <f ca="1">IFERROR(__xludf.DUMMYFUNCTION("""COMPUTED_VALUE"""),"0915672716")</f>
        <v>0915672716</v>
      </c>
      <c r="K2733" s="2" t="str">
        <f ca="1">IFERROR(__xludf.DUMMYFUNCTION("""COMPUTED_VALUE"""),"1735934938160")</f>
        <v>1735934938160</v>
      </c>
    </row>
    <row r="2734" spans="1:11" ht="12.45">
      <c r="A2734" s="2" t="str">
        <f ca="1">IFERROR(__xludf.DUMMYFUNCTION("""COMPUTED_VALUE"""),"1735934981206")</f>
        <v>1735934981206</v>
      </c>
      <c r="B2734" s="2"/>
      <c r="C2734" s="2" t="str">
        <v>0</v>
      </c>
      <c r="D2734" s="2"/>
      <c r="F2734" s="2" t="str">
        <v>0</v>
      </c>
      <c r="I2734" s="2" t="str">
        <f ca="1">IFERROR(__xludf.DUMMYFUNCTION("""COMPUTED_VALUE"""),"Đường Kiều Anh")</f>
        <v>Đường Kiều Anh</v>
      </c>
      <c r="J2734" s="3" t="str">
        <f ca="1">IFERROR(__xludf.DUMMYFUNCTION("""COMPUTED_VALUE"""),"0848364183")</f>
        <v>0848364183</v>
      </c>
      <c r="K2734" s="2" t="str">
        <f ca="1">IFERROR(__xludf.DUMMYFUNCTION("""COMPUTED_VALUE"""),"1735934981206")</f>
        <v>1735934981206</v>
      </c>
    </row>
    <row r="2735" spans="1:11" ht="12.45">
      <c r="A2735" s="2" t="str">
        <f ca="1">IFERROR(__xludf.DUMMYFUNCTION("""COMPUTED_VALUE"""),"1735935019202")</f>
        <v>1735935019202</v>
      </c>
      <c r="B2735" s="2"/>
      <c r="C2735" s="2" t="str">
        <v>0</v>
      </c>
      <c r="D2735" s="2"/>
      <c r="F2735" s="2" t="str">
        <v>0</v>
      </c>
      <c r="I2735" s="2" t="str">
        <f ca="1">IFERROR(__xludf.DUMMYFUNCTION("""COMPUTED_VALUE"""),"Phạm Thị Ngọc Anh")</f>
        <v>Phạm Thị Ngọc Anh</v>
      </c>
      <c r="J2735" s="3" t="str">
        <f ca="1">IFERROR(__xludf.DUMMYFUNCTION("""COMPUTED_VALUE"""),"0343503585")</f>
        <v>0343503585</v>
      </c>
      <c r="K2735" s="2" t="str">
        <f ca="1">IFERROR(__xludf.DUMMYFUNCTION("""COMPUTED_VALUE"""),"1735935019202")</f>
        <v>1735935019202</v>
      </c>
    </row>
    <row r="2736" spans="1:11" ht="12.45">
      <c r="A2736" s="2" t="str">
        <f ca="1">IFERROR(__xludf.DUMMYFUNCTION("""COMPUTED_VALUE"""),"1735935060787")</f>
        <v>1735935060787</v>
      </c>
      <c r="B2736" s="2"/>
      <c r="C2736" s="2" t="str">
        <v>0</v>
      </c>
      <c r="D2736" s="2"/>
      <c r="F2736" s="2" t="str">
        <v>0</v>
      </c>
      <c r="I2736" s="2" t="str">
        <f ca="1">IFERROR(__xludf.DUMMYFUNCTION("""COMPUTED_VALUE"""),"Vũ Đình Minh Tú")</f>
        <v>Vũ Đình Minh Tú</v>
      </c>
      <c r="J2736" s="3" t="str">
        <f ca="1">IFERROR(__xludf.DUMMYFUNCTION("""COMPUTED_VALUE"""),"0845000231")</f>
        <v>0845000231</v>
      </c>
      <c r="K2736" s="2" t="str">
        <f ca="1">IFERROR(__xludf.DUMMYFUNCTION("""COMPUTED_VALUE"""),"1735935060787")</f>
        <v>1735935060787</v>
      </c>
    </row>
    <row r="2737" spans="1:11" ht="12.45">
      <c r="A2737" s="2" t="str">
        <f ca="1">IFERROR(__xludf.DUMMYFUNCTION("""COMPUTED_VALUE"""),"1735935112000")</f>
        <v>1735935112000</v>
      </c>
      <c r="B2737" s="2"/>
      <c r="C2737" s="2" t="str">
        <v>0</v>
      </c>
      <c r="D2737" s="2"/>
      <c r="F2737" s="2" t="str">
        <v>0</v>
      </c>
      <c r="I2737" s="2" t="str">
        <f ca="1">IFERROR(__xludf.DUMMYFUNCTION("""COMPUTED_VALUE"""),"Đoàn Ánh Ngọc")</f>
        <v>Đoàn Ánh Ngọc</v>
      </c>
      <c r="J2737" s="3" t="str">
        <f ca="1">IFERROR(__xludf.DUMMYFUNCTION("""COMPUTED_VALUE"""),"0961136234")</f>
        <v>0961136234</v>
      </c>
      <c r="K2737" s="2" t="str">
        <f ca="1">IFERROR(__xludf.DUMMYFUNCTION("""COMPUTED_VALUE"""),"1735935112000")</f>
        <v>1735935112000</v>
      </c>
    </row>
    <row r="2738" spans="1:11" ht="12.45">
      <c r="A2738" s="2" t="str">
        <f ca="1">IFERROR(__xludf.DUMMYFUNCTION("""COMPUTED_VALUE"""),"1735935143838")</f>
        <v>1735935143838</v>
      </c>
      <c r="B2738" s="2"/>
      <c r="C2738" s="2" t="str">
        <v>0</v>
      </c>
      <c r="D2738" s="2"/>
      <c r="F2738" s="2" t="str">
        <v>0</v>
      </c>
      <c r="I2738" s="2" t="str">
        <f ca="1">IFERROR(__xludf.DUMMYFUNCTION("""COMPUTED_VALUE"""),"Trịnh Thục Quyên")</f>
        <v>Trịnh Thục Quyên</v>
      </c>
      <c r="J2738" s="3" t="str">
        <f ca="1">IFERROR(__xludf.DUMMYFUNCTION("""COMPUTED_VALUE"""),"0961709379")</f>
        <v>0961709379</v>
      </c>
      <c r="K2738" s="2" t="str">
        <f ca="1">IFERROR(__xludf.DUMMYFUNCTION("""COMPUTED_VALUE"""),"1735935143838")</f>
        <v>1735935143838</v>
      </c>
    </row>
    <row r="2739" spans="1:11" ht="12.45">
      <c r="A2739" s="2" t="str">
        <f ca="1">IFERROR(__xludf.DUMMYFUNCTION("""COMPUTED_VALUE"""),"1744768499531")</f>
        <v>1744768499531</v>
      </c>
      <c r="B2739" s="2"/>
      <c r="C2739" s="2" t="str">
        <v>0</v>
      </c>
      <c r="D2739" s="2"/>
      <c r="F2739" s="2" t="str">
        <v>0</v>
      </c>
      <c r="I2739" s="3" t="str">
        <f ca="1">IFERROR(__xludf.DUMMYFUNCTION("""COMPUTED_VALUE"""),"Cao Hồ Cẩm")</f>
        <v>Cao Hồ Cẩm</v>
      </c>
      <c r="J2739" s="3" t="str">
        <f ca="1">IFERROR(__xludf.DUMMYFUNCTION("""COMPUTED_VALUE"""),"0772550306")</f>
        <v>0772550306</v>
      </c>
      <c r="K2739" s="2" t="str">
        <f ca="1">IFERROR(__xludf.DUMMYFUNCTION("""COMPUTED_VALUE"""),"1744768499531")</f>
        <v>1744768499531</v>
      </c>
    </row>
    <row r="2740" spans="1:11" ht="12.45">
      <c r="A2740" s="2" t="str">
        <f ca="1">IFERROR(__xludf.DUMMYFUNCTION("""COMPUTED_VALUE"""),"1735935170896")</f>
        <v>1735935170896</v>
      </c>
      <c r="B2740" s="2"/>
      <c r="C2740" s="2" t="str">
        <v>0</v>
      </c>
      <c r="D2740" s="2"/>
      <c r="F2740" s="2" t="str">
        <v>0</v>
      </c>
      <c r="I2740" s="2" t="str">
        <f ca="1">IFERROR(__xludf.DUMMYFUNCTION("""COMPUTED_VALUE"""),"Nguyễn Lê Khánh Huyền")</f>
        <v>Nguyễn Lê Khánh Huyền</v>
      </c>
      <c r="J2740" s="3" t="str">
        <f ca="1">IFERROR(__xludf.DUMMYFUNCTION("""COMPUTED_VALUE"""),"0337734133")</f>
        <v>0337734133</v>
      </c>
      <c r="K2740" s="2" t="str">
        <f ca="1">IFERROR(__xludf.DUMMYFUNCTION("""COMPUTED_VALUE"""),"1735935170896")</f>
        <v>1735935170896</v>
      </c>
    </row>
    <row r="2741" spans="1:11" ht="12.45">
      <c r="A2741" s="2" t="str">
        <f ca="1">IFERROR(__xludf.DUMMYFUNCTION("""COMPUTED_VALUE"""),"1735935211654")</f>
        <v>1735935211654</v>
      </c>
      <c r="B2741" s="2"/>
      <c r="C2741" s="2" t="str">
        <v>0</v>
      </c>
      <c r="D2741" s="2"/>
      <c r="F2741" s="2" t="str">
        <v>0</v>
      </c>
      <c r="I2741" s="2" t="str">
        <f ca="1">IFERROR(__xludf.DUMMYFUNCTION("""COMPUTED_VALUE"""),"LÊ TRÚC MY")</f>
        <v>LÊ TRÚC MY</v>
      </c>
      <c r="J2741" s="3" t="str">
        <f ca="1">IFERROR(__xludf.DUMMYFUNCTION("""COMPUTED_VALUE"""),"0971727735")</f>
        <v>0971727735</v>
      </c>
      <c r="K2741" s="2" t="str">
        <f ca="1">IFERROR(__xludf.DUMMYFUNCTION("""COMPUTED_VALUE"""),"1735935211654")</f>
        <v>1735935211654</v>
      </c>
    </row>
    <row r="2742" spans="1:11" ht="12.45">
      <c r="A2742" s="2" t="str">
        <f ca="1">IFERROR(__xludf.DUMMYFUNCTION("""COMPUTED_VALUE"""),"1735935249657")</f>
        <v>1735935249657</v>
      </c>
      <c r="B2742" s="2"/>
      <c r="C2742" s="2" t="str">
        <v>0</v>
      </c>
      <c r="D2742" s="2"/>
      <c r="F2742" s="2" t="str">
        <v>0</v>
      </c>
      <c r="I2742" s="2" t="str">
        <f ca="1">IFERROR(__xludf.DUMMYFUNCTION("""COMPUTED_VALUE"""),"Nguyễn Hà Bảo Trân")</f>
        <v>Nguyễn Hà Bảo Trân</v>
      </c>
      <c r="J2742" s="3" t="str">
        <f ca="1">IFERROR(__xludf.DUMMYFUNCTION("""COMPUTED_VALUE"""),"0968539516")</f>
        <v>0968539516</v>
      </c>
      <c r="K2742" s="2" t="str">
        <f ca="1">IFERROR(__xludf.DUMMYFUNCTION("""COMPUTED_VALUE"""),"1735935249657")</f>
        <v>1735935249657</v>
      </c>
    </row>
    <row r="2743" spans="1:11" ht="12.45">
      <c r="A2743" s="2" t="str">
        <f ca="1">IFERROR(__xludf.DUMMYFUNCTION("""COMPUTED_VALUE"""),"1735935288247")</f>
        <v>1735935288247</v>
      </c>
      <c r="B2743" s="2"/>
      <c r="C2743" s="2" t="str">
        <v>0</v>
      </c>
      <c r="D2743" s="2"/>
      <c r="F2743" s="2" t="str">
        <v>0</v>
      </c>
      <c r="I2743" s="2" t="str">
        <f ca="1">IFERROR(__xludf.DUMMYFUNCTION("""COMPUTED_VALUE"""),"Trần Như Quỳnh")</f>
        <v>Trần Như Quỳnh</v>
      </c>
      <c r="J2743" s="3" t="str">
        <f ca="1">IFERROR(__xludf.DUMMYFUNCTION("""COMPUTED_VALUE"""),"0364239063")</f>
        <v>0364239063</v>
      </c>
      <c r="K2743" s="2" t="str">
        <f ca="1">IFERROR(__xludf.DUMMYFUNCTION("""COMPUTED_VALUE"""),"1735935288247")</f>
        <v>1735935288247</v>
      </c>
    </row>
    <row r="2744" spans="1:11" ht="12.45">
      <c r="A2744" s="2" t="str">
        <f ca="1">IFERROR(__xludf.DUMMYFUNCTION("""COMPUTED_VALUE"""),"1735935327058")</f>
        <v>1735935327058</v>
      </c>
      <c r="B2744" s="2"/>
      <c r="C2744" s="2" t="str">
        <v>0</v>
      </c>
      <c r="D2744" s="2"/>
      <c r="F2744" s="2" t="str">
        <v>0</v>
      </c>
      <c r="I2744" s="2" t="str">
        <f ca="1">IFERROR(__xludf.DUMMYFUNCTION("""COMPUTED_VALUE"""),"Đỗ Phương Thảo")</f>
        <v>Đỗ Phương Thảo</v>
      </c>
      <c r="J2744" s="3" t="str">
        <f ca="1">IFERROR(__xludf.DUMMYFUNCTION("""COMPUTED_VALUE"""),"0973939980")</f>
        <v>0973939980</v>
      </c>
      <c r="K2744" s="2" t="str">
        <f ca="1">IFERROR(__xludf.DUMMYFUNCTION("""COMPUTED_VALUE"""),"1735935327058")</f>
        <v>1735935327058</v>
      </c>
    </row>
    <row r="2745" spans="1:11" ht="12.45">
      <c r="A2745" s="2" t="str">
        <f ca="1">IFERROR(__xludf.DUMMYFUNCTION("""COMPUTED_VALUE"""),"1735935365260")</f>
        <v>1735935365260</v>
      </c>
      <c r="B2745" s="2"/>
      <c r="C2745" s="2" t="str">
        <v>0</v>
      </c>
      <c r="D2745" s="2"/>
      <c r="F2745" s="2" t="str">
        <v>0</v>
      </c>
      <c r="I2745" s="2" t="str">
        <f ca="1">IFERROR(__xludf.DUMMYFUNCTION("""COMPUTED_VALUE"""),"Đặng Thuý Hoa")</f>
        <v>Đặng Thuý Hoa</v>
      </c>
      <c r="J2745" s="3" t="str">
        <f ca="1">IFERROR(__xludf.DUMMYFUNCTION("""COMPUTED_VALUE"""),"0348347198")</f>
        <v>0348347198</v>
      </c>
      <c r="K2745" s="2" t="str">
        <f ca="1">IFERROR(__xludf.DUMMYFUNCTION("""COMPUTED_VALUE"""),"1735935365260")</f>
        <v>1735935365260</v>
      </c>
    </row>
    <row r="2746" spans="1:11" ht="12.45">
      <c r="A2746" s="2" t="str">
        <f ca="1">IFERROR(__xludf.DUMMYFUNCTION("""COMPUTED_VALUE"""),"1735935394843")</f>
        <v>1735935394843</v>
      </c>
      <c r="B2746" s="2"/>
      <c r="C2746" s="2" t="str">
        <v>0</v>
      </c>
      <c r="D2746" s="2"/>
      <c r="F2746" s="2" t="str">
        <v>0</v>
      </c>
      <c r="I2746" s="2" t="str">
        <f ca="1">IFERROR(__xludf.DUMMYFUNCTION("""COMPUTED_VALUE"""),"Trần Mai Phương")</f>
        <v>Trần Mai Phương</v>
      </c>
      <c r="J2746" s="3" t="str">
        <f ca="1">IFERROR(__xludf.DUMMYFUNCTION("""COMPUTED_VALUE"""),"0962930548")</f>
        <v>0962930548</v>
      </c>
      <c r="K2746" s="2" t="str">
        <f ca="1">IFERROR(__xludf.DUMMYFUNCTION("""COMPUTED_VALUE"""),"1735935394843")</f>
        <v>1735935394843</v>
      </c>
    </row>
    <row r="2747" spans="1:11" ht="12.45">
      <c r="A2747" s="2" t="str">
        <f ca="1">IFERROR(__xludf.DUMMYFUNCTION("""COMPUTED_VALUE"""),"1735935430360")</f>
        <v>1735935430360</v>
      </c>
      <c r="B2747" s="2"/>
      <c r="C2747" s="2" t="str">
        <v>0</v>
      </c>
      <c r="D2747" s="2"/>
      <c r="F2747" s="2" t="str">
        <v>0</v>
      </c>
      <c r="I2747" s="2" t="str">
        <f ca="1">IFERROR(__xludf.DUMMYFUNCTION("""COMPUTED_VALUE"""),"Lê Hoàng Bảo Thi")</f>
        <v>Lê Hoàng Bảo Thi</v>
      </c>
      <c r="J2747" s="3" t="str">
        <f ca="1">IFERROR(__xludf.DUMMYFUNCTION("""COMPUTED_VALUE"""),"0702597008")</f>
        <v>0702597008</v>
      </c>
      <c r="K2747" s="2" t="str">
        <f ca="1">IFERROR(__xludf.DUMMYFUNCTION("""COMPUTED_VALUE"""),"1735935430360")</f>
        <v>1735935430360</v>
      </c>
    </row>
    <row r="2748" spans="1:11" ht="12.45">
      <c r="A2748" s="2" t="str">
        <f ca="1">IFERROR(__xludf.DUMMYFUNCTION("""COMPUTED_VALUE"""),"1735935467552")</f>
        <v>1735935467552</v>
      </c>
      <c r="B2748" s="2"/>
      <c r="C2748" s="2" t="str">
        <v>0</v>
      </c>
      <c r="D2748" s="2"/>
      <c r="F2748" s="2" t="str">
        <v>0</v>
      </c>
      <c r="I2748" s="2" t="str">
        <f ca="1">IFERROR(__xludf.DUMMYFUNCTION("""COMPUTED_VALUE"""),"Phạm Thanh Thảo ")</f>
        <v xml:space="preserve">Phạm Thanh Thảo </v>
      </c>
      <c r="J2748" s="3" t="str">
        <f ca="1">IFERROR(__xludf.DUMMYFUNCTION("""COMPUTED_VALUE"""),"0375011788")</f>
        <v>0375011788</v>
      </c>
      <c r="K2748" s="2" t="str">
        <f ca="1">IFERROR(__xludf.DUMMYFUNCTION("""COMPUTED_VALUE"""),"1735935467552")</f>
        <v>1735935467552</v>
      </c>
    </row>
    <row r="2749" spans="1:11" ht="12.45">
      <c r="A2749" s="2" t="str">
        <f ca="1">IFERROR(__xludf.DUMMYFUNCTION("""COMPUTED_VALUE"""),"1735935529100")</f>
        <v>1735935529100</v>
      </c>
      <c r="B2749" s="2"/>
      <c r="C2749" s="2" t="str">
        <v>0</v>
      </c>
      <c r="D2749" s="2"/>
      <c r="F2749" s="2" t="str">
        <v>0</v>
      </c>
      <c r="I2749" s="2" t="str">
        <f ca="1">IFERROR(__xludf.DUMMYFUNCTION("""COMPUTED_VALUE"""),"Đoàn Phi Nhung ")</f>
        <v xml:space="preserve">Đoàn Phi Nhung </v>
      </c>
      <c r="J2749" s="3" t="str">
        <f ca="1">IFERROR(__xludf.DUMMYFUNCTION("""COMPUTED_VALUE"""),"0796550028")</f>
        <v>0796550028</v>
      </c>
      <c r="K2749" s="2" t="str">
        <f ca="1">IFERROR(__xludf.DUMMYFUNCTION("""COMPUTED_VALUE"""),"1735935529100")</f>
        <v>1735935529100</v>
      </c>
    </row>
    <row r="2750" spans="1:11" ht="12.45">
      <c r="A2750" s="2" t="str">
        <f ca="1">IFERROR(__xludf.DUMMYFUNCTION("""COMPUTED_VALUE"""),"1735935567939")</f>
        <v>1735935567939</v>
      </c>
      <c r="B2750" s="2"/>
      <c r="C2750" s="2" t="str">
        <v>0</v>
      </c>
      <c r="D2750" s="2"/>
      <c r="F2750" s="2" t="str">
        <v>0</v>
      </c>
      <c r="I2750" s="2" t="str">
        <f ca="1">IFERROR(__xludf.DUMMYFUNCTION("""COMPUTED_VALUE"""),"Đỗ Thị Yến ")</f>
        <v xml:space="preserve">Đỗ Thị Yến </v>
      </c>
      <c r="J2750" s="3" t="str">
        <f ca="1">IFERROR(__xludf.DUMMYFUNCTION("""COMPUTED_VALUE"""),"0868894362")</f>
        <v>0868894362</v>
      </c>
      <c r="K2750" s="2" t="str">
        <f ca="1">IFERROR(__xludf.DUMMYFUNCTION("""COMPUTED_VALUE"""),"1735935567939")</f>
        <v>1735935567939</v>
      </c>
    </row>
    <row r="2751" spans="1:11" ht="12.45">
      <c r="A2751" s="2" t="str">
        <f ca="1">IFERROR(__xludf.DUMMYFUNCTION("""COMPUTED_VALUE"""),"1735935605816")</f>
        <v>1735935605816</v>
      </c>
      <c r="B2751" s="2"/>
      <c r="C2751" s="2" t="str">
        <v>0</v>
      </c>
      <c r="D2751" s="2"/>
      <c r="F2751" s="2" t="str">
        <v>0</v>
      </c>
      <c r="I2751" s="2" t="str">
        <f ca="1">IFERROR(__xludf.DUMMYFUNCTION("""COMPUTED_VALUE"""),"Hoàng Nguyên Ka Thy")</f>
        <v>Hoàng Nguyên Ka Thy</v>
      </c>
      <c r="J2751" s="3" t="str">
        <f ca="1">IFERROR(__xludf.DUMMYFUNCTION("""COMPUTED_VALUE"""),"0375508027")</f>
        <v>0375508027</v>
      </c>
      <c r="K2751" s="2" t="str">
        <f ca="1">IFERROR(__xludf.DUMMYFUNCTION("""COMPUTED_VALUE"""),"1735935605816")</f>
        <v>1735935605816</v>
      </c>
    </row>
    <row r="2752" spans="1:11" ht="12.45">
      <c r="A2752" s="2" t="str">
        <f ca="1">IFERROR(__xludf.DUMMYFUNCTION("""COMPUTED_VALUE"""),"1735935652645")</f>
        <v>1735935652645</v>
      </c>
      <c r="B2752" s="2"/>
      <c r="C2752" s="2" t="str">
        <v>0</v>
      </c>
      <c r="D2752" s="2"/>
      <c r="F2752" s="2" t="str">
        <v>0</v>
      </c>
      <c r="I2752" s="2" t="str">
        <f ca="1">IFERROR(__xludf.DUMMYFUNCTION("""COMPUTED_VALUE"""),"Nguyễn Lương Minh")</f>
        <v>Nguyễn Lương Minh</v>
      </c>
      <c r="J2752" s="3" t="str">
        <f ca="1">IFERROR(__xludf.DUMMYFUNCTION("""COMPUTED_VALUE"""),"0396865207")</f>
        <v>0396865207</v>
      </c>
      <c r="K2752" s="2" t="str">
        <f ca="1">IFERROR(__xludf.DUMMYFUNCTION("""COMPUTED_VALUE"""),"1735935652645")</f>
        <v>1735935652645</v>
      </c>
    </row>
    <row r="2753" spans="1:11" ht="12.45">
      <c r="A2753" s="2" t="str">
        <f ca="1">IFERROR(__xludf.DUMMYFUNCTION("""COMPUTED_VALUE"""),"1735935693214")</f>
        <v>1735935693214</v>
      </c>
      <c r="B2753" s="2"/>
      <c r="C2753" s="2" t="str">
        <v>0</v>
      </c>
      <c r="D2753" s="2"/>
      <c r="F2753" s="2" t="str">
        <v>0</v>
      </c>
      <c r="I2753" s="2" t="str">
        <f ca="1">IFERROR(__xludf.DUMMYFUNCTION("""COMPUTED_VALUE"""),"Nguyễn Thị Mai Huệ")</f>
        <v>Nguyễn Thị Mai Huệ</v>
      </c>
      <c r="J2753" s="3" t="str">
        <f ca="1">IFERROR(__xludf.DUMMYFUNCTION("""COMPUTED_VALUE"""),"0392637775")</f>
        <v>0392637775</v>
      </c>
      <c r="K2753" s="2" t="str">
        <f ca="1">IFERROR(__xludf.DUMMYFUNCTION("""COMPUTED_VALUE"""),"1735935693214")</f>
        <v>1735935693214</v>
      </c>
    </row>
    <row r="2754" spans="1:11" ht="12.45">
      <c r="A2754" s="2" t="str">
        <f ca="1">IFERROR(__xludf.DUMMYFUNCTION("""COMPUTED_VALUE"""),"1735935756305")</f>
        <v>1735935756305</v>
      </c>
      <c r="B2754" s="2"/>
      <c r="C2754" s="2" t="str">
        <v>0</v>
      </c>
      <c r="D2754" s="2"/>
      <c r="F2754" s="2" t="str">
        <v>0</v>
      </c>
      <c r="I2754" s="2" t="str">
        <f ca="1">IFERROR(__xludf.DUMMYFUNCTION("""COMPUTED_VALUE"""),"Huỳnh Thị Thanh Lịch")</f>
        <v>Huỳnh Thị Thanh Lịch</v>
      </c>
      <c r="J2754" s="3" t="str">
        <f ca="1">IFERROR(__xludf.DUMMYFUNCTION("""COMPUTED_VALUE"""),"0356928827")</f>
        <v>0356928827</v>
      </c>
      <c r="K2754" s="2" t="str">
        <f ca="1">IFERROR(__xludf.DUMMYFUNCTION("""COMPUTED_VALUE"""),"1735935756305")</f>
        <v>1735935756305</v>
      </c>
    </row>
    <row r="2755" spans="1:11" ht="12.45">
      <c r="A2755" s="2">
        <f ca="1">IFERROR(__xludf.DUMMYFUNCTION("""COMPUTED_VALUE"""),1742790808019)</f>
        <v>1742790808019</v>
      </c>
      <c r="B2755" s="2"/>
      <c r="C2755" s="2" t="str">
        <v>0</v>
      </c>
      <c r="D2755" s="2"/>
      <c r="F2755" s="2" t="str">
        <v>0</v>
      </c>
      <c r="I2755" s="2" t="str">
        <f ca="1">IFERROR(__xludf.DUMMYFUNCTION("""COMPUTED_VALUE"""),"Phạm Bảo Ngân")</f>
        <v>Phạm Bảo Ngân</v>
      </c>
      <c r="J2755" s="3" t="str">
        <f ca="1">IFERROR(__xludf.DUMMYFUNCTION("""COMPUTED_VALUE"""),"0968094173")</f>
        <v>0968094173</v>
      </c>
      <c r="K2755" s="2">
        <f ca="1">IFERROR(__xludf.DUMMYFUNCTION("""COMPUTED_VALUE"""),1742790808019)</f>
        <v>1742790808019</v>
      </c>
    </row>
    <row r="2756" spans="1:11" ht="12.45">
      <c r="A2756" s="2" t="str">
        <f ca="1">IFERROR(__xludf.DUMMYFUNCTION("""COMPUTED_VALUE"""),"1735935796585")</f>
        <v>1735935796585</v>
      </c>
      <c r="B2756" s="2"/>
      <c r="C2756" s="2" t="str">
        <v>0</v>
      </c>
      <c r="D2756" s="2"/>
      <c r="F2756" s="2" t="str">
        <v>0</v>
      </c>
      <c r="I2756" s="2" t="str">
        <f ca="1">IFERROR(__xludf.DUMMYFUNCTION("""COMPUTED_VALUE"""),"Võ Thuý Hạnh")</f>
        <v>Võ Thuý Hạnh</v>
      </c>
      <c r="J2756" s="3" t="str">
        <f ca="1">IFERROR(__xludf.DUMMYFUNCTION("""COMPUTED_VALUE"""),"0384570084")</f>
        <v>0384570084</v>
      </c>
      <c r="K2756" s="2" t="str">
        <f ca="1">IFERROR(__xludf.DUMMYFUNCTION("""COMPUTED_VALUE"""),"1735935796585")</f>
        <v>1735935796585</v>
      </c>
    </row>
    <row r="2757" spans="1:11" ht="12.45">
      <c r="A2757" s="2" t="str">
        <f ca="1">IFERROR(__xludf.DUMMYFUNCTION("""COMPUTED_VALUE"""),"1735935832234")</f>
        <v>1735935832234</v>
      </c>
      <c r="B2757" s="2"/>
      <c r="C2757" s="2" t="str">
        <v>0</v>
      </c>
      <c r="D2757" s="2"/>
      <c r="F2757" s="2" t="str">
        <v>0</v>
      </c>
      <c r="I2757" s="2" t="str">
        <f ca="1">IFERROR(__xludf.DUMMYFUNCTION("""COMPUTED_VALUE"""),"Đinh Thị Thu Linh")</f>
        <v>Đinh Thị Thu Linh</v>
      </c>
      <c r="J2757" s="3" t="str">
        <f ca="1">IFERROR(__xludf.DUMMYFUNCTION("""COMPUTED_VALUE"""),"0399112800")</f>
        <v>0399112800</v>
      </c>
      <c r="K2757" s="2" t="str">
        <f ca="1">IFERROR(__xludf.DUMMYFUNCTION("""COMPUTED_VALUE"""),"1735935832234")</f>
        <v>1735935832234</v>
      </c>
    </row>
    <row r="2758" spans="1:11" ht="12.45">
      <c r="A2758" s="2" t="str">
        <f ca="1">IFERROR(__xludf.DUMMYFUNCTION("""COMPUTED_VALUE"""),"1735935866454")</f>
        <v>1735935866454</v>
      </c>
      <c r="B2758" s="2"/>
      <c r="C2758" s="2" t="str">
        <v>0</v>
      </c>
      <c r="D2758" s="2"/>
      <c r="F2758" s="2" t="str">
        <v>0</v>
      </c>
      <c r="I2758" s="2" t="str">
        <f ca="1">IFERROR(__xludf.DUMMYFUNCTION("""COMPUTED_VALUE"""),"Đỗ Thị Bích Ngọc ")</f>
        <v xml:space="preserve">Đỗ Thị Bích Ngọc </v>
      </c>
      <c r="J2758" s="3" t="str">
        <f ca="1">IFERROR(__xludf.DUMMYFUNCTION("""COMPUTED_VALUE"""),"0896906841")</f>
        <v>0896906841</v>
      </c>
      <c r="K2758" s="2" t="str">
        <f ca="1">IFERROR(__xludf.DUMMYFUNCTION("""COMPUTED_VALUE"""),"1735935866454")</f>
        <v>1735935866454</v>
      </c>
    </row>
    <row r="2759" spans="1:11" ht="12.45">
      <c r="A2759" s="2" t="str">
        <f ca="1">IFERROR(__xludf.DUMMYFUNCTION("""COMPUTED_VALUE"""),"1735935907831")</f>
        <v>1735935907831</v>
      </c>
      <c r="B2759" s="2"/>
      <c r="C2759" s="2" t="str">
        <v>0</v>
      </c>
      <c r="D2759" s="2"/>
      <c r="F2759" s="2" t="str">
        <v>0</v>
      </c>
      <c r="I2759" s="2" t="str">
        <f ca="1">IFERROR(__xludf.DUMMYFUNCTION("""COMPUTED_VALUE"""),"Lê Anh Thư")</f>
        <v>Lê Anh Thư</v>
      </c>
      <c r="J2759" s="3" t="str">
        <f ca="1">IFERROR(__xludf.DUMMYFUNCTION("""COMPUTED_VALUE"""),"0976798424")</f>
        <v>0976798424</v>
      </c>
      <c r="K2759" s="2" t="str">
        <f ca="1">IFERROR(__xludf.DUMMYFUNCTION("""COMPUTED_VALUE"""),"1735935907831")</f>
        <v>1735935907831</v>
      </c>
    </row>
    <row r="2760" spans="1:11" ht="12.45">
      <c r="A2760" s="2" t="str">
        <f ca="1">IFERROR(__xludf.DUMMYFUNCTION("""COMPUTED_VALUE"""),"1735935959830")</f>
        <v>1735935959830</v>
      </c>
      <c r="B2760" s="2"/>
      <c r="C2760" s="2" t="str">
        <v>0</v>
      </c>
      <c r="D2760" s="2"/>
      <c r="F2760" s="2" t="str">
        <v>0</v>
      </c>
      <c r="I2760" s="2" t="str">
        <f ca="1">IFERROR(__xludf.DUMMYFUNCTION("""COMPUTED_VALUE"""),"Đặng Nguyễn Tố Anh")</f>
        <v>Đặng Nguyễn Tố Anh</v>
      </c>
      <c r="J2760" s="3" t="str">
        <f ca="1">IFERROR(__xludf.DUMMYFUNCTION("""COMPUTED_VALUE"""),"0909202293")</f>
        <v>0909202293</v>
      </c>
      <c r="K2760" s="2" t="str">
        <f ca="1">IFERROR(__xludf.DUMMYFUNCTION("""COMPUTED_VALUE"""),"1735935959830")</f>
        <v>1735935959830</v>
      </c>
    </row>
    <row r="2761" spans="1:11" ht="12.45">
      <c r="A2761" s="2" t="str">
        <f ca="1">IFERROR(__xludf.DUMMYFUNCTION("""COMPUTED_VALUE"""),"1735936019336")</f>
        <v>1735936019336</v>
      </c>
      <c r="B2761" s="2"/>
      <c r="C2761" s="2" t="str">
        <v>0</v>
      </c>
      <c r="D2761" s="2"/>
      <c r="F2761" s="2" t="str">
        <v>0</v>
      </c>
      <c r="I2761" s="2" t="str">
        <f ca="1">IFERROR(__xludf.DUMMYFUNCTION("""COMPUTED_VALUE"""),"Đặng Ngọc Ánh ")</f>
        <v xml:space="preserve">Đặng Ngọc Ánh </v>
      </c>
      <c r="J2761" s="3" t="str">
        <f ca="1">IFERROR(__xludf.DUMMYFUNCTION("""COMPUTED_VALUE"""),"0888227688")</f>
        <v>0888227688</v>
      </c>
      <c r="K2761" s="2" t="str">
        <f ca="1">IFERROR(__xludf.DUMMYFUNCTION("""COMPUTED_VALUE"""),"1735936019336")</f>
        <v>1735936019336</v>
      </c>
    </row>
    <row r="2762" spans="1:11" ht="12.45">
      <c r="A2762" s="2" t="str">
        <f ca="1">IFERROR(__xludf.DUMMYFUNCTION("""COMPUTED_VALUE"""),"1735936070326")</f>
        <v>1735936070326</v>
      </c>
      <c r="B2762" s="2"/>
      <c r="C2762" s="2" t="str">
        <v>0</v>
      </c>
      <c r="D2762" s="2"/>
      <c r="F2762" s="2" t="str">
        <v>0</v>
      </c>
      <c r="I2762" s="2" t="str">
        <f ca="1">IFERROR(__xludf.DUMMYFUNCTION("""COMPUTED_VALUE"""),"Nguyễn Hoàng Minh Thư")</f>
        <v>Nguyễn Hoàng Minh Thư</v>
      </c>
      <c r="J2762" s="3" t="str">
        <f ca="1">IFERROR(__xludf.DUMMYFUNCTION("""COMPUTED_VALUE"""),"0337003573")</f>
        <v>0337003573</v>
      </c>
      <c r="K2762" s="2" t="str">
        <f ca="1">IFERROR(__xludf.DUMMYFUNCTION("""COMPUTED_VALUE"""),"1735936070326")</f>
        <v>1735936070326</v>
      </c>
    </row>
    <row r="2763" spans="1:11" ht="12.45">
      <c r="A2763" s="2" t="str">
        <f ca="1">IFERROR(__xludf.DUMMYFUNCTION("""COMPUTED_VALUE"""),"Không giao sách")</f>
        <v>Không giao sách</v>
      </c>
      <c r="B2763" s="2"/>
      <c r="C2763" s="2" t="str">
        <v>0</v>
      </c>
      <c r="D2763" s="2"/>
      <c r="F2763" s="2" t="str">
        <v>0</v>
      </c>
      <c r="I2763" s="2" t="str">
        <f ca="1">IFERROR(__xludf.DUMMYFUNCTION("""COMPUTED_VALUE"""),"Phạm Thị Thanh Ngân ")</f>
        <v xml:space="preserve">Phạm Thị Thanh Ngân </v>
      </c>
      <c r="J2763" s="3" t="str">
        <f ca="1">IFERROR(__xludf.DUMMYFUNCTION("""COMPUTED_VALUE"""),"0815458932")</f>
        <v>0815458932</v>
      </c>
      <c r="K2763" s="2" t="str">
        <f ca="1">IFERROR(__xludf.DUMMYFUNCTION("""COMPUTED_VALUE"""),"Không giao sách")</f>
        <v>Không giao sách</v>
      </c>
    </row>
    <row r="2764" spans="1:11" ht="12.45">
      <c r="A2764" s="2" t="str">
        <f ca="1">IFERROR(__xludf.DUMMYFUNCTION("""COMPUTED_VALUE"""),"1735936110110")</f>
        <v>1735936110110</v>
      </c>
      <c r="B2764" s="2"/>
      <c r="C2764" s="2" t="str">
        <v>0</v>
      </c>
      <c r="D2764" s="2"/>
      <c r="F2764" s="2" t="str">
        <v>0</v>
      </c>
      <c r="I2764" s="2" t="str">
        <f ca="1">IFERROR(__xludf.DUMMYFUNCTION("""COMPUTED_VALUE"""),"Ngô Trần Huyền Trân ")</f>
        <v xml:space="preserve">Ngô Trần Huyền Trân </v>
      </c>
      <c r="J2764" s="3" t="str">
        <f ca="1">IFERROR(__xludf.DUMMYFUNCTION("""COMPUTED_VALUE"""),"0373795117")</f>
        <v>0373795117</v>
      </c>
      <c r="K2764" s="2" t="str">
        <f ca="1">IFERROR(__xludf.DUMMYFUNCTION("""COMPUTED_VALUE"""),"1735936110110")</f>
        <v>1735936110110</v>
      </c>
    </row>
    <row r="2765" spans="1:11" ht="12.45">
      <c r="A2765" s="2" t="str">
        <f ca="1">IFERROR(__xludf.DUMMYFUNCTION("""COMPUTED_VALUE"""),"1735936147029")</f>
        <v>1735936147029</v>
      </c>
      <c r="B2765" s="2"/>
      <c r="C2765" s="2" t="str">
        <v>0</v>
      </c>
      <c r="D2765" s="2"/>
      <c r="F2765" s="2" t="str">
        <v>0</v>
      </c>
      <c r="I2765" s="2" t="str">
        <f ca="1">IFERROR(__xludf.DUMMYFUNCTION("""COMPUTED_VALUE"""),"Đỗ Quỳnh Trang ")</f>
        <v xml:space="preserve">Đỗ Quỳnh Trang </v>
      </c>
      <c r="J2765" s="3" t="str">
        <f ca="1">IFERROR(__xludf.DUMMYFUNCTION("""COMPUTED_VALUE"""),"0911237299")</f>
        <v>0911237299</v>
      </c>
      <c r="K2765" s="2" t="str">
        <f ca="1">IFERROR(__xludf.DUMMYFUNCTION("""COMPUTED_VALUE"""),"1735936147029")</f>
        <v>1735936147029</v>
      </c>
    </row>
    <row r="2766" spans="1:11" ht="12.45">
      <c r="A2766" s="2" t="str">
        <f ca="1">IFERROR(__xludf.DUMMYFUNCTION("""COMPUTED_VALUE"""),"1735936181014")</f>
        <v>1735936181014</v>
      </c>
      <c r="B2766" s="2"/>
      <c r="C2766" s="2" t="str">
        <v>0</v>
      </c>
      <c r="D2766" s="2"/>
      <c r="F2766" s="2" t="str">
        <v>0</v>
      </c>
      <c r="I2766" s="2" t="str">
        <f ca="1">IFERROR(__xludf.DUMMYFUNCTION("""COMPUTED_VALUE"""),"Lại Huyền Linh")</f>
        <v>Lại Huyền Linh</v>
      </c>
      <c r="J2766" s="3" t="str">
        <f ca="1">IFERROR(__xludf.DUMMYFUNCTION("""COMPUTED_VALUE"""),"0971863169")</f>
        <v>0971863169</v>
      </c>
      <c r="K2766" s="2" t="str">
        <f ca="1">IFERROR(__xludf.DUMMYFUNCTION("""COMPUTED_VALUE"""),"1735936181014")</f>
        <v>1735936181014</v>
      </c>
    </row>
    <row r="2767" spans="1:11" ht="12.45">
      <c r="A2767" s="2" t="str">
        <f ca="1">IFERROR(__xludf.DUMMYFUNCTION("""COMPUTED_VALUE"""),"1735936230059")</f>
        <v>1735936230059</v>
      </c>
      <c r="B2767" s="2"/>
      <c r="C2767" s="2" t="str">
        <v>0</v>
      </c>
      <c r="D2767" s="2"/>
      <c r="F2767" s="2" t="str">
        <v>0</v>
      </c>
      <c r="I2767" s="2" t="str">
        <f ca="1">IFERROR(__xludf.DUMMYFUNCTION("""COMPUTED_VALUE"""),"Phùng Phương Linh ")</f>
        <v xml:space="preserve">Phùng Phương Linh </v>
      </c>
      <c r="J2767" s="3" t="str">
        <f ca="1">IFERROR(__xludf.DUMMYFUNCTION("""COMPUTED_VALUE"""),"0967046817")</f>
        <v>0967046817</v>
      </c>
      <c r="K2767" s="2" t="str">
        <f ca="1">IFERROR(__xludf.DUMMYFUNCTION("""COMPUTED_VALUE"""),"1735936230059")</f>
        <v>1735936230059</v>
      </c>
    </row>
    <row r="2768" spans="1:11" ht="12.45">
      <c r="A2768" s="2" t="str">
        <f ca="1">IFERROR(__xludf.DUMMYFUNCTION("""COMPUTED_VALUE"""),"1735936271754")</f>
        <v>1735936271754</v>
      </c>
      <c r="B2768" s="2"/>
      <c r="C2768" s="2" t="str">
        <v>0</v>
      </c>
      <c r="D2768" s="2"/>
      <c r="F2768" s="2" t="str">
        <v>0</v>
      </c>
      <c r="I2768" s="2" t="str">
        <f ca="1">IFERROR(__xludf.DUMMYFUNCTION("""COMPUTED_VALUE"""),"Võ Minh Anh")</f>
        <v>Võ Minh Anh</v>
      </c>
      <c r="J2768" s="3" t="str">
        <f ca="1">IFERROR(__xludf.DUMMYFUNCTION("""COMPUTED_VALUE"""),"0906220223")</f>
        <v>0906220223</v>
      </c>
      <c r="K2768" s="2" t="str">
        <f ca="1">IFERROR(__xludf.DUMMYFUNCTION("""COMPUTED_VALUE"""),"1735936271754")</f>
        <v>1735936271754</v>
      </c>
    </row>
    <row r="2769" spans="1:11" ht="12.45">
      <c r="A2769" s="2" t="str">
        <f ca="1">IFERROR(__xludf.DUMMYFUNCTION("""COMPUTED_VALUE"""),"1735936301361")</f>
        <v>1735936301361</v>
      </c>
      <c r="B2769" s="2"/>
      <c r="C2769" s="2" t="str">
        <v>0</v>
      </c>
      <c r="D2769" s="2"/>
      <c r="F2769" s="2" t="str">
        <v>0</v>
      </c>
      <c r="I2769" s="2" t="str">
        <f ca="1">IFERROR(__xludf.DUMMYFUNCTION("""COMPUTED_VALUE"""),"Nguyễn Hương Giang ")</f>
        <v xml:space="preserve">Nguyễn Hương Giang </v>
      </c>
      <c r="J2769" s="3" t="str">
        <f ca="1">IFERROR(__xludf.DUMMYFUNCTION("""COMPUTED_VALUE"""),"0985539761")</f>
        <v>0985539761</v>
      </c>
      <c r="K2769" s="2" t="str">
        <f ca="1">IFERROR(__xludf.DUMMYFUNCTION("""COMPUTED_VALUE"""),"1735936301361")</f>
        <v>1735936301361</v>
      </c>
    </row>
    <row r="2770" spans="1:11" ht="12.45">
      <c r="A2770" s="2" t="str">
        <f ca="1">IFERROR(__xludf.DUMMYFUNCTION("""COMPUTED_VALUE"""),"1735936346740")</f>
        <v>1735936346740</v>
      </c>
      <c r="B2770" s="2"/>
      <c r="C2770" s="2" t="str">
        <v>0</v>
      </c>
      <c r="D2770" s="2"/>
      <c r="F2770" s="2" t="str">
        <v>0</v>
      </c>
      <c r="I2770" s="2" t="str">
        <f ca="1">IFERROR(__xludf.DUMMYFUNCTION("""COMPUTED_VALUE"""),"Hứa Thị Ngọc Nguyên")</f>
        <v>Hứa Thị Ngọc Nguyên</v>
      </c>
      <c r="J2770" s="3" t="str">
        <f ca="1">IFERROR(__xludf.DUMMYFUNCTION("""COMPUTED_VALUE"""),"0382207634")</f>
        <v>0382207634</v>
      </c>
      <c r="K2770" s="2" t="str">
        <f ca="1">IFERROR(__xludf.DUMMYFUNCTION("""COMPUTED_VALUE"""),"1735936346740")</f>
        <v>1735936346740</v>
      </c>
    </row>
    <row r="2771" spans="1:11" ht="12.45">
      <c r="A2771" s="2" t="str">
        <f ca="1">IFERROR(__xludf.DUMMYFUNCTION("""COMPUTED_VALUE"""),"1735936398033")</f>
        <v>1735936398033</v>
      </c>
      <c r="B2771" s="2"/>
      <c r="C2771" s="2" t="str">
        <v>0</v>
      </c>
      <c r="D2771" s="2"/>
      <c r="F2771" s="2" t="str">
        <v>0</v>
      </c>
      <c r="I2771" s="2" t="str">
        <f ca="1">IFERROR(__xludf.DUMMYFUNCTION("""COMPUTED_VALUE"""),"Hà Quỳnh Anh")</f>
        <v>Hà Quỳnh Anh</v>
      </c>
      <c r="J2771" s="3" t="str">
        <f ca="1">IFERROR(__xludf.DUMMYFUNCTION("""COMPUTED_VALUE"""),"0837642476")</f>
        <v>0837642476</v>
      </c>
      <c r="K2771" s="2" t="str">
        <f ca="1">IFERROR(__xludf.DUMMYFUNCTION("""COMPUTED_VALUE"""),"1735936398033")</f>
        <v>1735936398033</v>
      </c>
    </row>
    <row r="2772" spans="1:11" ht="12.45">
      <c r="A2772" s="2" t="str">
        <f ca="1">IFERROR(__xludf.DUMMYFUNCTION("""COMPUTED_VALUE"""),"1735936443663")</f>
        <v>1735936443663</v>
      </c>
      <c r="B2772" s="2"/>
      <c r="C2772" s="2" t="str">
        <v>0</v>
      </c>
      <c r="D2772" s="2"/>
      <c r="F2772" s="2" t="str">
        <v>0</v>
      </c>
      <c r="I2772" s="2" t="str">
        <f ca="1">IFERROR(__xludf.DUMMYFUNCTION("""COMPUTED_VALUE"""),"Trần Ngọc Thùy Trang")</f>
        <v>Trần Ngọc Thùy Trang</v>
      </c>
      <c r="J2772" s="3" t="str">
        <f ca="1">IFERROR(__xludf.DUMMYFUNCTION("""COMPUTED_VALUE"""),"0982507865")</f>
        <v>0982507865</v>
      </c>
      <c r="K2772" s="2" t="str">
        <f ca="1">IFERROR(__xludf.DUMMYFUNCTION("""COMPUTED_VALUE"""),"1735936443663")</f>
        <v>1735936443663</v>
      </c>
    </row>
    <row r="2773" spans="1:11" ht="12.45">
      <c r="A2773" s="2" t="str">
        <f ca="1">IFERROR(__xludf.DUMMYFUNCTION("""COMPUTED_VALUE"""),"1735936482412")</f>
        <v>1735936482412</v>
      </c>
      <c r="B2773" s="2"/>
      <c r="C2773" s="2" t="str">
        <v>0</v>
      </c>
      <c r="D2773" s="2"/>
      <c r="F2773" s="2" t="str">
        <v>0</v>
      </c>
      <c r="I2773" s="2" t="str">
        <f ca="1">IFERROR(__xludf.DUMMYFUNCTION("""COMPUTED_VALUE"""),"Nguyễn Trà My")</f>
        <v>Nguyễn Trà My</v>
      </c>
      <c r="J2773" s="3" t="str">
        <f ca="1">IFERROR(__xludf.DUMMYFUNCTION("""COMPUTED_VALUE"""),"0898646448")</f>
        <v>0898646448</v>
      </c>
      <c r="K2773" s="2" t="str">
        <f ca="1">IFERROR(__xludf.DUMMYFUNCTION("""COMPUTED_VALUE"""),"1735936482412")</f>
        <v>1735936482412</v>
      </c>
    </row>
    <row r="2774" spans="1:11" ht="12.45">
      <c r="A2774" s="2" t="str">
        <f ca="1">IFERROR(__xludf.DUMMYFUNCTION("""COMPUTED_VALUE"""),"1735936519431")</f>
        <v>1735936519431</v>
      </c>
      <c r="B2774" s="2"/>
      <c r="C2774" s="2" t="str">
        <v>0</v>
      </c>
      <c r="D2774" s="2"/>
      <c r="F2774" s="2" t="str">
        <v>0</v>
      </c>
      <c r="I2774" s="2" t="str">
        <f ca="1">IFERROR(__xludf.DUMMYFUNCTION("""COMPUTED_VALUE"""),"Ngô Thuý Vy")</f>
        <v>Ngô Thuý Vy</v>
      </c>
      <c r="J2774" s="3" t="str">
        <f ca="1">IFERROR(__xludf.DUMMYFUNCTION("""COMPUTED_VALUE"""),"0334727310")</f>
        <v>0334727310</v>
      </c>
      <c r="K2774" s="2" t="str">
        <f ca="1">IFERROR(__xludf.DUMMYFUNCTION("""COMPUTED_VALUE"""),"1735936519431")</f>
        <v>1735936519431</v>
      </c>
    </row>
    <row r="2775" spans="1:11" ht="12.45">
      <c r="A2775" s="2" t="str">
        <f ca="1">IFERROR(__xludf.DUMMYFUNCTION("""COMPUTED_VALUE"""),"1735936555928")</f>
        <v>1735936555928</v>
      </c>
      <c r="B2775" s="2"/>
      <c r="C2775" s="2" t="str">
        <v>0</v>
      </c>
      <c r="D2775" s="2"/>
      <c r="F2775" s="2" t="str">
        <v>0</v>
      </c>
      <c r="I2775" s="2" t="str">
        <f ca="1">IFERROR(__xludf.DUMMYFUNCTION("""COMPUTED_VALUE"""),"Phạm Khánh Băng ")</f>
        <v xml:space="preserve">Phạm Khánh Băng </v>
      </c>
      <c r="J2775" s="3" t="str">
        <f ca="1">IFERROR(__xludf.DUMMYFUNCTION("""COMPUTED_VALUE"""),"0793516216")</f>
        <v>0793516216</v>
      </c>
      <c r="K2775" s="2" t="str">
        <f ca="1">IFERROR(__xludf.DUMMYFUNCTION("""COMPUTED_VALUE"""),"1735936555928")</f>
        <v>1735936555928</v>
      </c>
    </row>
    <row r="2776" spans="1:11" ht="12.45">
      <c r="A2776" s="2" t="str">
        <f ca="1">IFERROR(__xludf.DUMMYFUNCTION("""COMPUTED_VALUE"""),"1735936596825")</f>
        <v>1735936596825</v>
      </c>
      <c r="B2776" s="2"/>
      <c r="C2776" s="2" t="str">
        <v>0</v>
      </c>
      <c r="D2776" s="2"/>
      <c r="F2776" s="2" t="str">
        <v>0</v>
      </c>
      <c r="I2776" s="2" t="str">
        <f ca="1">IFERROR(__xludf.DUMMYFUNCTION("""COMPUTED_VALUE"""),"Nguyễn Hoàng Tố Quyên ")</f>
        <v xml:space="preserve">Nguyễn Hoàng Tố Quyên </v>
      </c>
      <c r="J2776" s="3" t="str">
        <f ca="1">IFERROR(__xludf.DUMMYFUNCTION("""COMPUTED_VALUE"""),"0783400951")</f>
        <v>0783400951</v>
      </c>
      <c r="K2776" s="2" t="str">
        <f ca="1">IFERROR(__xludf.DUMMYFUNCTION("""COMPUTED_VALUE"""),"1735936596825")</f>
        <v>1735936596825</v>
      </c>
    </row>
    <row r="2777" spans="1:11" ht="12.45">
      <c r="A2777" s="2" t="str">
        <f ca="1">IFERROR(__xludf.DUMMYFUNCTION("""COMPUTED_VALUE"""),"1759203146916")</f>
        <v>1759203146916</v>
      </c>
      <c r="B2777" s="2"/>
      <c r="C2777" s="2" t="str">
        <v>0</v>
      </c>
      <c r="D2777" s="2"/>
      <c r="F2777" s="2" t="str">
        <v>0</v>
      </c>
      <c r="I2777" s="2" t="str">
        <f ca="1">IFERROR(__xludf.DUMMYFUNCTION("""COMPUTED_VALUE"""),"Nguyễn Phương Thảo")</f>
        <v>Nguyễn Phương Thảo</v>
      </c>
      <c r="J2777" s="3" t="str">
        <f ca="1">IFERROR(__xludf.DUMMYFUNCTION("""COMPUTED_VALUE"""),"0973816301")</f>
        <v>0973816301</v>
      </c>
      <c r="K2777" s="2" t="str">
        <f ca="1">IFERROR(__xludf.DUMMYFUNCTION("""COMPUTED_VALUE"""),"1759203146916")</f>
        <v>1759203146916</v>
      </c>
    </row>
    <row r="2778" spans="1:11" ht="12.45">
      <c r="A2778" s="2" t="str">
        <f ca="1">IFERROR(__xludf.DUMMYFUNCTION("""COMPUTED_VALUE"""),"1735936666035")</f>
        <v>1735936666035</v>
      </c>
      <c r="B2778" s="2"/>
      <c r="C2778" s="2" t="str">
        <v>0</v>
      </c>
      <c r="D2778" s="2"/>
      <c r="F2778" s="2" t="str">
        <v>0</v>
      </c>
      <c r="I2778" s="2" t="str">
        <f ca="1">IFERROR(__xludf.DUMMYFUNCTION("""COMPUTED_VALUE"""),"phạm Ngọc quỳnh trang")</f>
        <v>phạm Ngọc quỳnh trang</v>
      </c>
      <c r="J2778" s="3" t="str">
        <f ca="1">IFERROR(__xludf.DUMMYFUNCTION("""COMPUTED_VALUE"""),"0396922538")</f>
        <v>0396922538</v>
      </c>
      <c r="K2778" s="2" t="str">
        <f ca="1">IFERROR(__xludf.DUMMYFUNCTION("""COMPUTED_VALUE"""),"1735936666035")</f>
        <v>1735936666035</v>
      </c>
    </row>
    <row r="2779" spans="1:11" ht="12.45">
      <c r="A2779" s="2" t="str">
        <f ca="1">IFERROR(__xludf.DUMMYFUNCTION("""COMPUTED_VALUE"""),"1735936633250")</f>
        <v>1735936633250</v>
      </c>
      <c r="B2779" s="2"/>
      <c r="C2779" s="2" t="str">
        <v>0</v>
      </c>
      <c r="D2779" s="2"/>
      <c r="F2779" s="2" t="str">
        <v>0</v>
      </c>
      <c r="I2779" s="2" t="str">
        <f ca="1">IFERROR(__xludf.DUMMYFUNCTION("""COMPUTED_VALUE"""),"Phạm Tố Uyên ")</f>
        <v xml:space="preserve">Phạm Tố Uyên </v>
      </c>
      <c r="J2779" s="3" t="str">
        <f ca="1">IFERROR(__xludf.DUMMYFUNCTION("""COMPUTED_VALUE"""),"0337270353")</f>
        <v>0337270353</v>
      </c>
      <c r="K2779" s="2" t="str">
        <f ca="1">IFERROR(__xludf.DUMMYFUNCTION("""COMPUTED_VALUE"""),"1735936633250")</f>
        <v>1735936633250</v>
      </c>
    </row>
    <row r="2780" spans="1:11" ht="12.45">
      <c r="A2780" s="2" t="str">
        <f ca="1">IFERROR(__xludf.DUMMYFUNCTION("""COMPUTED_VALUE"""),"1736176934961")</f>
        <v>1736176934961</v>
      </c>
      <c r="B2780" s="2"/>
      <c r="C2780" s="2" t="str">
        <v>0</v>
      </c>
      <c r="D2780" s="2"/>
      <c r="F2780" s="2" t="str">
        <v>0</v>
      </c>
      <c r="I2780" s="2" t="str">
        <f ca="1">IFERROR(__xludf.DUMMYFUNCTION("""COMPUTED_VALUE"""),"Phùng Như Ý ")</f>
        <v xml:space="preserve">Phùng Như Ý </v>
      </c>
      <c r="J2780" s="3" t="str">
        <f ca="1">IFERROR(__xludf.DUMMYFUNCTION("""COMPUTED_VALUE"""),"0398532459")</f>
        <v>0398532459</v>
      </c>
      <c r="K2780" s="2" t="str">
        <f ca="1">IFERROR(__xludf.DUMMYFUNCTION("""COMPUTED_VALUE"""),"1736176934961")</f>
        <v>1736176934961</v>
      </c>
    </row>
    <row r="2781" spans="1:11" ht="12.45">
      <c r="A2781" s="2" t="str">
        <f ca="1">IFERROR(__xludf.DUMMYFUNCTION("""COMPUTED_VALUE"""),"1736177010802")</f>
        <v>1736177010802</v>
      </c>
      <c r="B2781" s="2"/>
      <c r="C2781" s="2" t="str">
        <v>0</v>
      </c>
      <c r="D2781" s="2"/>
      <c r="F2781" s="2" t="str">
        <v>0</v>
      </c>
      <c r="I2781" s="2" t="str">
        <f ca="1">IFERROR(__xludf.DUMMYFUNCTION("""COMPUTED_VALUE"""),"Lê Thu Hiền")</f>
        <v>Lê Thu Hiền</v>
      </c>
      <c r="J2781" s="3" t="str">
        <f ca="1">IFERROR(__xludf.DUMMYFUNCTION("""COMPUTED_VALUE"""),"0983706876")</f>
        <v>0983706876</v>
      </c>
      <c r="K2781" s="2" t="str">
        <f ca="1">IFERROR(__xludf.DUMMYFUNCTION("""COMPUTED_VALUE"""),"1736177010802")</f>
        <v>1736177010802</v>
      </c>
    </row>
    <row r="2782" spans="1:11" ht="12.45">
      <c r="A2782" s="2" t="str">
        <f ca="1">IFERROR(__xludf.DUMMYFUNCTION("""COMPUTED_VALUE"""),"1736177083661")</f>
        <v>1736177083661</v>
      </c>
      <c r="B2782" s="2"/>
      <c r="C2782" s="2" t="str">
        <v>0</v>
      </c>
      <c r="D2782" s="2"/>
      <c r="F2782" s="2" t="str">
        <v>0</v>
      </c>
      <c r="I2782" s="2" t="str">
        <f ca="1">IFERROR(__xludf.DUMMYFUNCTION("""COMPUTED_VALUE"""),"Khánh Linhh O")</f>
        <v>Khánh Linhh O</v>
      </c>
      <c r="J2782" s="3" t="str">
        <f ca="1">IFERROR(__xludf.DUMMYFUNCTION("""COMPUTED_VALUE"""),"0911993308")</f>
        <v>0911993308</v>
      </c>
      <c r="K2782" s="2" t="str">
        <f ca="1">IFERROR(__xludf.DUMMYFUNCTION("""COMPUTED_VALUE"""),"1736177083661")</f>
        <v>1736177083661</v>
      </c>
    </row>
    <row r="2783" spans="1:11" ht="12.45">
      <c r="A2783" s="2" t="str">
        <f ca="1">IFERROR(__xludf.DUMMYFUNCTION("""COMPUTED_VALUE"""),"1736177137213")</f>
        <v>1736177137213</v>
      </c>
      <c r="B2783" s="2"/>
      <c r="C2783" s="2" t="str">
        <v>0</v>
      </c>
      <c r="D2783" s="2"/>
      <c r="F2783" s="2" t="str">
        <v>0</v>
      </c>
      <c r="I2783" s="2" t="str">
        <f ca="1">IFERROR(__xludf.DUMMYFUNCTION("""COMPUTED_VALUE"""),"Phạm Bảo Ngọc ")</f>
        <v xml:space="preserve">Phạm Bảo Ngọc </v>
      </c>
      <c r="J2783" s="3" t="str">
        <f ca="1">IFERROR(__xludf.DUMMYFUNCTION("""COMPUTED_VALUE"""),"0342741290")</f>
        <v>0342741290</v>
      </c>
      <c r="K2783" s="2" t="str">
        <f ca="1">IFERROR(__xludf.DUMMYFUNCTION("""COMPUTED_VALUE"""),"1736177137213")</f>
        <v>1736177137213</v>
      </c>
    </row>
    <row r="2784" spans="1:11" ht="12.45">
      <c r="A2784" s="2" t="str">
        <f ca="1">IFERROR(__xludf.DUMMYFUNCTION("""COMPUTED_VALUE"""),"1736177177591")</f>
        <v>1736177177591</v>
      </c>
      <c r="B2784" s="2"/>
      <c r="C2784" s="2" t="str">
        <v>0</v>
      </c>
      <c r="D2784" s="2"/>
      <c r="F2784" s="2" t="str">
        <v>0</v>
      </c>
      <c r="I2784" s="2" t="str">
        <f ca="1">IFERROR(__xludf.DUMMYFUNCTION("""COMPUTED_VALUE"""),"Lê Hà My")</f>
        <v>Lê Hà My</v>
      </c>
      <c r="J2784" s="3" t="str">
        <f ca="1">IFERROR(__xludf.DUMMYFUNCTION("""COMPUTED_VALUE"""),"0832692227")</f>
        <v>0832692227</v>
      </c>
      <c r="K2784" s="2" t="str">
        <f ca="1">IFERROR(__xludf.DUMMYFUNCTION("""COMPUTED_VALUE"""),"1736177177591")</f>
        <v>1736177177591</v>
      </c>
    </row>
    <row r="2785" spans="1:11" ht="12.45">
      <c r="A2785" s="2" t="str">
        <f ca="1">IFERROR(__xludf.DUMMYFUNCTION("""COMPUTED_VALUE"""),"1736177216733")</f>
        <v>1736177216733</v>
      </c>
      <c r="B2785" s="2"/>
      <c r="C2785" s="2" t="str">
        <v>0</v>
      </c>
      <c r="D2785" s="2"/>
      <c r="F2785" s="2" t="str">
        <v>0</v>
      </c>
      <c r="I2785" s="2" t="str">
        <f ca="1">IFERROR(__xludf.DUMMYFUNCTION("""COMPUTED_VALUE"""),"Trần Khánh Linh")</f>
        <v>Trần Khánh Linh</v>
      </c>
      <c r="J2785" s="3" t="str">
        <f ca="1">IFERROR(__xludf.DUMMYFUNCTION("""COMPUTED_VALUE"""),"0977264041")</f>
        <v>0977264041</v>
      </c>
      <c r="K2785" s="2" t="str">
        <f ca="1">IFERROR(__xludf.DUMMYFUNCTION("""COMPUTED_VALUE"""),"1736177216733")</f>
        <v>1736177216733</v>
      </c>
    </row>
    <row r="2786" spans="1:11" ht="12.45">
      <c r="A2786" s="2" t="str">
        <f ca="1">IFERROR(__xludf.DUMMYFUNCTION("""COMPUTED_VALUE"""),"1736177270569")</f>
        <v>1736177270569</v>
      </c>
      <c r="B2786" s="2"/>
      <c r="C2786" s="2" t="str">
        <v>0</v>
      </c>
      <c r="D2786" s="2"/>
      <c r="F2786" s="2" t="str">
        <v>0</v>
      </c>
      <c r="I2786" s="2" t="str">
        <f ca="1">IFERROR(__xludf.DUMMYFUNCTION("""COMPUTED_VALUE"""),"Phùng Thị Anh Thư ")</f>
        <v xml:space="preserve">Phùng Thị Anh Thư </v>
      </c>
      <c r="J2786" s="3" t="str">
        <f ca="1">IFERROR(__xludf.DUMMYFUNCTION("""COMPUTED_VALUE"""),"0328981056")</f>
        <v>0328981056</v>
      </c>
      <c r="K2786" s="2" t="str">
        <f ca="1">IFERROR(__xludf.DUMMYFUNCTION("""COMPUTED_VALUE"""),"1736177270569")</f>
        <v>1736177270569</v>
      </c>
    </row>
    <row r="2787" spans="1:11" ht="12.45">
      <c r="A2787" s="2" t="str">
        <f ca="1">IFERROR(__xludf.DUMMYFUNCTION("""COMPUTED_VALUE"""),"1736177308614")</f>
        <v>1736177308614</v>
      </c>
      <c r="B2787" s="2"/>
      <c r="C2787" s="2" t="str">
        <v>0</v>
      </c>
      <c r="D2787" s="2"/>
      <c r="F2787" s="2" t="str">
        <v>0</v>
      </c>
      <c r="I2787" s="2" t="str">
        <f ca="1">IFERROR(__xludf.DUMMYFUNCTION("""COMPUTED_VALUE"""),"Nguyễn Minh Ngọc ")</f>
        <v xml:space="preserve">Nguyễn Minh Ngọc </v>
      </c>
      <c r="J2787" s="3" t="str">
        <f ca="1">IFERROR(__xludf.DUMMYFUNCTION("""COMPUTED_VALUE"""),"0916088898")</f>
        <v>0916088898</v>
      </c>
      <c r="K2787" s="2" t="str">
        <f ca="1">IFERROR(__xludf.DUMMYFUNCTION("""COMPUTED_VALUE"""),"1736177308614")</f>
        <v>1736177308614</v>
      </c>
    </row>
    <row r="2788" spans="1:11" ht="12.45">
      <c r="A2788" s="2" t="str">
        <f ca="1">IFERROR(__xludf.DUMMYFUNCTION("""COMPUTED_VALUE"""),"1736177349811")</f>
        <v>1736177349811</v>
      </c>
      <c r="B2788" s="2"/>
      <c r="C2788" s="2" t="str">
        <v>0</v>
      </c>
      <c r="D2788" s="2"/>
      <c r="F2788" s="2" t="str">
        <v>0</v>
      </c>
      <c r="I2788" s="2" t="str">
        <f ca="1">IFERROR(__xludf.DUMMYFUNCTION("""COMPUTED_VALUE"""),"Phan Nữ Hoàng Anh")</f>
        <v>Phan Nữ Hoàng Anh</v>
      </c>
      <c r="J2788" s="3" t="str">
        <f ca="1">IFERROR(__xludf.DUMMYFUNCTION("""COMPUTED_VALUE"""),"0835085407")</f>
        <v>0835085407</v>
      </c>
      <c r="K2788" s="2" t="str">
        <f ca="1">IFERROR(__xludf.DUMMYFUNCTION("""COMPUTED_VALUE"""),"1736177349811")</f>
        <v>1736177349811</v>
      </c>
    </row>
    <row r="2789" spans="1:11" ht="12.45">
      <c r="A2789" s="2" t="str">
        <f ca="1">IFERROR(__xludf.DUMMYFUNCTION("""COMPUTED_VALUE"""),"1736177399148")</f>
        <v>1736177399148</v>
      </c>
      <c r="B2789" s="2"/>
      <c r="C2789" s="2" t="str">
        <v>0</v>
      </c>
      <c r="D2789" s="2"/>
      <c r="F2789" s="2" t="str">
        <v>0</v>
      </c>
      <c r="I2789" s="2" t="str">
        <f ca="1">IFERROR(__xludf.DUMMYFUNCTION("""COMPUTED_VALUE"""),"Lại Nhật Linh")</f>
        <v>Lại Nhật Linh</v>
      </c>
      <c r="J2789" s="3" t="str">
        <f ca="1">IFERROR(__xludf.DUMMYFUNCTION("""COMPUTED_VALUE"""),"0937294598")</f>
        <v>0937294598</v>
      </c>
      <c r="K2789" s="2" t="str">
        <f ca="1">IFERROR(__xludf.DUMMYFUNCTION("""COMPUTED_VALUE"""),"1736177399148")</f>
        <v>1736177399148</v>
      </c>
    </row>
    <row r="2790" spans="1:11" ht="12.45">
      <c r="A2790" s="2" t="str">
        <f ca="1">IFERROR(__xludf.DUMMYFUNCTION("""COMPUTED_VALUE"""),"1736177444242")</f>
        <v>1736177444242</v>
      </c>
      <c r="B2790" s="2"/>
      <c r="C2790" s="2" t="str">
        <v>0</v>
      </c>
      <c r="D2790" s="2"/>
      <c r="F2790" s="2" t="str">
        <v>0</v>
      </c>
      <c r="I2790" s="2" t="str">
        <f ca="1">IFERROR(__xludf.DUMMYFUNCTION("""COMPUTED_VALUE"""),"Vũ Minh Thái")</f>
        <v>Vũ Minh Thái</v>
      </c>
      <c r="J2790" s="3" t="str">
        <f ca="1">IFERROR(__xludf.DUMMYFUNCTION("""COMPUTED_VALUE"""),"0948009530")</f>
        <v>0948009530</v>
      </c>
      <c r="K2790" s="2" t="str">
        <f ca="1">IFERROR(__xludf.DUMMYFUNCTION("""COMPUTED_VALUE"""),"1736177444242")</f>
        <v>1736177444242</v>
      </c>
    </row>
    <row r="2791" spans="1:11" ht="12.45">
      <c r="A2791" s="2" t="str">
        <f ca="1">IFERROR(__xludf.DUMMYFUNCTION("""COMPUTED_VALUE"""),"1736177485329")</f>
        <v>1736177485329</v>
      </c>
      <c r="B2791" s="2"/>
      <c r="C2791" s="2" t="str">
        <v>0</v>
      </c>
      <c r="D2791" s="2"/>
      <c r="F2791" s="2" t="str">
        <v>0</v>
      </c>
      <c r="I2791" s="2" t="str">
        <f ca="1">IFERROR(__xludf.DUMMYFUNCTION("""COMPUTED_VALUE"""),"Nguyễn Thị Vân Anh")</f>
        <v>Nguyễn Thị Vân Anh</v>
      </c>
      <c r="J2791" s="3" t="str">
        <f ca="1">IFERROR(__xludf.DUMMYFUNCTION("""COMPUTED_VALUE"""),"0983268225")</f>
        <v>0983268225</v>
      </c>
      <c r="K2791" s="2" t="str">
        <f ca="1">IFERROR(__xludf.DUMMYFUNCTION("""COMPUTED_VALUE"""),"1736177485329")</f>
        <v>1736177485329</v>
      </c>
    </row>
    <row r="2792" spans="1:11" ht="12.45">
      <c r="A2792" s="2" t="str">
        <f ca="1">IFERROR(__xludf.DUMMYFUNCTION("""COMPUTED_VALUE"""),"1736177536515")</f>
        <v>1736177536515</v>
      </c>
      <c r="B2792" s="2"/>
      <c r="C2792" s="2" t="str">
        <v>0</v>
      </c>
      <c r="D2792" s="2"/>
      <c r="F2792" s="2" t="str">
        <v>0</v>
      </c>
      <c r="I2792" s="2" t="str">
        <f ca="1">IFERROR(__xludf.DUMMYFUNCTION("""COMPUTED_VALUE"""),"Phan Phương Liên")</f>
        <v>Phan Phương Liên</v>
      </c>
      <c r="J2792" s="3" t="str">
        <f ca="1">IFERROR(__xludf.DUMMYFUNCTION("""COMPUTED_VALUE"""),"0343710669")</f>
        <v>0343710669</v>
      </c>
      <c r="K2792" s="2" t="str">
        <f ca="1">IFERROR(__xludf.DUMMYFUNCTION("""COMPUTED_VALUE"""),"1736177536515")</f>
        <v>1736177536515</v>
      </c>
    </row>
    <row r="2793" spans="1:11" ht="12.45">
      <c r="A2793" s="2" t="str">
        <f ca="1">IFERROR(__xludf.DUMMYFUNCTION("""COMPUTED_VALUE"""),"1736177582583")</f>
        <v>1736177582583</v>
      </c>
      <c r="B2793" s="2"/>
      <c r="C2793" s="2" t="str">
        <v>0</v>
      </c>
      <c r="D2793" s="2"/>
      <c r="F2793" s="2" t="str">
        <v>0</v>
      </c>
      <c r="I2793" s="2" t="str">
        <f ca="1">IFERROR(__xludf.DUMMYFUNCTION("""COMPUTED_VALUE"""),"Nguyễn Lê Bảo Trâm")</f>
        <v>Nguyễn Lê Bảo Trâm</v>
      </c>
      <c r="J2793" s="3" t="str">
        <f ca="1">IFERROR(__xludf.DUMMYFUNCTION("""COMPUTED_VALUE"""),"0368372700")</f>
        <v>0368372700</v>
      </c>
      <c r="K2793" s="2" t="str">
        <f ca="1">IFERROR(__xludf.DUMMYFUNCTION("""COMPUTED_VALUE"""),"1736177582583")</f>
        <v>1736177582583</v>
      </c>
    </row>
    <row r="2794" spans="1:11" ht="12.45">
      <c r="A2794" s="2" t="str">
        <f ca="1">IFERROR(__xludf.DUMMYFUNCTION("""COMPUTED_VALUE"""),"1735809914938")</f>
        <v>1735809914938</v>
      </c>
      <c r="B2794" s="2"/>
      <c r="C2794" s="2" t="str">
        <v>0</v>
      </c>
      <c r="D2794" s="2"/>
      <c r="F2794" s="2" t="str">
        <v>0</v>
      </c>
      <c r="I2794" s="2" t="str">
        <f ca="1">IFERROR(__xludf.DUMMYFUNCTION("""COMPUTED_VALUE"""),"THÁI THỊ KHÁNH NGỌC ")</f>
        <v xml:space="preserve">THÁI THỊ KHÁNH NGỌC </v>
      </c>
      <c r="J2794" s="3" t="str">
        <f ca="1">IFERROR(__xludf.DUMMYFUNCTION("""COMPUTED_VALUE"""),"0377816137")</f>
        <v>0377816137</v>
      </c>
      <c r="K2794" s="2" t="str">
        <f ca="1">IFERROR(__xludf.DUMMYFUNCTION("""COMPUTED_VALUE"""),"1735809914938")</f>
        <v>1735809914938</v>
      </c>
    </row>
    <row r="2795" spans="1:11" ht="12.45">
      <c r="A2795" s="2" t="str">
        <f ca="1">IFERROR(__xludf.DUMMYFUNCTION("""COMPUTED_VALUE"""),"1736177629356")</f>
        <v>1736177629356</v>
      </c>
      <c r="B2795" s="2"/>
      <c r="C2795" s="2" t="str">
        <v>0</v>
      </c>
      <c r="D2795" s="2"/>
      <c r="F2795" s="2" t="str">
        <v>0</v>
      </c>
      <c r="I2795" s="2" t="str">
        <f ca="1">IFERROR(__xludf.DUMMYFUNCTION("""COMPUTED_VALUE"""),"Nguyễn Thị Anh Thứ ")</f>
        <v xml:space="preserve">Nguyễn Thị Anh Thứ </v>
      </c>
      <c r="J2795" s="3" t="str">
        <f ca="1">IFERROR(__xludf.DUMMYFUNCTION("""COMPUTED_VALUE"""),"0355984684")</f>
        <v>0355984684</v>
      </c>
      <c r="K2795" s="2" t="str">
        <f ca="1">IFERROR(__xludf.DUMMYFUNCTION("""COMPUTED_VALUE"""),"1736177629356")</f>
        <v>1736177629356</v>
      </c>
    </row>
    <row r="2796" spans="1:11" ht="12.45">
      <c r="A2796" s="2" t="str">
        <f ca="1">IFERROR(__xludf.DUMMYFUNCTION("""COMPUTED_VALUE"""),"1736177687172")</f>
        <v>1736177687172</v>
      </c>
      <c r="B2796" s="2"/>
      <c r="C2796" s="2" t="str">
        <v>0</v>
      </c>
      <c r="D2796" s="2"/>
      <c r="F2796" s="2" t="str">
        <v>0</v>
      </c>
      <c r="I2796" s="2" t="str">
        <f ca="1">IFERROR(__xludf.DUMMYFUNCTION("""COMPUTED_VALUE"""),"Lê Minh Anh")</f>
        <v>Lê Minh Anh</v>
      </c>
      <c r="J2796" s="3" t="str">
        <f ca="1">IFERROR(__xludf.DUMMYFUNCTION("""COMPUTED_VALUE"""),"0834759159")</f>
        <v>0834759159</v>
      </c>
      <c r="K2796" s="2" t="str">
        <f ca="1">IFERROR(__xludf.DUMMYFUNCTION("""COMPUTED_VALUE"""),"1736177687172")</f>
        <v>1736177687172</v>
      </c>
    </row>
    <row r="2797" spans="1:11" ht="12.45">
      <c r="A2797" s="2" t="str">
        <f ca="1">IFERROR(__xludf.DUMMYFUNCTION("""COMPUTED_VALUE"""),"1736177744761")</f>
        <v>1736177744761</v>
      </c>
      <c r="B2797" s="2"/>
      <c r="C2797" s="2" t="str">
        <v>0</v>
      </c>
      <c r="D2797" s="2"/>
      <c r="F2797" s="2" t="str">
        <v>0</v>
      </c>
      <c r="I2797" s="2" t="str">
        <f ca="1">IFERROR(__xludf.DUMMYFUNCTION("""COMPUTED_VALUE"""),"Nguyễn Lan Vy")</f>
        <v>Nguyễn Lan Vy</v>
      </c>
      <c r="J2797" s="3" t="str">
        <f ca="1">IFERROR(__xludf.DUMMYFUNCTION("""COMPUTED_VALUE"""),"0975290107")</f>
        <v>0975290107</v>
      </c>
      <c r="K2797" s="2" t="str">
        <f ca="1">IFERROR(__xludf.DUMMYFUNCTION("""COMPUTED_VALUE"""),"1736177744761")</f>
        <v>1736177744761</v>
      </c>
    </row>
    <row r="2798" spans="1:11" ht="12.45">
      <c r="A2798" s="2" t="str">
        <f ca="1">IFERROR(__xludf.DUMMYFUNCTION("""COMPUTED_VALUE"""),"1736177799327")</f>
        <v>1736177799327</v>
      </c>
      <c r="B2798" s="2"/>
      <c r="C2798" s="2" t="str">
        <v>0</v>
      </c>
      <c r="D2798" s="2"/>
      <c r="F2798" s="2" t="str">
        <v>0</v>
      </c>
      <c r="I2798" s="2" t="str">
        <f ca="1">IFERROR(__xludf.DUMMYFUNCTION("""COMPUTED_VALUE"""),"Lê Quỳnh Anh")</f>
        <v>Lê Quỳnh Anh</v>
      </c>
      <c r="J2798" s="3" t="str">
        <f ca="1">IFERROR(__xludf.DUMMYFUNCTION("""COMPUTED_VALUE"""),"0916095398")</f>
        <v>0916095398</v>
      </c>
      <c r="K2798" s="2" t="str">
        <f ca="1">IFERROR(__xludf.DUMMYFUNCTION("""COMPUTED_VALUE"""),"1736177799327")</f>
        <v>1736177799327</v>
      </c>
    </row>
    <row r="2799" spans="1:11" ht="12.45">
      <c r="A2799" s="2" t="str">
        <f ca="1">IFERROR(__xludf.DUMMYFUNCTION("""COMPUTED_VALUE"""),"1736177846889")</f>
        <v>1736177846889</v>
      </c>
      <c r="B2799" s="2"/>
      <c r="C2799" s="2" t="str">
        <v>0</v>
      </c>
      <c r="D2799" s="2"/>
      <c r="F2799" s="2" t="str">
        <v>0</v>
      </c>
      <c r="I2799" s="2" t="str">
        <f ca="1">IFERROR(__xludf.DUMMYFUNCTION("""COMPUTED_VALUE"""),"Nguyễn Phương Anh ")</f>
        <v xml:space="preserve">Nguyễn Phương Anh </v>
      </c>
      <c r="J2799" s="3" t="str">
        <f ca="1">IFERROR(__xludf.DUMMYFUNCTION("""COMPUTED_VALUE"""),"0982495928")</f>
        <v>0982495928</v>
      </c>
      <c r="K2799" s="2" t="str">
        <f ca="1">IFERROR(__xludf.DUMMYFUNCTION("""COMPUTED_VALUE"""),"1736177846889")</f>
        <v>1736177846889</v>
      </c>
    </row>
    <row r="2800" spans="1:11" ht="12.45">
      <c r="A2800" s="2" t="str">
        <f ca="1">IFERROR(__xludf.DUMMYFUNCTION("""COMPUTED_VALUE"""),"1736177887011")</f>
        <v>1736177887011</v>
      </c>
      <c r="B2800" s="2"/>
      <c r="C2800" s="2" t="str">
        <v>0</v>
      </c>
      <c r="D2800" s="2"/>
      <c r="F2800" s="2" t="str">
        <v>0</v>
      </c>
      <c r="I2800" s="2" t="str">
        <f ca="1">IFERROR(__xludf.DUMMYFUNCTION("""COMPUTED_VALUE"""),"Huỳnh Nguyễn Yến Nhi")</f>
        <v>Huỳnh Nguyễn Yến Nhi</v>
      </c>
      <c r="J2800" s="3" t="str">
        <f ca="1">IFERROR(__xludf.DUMMYFUNCTION("""COMPUTED_VALUE"""),"0333858854")</f>
        <v>0333858854</v>
      </c>
      <c r="K2800" s="2" t="str">
        <f ca="1">IFERROR(__xludf.DUMMYFUNCTION("""COMPUTED_VALUE"""),"1736177887011")</f>
        <v>1736177887011</v>
      </c>
    </row>
    <row r="2801" spans="1:11" ht="12.45">
      <c r="A2801" s="2" t="str">
        <f ca="1">IFERROR(__xludf.DUMMYFUNCTION("""COMPUTED_VALUE"""),"1736177930086")</f>
        <v>1736177930086</v>
      </c>
      <c r="B2801" s="2"/>
      <c r="C2801" s="2" t="str">
        <v>0</v>
      </c>
      <c r="D2801" s="2"/>
      <c r="F2801" s="2" t="str">
        <v>0</v>
      </c>
      <c r="I2801" s="2" t="str">
        <f ca="1">IFERROR(__xludf.DUMMYFUNCTION("""COMPUTED_VALUE"""),"Lê Thanh Hồng")</f>
        <v>Lê Thanh Hồng</v>
      </c>
      <c r="J2801" s="3" t="str">
        <f ca="1">IFERROR(__xludf.DUMMYFUNCTION("""COMPUTED_VALUE"""),"0902697612")</f>
        <v>0902697612</v>
      </c>
      <c r="K2801" s="2" t="str">
        <f ca="1">IFERROR(__xludf.DUMMYFUNCTION("""COMPUTED_VALUE"""),"1736177930086")</f>
        <v>1736177930086</v>
      </c>
    </row>
    <row r="2802" spans="1:11" ht="12.45">
      <c r="A2802" s="2" t="str">
        <f ca="1">IFERROR(__xludf.DUMMYFUNCTION("""COMPUTED_VALUE"""),"1736177972128")</f>
        <v>1736177972128</v>
      </c>
      <c r="B2802" s="2"/>
      <c r="C2802" s="2" t="str">
        <v>0</v>
      </c>
      <c r="D2802" s="2"/>
      <c r="F2802" s="2" t="str">
        <v>0</v>
      </c>
      <c r="I2802" s="2" t="str">
        <f ca="1">IFERROR(__xludf.DUMMYFUNCTION("""COMPUTED_VALUE"""),"Bùi Giang Tâm")</f>
        <v>Bùi Giang Tâm</v>
      </c>
      <c r="J2802" s="3" t="str">
        <f ca="1">IFERROR(__xludf.DUMMYFUNCTION("""COMPUTED_VALUE"""),"0326966647")</f>
        <v>0326966647</v>
      </c>
      <c r="K2802" s="2" t="str">
        <f ca="1">IFERROR(__xludf.DUMMYFUNCTION("""COMPUTED_VALUE"""),"1736177972128")</f>
        <v>1736177972128</v>
      </c>
    </row>
    <row r="2803" spans="1:11" ht="12.45">
      <c r="A2803" s="2" t="str">
        <f ca="1">IFERROR(__xludf.DUMMYFUNCTION("""COMPUTED_VALUE"""),"1736178028572")</f>
        <v>1736178028572</v>
      </c>
      <c r="B2803" s="2"/>
      <c r="C2803" s="2" t="str">
        <v>0</v>
      </c>
      <c r="D2803" s="2"/>
      <c r="F2803" s="2" t="str">
        <v>0</v>
      </c>
      <c r="I2803" s="2" t="str">
        <f ca="1">IFERROR(__xludf.DUMMYFUNCTION("""COMPUTED_VALUE"""),"Chử Thị Khánh Ly")</f>
        <v>Chử Thị Khánh Ly</v>
      </c>
      <c r="J2803" s="3" t="str">
        <f ca="1">IFERROR(__xludf.DUMMYFUNCTION("""COMPUTED_VALUE"""),"0389452218")</f>
        <v>0389452218</v>
      </c>
      <c r="K2803" s="2" t="str">
        <f ca="1">IFERROR(__xludf.DUMMYFUNCTION("""COMPUTED_VALUE"""),"1736178028572")</f>
        <v>1736178028572</v>
      </c>
    </row>
    <row r="2804" spans="1:11" ht="12.45">
      <c r="A2804" s="2" t="str">
        <f ca="1">IFERROR(__xludf.DUMMYFUNCTION("""COMPUTED_VALUE"""),"1736178073797")</f>
        <v>1736178073797</v>
      </c>
      <c r="B2804" s="2"/>
      <c r="C2804" s="2" t="str">
        <v>0</v>
      </c>
      <c r="D2804" s="2"/>
      <c r="F2804" s="2" t="str">
        <v>0</v>
      </c>
      <c r="I2804" s="2" t="str">
        <f ca="1">IFERROR(__xludf.DUMMYFUNCTION("""COMPUTED_VALUE"""),"Phạm Hoàng Phương")</f>
        <v>Phạm Hoàng Phương</v>
      </c>
      <c r="J2804" s="3" t="str">
        <f ca="1">IFERROR(__xludf.DUMMYFUNCTION("""COMPUTED_VALUE"""),"0823152293")</f>
        <v>0823152293</v>
      </c>
      <c r="K2804" s="2" t="str">
        <f ca="1">IFERROR(__xludf.DUMMYFUNCTION("""COMPUTED_VALUE"""),"1736178073797")</f>
        <v>1736178073797</v>
      </c>
    </row>
    <row r="2805" spans="1:11" ht="12.45">
      <c r="A2805" s="2" t="str">
        <f ca="1">IFERROR(__xludf.DUMMYFUNCTION("""COMPUTED_VALUE"""),"1736178125203")</f>
        <v>1736178125203</v>
      </c>
      <c r="B2805" s="2"/>
      <c r="C2805" s="2" t="str">
        <v>0</v>
      </c>
      <c r="D2805" s="2"/>
      <c r="F2805" s="2" t="str">
        <v>0</v>
      </c>
      <c r="I2805" s="2" t="str">
        <f ca="1">IFERROR(__xludf.DUMMYFUNCTION("""COMPUTED_VALUE"""),"võ thảo nguyên")</f>
        <v>võ thảo nguyên</v>
      </c>
      <c r="J2805" s="3" t="str">
        <f ca="1">IFERROR(__xludf.DUMMYFUNCTION("""COMPUTED_VALUE"""),"0346904806")</f>
        <v>0346904806</v>
      </c>
      <c r="K2805" s="2" t="str">
        <f ca="1">IFERROR(__xludf.DUMMYFUNCTION("""COMPUTED_VALUE"""),"1736178125203")</f>
        <v>1736178125203</v>
      </c>
    </row>
    <row r="2806" spans="1:11" ht="12.45">
      <c r="A2806" s="2" t="str">
        <f ca="1">IFERROR(__xludf.DUMMYFUNCTION("""COMPUTED_VALUE"""),"1736178185968")</f>
        <v>1736178185968</v>
      </c>
      <c r="B2806" s="2"/>
      <c r="C2806" s="2" t="str">
        <v>0</v>
      </c>
      <c r="D2806" s="2"/>
      <c r="F2806" s="2" t="str">
        <v>0</v>
      </c>
      <c r="I2806" s="2" t="str">
        <f ca="1">IFERROR(__xludf.DUMMYFUNCTION("""COMPUTED_VALUE"""),"Phan Thị Khánh Hà")</f>
        <v>Phan Thị Khánh Hà</v>
      </c>
      <c r="J2806" s="3" t="str">
        <f ca="1">IFERROR(__xludf.DUMMYFUNCTION("""COMPUTED_VALUE"""),"0384834359")</f>
        <v>0384834359</v>
      </c>
      <c r="K2806" s="2" t="str">
        <f ca="1">IFERROR(__xludf.DUMMYFUNCTION("""COMPUTED_VALUE"""),"1736178185968")</f>
        <v>1736178185968</v>
      </c>
    </row>
    <row r="2807" spans="1:11" ht="12.45">
      <c r="A2807" s="2" t="str">
        <f ca="1">IFERROR(__xludf.DUMMYFUNCTION("""COMPUTED_VALUE"""),"1736178235238")</f>
        <v>1736178235238</v>
      </c>
      <c r="B2807" s="2"/>
      <c r="C2807" s="2" t="str">
        <v>0</v>
      </c>
      <c r="D2807" s="2"/>
      <c r="F2807" s="2" t="str">
        <v>0</v>
      </c>
      <c r="I2807" s="2" t="str">
        <f ca="1">IFERROR(__xludf.DUMMYFUNCTION("""COMPUTED_VALUE"""),"Đỗ Ngọc Quỳnh Anh")</f>
        <v>Đỗ Ngọc Quỳnh Anh</v>
      </c>
      <c r="J2807" s="3" t="str">
        <f ca="1">IFERROR(__xludf.DUMMYFUNCTION("""COMPUTED_VALUE"""),"0765237329")</f>
        <v>0765237329</v>
      </c>
      <c r="K2807" s="2" t="str">
        <f ca="1">IFERROR(__xludf.DUMMYFUNCTION("""COMPUTED_VALUE"""),"1736178235238")</f>
        <v>1736178235238</v>
      </c>
    </row>
    <row r="2808" spans="1:11" ht="12.45">
      <c r="A2808" s="2" t="str">
        <f ca="1">IFERROR(__xludf.DUMMYFUNCTION("""COMPUTED_VALUE"""),"1736178286333")</f>
        <v>1736178286333</v>
      </c>
      <c r="B2808" s="2"/>
      <c r="C2808" s="2" t="str">
        <v>0</v>
      </c>
      <c r="D2808" s="2"/>
      <c r="F2808" s="2" t="str">
        <v>0</v>
      </c>
      <c r="I2808" s="2" t="str">
        <f ca="1">IFERROR(__xludf.DUMMYFUNCTION("""COMPUTED_VALUE"""),"Vũ Ngọc Bích")</f>
        <v>Vũ Ngọc Bích</v>
      </c>
      <c r="J2808" s="3" t="str">
        <f ca="1">IFERROR(__xludf.DUMMYFUNCTION("""COMPUTED_VALUE"""),"0349953323")</f>
        <v>0349953323</v>
      </c>
      <c r="K2808" s="2" t="str">
        <f ca="1">IFERROR(__xludf.DUMMYFUNCTION("""COMPUTED_VALUE"""),"1736178286333")</f>
        <v>1736178286333</v>
      </c>
    </row>
    <row r="2809" spans="1:11" ht="12.45">
      <c r="A2809" s="2" t="str">
        <f ca="1">IFERROR(__xludf.DUMMYFUNCTION("""COMPUTED_VALUE"""),"1736178330822")</f>
        <v>1736178330822</v>
      </c>
      <c r="B2809" s="2"/>
      <c r="C2809" s="2" t="str">
        <v>0</v>
      </c>
      <c r="D2809" s="2"/>
      <c r="F2809" s="2" t="str">
        <v>0</v>
      </c>
      <c r="I2809" s="2" t="str">
        <f ca="1">IFERROR(__xludf.DUMMYFUNCTION("""COMPUTED_VALUE"""),"Hàn Minh Phương")</f>
        <v>Hàn Minh Phương</v>
      </c>
      <c r="J2809" s="3" t="str">
        <f ca="1">IFERROR(__xludf.DUMMYFUNCTION("""COMPUTED_VALUE"""),"0356571330")</f>
        <v>0356571330</v>
      </c>
      <c r="K2809" s="2" t="str">
        <f ca="1">IFERROR(__xludf.DUMMYFUNCTION("""COMPUTED_VALUE"""),"1736178330822")</f>
        <v>1736178330822</v>
      </c>
    </row>
    <row r="2810" spans="1:11" ht="12.45">
      <c r="A2810" s="2" t="str">
        <f ca="1">IFERROR(__xludf.DUMMYFUNCTION("""COMPUTED_VALUE"""),"1736178369600")</f>
        <v>1736178369600</v>
      </c>
      <c r="B2810" s="2"/>
      <c r="C2810" s="2" t="str">
        <v>0</v>
      </c>
      <c r="D2810" s="2"/>
      <c r="F2810" s="2" t="str">
        <v>0</v>
      </c>
      <c r="I2810" s="2" t="str">
        <f ca="1">IFERROR(__xludf.DUMMYFUNCTION("""COMPUTED_VALUE"""),"Đặng Phương Linh ")</f>
        <v xml:space="preserve">Đặng Phương Linh </v>
      </c>
      <c r="J2810" s="3" t="str">
        <f ca="1">IFERROR(__xludf.DUMMYFUNCTION("""COMPUTED_VALUE"""),"0868427243")</f>
        <v>0868427243</v>
      </c>
      <c r="K2810" s="2" t="str">
        <f ca="1">IFERROR(__xludf.DUMMYFUNCTION("""COMPUTED_VALUE"""),"1736178369600")</f>
        <v>1736178369600</v>
      </c>
    </row>
    <row r="2811" spans="1:11" ht="12.45">
      <c r="A2811" s="2" t="str">
        <f ca="1">IFERROR(__xludf.DUMMYFUNCTION("""COMPUTED_VALUE"""),"1736178411844")</f>
        <v>1736178411844</v>
      </c>
      <c r="B2811" s="2"/>
      <c r="C2811" s="2" t="str">
        <v>0</v>
      </c>
      <c r="D2811" s="2"/>
      <c r="F2811" s="2" t="str">
        <v>0</v>
      </c>
      <c r="I2811" s="2" t="str">
        <f ca="1">IFERROR(__xludf.DUMMYFUNCTION("""COMPUTED_VALUE"""),"Nguyễn Phương Anh ")</f>
        <v xml:space="preserve">Nguyễn Phương Anh </v>
      </c>
      <c r="J2811" s="3" t="str">
        <f ca="1">IFERROR(__xludf.DUMMYFUNCTION("""COMPUTED_VALUE"""),"0393806729")</f>
        <v>0393806729</v>
      </c>
      <c r="K2811" s="2" t="str">
        <f ca="1">IFERROR(__xludf.DUMMYFUNCTION("""COMPUTED_VALUE"""),"1736178411844")</f>
        <v>1736178411844</v>
      </c>
    </row>
    <row r="2812" spans="1:11" ht="12.45">
      <c r="A2812" s="2" t="str">
        <f ca="1">IFERROR(__xludf.DUMMYFUNCTION("""COMPUTED_VALUE"""),"1736178457680")</f>
        <v>1736178457680</v>
      </c>
      <c r="B2812" s="2"/>
      <c r="C2812" s="2" t="str">
        <v>0</v>
      </c>
      <c r="D2812" s="2"/>
      <c r="F2812" s="2" t="str">
        <v>0</v>
      </c>
      <c r="I2812" s="2" t="str">
        <f ca="1">IFERROR(__xludf.DUMMYFUNCTION("""COMPUTED_VALUE"""),"Nguyễn Ngọc Yến Nhi")</f>
        <v>Nguyễn Ngọc Yến Nhi</v>
      </c>
      <c r="J2812" s="3" t="str">
        <f ca="1">IFERROR(__xludf.DUMMYFUNCTION("""COMPUTED_VALUE"""),"0937791561")</f>
        <v>0937791561</v>
      </c>
      <c r="K2812" s="2" t="str">
        <f ca="1">IFERROR(__xludf.DUMMYFUNCTION("""COMPUTED_VALUE"""),"1736178457680")</f>
        <v>1736178457680</v>
      </c>
    </row>
    <row r="2813" spans="1:11" ht="12.45">
      <c r="A2813" s="2" t="str">
        <f ca="1">IFERROR(__xludf.DUMMYFUNCTION("""COMPUTED_VALUE"""),"1736178497845")</f>
        <v>1736178497845</v>
      </c>
      <c r="B2813" s="2"/>
      <c r="C2813" s="2" t="str">
        <v>0</v>
      </c>
      <c r="D2813" s="2"/>
      <c r="F2813" s="2" t="str">
        <v>0</v>
      </c>
      <c r="I2813" s="2" t="str">
        <f ca="1">IFERROR(__xludf.DUMMYFUNCTION("""COMPUTED_VALUE"""),"Hoàng Ngọc Linh")</f>
        <v>Hoàng Ngọc Linh</v>
      </c>
      <c r="J2813" s="3" t="str">
        <f ca="1">IFERROR(__xludf.DUMMYFUNCTION("""COMPUTED_VALUE"""),"0912669301")</f>
        <v>0912669301</v>
      </c>
      <c r="K2813" s="2" t="str">
        <f ca="1">IFERROR(__xludf.DUMMYFUNCTION("""COMPUTED_VALUE"""),"1736178497845")</f>
        <v>1736178497845</v>
      </c>
    </row>
    <row r="2814" spans="1:11" ht="12.45">
      <c r="A2814" s="2" t="str">
        <f ca="1">IFERROR(__xludf.DUMMYFUNCTION("""COMPUTED_VALUE"""),"1736178560299")</f>
        <v>1736178560299</v>
      </c>
      <c r="B2814" s="2"/>
      <c r="C2814" s="2" t="str">
        <v>0</v>
      </c>
      <c r="D2814" s="2"/>
      <c r="F2814" s="2" t="str">
        <v>0</v>
      </c>
      <c r="I2814" s="2" t="str">
        <f ca="1">IFERROR(__xludf.DUMMYFUNCTION("""COMPUTED_VALUE"""),"Phan Thị Minh Ánh")</f>
        <v>Phan Thị Minh Ánh</v>
      </c>
      <c r="J2814" s="3" t="str">
        <f ca="1">IFERROR(__xludf.DUMMYFUNCTION("""COMPUTED_VALUE"""),"0352956002")</f>
        <v>0352956002</v>
      </c>
      <c r="K2814" s="2" t="str">
        <f ca="1">IFERROR(__xludf.DUMMYFUNCTION("""COMPUTED_VALUE"""),"1736178560299")</f>
        <v>1736178560299</v>
      </c>
    </row>
    <row r="2815" spans="1:11" ht="12.45">
      <c r="A2815" s="2" t="str">
        <f ca="1">IFERROR(__xludf.DUMMYFUNCTION("""COMPUTED_VALUE"""),"1736178624113")</f>
        <v>1736178624113</v>
      </c>
      <c r="B2815" s="2"/>
      <c r="C2815" s="2" t="str">
        <v>0</v>
      </c>
      <c r="D2815" s="2"/>
      <c r="F2815" s="2" t="str">
        <v>0</v>
      </c>
      <c r="I2815" s="2" t="str">
        <f ca="1">IFERROR(__xludf.DUMMYFUNCTION("""COMPUTED_VALUE"""),"Diệu Thương")</f>
        <v>Diệu Thương</v>
      </c>
      <c r="J2815" s="3" t="str">
        <f ca="1">IFERROR(__xludf.DUMMYFUNCTION("""COMPUTED_VALUE"""),"0962190578")</f>
        <v>0962190578</v>
      </c>
      <c r="K2815" s="2" t="str">
        <f ca="1">IFERROR(__xludf.DUMMYFUNCTION("""COMPUTED_VALUE"""),"1736178624113")</f>
        <v>1736178624113</v>
      </c>
    </row>
    <row r="2816" spans="1:11" ht="12.45">
      <c r="A2816" s="2" t="str">
        <f ca="1">IFERROR(__xludf.DUMMYFUNCTION("""COMPUTED_VALUE"""),"1736178678451")</f>
        <v>1736178678451</v>
      </c>
      <c r="B2816" s="2"/>
      <c r="C2816" s="2" t="str">
        <v>0</v>
      </c>
      <c r="D2816" s="2"/>
      <c r="F2816" s="2" t="str">
        <v>0</v>
      </c>
      <c r="I2816" s="2" t="str">
        <f ca="1">IFERROR(__xludf.DUMMYFUNCTION("""COMPUTED_VALUE"""),"Nguyễn Mai Hoa")</f>
        <v>Nguyễn Mai Hoa</v>
      </c>
      <c r="J2816" s="3" t="str">
        <f ca="1">IFERROR(__xludf.DUMMYFUNCTION("""COMPUTED_VALUE"""),"0828700289")</f>
        <v>0828700289</v>
      </c>
      <c r="K2816" s="2" t="str">
        <f ca="1">IFERROR(__xludf.DUMMYFUNCTION("""COMPUTED_VALUE"""),"1736178678451")</f>
        <v>1736178678451</v>
      </c>
    </row>
    <row r="2817" spans="1:11" ht="12.45">
      <c r="A2817" s="2" t="str">
        <f ca="1">IFERROR(__xludf.DUMMYFUNCTION("""COMPUTED_VALUE"""),"1736178713178")</f>
        <v>1736178713178</v>
      </c>
      <c r="B2817" s="2"/>
      <c r="C2817" s="2" t="str">
        <v>0</v>
      </c>
      <c r="D2817" s="2"/>
      <c r="F2817" s="2" t="str">
        <v>0</v>
      </c>
      <c r="I2817" s="2" t="str">
        <f ca="1">IFERROR(__xludf.DUMMYFUNCTION("""COMPUTED_VALUE"""),"Hà Nguyễn Hồng Phúc ")</f>
        <v xml:space="preserve">Hà Nguyễn Hồng Phúc </v>
      </c>
      <c r="J2817" s="3" t="str">
        <f ca="1">IFERROR(__xludf.DUMMYFUNCTION("""COMPUTED_VALUE"""),"0931850307")</f>
        <v>0931850307</v>
      </c>
      <c r="K2817" s="2" t="str">
        <f ca="1">IFERROR(__xludf.DUMMYFUNCTION("""COMPUTED_VALUE"""),"1736178713178")</f>
        <v>1736178713178</v>
      </c>
    </row>
    <row r="2818" spans="1:11" ht="12.45">
      <c r="A2818" s="2" t="str">
        <f ca="1">IFERROR(__xludf.DUMMYFUNCTION("""COMPUTED_VALUE"""),"1736178749445")</f>
        <v>1736178749445</v>
      </c>
      <c r="B2818" s="2"/>
      <c r="C2818" s="2" t="str">
        <v>0</v>
      </c>
      <c r="D2818" s="2"/>
      <c r="F2818" s="2" t="str">
        <v>0</v>
      </c>
      <c r="I2818" s="2" t="str">
        <f ca="1">IFERROR(__xludf.DUMMYFUNCTION("""COMPUTED_VALUE"""),"Đỗ Thùy Trang")</f>
        <v>Đỗ Thùy Trang</v>
      </c>
      <c r="J2818" s="3" t="str">
        <f ca="1">IFERROR(__xludf.DUMMYFUNCTION("""COMPUTED_VALUE"""),"0984452082")</f>
        <v>0984452082</v>
      </c>
      <c r="K2818" s="2" t="str">
        <f ca="1">IFERROR(__xludf.DUMMYFUNCTION("""COMPUTED_VALUE"""),"1736178749445")</f>
        <v>1736178749445</v>
      </c>
    </row>
    <row r="2819" spans="1:11" ht="12.45">
      <c r="A2819" s="2" t="str">
        <f ca="1">IFERROR(__xludf.DUMMYFUNCTION("""COMPUTED_VALUE"""),"1736178786239")</f>
        <v>1736178786239</v>
      </c>
      <c r="B2819" s="2"/>
      <c r="C2819" s="2" t="str">
        <v>0</v>
      </c>
      <c r="D2819" s="2"/>
      <c r="F2819" s="2" t="str">
        <v>0</v>
      </c>
      <c r="I2819" s="2" t="str">
        <f ca="1">IFERROR(__xludf.DUMMYFUNCTION("""COMPUTED_VALUE"""),"Vũ Phương Thảo")</f>
        <v>Vũ Phương Thảo</v>
      </c>
      <c r="J2819" s="3" t="str">
        <f ca="1">IFERROR(__xludf.DUMMYFUNCTION("""COMPUTED_VALUE"""),"0368838744")</f>
        <v>0368838744</v>
      </c>
      <c r="K2819" s="2" t="str">
        <f ca="1">IFERROR(__xludf.DUMMYFUNCTION("""COMPUTED_VALUE"""),"1736178786239")</f>
        <v>1736178786239</v>
      </c>
    </row>
    <row r="2820" spans="1:11" ht="12.45">
      <c r="A2820" s="2" t="str">
        <f ca="1">IFERROR(__xludf.DUMMYFUNCTION("""COMPUTED_VALUE"""),"1736178833750")</f>
        <v>1736178833750</v>
      </c>
      <c r="B2820" s="2"/>
      <c r="C2820" s="2" t="str">
        <v>0</v>
      </c>
      <c r="D2820" s="2"/>
      <c r="F2820" s="2" t="str">
        <v>0</v>
      </c>
      <c r="I2820" s="2" t="str">
        <f ca="1">IFERROR(__xludf.DUMMYFUNCTION("""COMPUTED_VALUE"""),"Nguyễn Thành Phát")</f>
        <v>Nguyễn Thành Phát</v>
      </c>
      <c r="J2820" s="3" t="str">
        <f ca="1">IFERROR(__xludf.DUMMYFUNCTION("""COMPUTED_VALUE"""),"0777717856")</f>
        <v>0777717856</v>
      </c>
      <c r="K2820" s="2" t="str">
        <f ca="1">IFERROR(__xludf.DUMMYFUNCTION("""COMPUTED_VALUE"""),"1736178833750")</f>
        <v>1736178833750</v>
      </c>
    </row>
    <row r="2821" spans="1:11" ht="12.45">
      <c r="A2821" s="2" t="str">
        <f ca="1">IFERROR(__xludf.DUMMYFUNCTION("""COMPUTED_VALUE"""),"1736178884388")</f>
        <v>1736178884388</v>
      </c>
      <c r="B2821" s="2"/>
      <c r="C2821" s="2" t="str">
        <v>0</v>
      </c>
      <c r="D2821" s="2"/>
      <c r="F2821" s="2" t="str">
        <v>0</v>
      </c>
      <c r="I2821" s="2" t="str">
        <f ca="1">IFERROR(__xludf.DUMMYFUNCTION("""COMPUTED_VALUE"""),"Nguyễn tiến đạt ")</f>
        <v xml:space="preserve">Nguyễn tiến đạt </v>
      </c>
      <c r="J2821" s="3" t="str">
        <f ca="1">IFERROR(__xludf.DUMMYFUNCTION("""COMPUTED_VALUE"""),"0338942707")</f>
        <v>0338942707</v>
      </c>
      <c r="K2821" s="2" t="str">
        <f ca="1">IFERROR(__xludf.DUMMYFUNCTION("""COMPUTED_VALUE"""),"1736178884388")</f>
        <v>1736178884388</v>
      </c>
    </row>
    <row r="2822" spans="1:11" ht="12.45">
      <c r="A2822" s="2" t="str">
        <f ca="1">IFERROR(__xludf.DUMMYFUNCTION("""COMPUTED_VALUE"""),"1736178941163")</f>
        <v>1736178941163</v>
      </c>
      <c r="B2822" s="2"/>
      <c r="C2822" s="2" t="str">
        <v>0</v>
      </c>
      <c r="D2822" s="2"/>
      <c r="F2822" s="2" t="str">
        <v>0</v>
      </c>
      <c r="I2822" s="2" t="str">
        <f ca="1">IFERROR(__xludf.DUMMYFUNCTION("""COMPUTED_VALUE"""),"Nguyễn Khánh Hằng")</f>
        <v>Nguyễn Khánh Hằng</v>
      </c>
      <c r="J2822" s="3" t="str">
        <f ca="1">IFERROR(__xludf.DUMMYFUNCTION("""COMPUTED_VALUE"""),"0345525781")</f>
        <v>0345525781</v>
      </c>
      <c r="K2822" s="2" t="str">
        <f ca="1">IFERROR(__xludf.DUMMYFUNCTION("""COMPUTED_VALUE"""),"1736178941163")</f>
        <v>1736178941163</v>
      </c>
    </row>
    <row r="2823" spans="1:11" ht="12.45">
      <c r="A2823" s="2" t="str">
        <f ca="1">IFERROR(__xludf.DUMMYFUNCTION("""COMPUTED_VALUE"""),"1736178992109")</f>
        <v>1736178992109</v>
      </c>
      <c r="B2823" s="2"/>
      <c r="C2823" s="2" t="str">
        <v>0</v>
      </c>
      <c r="D2823" s="2"/>
      <c r="F2823" s="2" t="str">
        <v>0</v>
      </c>
      <c r="I2823" s="2" t="str">
        <f ca="1">IFERROR(__xludf.DUMMYFUNCTION("""COMPUTED_VALUE"""),"Đặng Thị Thùy Trang ")</f>
        <v xml:space="preserve">Đặng Thị Thùy Trang </v>
      </c>
      <c r="J2823" s="3" t="str">
        <f ca="1">IFERROR(__xludf.DUMMYFUNCTION("""COMPUTED_VALUE"""),"0385302397")</f>
        <v>0385302397</v>
      </c>
      <c r="K2823" s="2" t="str">
        <f ca="1">IFERROR(__xludf.DUMMYFUNCTION("""COMPUTED_VALUE"""),"1736178992109")</f>
        <v>1736178992109</v>
      </c>
    </row>
    <row r="2824" spans="1:11" ht="12.45">
      <c r="A2824" s="2" t="str">
        <f ca="1">IFERROR(__xludf.DUMMYFUNCTION("""COMPUTED_VALUE"""),"1736179038215")</f>
        <v>1736179038215</v>
      </c>
      <c r="B2824" s="2"/>
      <c r="C2824" s="2" t="str">
        <v>0</v>
      </c>
      <c r="D2824" s="2"/>
      <c r="F2824" s="2" t="str">
        <v>0</v>
      </c>
      <c r="I2824" s="2" t="str">
        <f ca="1">IFERROR(__xludf.DUMMYFUNCTION("""COMPUTED_VALUE"""),"Nguyễn Thị Yến Vy ")</f>
        <v xml:space="preserve">Nguyễn Thị Yến Vy </v>
      </c>
      <c r="J2824" s="3" t="str">
        <f ca="1">IFERROR(__xludf.DUMMYFUNCTION("""COMPUTED_VALUE"""),"0336812133")</f>
        <v>0336812133</v>
      </c>
      <c r="K2824" s="2" t="str">
        <f ca="1">IFERROR(__xludf.DUMMYFUNCTION("""COMPUTED_VALUE"""),"1736179038215")</f>
        <v>1736179038215</v>
      </c>
    </row>
    <row r="2825" spans="1:11" ht="12.45">
      <c r="A2825" s="2" t="str">
        <f ca="1">IFERROR(__xludf.DUMMYFUNCTION("""COMPUTED_VALUE"""),"1736179082111")</f>
        <v>1736179082111</v>
      </c>
      <c r="B2825" s="2"/>
      <c r="C2825" s="2" t="str">
        <v>0</v>
      </c>
      <c r="D2825" s="2"/>
      <c r="F2825" s="2" t="str">
        <v>0</v>
      </c>
      <c r="I2825" s="2" t="str">
        <f ca="1">IFERROR(__xludf.DUMMYFUNCTION("""COMPUTED_VALUE"""),"Nguyễn Yến Trang")</f>
        <v>Nguyễn Yến Trang</v>
      </c>
      <c r="J2825" s="3" t="str">
        <f ca="1">IFERROR(__xludf.DUMMYFUNCTION("""COMPUTED_VALUE"""),"0866122162")</f>
        <v>0866122162</v>
      </c>
      <c r="K2825" s="2" t="str">
        <f ca="1">IFERROR(__xludf.DUMMYFUNCTION("""COMPUTED_VALUE"""),"1736179082111")</f>
        <v>1736179082111</v>
      </c>
    </row>
    <row r="2826" spans="1:11" ht="12.45">
      <c r="A2826" s="2" t="str">
        <f ca="1">IFERROR(__xludf.DUMMYFUNCTION("""COMPUTED_VALUE"""),"1736179127158")</f>
        <v>1736179127158</v>
      </c>
      <c r="B2826" s="2"/>
      <c r="C2826" s="2" t="str">
        <v>0</v>
      </c>
      <c r="D2826" s="2"/>
      <c r="F2826" s="2" t="str">
        <v>0</v>
      </c>
      <c r="I2826" s="2" t="str">
        <f ca="1">IFERROR(__xludf.DUMMYFUNCTION("""COMPUTED_VALUE"""),"Hoàng Ngọc Linh")</f>
        <v>Hoàng Ngọc Linh</v>
      </c>
      <c r="J2826" s="3" t="str">
        <f ca="1">IFERROR(__xludf.DUMMYFUNCTION("""COMPUTED_VALUE"""),"0868055957")</f>
        <v>0868055957</v>
      </c>
      <c r="K2826" s="2" t="str">
        <f ca="1">IFERROR(__xludf.DUMMYFUNCTION("""COMPUTED_VALUE"""),"1736179127158")</f>
        <v>1736179127158</v>
      </c>
    </row>
    <row r="2827" spans="1:11" ht="12.45">
      <c r="A2827" s="2" t="str">
        <f ca="1">IFERROR(__xludf.DUMMYFUNCTION("""COMPUTED_VALUE"""),"1736179172341")</f>
        <v>1736179172341</v>
      </c>
      <c r="B2827" s="2"/>
      <c r="C2827" s="2" t="str">
        <v>0</v>
      </c>
      <c r="D2827" s="2"/>
      <c r="F2827" s="2" t="str">
        <v>0</v>
      </c>
      <c r="I2827" s="2" t="str">
        <f ca="1">IFERROR(__xludf.DUMMYFUNCTION("""COMPUTED_VALUE"""),"Nguyễn Hải Thu")</f>
        <v>Nguyễn Hải Thu</v>
      </c>
      <c r="J2827" s="3" t="str">
        <f ca="1">IFERROR(__xludf.DUMMYFUNCTION("""COMPUTED_VALUE"""),"0862011934")</f>
        <v>0862011934</v>
      </c>
      <c r="K2827" s="2" t="str">
        <f ca="1">IFERROR(__xludf.DUMMYFUNCTION("""COMPUTED_VALUE"""),"1736179172341")</f>
        <v>1736179172341</v>
      </c>
    </row>
    <row r="2828" spans="1:11" ht="12.45">
      <c r="A2828" s="2" t="str">
        <f ca="1">IFERROR(__xludf.DUMMYFUNCTION("""COMPUTED_VALUE"""),"1744768576261")</f>
        <v>1744768576261</v>
      </c>
      <c r="B2828" s="2"/>
      <c r="C2828" s="2" t="str">
        <v>0</v>
      </c>
      <c r="D2828" s="2"/>
      <c r="F2828" s="2" t="str">
        <v>0</v>
      </c>
      <c r="I2828" s="2" t="str">
        <f ca="1">IFERROR(__xludf.DUMMYFUNCTION("""COMPUTED_VALUE"""),"Phan Kim Phương Thảo")</f>
        <v>Phan Kim Phương Thảo</v>
      </c>
      <c r="J2828" s="3" t="str">
        <f ca="1">IFERROR(__xludf.DUMMYFUNCTION("""COMPUTED_VALUE"""),"0827347274")</f>
        <v>0827347274</v>
      </c>
      <c r="K2828" s="2" t="str">
        <f ca="1">IFERROR(__xludf.DUMMYFUNCTION("""COMPUTED_VALUE"""),"1744768576261")</f>
        <v>1744768576261</v>
      </c>
    </row>
    <row r="2829" spans="1:11" ht="12.45">
      <c r="A2829" s="2" t="str">
        <f ca="1">IFERROR(__xludf.DUMMYFUNCTION("""COMPUTED_VALUE"""),"1736179213690")</f>
        <v>1736179213690</v>
      </c>
      <c r="B2829" s="2"/>
      <c r="C2829" s="2" t="str">
        <v>0</v>
      </c>
      <c r="D2829" s="2"/>
      <c r="F2829" s="2" t="str">
        <v>0</v>
      </c>
      <c r="I2829" s="2" t="str">
        <f ca="1">IFERROR(__xludf.DUMMYFUNCTION("""COMPUTED_VALUE"""),"Bùi Quang Ninh")</f>
        <v>Bùi Quang Ninh</v>
      </c>
      <c r="J2829" s="3" t="str">
        <f ca="1">IFERROR(__xludf.DUMMYFUNCTION("""COMPUTED_VALUE"""),"0899802682")</f>
        <v>0899802682</v>
      </c>
      <c r="K2829" s="2" t="str">
        <f ca="1">IFERROR(__xludf.DUMMYFUNCTION("""COMPUTED_VALUE"""),"1736179213690")</f>
        <v>1736179213690</v>
      </c>
    </row>
    <row r="2830" spans="1:11" ht="12.45">
      <c r="A2830" s="2" t="str">
        <f ca="1">IFERROR(__xludf.DUMMYFUNCTION("""COMPUTED_VALUE"""),"1736179271335")</f>
        <v>1736179271335</v>
      </c>
      <c r="B2830" s="2"/>
      <c r="C2830" s="2" t="str">
        <v>0</v>
      </c>
      <c r="D2830" s="2"/>
      <c r="F2830" s="2" t="str">
        <v>0</v>
      </c>
      <c r="I2830" s="2" t="str">
        <f ca="1">IFERROR(__xludf.DUMMYFUNCTION("""COMPUTED_VALUE"""),"Lò Hồng Ngọc")</f>
        <v>Lò Hồng Ngọc</v>
      </c>
      <c r="J2830" s="3" t="str">
        <f ca="1">IFERROR(__xludf.DUMMYFUNCTION("""COMPUTED_VALUE"""),"0394256809")</f>
        <v>0394256809</v>
      </c>
      <c r="K2830" s="2" t="str">
        <f ca="1">IFERROR(__xludf.DUMMYFUNCTION("""COMPUTED_VALUE"""),"1736179271335")</f>
        <v>1736179271335</v>
      </c>
    </row>
    <row r="2831" spans="1:11" ht="12.45">
      <c r="A2831" s="2" t="str">
        <f ca="1">IFERROR(__xludf.DUMMYFUNCTION("""COMPUTED_VALUE"""),"1736179320415")</f>
        <v>1736179320415</v>
      </c>
      <c r="B2831" s="2"/>
      <c r="C2831" s="2" t="str">
        <v>0</v>
      </c>
      <c r="D2831" s="2"/>
      <c r="F2831" s="2" t="str">
        <v>0</v>
      </c>
      <c r="I2831" s="2" t="str">
        <f ca="1">IFERROR(__xludf.DUMMYFUNCTION("""COMPUTED_VALUE"""),"Dư Hồ Phúc Lâm")</f>
        <v>Dư Hồ Phúc Lâm</v>
      </c>
      <c r="J2831" s="3" t="str">
        <f ca="1">IFERROR(__xludf.DUMMYFUNCTION("""COMPUTED_VALUE"""),"0982447762")</f>
        <v>0982447762</v>
      </c>
      <c r="K2831" s="2" t="str">
        <f ca="1">IFERROR(__xludf.DUMMYFUNCTION("""COMPUTED_VALUE"""),"1736179320415")</f>
        <v>1736179320415</v>
      </c>
    </row>
    <row r="2832" spans="1:11" ht="12.45">
      <c r="A2832" s="2" t="str">
        <f ca="1">IFERROR(__xludf.DUMMYFUNCTION("""COMPUTED_VALUE"""),"1736179377320")</f>
        <v>1736179377320</v>
      </c>
      <c r="B2832" s="2"/>
      <c r="C2832" s="2" t="str">
        <v>0</v>
      </c>
      <c r="D2832" s="2"/>
      <c r="F2832" s="2" t="str">
        <v>0</v>
      </c>
      <c r="I2832" s="2" t="str">
        <f ca="1">IFERROR(__xludf.DUMMYFUNCTION("""COMPUTED_VALUE"""),"Nguyễn Quang Vinh")</f>
        <v>Nguyễn Quang Vinh</v>
      </c>
      <c r="J2832" s="3" t="str">
        <f ca="1">IFERROR(__xludf.DUMMYFUNCTION("""COMPUTED_VALUE"""),"0772829462")</f>
        <v>0772829462</v>
      </c>
      <c r="K2832" s="2" t="str">
        <f ca="1">IFERROR(__xludf.DUMMYFUNCTION("""COMPUTED_VALUE"""),"1736179377320")</f>
        <v>1736179377320</v>
      </c>
    </row>
    <row r="2833" spans="1:11" ht="12.45">
      <c r="A2833" s="2" t="str">
        <f ca="1">IFERROR(__xludf.DUMMYFUNCTION("""COMPUTED_VALUE"""),"1736179411224")</f>
        <v>1736179411224</v>
      </c>
      <c r="B2833" s="2"/>
      <c r="C2833" s="2" t="str">
        <v>0</v>
      </c>
      <c r="D2833" s="2"/>
      <c r="F2833" s="2" t="str">
        <v>0</v>
      </c>
      <c r="I2833" s="2" t="str">
        <f ca="1">IFERROR(__xludf.DUMMYFUNCTION("""COMPUTED_VALUE"""),"Trần Thu Trang")</f>
        <v>Trần Thu Trang</v>
      </c>
      <c r="J2833" s="3" t="str">
        <f ca="1">IFERROR(__xludf.DUMMYFUNCTION("""COMPUTED_VALUE"""),"0946515648")</f>
        <v>0946515648</v>
      </c>
      <c r="K2833" s="2" t="str">
        <f ca="1">IFERROR(__xludf.DUMMYFUNCTION("""COMPUTED_VALUE"""),"1736179411224")</f>
        <v>1736179411224</v>
      </c>
    </row>
    <row r="2834" spans="1:11" ht="12.45">
      <c r="A2834" s="2" t="str">
        <f ca="1">IFERROR(__xludf.DUMMYFUNCTION("""COMPUTED_VALUE"""),"1736179449168")</f>
        <v>1736179449168</v>
      </c>
      <c r="B2834" s="2"/>
      <c r="C2834" s="2" t="str">
        <v>0</v>
      </c>
      <c r="D2834" s="2"/>
      <c r="F2834" s="2" t="str">
        <v>0</v>
      </c>
      <c r="I2834" s="2" t="str">
        <f ca="1">IFERROR(__xludf.DUMMYFUNCTION("""COMPUTED_VALUE"""),"Hoàng Thị Thanh Huyền")</f>
        <v>Hoàng Thị Thanh Huyền</v>
      </c>
      <c r="J2834" s="3" t="str">
        <f ca="1">IFERROR(__xludf.DUMMYFUNCTION("""COMPUTED_VALUE"""),"0869891778")</f>
        <v>0869891778</v>
      </c>
      <c r="K2834" s="2" t="str">
        <f ca="1">IFERROR(__xludf.DUMMYFUNCTION("""COMPUTED_VALUE"""),"1736179449168")</f>
        <v>1736179449168</v>
      </c>
    </row>
    <row r="2835" spans="1:11" ht="12.45">
      <c r="A2835" s="2" t="str">
        <f ca="1">IFERROR(__xludf.DUMMYFUNCTION("""COMPUTED_VALUE"""),"1736179480913")</f>
        <v>1736179480913</v>
      </c>
      <c r="B2835" s="2"/>
      <c r="C2835" s="2" t="str">
        <v>0</v>
      </c>
      <c r="D2835" s="2"/>
      <c r="F2835" s="2" t="str">
        <v>0</v>
      </c>
      <c r="I2835" s="2" t="str">
        <f ca="1">IFERROR(__xludf.DUMMYFUNCTION("""COMPUTED_VALUE"""),"Lê Trần Hà My")</f>
        <v>Lê Trần Hà My</v>
      </c>
      <c r="J2835" s="3" t="str">
        <f ca="1">IFERROR(__xludf.DUMMYFUNCTION("""COMPUTED_VALUE"""),"0865449264")</f>
        <v>0865449264</v>
      </c>
      <c r="K2835" s="2" t="str">
        <f ca="1">IFERROR(__xludf.DUMMYFUNCTION("""COMPUTED_VALUE"""),"1736179480913")</f>
        <v>1736179480913</v>
      </c>
    </row>
    <row r="2836" spans="1:11" ht="12.45">
      <c r="A2836" s="2" t="str">
        <f ca="1">IFERROR(__xludf.DUMMYFUNCTION("""COMPUTED_VALUE"""),"1736179550693")</f>
        <v>1736179550693</v>
      </c>
      <c r="B2836" s="2"/>
      <c r="C2836" s="2" t="str">
        <v>0</v>
      </c>
      <c r="D2836" s="2"/>
      <c r="F2836" s="2" t="str">
        <v>0</v>
      </c>
      <c r="I2836" s="2" t="str">
        <f ca="1">IFERROR(__xludf.DUMMYFUNCTION("""COMPUTED_VALUE"""),"Lò Đức Quân")</f>
        <v>Lò Đức Quân</v>
      </c>
      <c r="J2836" s="3" t="str">
        <f ca="1">IFERROR(__xludf.DUMMYFUNCTION("""COMPUTED_VALUE"""),"0359562855")</f>
        <v>0359562855</v>
      </c>
      <c r="K2836" s="2" t="str">
        <f ca="1">IFERROR(__xludf.DUMMYFUNCTION("""COMPUTED_VALUE"""),"1736179550693")</f>
        <v>1736179550693</v>
      </c>
    </row>
    <row r="2837" spans="1:11" ht="12.45">
      <c r="A2837" s="2" t="str">
        <f ca="1">IFERROR(__xludf.DUMMYFUNCTION("""COMPUTED_VALUE"""),"1736179635744")</f>
        <v>1736179635744</v>
      </c>
      <c r="B2837" s="2"/>
      <c r="C2837" s="2" t="str">
        <v>0</v>
      </c>
      <c r="D2837" s="2"/>
      <c r="F2837" s="2" t="str">
        <v>0</v>
      </c>
      <c r="I2837" s="2" t="str">
        <f ca="1">IFERROR(__xludf.DUMMYFUNCTION("""COMPUTED_VALUE"""),"Nguyễn Khánh Libh")</f>
        <v>Nguyễn Khánh Libh</v>
      </c>
      <c r="J2837" s="3" t="str">
        <f ca="1">IFERROR(__xludf.DUMMYFUNCTION("""COMPUTED_VALUE"""),"0934479832")</f>
        <v>0934479832</v>
      </c>
      <c r="K2837" s="2" t="str">
        <f ca="1">IFERROR(__xludf.DUMMYFUNCTION("""COMPUTED_VALUE"""),"1736179635744")</f>
        <v>1736179635744</v>
      </c>
    </row>
    <row r="2838" spans="1:11" ht="12.45">
      <c r="A2838" s="2" t="str">
        <f ca="1">IFERROR(__xludf.DUMMYFUNCTION("""COMPUTED_VALUE"""),"1736179703592")</f>
        <v>1736179703592</v>
      </c>
      <c r="B2838" s="2"/>
      <c r="C2838" s="2" t="str">
        <v>0</v>
      </c>
      <c r="D2838" s="2"/>
      <c r="F2838" s="2" t="str">
        <v>0</v>
      </c>
      <c r="I2838" s="2" t="str">
        <f ca="1">IFERROR(__xludf.DUMMYFUNCTION("""COMPUTED_VALUE"""),"Lê Thị Quỳnh Như")</f>
        <v>Lê Thị Quỳnh Như</v>
      </c>
      <c r="J2838" s="3" t="str">
        <f ca="1">IFERROR(__xludf.DUMMYFUNCTION("""COMPUTED_VALUE"""),"0345237652")</f>
        <v>0345237652</v>
      </c>
      <c r="K2838" s="2" t="str">
        <f ca="1">IFERROR(__xludf.DUMMYFUNCTION("""COMPUTED_VALUE"""),"1736179703592")</f>
        <v>1736179703592</v>
      </c>
    </row>
    <row r="2839" spans="1:11" ht="12.45">
      <c r="A2839" s="2" t="str">
        <f ca="1">IFERROR(__xludf.DUMMYFUNCTION("""COMPUTED_VALUE"""),"1736179752311")</f>
        <v>1736179752311</v>
      </c>
      <c r="B2839" s="2"/>
      <c r="C2839" s="2" t="str">
        <v>0</v>
      </c>
      <c r="D2839" s="2"/>
      <c r="F2839" s="2" t="str">
        <v>0</v>
      </c>
      <c r="I2839" s="2" t="str">
        <f ca="1">IFERROR(__xludf.DUMMYFUNCTION("""COMPUTED_VALUE"""),"Nguyễn Mlô Anh Thư")</f>
        <v>Nguyễn Mlô Anh Thư</v>
      </c>
      <c r="J2839" s="3" t="str">
        <f ca="1">IFERROR(__xludf.DUMMYFUNCTION("""COMPUTED_VALUE"""),"0948960406")</f>
        <v>0948960406</v>
      </c>
      <c r="K2839" s="2" t="str">
        <f ca="1">IFERROR(__xludf.DUMMYFUNCTION("""COMPUTED_VALUE"""),"1736179752311")</f>
        <v>1736179752311</v>
      </c>
    </row>
    <row r="2840" spans="1:11" ht="12.45">
      <c r="A2840" s="2" t="str">
        <f ca="1">IFERROR(__xludf.DUMMYFUNCTION("""COMPUTED_VALUE"""),"1736179827865")</f>
        <v>1736179827865</v>
      </c>
      <c r="B2840" s="2"/>
      <c r="C2840" s="2" t="str">
        <v>0</v>
      </c>
      <c r="D2840" s="2"/>
      <c r="F2840" s="2" t="str">
        <v>0</v>
      </c>
      <c r="I2840" s="2" t="str">
        <f ca="1">IFERROR(__xludf.DUMMYFUNCTION("""COMPUTED_VALUE"""),"Nguyễn Trần Ngọc Mai")</f>
        <v>Nguyễn Trần Ngọc Mai</v>
      </c>
      <c r="J2840" s="3" t="str">
        <f ca="1">IFERROR(__xludf.DUMMYFUNCTION("""COMPUTED_VALUE"""),"0939149626")</f>
        <v>0939149626</v>
      </c>
      <c r="K2840" s="2" t="str">
        <f ca="1">IFERROR(__xludf.DUMMYFUNCTION("""COMPUTED_VALUE"""),"1736179827865")</f>
        <v>1736179827865</v>
      </c>
    </row>
    <row r="2841" spans="1:11" ht="12.45">
      <c r="A2841" s="2" t="str">
        <f ca="1">IFERROR(__xludf.DUMMYFUNCTION("""COMPUTED_VALUE"""),"1736179872111")</f>
        <v>1736179872111</v>
      </c>
      <c r="B2841" s="2"/>
      <c r="C2841" s="2" t="str">
        <v>0</v>
      </c>
      <c r="D2841" s="2"/>
      <c r="F2841" s="2" t="str">
        <v>0</v>
      </c>
      <c r="I2841" s="2" t="str">
        <f ca="1">IFERROR(__xludf.DUMMYFUNCTION("""COMPUTED_VALUE"""),"Lê Hoàng Bảo Nhi ")</f>
        <v xml:space="preserve">Lê Hoàng Bảo Nhi </v>
      </c>
      <c r="J2841" s="3" t="str">
        <f ca="1">IFERROR(__xludf.DUMMYFUNCTION("""COMPUTED_VALUE"""),"0336201460")</f>
        <v>0336201460</v>
      </c>
      <c r="K2841" s="2" t="str">
        <f ca="1">IFERROR(__xludf.DUMMYFUNCTION("""COMPUTED_VALUE"""),"1736179872111")</f>
        <v>1736179872111</v>
      </c>
    </row>
    <row r="2842" spans="1:11" ht="12.45">
      <c r="A2842" s="2" t="str">
        <f ca="1">IFERROR(__xludf.DUMMYFUNCTION("""COMPUTED_VALUE"""),"1736179908632")</f>
        <v>1736179908632</v>
      </c>
      <c r="B2842" s="2"/>
      <c r="C2842" s="2" t="str">
        <v>0</v>
      </c>
      <c r="D2842" s="2"/>
      <c r="F2842" s="2" t="str">
        <v>0</v>
      </c>
      <c r="I2842" s="2" t="str">
        <f ca="1">IFERROR(__xludf.DUMMYFUNCTION("""COMPUTED_VALUE"""),"Đồng Sỹ Nguyên")</f>
        <v>Đồng Sỹ Nguyên</v>
      </c>
      <c r="J2842" s="3" t="str">
        <f ca="1">IFERROR(__xludf.DUMMYFUNCTION("""COMPUTED_VALUE"""),"0867050407")</f>
        <v>0867050407</v>
      </c>
      <c r="K2842" s="2" t="str">
        <f ca="1">IFERROR(__xludf.DUMMYFUNCTION("""COMPUTED_VALUE"""),"1736179908632")</f>
        <v>1736179908632</v>
      </c>
    </row>
    <row r="2843" spans="1:11" ht="12.45">
      <c r="A2843" s="2" t="str">
        <f ca="1">IFERROR(__xludf.DUMMYFUNCTION("""COMPUTED_VALUE"""),"1736179953879")</f>
        <v>1736179953879</v>
      </c>
      <c r="B2843" s="2"/>
      <c r="C2843" s="2" t="str">
        <v>0</v>
      </c>
      <c r="D2843" s="2"/>
      <c r="F2843" s="2" t="str">
        <v>0</v>
      </c>
      <c r="I2843" s="2" t="str">
        <f ca="1">IFERROR(__xludf.DUMMYFUNCTION("""COMPUTED_VALUE"""),"Đào Gia Linh")</f>
        <v>Đào Gia Linh</v>
      </c>
      <c r="J2843" s="3" t="str">
        <f ca="1">IFERROR(__xludf.DUMMYFUNCTION("""COMPUTED_VALUE"""),"0387082007")</f>
        <v>0387082007</v>
      </c>
      <c r="K2843" s="2" t="str">
        <f ca="1">IFERROR(__xludf.DUMMYFUNCTION("""COMPUTED_VALUE"""),"1736179953879")</f>
        <v>1736179953879</v>
      </c>
    </row>
    <row r="2844" spans="1:11" ht="12.45">
      <c r="A2844" s="2" t="str">
        <f ca="1">IFERROR(__xludf.DUMMYFUNCTION("""COMPUTED_VALUE"""),"1736179995583")</f>
        <v>1736179995583</v>
      </c>
      <c r="B2844" s="2"/>
      <c r="C2844" s="2" t="str">
        <v>0</v>
      </c>
      <c r="D2844" s="2"/>
      <c r="F2844" s="2" t="str">
        <v>0</v>
      </c>
      <c r="I2844" s="2" t="str">
        <f ca="1">IFERROR(__xludf.DUMMYFUNCTION("""COMPUTED_VALUE"""),"Trần Quỳnh Chi")</f>
        <v>Trần Quỳnh Chi</v>
      </c>
      <c r="J2844" s="3" t="str">
        <f ca="1">IFERROR(__xludf.DUMMYFUNCTION("""COMPUTED_VALUE"""),"0854464118")</f>
        <v>0854464118</v>
      </c>
      <c r="K2844" s="2" t="str">
        <f ca="1">IFERROR(__xludf.DUMMYFUNCTION("""COMPUTED_VALUE"""),"1736179995583")</f>
        <v>1736179995583</v>
      </c>
    </row>
    <row r="2845" spans="1:11" ht="12.45">
      <c r="A2845" s="2" t="str">
        <f ca="1">IFERROR(__xludf.DUMMYFUNCTION("""COMPUTED_VALUE"""),"1736180037019")</f>
        <v>1736180037019</v>
      </c>
      <c r="B2845" s="2"/>
      <c r="C2845" s="2" t="str">
        <v>0</v>
      </c>
      <c r="D2845" s="2"/>
      <c r="F2845" s="2" t="str">
        <v>0</v>
      </c>
      <c r="I2845" s="2" t="str">
        <f ca="1">IFERROR(__xludf.DUMMYFUNCTION("""COMPUTED_VALUE"""),"Nguyễn Thị Ngọc Anh")</f>
        <v>Nguyễn Thị Ngọc Anh</v>
      </c>
      <c r="J2845" s="3" t="str">
        <f ca="1">IFERROR(__xludf.DUMMYFUNCTION("""COMPUTED_VALUE"""),"0901578959")</f>
        <v>0901578959</v>
      </c>
      <c r="K2845" s="2" t="str">
        <f ca="1">IFERROR(__xludf.DUMMYFUNCTION("""COMPUTED_VALUE"""),"1736180037019")</f>
        <v>1736180037019</v>
      </c>
    </row>
    <row r="2846" spans="1:11" ht="12.45">
      <c r="A2846" s="2" t="str">
        <f ca="1">IFERROR(__xludf.DUMMYFUNCTION("""COMPUTED_VALUE"""),"1736180090459")</f>
        <v>1736180090459</v>
      </c>
      <c r="B2846" s="2"/>
      <c r="C2846" s="2" t="str">
        <v>0</v>
      </c>
      <c r="D2846" s="2"/>
      <c r="F2846" s="2" t="str">
        <v>0</v>
      </c>
      <c r="I2846" s="2" t="str">
        <f ca="1">IFERROR(__xludf.DUMMYFUNCTION("""COMPUTED_VALUE"""),"Nguyễn thị Thùy Vy")</f>
        <v>Nguyễn thị Thùy Vy</v>
      </c>
      <c r="J2846" s="3" t="str">
        <f ca="1">IFERROR(__xludf.DUMMYFUNCTION("""COMPUTED_VALUE"""),"0865668417")</f>
        <v>0865668417</v>
      </c>
      <c r="K2846" s="2" t="str">
        <f ca="1">IFERROR(__xludf.DUMMYFUNCTION("""COMPUTED_VALUE"""),"1736180090459")</f>
        <v>1736180090459</v>
      </c>
    </row>
    <row r="2847" spans="1:11" ht="12.45">
      <c r="A2847" s="2" t="str">
        <f ca="1">IFERROR(__xludf.DUMMYFUNCTION("""COMPUTED_VALUE"""),"1736180156822")</f>
        <v>1736180156822</v>
      </c>
      <c r="B2847" s="2"/>
      <c r="C2847" s="2" t="str">
        <v>0</v>
      </c>
      <c r="D2847" s="2"/>
      <c r="F2847" s="2" t="str">
        <v>0</v>
      </c>
      <c r="I2847" s="2" t="str">
        <f ca="1">IFERROR(__xludf.DUMMYFUNCTION("""COMPUTED_VALUE"""),"Lương Thị Song Thao")</f>
        <v>Lương Thị Song Thao</v>
      </c>
      <c r="J2847" s="3" t="str">
        <f ca="1">IFERROR(__xludf.DUMMYFUNCTION("""COMPUTED_VALUE"""),"0949076588")</f>
        <v>0949076588</v>
      </c>
      <c r="K2847" s="2" t="str">
        <f ca="1">IFERROR(__xludf.DUMMYFUNCTION("""COMPUTED_VALUE"""),"1736180156822")</f>
        <v>1736180156822</v>
      </c>
    </row>
    <row r="2848" spans="1:11" ht="12.45">
      <c r="A2848" s="2" t="str">
        <f ca="1">IFERROR(__xludf.DUMMYFUNCTION("""COMPUTED_VALUE"""),"1736180214825")</f>
        <v>1736180214825</v>
      </c>
      <c r="B2848" s="2"/>
      <c r="C2848" s="2" t="str">
        <v>0</v>
      </c>
      <c r="D2848" s="2"/>
      <c r="F2848" s="2" t="str">
        <v>0</v>
      </c>
      <c r="I2848" s="2" t="str">
        <f ca="1">IFERROR(__xludf.DUMMYFUNCTION("""COMPUTED_VALUE"""),"Trịnh Ngọc Huyền")</f>
        <v>Trịnh Ngọc Huyền</v>
      </c>
      <c r="J2848" s="2" t="str">
        <f ca="1">IFERROR(__xludf.DUMMYFUNCTION("""COMPUTED_VALUE"""),"08497249939")</f>
        <v>08497249939</v>
      </c>
      <c r="K2848" s="2" t="str">
        <f ca="1">IFERROR(__xludf.DUMMYFUNCTION("""COMPUTED_VALUE"""),"1736180214825")</f>
        <v>1736180214825</v>
      </c>
    </row>
    <row r="2849" spans="1:11" ht="12.45">
      <c r="A2849" s="2" t="str">
        <f ca="1">IFERROR(__xludf.DUMMYFUNCTION("""COMPUTED_VALUE"""),"1736180275161")</f>
        <v>1736180275161</v>
      </c>
      <c r="B2849" s="2"/>
      <c r="C2849" s="2" t="str">
        <v>0</v>
      </c>
      <c r="D2849" s="2"/>
      <c r="F2849" s="2" t="str">
        <v>0</v>
      </c>
      <c r="I2849" s="2" t="str">
        <f ca="1">IFERROR(__xludf.DUMMYFUNCTION("""COMPUTED_VALUE"""),"Nguyễn thảo linh")</f>
        <v>Nguyễn thảo linh</v>
      </c>
      <c r="J2849" s="3" t="str">
        <f ca="1">IFERROR(__xludf.DUMMYFUNCTION("""COMPUTED_VALUE"""),"0941322516")</f>
        <v>0941322516</v>
      </c>
      <c r="K2849" s="2" t="str">
        <f ca="1">IFERROR(__xludf.DUMMYFUNCTION("""COMPUTED_VALUE"""),"1736180275161")</f>
        <v>1736180275161</v>
      </c>
    </row>
    <row r="2850" spans="1:11" ht="12.45">
      <c r="A2850" s="2" t="str">
        <f ca="1">IFERROR(__xludf.DUMMYFUNCTION("""COMPUTED_VALUE"""),"1736180310183")</f>
        <v>1736180310183</v>
      </c>
      <c r="B2850" s="2"/>
      <c r="C2850" s="2" t="str">
        <v>0</v>
      </c>
      <c r="D2850" s="2"/>
      <c r="F2850" s="2" t="str">
        <v>0</v>
      </c>
      <c r="I2850" s="2" t="str">
        <f ca="1">IFERROR(__xludf.DUMMYFUNCTION("""COMPUTED_VALUE"""),"Trang Phương Anh")</f>
        <v>Trang Phương Anh</v>
      </c>
      <c r="J2850" s="3" t="str">
        <f ca="1">IFERROR(__xludf.DUMMYFUNCTION("""COMPUTED_VALUE"""),"0339259378")</f>
        <v>0339259378</v>
      </c>
      <c r="K2850" s="2" t="str">
        <f ca="1">IFERROR(__xludf.DUMMYFUNCTION("""COMPUTED_VALUE"""),"1736180310183")</f>
        <v>1736180310183</v>
      </c>
    </row>
    <row r="2851" spans="1:11" ht="12.45">
      <c r="A2851" s="2" t="str">
        <f ca="1">IFERROR(__xludf.DUMMYFUNCTION("""COMPUTED_VALUE"""),"1736180362408")</f>
        <v>1736180362408</v>
      </c>
      <c r="B2851" s="2"/>
      <c r="C2851" s="2" t="str">
        <v>0</v>
      </c>
      <c r="D2851" s="2"/>
      <c r="F2851" s="2" t="str">
        <v>0</v>
      </c>
      <c r="I2851" s="2" t="str">
        <f ca="1">IFERROR(__xludf.DUMMYFUNCTION("""COMPUTED_VALUE"""),"Đỗ Lê Tuyết Anh")</f>
        <v>Đỗ Lê Tuyết Anh</v>
      </c>
      <c r="J2851" s="3" t="str">
        <f ca="1">IFERROR(__xludf.DUMMYFUNCTION("""COMPUTED_VALUE"""),"0943974699")</f>
        <v>0943974699</v>
      </c>
      <c r="K2851" s="2" t="str">
        <f ca="1">IFERROR(__xludf.DUMMYFUNCTION("""COMPUTED_VALUE"""),"1736180362408")</f>
        <v>1736180362408</v>
      </c>
    </row>
    <row r="2852" spans="1:11" ht="12.45">
      <c r="A2852" s="2" t="str">
        <f ca="1">IFERROR(__xludf.DUMMYFUNCTION("""COMPUTED_VALUE"""),"1736180415212")</f>
        <v>1736180415212</v>
      </c>
      <c r="B2852" s="2"/>
      <c r="C2852" s="2" t="str">
        <v>0</v>
      </c>
      <c r="D2852" s="2"/>
      <c r="F2852" s="2" t="str">
        <v>0</v>
      </c>
      <c r="I2852" s="2" t="str">
        <f ca="1">IFERROR(__xludf.DUMMYFUNCTION("""COMPUTED_VALUE"""),"Đinh Thị Thu Trang")</f>
        <v>Đinh Thị Thu Trang</v>
      </c>
      <c r="J2852" s="3" t="str">
        <f ca="1">IFERROR(__xludf.DUMMYFUNCTION("""COMPUTED_VALUE"""),"0966172659")</f>
        <v>0966172659</v>
      </c>
      <c r="K2852" s="2" t="str">
        <f ca="1">IFERROR(__xludf.DUMMYFUNCTION("""COMPUTED_VALUE"""),"1736180415212")</f>
        <v>1736180415212</v>
      </c>
    </row>
    <row r="2853" spans="1:11" ht="12.45">
      <c r="A2853" s="2" t="str">
        <f ca="1">IFERROR(__xludf.DUMMYFUNCTION("""COMPUTED_VALUE"""),"1736180455737")</f>
        <v>1736180455737</v>
      </c>
      <c r="B2853" s="2"/>
      <c r="C2853" s="2" t="str">
        <v>0</v>
      </c>
      <c r="D2853" s="2"/>
      <c r="F2853" s="2" t="str">
        <v>0</v>
      </c>
      <c r="I2853" s="2" t="str">
        <f ca="1">IFERROR(__xludf.DUMMYFUNCTION("""COMPUTED_VALUE"""),"Vũ Phương Anh")</f>
        <v>Vũ Phương Anh</v>
      </c>
      <c r="J2853" s="3" t="str">
        <f ca="1">IFERROR(__xludf.DUMMYFUNCTION("""COMPUTED_VALUE"""),"0368728462")</f>
        <v>0368728462</v>
      </c>
      <c r="K2853" s="2" t="str">
        <f ca="1">IFERROR(__xludf.DUMMYFUNCTION("""COMPUTED_VALUE"""),"1736180455737")</f>
        <v>1736180455737</v>
      </c>
    </row>
    <row r="2854" spans="1:11" ht="12.45">
      <c r="A2854" s="2" t="str">
        <f ca="1">IFERROR(__xludf.DUMMYFUNCTION("""COMPUTED_VALUE"""),"1736180507383")</f>
        <v>1736180507383</v>
      </c>
      <c r="B2854" s="2"/>
      <c r="C2854" s="2" t="str">
        <v>0</v>
      </c>
      <c r="D2854" s="2"/>
      <c r="F2854" s="2" t="str">
        <v>0</v>
      </c>
      <c r="I2854" s="2" t="str">
        <f ca="1">IFERROR(__xludf.DUMMYFUNCTION("""COMPUTED_VALUE"""),"Phương Anh ")</f>
        <v xml:space="preserve">Phương Anh </v>
      </c>
      <c r="J2854" s="3" t="str">
        <f ca="1">IFERROR(__xludf.DUMMYFUNCTION("""COMPUTED_VALUE"""),"0787191011")</f>
        <v>0787191011</v>
      </c>
      <c r="K2854" s="2" t="str">
        <f ca="1">IFERROR(__xludf.DUMMYFUNCTION("""COMPUTED_VALUE"""),"1736180507383")</f>
        <v>1736180507383</v>
      </c>
    </row>
    <row r="2855" spans="1:11" ht="12.45">
      <c r="A2855" s="2" t="str">
        <f ca="1">IFERROR(__xludf.DUMMYFUNCTION("""COMPUTED_VALUE"""),"1736180565284")</f>
        <v>1736180565284</v>
      </c>
      <c r="B2855" s="2"/>
      <c r="C2855" s="2" t="str">
        <v>0</v>
      </c>
      <c r="D2855" s="2"/>
      <c r="F2855" s="2" t="str">
        <v>0</v>
      </c>
      <c r="I2855" s="2" t="str">
        <f ca="1">IFERROR(__xludf.DUMMYFUNCTION("""COMPUTED_VALUE"""),"Bùi Mạnh Tiến")</f>
        <v>Bùi Mạnh Tiến</v>
      </c>
      <c r="J2855" s="3" t="str">
        <f ca="1">IFERROR(__xludf.DUMMYFUNCTION("""COMPUTED_VALUE"""),"0965566510")</f>
        <v>0965566510</v>
      </c>
      <c r="K2855" s="2" t="str">
        <f ca="1">IFERROR(__xludf.DUMMYFUNCTION("""COMPUTED_VALUE"""),"1736180565284")</f>
        <v>1736180565284</v>
      </c>
    </row>
    <row r="2856" spans="1:11" ht="12.45">
      <c r="A2856" s="2" t="str">
        <f ca="1">IFERROR(__xludf.DUMMYFUNCTION("""COMPUTED_VALUE"""),"1736180607507")</f>
        <v>1736180607507</v>
      </c>
      <c r="B2856" s="2"/>
      <c r="C2856" s="2" t="str">
        <v>0</v>
      </c>
      <c r="D2856" s="2"/>
      <c r="F2856" s="2" t="str">
        <v>0</v>
      </c>
      <c r="I2856" s="2" t="str">
        <f ca="1">IFERROR(__xludf.DUMMYFUNCTION("""COMPUTED_VALUE"""),"Nguyễn Vũ Khánh Linh")</f>
        <v>Nguyễn Vũ Khánh Linh</v>
      </c>
      <c r="J2856" s="3" t="str">
        <f ca="1">IFERROR(__xludf.DUMMYFUNCTION("""COMPUTED_VALUE"""),"0972053205")</f>
        <v>0972053205</v>
      </c>
      <c r="K2856" s="2" t="str">
        <f ca="1">IFERROR(__xludf.DUMMYFUNCTION("""COMPUTED_VALUE"""),"1736180607507")</f>
        <v>1736180607507</v>
      </c>
    </row>
    <row r="2857" spans="1:11" ht="12.45">
      <c r="A2857" s="2" t="str">
        <f ca="1">IFERROR(__xludf.DUMMYFUNCTION("""COMPUTED_VALUE"""),"1736180649726")</f>
        <v>1736180649726</v>
      </c>
      <c r="B2857" s="2"/>
      <c r="C2857" s="2" t="str">
        <v>0</v>
      </c>
      <c r="D2857" s="2"/>
      <c r="F2857" s="2" t="str">
        <v>0</v>
      </c>
      <c r="I2857" s="2" t="str">
        <f ca="1">IFERROR(__xludf.DUMMYFUNCTION("""COMPUTED_VALUE"""),"Trịnh Phương Linh")</f>
        <v>Trịnh Phương Linh</v>
      </c>
      <c r="J2857" s="3" t="str">
        <f ca="1">IFERROR(__xludf.DUMMYFUNCTION("""COMPUTED_VALUE"""),"0373037292")</f>
        <v>0373037292</v>
      </c>
      <c r="K2857" s="2" t="str">
        <f ca="1">IFERROR(__xludf.DUMMYFUNCTION("""COMPUTED_VALUE"""),"1736180649726")</f>
        <v>1736180649726</v>
      </c>
    </row>
    <row r="2858" spans="1:11" ht="12.45">
      <c r="A2858" s="2" t="str">
        <f ca="1">IFERROR(__xludf.DUMMYFUNCTION("""COMPUTED_VALUE"""),"1736180685653")</f>
        <v>1736180685653</v>
      </c>
      <c r="B2858" s="2"/>
      <c r="C2858" s="2" t="str">
        <v>0</v>
      </c>
      <c r="D2858" s="2"/>
      <c r="F2858" s="2" t="str">
        <v>0</v>
      </c>
      <c r="I2858" s="2" t="str">
        <f ca="1">IFERROR(__xludf.DUMMYFUNCTION("""COMPUTED_VALUE"""),"Huỳnh Thị Anh Thư ")</f>
        <v xml:space="preserve">Huỳnh Thị Anh Thư </v>
      </c>
      <c r="J2858" s="3" t="str">
        <f ca="1">IFERROR(__xludf.DUMMYFUNCTION("""COMPUTED_VALUE"""),"0985437954")</f>
        <v>0985437954</v>
      </c>
      <c r="K2858" s="2" t="str">
        <f ca="1">IFERROR(__xludf.DUMMYFUNCTION("""COMPUTED_VALUE"""),"1736180685653")</f>
        <v>1736180685653</v>
      </c>
    </row>
    <row r="2859" spans="1:11" ht="12.45">
      <c r="A2859" s="2" t="str">
        <f ca="1">IFERROR(__xludf.DUMMYFUNCTION("""COMPUTED_VALUE"""),"1736180734869")</f>
        <v>1736180734869</v>
      </c>
      <c r="B2859" s="2"/>
      <c r="C2859" s="2" t="str">
        <v>0</v>
      </c>
      <c r="D2859" s="2"/>
      <c r="F2859" s="2" t="str">
        <v>0</v>
      </c>
      <c r="I2859" s="2" t="str">
        <f ca="1">IFERROR(__xludf.DUMMYFUNCTION("""COMPUTED_VALUE"""),"Lưu Thị Thảo Vy")</f>
        <v>Lưu Thị Thảo Vy</v>
      </c>
      <c r="J2859" s="3" t="str">
        <f ca="1">IFERROR(__xludf.DUMMYFUNCTION("""COMPUTED_VALUE"""),"0336443514")</f>
        <v>0336443514</v>
      </c>
      <c r="K2859" s="2" t="str">
        <f ca="1">IFERROR(__xludf.DUMMYFUNCTION("""COMPUTED_VALUE"""),"1736180734869")</f>
        <v>1736180734869</v>
      </c>
    </row>
    <row r="2860" spans="1:11" ht="12.45">
      <c r="A2860" s="2" t="str">
        <f ca="1">IFERROR(__xludf.DUMMYFUNCTION("""COMPUTED_VALUE"""),"1736180813666")</f>
        <v>1736180813666</v>
      </c>
      <c r="B2860" s="2"/>
      <c r="C2860" s="2" t="str">
        <v>0</v>
      </c>
      <c r="D2860" s="2"/>
      <c r="F2860" s="2" t="str">
        <v>0</v>
      </c>
      <c r="I2860" s="2" t="str">
        <f ca="1">IFERROR(__xludf.DUMMYFUNCTION("""COMPUTED_VALUE"""),"chu lê minh trang")</f>
        <v>chu lê minh trang</v>
      </c>
      <c r="J2860" s="3" t="str">
        <f ca="1">IFERROR(__xludf.DUMMYFUNCTION("""COMPUTED_VALUE"""),"0985992123")</f>
        <v>0985992123</v>
      </c>
      <c r="K2860" s="2" t="str">
        <f ca="1">IFERROR(__xludf.DUMMYFUNCTION("""COMPUTED_VALUE"""),"1736180813666")</f>
        <v>1736180813666</v>
      </c>
    </row>
    <row r="2861" spans="1:11" ht="12.45">
      <c r="A2861" s="2" t="str">
        <f ca="1">IFERROR(__xludf.DUMMYFUNCTION("""COMPUTED_VALUE"""),"1736180862607")</f>
        <v>1736180862607</v>
      </c>
      <c r="B2861" s="2"/>
      <c r="C2861" s="2" t="str">
        <v>0</v>
      </c>
      <c r="D2861" s="2"/>
      <c r="F2861" s="2" t="str">
        <v>0</v>
      </c>
      <c r="I2861" s="2" t="str">
        <f ca="1">IFERROR(__xludf.DUMMYFUNCTION("""COMPUTED_VALUE"""),"Nguyễn Lê Thạch Thiên")</f>
        <v>Nguyễn Lê Thạch Thiên</v>
      </c>
      <c r="J2861" s="3" t="str">
        <f ca="1">IFERROR(__xludf.DUMMYFUNCTION("""COMPUTED_VALUE"""),"0932796496")</f>
        <v>0932796496</v>
      </c>
      <c r="K2861" s="2" t="str">
        <f ca="1">IFERROR(__xludf.DUMMYFUNCTION("""COMPUTED_VALUE"""),"1736180862607")</f>
        <v>1736180862607</v>
      </c>
    </row>
    <row r="2862" spans="1:11" ht="12.45">
      <c r="A2862" s="2" t="str">
        <f ca="1">IFERROR(__xludf.DUMMYFUNCTION("""COMPUTED_VALUE"""),"1736180911264")</f>
        <v>1736180911264</v>
      </c>
      <c r="B2862" s="2"/>
      <c r="C2862" s="2" t="str">
        <v>0</v>
      </c>
      <c r="D2862" s="2"/>
      <c r="F2862" s="2" t="str">
        <v>0</v>
      </c>
      <c r="I2862" s="2" t="str">
        <f ca="1">IFERROR(__xludf.DUMMYFUNCTION("""COMPUTED_VALUE"""),"Thân Thị Diệu Ninh ")</f>
        <v xml:space="preserve">Thân Thị Diệu Ninh </v>
      </c>
      <c r="J2862" s="3" t="str">
        <f ca="1">IFERROR(__xludf.DUMMYFUNCTION("""COMPUTED_VALUE"""),"0389447953")</f>
        <v>0389447953</v>
      </c>
      <c r="K2862" s="2" t="str">
        <f ca="1">IFERROR(__xludf.DUMMYFUNCTION("""COMPUTED_VALUE"""),"1736180911264")</f>
        <v>1736180911264</v>
      </c>
    </row>
    <row r="2863" spans="1:11" ht="12.45">
      <c r="A2863" s="2" t="str">
        <f ca="1">IFERROR(__xludf.DUMMYFUNCTION("""COMPUTED_VALUE"""),"1736180949006")</f>
        <v>1736180949006</v>
      </c>
      <c r="B2863" s="2"/>
      <c r="C2863" s="2" t="str">
        <v>0</v>
      </c>
      <c r="D2863" s="2"/>
      <c r="F2863" s="2" t="str">
        <v>0</v>
      </c>
      <c r="I2863" s="2" t="str">
        <f ca="1">IFERROR(__xludf.DUMMYFUNCTION("""COMPUTED_VALUE"""),"Đỗ thị quỳnh giang")</f>
        <v>Đỗ thị quỳnh giang</v>
      </c>
      <c r="J2863" s="3" t="str">
        <f ca="1">IFERROR(__xludf.DUMMYFUNCTION("""COMPUTED_VALUE"""),"0366851360")</f>
        <v>0366851360</v>
      </c>
      <c r="K2863" s="2" t="str">
        <f ca="1">IFERROR(__xludf.DUMMYFUNCTION("""COMPUTED_VALUE"""),"1736180949006")</f>
        <v>1736180949006</v>
      </c>
    </row>
    <row r="2864" spans="1:11" ht="12.45">
      <c r="A2864" s="2" t="str">
        <f ca="1">IFERROR(__xludf.DUMMYFUNCTION("""COMPUTED_VALUE"""),"1736181003959")</f>
        <v>1736181003959</v>
      </c>
      <c r="B2864" s="2"/>
      <c r="C2864" s="2" t="str">
        <v>0</v>
      </c>
      <c r="D2864" s="2"/>
      <c r="F2864" s="2" t="str">
        <v>0</v>
      </c>
      <c r="I2864" s="2" t="str">
        <f ca="1">IFERROR(__xludf.DUMMYFUNCTION("""COMPUTED_VALUE"""),"Lê Minh Triết")</f>
        <v>Lê Minh Triết</v>
      </c>
      <c r="J2864" s="3" t="str">
        <f ca="1">IFERROR(__xludf.DUMMYFUNCTION("""COMPUTED_VALUE"""),"0765185631")</f>
        <v>0765185631</v>
      </c>
      <c r="K2864" s="2" t="str">
        <f ca="1">IFERROR(__xludf.DUMMYFUNCTION("""COMPUTED_VALUE"""),"1736181003959")</f>
        <v>1736181003959</v>
      </c>
    </row>
    <row r="2865" spans="1:11" ht="12.45">
      <c r="A2865" s="2" t="str">
        <f ca="1">IFERROR(__xludf.DUMMYFUNCTION("""COMPUTED_VALUE"""),"1736181066561")</f>
        <v>1736181066561</v>
      </c>
      <c r="B2865" s="2"/>
      <c r="C2865" s="2" t="str">
        <v>0</v>
      </c>
      <c r="D2865" s="2"/>
      <c r="F2865" s="2" t="str">
        <v>0</v>
      </c>
      <c r="I2865" s="2" t="str">
        <f ca="1">IFERROR(__xludf.DUMMYFUNCTION("""COMPUTED_VALUE"""),"Đào Lê Hoàng Yến ")</f>
        <v xml:space="preserve">Đào Lê Hoàng Yến </v>
      </c>
      <c r="J2865" s="3" t="str">
        <f ca="1">IFERROR(__xludf.DUMMYFUNCTION("""COMPUTED_VALUE"""),"0862800449")</f>
        <v>0862800449</v>
      </c>
      <c r="K2865" s="2" t="str">
        <f ca="1">IFERROR(__xludf.DUMMYFUNCTION("""COMPUTED_VALUE"""),"1736181066561")</f>
        <v>1736181066561</v>
      </c>
    </row>
    <row r="2866" spans="1:11" ht="12.45">
      <c r="A2866" s="2" t="str">
        <f ca="1">IFERROR(__xludf.DUMMYFUNCTION("""COMPUTED_VALUE"""),"1736181128129")</f>
        <v>1736181128129</v>
      </c>
      <c r="B2866" s="2"/>
      <c r="C2866" s="2" t="str">
        <v>0</v>
      </c>
      <c r="D2866" s="2"/>
      <c r="F2866" s="2" t="str">
        <v>0</v>
      </c>
      <c r="I2866" s="2" t="str">
        <f ca="1">IFERROR(__xludf.DUMMYFUNCTION("""COMPUTED_VALUE"""),"Trịnh Thị Minh Tâm")</f>
        <v>Trịnh Thị Minh Tâm</v>
      </c>
      <c r="J2866" s="3" t="str">
        <f ca="1">IFERROR(__xludf.DUMMYFUNCTION("""COMPUTED_VALUE"""),"0343867444")</f>
        <v>0343867444</v>
      </c>
      <c r="K2866" s="2" t="str">
        <f ca="1">IFERROR(__xludf.DUMMYFUNCTION("""COMPUTED_VALUE"""),"1736181128129")</f>
        <v>1736181128129</v>
      </c>
    </row>
    <row r="2867" spans="1:11" ht="12.45">
      <c r="A2867" s="2" t="str">
        <f ca="1">IFERROR(__xludf.DUMMYFUNCTION("""COMPUTED_VALUE"""),"1736181188291")</f>
        <v>1736181188291</v>
      </c>
      <c r="B2867" s="2"/>
      <c r="C2867" s="2" t="str">
        <v>0</v>
      </c>
      <c r="D2867" s="2"/>
      <c r="F2867" s="2" t="str">
        <v>0</v>
      </c>
      <c r="I2867" s="2" t="str">
        <f ca="1">IFERROR(__xludf.DUMMYFUNCTION("""COMPUTED_VALUE"""),"Lê Thị Thanh Nga")</f>
        <v>Lê Thị Thanh Nga</v>
      </c>
      <c r="J2867" s="3" t="str">
        <f ca="1">IFERROR(__xludf.DUMMYFUNCTION("""COMPUTED_VALUE"""),"0394183964")</f>
        <v>0394183964</v>
      </c>
      <c r="K2867" s="2" t="str">
        <f ca="1">IFERROR(__xludf.DUMMYFUNCTION("""COMPUTED_VALUE"""),"1736181188291")</f>
        <v>1736181188291</v>
      </c>
    </row>
    <row r="2868" spans="1:11" ht="12.45">
      <c r="A2868" s="2" t="str">
        <f ca="1">IFERROR(__xludf.DUMMYFUNCTION("""COMPUTED_VALUE"""),"1736181225525")</f>
        <v>1736181225525</v>
      </c>
      <c r="B2868" s="2"/>
      <c r="C2868" s="2" t="str">
        <v>0</v>
      </c>
      <c r="D2868" s="2"/>
      <c r="F2868" s="2" t="str">
        <v>0</v>
      </c>
      <c r="I2868" s="2" t="str">
        <f ca="1">IFERROR(__xludf.DUMMYFUNCTION("""COMPUTED_VALUE"""),"Hương Linh")</f>
        <v>Hương Linh</v>
      </c>
      <c r="J2868" s="3" t="str">
        <f ca="1">IFERROR(__xludf.DUMMYFUNCTION("""COMPUTED_VALUE"""),"0857409488")</f>
        <v>0857409488</v>
      </c>
      <c r="K2868" s="2" t="str">
        <f ca="1">IFERROR(__xludf.DUMMYFUNCTION("""COMPUTED_VALUE"""),"1736181225525")</f>
        <v>1736181225525</v>
      </c>
    </row>
    <row r="2869" spans="1:11" ht="12.45">
      <c r="A2869" s="2" t="str">
        <f ca="1">IFERROR(__xludf.DUMMYFUNCTION("""COMPUTED_VALUE"""),"1736181260623")</f>
        <v>1736181260623</v>
      </c>
      <c r="B2869" s="2"/>
      <c r="C2869" s="2" t="str">
        <v>0</v>
      </c>
      <c r="D2869" s="2"/>
      <c r="F2869" s="2" t="str">
        <v>0</v>
      </c>
      <c r="I2869" s="2" t="str">
        <f ca="1">IFERROR(__xludf.DUMMYFUNCTION("""COMPUTED_VALUE"""),"Hoàng Huyền Linh")</f>
        <v>Hoàng Huyền Linh</v>
      </c>
      <c r="J2869" s="3" t="str">
        <f ca="1">IFERROR(__xludf.DUMMYFUNCTION("""COMPUTED_VALUE"""),"0932411326")</f>
        <v>0932411326</v>
      </c>
      <c r="K2869" s="2" t="str">
        <f ca="1">IFERROR(__xludf.DUMMYFUNCTION("""COMPUTED_VALUE"""),"1736181260623")</f>
        <v>1736181260623</v>
      </c>
    </row>
    <row r="2870" spans="1:11" ht="12.45">
      <c r="A2870" s="2" t="str">
        <f ca="1">IFERROR(__xludf.DUMMYFUNCTION("""COMPUTED_VALUE"""),"1736181298531")</f>
        <v>1736181298531</v>
      </c>
      <c r="B2870" s="2"/>
      <c r="C2870" s="2" t="str">
        <v>0</v>
      </c>
      <c r="D2870" s="2"/>
      <c r="F2870" s="2" t="str">
        <v>0</v>
      </c>
      <c r="I2870" s="2" t="str">
        <f ca="1">IFERROR(__xludf.DUMMYFUNCTION("""COMPUTED_VALUE"""),"Nguyễn Tô Minh Huyền")</f>
        <v>Nguyễn Tô Minh Huyền</v>
      </c>
      <c r="J2870" s="3" t="str">
        <f ca="1">IFERROR(__xludf.DUMMYFUNCTION("""COMPUTED_VALUE"""),"0342918505")</f>
        <v>0342918505</v>
      </c>
      <c r="K2870" s="2" t="str">
        <f ca="1">IFERROR(__xludf.DUMMYFUNCTION("""COMPUTED_VALUE"""),"1736181298531")</f>
        <v>1736181298531</v>
      </c>
    </row>
    <row r="2871" spans="1:11" ht="12.45">
      <c r="A2871" s="2" t="str">
        <f ca="1">IFERROR(__xludf.DUMMYFUNCTION("""COMPUTED_VALUE"""),"1736181352619")</f>
        <v>1736181352619</v>
      </c>
      <c r="B2871" s="2"/>
      <c r="C2871" s="2" t="str">
        <v>0</v>
      </c>
      <c r="D2871" s="2"/>
      <c r="F2871" s="2" t="str">
        <v>0</v>
      </c>
      <c r="I2871" s="2" t="str">
        <f ca="1">IFERROR(__xludf.DUMMYFUNCTION("""COMPUTED_VALUE"""),"Nguyễn thu giang")</f>
        <v>Nguyễn thu giang</v>
      </c>
      <c r="J2871" s="2" t="str">
        <f ca="1">IFERROR(__xludf.DUMMYFUNCTION("""COMPUTED_VALUE"""),"08438315015")</f>
        <v>08438315015</v>
      </c>
      <c r="K2871" s="2" t="str">
        <f ca="1">IFERROR(__xludf.DUMMYFUNCTION("""COMPUTED_VALUE"""),"1736181352619")</f>
        <v>1736181352619</v>
      </c>
    </row>
    <row r="2872" spans="1:11" ht="12.45">
      <c r="A2872" s="2" t="str">
        <f ca="1">IFERROR(__xludf.DUMMYFUNCTION("""COMPUTED_VALUE"""),"1736181450732")</f>
        <v>1736181450732</v>
      </c>
      <c r="B2872" s="2"/>
      <c r="C2872" s="2" t="str">
        <v>0</v>
      </c>
      <c r="D2872" s="2"/>
      <c r="F2872" s="2" t="str">
        <v>0</v>
      </c>
      <c r="I2872" s="2" t="str">
        <f ca="1">IFERROR(__xludf.DUMMYFUNCTION("""COMPUTED_VALUE"""),"Nguyễn Cẩm Anh")</f>
        <v>Nguyễn Cẩm Anh</v>
      </c>
      <c r="J2872" s="3" t="str">
        <f ca="1">IFERROR(__xludf.DUMMYFUNCTION("""COMPUTED_VALUE"""),"0366566648")</f>
        <v>0366566648</v>
      </c>
      <c r="K2872" s="2" t="str">
        <f ca="1">IFERROR(__xludf.DUMMYFUNCTION("""COMPUTED_VALUE"""),"1736181450732")</f>
        <v>1736181450732</v>
      </c>
    </row>
    <row r="2873" spans="1:11" ht="12.45">
      <c r="A2873" s="2" t="str">
        <f ca="1">IFERROR(__xludf.DUMMYFUNCTION("""COMPUTED_VALUE"""),"Không giao sách")</f>
        <v>Không giao sách</v>
      </c>
      <c r="B2873" s="2"/>
      <c r="C2873" s="2" t="str">
        <v>0</v>
      </c>
      <c r="D2873" s="2"/>
      <c r="F2873" s="2" t="str">
        <v>0</v>
      </c>
      <c r="I2873" s="2" t="str">
        <f ca="1">IFERROR(__xludf.DUMMYFUNCTION("""COMPUTED_VALUE"""),"Lê Diệu Linh")</f>
        <v>Lê Diệu Linh</v>
      </c>
      <c r="J2873" s="3" t="str">
        <f ca="1">IFERROR(__xludf.DUMMYFUNCTION("""COMPUTED_VALUE"""),"0985403204")</f>
        <v>0985403204</v>
      </c>
      <c r="K2873" s="2" t="str">
        <f ca="1">IFERROR(__xludf.DUMMYFUNCTION("""COMPUTED_VALUE"""),"Không giao sách")</f>
        <v>Không giao sách</v>
      </c>
    </row>
    <row r="2874" spans="1:11" ht="12.45">
      <c r="A2874" s="2" t="str">
        <f ca="1">IFERROR(__xludf.DUMMYFUNCTION("""COMPUTED_VALUE"""),"1736181498580")</f>
        <v>1736181498580</v>
      </c>
      <c r="B2874" s="2"/>
      <c r="C2874" s="2" t="str">
        <v>0</v>
      </c>
      <c r="D2874" s="2"/>
      <c r="F2874" s="2" t="str">
        <v>0</v>
      </c>
      <c r="I2874" s="2" t="str">
        <f ca="1">IFERROR(__xludf.DUMMYFUNCTION("""COMPUTED_VALUE"""),"Lê Thị Huyền Trang")</f>
        <v>Lê Thị Huyền Trang</v>
      </c>
      <c r="J2874" s="3" t="str">
        <f ca="1">IFERROR(__xludf.DUMMYFUNCTION("""COMPUTED_VALUE"""),"0965946591")</f>
        <v>0965946591</v>
      </c>
      <c r="K2874" s="2" t="str">
        <f ca="1">IFERROR(__xludf.DUMMYFUNCTION("""COMPUTED_VALUE"""),"1736181498580")</f>
        <v>1736181498580</v>
      </c>
    </row>
    <row r="2875" spans="1:11" ht="12.45">
      <c r="A2875" s="2" t="str">
        <f ca="1">IFERROR(__xludf.DUMMYFUNCTION("""COMPUTED_VALUE"""),"1736181551625")</f>
        <v>1736181551625</v>
      </c>
      <c r="B2875" s="2"/>
      <c r="C2875" s="2" t="str">
        <v>0</v>
      </c>
      <c r="D2875" s="2"/>
      <c r="F2875" s="2" t="str">
        <v>0</v>
      </c>
      <c r="I2875" s="2" t="str">
        <f ca="1">IFERROR(__xludf.DUMMYFUNCTION("""COMPUTED_VALUE"""),"Nguyễn Anh Trúc Lam ")</f>
        <v xml:space="preserve">Nguyễn Anh Trúc Lam </v>
      </c>
      <c r="J2875" s="3" t="str">
        <f ca="1">IFERROR(__xludf.DUMMYFUNCTION("""COMPUTED_VALUE"""),"0842276465")</f>
        <v>0842276465</v>
      </c>
      <c r="K2875" s="2" t="str">
        <f ca="1">IFERROR(__xludf.DUMMYFUNCTION("""COMPUTED_VALUE"""),"1736181551625")</f>
        <v>1736181551625</v>
      </c>
    </row>
    <row r="2876" spans="1:11" ht="12.45">
      <c r="A2876" s="2" t="str">
        <f ca="1">IFERROR(__xludf.DUMMYFUNCTION("""COMPUTED_VALUE"""),"1736181588153")</f>
        <v>1736181588153</v>
      </c>
      <c r="B2876" s="2"/>
      <c r="C2876" s="2" t="str">
        <v>0</v>
      </c>
      <c r="D2876" s="2"/>
      <c r="F2876" s="2" t="str">
        <v>0</v>
      </c>
      <c r="I2876" s="2" t="str">
        <f ca="1">IFERROR(__xludf.DUMMYFUNCTION("""COMPUTED_VALUE"""),"Hà Đan Lê")</f>
        <v>Hà Đan Lê</v>
      </c>
      <c r="J2876" s="3" t="str">
        <f ca="1">IFERROR(__xludf.DUMMYFUNCTION("""COMPUTED_VALUE"""),"0985682233")</f>
        <v>0985682233</v>
      </c>
      <c r="K2876" s="2" t="str">
        <f ca="1">IFERROR(__xludf.DUMMYFUNCTION("""COMPUTED_VALUE"""),"1736181588153")</f>
        <v>1736181588153</v>
      </c>
    </row>
    <row r="2877" spans="1:11" ht="12.45">
      <c r="A2877" s="2" t="str">
        <f ca="1">IFERROR(__xludf.DUMMYFUNCTION("""COMPUTED_VALUE"""),"1736181644796")</f>
        <v>1736181644796</v>
      </c>
      <c r="B2877" s="2"/>
      <c r="C2877" s="2" t="str">
        <v>0</v>
      </c>
      <c r="D2877" s="2"/>
      <c r="F2877" s="2" t="str">
        <v>0</v>
      </c>
      <c r="I2877" s="2" t="str">
        <f ca="1">IFERROR(__xludf.DUMMYFUNCTION("""COMPUTED_VALUE"""),"Bùi thuỳ trang")</f>
        <v>Bùi thuỳ trang</v>
      </c>
      <c r="J2877" s="3" t="str">
        <f ca="1">IFERROR(__xludf.DUMMYFUNCTION("""COMPUTED_VALUE"""),"0967376573")</f>
        <v>0967376573</v>
      </c>
      <c r="K2877" s="2" t="str">
        <f ca="1">IFERROR(__xludf.DUMMYFUNCTION("""COMPUTED_VALUE"""),"1736181644796")</f>
        <v>1736181644796</v>
      </c>
    </row>
    <row r="2878" spans="1:11" ht="12.45">
      <c r="A2878" s="2" t="str">
        <f ca="1">IFERROR(__xludf.DUMMYFUNCTION("""COMPUTED_VALUE"""),"1736181698060")</f>
        <v>1736181698060</v>
      </c>
      <c r="B2878" s="2"/>
      <c r="C2878" s="2" t="str">
        <v>0</v>
      </c>
      <c r="D2878" s="2"/>
      <c r="F2878" s="2" t="str">
        <v>0</v>
      </c>
      <c r="I2878" s="2" t="str">
        <f ca="1">IFERROR(__xludf.DUMMYFUNCTION("""COMPUTED_VALUE"""),"Nguyễn Thị Kiều Trang")</f>
        <v>Nguyễn Thị Kiều Trang</v>
      </c>
      <c r="J2878" s="3" t="str">
        <f ca="1">IFERROR(__xludf.DUMMYFUNCTION("""COMPUTED_VALUE"""),"0386529901")</f>
        <v>0386529901</v>
      </c>
      <c r="K2878" s="2" t="str">
        <f ca="1">IFERROR(__xludf.DUMMYFUNCTION("""COMPUTED_VALUE"""),"1736181698060")</f>
        <v>1736181698060</v>
      </c>
    </row>
    <row r="2879" spans="1:11" ht="12.45">
      <c r="A2879" s="2" t="str">
        <f ca="1">IFERROR(__xludf.DUMMYFUNCTION("""COMPUTED_VALUE"""),"1736181737002")</f>
        <v>1736181737002</v>
      </c>
      <c r="B2879" s="2"/>
      <c r="C2879" s="2" t="str">
        <v>0</v>
      </c>
      <c r="D2879" s="2"/>
      <c r="F2879" s="2" t="str">
        <v>0</v>
      </c>
      <c r="I2879" s="2" t="str">
        <f ca="1">IFERROR(__xludf.DUMMYFUNCTION("""COMPUTED_VALUE"""),"Nguyễn Băng Băng")</f>
        <v>Nguyễn Băng Băng</v>
      </c>
      <c r="J2879" s="3" t="str">
        <f ca="1">IFERROR(__xludf.DUMMYFUNCTION("""COMPUTED_VALUE"""),"0918034647")</f>
        <v>0918034647</v>
      </c>
      <c r="K2879" s="2" t="str">
        <f ca="1">IFERROR(__xludf.DUMMYFUNCTION("""COMPUTED_VALUE"""),"1736181737002")</f>
        <v>1736181737002</v>
      </c>
    </row>
    <row r="2880" spans="1:11" ht="12.45">
      <c r="A2880" s="2" t="str">
        <f ca="1">IFERROR(__xludf.DUMMYFUNCTION("""COMPUTED_VALUE"""),"1736181769194")</f>
        <v>1736181769194</v>
      </c>
      <c r="B2880" s="2"/>
      <c r="C2880" s="2" t="str">
        <v>0</v>
      </c>
      <c r="D2880" s="2"/>
      <c r="F2880" s="2" t="str">
        <v>0</v>
      </c>
      <c r="I2880" s="2" t="str">
        <f ca="1">IFERROR(__xludf.DUMMYFUNCTION("""COMPUTED_VALUE"""),"Nguyễn Minh Huệ")</f>
        <v>Nguyễn Minh Huệ</v>
      </c>
      <c r="J2880" s="3" t="str">
        <f ca="1">IFERROR(__xludf.DUMMYFUNCTION("""COMPUTED_VALUE"""),"0766280107")</f>
        <v>0766280107</v>
      </c>
      <c r="K2880" s="2" t="str">
        <f ca="1">IFERROR(__xludf.DUMMYFUNCTION("""COMPUTED_VALUE"""),"1736181769194")</f>
        <v>1736181769194</v>
      </c>
    </row>
    <row r="2881" spans="1:11" ht="12.45">
      <c r="A2881" s="2" t="str">
        <f ca="1">IFERROR(__xludf.DUMMYFUNCTION("""COMPUTED_VALUE"""),"1736181823194")</f>
        <v>1736181823194</v>
      </c>
      <c r="B2881" s="2"/>
      <c r="C2881" s="2" t="str">
        <v>0</v>
      </c>
      <c r="D2881" s="2"/>
      <c r="F2881" s="2" t="str">
        <v>0</v>
      </c>
      <c r="I2881" s="2" t="str">
        <f ca="1">IFERROR(__xludf.DUMMYFUNCTION("""COMPUTED_VALUE"""),"Nguyễn Hoàng Phương Uyên")</f>
        <v>Nguyễn Hoàng Phương Uyên</v>
      </c>
      <c r="J2881" s="3" t="str">
        <f ca="1">IFERROR(__xludf.DUMMYFUNCTION("""COMPUTED_VALUE"""),"0356574103")</f>
        <v>0356574103</v>
      </c>
      <c r="K2881" s="2" t="str">
        <f ca="1">IFERROR(__xludf.DUMMYFUNCTION("""COMPUTED_VALUE"""),"1736181823194")</f>
        <v>1736181823194</v>
      </c>
    </row>
    <row r="2882" spans="1:11" ht="12.45">
      <c r="A2882" s="2" t="str">
        <f ca="1">IFERROR(__xludf.DUMMYFUNCTION("""COMPUTED_VALUE"""),"1736181889755")</f>
        <v>1736181889755</v>
      </c>
      <c r="B2882" s="2"/>
      <c r="C2882" s="2" t="str">
        <v>0</v>
      </c>
      <c r="D2882" s="2"/>
      <c r="F2882" s="2" t="str">
        <v>0</v>
      </c>
      <c r="I2882" s="2" t="str">
        <f ca="1">IFERROR(__xludf.DUMMYFUNCTION("""COMPUTED_VALUE"""),"Mai Ngọc Anh")</f>
        <v>Mai Ngọc Anh</v>
      </c>
      <c r="J2882" s="3" t="str">
        <f ca="1">IFERROR(__xludf.DUMMYFUNCTION("""COMPUTED_VALUE"""),"0975028022")</f>
        <v>0975028022</v>
      </c>
      <c r="K2882" s="2" t="str">
        <f ca="1">IFERROR(__xludf.DUMMYFUNCTION("""COMPUTED_VALUE"""),"1736181889755")</f>
        <v>1736181889755</v>
      </c>
    </row>
    <row r="2883" spans="1:11" ht="12.45">
      <c r="A2883" s="2" t="str">
        <f ca="1">IFERROR(__xludf.DUMMYFUNCTION("""COMPUTED_VALUE"""),"1735809939766")</f>
        <v>1735809939766</v>
      </c>
      <c r="B2883" s="2"/>
      <c r="C2883" s="2" t="str">
        <v>0</v>
      </c>
      <c r="D2883" s="2"/>
      <c r="F2883" s="2" t="str">
        <v>0</v>
      </c>
      <c r="I2883" s="2" t="str">
        <f ca="1">IFERROR(__xludf.DUMMYFUNCTION("""COMPUTED_VALUE"""),"Đinh Hồng Nhung ")</f>
        <v xml:space="preserve">Đinh Hồng Nhung </v>
      </c>
      <c r="J2883" s="3" t="str">
        <f ca="1">IFERROR(__xludf.DUMMYFUNCTION("""COMPUTED_VALUE"""),"0352443069")</f>
        <v>0352443069</v>
      </c>
      <c r="K2883" s="2" t="str">
        <f ca="1">IFERROR(__xludf.DUMMYFUNCTION("""COMPUTED_VALUE"""),"1735809939766")</f>
        <v>1735809939766</v>
      </c>
    </row>
    <row r="2884" spans="1:11" ht="12.45">
      <c r="A2884" s="2" t="str">
        <f ca="1">IFERROR(__xludf.DUMMYFUNCTION("""COMPUTED_VALUE"""),"1735809975838")</f>
        <v>1735809975838</v>
      </c>
      <c r="B2884" s="2"/>
      <c r="C2884" s="2" t="str">
        <v>0</v>
      </c>
      <c r="D2884" s="2"/>
      <c r="F2884" s="2" t="str">
        <v>0</v>
      </c>
      <c r="I2884" s="2" t="str">
        <f ca="1">IFERROR(__xludf.DUMMYFUNCTION("""COMPUTED_VALUE"""),"Lưu Việt Hoàng")</f>
        <v>Lưu Việt Hoàng</v>
      </c>
      <c r="J2884" s="3" t="str">
        <f ca="1">IFERROR(__xludf.DUMMYFUNCTION("""COMPUTED_VALUE"""),"0862963219")</f>
        <v>0862963219</v>
      </c>
      <c r="K2884" s="2" t="str">
        <f ca="1">IFERROR(__xludf.DUMMYFUNCTION("""COMPUTED_VALUE"""),"1735809975838")</f>
        <v>1735809975838</v>
      </c>
    </row>
    <row r="2885" spans="1:11" ht="12.45">
      <c r="A2885" s="2" t="str">
        <f ca="1">IFERROR(__xludf.DUMMYFUNCTION("""COMPUTED_VALUE"""),"1735810013861")</f>
        <v>1735810013861</v>
      </c>
      <c r="B2885" s="2"/>
      <c r="C2885" s="2" t="str">
        <v>0</v>
      </c>
      <c r="D2885" s="2"/>
      <c r="F2885" s="2" t="str">
        <v>0</v>
      </c>
      <c r="I2885" s="2" t="str">
        <f ca="1">IFERROR(__xludf.DUMMYFUNCTION("""COMPUTED_VALUE"""),"Hoàng Thị Thùy Linh ")</f>
        <v xml:space="preserve">Hoàng Thị Thùy Linh </v>
      </c>
      <c r="J2885" s="3" t="str">
        <f ca="1">IFERROR(__xludf.DUMMYFUNCTION("""COMPUTED_VALUE"""),"0988433053")</f>
        <v>0988433053</v>
      </c>
      <c r="K2885" s="2" t="str">
        <f ca="1">IFERROR(__xludf.DUMMYFUNCTION("""COMPUTED_VALUE"""),"1735810013861")</f>
        <v>1735810013861</v>
      </c>
    </row>
    <row r="2886" spans="1:11" ht="12.45">
      <c r="A2886" s="2" t="str">
        <f ca="1">IFERROR(__xludf.DUMMYFUNCTION("""COMPUTED_VALUE"""),"1735810050334")</f>
        <v>1735810050334</v>
      </c>
      <c r="B2886" s="2"/>
      <c r="C2886" s="2" t="str">
        <v>0</v>
      </c>
      <c r="D2886" s="2"/>
      <c r="F2886" s="2" t="str">
        <v>0</v>
      </c>
      <c r="I2886" s="2" t="str">
        <f ca="1">IFERROR(__xludf.DUMMYFUNCTION("""COMPUTED_VALUE"""),"Hà Thị Vân Anh")</f>
        <v>Hà Thị Vân Anh</v>
      </c>
      <c r="J2886" s="3" t="str">
        <f ca="1">IFERROR(__xludf.DUMMYFUNCTION("""COMPUTED_VALUE"""),"0383335928")</f>
        <v>0383335928</v>
      </c>
      <c r="K2886" s="2" t="str">
        <f ca="1">IFERROR(__xludf.DUMMYFUNCTION("""COMPUTED_VALUE"""),"1735810050334")</f>
        <v>1735810050334</v>
      </c>
    </row>
    <row r="2887" spans="1:11" ht="12.45">
      <c r="A2887" s="2" t="str">
        <f ca="1">IFERROR(__xludf.DUMMYFUNCTION("""COMPUTED_VALUE"""),"1735810090024")</f>
        <v>1735810090024</v>
      </c>
      <c r="B2887" s="2"/>
      <c r="C2887" s="2" t="str">
        <v>0</v>
      </c>
      <c r="D2887" s="2"/>
      <c r="F2887" s="2" t="str">
        <v>0</v>
      </c>
      <c r="I2887" s="2" t="str">
        <f ca="1">IFERROR(__xludf.DUMMYFUNCTION("""COMPUTED_VALUE"""),"Đỗ Huỳnh Kim Ngọc")</f>
        <v>Đỗ Huỳnh Kim Ngọc</v>
      </c>
      <c r="J2887" s="3" t="str">
        <f ca="1">IFERROR(__xludf.DUMMYFUNCTION("""COMPUTED_VALUE"""),"0785464818")</f>
        <v>0785464818</v>
      </c>
      <c r="K2887" s="2" t="str">
        <f ca="1">IFERROR(__xludf.DUMMYFUNCTION("""COMPUTED_VALUE"""),"1735810090024")</f>
        <v>1735810090024</v>
      </c>
    </row>
    <row r="2888" spans="1:11" ht="12.45">
      <c r="A2888" s="2" t="str">
        <f ca="1">IFERROR(__xludf.DUMMYFUNCTION("""COMPUTED_VALUE"""),"1735810123904")</f>
        <v>1735810123904</v>
      </c>
      <c r="B2888" s="2"/>
      <c r="C2888" s="2" t="str">
        <v>0</v>
      </c>
      <c r="D2888" s="2"/>
      <c r="F2888" s="2" t="str">
        <v>0</v>
      </c>
      <c r="I2888" s="2" t="str">
        <f ca="1">IFERROR(__xludf.DUMMYFUNCTION("""COMPUTED_VALUE"""),"Nguyễn Đoàn Kim Thư")</f>
        <v>Nguyễn Đoàn Kim Thư</v>
      </c>
      <c r="J2888" s="3" t="str">
        <f ca="1">IFERROR(__xludf.DUMMYFUNCTION("""COMPUTED_VALUE"""),"0886147146")</f>
        <v>0886147146</v>
      </c>
      <c r="K2888" s="2" t="str">
        <f ca="1">IFERROR(__xludf.DUMMYFUNCTION("""COMPUTED_VALUE"""),"1735810123904")</f>
        <v>1735810123904</v>
      </c>
    </row>
    <row r="2889" spans="1:11" ht="12.45">
      <c r="A2889" s="2" t="str">
        <f ca="1">IFERROR(__xludf.DUMMYFUNCTION("""COMPUTED_VALUE"""),"1735810153409")</f>
        <v>1735810153409</v>
      </c>
      <c r="B2889" s="2"/>
      <c r="C2889" s="2" t="str">
        <v>0</v>
      </c>
      <c r="D2889" s="2"/>
      <c r="F2889" s="2" t="str">
        <v>0</v>
      </c>
      <c r="I2889" s="2" t="str">
        <f ca="1">IFERROR(__xludf.DUMMYFUNCTION("""COMPUTED_VALUE"""),"Phan Bảo Châu")</f>
        <v>Phan Bảo Châu</v>
      </c>
      <c r="J2889" s="3" t="str">
        <f ca="1">IFERROR(__xludf.DUMMYFUNCTION("""COMPUTED_VALUE"""),"0967543982")</f>
        <v>0967543982</v>
      </c>
      <c r="K2889" s="2" t="str">
        <f ca="1">IFERROR(__xludf.DUMMYFUNCTION("""COMPUTED_VALUE"""),"1735810153409")</f>
        <v>1735810153409</v>
      </c>
    </row>
    <row r="2890" spans="1:11" ht="12.45">
      <c r="A2890" s="2" t="str">
        <f ca="1">IFERROR(__xludf.DUMMYFUNCTION("""COMPUTED_VALUE"""),"1735810195972")</f>
        <v>1735810195972</v>
      </c>
      <c r="B2890" s="2"/>
      <c r="C2890" s="2" t="str">
        <v>0</v>
      </c>
      <c r="D2890" s="2"/>
      <c r="F2890" s="2" t="str">
        <v>0</v>
      </c>
      <c r="I2890" s="2" t="str">
        <f ca="1">IFERROR(__xludf.DUMMYFUNCTION("""COMPUTED_VALUE"""),"Nguyễn Phương Thảo ")</f>
        <v xml:space="preserve">Nguyễn Phương Thảo </v>
      </c>
      <c r="J2890" s="3" t="str">
        <f ca="1">IFERROR(__xludf.DUMMYFUNCTION("""COMPUTED_VALUE"""),"0769590845")</f>
        <v>0769590845</v>
      </c>
      <c r="K2890" s="2" t="str">
        <f ca="1">IFERROR(__xludf.DUMMYFUNCTION("""COMPUTED_VALUE"""),"1735810195972")</f>
        <v>1735810195972</v>
      </c>
    </row>
    <row r="2891" spans="1:11" ht="12.45">
      <c r="A2891" s="2" t="str">
        <f ca="1">IFERROR(__xludf.DUMMYFUNCTION("""COMPUTED_VALUE"""),"1748266416822")</f>
        <v>1748266416822</v>
      </c>
      <c r="B2891" s="2"/>
      <c r="C2891" s="2" t="str">
        <v>0</v>
      </c>
      <c r="D2891" s="2"/>
      <c r="F2891" s="2" t="str">
        <v>0</v>
      </c>
      <c r="I2891" s="2" t="str">
        <f ca="1">IFERROR(__xludf.DUMMYFUNCTION("""COMPUTED_VALUE"""),"Lê Thị Ngọc Châu")</f>
        <v>Lê Thị Ngọc Châu</v>
      </c>
      <c r="J2891" s="3" t="str">
        <f ca="1">IFERROR(__xludf.DUMMYFUNCTION("""COMPUTED_VALUE"""),"0334671409")</f>
        <v>0334671409</v>
      </c>
      <c r="K2891" s="2" t="str">
        <f ca="1">IFERROR(__xludf.DUMMYFUNCTION("""COMPUTED_VALUE"""),"1748266416822")</f>
        <v>1748266416822</v>
      </c>
    </row>
    <row r="2892" spans="1:11" ht="12.45">
      <c r="A2892" s="2" t="str">
        <f ca="1">IFERROR(__xludf.DUMMYFUNCTION("""COMPUTED_VALUE"""),"1735810258897")</f>
        <v>1735810258897</v>
      </c>
      <c r="B2892" s="2"/>
      <c r="C2892" s="2" t="str">
        <v>0</v>
      </c>
      <c r="D2892" s="2"/>
      <c r="F2892" s="2" t="str">
        <v>0</v>
      </c>
      <c r="I2892" s="2" t="str">
        <f ca="1">IFERROR(__xludf.DUMMYFUNCTION("""COMPUTED_VALUE"""),"Nguyễn Thị Thảo Nhi")</f>
        <v>Nguyễn Thị Thảo Nhi</v>
      </c>
      <c r="J2892" s="3" t="str">
        <f ca="1">IFERROR(__xludf.DUMMYFUNCTION("""COMPUTED_VALUE"""),"0836589269")</f>
        <v>0836589269</v>
      </c>
      <c r="K2892" s="2" t="str">
        <f ca="1">IFERROR(__xludf.DUMMYFUNCTION("""COMPUTED_VALUE"""),"1735810258897")</f>
        <v>1735810258897</v>
      </c>
    </row>
    <row r="2893" spans="1:11" ht="12.45">
      <c r="A2893" s="2" t="str">
        <f ca="1">IFERROR(__xludf.DUMMYFUNCTION("""COMPUTED_VALUE"""),"1735810290838")</f>
        <v>1735810290838</v>
      </c>
      <c r="B2893" s="2"/>
      <c r="C2893" s="2" t="str">
        <v>0</v>
      </c>
      <c r="D2893" s="2"/>
      <c r="F2893" s="2" t="str">
        <v>0</v>
      </c>
      <c r="I2893" s="2" t="str">
        <f ca="1">IFERROR(__xludf.DUMMYFUNCTION("""COMPUTED_VALUE"""),"Trần Như Ý")</f>
        <v>Trần Như Ý</v>
      </c>
      <c r="J2893" s="3" t="str">
        <f ca="1">IFERROR(__xludf.DUMMYFUNCTION("""COMPUTED_VALUE"""),"0379832023")</f>
        <v>0379832023</v>
      </c>
      <c r="K2893" s="2" t="str">
        <f ca="1">IFERROR(__xludf.DUMMYFUNCTION("""COMPUTED_VALUE"""),"1735810290838")</f>
        <v>1735810290838</v>
      </c>
    </row>
    <row r="2894" spans="1:11" ht="12.45">
      <c r="A2894" s="2" t="str">
        <f ca="1">IFERROR(__xludf.DUMMYFUNCTION("""COMPUTED_VALUE"""),"1735810323066")</f>
        <v>1735810323066</v>
      </c>
      <c r="B2894" s="2"/>
      <c r="C2894" s="2" t="str">
        <v>0</v>
      </c>
      <c r="D2894" s="2"/>
      <c r="F2894" s="2" t="str">
        <v>0</v>
      </c>
      <c r="I2894" s="2" t="str">
        <f ca="1">IFERROR(__xludf.DUMMYFUNCTION("""COMPUTED_VALUE"""),"Đỗ Thị Xuân ")</f>
        <v xml:space="preserve">Đỗ Thị Xuân </v>
      </c>
      <c r="J2894" s="3" t="str">
        <f ca="1">IFERROR(__xludf.DUMMYFUNCTION("""COMPUTED_VALUE"""),"0867700523")</f>
        <v>0867700523</v>
      </c>
      <c r="K2894" s="2" t="str">
        <f ca="1">IFERROR(__xludf.DUMMYFUNCTION("""COMPUTED_VALUE"""),"1735810323066")</f>
        <v>1735810323066</v>
      </c>
    </row>
    <row r="2895" spans="1:11" ht="12.45">
      <c r="A2895" s="2" t="str">
        <f ca="1">IFERROR(__xludf.DUMMYFUNCTION("""COMPUTED_VALUE"""),"1735810360017")</f>
        <v>1735810360017</v>
      </c>
      <c r="B2895" s="2"/>
      <c r="C2895" s="2" t="str">
        <v>0</v>
      </c>
      <c r="D2895" s="2"/>
      <c r="F2895" s="2" t="str">
        <v>0</v>
      </c>
      <c r="I2895" s="2" t="str">
        <f ca="1">IFERROR(__xludf.DUMMYFUNCTION("""COMPUTED_VALUE"""),"Hồ Thị Mỹ Ngọc ")</f>
        <v xml:space="preserve">Hồ Thị Mỹ Ngọc </v>
      </c>
      <c r="J2895" s="3" t="str">
        <f ca="1">IFERROR(__xludf.DUMMYFUNCTION("""COMPUTED_VALUE"""),"0342801834")</f>
        <v>0342801834</v>
      </c>
      <c r="K2895" s="2" t="str">
        <f ca="1">IFERROR(__xludf.DUMMYFUNCTION("""COMPUTED_VALUE"""),"1735810360017")</f>
        <v>1735810360017</v>
      </c>
    </row>
    <row r="2896" spans="1:11" ht="12.45">
      <c r="A2896" s="2" t="str">
        <f ca="1">IFERROR(__xludf.DUMMYFUNCTION("""COMPUTED_VALUE"""),"1735810398297")</f>
        <v>1735810398297</v>
      </c>
      <c r="B2896" s="2"/>
      <c r="C2896" s="2" t="str">
        <v>0</v>
      </c>
      <c r="D2896" s="2"/>
      <c r="F2896" s="2" t="str">
        <v>0</v>
      </c>
      <c r="I2896" s="2" t="str">
        <f ca="1">IFERROR(__xludf.DUMMYFUNCTION("""COMPUTED_VALUE"""),"Bùi Thị Diệu Linh")</f>
        <v>Bùi Thị Diệu Linh</v>
      </c>
      <c r="J2896" s="3" t="str">
        <f ca="1">IFERROR(__xludf.DUMMYFUNCTION("""COMPUTED_VALUE"""),"0343480665")</f>
        <v>0343480665</v>
      </c>
      <c r="K2896" s="2" t="str">
        <f ca="1">IFERROR(__xludf.DUMMYFUNCTION("""COMPUTED_VALUE"""),"1735810398297")</f>
        <v>1735810398297</v>
      </c>
    </row>
    <row r="2897" spans="1:11" ht="12.45">
      <c r="A2897" s="2" t="str">
        <f ca="1">IFERROR(__xludf.DUMMYFUNCTION("""COMPUTED_VALUE"""),"1735810436702")</f>
        <v>1735810436702</v>
      </c>
      <c r="B2897" s="2"/>
      <c r="C2897" s="2" t="str">
        <v>0</v>
      </c>
      <c r="D2897" s="2"/>
      <c r="F2897" s="2" t="str">
        <v>0</v>
      </c>
      <c r="I2897" s="2" t="str">
        <f ca="1">IFERROR(__xludf.DUMMYFUNCTION("""COMPUTED_VALUE"""),"Nguyễn Thị Thu Huyền")</f>
        <v>Nguyễn Thị Thu Huyền</v>
      </c>
      <c r="J2897" s="3" t="str">
        <f ca="1">IFERROR(__xludf.DUMMYFUNCTION("""COMPUTED_VALUE"""),"0855326773")</f>
        <v>0855326773</v>
      </c>
      <c r="K2897" s="2" t="str">
        <f ca="1">IFERROR(__xludf.DUMMYFUNCTION("""COMPUTED_VALUE"""),"1735810436702")</f>
        <v>1735810436702</v>
      </c>
    </row>
    <row r="2898" spans="1:11" ht="12.45">
      <c r="A2898" s="2" t="str">
        <f ca="1">IFERROR(__xludf.DUMMYFUNCTION("""COMPUTED_VALUE"""),"1735810463643")</f>
        <v>1735810463643</v>
      </c>
      <c r="B2898" s="2"/>
      <c r="C2898" s="2" t="str">
        <v>0</v>
      </c>
      <c r="D2898" s="2"/>
      <c r="F2898" s="2" t="str">
        <v>0</v>
      </c>
      <c r="I2898" s="2" t="str">
        <f ca="1">IFERROR(__xludf.DUMMYFUNCTION("""COMPUTED_VALUE"""),"Đỗ Thị Huyền Trang")</f>
        <v>Đỗ Thị Huyền Trang</v>
      </c>
      <c r="J2898" s="3" t="str">
        <f ca="1">IFERROR(__xludf.DUMMYFUNCTION("""COMPUTED_VALUE"""),"0979776533")</f>
        <v>0979776533</v>
      </c>
      <c r="K2898" s="2" t="str">
        <f ca="1">IFERROR(__xludf.DUMMYFUNCTION("""COMPUTED_VALUE"""),"1735810463643")</f>
        <v>1735810463643</v>
      </c>
    </row>
    <row r="2899" spans="1:11" ht="12.45">
      <c r="A2899" s="2" t="str">
        <f ca="1">IFERROR(__xludf.DUMMYFUNCTION("""COMPUTED_VALUE"""),"1735810501531")</f>
        <v>1735810501531</v>
      </c>
      <c r="B2899" s="2"/>
      <c r="C2899" s="2" t="str">
        <v>0</v>
      </c>
      <c r="D2899" s="2"/>
      <c r="F2899" s="2" t="str">
        <v>0</v>
      </c>
      <c r="I2899" s="2" t="str">
        <f ca="1">IFERROR(__xludf.DUMMYFUNCTION("""COMPUTED_VALUE"""),"Nguyễn Hoàng An")</f>
        <v>Nguyễn Hoàng An</v>
      </c>
      <c r="J2899" s="3" t="str">
        <f ca="1">IFERROR(__xludf.DUMMYFUNCTION("""COMPUTED_VALUE"""),"0394446038")</f>
        <v>0394446038</v>
      </c>
      <c r="K2899" s="2" t="str">
        <f ca="1">IFERROR(__xludf.DUMMYFUNCTION("""COMPUTED_VALUE"""),"1735810501531")</f>
        <v>1735810501531</v>
      </c>
    </row>
    <row r="2900" spans="1:11" ht="12.45">
      <c r="A2900" s="2" t="str">
        <f ca="1">IFERROR(__xludf.DUMMYFUNCTION("""COMPUTED_VALUE"""),"1735810556045")</f>
        <v>1735810556045</v>
      </c>
      <c r="B2900" s="2"/>
      <c r="C2900" s="2" t="str">
        <v>0</v>
      </c>
      <c r="D2900" s="2"/>
      <c r="F2900" s="2" t="str">
        <v>0</v>
      </c>
      <c r="I2900" s="2" t="str">
        <f ca="1">IFERROR(__xludf.DUMMYFUNCTION("""COMPUTED_VALUE"""),"Dương Thị Bích Đào")</f>
        <v>Dương Thị Bích Đào</v>
      </c>
      <c r="J2900" s="3" t="str">
        <f ca="1">IFERROR(__xludf.DUMMYFUNCTION("""COMPUTED_VALUE"""),"0358259007")</f>
        <v>0358259007</v>
      </c>
      <c r="K2900" s="2" t="str">
        <f ca="1">IFERROR(__xludf.DUMMYFUNCTION("""COMPUTED_VALUE"""),"1735810556045")</f>
        <v>1735810556045</v>
      </c>
    </row>
    <row r="2901" spans="1:11" ht="12.45">
      <c r="A2901" s="2" t="str">
        <f ca="1">IFERROR(__xludf.DUMMYFUNCTION("""COMPUTED_VALUE"""),"1735810594825")</f>
        <v>1735810594825</v>
      </c>
      <c r="B2901" s="2"/>
      <c r="C2901" s="2" t="str">
        <v>0</v>
      </c>
      <c r="D2901" s="2"/>
      <c r="F2901" s="2" t="str">
        <v>0</v>
      </c>
      <c r="I2901" s="2" t="str">
        <f ca="1">IFERROR(__xludf.DUMMYFUNCTION("""COMPUTED_VALUE"""),"Phan Thị Quỳnh Trang")</f>
        <v>Phan Thị Quỳnh Trang</v>
      </c>
      <c r="J2901" s="3" t="str">
        <f ca="1">IFERROR(__xludf.DUMMYFUNCTION("""COMPUTED_VALUE"""),"0862608161")</f>
        <v>0862608161</v>
      </c>
      <c r="K2901" s="2" t="str">
        <f ca="1">IFERROR(__xludf.DUMMYFUNCTION("""COMPUTED_VALUE"""),"1735810594825")</f>
        <v>1735810594825</v>
      </c>
    </row>
    <row r="2902" spans="1:11" ht="12.45">
      <c r="A2902" s="2" t="str">
        <f ca="1">IFERROR(__xludf.DUMMYFUNCTION("""COMPUTED_VALUE"""),"1735810625211")</f>
        <v>1735810625211</v>
      </c>
      <c r="B2902" s="2"/>
      <c r="C2902" s="2" t="str">
        <v>0</v>
      </c>
      <c r="D2902" s="2"/>
      <c r="F2902" s="2" t="str">
        <v>0</v>
      </c>
      <c r="I2902" s="2" t="str">
        <f ca="1">IFERROR(__xludf.DUMMYFUNCTION("""COMPUTED_VALUE"""),"Nguyễn Đoan Trang")</f>
        <v>Nguyễn Đoan Trang</v>
      </c>
      <c r="J2902" s="3" t="str">
        <f ca="1">IFERROR(__xludf.DUMMYFUNCTION("""COMPUTED_VALUE"""),"0333944207")</f>
        <v>0333944207</v>
      </c>
      <c r="K2902" s="2" t="str">
        <f ca="1">IFERROR(__xludf.DUMMYFUNCTION("""COMPUTED_VALUE"""),"1735810625211")</f>
        <v>1735810625211</v>
      </c>
    </row>
    <row r="2903" spans="1:11" ht="12.45">
      <c r="A2903" s="2" t="str">
        <f ca="1">IFERROR(__xludf.DUMMYFUNCTION("""COMPUTED_VALUE"""),"1735810654326")</f>
        <v>1735810654326</v>
      </c>
      <c r="B2903" s="2"/>
      <c r="C2903" s="2" t="str">
        <v>0</v>
      </c>
      <c r="D2903" s="2"/>
      <c r="F2903" s="2" t="str">
        <v>0</v>
      </c>
      <c r="I2903" s="2" t="str">
        <f ca="1">IFERROR(__xludf.DUMMYFUNCTION("""COMPUTED_VALUE"""),"Nguyễn thị minh ánh")</f>
        <v>Nguyễn thị minh ánh</v>
      </c>
      <c r="J2903" s="3" t="str">
        <f ca="1">IFERROR(__xludf.DUMMYFUNCTION("""COMPUTED_VALUE"""),"0969227391")</f>
        <v>0969227391</v>
      </c>
      <c r="K2903" s="2" t="str">
        <f ca="1">IFERROR(__xludf.DUMMYFUNCTION("""COMPUTED_VALUE"""),"1735810654326")</f>
        <v>1735810654326</v>
      </c>
    </row>
    <row r="2904" spans="1:11" ht="12.45">
      <c r="A2904" s="2" t="str">
        <f ca="1">IFERROR(__xludf.DUMMYFUNCTION("""COMPUTED_VALUE"""),"1735810685367")</f>
        <v>1735810685367</v>
      </c>
      <c r="B2904" s="2"/>
      <c r="C2904" s="2" t="str">
        <v>0</v>
      </c>
      <c r="D2904" s="2"/>
      <c r="F2904" s="2" t="str">
        <v>0</v>
      </c>
      <c r="I2904" s="2" t="str">
        <f ca="1">IFERROR(__xludf.DUMMYFUNCTION("""COMPUTED_VALUE"""),"Vũ Thị Như Quỳnh ")</f>
        <v xml:space="preserve">Vũ Thị Như Quỳnh </v>
      </c>
      <c r="J2904" s="3" t="str">
        <f ca="1">IFERROR(__xludf.DUMMYFUNCTION("""COMPUTED_VALUE"""),"0337994598")</f>
        <v>0337994598</v>
      </c>
      <c r="K2904" s="2" t="str">
        <f ca="1">IFERROR(__xludf.DUMMYFUNCTION("""COMPUTED_VALUE"""),"1735810685367")</f>
        <v>1735810685367</v>
      </c>
    </row>
    <row r="2905" spans="1:11" ht="12.45">
      <c r="A2905" s="2" t="str">
        <f ca="1">IFERROR(__xludf.DUMMYFUNCTION("""COMPUTED_VALUE"""),"1735810713382")</f>
        <v>1735810713382</v>
      </c>
      <c r="B2905" s="2"/>
      <c r="C2905" s="2" t="str">
        <v>0</v>
      </c>
      <c r="D2905" s="2"/>
      <c r="F2905" s="2" t="str">
        <v>0</v>
      </c>
      <c r="I2905" s="2" t="str">
        <f ca="1">IFERROR(__xludf.DUMMYFUNCTION("""COMPUTED_VALUE"""),"Dương Gia Linh")</f>
        <v>Dương Gia Linh</v>
      </c>
      <c r="J2905" s="3" t="str">
        <f ca="1">IFERROR(__xludf.DUMMYFUNCTION("""COMPUTED_VALUE"""),"0862668876")</f>
        <v>0862668876</v>
      </c>
      <c r="K2905" s="2" t="str">
        <f ca="1">IFERROR(__xludf.DUMMYFUNCTION("""COMPUTED_VALUE"""),"1735810713382")</f>
        <v>1735810713382</v>
      </c>
    </row>
    <row r="2906" spans="1:11" ht="12.45">
      <c r="A2906" s="2" t="str">
        <f ca="1">IFERROR(__xludf.DUMMYFUNCTION("""COMPUTED_VALUE"""),"1735810738147")</f>
        <v>1735810738147</v>
      </c>
      <c r="B2906" s="2"/>
      <c r="C2906" s="2" t="str">
        <v>0</v>
      </c>
      <c r="D2906" s="2"/>
      <c r="F2906" s="2" t="str">
        <v>0</v>
      </c>
      <c r="I2906" s="2" t="str">
        <f ca="1">IFERROR(__xludf.DUMMYFUNCTION("""COMPUTED_VALUE"""),"Nguyễn Phương Anh")</f>
        <v>Nguyễn Phương Anh</v>
      </c>
      <c r="J2906" s="2" t="str">
        <f ca="1">IFERROR(__xludf.DUMMYFUNCTION("""COMPUTED_VALUE"""),"08486255462")</f>
        <v>08486255462</v>
      </c>
      <c r="K2906" s="2" t="str">
        <f ca="1">IFERROR(__xludf.DUMMYFUNCTION("""COMPUTED_VALUE"""),"1735810738147")</f>
        <v>1735810738147</v>
      </c>
    </row>
    <row r="2907" spans="1:11" ht="12.45">
      <c r="A2907" s="2" t="str">
        <f ca="1">IFERROR(__xludf.DUMMYFUNCTION("""COMPUTED_VALUE"""),"1735810779862")</f>
        <v>1735810779862</v>
      </c>
      <c r="B2907" s="2"/>
      <c r="C2907" s="2" t="str">
        <v>0</v>
      </c>
      <c r="D2907" s="2"/>
      <c r="F2907" s="2" t="str">
        <v>0</v>
      </c>
      <c r="I2907" s="2" t="str">
        <f ca="1">IFERROR(__xludf.DUMMYFUNCTION("""COMPUTED_VALUE"""),"Nguyễn Quang Hải")</f>
        <v>Nguyễn Quang Hải</v>
      </c>
      <c r="J2907" s="3" t="str">
        <f ca="1">IFERROR(__xludf.DUMMYFUNCTION("""COMPUTED_VALUE"""),"0344560491")</f>
        <v>0344560491</v>
      </c>
      <c r="K2907" s="2" t="str">
        <f ca="1">IFERROR(__xludf.DUMMYFUNCTION("""COMPUTED_VALUE"""),"1735810779862")</f>
        <v>1735810779862</v>
      </c>
    </row>
    <row r="2908" spans="1:11" ht="12.45">
      <c r="A2908" s="2" t="str">
        <f ca="1">IFERROR(__xludf.DUMMYFUNCTION("""COMPUTED_VALUE"""),"1735810826211")</f>
        <v>1735810826211</v>
      </c>
      <c r="B2908" s="2"/>
      <c r="C2908" s="2" t="str">
        <v>0</v>
      </c>
      <c r="D2908" s="2"/>
      <c r="F2908" s="2" t="str">
        <v>0</v>
      </c>
      <c r="I2908" s="2" t="str">
        <f ca="1">IFERROR(__xludf.DUMMYFUNCTION("""COMPUTED_VALUE"""),"Nguyễn Thanh Thuý")</f>
        <v>Nguyễn Thanh Thuý</v>
      </c>
      <c r="J2908" s="3" t="str">
        <f ca="1">IFERROR(__xludf.DUMMYFUNCTION("""COMPUTED_VALUE"""),"0823408557")</f>
        <v>0823408557</v>
      </c>
      <c r="K2908" s="2" t="str">
        <f ca="1">IFERROR(__xludf.DUMMYFUNCTION("""COMPUTED_VALUE"""),"1735810826211")</f>
        <v>1735810826211</v>
      </c>
    </row>
    <row r="2909" spans="1:11" ht="12.45">
      <c r="A2909" s="2" t="str">
        <f ca="1">IFERROR(__xludf.DUMMYFUNCTION("""COMPUTED_VALUE"""),"1735810868846")</f>
        <v>1735810868846</v>
      </c>
      <c r="B2909" s="2"/>
      <c r="C2909" s="2" t="str">
        <v>0</v>
      </c>
      <c r="D2909" s="2"/>
      <c r="F2909" s="2" t="str">
        <v>0</v>
      </c>
      <c r="I2909" s="2" t="str">
        <f ca="1">IFERROR(__xludf.DUMMYFUNCTION("""COMPUTED_VALUE"""),"Phạm Thu Huyền ")</f>
        <v xml:space="preserve">Phạm Thu Huyền </v>
      </c>
      <c r="J2909" s="3" t="str">
        <f ca="1">IFERROR(__xludf.DUMMYFUNCTION("""COMPUTED_VALUE"""),"0837302545")</f>
        <v>0837302545</v>
      </c>
      <c r="K2909" s="2" t="str">
        <f ca="1">IFERROR(__xludf.DUMMYFUNCTION("""COMPUTED_VALUE"""),"1735810868846")</f>
        <v>1735810868846</v>
      </c>
    </row>
    <row r="2910" spans="1:11" ht="12.45">
      <c r="A2910" s="2" t="str">
        <f ca="1">IFERROR(__xludf.DUMMYFUNCTION("""COMPUTED_VALUE"""),"1735810905709")</f>
        <v>1735810905709</v>
      </c>
      <c r="B2910" s="2"/>
      <c r="C2910" s="2" t="str">
        <v>0</v>
      </c>
      <c r="D2910" s="2"/>
      <c r="F2910" s="2" t="str">
        <v>0</v>
      </c>
      <c r="I2910" s="2" t="str">
        <f ca="1">IFERROR(__xludf.DUMMYFUNCTION("""COMPUTED_VALUE"""),"Hoàng Thị Minh Huyền")</f>
        <v>Hoàng Thị Minh Huyền</v>
      </c>
      <c r="J2910" s="3" t="str">
        <f ca="1">IFERROR(__xludf.DUMMYFUNCTION("""COMPUTED_VALUE"""),"0777586058")</f>
        <v>0777586058</v>
      </c>
      <c r="K2910" s="2" t="str">
        <f ca="1">IFERROR(__xludf.DUMMYFUNCTION("""COMPUTED_VALUE"""),"1735810905709")</f>
        <v>1735810905709</v>
      </c>
    </row>
    <row r="2911" spans="1:11" ht="12.45">
      <c r="A2911" s="2" t="str">
        <f ca="1">IFERROR(__xludf.DUMMYFUNCTION("""COMPUTED_VALUE"""),"1735810937946")</f>
        <v>1735810937946</v>
      </c>
      <c r="B2911" s="2"/>
      <c r="C2911" s="2" t="str">
        <v>0</v>
      </c>
      <c r="D2911" s="2"/>
      <c r="F2911" s="2" t="str">
        <v>0</v>
      </c>
      <c r="I2911" s="2" t="str">
        <f ca="1">IFERROR(__xludf.DUMMYFUNCTION("""COMPUTED_VALUE"""),"Nguyễn Ngọc Yến Nhi")</f>
        <v>Nguyễn Ngọc Yến Nhi</v>
      </c>
      <c r="J2911" s="3" t="str">
        <f ca="1">IFERROR(__xludf.DUMMYFUNCTION("""COMPUTED_VALUE"""),"0382564329")</f>
        <v>0382564329</v>
      </c>
      <c r="K2911" s="2" t="str">
        <f ca="1">IFERROR(__xludf.DUMMYFUNCTION("""COMPUTED_VALUE"""),"1735810937946")</f>
        <v>1735810937946</v>
      </c>
    </row>
    <row r="2912" spans="1:11" ht="12.45">
      <c r="A2912" s="2" t="str">
        <f ca="1">IFERROR(__xludf.DUMMYFUNCTION("""COMPUTED_VALUE"""),"1735810967606")</f>
        <v>1735810967606</v>
      </c>
      <c r="B2912" s="2"/>
      <c r="C2912" s="2" t="str">
        <v>0</v>
      </c>
      <c r="D2912" s="2"/>
      <c r="F2912" s="2" t="str">
        <v>0</v>
      </c>
      <c r="I2912" s="2" t="str">
        <f ca="1">IFERROR(__xludf.DUMMYFUNCTION("""COMPUTED_VALUE"""),"Phùng Bảo Linh")</f>
        <v>Phùng Bảo Linh</v>
      </c>
      <c r="J2912" s="3" t="str">
        <f ca="1">IFERROR(__xludf.DUMMYFUNCTION("""COMPUTED_VALUE"""),"0333527186")</f>
        <v>0333527186</v>
      </c>
      <c r="K2912" s="2" t="str">
        <f ca="1">IFERROR(__xludf.DUMMYFUNCTION("""COMPUTED_VALUE"""),"1735810967606")</f>
        <v>1735810967606</v>
      </c>
    </row>
    <row r="2913" spans="1:11" ht="12.45">
      <c r="A2913" s="2" t="str">
        <f ca="1">IFERROR(__xludf.DUMMYFUNCTION("""COMPUTED_VALUE"""),"1735811004271")</f>
        <v>1735811004271</v>
      </c>
      <c r="B2913" s="2"/>
      <c r="C2913" s="2" t="str">
        <v>0</v>
      </c>
      <c r="D2913" s="2"/>
      <c r="F2913" s="2" t="str">
        <v>0</v>
      </c>
      <c r="I2913" s="2" t="str">
        <f ca="1">IFERROR(__xludf.DUMMYFUNCTION("""COMPUTED_VALUE"""),"Nguyễn Thị Xuân Quỳnh ")</f>
        <v xml:space="preserve">Nguyễn Thị Xuân Quỳnh </v>
      </c>
      <c r="J2913" s="3" t="str">
        <f ca="1">IFERROR(__xludf.DUMMYFUNCTION("""COMPUTED_VALUE"""),"0984509564")</f>
        <v>0984509564</v>
      </c>
      <c r="K2913" s="2" t="str">
        <f ca="1">IFERROR(__xludf.DUMMYFUNCTION("""COMPUTED_VALUE"""),"1735811004271")</f>
        <v>1735811004271</v>
      </c>
    </row>
    <row r="2914" spans="1:11" ht="12.45">
      <c r="A2914" s="2" t="str">
        <f ca="1">IFERROR(__xludf.DUMMYFUNCTION("""COMPUTED_VALUE"""),"1735811041317")</f>
        <v>1735811041317</v>
      </c>
      <c r="B2914" s="2"/>
      <c r="C2914" s="2" t="str">
        <v>0</v>
      </c>
      <c r="D2914" s="2"/>
      <c r="F2914" s="2" t="str">
        <v>0</v>
      </c>
      <c r="I2914" s="2" t="str">
        <f ca="1">IFERROR(__xludf.DUMMYFUNCTION("""COMPUTED_VALUE"""),"Hoàng Khánh Huyền ")</f>
        <v xml:space="preserve">Hoàng Khánh Huyền </v>
      </c>
      <c r="J2914" s="3" t="str">
        <f ca="1">IFERROR(__xludf.DUMMYFUNCTION("""COMPUTED_VALUE"""),"0843091732")</f>
        <v>0843091732</v>
      </c>
      <c r="K2914" s="2" t="str">
        <f ca="1">IFERROR(__xludf.DUMMYFUNCTION("""COMPUTED_VALUE"""),"1735811041317")</f>
        <v>1735811041317</v>
      </c>
    </row>
    <row r="2915" spans="1:11" ht="12.45">
      <c r="A2915" s="2" t="str">
        <f ca="1">IFERROR(__xludf.DUMMYFUNCTION("""COMPUTED_VALUE"""),"1735811071183")</f>
        <v>1735811071183</v>
      </c>
      <c r="B2915" s="2"/>
      <c r="C2915" s="2" t="str">
        <v>0</v>
      </c>
      <c r="D2915" s="2"/>
      <c r="F2915" s="2" t="str">
        <v>0</v>
      </c>
      <c r="I2915" s="2" t="str">
        <f ca="1">IFERROR(__xludf.DUMMYFUNCTION("""COMPUTED_VALUE"""),"Nguyễn Ngọc Tú Linh")</f>
        <v>Nguyễn Ngọc Tú Linh</v>
      </c>
      <c r="J2915" s="3" t="str">
        <f ca="1">IFERROR(__xludf.DUMMYFUNCTION("""COMPUTED_VALUE"""),"0355720450")</f>
        <v>0355720450</v>
      </c>
      <c r="K2915" s="2" t="str">
        <f ca="1">IFERROR(__xludf.DUMMYFUNCTION("""COMPUTED_VALUE"""),"1735811071183")</f>
        <v>1735811071183</v>
      </c>
    </row>
    <row r="2916" spans="1:11" ht="12.45">
      <c r="A2916" s="2" t="str">
        <f ca="1">IFERROR(__xludf.DUMMYFUNCTION("""COMPUTED_VALUE"""),"1735811099401")</f>
        <v>1735811099401</v>
      </c>
      <c r="B2916" s="2"/>
      <c r="C2916" s="2" t="str">
        <v>0</v>
      </c>
      <c r="D2916" s="2"/>
      <c r="F2916" s="2" t="str">
        <v>0</v>
      </c>
      <c r="I2916" s="2" t="str">
        <f ca="1">IFERROR(__xludf.DUMMYFUNCTION("""COMPUTED_VALUE"""),"Trần Thị Lương")</f>
        <v>Trần Thị Lương</v>
      </c>
      <c r="J2916" s="3" t="str">
        <f ca="1">IFERROR(__xludf.DUMMYFUNCTION("""COMPUTED_VALUE"""),"0338983781")</f>
        <v>0338983781</v>
      </c>
      <c r="K2916" s="2" t="str">
        <f ca="1">IFERROR(__xludf.DUMMYFUNCTION("""COMPUTED_VALUE"""),"1735811099401")</f>
        <v>1735811099401</v>
      </c>
    </row>
    <row r="2917" spans="1:11" ht="12.45">
      <c r="A2917" s="2" t="str">
        <f ca="1">IFERROR(__xludf.DUMMYFUNCTION("""COMPUTED_VALUE"""),"1735811124100")</f>
        <v>1735811124100</v>
      </c>
      <c r="B2917" s="2"/>
      <c r="C2917" s="2" t="str">
        <v>0</v>
      </c>
      <c r="D2917" s="2"/>
      <c r="F2917" s="2" t="str">
        <v>0</v>
      </c>
      <c r="I2917" s="2" t="str">
        <f ca="1">IFERROR(__xludf.DUMMYFUNCTION("""COMPUTED_VALUE"""),"Nguyễn Bảo Phương")</f>
        <v>Nguyễn Bảo Phương</v>
      </c>
      <c r="J2917" s="3" t="str">
        <f ca="1">IFERROR(__xludf.DUMMYFUNCTION("""COMPUTED_VALUE"""),"0968310338")</f>
        <v>0968310338</v>
      </c>
      <c r="K2917" s="2" t="str">
        <f ca="1">IFERROR(__xludf.DUMMYFUNCTION("""COMPUTED_VALUE"""),"1735811124100")</f>
        <v>1735811124100</v>
      </c>
    </row>
    <row r="2918" spans="1:11" ht="12.45">
      <c r="A2918" s="2" t="str">
        <f ca="1">IFERROR(__xludf.DUMMYFUNCTION("""COMPUTED_VALUE"""),"1735811154841")</f>
        <v>1735811154841</v>
      </c>
      <c r="B2918" s="2"/>
      <c r="C2918" s="2" t="str">
        <v>0</v>
      </c>
      <c r="D2918" s="2"/>
      <c r="F2918" s="2" t="str">
        <v>0</v>
      </c>
      <c r="I2918" s="2" t="str">
        <f ca="1">IFERROR(__xludf.DUMMYFUNCTION("""COMPUTED_VALUE"""),"LƯU HOÀNG THANH CHÂU")</f>
        <v>LƯU HOÀNG THANH CHÂU</v>
      </c>
      <c r="J2918" s="3" t="str">
        <f ca="1">IFERROR(__xludf.DUMMYFUNCTION("""COMPUTED_VALUE"""),"0338502548")</f>
        <v>0338502548</v>
      </c>
      <c r="K2918" s="2" t="str">
        <f ca="1">IFERROR(__xludf.DUMMYFUNCTION("""COMPUTED_VALUE"""),"1735811154841")</f>
        <v>1735811154841</v>
      </c>
    </row>
    <row r="2919" spans="1:11" ht="12.45">
      <c r="A2919" s="2" t="str">
        <f ca="1">IFERROR(__xludf.DUMMYFUNCTION("""COMPUTED_VALUE"""),"1735811189754")</f>
        <v>1735811189754</v>
      </c>
      <c r="B2919" s="2"/>
      <c r="C2919" s="2" t="str">
        <v>0</v>
      </c>
      <c r="D2919" s="2"/>
      <c r="F2919" s="2" t="str">
        <v>0</v>
      </c>
      <c r="I2919" s="2" t="str">
        <f ca="1">IFERROR(__xludf.DUMMYFUNCTION("""COMPUTED_VALUE"""),"Hoàng Thị Thu Hường ")</f>
        <v xml:space="preserve">Hoàng Thị Thu Hường </v>
      </c>
      <c r="J2919" s="3" t="str">
        <f ca="1">IFERROR(__xludf.DUMMYFUNCTION("""COMPUTED_VALUE"""),"0834488997")</f>
        <v>0834488997</v>
      </c>
      <c r="K2919" s="2" t="str">
        <f ca="1">IFERROR(__xludf.DUMMYFUNCTION("""COMPUTED_VALUE"""),"1735811189754")</f>
        <v>1735811189754</v>
      </c>
    </row>
    <row r="2920" spans="1:11" ht="12.45">
      <c r="A2920" s="2" t="str">
        <f ca="1">IFERROR(__xludf.DUMMYFUNCTION("""COMPUTED_VALUE"""),"1735811223575")</f>
        <v>1735811223575</v>
      </c>
      <c r="B2920" s="2"/>
      <c r="C2920" s="2" t="str">
        <v>0</v>
      </c>
      <c r="D2920" s="2"/>
      <c r="F2920" s="2" t="str">
        <v>0</v>
      </c>
      <c r="I2920" s="2" t="str">
        <f ca="1">IFERROR(__xludf.DUMMYFUNCTION("""COMPUTED_VALUE"""),"Nguyễn Khánh Lam")</f>
        <v>Nguyễn Khánh Lam</v>
      </c>
      <c r="J2920" s="3" t="str">
        <f ca="1">IFERROR(__xludf.DUMMYFUNCTION("""COMPUTED_VALUE"""),"0849828882")</f>
        <v>0849828882</v>
      </c>
      <c r="K2920" s="2" t="str">
        <f ca="1">IFERROR(__xludf.DUMMYFUNCTION("""COMPUTED_VALUE"""),"1735811223575")</f>
        <v>1735811223575</v>
      </c>
    </row>
    <row r="2921" spans="1:11" ht="12.45">
      <c r="A2921" s="2" t="str">
        <f ca="1">IFERROR(__xludf.DUMMYFUNCTION("""COMPUTED_VALUE"""),"1735811254542")</f>
        <v>1735811254542</v>
      </c>
      <c r="B2921" s="2"/>
      <c r="C2921" s="2" t="str">
        <v>0</v>
      </c>
      <c r="D2921" s="2"/>
      <c r="F2921" s="2" t="str">
        <v>0</v>
      </c>
      <c r="I2921" s="2" t="str">
        <f ca="1">IFERROR(__xludf.DUMMYFUNCTION("""COMPUTED_VALUE"""),"Ngô Đức Anh ")</f>
        <v xml:space="preserve">Ngô Đức Anh </v>
      </c>
      <c r="J2921" s="3" t="str">
        <f ca="1">IFERROR(__xludf.DUMMYFUNCTION("""COMPUTED_VALUE"""),"0336851491")</f>
        <v>0336851491</v>
      </c>
      <c r="K2921" s="2" t="str">
        <f ca="1">IFERROR(__xludf.DUMMYFUNCTION("""COMPUTED_VALUE"""),"1735811254542")</f>
        <v>1735811254542</v>
      </c>
    </row>
    <row r="2922" spans="1:11" ht="12.45">
      <c r="A2922" s="2" t="str">
        <f ca="1">IFERROR(__xludf.DUMMYFUNCTION("""COMPUTED_VALUE"""),"1735811294419")</f>
        <v>1735811294419</v>
      </c>
      <c r="B2922" s="2"/>
      <c r="C2922" s="2" t="str">
        <v>0</v>
      </c>
      <c r="D2922" s="2"/>
      <c r="F2922" s="2" t="str">
        <v>0</v>
      </c>
      <c r="I2922" s="2" t="str">
        <f ca="1">IFERROR(__xludf.DUMMYFUNCTION("""COMPUTED_VALUE"""),"Nguyễn Thái An")</f>
        <v>Nguyễn Thái An</v>
      </c>
      <c r="J2922" s="3" t="str">
        <f ca="1">IFERROR(__xludf.DUMMYFUNCTION("""COMPUTED_VALUE"""),"0566839256")</f>
        <v>0566839256</v>
      </c>
      <c r="K2922" s="2" t="str">
        <f ca="1">IFERROR(__xludf.DUMMYFUNCTION("""COMPUTED_VALUE"""),"1735811294419")</f>
        <v>1735811294419</v>
      </c>
    </row>
    <row r="2923" spans="1:11" ht="12.45">
      <c r="A2923" s="2" t="str">
        <f ca="1">IFERROR(__xludf.DUMMYFUNCTION("""COMPUTED_VALUE"""),"1735811321892")</f>
        <v>1735811321892</v>
      </c>
      <c r="B2923" s="2"/>
      <c r="C2923" s="2" t="str">
        <v>0</v>
      </c>
      <c r="D2923" s="2"/>
      <c r="F2923" s="2" t="str">
        <v>0</v>
      </c>
      <c r="I2923" s="2" t="str">
        <f ca="1">IFERROR(__xludf.DUMMYFUNCTION("""COMPUTED_VALUE"""),"Nguyễn Phương Nhi")</f>
        <v>Nguyễn Phương Nhi</v>
      </c>
      <c r="J2923" s="3" t="str">
        <f ca="1">IFERROR(__xludf.DUMMYFUNCTION("""COMPUTED_VALUE"""),"0348340897")</f>
        <v>0348340897</v>
      </c>
      <c r="K2923" s="2" t="str">
        <f ca="1">IFERROR(__xludf.DUMMYFUNCTION("""COMPUTED_VALUE"""),"1735811321892")</f>
        <v>1735811321892</v>
      </c>
    </row>
    <row r="2924" spans="1:11" ht="12.45">
      <c r="A2924" s="2" t="str">
        <f ca="1">IFERROR(__xludf.DUMMYFUNCTION("""COMPUTED_VALUE"""),"1735811356524")</f>
        <v>1735811356524</v>
      </c>
      <c r="B2924" s="2"/>
      <c r="C2924" s="2" t="str">
        <v>0</v>
      </c>
      <c r="D2924" s="2"/>
      <c r="F2924" s="2" t="str">
        <v>0</v>
      </c>
      <c r="I2924" s="2" t="str">
        <f ca="1">IFERROR(__xludf.DUMMYFUNCTION("""COMPUTED_VALUE"""),"Nguyễn Thị Hoài Thương ")</f>
        <v xml:space="preserve">Nguyễn Thị Hoài Thương </v>
      </c>
      <c r="J2924" s="3" t="str">
        <f ca="1">IFERROR(__xludf.DUMMYFUNCTION("""COMPUTED_VALUE"""),"0825577741")</f>
        <v>0825577741</v>
      </c>
      <c r="K2924" s="2" t="str">
        <f ca="1">IFERROR(__xludf.DUMMYFUNCTION("""COMPUTED_VALUE"""),"1735811356524")</f>
        <v>1735811356524</v>
      </c>
    </row>
    <row r="2925" spans="1:11" ht="12.45">
      <c r="A2925" s="2" t="str">
        <f ca="1">IFERROR(__xludf.DUMMYFUNCTION("""COMPUTED_VALUE"""),"1735811389281")</f>
        <v>1735811389281</v>
      </c>
      <c r="B2925" s="2"/>
      <c r="C2925" s="2" t="str">
        <v>0</v>
      </c>
      <c r="D2925" s="2"/>
      <c r="F2925" s="2" t="str">
        <v>0</v>
      </c>
      <c r="I2925" s="2" t="str">
        <f ca="1">IFERROR(__xludf.DUMMYFUNCTION("""COMPUTED_VALUE"""),"Phan Nguyễn Khánh Nguyên")</f>
        <v>Phan Nguyễn Khánh Nguyên</v>
      </c>
      <c r="J2925" s="3" t="str">
        <f ca="1">IFERROR(__xludf.DUMMYFUNCTION("""COMPUTED_VALUE"""),"0931915646")</f>
        <v>0931915646</v>
      </c>
      <c r="K2925" s="2" t="str">
        <f ca="1">IFERROR(__xludf.DUMMYFUNCTION("""COMPUTED_VALUE"""),"1735811389281")</f>
        <v>1735811389281</v>
      </c>
    </row>
    <row r="2926" spans="1:11" ht="12.45">
      <c r="A2926" s="2" t="str">
        <f ca="1">IFERROR(__xludf.DUMMYFUNCTION("""COMPUTED_VALUE"""),"1735811423422")</f>
        <v>1735811423422</v>
      </c>
      <c r="B2926" s="2"/>
      <c r="C2926" s="2" t="str">
        <v>0</v>
      </c>
      <c r="D2926" s="2"/>
      <c r="F2926" s="2" t="str">
        <v>0</v>
      </c>
      <c r="I2926" s="2" t="str">
        <f ca="1">IFERROR(__xludf.DUMMYFUNCTION("""COMPUTED_VALUE"""),"Võ Trần Xuân Trà ")</f>
        <v xml:space="preserve">Võ Trần Xuân Trà </v>
      </c>
      <c r="J2926" s="3" t="str">
        <f ca="1">IFERROR(__xludf.DUMMYFUNCTION("""COMPUTED_VALUE"""),"0355522975")</f>
        <v>0355522975</v>
      </c>
      <c r="K2926" s="2" t="str">
        <f ca="1">IFERROR(__xludf.DUMMYFUNCTION("""COMPUTED_VALUE"""),"1735811423422")</f>
        <v>1735811423422</v>
      </c>
    </row>
    <row r="2927" spans="1:11" ht="12.45">
      <c r="A2927" s="2" t="str">
        <f ca="1">IFERROR(__xludf.DUMMYFUNCTION("""COMPUTED_VALUE"""),"1735811455985")</f>
        <v>1735811455985</v>
      </c>
      <c r="B2927" s="2"/>
      <c r="C2927" s="2" t="str">
        <v>0</v>
      </c>
      <c r="D2927" s="2"/>
      <c r="F2927" s="2" t="str">
        <v>0</v>
      </c>
      <c r="I2927" s="2" t="str">
        <f ca="1">IFERROR(__xludf.DUMMYFUNCTION("""COMPUTED_VALUE"""),"Cao Thị Hồng Ngọc")</f>
        <v>Cao Thị Hồng Ngọc</v>
      </c>
      <c r="J2927" s="3" t="str">
        <f ca="1">IFERROR(__xludf.DUMMYFUNCTION("""COMPUTED_VALUE"""),"0346414872")</f>
        <v>0346414872</v>
      </c>
      <c r="K2927" s="2" t="str">
        <f ca="1">IFERROR(__xludf.DUMMYFUNCTION("""COMPUTED_VALUE"""),"1735811455985")</f>
        <v>1735811455985</v>
      </c>
    </row>
    <row r="2928" spans="1:11" ht="12.45">
      <c r="A2928" s="2" t="str">
        <f ca="1">IFERROR(__xludf.DUMMYFUNCTION("""COMPUTED_VALUE"""),"1735811500105")</f>
        <v>1735811500105</v>
      </c>
      <c r="B2928" s="2"/>
      <c r="C2928" s="2" t="str">
        <v>0</v>
      </c>
      <c r="D2928" s="2"/>
      <c r="F2928" s="2" t="str">
        <v>0</v>
      </c>
      <c r="I2928" s="2" t="str">
        <f ca="1">IFERROR(__xludf.DUMMYFUNCTION("""COMPUTED_VALUE"""),"Lã Hằng ")</f>
        <v xml:space="preserve">Lã Hằng </v>
      </c>
      <c r="J2928" s="3" t="str">
        <f ca="1">IFERROR(__xludf.DUMMYFUNCTION("""COMPUTED_VALUE"""),"0336335437")</f>
        <v>0336335437</v>
      </c>
      <c r="K2928" s="2" t="str">
        <f ca="1">IFERROR(__xludf.DUMMYFUNCTION("""COMPUTED_VALUE"""),"1735811500105")</f>
        <v>1735811500105</v>
      </c>
    </row>
    <row r="2929" spans="1:11" ht="12.45">
      <c r="A2929" s="2" t="str">
        <f ca="1">IFERROR(__xludf.DUMMYFUNCTION("""COMPUTED_VALUE"""),"1735811529273")</f>
        <v>1735811529273</v>
      </c>
      <c r="B2929" s="2"/>
      <c r="C2929" s="2" t="str">
        <v>0</v>
      </c>
      <c r="D2929" s="2"/>
      <c r="F2929" s="2" t="str">
        <v>0</v>
      </c>
      <c r="I2929" s="2" t="str">
        <f ca="1">IFERROR(__xludf.DUMMYFUNCTION("""COMPUTED_VALUE"""),"Dương Thị Lệ Tâm")</f>
        <v>Dương Thị Lệ Tâm</v>
      </c>
      <c r="J2929" s="3" t="str">
        <f ca="1">IFERROR(__xludf.DUMMYFUNCTION("""COMPUTED_VALUE"""),"0943741018")</f>
        <v>0943741018</v>
      </c>
      <c r="K2929" s="2" t="str">
        <f ca="1">IFERROR(__xludf.DUMMYFUNCTION("""COMPUTED_VALUE"""),"1735811529273")</f>
        <v>1735811529273</v>
      </c>
    </row>
    <row r="2930" spans="1:11" ht="12.45">
      <c r="A2930" s="2" t="str">
        <f ca="1">IFERROR(__xludf.DUMMYFUNCTION("""COMPUTED_VALUE"""),"1735811556760")</f>
        <v>1735811556760</v>
      </c>
      <c r="B2930" s="2"/>
      <c r="C2930" s="2" t="str">
        <v>0</v>
      </c>
      <c r="D2930" s="2"/>
      <c r="F2930" s="2" t="str">
        <v>0</v>
      </c>
      <c r="I2930" s="2" t="str">
        <f ca="1">IFERROR(__xludf.DUMMYFUNCTION("""COMPUTED_VALUE"""),"Nguyễn Như Quỳnh")</f>
        <v>Nguyễn Như Quỳnh</v>
      </c>
      <c r="J2930" s="3" t="str">
        <f ca="1">IFERROR(__xludf.DUMMYFUNCTION("""COMPUTED_VALUE"""),"0815822875")</f>
        <v>0815822875</v>
      </c>
      <c r="K2930" s="2" t="str">
        <f ca="1">IFERROR(__xludf.DUMMYFUNCTION("""COMPUTED_VALUE"""),"1735811556760")</f>
        <v>1735811556760</v>
      </c>
    </row>
    <row r="2931" spans="1:11" ht="12.45">
      <c r="A2931" s="2" t="str">
        <f ca="1">IFERROR(__xludf.DUMMYFUNCTION("""COMPUTED_VALUE"""),"1735811587629")</f>
        <v>1735811587629</v>
      </c>
      <c r="B2931" s="2"/>
      <c r="C2931" s="2" t="str">
        <v>0</v>
      </c>
      <c r="D2931" s="2"/>
      <c r="F2931" s="2" t="str">
        <v>0</v>
      </c>
      <c r="I2931" s="2" t="str">
        <f ca="1">IFERROR(__xludf.DUMMYFUNCTION("""COMPUTED_VALUE"""),"Dư Khả Doanh")</f>
        <v>Dư Khả Doanh</v>
      </c>
      <c r="J2931" s="3" t="str">
        <f ca="1">IFERROR(__xludf.DUMMYFUNCTION("""COMPUTED_VALUE"""),"0933139416")</f>
        <v>0933139416</v>
      </c>
      <c r="K2931" s="2" t="str">
        <f ca="1">IFERROR(__xludf.DUMMYFUNCTION("""COMPUTED_VALUE"""),"1735811587629")</f>
        <v>1735811587629</v>
      </c>
    </row>
    <row r="2932" spans="1:11" ht="12.45">
      <c r="A2932" s="2" t="str">
        <f ca="1">IFERROR(__xludf.DUMMYFUNCTION("""COMPUTED_VALUE"""),"1735811615704")</f>
        <v>1735811615704</v>
      </c>
      <c r="B2932" s="2"/>
      <c r="C2932" s="2" t="str">
        <v>0</v>
      </c>
      <c r="D2932" s="2"/>
      <c r="F2932" s="2" t="str">
        <v>0</v>
      </c>
      <c r="I2932" s="2" t="str">
        <f ca="1">IFERROR(__xludf.DUMMYFUNCTION("""COMPUTED_VALUE"""),"Trương Lâm Thanh Thảo")</f>
        <v>Trương Lâm Thanh Thảo</v>
      </c>
      <c r="J2932" s="3" t="str">
        <f ca="1">IFERROR(__xludf.DUMMYFUNCTION("""COMPUTED_VALUE"""),"0915158758")</f>
        <v>0915158758</v>
      </c>
      <c r="K2932" s="2" t="str">
        <f ca="1">IFERROR(__xludf.DUMMYFUNCTION("""COMPUTED_VALUE"""),"1735811615704")</f>
        <v>1735811615704</v>
      </c>
    </row>
    <row r="2933" spans="1:11" ht="12.45">
      <c r="A2933" s="2" t="str">
        <f ca="1">IFERROR(__xludf.DUMMYFUNCTION("""COMPUTED_VALUE"""),"1735811658195")</f>
        <v>1735811658195</v>
      </c>
      <c r="B2933" s="2"/>
      <c r="C2933" s="2" t="str">
        <v>0</v>
      </c>
      <c r="D2933" s="2"/>
      <c r="F2933" s="2" t="str">
        <v>0</v>
      </c>
      <c r="I2933" s="2" t="str">
        <f ca="1">IFERROR(__xludf.DUMMYFUNCTION("""COMPUTED_VALUE"""),"Nguyễn Thị Ngọc Trinh")</f>
        <v>Nguyễn Thị Ngọc Trinh</v>
      </c>
      <c r="J2933" s="3" t="str">
        <f ca="1">IFERROR(__xludf.DUMMYFUNCTION("""COMPUTED_VALUE"""),"0815161573")</f>
        <v>0815161573</v>
      </c>
      <c r="K2933" s="2" t="str">
        <f ca="1">IFERROR(__xludf.DUMMYFUNCTION("""COMPUTED_VALUE"""),"1735811658195")</f>
        <v>1735811658195</v>
      </c>
    </row>
    <row r="2934" spans="1:11" ht="12.45">
      <c r="A2934" s="2" t="str">
        <f ca="1">IFERROR(__xludf.DUMMYFUNCTION("""COMPUTED_VALUE"""),"1735811690278")</f>
        <v>1735811690278</v>
      </c>
      <c r="B2934" s="2"/>
      <c r="C2934" s="2" t="str">
        <v>0</v>
      </c>
      <c r="D2934" s="2"/>
      <c r="F2934" s="2" t="str">
        <v>0</v>
      </c>
      <c r="I2934" s="2" t="str">
        <f ca="1">IFERROR(__xludf.DUMMYFUNCTION("""COMPUTED_VALUE"""),"Nguyễn Thị Mỹ Dung")</f>
        <v>Nguyễn Thị Mỹ Dung</v>
      </c>
      <c r="J2934" s="3" t="str">
        <f ca="1">IFERROR(__xludf.DUMMYFUNCTION("""COMPUTED_VALUE"""),"0762505929")</f>
        <v>0762505929</v>
      </c>
      <c r="K2934" s="2" t="str">
        <f ca="1">IFERROR(__xludf.DUMMYFUNCTION("""COMPUTED_VALUE"""),"1735811690278")</f>
        <v>1735811690278</v>
      </c>
    </row>
    <row r="2935" spans="1:11" ht="12.45">
      <c r="A2935" s="2" t="str">
        <f ca="1">IFERROR(__xludf.DUMMYFUNCTION("""COMPUTED_VALUE"""),"1735811724382")</f>
        <v>1735811724382</v>
      </c>
      <c r="B2935" s="2"/>
      <c r="C2935" s="2" t="str">
        <v>0</v>
      </c>
      <c r="D2935" s="2"/>
      <c r="F2935" s="2" t="str">
        <v>0</v>
      </c>
      <c r="I2935" s="2" t="str">
        <f ca="1">IFERROR(__xludf.DUMMYFUNCTION("""COMPUTED_VALUE"""),"Nguyễn Minh Thư ")</f>
        <v xml:space="preserve">Nguyễn Minh Thư </v>
      </c>
      <c r="J2935" s="3" t="str">
        <f ca="1">IFERROR(__xludf.DUMMYFUNCTION("""COMPUTED_VALUE"""),"0358271342")</f>
        <v>0358271342</v>
      </c>
      <c r="K2935" s="2" t="str">
        <f ca="1">IFERROR(__xludf.DUMMYFUNCTION("""COMPUTED_VALUE"""),"1735811724382")</f>
        <v>1735811724382</v>
      </c>
    </row>
    <row r="2936" spans="1:11" ht="12.45">
      <c r="A2936" s="2" t="str">
        <f ca="1">IFERROR(__xludf.DUMMYFUNCTION("""COMPUTED_VALUE"""),"1735811753949")</f>
        <v>1735811753949</v>
      </c>
      <c r="B2936" s="2"/>
      <c r="C2936" s="2" t="str">
        <v>0</v>
      </c>
      <c r="D2936" s="2"/>
      <c r="F2936" s="2" t="str">
        <v>0</v>
      </c>
      <c r="I2936" s="2" t="str">
        <f ca="1">IFERROR(__xludf.DUMMYFUNCTION("""COMPUTED_VALUE"""),"Nguyễn Thành Đạt")</f>
        <v>Nguyễn Thành Đạt</v>
      </c>
      <c r="J2936" s="3" t="str">
        <f ca="1">IFERROR(__xludf.DUMMYFUNCTION("""COMPUTED_VALUE"""),"0839378164")</f>
        <v>0839378164</v>
      </c>
      <c r="K2936" s="2" t="str">
        <f ca="1">IFERROR(__xludf.DUMMYFUNCTION("""COMPUTED_VALUE"""),"1735811753949")</f>
        <v>1735811753949</v>
      </c>
    </row>
    <row r="2937" spans="1:11" ht="12.45">
      <c r="A2937" s="2" t="str">
        <f ca="1">IFERROR(__xludf.DUMMYFUNCTION("""COMPUTED_VALUE"""),"1735811795188")</f>
        <v>1735811795188</v>
      </c>
      <c r="B2937" s="2"/>
      <c r="C2937" s="2" t="str">
        <v>0</v>
      </c>
      <c r="D2937" s="2"/>
      <c r="F2937" s="2" t="str">
        <v>0</v>
      </c>
      <c r="I2937" s="2" t="str">
        <f ca="1">IFERROR(__xludf.DUMMYFUNCTION("""COMPUTED_VALUE"""),"Ngô Thị Tâm")</f>
        <v>Ngô Thị Tâm</v>
      </c>
      <c r="J2937" s="3" t="str">
        <f ca="1">IFERROR(__xludf.DUMMYFUNCTION("""COMPUTED_VALUE"""),"0969975604")</f>
        <v>0969975604</v>
      </c>
      <c r="K2937" s="2" t="str">
        <f ca="1">IFERROR(__xludf.DUMMYFUNCTION("""COMPUTED_VALUE"""),"1735811795188")</f>
        <v>1735811795188</v>
      </c>
    </row>
    <row r="2938" spans="1:11" ht="12.45">
      <c r="A2938" s="2" t="str">
        <f ca="1">IFERROR(__xludf.DUMMYFUNCTION("""COMPUTED_VALUE"""),"Không giao sách")</f>
        <v>Không giao sách</v>
      </c>
      <c r="B2938" s="2"/>
      <c r="C2938" s="2" t="str">
        <v>0</v>
      </c>
      <c r="D2938" s="2"/>
      <c r="F2938" s="2" t="str">
        <v>0</v>
      </c>
      <c r="I2938" s="2" t="str">
        <f ca="1">IFERROR(__xludf.DUMMYFUNCTION("""COMPUTED_VALUE"""),"Lê Mai Kiều Vy")</f>
        <v>Lê Mai Kiều Vy</v>
      </c>
      <c r="J2938" s="3" t="str">
        <f ca="1">IFERROR(__xludf.DUMMYFUNCTION("""COMPUTED_VALUE"""),"0522626115")</f>
        <v>0522626115</v>
      </c>
      <c r="K2938" s="2" t="str">
        <f ca="1">IFERROR(__xludf.DUMMYFUNCTION("""COMPUTED_VALUE"""),"Không giao sách")</f>
        <v>Không giao sách</v>
      </c>
    </row>
    <row r="2939" spans="1:11" ht="12.45">
      <c r="A2939" s="2" t="str">
        <f ca="1">IFERROR(__xludf.DUMMYFUNCTION("""COMPUTED_VALUE"""),"1739214622494")</f>
        <v>1739214622494</v>
      </c>
      <c r="B2939" s="2"/>
      <c r="C2939" s="2" t="str">
        <v>0</v>
      </c>
      <c r="D2939" s="2"/>
      <c r="F2939" s="2" t="str">
        <v>0</v>
      </c>
      <c r="I2939" s="2" t="str">
        <f ca="1">IFERROR(__xludf.DUMMYFUNCTION("""COMPUTED_VALUE"""),"Lê Ngọc Phương Trang")</f>
        <v>Lê Ngọc Phương Trang</v>
      </c>
      <c r="J2939" s="3" t="str">
        <f ca="1">IFERROR(__xludf.DUMMYFUNCTION("""COMPUTED_VALUE"""),"0948787182")</f>
        <v>0948787182</v>
      </c>
      <c r="K2939" s="2" t="str">
        <f ca="1">IFERROR(__xludf.DUMMYFUNCTION("""COMPUTED_VALUE"""),"1739214622494")</f>
        <v>1739214622494</v>
      </c>
    </row>
    <row r="2940" spans="1:11" ht="12.45">
      <c r="A2940" s="2" t="str">
        <f ca="1">IFERROR(__xludf.DUMMYFUNCTION("""COMPUTED_VALUE"""),"1735811866153")</f>
        <v>1735811866153</v>
      </c>
      <c r="B2940" s="2"/>
      <c r="C2940" s="2" t="str">
        <v>0</v>
      </c>
      <c r="D2940" s="2"/>
      <c r="F2940" s="2" t="str">
        <v>0</v>
      </c>
      <c r="I2940" s="2" t="str">
        <f ca="1">IFERROR(__xludf.DUMMYFUNCTION("""COMPUTED_VALUE"""),"Nguyễn Thị Ngọc Mai")</f>
        <v>Nguyễn Thị Ngọc Mai</v>
      </c>
      <c r="J2940" s="3" t="str">
        <f ca="1">IFERROR(__xludf.DUMMYFUNCTION("""COMPUTED_VALUE"""),"0904228410")</f>
        <v>0904228410</v>
      </c>
      <c r="K2940" s="2" t="str">
        <f ca="1">IFERROR(__xludf.DUMMYFUNCTION("""COMPUTED_VALUE"""),"1735811866153")</f>
        <v>1735811866153</v>
      </c>
    </row>
    <row r="2941" spans="1:11" ht="12.45">
      <c r="A2941" s="2" t="str">
        <f ca="1">IFERROR(__xludf.DUMMYFUNCTION("""COMPUTED_VALUE"""),"1735811898381")</f>
        <v>1735811898381</v>
      </c>
      <c r="B2941" s="2"/>
      <c r="C2941" s="2" t="str">
        <v>0</v>
      </c>
      <c r="D2941" s="2"/>
      <c r="F2941" s="2" t="str">
        <v>0</v>
      </c>
      <c r="I2941" s="2" t="str">
        <f ca="1">IFERROR(__xludf.DUMMYFUNCTION("""COMPUTED_VALUE"""),"Nguyễn Ngọc Thanh Trúc")</f>
        <v>Nguyễn Ngọc Thanh Trúc</v>
      </c>
      <c r="J2941" s="3" t="str">
        <f ca="1">IFERROR(__xludf.DUMMYFUNCTION("""COMPUTED_VALUE"""),"0764942910")</f>
        <v>0764942910</v>
      </c>
      <c r="K2941" s="2" t="str">
        <f ca="1">IFERROR(__xludf.DUMMYFUNCTION("""COMPUTED_VALUE"""),"1735811898381")</f>
        <v>1735811898381</v>
      </c>
    </row>
    <row r="2942" spans="1:11" ht="12.45">
      <c r="A2942" s="2" t="str">
        <f ca="1">IFERROR(__xludf.DUMMYFUNCTION("""COMPUTED_VALUE"""),"1735811924989")</f>
        <v>1735811924989</v>
      </c>
      <c r="B2942" s="2"/>
      <c r="C2942" s="2" t="str">
        <v>0</v>
      </c>
      <c r="D2942" s="2"/>
      <c r="F2942" s="2" t="str">
        <v>0</v>
      </c>
      <c r="I2942" s="2" t="str">
        <f ca="1">IFERROR(__xludf.DUMMYFUNCTION("""COMPUTED_VALUE"""),"Phan Nguyễn Yến Nhi")</f>
        <v>Phan Nguyễn Yến Nhi</v>
      </c>
      <c r="J2942" s="3" t="str">
        <f ca="1">IFERROR(__xludf.DUMMYFUNCTION("""COMPUTED_VALUE"""),"0902559355")</f>
        <v>0902559355</v>
      </c>
      <c r="K2942" s="2" t="str">
        <f ca="1">IFERROR(__xludf.DUMMYFUNCTION("""COMPUTED_VALUE"""),"1735811924989")</f>
        <v>1735811924989</v>
      </c>
    </row>
    <row r="2943" spans="1:11" ht="12.45">
      <c r="A2943" s="2" t="str">
        <f ca="1">IFERROR(__xludf.DUMMYFUNCTION("""COMPUTED_VALUE"""),"1735811956008")</f>
        <v>1735811956008</v>
      </c>
      <c r="B2943" s="2"/>
      <c r="C2943" s="2" t="str">
        <v>0</v>
      </c>
      <c r="D2943" s="2"/>
      <c r="F2943" s="2" t="str">
        <v>0</v>
      </c>
      <c r="I2943" s="2" t="str">
        <f ca="1">IFERROR(__xludf.DUMMYFUNCTION("""COMPUTED_VALUE"""),"Nguyễn Thị Phương Thảo ")</f>
        <v xml:space="preserve">Nguyễn Thị Phương Thảo </v>
      </c>
      <c r="J2943" s="3" t="str">
        <f ca="1">IFERROR(__xludf.DUMMYFUNCTION("""COMPUTED_VALUE"""),"0395553603")</f>
        <v>0395553603</v>
      </c>
      <c r="K2943" s="2" t="str">
        <f ca="1">IFERROR(__xludf.DUMMYFUNCTION("""COMPUTED_VALUE"""),"1735811956008")</f>
        <v>1735811956008</v>
      </c>
    </row>
    <row r="2944" spans="1:11" ht="12.45">
      <c r="A2944" s="2" t="str">
        <f ca="1">IFERROR(__xludf.DUMMYFUNCTION("""COMPUTED_VALUE"""),"1735811991182")</f>
        <v>1735811991182</v>
      </c>
      <c r="B2944" s="2"/>
      <c r="C2944" s="2" t="str">
        <v>0</v>
      </c>
      <c r="D2944" s="2"/>
      <c r="F2944" s="2" t="str">
        <v>0</v>
      </c>
      <c r="I2944" s="2" t="str">
        <f ca="1">IFERROR(__xludf.DUMMYFUNCTION("""COMPUTED_VALUE"""),"Dương Diễm Vân Ny")</f>
        <v>Dương Diễm Vân Ny</v>
      </c>
      <c r="J2944" s="3" t="str">
        <f ca="1">IFERROR(__xludf.DUMMYFUNCTION("""COMPUTED_VALUE"""),"0344289792")</f>
        <v>0344289792</v>
      </c>
      <c r="K2944" s="2" t="str">
        <f ca="1">IFERROR(__xludf.DUMMYFUNCTION("""COMPUTED_VALUE"""),"1735811991182")</f>
        <v>1735811991182</v>
      </c>
    </row>
    <row r="2945" spans="1:11" ht="12.45">
      <c r="A2945" s="2" t="str">
        <f ca="1">IFERROR(__xludf.DUMMYFUNCTION("""COMPUTED_VALUE"""),"1735812037333")</f>
        <v>1735812037333</v>
      </c>
      <c r="B2945" s="2"/>
      <c r="C2945" s="2" t="str">
        <v>0</v>
      </c>
      <c r="D2945" s="2"/>
      <c r="F2945" s="2" t="str">
        <v>0</v>
      </c>
      <c r="I2945" s="2" t="str">
        <f ca="1">IFERROR(__xludf.DUMMYFUNCTION("""COMPUTED_VALUE"""),"Đặng Phạm Trà My")</f>
        <v>Đặng Phạm Trà My</v>
      </c>
      <c r="J2945" s="3" t="str">
        <f ca="1">IFERROR(__xludf.DUMMYFUNCTION("""COMPUTED_VALUE"""),"0329768539")</f>
        <v>0329768539</v>
      </c>
      <c r="K2945" s="2" t="str">
        <f ca="1">IFERROR(__xludf.DUMMYFUNCTION("""COMPUTED_VALUE"""),"1735812037333")</f>
        <v>1735812037333</v>
      </c>
    </row>
    <row r="2946" spans="1:11" ht="12.45">
      <c r="A2946" s="2" t="str">
        <f ca="1">IFERROR(__xludf.DUMMYFUNCTION("""COMPUTED_VALUE"""),"1735812079020")</f>
        <v>1735812079020</v>
      </c>
      <c r="B2946" s="2"/>
      <c r="C2946" s="2" t="str">
        <v>0</v>
      </c>
      <c r="D2946" s="2"/>
      <c r="F2946" s="2" t="str">
        <v>0</v>
      </c>
      <c r="I2946" s="2" t="str">
        <f ca="1">IFERROR(__xludf.DUMMYFUNCTION("""COMPUTED_VALUE"""),"phạm ngọc phương linh")</f>
        <v>phạm ngọc phương linh</v>
      </c>
      <c r="J2946" s="3" t="str">
        <f ca="1">IFERROR(__xludf.DUMMYFUNCTION("""COMPUTED_VALUE"""),"0399618106")</f>
        <v>0399618106</v>
      </c>
      <c r="K2946" s="2" t="str">
        <f ca="1">IFERROR(__xludf.DUMMYFUNCTION("""COMPUTED_VALUE"""),"1735812079020")</f>
        <v>1735812079020</v>
      </c>
    </row>
    <row r="2947" spans="1:11" ht="12.45">
      <c r="A2947" s="2" t="str">
        <f ca="1">IFERROR(__xludf.DUMMYFUNCTION("""COMPUTED_VALUE"""),"1735812117210")</f>
        <v>1735812117210</v>
      </c>
      <c r="B2947" s="2"/>
      <c r="C2947" s="2" t="str">
        <v>0</v>
      </c>
      <c r="D2947" s="2"/>
      <c r="F2947" s="2" t="str">
        <v>0</v>
      </c>
      <c r="I2947" s="2" t="str">
        <f ca="1">IFERROR(__xludf.DUMMYFUNCTION("""COMPUTED_VALUE"""),"Nguyễn Như Quỳnh")</f>
        <v>Nguyễn Như Quỳnh</v>
      </c>
      <c r="J2947" s="3" t="str">
        <f ca="1">IFERROR(__xludf.DUMMYFUNCTION("""COMPUTED_VALUE"""),"0943704448")</f>
        <v>0943704448</v>
      </c>
      <c r="K2947" s="2" t="str">
        <f ca="1">IFERROR(__xludf.DUMMYFUNCTION("""COMPUTED_VALUE"""),"1735812117210")</f>
        <v>1735812117210</v>
      </c>
    </row>
    <row r="2948" spans="1:11" ht="12.45">
      <c r="A2948" s="2" t="str">
        <f ca="1">IFERROR(__xludf.DUMMYFUNCTION("""COMPUTED_VALUE"""),"1735812145174")</f>
        <v>1735812145174</v>
      </c>
      <c r="B2948" s="2"/>
      <c r="C2948" s="2" t="str">
        <v>0</v>
      </c>
      <c r="D2948" s="2"/>
      <c r="F2948" s="2" t="str">
        <v>0</v>
      </c>
      <c r="I2948" s="2" t="str">
        <f ca="1">IFERROR(__xludf.DUMMYFUNCTION("""COMPUTED_VALUE"""),"Hoàng Thanh Mai")</f>
        <v>Hoàng Thanh Mai</v>
      </c>
      <c r="J2948" s="3" t="str">
        <f ca="1">IFERROR(__xludf.DUMMYFUNCTION("""COMPUTED_VALUE"""),"0366943897")</f>
        <v>0366943897</v>
      </c>
      <c r="K2948" s="2" t="str">
        <f ca="1">IFERROR(__xludf.DUMMYFUNCTION("""COMPUTED_VALUE"""),"1735812145174")</f>
        <v>1735812145174</v>
      </c>
    </row>
    <row r="2949" spans="1:11" ht="12.45">
      <c r="A2949" s="2" t="str">
        <f ca="1">IFERROR(__xludf.DUMMYFUNCTION("""COMPUTED_VALUE"""),"1735812175066")</f>
        <v>1735812175066</v>
      </c>
      <c r="B2949" s="2"/>
      <c r="C2949" s="2" t="str">
        <v>0</v>
      </c>
      <c r="D2949" s="2"/>
      <c r="F2949" s="2" t="str">
        <v>0</v>
      </c>
      <c r="I2949" s="2" t="str">
        <f ca="1">IFERROR(__xludf.DUMMYFUNCTION("""COMPUTED_VALUE"""),"Dương Phương Anh")</f>
        <v>Dương Phương Anh</v>
      </c>
      <c r="J2949" s="3" t="str">
        <f ca="1">IFERROR(__xludf.DUMMYFUNCTION("""COMPUTED_VALUE"""),"0352835027")</f>
        <v>0352835027</v>
      </c>
      <c r="K2949" s="2" t="str">
        <f ca="1">IFERROR(__xludf.DUMMYFUNCTION("""COMPUTED_VALUE"""),"1735812175066")</f>
        <v>1735812175066</v>
      </c>
    </row>
    <row r="2950" spans="1:11" ht="12.45">
      <c r="A2950" s="2" t="str">
        <f ca="1">IFERROR(__xludf.DUMMYFUNCTION("""COMPUTED_VALUE"""),"1735812214782")</f>
        <v>1735812214782</v>
      </c>
      <c r="B2950" s="2"/>
      <c r="C2950" s="2" t="str">
        <v>0</v>
      </c>
      <c r="D2950" s="2"/>
      <c r="F2950" s="2" t="str">
        <v>0</v>
      </c>
      <c r="I2950" s="2" t="str">
        <f ca="1">IFERROR(__xludf.DUMMYFUNCTION("""COMPUTED_VALUE"""),"Nguyễn Ánh ")</f>
        <v xml:space="preserve">Nguyễn Ánh </v>
      </c>
      <c r="J2950" s="3" t="str">
        <f ca="1">IFERROR(__xludf.DUMMYFUNCTION("""COMPUTED_VALUE"""),"0366338916")</f>
        <v>0366338916</v>
      </c>
      <c r="K2950" s="2" t="str">
        <f ca="1">IFERROR(__xludf.DUMMYFUNCTION("""COMPUTED_VALUE"""),"1735812214782")</f>
        <v>1735812214782</v>
      </c>
    </row>
    <row r="2951" spans="1:11" ht="12.45">
      <c r="A2951" s="2" t="str">
        <f ca="1">IFERROR(__xludf.DUMMYFUNCTION("""COMPUTED_VALUE"""),"1735812248551")</f>
        <v>1735812248551</v>
      </c>
      <c r="B2951" s="2"/>
      <c r="C2951" s="2" t="str">
        <v>0</v>
      </c>
      <c r="D2951" s="2"/>
      <c r="F2951" s="2" t="str">
        <v>0</v>
      </c>
      <c r="I2951" s="2" t="str">
        <f ca="1">IFERROR(__xludf.DUMMYFUNCTION("""COMPUTED_VALUE"""),"Hoàng thị đài trang")</f>
        <v>Hoàng thị đài trang</v>
      </c>
      <c r="J2951" s="3" t="str">
        <f ca="1">IFERROR(__xludf.DUMMYFUNCTION("""COMPUTED_VALUE"""),"0343042032")</f>
        <v>0343042032</v>
      </c>
      <c r="K2951" s="2" t="str">
        <f ca="1">IFERROR(__xludf.DUMMYFUNCTION("""COMPUTED_VALUE"""),"1735812248551")</f>
        <v>1735812248551</v>
      </c>
    </row>
    <row r="2952" spans="1:11" ht="12.45">
      <c r="A2952" s="2" t="str">
        <f ca="1">IFERROR(__xludf.DUMMYFUNCTION("""COMPUTED_VALUE"""),"1735812281672")</f>
        <v>1735812281672</v>
      </c>
      <c r="B2952" s="2"/>
      <c r="C2952" s="2" t="str">
        <v>0</v>
      </c>
      <c r="D2952" s="2"/>
      <c r="F2952" s="2" t="str">
        <v>0</v>
      </c>
      <c r="I2952" s="2" t="str">
        <f ca="1">IFERROR(__xludf.DUMMYFUNCTION("""COMPUTED_VALUE"""),"Dương Gia Đan Trang ")</f>
        <v xml:space="preserve">Dương Gia Đan Trang </v>
      </c>
      <c r="J2952" s="3" t="str">
        <f ca="1">IFERROR(__xludf.DUMMYFUNCTION("""COMPUTED_VALUE"""),"0333755999")</f>
        <v>0333755999</v>
      </c>
      <c r="K2952" s="2" t="str">
        <f ca="1">IFERROR(__xludf.DUMMYFUNCTION("""COMPUTED_VALUE"""),"1735812281672")</f>
        <v>1735812281672</v>
      </c>
    </row>
    <row r="2953" spans="1:11" ht="12.45">
      <c r="A2953" s="2" t="str">
        <f ca="1">IFERROR(__xludf.DUMMYFUNCTION("""COMPUTED_VALUE"""),"1735812317702")</f>
        <v>1735812317702</v>
      </c>
      <c r="B2953" s="2"/>
      <c r="C2953" s="2" t="str">
        <v>0</v>
      </c>
      <c r="D2953" s="2"/>
      <c r="F2953" s="2" t="str">
        <v>0</v>
      </c>
      <c r="I2953" s="2" t="str">
        <f ca="1">IFERROR(__xludf.DUMMYFUNCTION("""COMPUTED_VALUE"""),"Phạm Thảo Linh ")</f>
        <v xml:space="preserve">Phạm Thảo Linh </v>
      </c>
      <c r="J2953" s="3" t="str">
        <f ca="1">IFERROR(__xludf.DUMMYFUNCTION("""COMPUTED_VALUE"""),"0347265813")</f>
        <v>0347265813</v>
      </c>
      <c r="K2953" s="2" t="str">
        <f ca="1">IFERROR(__xludf.DUMMYFUNCTION("""COMPUTED_VALUE"""),"1735812317702")</f>
        <v>1735812317702</v>
      </c>
    </row>
    <row r="2954" spans="1:11" ht="12.45">
      <c r="A2954" s="2" t="str">
        <f ca="1">IFERROR(__xludf.DUMMYFUNCTION("""COMPUTED_VALUE"""),"1735812354933")</f>
        <v>1735812354933</v>
      </c>
      <c r="B2954" s="2"/>
      <c r="C2954" s="2" t="str">
        <v>0</v>
      </c>
      <c r="D2954" s="2"/>
      <c r="F2954" s="2" t="str">
        <v>0</v>
      </c>
      <c r="I2954" s="2" t="str">
        <f ca="1">IFERROR(__xludf.DUMMYFUNCTION("""COMPUTED_VALUE"""),"Huyền Trân ")</f>
        <v xml:space="preserve">Huyền Trân </v>
      </c>
      <c r="J2954" s="3" t="str">
        <f ca="1">IFERROR(__xludf.DUMMYFUNCTION("""COMPUTED_VALUE"""),"0982091428")</f>
        <v>0982091428</v>
      </c>
      <c r="K2954" s="2" t="str">
        <f ca="1">IFERROR(__xludf.DUMMYFUNCTION("""COMPUTED_VALUE"""),"1735812354933")</f>
        <v>1735812354933</v>
      </c>
    </row>
    <row r="2955" spans="1:11" ht="12.45">
      <c r="A2955" s="2" t="str">
        <f ca="1">IFERROR(__xludf.DUMMYFUNCTION("""COMPUTED_VALUE"""),"1735812388324")</f>
        <v>1735812388324</v>
      </c>
      <c r="B2955" s="2"/>
      <c r="C2955" s="2" t="str">
        <v>0</v>
      </c>
      <c r="D2955" s="2"/>
      <c r="F2955" s="2" t="str">
        <v>0</v>
      </c>
      <c r="I2955" s="2" t="str">
        <f ca="1">IFERROR(__xludf.DUMMYFUNCTION("""COMPUTED_VALUE"""),"Nguyễn Thùy Dương")</f>
        <v>Nguyễn Thùy Dương</v>
      </c>
      <c r="J2955" s="3" t="str">
        <f ca="1">IFERROR(__xludf.DUMMYFUNCTION("""COMPUTED_VALUE"""),"0388613866")</f>
        <v>0388613866</v>
      </c>
      <c r="K2955" s="2" t="str">
        <f ca="1">IFERROR(__xludf.DUMMYFUNCTION("""COMPUTED_VALUE"""),"1735812388324")</f>
        <v>1735812388324</v>
      </c>
    </row>
    <row r="2956" spans="1:11" ht="12.45">
      <c r="A2956" s="2" t="str">
        <f ca="1">IFERROR(__xludf.DUMMYFUNCTION("""COMPUTED_VALUE"""),"1735812417583")</f>
        <v>1735812417583</v>
      </c>
      <c r="B2956" s="2"/>
      <c r="C2956" s="2" t="str">
        <v>0</v>
      </c>
      <c r="D2956" s="2"/>
      <c r="F2956" s="2" t="str">
        <v>0</v>
      </c>
      <c r="I2956" s="2" t="str">
        <f ca="1">IFERROR(__xludf.DUMMYFUNCTION("""COMPUTED_VALUE"""),"Lê Tâm Đan")</f>
        <v>Lê Tâm Đan</v>
      </c>
      <c r="J2956" s="3" t="str">
        <f ca="1">IFERROR(__xludf.DUMMYFUNCTION("""COMPUTED_VALUE"""),"0379852964")</f>
        <v>0379852964</v>
      </c>
      <c r="K2956" s="2" t="str">
        <f ca="1">IFERROR(__xludf.DUMMYFUNCTION("""COMPUTED_VALUE"""),"1735812417583")</f>
        <v>1735812417583</v>
      </c>
    </row>
    <row r="2957" spans="1:11" ht="12.45">
      <c r="A2957" s="2" t="str">
        <f ca="1">IFERROR(__xludf.DUMMYFUNCTION("""COMPUTED_VALUE"""),"1735812448403")</f>
        <v>1735812448403</v>
      </c>
      <c r="B2957" s="2"/>
      <c r="C2957" s="2" t="str">
        <v>0</v>
      </c>
      <c r="D2957" s="2"/>
      <c r="F2957" s="2" t="str">
        <v>0</v>
      </c>
      <c r="I2957" s="2" t="str">
        <f ca="1">IFERROR(__xludf.DUMMYFUNCTION("""COMPUTED_VALUE"""),"Phạm Thảo Vy ")</f>
        <v xml:space="preserve">Phạm Thảo Vy </v>
      </c>
      <c r="J2957" s="3" t="str">
        <f ca="1">IFERROR(__xludf.DUMMYFUNCTION("""COMPUTED_VALUE"""),"0367282876")</f>
        <v>0367282876</v>
      </c>
      <c r="K2957" s="2" t="str">
        <f ca="1">IFERROR(__xludf.DUMMYFUNCTION("""COMPUTED_VALUE"""),"1735812448403")</f>
        <v>1735812448403</v>
      </c>
    </row>
    <row r="2958" spans="1:11" ht="12.45">
      <c r="A2958" s="2" t="str">
        <f ca="1">IFERROR(__xludf.DUMMYFUNCTION("""COMPUTED_VALUE"""),"1735812477246")</f>
        <v>1735812477246</v>
      </c>
      <c r="B2958" s="2"/>
      <c r="C2958" s="2" t="str">
        <v>0</v>
      </c>
      <c r="D2958" s="2"/>
      <c r="F2958" s="2" t="str">
        <v>0</v>
      </c>
      <c r="I2958" s="2" t="str">
        <f ca="1">IFERROR(__xludf.DUMMYFUNCTION("""COMPUTED_VALUE"""),"Nguyễn Lê sinh khiêm")</f>
        <v>Nguyễn Lê sinh khiêm</v>
      </c>
      <c r="J2958" s="3" t="str">
        <f ca="1">IFERROR(__xludf.DUMMYFUNCTION("""COMPUTED_VALUE"""),"0899046105")</f>
        <v>0899046105</v>
      </c>
      <c r="K2958" s="2" t="str">
        <f ca="1">IFERROR(__xludf.DUMMYFUNCTION("""COMPUTED_VALUE"""),"1735812477246")</f>
        <v>1735812477246</v>
      </c>
    </row>
    <row r="2959" spans="1:11" ht="12.45">
      <c r="A2959" s="2" t="str">
        <f ca="1">IFERROR(__xludf.DUMMYFUNCTION("""COMPUTED_VALUE"""),"1735812507079")</f>
        <v>1735812507079</v>
      </c>
      <c r="B2959" s="2"/>
      <c r="C2959" s="2" t="str">
        <v>0</v>
      </c>
      <c r="D2959" s="2"/>
      <c r="F2959" s="2" t="str">
        <v>0</v>
      </c>
      <c r="I2959" s="2" t="str">
        <f ca="1">IFERROR(__xludf.DUMMYFUNCTION("""COMPUTED_VALUE"""),"Đỗ Gia Hân")</f>
        <v>Đỗ Gia Hân</v>
      </c>
      <c r="J2959" s="3" t="str">
        <f ca="1">IFERROR(__xludf.DUMMYFUNCTION("""COMPUTED_VALUE"""),"0909083927")</f>
        <v>0909083927</v>
      </c>
      <c r="K2959" s="2" t="str">
        <f ca="1">IFERROR(__xludf.DUMMYFUNCTION("""COMPUTED_VALUE"""),"1735812507079")</f>
        <v>1735812507079</v>
      </c>
    </row>
    <row r="2960" spans="1:11" ht="12.45">
      <c r="A2960" s="2" t="str">
        <f ca="1">IFERROR(__xludf.DUMMYFUNCTION("""COMPUTED_VALUE"""),"1735812539010")</f>
        <v>1735812539010</v>
      </c>
      <c r="B2960" s="2"/>
      <c r="C2960" s="2" t="str">
        <v>0</v>
      </c>
      <c r="D2960" s="2"/>
      <c r="F2960" s="2" t="str">
        <v>0</v>
      </c>
      <c r="I2960" s="2" t="str">
        <f ca="1">IFERROR(__xludf.DUMMYFUNCTION("""COMPUTED_VALUE"""),"Đào Nhật Anh")</f>
        <v>Đào Nhật Anh</v>
      </c>
      <c r="J2960" s="3" t="str">
        <f ca="1">IFERROR(__xludf.DUMMYFUNCTION("""COMPUTED_VALUE"""),"0332829864")</f>
        <v>0332829864</v>
      </c>
      <c r="K2960" s="2" t="str">
        <f ca="1">IFERROR(__xludf.DUMMYFUNCTION("""COMPUTED_VALUE"""),"1735812539010")</f>
        <v>1735812539010</v>
      </c>
    </row>
    <row r="2961" spans="1:11" ht="12.45">
      <c r="A2961" s="2" t="str">
        <f ca="1">IFERROR(__xludf.DUMMYFUNCTION("""COMPUTED_VALUE"""),"1735812577033")</f>
        <v>1735812577033</v>
      </c>
      <c r="B2961" s="2"/>
      <c r="C2961" s="2" t="str">
        <v>0</v>
      </c>
      <c r="D2961" s="2"/>
      <c r="F2961" s="2" t="str">
        <v>0</v>
      </c>
      <c r="I2961" s="2" t="str">
        <f ca="1">IFERROR(__xludf.DUMMYFUNCTION("""COMPUTED_VALUE"""),"Thập Thị Mỹ Uyên ")</f>
        <v xml:space="preserve">Thập Thị Mỹ Uyên </v>
      </c>
      <c r="J2961" s="3" t="str">
        <f ca="1">IFERROR(__xludf.DUMMYFUNCTION("""COMPUTED_VALUE"""),"0917069724")</f>
        <v>0917069724</v>
      </c>
      <c r="K2961" s="2" t="str">
        <f ca="1">IFERROR(__xludf.DUMMYFUNCTION("""COMPUTED_VALUE"""),"1735812577033")</f>
        <v>1735812577033</v>
      </c>
    </row>
    <row r="2962" spans="1:11" ht="12.45">
      <c r="A2962" s="2" t="str">
        <f ca="1">IFERROR(__xludf.DUMMYFUNCTION("""COMPUTED_VALUE"""),"1735812606243")</f>
        <v>1735812606243</v>
      </c>
      <c r="B2962" s="2"/>
      <c r="C2962" s="2" t="str">
        <v>0</v>
      </c>
      <c r="D2962" s="2"/>
      <c r="F2962" s="2" t="str">
        <v>0</v>
      </c>
      <c r="I2962" s="2" t="str">
        <f ca="1">IFERROR(__xludf.DUMMYFUNCTION("""COMPUTED_VALUE"""),"Hoàng Ngọc Bảo Trân ")</f>
        <v xml:space="preserve">Hoàng Ngọc Bảo Trân </v>
      </c>
      <c r="J2962" s="3" t="str">
        <f ca="1">IFERROR(__xludf.DUMMYFUNCTION("""COMPUTED_VALUE"""),"0867121445")</f>
        <v>0867121445</v>
      </c>
      <c r="K2962" s="2" t="str">
        <f ca="1">IFERROR(__xludf.DUMMYFUNCTION("""COMPUTED_VALUE"""),"1735812606243")</f>
        <v>1735812606243</v>
      </c>
    </row>
    <row r="2963" spans="1:11" ht="12.45">
      <c r="A2963" s="2" t="str">
        <f ca="1">IFERROR(__xludf.DUMMYFUNCTION("""COMPUTED_VALUE"""),"1735812641573")</f>
        <v>1735812641573</v>
      </c>
      <c r="B2963" s="2"/>
      <c r="C2963" s="2" t="str">
        <v>0</v>
      </c>
      <c r="D2963" s="2"/>
      <c r="F2963" s="2" t="str">
        <v>0</v>
      </c>
      <c r="I2963" s="2" t="str">
        <f ca="1">IFERROR(__xludf.DUMMYFUNCTION("""COMPUTED_VALUE"""),"Nguyễn Hương Giang")</f>
        <v>Nguyễn Hương Giang</v>
      </c>
      <c r="J2963" s="3" t="str">
        <f ca="1">IFERROR(__xludf.DUMMYFUNCTION("""COMPUTED_VALUE"""),"0867052414")</f>
        <v>0867052414</v>
      </c>
      <c r="K2963" s="2" t="str">
        <f ca="1">IFERROR(__xludf.DUMMYFUNCTION("""COMPUTED_VALUE"""),"1735812641573")</f>
        <v>1735812641573</v>
      </c>
    </row>
    <row r="2964" spans="1:11" ht="12.45">
      <c r="A2964" s="2" t="str">
        <f ca="1">IFERROR(__xludf.DUMMYFUNCTION("""COMPUTED_VALUE"""),"1735812679847")</f>
        <v>1735812679847</v>
      </c>
      <c r="B2964" s="2"/>
      <c r="C2964" s="2" t="str">
        <v>0</v>
      </c>
      <c r="D2964" s="2"/>
      <c r="F2964" s="2" t="str">
        <v>0</v>
      </c>
      <c r="I2964" s="2" t="str">
        <f ca="1">IFERROR(__xludf.DUMMYFUNCTION("""COMPUTED_VALUE"""),"Trương Hoàng Ngân")</f>
        <v>Trương Hoàng Ngân</v>
      </c>
      <c r="J2964" s="3" t="str">
        <f ca="1">IFERROR(__xludf.DUMMYFUNCTION("""COMPUTED_VALUE"""),"0934595797")</f>
        <v>0934595797</v>
      </c>
      <c r="K2964" s="2" t="str">
        <f ca="1">IFERROR(__xludf.DUMMYFUNCTION("""COMPUTED_VALUE"""),"1735812679847")</f>
        <v>1735812679847</v>
      </c>
    </row>
    <row r="2965" spans="1:11" ht="12.45">
      <c r="A2965" s="2" t="str">
        <f ca="1">IFERROR(__xludf.DUMMYFUNCTION("""COMPUTED_VALUE"""),"1735812704077")</f>
        <v>1735812704077</v>
      </c>
      <c r="B2965" s="2"/>
      <c r="C2965" s="2" t="str">
        <v>0</v>
      </c>
      <c r="D2965" s="2"/>
      <c r="F2965" s="2" t="str">
        <v>0</v>
      </c>
      <c r="I2965" s="2" t="str">
        <f ca="1">IFERROR(__xludf.DUMMYFUNCTION("""COMPUTED_VALUE"""),"Lê Như Quỳnh ")</f>
        <v xml:space="preserve">Lê Như Quỳnh </v>
      </c>
      <c r="J2965" s="3" t="str">
        <f ca="1">IFERROR(__xludf.DUMMYFUNCTION("""COMPUTED_VALUE"""),"0966508963")</f>
        <v>0966508963</v>
      </c>
      <c r="K2965" s="2" t="str">
        <f ca="1">IFERROR(__xludf.DUMMYFUNCTION("""COMPUTED_VALUE"""),"1735812704077")</f>
        <v>1735812704077</v>
      </c>
    </row>
    <row r="2966" spans="1:11" ht="12.45">
      <c r="A2966" s="2" t="str">
        <f ca="1">IFERROR(__xludf.DUMMYFUNCTION("""COMPUTED_VALUE"""),"1735812729123")</f>
        <v>1735812729123</v>
      </c>
      <c r="B2966" s="2"/>
      <c r="C2966" s="2" t="str">
        <v>0</v>
      </c>
      <c r="D2966" s="2"/>
      <c r="F2966" s="2" t="str">
        <v>0</v>
      </c>
      <c r="I2966" s="2" t="str">
        <f ca="1">IFERROR(__xludf.DUMMYFUNCTION("""COMPUTED_VALUE"""),"Đinh Phương Uyên")</f>
        <v>Đinh Phương Uyên</v>
      </c>
      <c r="J2966" s="3" t="str">
        <f ca="1">IFERROR(__xludf.DUMMYFUNCTION("""COMPUTED_VALUE"""),"0837510519")</f>
        <v>0837510519</v>
      </c>
      <c r="K2966" s="2" t="str">
        <f ca="1">IFERROR(__xludf.DUMMYFUNCTION("""COMPUTED_VALUE"""),"1735812729123")</f>
        <v>1735812729123</v>
      </c>
    </row>
    <row r="2967" spans="1:11" ht="12.45">
      <c r="A2967" s="2" t="str">
        <f ca="1">IFERROR(__xludf.DUMMYFUNCTION("""COMPUTED_VALUE"""),"1735812762572")</f>
        <v>1735812762572</v>
      </c>
      <c r="B2967" s="2"/>
      <c r="C2967" s="2" t="str">
        <v>0</v>
      </c>
      <c r="D2967" s="2"/>
      <c r="F2967" s="2" t="str">
        <v>0</v>
      </c>
      <c r="I2967" s="2" t="str">
        <f ca="1">IFERROR(__xludf.DUMMYFUNCTION("""COMPUTED_VALUE"""),"Vương Ngọc")</f>
        <v>Vương Ngọc</v>
      </c>
      <c r="J2967" s="3" t="str">
        <f ca="1">IFERROR(__xludf.DUMMYFUNCTION("""COMPUTED_VALUE"""),"0819127409")</f>
        <v>0819127409</v>
      </c>
      <c r="K2967" s="2" t="str">
        <f ca="1">IFERROR(__xludf.DUMMYFUNCTION("""COMPUTED_VALUE"""),"1735812762572")</f>
        <v>1735812762572</v>
      </c>
    </row>
    <row r="2968" spans="1:11" ht="12.45">
      <c r="A2968" s="2" t="str">
        <f ca="1">IFERROR(__xludf.DUMMYFUNCTION("""COMPUTED_VALUE"""),"1735812793134")</f>
        <v>1735812793134</v>
      </c>
      <c r="B2968" s="2"/>
      <c r="C2968" s="2" t="str">
        <v>0</v>
      </c>
      <c r="D2968" s="2"/>
      <c r="F2968" s="2" t="str">
        <v>0</v>
      </c>
      <c r="I2968" s="2" t="str">
        <f ca="1">IFERROR(__xludf.DUMMYFUNCTION("""COMPUTED_VALUE"""),"NGUYỄN HẢI QUÂN")</f>
        <v>NGUYỄN HẢI QUÂN</v>
      </c>
      <c r="J2968" s="2" t="str">
        <f ca="1">IFERROR(__xludf.DUMMYFUNCTION("""COMPUTED_VALUE"""),"08039882445")</f>
        <v>08039882445</v>
      </c>
      <c r="K2968" s="2" t="str">
        <f ca="1">IFERROR(__xludf.DUMMYFUNCTION("""COMPUTED_VALUE"""),"1735812793134")</f>
        <v>1735812793134</v>
      </c>
    </row>
    <row r="2969" spans="1:11" ht="12.45">
      <c r="A2969" s="2" t="str">
        <f ca="1">IFERROR(__xludf.DUMMYFUNCTION("""COMPUTED_VALUE"""),"1735812818118")</f>
        <v>1735812818118</v>
      </c>
      <c r="B2969" s="2"/>
      <c r="C2969" s="2" t="str">
        <v>0</v>
      </c>
      <c r="D2969" s="2"/>
      <c r="F2969" s="2" t="str">
        <v>0</v>
      </c>
      <c r="I2969" s="2" t="str">
        <f ca="1">IFERROR(__xludf.DUMMYFUNCTION("""COMPUTED_VALUE"""),"Mai Quỳnh Anh")</f>
        <v>Mai Quỳnh Anh</v>
      </c>
      <c r="J2969" s="3" t="str">
        <f ca="1">IFERROR(__xludf.DUMMYFUNCTION("""COMPUTED_VALUE"""),"0969208497")</f>
        <v>0969208497</v>
      </c>
      <c r="K2969" s="2" t="str">
        <f ca="1">IFERROR(__xludf.DUMMYFUNCTION("""COMPUTED_VALUE"""),"1735812818118")</f>
        <v>1735812818118</v>
      </c>
    </row>
    <row r="2970" spans="1:11" ht="12.45">
      <c r="A2970" s="2" t="str">
        <f ca="1">IFERROR(__xludf.DUMMYFUNCTION("""COMPUTED_VALUE"""),"1735812846339")</f>
        <v>1735812846339</v>
      </c>
      <c r="B2970" s="2"/>
      <c r="C2970" s="2" t="str">
        <v>0</v>
      </c>
      <c r="D2970" s="2"/>
      <c r="F2970" s="2" t="str">
        <v>0</v>
      </c>
      <c r="I2970" s="2" t="str">
        <f ca="1">IFERROR(__xludf.DUMMYFUNCTION("""COMPUTED_VALUE"""),"Lương Minh Viên")</f>
        <v>Lương Minh Viên</v>
      </c>
      <c r="J2970" s="3" t="str">
        <f ca="1">IFERROR(__xludf.DUMMYFUNCTION("""COMPUTED_VALUE"""),"0765124578")</f>
        <v>0765124578</v>
      </c>
      <c r="K2970" s="2" t="str">
        <f ca="1">IFERROR(__xludf.DUMMYFUNCTION("""COMPUTED_VALUE"""),"1735812846339")</f>
        <v>1735812846339</v>
      </c>
    </row>
    <row r="2971" spans="1:11" ht="12.45">
      <c r="A2971" s="2" t="str">
        <f ca="1">IFERROR(__xludf.DUMMYFUNCTION("""COMPUTED_VALUE"""),"1735812883550")</f>
        <v>1735812883550</v>
      </c>
      <c r="B2971" s="2"/>
      <c r="C2971" s="2" t="str">
        <v>0</v>
      </c>
      <c r="D2971" s="2"/>
      <c r="F2971" s="2" t="str">
        <v>0</v>
      </c>
      <c r="I2971" s="2" t="str">
        <f ca="1">IFERROR(__xludf.DUMMYFUNCTION("""COMPUTED_VALUE"""),"Cao Hồ Tố Uyên")</f>
        <v>Cao Hồ Tố Uyên</v>
      </c>
      <c r="J2971" s="3" t="str">
        <f ca="1">IFERROR(__xludf.DUMMYFUNCTION("""COMPUTED_VALUE"""),"0985178099")</f>
        <v>0985178099</v>
      </c>
      <c r="K2971" s="2" t="str">
        <f ca="1">IFERROR(__xludf.DUMMYFUNCTION("""COMPUTED_VALUE"""),"1735812883550")</f>
        <v>1735812883550</v>
      </c>
    </row>
    <row r="2972" spans="1:11" ht="12.45">
      <c r="A2972" s="2" t="str">
        <f ca="1">IFERROR(__xludf.DUMMYFUNCTION("""COMPUTED_VALUE"""),"1735812911124")</f>
        <v>1735812911124</v>
      </c>
      <c r="B2972" s="2"/>
      <c r="C2972" s="2" t="str">
        <v>0</v>
      </c>
      <c r="D2972" s="2"/>
      <c r="F2972" s="2" t="str">
        <v>0</v>
      </c>
      <c r="I2972" s="2" t="str">
        <f ca="1">IFERROR(__xludf.DUMMYFUNCTION("""COMPUTED_VALUE"""),"Phạm Trần Khánh Vy ")</f>
        <v xml:space="preserve">Phạm Trần Khánh Vy </v>
      </c>
      <c r="J2972" s="3" t="str">
        <f ca="1">IFERROR(__xludf.DUMMYFUNCTION("""COMPUTED_VALUE"""),"0918870808")</f>
        <v>0918870808</v>
      </c>
      <c r="K2972" s="2" t="str">
        <f ca="1">IFERROR(__xludf.DUMMYFUNCTION("""COMPUTED_VALUE"""),"1735812911124")</f>
        <v>1735812911124</v>
      </c>
    </row>
    <row r="2973" spans="1:11" ht="12.45">
      <c r="A2973" s="2" t="str">
        <f ca="1">IFERROR(__xludf.DUMMYFUNCTION("""COMPUTED_VALUE"""),"1735812941196")</f>
        <v>1735812941196</v>
      </c>
      <c r="B2973" s="2"/>
      <c r="C2973" s="2" t="str">
        <v>0</v>
      </c>
      <c r="D2973" s="2"/>
      <c r="F2973" s="2" t="str">
        <v>0</v>
      </c>
      <c r="I2973" s="2" t="str">
        <f ca="1">IFERROR(__xludf.DUMMYFUNCTION("""COMPUTED_VALUE"""),"Nguyễn Thanh Thảo Uyên")</f>
        <v>Nguyễn Thanh Thảo Uyên</v>
      </c>
      <c r="J2973" s="3" t="str">
        <f ca="1">IFERROR(__xludf.DUMMYFUNCTION("""COMPUTED_VALUE"""),"0852500407")</f>
        <v>0852500407</v>
      </c>
      <c r="K2973" s="2" t="str">
        <f ca="1">IFERROR(__xludf.DUMMYFUNCTION("""COMPUTED_VALUE"""),"1735812941196")</f>
        <v>1735812941196</v>
      </c>
    </row>
    <row r="2974" spans="1:11" ht="12.45">
      <c r="A2974" s="2" t="str">
        <f ca="1">IFERROR(__xludf.DUMMYFUNCTION("""COMPUTED_VALUE"""),"1735812979306")</f>
        <v>1735812979306</v>
      </c>
      <c r="B2974" s="2"/>
      <c r="C2974" s="2" t="str">
        <v>0</v>
      </c>
      <c r="D2974" s="2"/>
      <c r="F2974" s="2" t="str">
        <v>0</v>
      </c>
      <c r="I2974" s="2" t="str">
        <f ca="1">IFERROR(__xludf.DUMMYFUNCTION("""COMPUTED_VALUE"""),"Hoàng Thị Thu Hằng")</f>
        <v>Hoàng Thị Thu Hằng</v>
      </c>
      <c r="J2974" s="2" t="str">
        <f ca="1">IFERROR(__xludf.DUMMYFUNCTION("""COMPUTED_VALUE"""),"08439754230")</f>
        <v>08439754230</v>
      </c>
      <c r="K2974" s="2" t="str">
        <f ca="1">IFERROR(__xludf.DUMMYFUNCTION("""COMPUTED_VALUE"""),"1735812979306")</f>
        <v>1735812979306</v>
      </c>
    </row>
    <row r="2975" spans="1:11" ht="12.45">
      <c r="A2975" s="2" t="str">
        <f ca="1">IFERROR(__xludf.DUMMYFUNCTION("""COMPUTED_VALUE"""),"1735813008667")</f>
        <v>1735813008667</v>
      </c>
      <c r="B2975" s="2"/>
      <c r="C2975" s="2" t="str">
        <v>0</v>
      </c>
      <c r="D2975" s="2"/>
      <c r="F2975" s="2" t="str">
        <v>0</v>
      </c>
      <c r="I2975" s="2" t="str">
        <f ca="1">IFERROR(__xludf.DUMMYFUNCTION("""COMPUTED_VALUE"""),"Nguyễn Thuỳ Dương")</f>
        <v>Nguyễn Thuỳ Dương</v>
      </c>
      <c r="J2975" s="3" t="str">
        <f ca="1">IFERROR(__xludf.DUMMYFUNCTION("""COMPUTED_VALUE"""),"0919818748")</f>
        <v>0919818748</v>
      </c>
      <c r="K2975" s="2" t="str">
        <f ca="1">IFERROR(__xludf.DUMMYFUNCTION("""COMPUTED_VALUE"""),"1735813008667")</f>
        <v>1735813008667</v>
      </c>
    </row>
    <row r="2976" spans="1:11" ht="12.45">
      <c r="A2976" s="2" t="str">
        <f ca="1">IFERROR(__xludf.DUMMYFUNCTION("""COMPUTED_VALUE"""),"1736024604191")</f>
        <v>1736024604191</v>
      </c>
      <c r="B2976" s="2"/>
      <c r="C2976" s="2" t="str">
        <v>0</v>
      </c>
      <c r="D2976" s="2"/>
      <c r="F2976" s="2" t="str">
        <v>0</v>
      </c>
      <c r="I2976" s="2" t="str">
        <f ca="1">IFERROR(__xludf.DUMMYFUNCTION("""COMPUTED_VALUE"""),"Bùi Thu Hương ")</f>
        <v xml:space="preserve">Bùi Thu Hương </v>
      </c>
      <c r="J2976" s="3" t="str">
        <f ca="1">IFERROR(__xludf.DUMMYFUNCTION("""COMPUTED_VALUE"""),"0343704856")</f>
        <v>0343704856</v>
      </c>
      <c r="K2976" s="2" t="str">
        <f ca="1">IFERROR(__xludf.DUMMYFUNCTION("""COMPUTED_VALUE"""),"1736024604191")</f>
        <v>1736024604191</v>
      </c>
    </row>
    <row r="2977" spans="1:11" ht="12.45">
      <c r="A2977" s="2" t="str">
        <f ca="1">IFERROR(__xludf.DUMMYFUNCTION("""COMPUTED_VALUE"""),"1736024655671")</f>
        <v>1736024655671</v>
      </c>
      <c r="B2977" s="2"/>
      <c r="C2977" s="2" t="str">
        <v>0</v>
      </c>
      <c r="D2977" s="2"/>
      <c r="F2977" s="2" t="str">
        <v>0</v>
      </c>
      <c r="I2977" s="2" t="str">
        <f ca="1">IFERROR(__xludf.DUMMYFUNCTION("""COMPUTED_VALUE"""),"Trần Thị Thanh Tài")</f>
        <v>Trần Thị Thanh Tài</v>
      </c>
      <c r="J2977" s="3" t="str">
        <f ca="1">IFERROR(__xludf.DUMMYFUNCTION("""COMPUTED_VALUE"""),"0799482028")</f>
        <v>0799482028</v>
      </c>
      <c r="K2977" s="2" t="str">
        <f ca="1">IFERROR(__xludf.DUMMYFUNCTION("""COMPUTED_VALUE"""),"1736024655671")</f>
        <v>1736024655671</v>
      </c>
    </row>
    <row r="2978" spans="1:11" ht="12.45">
      <c r="A2978" s="2" t="str">
        <f ca="1">IFERROR(__xludf.DUMMYFUNCTION("""COMPUTED_VALUE"""),"1736024691000")</f>
        <v>1736024691000</v>
      </c>
      <c r="B2978" s="2"/>
      <c r="C2978" s="2" t="str">
        <v>0</v>
      </c>
      <c r="D2978" s="2"/>
      <c r="F2978" s="2" t="str">
        <v>0</v>
      </c>
      <c r="I2978" s="2" t="str">
        <f ca="1">IFERROR(__xludf.DUMMYFUNCTION("""COMPUTED_VALUE"""),"Ngô Thu Trag")</f>
        <v>Ngô Thu Trag</v>
      </c>
      <c r="J2978" s="3" t="str">
        <f ca="1">IFERROR(__xludf.DUMMYFUNCTION("""COMPUTED_VALUE"""),"0869056198")</f>
        <v>0869056198</v>
      </c>
      <c r="K2978" s="2" t="str">
        <f ca="1">IFERROR(__xludf.DUMMYFUNCTION("""COMPUTED_VALUE"""),"1736024691000")</f>
        <v>1736024691000</v>
      </c>
    </row>
    <row r="2979" spans="1:11" ht="12.45">
      <c r="A2979" s="2" t="str">
        <f ca="1">IFERROR(__xludf.DUMMYFUNCTION("""COMPUTED_VALUE"""),"1736024727864")</f>
        <v>1736024727864</v>
      </c>
      <c r="B2979" s="2"/>
      <c r="C2979" s="2" t="str">
        <v>0</v>
      </c>
      <c r="D2979" s="2"/>
      <c r="F2979" s="2" t="str">
        <v>0</v>
      </c>
      <c r="I2979" s="2" t="str">
        <f ca="1">IFERROR(__xludf.DUMMYFUNCTION("""COMPUTED_VALUE"""),"Trương Khánh Linh")</f>
        <v>Trương Khánh Linh</v>
      </c>
      <c r="J2979" s="3" t="str">
        <f ca="1">IFERROR(__xludf.DUMMYFUNCTION("""COMPUTED_VALUE"""),"0888321405")</f>
        <v>0888321405</v>
      </c>
      <c r="K2979" s="2" t="str">
        <f ca="1">IFERROR(__xludf.DUMMYFUNCTION("""COMPUTED_VALUE"""),"1736024727864")</f>
        <v>1736024727864</v>
      </c>
    </row>
    <row r="2980" spans="1:11" ht="12.45">
      <c r="A2980" s="2" t="str">
        <f ca="1">IFERROR(__xludf.DUMMYFUNCTION("""COMPUTED_VALUE"""),"1736024767653")</f>
        <v>1736024767653</v>
      </c>
      <c r="B2980" s="2"/>
      <c r="C2980" s="2" t="str">
        <v>0</v>
      </c>
      <c r="D2980" s="2"/>
      <c r="F2980" s="2" t="str">
        <v>0</v>
      </c>
      <c r="I2980" s="2" t="str">
        <f ca="1">IFERROR(__xludf.DUMMYFUNCTION("""COMPUTED_VALUE"""),"Hoàng Diệu Linh")</f>
        <v>Hoàng Diệu Linh</v>
      </c>
      <c r="J2980" s="3" t="str">
        <f ca="1">IFERROR(__xludf.DUMMYFUNCTION("""COMPUTED_VALUE"""),"0399265760")</f>
        <v>0399265760</v>
      </c>
      <c r="K2980" s="2" t="str">
        <f ca="1">IFERROR(__xludf.DUMMYFUNCTION("""COMPUTED_VALUE"""),"1736024767653")</f>
        <v>1736024767653</v>
      </c>
    </row>
    <row r="2981" spans="1:11" ht="12.45">
      <c r="A2981" s="2" t="str">
        <f ca="1">IFERROR(__xludf.DUMMYFUNCTION("""COMPUTED_VALUE"""),"1736024820051")</f>
        <v>1736024820051</v>
      </c>
      <c r="B2981" s="2"/>
      <c r="C2981" s="2" t="str">
        <v>0</v>
      </c>
      <c r="D2981" s="2"/>
      <c r="F2981" s="2" t="str">
        <v>0</v>
      </c>
      <c r="I2981" s="2" t="str">
        <f ca="1">IFERROR(__xludf.DUMMYFUNCTION("""COMPUTED_VALUE"""),"Nguyễn Phương Ngọc An ")</f>
        <v xml:space="preserve">Nguyễn Phương Ngọc An </v>
      </c>
      <c r="J2981" s="3" t="str">
        <f ca="1">IFERROR(__xludf.DUMMYFUNCTION("""COMPUTED_VALUE"""),"0869851828")</f>
        <v>0869851828</v>
      </c>
      <c r="K2981" s="2" t="str">
        <f ca="1">IFERROR(__xludf.DUMMYFUNCTION("""COMPUTED_VALUE"""),"1736024820051")</f>
        <v>1736024820051</v>
      </c>
    </row>
    <row r="2982" spans="1:11" ht="12.45">
      <c r="A2982" s="2" t="str">
        <f ca="1">IFERROR(__xludf.DUMMYFUNCTION("""COMPUTED_VALUE"""),"1736024858310")</f>
        <v>1736024858310</v>
      </c>
      <c r="B2982" s="2"/>
      <c r="C2982" s="2" t="str">
        <v>0</v>
      </c>
      <c r="D2982" s="2"/>
      <c r="F2982" s="2" t="str">
        <v>0</v>
      </c>
      <c r="I2982" s="2" t="str">
        <f ca="1">IFERROR(__xludf.DUMMYFUNCTION("""COMPUTED_VALUE"""),"Vũ ngô bảo ngọc ")</f>
        <v xml:space="preserve">Vũ ngô bảo ngọc </v>
      </c>
      <c r="J2982" s="3" t="str">
        <f ca="1">IFERROR(__xludf.DUMMYFUNCTION("""COMPUTED_VALUE"""),"0833251207")</f>
        <v>0833251207</v>
      </c>
      <c r="K2982" s="2" t="str">
        <f ca="1">IFERROR(__xludf.DUMMYFUNCTION("""COMPUTED_VALUE"""),"1736024858310")</f>
        <v>1736024858310</v>
      </c>
    </row>
    <row r="2983" spans="1:11" ht="12.45">
      <c r="A2983" s="2" t="str">
        <f ca="1">IFERROR(__xludf.DUMMYFUNCTION("""COMPUTED_VALUE"""),"1736024900753")</f>
        <v>1736024900753</v>
      </c>
      <c r="B2983" s="2"/>
      <c r="C2983" s="2" t="str">
        <v>0</v>
      </c>
      <c r="D2983" s="2"/>
      <c r="F2983" s="2" t="str">
        <v>0</v>
      </c>
      <c r="I2983" s="2" t="str">
        <f ca="1">IFERROR(__xludf.DUMMYFUNCTION("""COMPUTED_VALUE"""),"Võ Ngọc Xuân Lộc")</f>
        <v>Võ Ngọc Xuân Lộc</v>
      </c>
      <c r="J2983" s="3" t="str">
        <f ca="1">IFERROR(__xludf.DUMMYFUNCTION("""COMPUTED_VALUE"""),"0339169603")</f>
        <v>0339169603</v>
      </c>
      <c r="K2983" s="2" t="str">
        <f ca="1">IFERROR(__xludf.DUMMYFUNCTION("""COMPUTED_VALUE"""),"1736024900753")</f>
        <v>1736024900753</v>
      </c>
    </row>
    <row r="2984" spans="1:11" ht="12.45">
      <c r="A2984" s="2" t="str">
        <f ca="1">IFERROR(__xludf.DUMMYFUNCTION("""COMPUTED_VALUE"""),"1736024939195")</f>
        <v>1736024939195</v>
      </c>
      <c r="B2984" s="2"/>
      <c r="C2984" s="2" t="str">
        <v>0</v>
      </c>
      <c r="D2984" s="2"/>
      <c r="F2984" s="2" t="str">
        <v>0</v>
      </c>
      <c r="I2984" s="2" t="str">
        <f ca="1">IFERROR(__xludf.DUMMYFUNCTION("""COMPUTED_VALUE"""),"Nguyễn Thị Thu Hiền ")</f>
        <v xml:space="preserve">Nguyễn Thị Thu Hiền </v>
      </c>
      <c r="J2984" s="3" t="str">
        <f ca="1">IFERROR(__xludf.DUMMYFUNCTION("""COMPUTED_VALUE"""),"0812768263")</f>
        <v>0812768263</v>
      </c>
      <c r="K2984" s="2" t="str">
        <f ca="1">IFERROR(__xludf.DUMMYFUNCTION("""COMPUTED_VALUE"""),"1736024939195")</f>
        <v>1736024939195</v>
      </c>
    </row>
    <row r="2985" spans="1:11" ht="12.45">
      <c r="A2985" s="2" t="str">
        <f ca="1">IFERROR(__xludf.DUMMYFUNCTION("""COMPUTED_VALUE"""),"1736024965719")</f>
        <v>1736024965719</v>
      </c>
      <c r="B2985" s="2"/>
      <c r="C2985" s="2" t="str">
        <v>0</v>
      </c>
      <c r="D2985" s="2"/>
      <c r="F2985" s="2" t="str">
        <v>0</v>
      </c>
      <c r="I2985" s="2" t="str">
        <f ca="1">IFERROR(__xludf.DUMMYFUNCTION("""COMPUTED_VALUE"""),"Nguyễn Nhật Thịnh")</f>
        <v>Nguyễn Nhật Thịnh</v>
      </c>
      <c r="J2985" s="3" t="str">
        <f ca="1">IFERROR(__xludf.DUMMYFUNCTION("""COMPUTED_VALUE"""),"0396209027")</f>
        <v>0396209027</v>
      </c>
      <c r="K2985" s="2" t="str">
        <f ca="1">IFERROR(__xludf.DUMMYFUNCTION("""COMPUTED_VALUE"""),"1736024965719")</f>
        <v>1736024965719</v>
      </c>
    </row>
    <row r="2986" spans="1:11" ht="12.45">
      <c r="A2986" s="2" t="str">
        <f ca="1">IFERROR(__xludf.DUMMYFUNCTION("""COMPUTED_VALUE"""),"1736025001285")</f>
        <v>1736025001285</v>
      </c>
      <c r="B2986" s="2"/>
      <c r="C2986" s="2" t="str">
        <v>0</v>
      </c>
      <c r="D2986" s="2"/>
      <c r="F2986" s="2" t="str">
        <v>0</v>
      </c>
      <c r="I2986" s="2" t="str">
        <f ca="1">IFERROR(__xludf.DUMMYFUNCTION("""COMPUTED_VALUE"""),"Phan Diệu Thu")</f>
        <v>Phan Diệu Thu</v>
      </c>
      <c r="J2986" s="3" t="str">
        <f ca="1">IFERROR(__xludf.DUMMYFUNCTION("""COMPUTED_VALUE"""),"0354793158")</f>
        <v>0354793158</v>
      </c>
      <c r="K2986" s="2" t="str">
        <f ca="1">IFERROR(__xludf.DUMMYFUNCTION("""COMPUTED_VALUE"""),"1736025001285")</f>
        <v>1736025001285</v>
      </c>
    </row>
    <row r="2987" spans="1:11" ht="12.45">
      <c r="A2987" s="2" t="str">
        <f ca="1">IFERROR(__xludf.DUMMYFUNCTION("""COMPUTED_VALUE"""),"1736025028157")</f>
        <v>1736025028157</v>
      </c>
      <c r="B2987" s="2"/>
      <c r="C2987" s="2" t="str">
        <v>0</v>
      </c>
      <c r="D2987" s="2"/>
      <c r="F2987" s="2" t="str">
        <v>0</v>
      </c>
      <c r="I2987" s="2" t="str">
        <f ca="1">IFERROR(__xludf.DUMMYFUNCTION("""COMPUTED_VALUE"""),"Nguyễn Huỳnh Bảo Thanh")</f>
        <v>Nguyễn Huỳnh Bảo Thanh</v>
      </c>
      <c r="J2987" s="3" t="str">
        <f ca="1">IFERROR(__xludf.DUMMYFUNCTION("""COMPUTED_VALUE"""),"0942446433")</f>
        <v>0942446433</v>
      </c>
      <c r="K2987" s="2" t="str">
        <f ca="1">IFERROR(__xludf.DUMMYFUNCTION("""COMPUTED_VALUE"""),"1736025028157")</f>
        <v>1736025028157</v>
      </c>
    </row>
    <row r="2988" spans="1:11" ht="12.45">
      <c r="A2988" s="2" t="str">
        <f ca="1">IFERROR(__xludf.DUMMYFUNCTION("""COMPUTED_VALUE"""),"1736025050214")</f>
        <v>1736025050214</v>
      </c>
      <c r="B2988" s="2"/>
      <c r="C2988" s="2" t="str">
        <v>0</v>
      </c>
      <c r="D2988" s="2"/>
      <c r="F2988" s="2" t="str">
        <v>0</v>
      </c>
      <c r="I2988" s="2" t="str">
        <f ca="1">IFERROR(__xludf.DUMMYFUNCTION("""COMPUTED_VALUE"""),"Đinh Thị Ngọc Trâm")</f>
        <v>Đinh Thị Ngọc Trâm</v>
      </c>
      <c r="J2988" s="3" t="str">
        <f ca="1">IFERROR(__xludf.DUMMYFUNCTION("""COMPUTED_VALUE"""),"0866121372")</f>
        <v>0866121372</v>
      </c>
      <c r="K2988" s="2" t="str">
        <f ca="1">IFERROR(__xludf.DUMMYFUNCTION("""COMPUTED_VALUE"""),"1736025050214")</f>
        <v>1736025050214</v>
      </c>
    </row>
    <row r="2989" spans="1:11" ht="12.45">
      <c r="A2989" s="2" t="str">
        <f ca="1">IFERROR(__xludf.DUMMYFUNCTION("""COMPUTED_VALUE"""),"1736025082161")</f>
        <v>1736025082161</v>
      </c>
      <c r="B2989" s="2"/>
      <c r="C2989" s="2" t="str">
        <v>0</v>
      </c>
      <c r="D2989" s="2"/>
      <c r="F2989" s="2" t="str">
        <v>0</v>
      </c>
      <c r="I2989" s="2" t="str">
        <f ca="1">IFERROR(__xludf.DUMMYFUNCTION("""COMPUTED_VALUE"""),"Nguyễn Ngọc Thanh Trúc")</f>
        <v>Nguyễn Ngọc Thanh Trúc</v>
      </c>
      <c r="J2989" s="3" t="str">
        <f ca="1">IFERROR(__xludf.DUMMYFUNCTION("""COMPUTED_VALUE"""),"0767638378")</f>
        <v>0767638378</v>
      </c>
      <c r="K2989" s="2" t="str">
        <f ca="1">IFERROR(__xludf.DUMMYFUNCTION("""COMPUTED_VALUE"""),"1736025082161")</f>
        <v>1736025082161</v>
      </c>
    </row>
    <row r="2990" spans="1:11" ht="12.45">
      <c r="A2990" s="2" t="str">
        <f ca="1">IFERROR(__xludf.DUMMYFUNCTION("""COMPUTED_VALUE"""),"1736025109546")</f>
        <v>1736025109546</v>
      </c>
      <c r="B2990" s="2"/>
      <c r="C2990" s="2" t="str">
        <v>0</v>
      </c>
      <c r="D2990" s="2"/>
      <c r="F2990" s="2" t="str">
        <v>0</v>
      </c>
      <c r="I2990" s="2" t="str">
        <f ca="1">IFERROR(__xludf.DUMMYFUNCTION("""COMPUTED_VALUE"""),"Huỳnh Thanh Tùng")</f>
        <v>Huỳnh Thanh Tùng</v>
      </c>
      <c r="J2990" s="3" t="str">
        <f ca="1">IFERROR(__xludf.DUMMYFUNCTION("""COMPUTED_VALUE"""),"0794938226")</f>
        <v>0794938226</v>
      </c>
      <c r="K2990" s="2" t="str">
        <f ca="1">IFERROR(__xludf.DUMMYFUNCTION("""COMPUTED_VALUE"""),"1736025109546")</f>
        <v>1736025109546</v>
      </c>
    </row>
    <row r="2991" spans="1:11" ht="12.45">
      <c r="A2991" s="2" t="str">
        <f ca="1">IFERROR(__xludf.DUMMYFUNCTION("""COMPUTED_VALUE"""),"1736025131816")</f>
        <v>1736025131816</v>
      </c>
      <c r="B2991" s="2"/>
      <c r="C2991" s="2" t="str">
        <v>0</v>
      </c>
      <c r="D2991" s="2"/>
      <c r="F2991" s="2" t="str">
        <v>0</v>
      </c>
      <c r="I2991" s="2" t="str">
        <f ca="1">IFERROR(__xludf.DUMMYFUNCTION("""COMPUTED_VALUE"""),"Ngô Vũ Phương Anh")</f>
        <v>Ngô Vũ Phương Anh</v>
      </c>
      <c r="J2991" s="3" t="str">
        <f ca="1">IFERROR(__xludf.DUMMYFUNCTION("""COMPUTED_VALUE"""),"0961436267")</f>
        <v>0961436267</v>
      </c>
      <c r="K2991" s="2" t="str">
        <f ca="1">IFERROR(__xludf.DUMMYFUNCTION("""COMPUTED_VALUE"""),"1736025131816")</f>
        <v>1736025131816</v>
      </c>
    </row>
    <row r="2992" spans="1:11" ht="12.45">
      <c r="A2992" s="2" t="str">
        <f ca="1">IFERROR(__xludf.DUMMYFUNCTION("""COMPUTED_VALUE"""),"1736025149900")</f>
        <v>1736025149900</v>
      </c>
      <c r="B2992" s="2"/>
      <c r="C2992" s="2" t="str">
        <v>0</v>
      </c>
      <c r="D2992" s="2"/>
      <c r="F2992" s="2" t="str">
        <v>0</v>
      </c>
      <c r="I2992" s="2" t="str">
        <f ca="1">IFERROR(__xludf.DUMMYFUNCTION("""COMPUTED_VALUE"""),"Nguyễn Thị Ánh")</f>
        <v>Nguyễn Thị Ánh</v>
      </c>
      <c r="J2992" s="3" t="str">
        <f ca="1">IFERROR(__xludf.DUMMYFUNCTION("""COMPUTED_VALUE"""),"0936054935")</f>
        <v>0936054935</v>
      </c>
      <c r="K2992" s="2" t="str">
        <f ca="1">IFERROR(__xludf.DUMMYFUNCTION("""COMPUTED_VALUE"""),"1736025149900")</f>
        <v>1736025149900</v>
      </c>
    </row>
    <row r="2993" spans="1:11" ht="12.45">
      <c r="A2993" s="2" t="str">
        <f ca="1">IFERROR(__xludf.DUMMYFUNCTION("""COMPUTED_VALUE"""),"1736025171581")</f>
        <v>1736025171581</v>
      </c>
      <c r="B2993" s="2"/>
      <c r="C2993" s="2" t="str">
        <v>0</v>
      </c>
      <c r="D2993" s="2"/>
      <c r="F2993" s="2" t="str">
        <v>0</v>
      </c>
      <c r="I2993" s="2" t="str">
        <f ca="1">IFERROR(__xludf.DUMMYFUNCTION("""COMPUTED_VALUE"""),"Phan Hồng Yến Trang")</f>
        <v>Phan Hồng Yến Trang</v>
      </c>
      <c r="J2993" s="3" t="str">
        <f ca="1">IFERROR(__xludf.DUMMYFUNCTION("""COMPUTED_VALUE"""),"0901476431")</f>
        <v>0901476431</v>
      </c>
      <c r="K2993" s="2" t="str">
        <f ca="1">IFERROR(__xludf.DUMMYFUNCTION("""COMPUTED_VALUE"""),"1736025171581")</f>
        <v>1736025171581</v>
      </c>
    </row>
    <row r="2994" spans="1:11" ht="12.45">
      <c r="A2994" s="2" t="str">
        <f ca="1">IFERROR(__xludf.DUMMYFUNCTION("""COMPUTED_VALUE"""),"1736025197641")</f>
        <v>1736025197641</v>
      </c>
      <c r="B2994" s="2"/>
      <c r="C2994" s="2" t="str">
        <v>0</v>
      </c>
      <c r="D2994" s="2"/>
      <c r="F2994" s="2" t="str">
        <v>0</v>
      </c>
      <c r="I2994" s="2" t="str">
        <f ca="1">IFERROR(__xludf.DUMMYFUNCTION("""COMPUTED_VALUE"""),"Lương Kim Ngân")</f>
        <v>Lương Kim Ngân</v>
      </c>
      <c r="J2994" s="3" t="str">
        <f ca="1">IFERROR(__xludf.DUMMYFUNCTION("""COMPUTED_VALUE"""),"0908079878")</f>
        <v>0908079878</v>
      </c>
      <c r="K2994" s="2" t="str">
        <f ca="1">IFERROR(__xludf.DUMMYFUNCTION("""COMPUTED_VALUE"""),"1736025197641")</f>
        <v>1736025197641</v>
      </c>
    </row>
    <row r="2995" spans="1:11" ht="12.45">
      <c r="A2995" s="2" t="str">
        <f ca="1">IFERROR(__xludf.DUMMYFUNCTION("""COMPUTED_VALUE"""),"1736025231889")</f>
        <v>1736025231889</v>
      </c>
      <c r="B2995" s="2"/>
      <c r="C2995" s="2" t="str">
        <v>0</v>
      </c>
      <c r="D2995" s="2"/>
      <c r="F2995" s="2" t="str">
        <v>0</v>
      </c>
      <c r="I2995" s="2" t="str">
        <f ca="1">IFERROR(__xludf.DUMMYFUNCTION("""COMPUTED_VALUE"""),"Vũ thị thanh")</f>
        <v>Vũ thị thanh</v>
      </c>
      <c r="J2995" s="3" t="str">
        <f ca="1">IFERROR(__xludf.DUMMYFUNCTION("""COMPUTED_VALUE"""),"0971576302")</f>
        <v>0971576302</v>
      </c>
      <c r="K2995" s="2" t="str">
        <f ca="1">IFERROR(__xludf.DUMMYFUNCTION("""COMPUTED_VALUE"""),"1736025231889")</f>
        <v>1736025231889</v>
      </c>
    </row>
    <row r="2996" spans="1:11" ht="12.45">
      <c r="A2996" s="2" t="str">
        <f ca="1">IFERROR(__xludf.DUMMYFUNCTION("""COMPUTED_VALUE"""),"1736025254987")</f>
        <v>1736025254987</v>
      </c>
      <c r="B2996" s="2"/>
      <c r="C2996" s="2" t="str">
        <v>0</v>
      </c>
      <c r="D2996" s="2"/>
      <c r="F2996" s="2" t="str">
        <v>0</v>
      </c>
      <c r="I2996" s="2" t="str">
        <f ca="1">IFERROR(__xludf.DUMMYFUNCTION("""COMPUTED_VALUE"""),"Vũ Thị Yến Nhi")</f>
        <v>Vũ Thị Yến Nhi</v>
      </c>
      <c r="J2996" s="3" t="str">
        <f ca="1">IFERROR(__xludf.DUMMYFUNCTION("""COMPUTED_VALUE"""),"0989855173")</f>
        <v>0989855173</v>
      </c>
      <c r="K2996" s="2" t="str">
        <f ca="1">IFERROR(__xludf.DUMMYFUNCTION("""COMPUTED_VALUE"""),"1736025254987")</f>
        <v>1736025254987</v>
      </c>
    </row>
    <row r="2997" spans="1:11" ht="12.45">
      <c r="A2997" s="2" t="str">
        <f ca="1">IFERROR(__xludf.DUMMYFUNCTION("""COMPUTED_VALUE"""),"1736025278888")</f>
        <v>1736025278888</v>
      </c>
      <c r="B2997" s="2"/>
      <c r="C2997" s="2" t="str">
        <v>0</v>
      </c>
      <c r="D2997" s="2"/>
      <c r="F2997" s="2" t="str">
        <v>0</v>
      </c>
      <c r="I2997" s="2" t="str">
        <f ca="1">IFERROR(__xludf.DUMMYFUNCTION("""COMPUTED_VALUE"""),"Phạm Hồng Anh")</f>
        <v>Phạm Hồng Anh</v>
      </c>
      <c r="J2997" s="3" t="str">
        <f ca="1">IFERROR(__xludf.DUMMYFUNCTION("""COMPUTED_VALUE"""),"0387934776")</f>
        <v>0387934776</v>
      </c>
      <c r="K2997" s="2" t="str">
        <f ca="1">IFERROR(__xludf.DUMMYFUNCTION("""COMPUTED_VALUE"""),"1736025278888")</f>
        <v>1736025278888</v>
      </c>
    </row>
    <row r="2998" spans="1:11" ht="12.45">
      <c r="A2998" s="2" t="str">
        <f ca="1">IFERROR(__xludf.DUMMYFUNCTION("""COMPUTED_VALUE"""),"1736025305634")</f>
        <v>1736025305634</v>
      </c>
      <c r="B2998" s="2"/>
      <c r="C2998" s="2" t="str">
        <v>0</v>
      </c>
      <c r="D2998" s="2"/>
      <c r="F2998" s="2" t="str">
        <v>0</v>
      </c>
      <c r="I2998" s="2" t="str">
        <f ca="1">IFERROR(__xludf.DUMMYFUNCTION("""COMPUTED_VALUE"""),"Chu Thị Đoan Trang ")</f>
        <v xml:space="preserve">Chu Thị Đoan Trang </v>
      </c>
      <c r="J2998" s="3" t="str">
        <f ca="1">IFERROR(__xludf.DUMMYFUNCTION("""COMPUTED_VALUE"""),"0336864307")</f>
        <v>0336864307</v>
      </c>
      <c r="K2998" s="2" t="str">
        <f ca="1">IFERROR(__xludf.DUMMYFUNCTION("""COMPUTED_VALUE"""),"1736025305634")</f>
        <v>1736025305634</v>
      </c>
    </row>
    <row r="2999" spans="1:11" ht="12.45">
      <c r="A2999" s="2" t="str">
        <f ca="1">IFERROR(__xludf.DUMMYFUNCTION("""COMPUTED_VALUE"""),"1736025356509")</f>
        <v>1736025356509</v>
      </c>
      <c r="B2999" s="2"/>
      <c r="C2999" s="2" t="str">
        <v>0</v>
      </c>
      <c r="D2999" s="2"/>
      <c r="F2999" s="2" t="str">
        <v>0</v>
      </c>
      <c r="I2999" s="2" t="str">
        <f ca="1">IFERROR(__xludf.DUMMYFUNCTION("""COMPUTED_VALUE"""),"Vũ Thị Hoài Thương")</f>
        <v>Vũ Thị Hoài Thương</v>
      </c>
      <c r="J2999" s="3" t="str">
        <f ca="1">IFERROR(__xludf.DUMMYFUNCTION("""COMPUTED_VALUE"""),"0937640844")</f>
        <v>0937640844</v>
      </c>
      <c r="K2999" s="2" t="str">
        <f ca="1">IFERROR(__xludf.DUMMYFUNCTION("""COMPUTED_VALUE"""),"1736025356509")</f>
        <v>1736025356509</v>
      </c>
    </row>
    <row r="3000" spans="1:11" ht="12.45">
      <c r="A3000" s="2" t="str">
        <f ca="1">IFERROR(__xludf.DUMMYFUNCTION("""COMPUTED_VALUE"""),"1736025379723")</f>
        <v>1736025379723</v>
      </c>
      <c r="B3000" s="2"/>
      <c r="C3000" s="2" t="str">
        <v>0</v>
      </c>
      <c r="D3000" s="2"/>
      <c r="F3000" s="2" t="str">
        <v>0</v>
      </c>
      <c r="I3000" s="2" t="str">
        <f ca="1">IFERROR(__xludf.DUMMYFUNCTION("""COMPUTED_VALUE"""),"Nguyễn Hoàng Gia Bảo")</f>
        <v>Nguyễn Hoàng Gia Bảo</v>
      </c>
      <c r="J3000" s="3" t="str">
        <f ca="1">IFERROR(__xludf.DUMMYFUNCTION("""COMPUTED_VALUE"""),"0399354138")</f>
        <v>0399354138</v>
      </c>
      <c r="K3000" s="2" t="str">
        <f ca="1">IFERROR(__xludf.DUMMYFUNCTION("""COMPUTED_VALUE"""),"1736025379723")</f>
        <v>1736025379723</v>
      </c>
    </row>
    <row r="3001" spans="1:11" ht="12.45">
      <c r="A3001" s="2" t="str">
        <f ca="1">IFERROR(__xludf.DUMMYFUNCTION("""COMPUTED_VALUE"""),"1736025411528")</f>
        <v>1736025411528</v>
      </c>
      <c r="B3001" s="2"/>
      <c r="C3001" s="2" t="str">
        <v>0</v>
      </c>
      <c r="D3001" s="2"/>
      <c r="F3001" s="2" t="str">
        <v>0</v>
      </c>
      <c r="I3001" s="2" t="str">
        <f ca="1">IFERROR(__xludf.DUMMYFUNCTION("""COMPUTED_VALUE"""),"Vũ Đình Đạt")</f>
        <v>Vũ Đình Đạt</v>
      </c>
      <c r="J3001" s="3" t="str">
        <f ca="1">IFERROR(__xludf.DUMMYFUNCTION("""COMPUTED_VALUE"""),"0849122389")</f>
        <v>0849122389</v>
      </c>
      <c r="K3001" s="2" t="str">
        <f ca="1">IFERROR(__xludf.DUMMYFUNCTION("""COMPUTED_VALUE"""),"1736025411528")</f>
        <v>1736025411528</v>
      </c>
    </row>
    <row r="3002" spans="1:11" ht="12.45">
      <c r="A3002" s="2" t="str">
        <f ca="1">IFERROR(__xludf.DUMMYFUNCTION("""COMPUTED_VALUE"""),"1736025448765")</f>
        <v>1736025448765</v>
      </c>
      <c r="B3002" s="2"/>
      <c r="C3002" s="2" t="str">
        <v>0</v>
      </c>
      <c r="D3002" s="2"/>
      <c r="F3002" s="2" t="str">
        <v>0</v>
      </c>
      <c r="I3002" s="2" t="str">
        <f ca="1">IFERROR(__xludf.DUMMYFUNCTION("""COMPUTED_VALUE"""),"NGUYỄN THỊ THUỲ LINH")</f>
        <v>NGUYỄN THỊ THUỲ LINH</v>
      </c>
      <c r="J3002" s="3" t="str">
        <f ca="1">IFERROR(__xludf.DUMMYFUNCTION("""COMPUTED_VALUE"""),"0966561785")</f>
        <v>0966561785</v>
      </c>
      <c r="K3002" s="2" t="str">
        <f ca="1">IFERROR(__xludf.DUMMYFUNCTION("""COMPUTED_VALUE"""),"1736025448765")</f>
        <v>1736025448765</v>
      </c>
    </row>
    <row r="3003" spans="1:11" ht="12.45">
      <c r="A3003" s="2" t="str">
        <f ca="1">IFERROR(__xludf.DUMMYFUNCTION("""COMPUTED_VALUE"""),"1736025477224")</f>
        <v>1736025477224</v>
      </c>
      <c r="B3003" s="2"/>
      <c r="C3003" s="2" t="str">
        <v>0</v>
      </c>
      <c r="D3003" s="2"/>
      <c r="F3003" s="2" t="str">
        <v>0</v>
      </c>
      <c r="I3003" s="2" t="str">
        <f ca="1">IFERROR(__xludf.DUMMYFUNCTION("""COMPUTED_VALUE"""),"Hoàng Lê Đức Minh ")</f>
        <v xml:space="preserve">Hoàng Lê Đức Minh </v>
      </c>
      <c r="J3003" s="3" t="str">
        <f ca="1">IFERROR(__xludf.DUMMYFUNCTION("""COMPUTED_VALUE"""),"0827612253")</f>
        <v>0827612253</v>
      </c>
      <c r="K3003" s="2" t="str">
        <f ca="1">IFERROR(__xludf.DUMMYFUNCTION("""COMPUTED_VALUE"""),"1736025477224")</f>
        <v>1736025477224</v>
      </c>
    </row>
    <row r="3004" spans="1:11" ht="12.45">
      <c r="A3004" s="2" t="str">
        <f ca="1">IFERROR(__xludf.DUMMYFUNCTION("""COMPUTED_VALUE"""),"1736025507548")</f>
        <v>1736025507548</v>
      </c>
      <c r="B3004" s="2"/>
      <c r="C3004" s="2" t="str">
        <v>0</v>
      </c>
      <c r="D3004" s="2"/>
      <c r="F3004" s="2" t="str">
        <v>0</v>
      </c>
      <c r="I3004" s="2" t="str">
        <f ca="1">IFERROR(__xludf.DUMMYFUNCTION("""COMPUTED_VALUE"""),"Đào Thị Mỹ Kiều")</f>
        <v>Đào Thị Mỹ Kiều</v>
      </c>
      <c r="J3004" s="3" t="str">
        <f ca="1">IFERROR(__xludf.DUMMYFUNCTION("""COMPUTED_VALUE"""),"0977073260")</f>
        <v>0977073260</v>
      </c>
      <c r="K3004" s="2" t="str">
        <f ca="1">IFERROR(__xludf.DUMMYFUNCTION("""COMPUTED_VALUE"""),"1736025507548")</f>
        <v>1736025507548</v>
      </c>
    </row>
    <row r="3005" spans="1:11" ht="12.45">
      <c r="A3005" s="2" t="str">
        <f ca="1">IFERROR(__xludf.DUMMYFUNCTION("""COMPUTED_VALUE"""),"1736025539294")</f>
        <v>1736025539294</v>
      </c>
      <c r="B3005" s="2"/>
      <c r="C3005" s="2" t="str">
        <v>0</v>
      </c>
      <c r="D3005" s="2"/>
      <c r="F3005" s="2" t="str">
        <v>0</v>
      </c>
      <c r="I3005" s="2" t="str">
        <f ca="1">IFERROR(__xludf.DUMMYFUNCTION("""COMPUTED_VALUE"""),"Phạm Trúc Mai Phương")</f>
        <v>Phạm Trúc Mai Phương</v>
      </c>
      <c r="J3005" s="3" t="str">
        <f ca="1">IFERROR(__xludf.DUMMYFUNCTION("""COMPUTED_VALUE"""),"0784351642")</f>
        <v>0784351642</v>
      </c>
      <c r="K3005" s="2" t="str">
        <f ca="1">IFERROR(__xludf.DUMMYFUNCTION("""COMPUTED_VALUE"""),"1736025539294")</f>
        <v>1736025539294</v>
      </c>
    </row>
    <row r="3006" spans="1:11" ht="12.45">
      <c r="A3006" s="2" t="str">
        <f ca="1">IFERROR(__xludf.DUMMYFUNCTION("""COMPUTED_VALUE"""),"1736025563769")</f>
        <v>1736025563769</v>
      </c>
      <c r="B3006" s="2"/>
      <c r="C3006" s="2" t="str">
        <v>0</v>
      </c>
      <c r="D3006" s="2"/>
      <c r="F3006" s="2" t="str">
        <v>0</v>
      </c>
      <c r="I3006" s="2" t="str">
        <f ca="1">IFERROR(__xludf.DUMMYFUNCTION("""COMPUTED_VALUE"""),"Dương Thị Thuý")</f>
        <v>Dương Thị Thuý</v>
      </c>
      <c r="J3006" s="3" t="str">
        <f ca="1">IFERROR(__xludf.DUMMYFUNCTION("""COMPUTED_VALUE"""),"0975796418")</f>
        <v>0975796418</v>
      </c>
      <c r="K3006" s="2" t="str">
        <f ca="1">IFERROR(__xludf.DUMMYFUNCTION("""COMPUTED_VALUE"""),"1736025563769")</f>
        <v>1736025563769</v>
      </c>
    </row>
    <row r="3007" spans="1:11" ht="12.45">
      <c r="A3007" s="2" t="str">
        <f ca="1">IFERROR(__xludf.DUMMYFUNCTION("""COMPUTED_VALUE"""),"1736025590732")</f>
        <v>1736025590732</v>
      </c>
      <c r="B3007" s="2"/>
      <c r="C3007" s="2" t="str">
        <v>0</v>
      </c>
      <c r="D3007" s="2"/>
      <c r="F3007" s="2" t="str">
        <v>0</v>
      </c>
      <c r="I3007" s="2" t="str">
        <f ca="1">IFERROR(__xludf.DUMMYFUNCTION("""COMPUTED_VALUE"""),"Trần Khánh Khuê Nghi")</f>
        <v>Trần Khánh Khuê Nghi</v>
      </c>
      <c r="J3007" s="3" t="str">
        <f ca="1">IFERROR(__xludf.DUMMYFUNCTION("""COMPUTED_VALUE"""),"0899209691")</f>
        <v>0899209691</v>
      </c>
      <c r="K3007" s="2" t="str">
        <f ca="1">IFERROR(__xludf.DUMMYFUNCTION("""COMPUTED_VALUE"""),"1736025590732")</f>
        <v>1736025590732</v>
      </c>
    </row>
    <row r="3008" spans="1:11" ht="12.45">
      <c r="A3008" s="2" t="str">
        <f ca="1">IFERROR(__xludf.DUMMYFUNCTION("""COMPUTED_VALUE"""),"1736025617230")</f>
        <v>1736025617230</v>
      </c>
      <c r="B3008" s="2"/>
      <c r="C3008" s="2" t="str">
        <v>0</v>
      </c>
      <c r="D3008" s="2"/>
      <c r="F3008" s="2" t="str">
        <v>0</v>
      </c>
      <c r="I3008" s="2" t="str">
        <f ca="1">IFERROR(__xludf.DUMMYFUNCTION("""COMPUTED_VALUE"""),"Nguyễn hoàng ái tâm ")</f>
        <v xml:space="preserve">Nguyễn hoàng ái tâm </v>
      </c>
      <c r="J3008" s="3" t="str">
        <f ca="1">IFERROR(__xludf.DUMMYFUNCTION("""COMPUTED_VALUE"""),"0971145206")</f>
        <v>0971145206</v>
      </c>
      <c r="K3008" s="2" t="str">
        <f ca="1">IFERROR(__xludf.DUMMYFUNCTION("""COMPUTED_VALUE"""),"1736025617230")</f>
        <v>1736025617230</v>
      </c>
    </row>
    <row r="3009" spans="1:11" ht="12.45">
      <c r="A3009" s="2" t="str">
        <f ca="1">IFERROR(__xludf.DUMMYFUNCTION("""COMPUTED_VALUE"""),"1736025640341")</f>
        <v>1736025640341</v>
      </c>
      <c r="B3009" s="2"/>
      <c r="C3009" s="2" t="str">
        <v>0</v>
      </c>
      <c r="D3009" s="2"/>
      <c r="F3009" s="2" t="str">
        <v>0</v>
      </c>
      <c r="I3009" s="2" t="str">
        <f ca="1">IFERROR(__xludf.DUMMYFUNCTION("""COMPUTED_VALUE"""),"Nguyễn Thị Ngọc Oanh ")</f>
        <v xml:space="preserve">Nguyễn Thị Ngọc Oanh </v>
      </c>
      <c r="J3009" s="3" t="str">
        <f ca="1">IFERROR(__xludf.DUMMYFUNCTION("""COMPUTED_VALUE"""),"0934577318")</f>
        <v>0934577318</v>
      </c>
      <c r="K3009" s="2" t="str">
        <f ca="1">IFERROR(__xludf.DUMMYFUNCTION("""COMPUTED_VALUE"""),"1736025640341")</f>
        <v>1736025640341</v>
      </c>
    </row>
    <row r="3010" spans="1:11" ht="12.45">
      <c r="A3010" s="2" t="str">
        <f ca="1">IFERROR(__xludf.DUMMYFUNCTION("""COMPUTED_VALUE"""),"1736025669652")</f>
        <v>1736025669652</v>
      </c>
      <c r="B3010" s="2"/>
      <c r="C3010" s="2" t="str">
        <v>0</v>
      </c>
      <c r="D3010" s="2"/>
      <c r="F3010" s="2" t="str">
        <v>0</v>
      </c>
      <c r="I3010" s="2" t="str">
        <f ca="1">IFERROR(__xludf.DUMMYFUNCTION("""COMPUTED_VALUE"""),"Nguyễn Thị Hà ")</f>
        <v xml:space="preserve">Nguyễn Thị Hà </v>
      </c>
      <c r="J3010" s="3" t="str">
        <f ca="1">IFERROR(__xludf.DUMMYFUNCTION("""COMPUTED_VALUE"""),"0972322531")</f>
        <v>0972322531</v>
      </c>
      <c r="K3010" s="2" t="str">
        <f ca="1">IFERROR(__xludf.DUMMYFUNCTION("""COMPUTED_VALUE"""),"1736025669652")</f>
        <v>1736025669652</v>
      </c>
    </row>
    <row r="3011" spans="1:11" ht="12.45">
      <c r="A3011" s="2" t="str">
        <f ca="1">IFERROR(__xludf.DUMMYFUNCTION("""COMPUTED_VALUE"""),"1736025705149")</f>
        <v>1736025705149</v>
      </c>
      <c r="B3011" s="2"/>
      <c r="C3011" s="2" t="str">
        <v>0</v>
      </c>
      <c r="D3011" s="2"/>
      <c r="F3011" s="2" t="str">
        <v>0</v>
      </c>
      <c r="I3011" s="2" t="str">
        <f ca="1">IFERROR(__xludf.DUMMYFUNCTION("""COMPUTED_VALUE"""),"nguyễn ngọc thảo vy ")</f>
        <v xml:space="preserve">nguyễn ngọc thảo vy </v>
      </c>
      <c r="J3011" s="3" t="str">
        <f ca="1">IFERROR(__xludf.DUMMYFUNCTION("""COMPUTED_VALUE"""),"0971238709")</f>
        <v>0971238709</v>
      </c>
      <c r="K3011" s="2" t="str">
        <f ca="1">IFERROR(__xludf.DUMMYFUNCTION("""COMPUTED_VALUE"""),"1736025705149")</f>
        <v>1736025705149</v>
      </c>
    </row>
    <row r="3012" spans="1:11" ht="12.45">
      <c r="A3012" s="2" t="str">
        <f ca="1">IFERROR(__xludf.DUMMYFUNCTION("""COMPUTED_VALUE"""),"1736025735681")</f>
        <v>1736025735681</v>
      </c>
      <c r="B3012" s="2"/>
      <c r="C3012" s="2" t="str">
        <v>0</v>
      </c>
      <c r="D3012" s="2"/>
      <c r="F3012" s="2" t="str">
        <v>0</v>
      </c>
      <c r="I3012" s="2" t="str">
        <f ca="1">IFERROR(__xludf.DUMMYFUNCTION("""COMPUTED_VALUE"""),"Vũ yến nhi")</f>
        <v>Vũ yến nhi</v>
      </c>
      <c r="J3012" s="3" t="str">
        <f ca="1">IFERROR(__xludf.DUMMYFUNCTION("""COMPUTED_VALUE"""),"0356912495")</f>
        <v>0356912495</v>
      </c>
      <c r="K3012" s="2" t="str">
        <f ca="1">IFERROR(__xludf.DUMMYFUNCTION("""COMPUTED_VALUE"""),"1736025735681")</f>
        <v>1736025735681</v>
      </c>
    </row>
    <row r="3013" spans="1:11" ht="12.45">
      <c r="A3013" s="2" t="str">
        <f ca="1">IFERROR(__xludf.DUMMYFUNCTION("""COMPUTED_VALUE"""),"1736025769238")</f>
        <v>1736025769238</v>
      </c>
      <c r="B3013" s="2"/>
      <c r="C3013" s="2" t="str">
        <v>0</v>
      </c>
      <c r="D3013" s="2"/>
      <c r="F3013" s="2" t="str">
        <v>0</v>
      </c>
      <c r="I3013" s="2" t="str">
        <f ca="1">IFERROR(__xludf.DUMMYFUNCTION("""COMPUTED_VALUE"""),"Nguyễn Thị Phương Vi")</f>
        <v>Nguyễn Thị Phương Vi</v>
      </c>
      <c r="J3013" s="3" t="str">
        <f ca="1">IFERROR(__xludf.DUMMYFUNCTION("""COMPUTED_VALUE"""),"0339565221")</f>
        <v>0339565221</v>
      </c>
      <c r="K3013" s="2" t="str">
        <f ca="1">IFERROR(__xludf.DUMMYFUNCTION("""COMPUTED_VALUE"""),"1736025769238")</f>
        <v>1736025769238</v>
      </c>
    </row>
    <row r="3014" spans="1:11" ht="12.45">
      <c r="A3014" s="2" t="str">
        <f ca="1">IFERROR(__xludf.DUMMYFUNCTION("""COMPUTED_VALUE"""),"1736025796638")</f>
        <v>1736025796638</v>
      </c>
      <c r="B3014" s="2"/>
      <c r="C3014" s="2" t="str">
        <v>0</v>
      </c>
      <c r="D3014" s="2"/>
      <c r="F3014" s="2" t="str">
        <v>0</v>
      </c>
      <c r="I3014" s="2" t="str">
        <f ca="1">IFERROR(__xludf.DUMMYFUNCTION("""COMPUTED_VALUE"""),"Ngô Thế Đạt")</f>
        <v>Ngô Thế Đạt</v>
      </c>
      <c r="J3014" s="3" t="str">
        <f ca="1">IFERROR(__xludf.DUMMYFUNCTION("""COMPUTED_VALUE"""),"0356863191")</f>
        <v>0356863191</v>
      </c>
      <c r="K3014" s="2" t="str">
        <f ca="1">IFERROR(__xludf.DUMMYFUNCTION("""COMPUTED_VALUE"""),"1736025796638")</f>
        <v>1736025796638</v>
      </c>
    </row>
    <row r="3015" spans="1:11" ht="12.45">
      <c r="A3015" s="2" t="str">
        <f ca="1">IFERROR(__xludf.DUMMYFUNCTION("""COMPUTED_VALUE"""),"1736025819340")</f>
        <v>1736025819340</v>
      </c>
      <c r="B3015" s="2"/>
      <c r="C3015" s="2" t="str">
        <v>0</v>
      </c>
      <c r="D3015" s="2"/>
      <c r="F3015" s="2" t="str">
        <v>0</v>
      </c>
      <c r="I3015" s="2" t="str">
        <f ca="1">IFERROR(__xludf.DUMMYFUNCTION("""COMPUTED_VALUE"""),"Đặng Thị Loan")</f>
        <v>Đặng Thị Loan</v>
      </c>
      <c r="J3015" s="3" t="str">
        <f ca="1">IFERROR(__xludf.DUMMYFUNCTION("""COMPUTED_VALUE"""),"0945628456")</f>
        <v>0945628456</v>
      </c>
      <c r="K3015" s="2" t="str">
        <f ca="1">IFERROR(__xludf.DUMMYFUNCTION("""COMPUTED_VALUE"""),"1736025819340")</f>
        <v>1736025819340</v>
      </c>
    </row>
    <row r="3016" spans="1:11" ht="12.45">
      <c r="A3016" s="2" t="str">
        <f ca="1">IFERROR(__xludf.DUMMYFUNCTION("""COMPUTED_VALUE"""),"1736025845333")</f>
        <v>1736025845333</v>
      </c>
      <c r="B3016" s="2"/>
      <c r="C3016" s="2" t="str">
        <v>0</v>
      </c>
      <c r="D3016" s="2"/>
      <c r="F3016" s="2" t="str">
        <v>0</v>
      </c>
      <c r="I3016" s="2" t="str">
        <f ca="1">IFERROR(__xludf.DUMMYFUNCTION("""COMPUTED_VALUE"""),"Vũ Bảo Châu")</f>
        <v>Vũ Bảo Châu</v>
      </c>
      <c r="J3016" s="3" t="str">
        <f ca="1">IFERROR(__xludf.DUMMYFUNCTION("""COMPUTED_VALUE"""),"0868008893")</f>
        <v>0868008893</v>
      </c>
      <c r="K3016" s="2" t="str">
        <f ca="1">IFERROR(__xludf.DUMMYFUNCTION("""COMPUTED_VALUE"""),"1736025845333")</f>
        <v>1736025845333</v>
      </c>
    </row>
    <row r="3017" spans="1:11" ht="12.45">
      <c r="A3017" s="2" t="str">
        <f ca="1">IFERROR(__xludf.DUMMYFUNCTION("""COMPUTED_VALUE"""),"1736025877329")</f>
        <v>1736025877329</v>
      </c>
      <c r="B3017" s="2"/>
      <c r="C3017" s="2" t="str">
        <v>0</v>
      </c>
      <c r="D3017" s="2"/>
      <c r="F3017" s="2" t="str">
        <v>0</v>
      </c>
      <c r="I3017" s="2" t="str">
        <f ca="1">IFERROR(__xludf.DUMMYFUNCTION("""COMPUTED_VALUE"""),"Huỳnh Ngọc Tiên")</f>
        <v>Huỳnh Ngọc Tiên</v>
      </c>
      <c r="J3017" s="3" t="str">
        <f ca="1">IFERROR(__xludf.DUMMYFUNCTION("""COMPUTED_VALUE"""),"0934902641")</f>
        <v>0934902641</v>
      </c>
      <c r="K3017" s="2" t="str">
        <f ca="1">IFERROR(__xludf.DUMMYFUNCTION("""COMPUTED_VALUE"""),"1736025877329")</f>
        <v>1736025877329</v>
      </c>
    </row>
    <row r="3018" spans="1:11" ht="12.45">
      <c r="A3018" s="2" t="str">
        <f ca="1">IFERROR(__xludf.DUMMYFUNCTION("""COMPUTED_VALUE"""),"1736025910041")</f>
        <v>1736025910041</v>
      </c>
      <c r="B3018" s="2"/>
      <c r="C3018" s="2" t="str">
        <v>0</v>
      </c>
      <c r="D3018" s="2"/>
      <c r="F3018" s="2" t="str">
        <v>0</v>
      </c>
      <c r="I3018" s="2" t="str">
        <f ca="1">IFERROR(__xludf.DUMMYFUNCTION("""COMPUTED_VALUE"""),"Trần Thị Thu Trang ")</f>
        <v xml:space="preserve">Trần Thị Thu Trang </v>
      </c>
      <c r="J3018" s="3" t="str">
        <f ca="1">IFERROR(__xludf.DUMMYFUNCTION("""COMPUTED_VALUE"""),"0962852490")</f>
        <v>0962852490</v>
      </c>
      <c r="K3018" s="2" t="str">
        <f ca="1">IFERROR(__xludf.DUMMYFUNCTION("""COMPUTED_VALUE"""),"1736025910041")</f>
        <v>1736025910041</v>
      </c>
    </row>
    <row r="3019" spans="1:11" ht="12.45">
      <c r="A3019" s="2" t="str">
        <f ca="1">IFERROR(__xludf.DUMMYFUNCTION("""COMPUTED_VALUE"""),"1736025939192")</f>
        <v>1736025939192</v>
      </c>
      <c r="B3019" s="2"/>
      <c r="C3019" s="2" t="str">
        <v>0</v>
      </c>
      <c r="D3019" s="2"/>
      <c r="F3019" s="2" t="str">
        <v>0</v>
      </c>
      <c r="I3019" s="2" t="str">
        <f ca="1">IFERROR(__xludf.DUMMYFUNCTION("""COMPUTED_VALUE"""),"Doãn Nguyễn Bình An ")</f>
        <v xml:space="preserve">Doãn Nguyễn Bình An </v>
      </c>
      <c r="J3019" s="3" t="str">
        <f ca="1">IFERROR(__xludf.DUMMYFUNCTION("""COMPUTED_VALUE"""),"0342650945")</f>
        <v>0342650945</v>
      </c>
      <c r="K3019" s="2" t="str">
        <f ca="1">IFERROR(__xludf.DUMMYFUNCTION("""COMPUTED_VALUE"""),"1736025939192")</f>
        <v>1736025939192</v>
      </c>
    </row>
    <row r="3020" spans="1:11" ht="12.45">
      <c r="A3020" s="2" t="str">
        <f ca="1">IFERROR(__xludf.DUMMYFUNCTION("""COMPUTED_VALUE"""),"1736025968884")</f>
        <v>1736025968884</v>
      </c>
      <c r="B3020" s="2"/>
      <c r="C3020" s="2" t="str">
        <v>0</v>
      </c>
      <c r="D3020" s="2"/>
      <c r="F3020" s="2" t="str">
        <v>0</v>
      </c>
      <c r="I3020" s="2" t="str">
        <f ca="1">IFERROR(__xludf.DUMMYFUNCTION("""COMPUTED_VALUE"""),"Trần Hồng Ngọc ")</f>
        <v xml:space="preserve">Trần Hồng Ngọc </v>
      </c>
      <c r="J3020" s="3" t="str">
        <f ca="1">IFERROR(__xludf.DUMMYFUNCTION("""COMPUTED_VALUE"""),"0888101152")</f>
        <v>0888101152</v>
      </c>
      <c r="K3020" s="2" t="str">
        <f ca="1">IFERROR(__xludf.DUMMYFUNCTION("""COMPUTED_VALUE"""),"1736025968884")</f>
        <v>1736025968884</v>
      </c>
    </row>
    <row r="3021" spans="1:11" ht="12.45">
      <c r="A3021" s="2" t="str">
        <f ca="1">IFERROR(__xludf.DUMMYFUNCTION("""COMPUTED_VALUE"""),"1736025995055")</f>
        <v>1736025995055</v>
      </c>
      <c r="B3021" s="2"/>
      <c r="C3021" s="2" t="str">
        <v>0</v>
      </c>
      <c r="D3021" s="2"/>
      <c r="F3021" s="2" t="str">
        <v>0</v>
      </c>
      <c r="I3021" s="2" t="str">
        <f ca="1">IFERROR(__xludf.DUMMYFUNCTION("""COMPUTED_VALUE"""),"Phan Thị Xuân Mai")</f>
        <v>Phan Thị Xuân Mai</v>
      </c>
      <c r="J3021" s="3" t="str">
        <f ca="1">IFERROR(__xludf.DUMMYFUNCTION("""COMPUTED_VALUE"""),"0377796823")</f>
        <v>0377796823</v>
      </c>
      <c r="K3021" s="2" t="str">
        <f ca="1">IFERROR(__xludf.DUMMYFUNCTION("""COMPUTED_VALUE"""),"1736025995055")</f>
        <v>1736025995055</v>
      </c>
    </row>
    <row r="3022" spans="1:11" ht="12.45">
      <c r="A3022" s="2" t="str">
        <f ca="1">IFERROR(__xludf.DUMMYFUNCTION("""COMPUTED_VALUE"""),"1736026020514")</f>
        <v>1736026020514</v>
      </c>
      <c r="B3022" s="2"/>
      <c r="C3022" s="2" t="str">
        <v>0</v>
      </c>
      <c r="D3022" s="2"/>
      <c r="F3022" s="2" t="str">
        <v>0</v>
      </c>
      <c r="I3022" s="2" t="str">
        <f ca="1">IFERROR(__xludf.DUMMYFUNCTION("""COMPUTED_VALUE"""),"Nguyễn Hoàng Bảo Ngọc")</f>
        <v>Nguyễn Hoàng Bảo Ngọc</v>
      </c>
      <c r="J3022" s="3" t="str">
        <f ca="1">IFERROR(__xludf.DUMMYFUNCTION("""COMPUTED_VALUE"""),"0936629121")</f>
        <v>0936629121</v>
      </c>
      <c r="K3022" s="2" t="str">
        <f ca="1">IFERROR(__xludf.DUMMYFUNCTION("""COMPUTED_VALUE"""),"1736026020514")</f>
        <v>1736026020514</v>
      </c>
    </row>
    <row r="3023" spans="1:11" ht="12.45">
      <c r="A3023" s="2" t="str">
        <f ca="1">IFERROR(__xludf.DUMMYFUNCTION("""COMPUTED_VALUE"""),"1736026059059")</f>
        <v>1736026059059</v>
      </c>
      <c r="B3023" s="2"/>
      <c r="C3023" s="2" t="str">
        <v>0</v>
      </c>
      <c r="D3023" s="2"/>
      <c r="F3023" s="2" t="str">
        <v>0</v>
      </c>
      <c r="I3023" s="2" t="str">
        <f ca="1">IFERROR(__xludf.DUMMYFUNCTION("""COMPUTED_VALUE"""),"Lưu Hà Ly")</f>
        <v>Lưu Hà Ly</v>
      </c>
      <c r="J3023" s="3" t="str">
        <f ca="1">IFERROR(__xludf.DUMMYFUNCTION("""COMPUTED_VALUE"""),"0348419883")</f>
        <v>0348419883</v>
      </c>
      <c r="K3023" s="2" t="str">
        <f ca="1">IFERROR(__xludf.DUMMYFUNCTION("""COMPUTED_VALUE"""),"1736026059059")</f>
        <v>1736026059059</v>
      </c>
    </row>
    <row r="3024" spans="1:11" ht="12.45">
      <c r="A3024" s="2" t="str">
        <f ca="1">IFERROR(__xludf.DUMMYFUNCTION("""COMPUTED_VALUE"""),"1736026083507")</f>
        <v>1736026083507</v>
      </c>
      <c r="B3024" s="2"/>
      <c r="C3024" s="2" t="str">
        <v>0</v>
      </c>
      <c r="D3024" s="2"/>
      <c r="F3024" s="2" t="str">
        <v>0</v>
      </c>
      <c r="I3024" s="2" t="str">
        <f ca="1">IFERROR(__xludf.DUMMYFUNCTION("""COMPUTED_VALUE"""),"Nguyễn Kim Ngân")</f>
        <v>Nguyễn Kim Ngân</v>
      </c>
      <c r="J3024" s="3" t="str">
        <f ca="1">IFERROR(__xludf.DUMMYFUNCTION("""COMPUTED_VALUE"""),"0328339207")</f>
        <v>0328339207</v>
      </c>
      <c r="K3024" s="2" t="str">
        <f ca="1">IFERROR(__xludf.DUMMYFUNCTION("""COMPUTED_VALUE"""),"1736026083507")</f>
        <v>1736026083507</v>
      </c>
    </row>
    <row r="3025" spans="1:11" ht="12.45">
      <c r="A3025" s="2" t="str">
        <f ca="1">IFERROR(__xludf.DUMMYFUNCTION("""COMPUTED_VALUE"""),"1736026108622")</f>
        <v>1736026108622</v>
      </c>
      <c r="B3025" s="2"/>
      <c r="C3025" s="2" t="str">
        <v>0</v>
      </c>
      <c r="D3025" s="2"/>
      <c r="F3025" s="2" t="str">
        <v>0</v>
      </c>
      <c r="I3025" s="2" t="str">
        <f ca="1">IFERROR(__xludf.DUMMYFUNCTION("""COMPUTED_VALUE"""),"Đặng Ngọc Linh")</f>
        <v>Đặng Ngọc Linh</v>
      </c>
      <c r="J3025" s="3" t="str">
        <f ca="1">IFERROR(__xludf.DUMMYFUNCTION("""COMPUTED_VALUE"""),"0347437886")</f>
        <v>0347437886</v>
      </c>
      <c r="K3025" s="2" t="str">
        <f ca="1">IFERROR(__xludf.DUMMYFUNCTION("""COMPUTED_VALUE"""),"1736026108622")</f>
        <v>1736026108622</v>
      </c>
    </row>
    <row r="3026" spans="1:11" ht="12.45">
      <c r="A3026" s="2" t="str">
        <f ca="1">IFERROR(__xludf.DUMMYFUNCTION("""COMPUTED_VALUE"""),"1736026148083")</f>
        <v>1736026148083</v>
      </c>
      <c r="B3026" s="2"/>
      <c r="C3026" s="2" t="str">
        <v>0</v>
      </c>
      <c r="D3026" s="2"/>
      <c r="F3026" s="2" t="str">
        <v>0</v>
      </c>
      <c r="I3026" s="2" t="str">
        <f ca="1">IFERROR(__xludf.DUMMYFUNCTION("""COMPUTED_VALUE"""),"Phạm Uyên Nhi")</f>
        <v>Phạm Uyên Nhi</v>
      </c>
      <c r="J3026" s="3" t="str">
        <f ca="1">IFERROR(__xludf.DUMMYFUNCTION("""COMPUTED_VALUE"""),"0967660300")</f>
        <v>0967660300</v>
      </c>
      <c r="K3026" s="2" t="str">
        <f ca="1">IFERROR(__xludf.DUMMYFUNCTION("""COMPUTED_VALUE"""),"1736026148083")</f>
        <v>1736026148083</v>
      </c>
    </row>
    <row r="3027" spans="1:11" ht="12.45">
      <c r="A3027" s="2" t="str">
        <f ca="1">IFERROR(__xludf.DUMMYFUNCTION("""COMPUTED_VALUE"""),"1736026181354")</f>
        <v>1736026181354</v>
      </c>
      <c r="B3027" s="2"/>
      <c r="C3027" s="2" t="str">
        <v>0</v>
      </c>
      <c r="D3027" s="2"/>
      <c r="F3027" s="2" t="str">
        <v>0</v>
      </c>
      <c r="I3027" s="2" t="str">
        <f ca="1">IFERROR(__xludf.DUMMYFUNCTION("""COMPUTED_VALUE"""),"Nguyễn Huỳnh Cẩm Ly")</f>
        <v>Nguyễn Huỳnh Cẩm Ly</v>
      </c>
      <c r="J3027" s="3" t="str">
        <f ca="1">IFERROR(__xludf.DUMMYFUNCTION("""COMPUTED_VALUE"""),"0367436945")</f>
        <v>0367436945</v>
      </c>
      <c r="K3027" s="2" t="str">
        <f ca="1">IFERROR(__xludf.DUMMYFUNCTION("""COMPUTED_VALUE"""),"1736026181354")</f>
        <v>1736026181354</v>
      </c>
    </row>
    <row r="3028" spans="1:11" ht="12.45">
      <c r="A3028" s="2" t="str">
        <f ca="1">IFERROR(__xludf.DUMMYFUNCTION("""COMPUTED_VALUE"""),"1748265399162")</f>
        <v>1748265399162</v>
      </c>
      <c r="B3028" s="2"/>
      <c r="C3028" s="2" t="str">
        <v>0</v>
      </c>
      <c r="D3028" s="2"/>
      <c r="F3028" s="2" t="str">
        <v>0</v>
      </c>
      <c r="I3028" s="3" t="str">
        <f ca="1">IFERROR(__xludf.DUMMYFUNCTION("""COMPUTED_VALUE"""),"Nguyễn Nhật Minh")</f>
        <v>Nguyễn Nhật Minh</v>
      </c>
      <c r="J3028" s="3" t="str">
        <f ca="1">IFERROR(__xludf.DUMMYFUNCTION("""COMPUTED_VALUE"""),"0935114469")</f>
        <v>0935114469</v>
      </c>
      <c r="K3028" s="2" t="str">
        <f ca="1">IFERROR(__xludf.DUMMYFUNCTION("""COMPUTED_VALUE"""),"1748265399162")</f>
        <v>1748265399162</v>
      </c>
    </row>
    <row r="3029" spans="1:11" ht="12.45">
      <c r="A3029" s="2" t="str">
        <f ca="1">IFERROR(__xludf.DUMMYFUNCTION("""COMPUTED_VALUE"""),"1736026252165")</f>
        <v>1736026252165</v>
      </c>
      <c r="B3029" s="2"/>
      <c r="C3029" s="2" t="str">
        <v>0</v>
      </c>
      <c r="D3029" s="2"/>
      <c r="F3029" s="2" t="str">
        <v>0</v>
      </c>
      <c r="I3029" s="3" t="str">
        <f ca="1">IFERROR(__xludf.DUMMYFUNCTION("""COMPUTED_VALUE"""),"Võ Thị Ngọc Huyền")</f>
        <v>Võ Thị Ngọc Huyền</v>
      </c>
      <c r="J3029" s="3" t="str">
        <f ca="1">IFERROR(__xludf.DUMMYFUNCTION("""COMPUTED_VALUE"""),"0862729536")</f>
        <v>0862729536</v>
      </c>
      <c r="K3029" s="2" t="str">
        <f ca="1">IFERROR(__xludf.DUMMYFUNCTION("""COMPUTED_VALUE"""),"1736026252165")</f>
        <v>1736026252165</v>
      </c>
    </row>
    <row r="3030" spans="1:11" ht="12.45">
      <c r="A3030" s="2" t="str">
        <f ca="1">IFERROR(__xludf.DUMMYFUNCTION("""COMPUTED_VALUE"""),"1736026291175")</f>
        <v>1736026291175</v>
      </c>
      <c r="B3030" s="2"/>
      <c r="C3030" s="2" t="str">
        <v>0</v>
      </c>
      <c r="D3030" s="2"/>
      <c r="F3030" s="2" t="str">
        <v>0</v>
      </c>
      <c r="I3030" s="3" t="str">
        <f ca="1">IFERROR(__xludf.DUMMYFUNCTION("""COMPUTED_VALUE"""),"Trần Kim Phú")</f>
        <v>Trần Kim Phú</v>
      </c>
      <c r="J3030" s="3" t="str">
        <f ca="1">IFERROR(__xludf.DUMMYFUNCTION("""COMPUTED_VALUE"""),"0886435257")</f>
        <v>0886435257</v>
      </c>
      <c r="K3030" s="2" t="str">
        <f ca="1">IFERROR(__xludf.DUMMYFUNCTION("""COMPUTED_VALUE"""),"1736026291175")</f>
        <v>1736026291175</v>
      </c>
    </row>
    <row r="3031" spans="1:11" ht="12.45">
      <c r="A3031" s="2" t="str">
        <f ca="1">IFERROR(__xludf.DUMMYFUNCTION("""COMPUTED_VALUE"""),"1736026315474")</f>
        <v>1736026315474</v>
      </c>
      <c r="B3031" s="2"/>
      <c r="C3031" s="2" t="str">
        <v>0</v>
      </c>
      <c r="D3031" s="2"/>
      <c r="F3031" s="2" t="str">
        <v>0</v>
      </c>
      <c r="I3031" s="3" t="str">
        <f ca="1">IFERROR(__xludf.DUMMYFUNCTION("""COMPUTED_VALUE"""),"Nguyễn Thị Xuân Nguyên")</f>
        <v>Nguyễn Thị Xuân Nguyên</v>
      </c>
      <c r="J3031" s="3" t="str">
        <f ca="1">IFERROR(__xludf.DUMMYFUNCTION("""COMPUTED_VALUE"""),"0911206625")</f>
        <v>0911206625</v>
      </c>
      <c r="K3031" s="2" t="str">
        <f ca="1">IFERROR(__xludf.DUMMYFUNCTION("""COMPUTED_VALUE"""),"1736026315474")</f>
        <v>1736026315474</v>
      </c>
    </row>
    <row r="3032" spans="1:11" ht="12.45">
      <c r="A3032" s="2" t="str">
        <f ca="1">IFERROR(__xludf.DUMMYFUNCTION("""COMPUTED_VALUE"""),"1736026345833")</f>
        <v>1736026345833</v>
      </c>
      <c r="B3032" s="2"/>
      <c r="C3032" s="2" t="str">
        <v>0</v>
      </c>
      <c r="D3032" s="2"/>
      <c r="F3032" s="2" t="str">
        <v>0</v>
      </c>
      <c r="I3032" s="3" t="str">
        <f ca="1">IFERROR(__xludf.DUMMYFUNCTION("""COMPUTED_VALUE"""),"Phạm Như Ý")</f>
        <v>Phạm Như Ý</v>
      </c>
      <c r="J3032" s="3" t="str">
        <f ca="1">IFERROR(__xludf.DUMMYFUNCTION("""COMPUTED_VALUE"""),"0369463321")</f>
        <v>0369463321</v>
      </c>
      <c r="K3032" s="2" t="str">
        <f ca="1">IFERROR(__xludf.DUMMYFUNCTION("""COMPUTED_VALUE"""),"1736026345833")</f>
        <v>1736026345833</v>
      </c>
    </row>
    <row r="3033" spans="1:11" ht="12.45">
      <c r="A3033" s="2" t="str">
        <f ca="1">IFERROR(__xludf.DUMMYFUNCTION("""COMPUTED_VALUE"""),"1736026380115")</f>
        <v>1736026380115</v>
      </c>
      <c r="B3033" s="2"/>
      <c r="C3033" s="2" t="str">
        <v>0</v>
      </c>
      <c r="D3033" s="2"/>
      <c r="F3033" s="2" t="str">
        <v>0</v>
      </c>
      <c r="I3033" s="3" t="str">
        <f ca="1">IFERROR(__xludf.DUMMYFUNCTION("""COMPUTED_VALUE"""),"Nguyễn Thị Uyên Nhi")</f>
        <v>Nguyễn Thị Uyên Nhi</v>
      </c>
      <c r="J3033" s="3" t="str">
        <f ca="1">IFERROR(__xludf.DUMMYFUNCTION("""COMPUTED_VALUE"""),"0327272203")</f>
        <v>0327272203</v>
      </c>
      <c r="K3033" s="2" t="str">
        <f ca="1">IFERROR(__xludf.DUMMYFUNCTION("""COMPUTED_VALUE"""),"1736026380115")</f>
        <v>1736026380115</v>
      </c>
    </row>
    <row r="3034" spans="1:11" ht="12.45">
      <c r="A3034" s="2" t="str">
        <f ca="1">IFERROR(__xludf.DUMMYFUNCTION("""COMPUTED_VALUE"""),"1736026407309")</f>
        <v>1736026407309</v>
      </c>
      <c r="B3034" s="2"/>
      <c r="C3034" s="2" t="str">
        <v>0</v>
      </c>
      <c r="D3034" s="2"/>
      <c r="F3034" s="2" t="str">
        <v>0</v>
      </c>
      <c r="I3034" s="3" t="str">
        <f ca="1">IFERROR(__xludf.DUMMYFUNCTION("""COMPUTED_VALUE"""),"Trần Mai Phương")</f>
        <v>Trần Mai Phương</v>
      </c>
      <c r="J3034" s="3" t="str">
        <f ca="1">IFERROR(__xludf.DUMMYFUNCTION("""COMPUTED_VALUE"""),"0812389676")</f>
        <v>0812389676</v>
      </c>
      <c r="K3034" s="2" t="str">
        <f ca="1">IFERROR(__xludf.DUMMYFUNCTION("""COMPUTED_VALUE"""),"1736026407309")</f>
        <v>1736026407309</v>
      </c>
    </row>
    <row r="3035" spans="1:11" ht="12.45">
      <c r="A3035" s="2" t="str">
        <f ca="1">IFERROR(__xludf.DUMMYFUNCTION("""COMPUTED_VALUE"""),"1736026432015")</f>
        <v>1736026432015</v>
      </c>
      <c r="B3035" s="2"/>
      <c r="C3035" s="2" t="str">
        <v>0</v>
      </c>
      <c r="D3035" s="2"/>
      <c r="F3035" s="2" t="str">
        <v>0</v>
      </c>
      <c r="I3035" s="3" t="str">
        <f ca="1">IFERROR(__xludf.DUMMYFUNCTION("""COMPUTED_VALUE"""),"Nguyễn Thị Thanh Xuân ")</f>
        <v xml:space="preserve">Nguyễn Thị Thanh Xuân </v>
      </c>
      <c r="J3035" s="3" t="str">
        <f ca="1">IFERROR(__xludf.DUMMYFUNCTION("""COMPUTED_VALUE"""),"0386122949")</f>
        <v>0386122949</v>
      </c>
      <c r="K3035" s="2" t="str">
        <f ca="1">IFERROR(__xludf.DUMMYFUNCTION("""COMPUTED_VALUE"""),"1736026432015")</f>
        <v>1736026432015</v>
      </c>
    </row>
    <row r="3036" spans="1:11" ht="12.45">
      <c r="A3036" s="2" t="str">
        <f ca="1">IFERROR(__xludf.DUMMYFUNCTION("""COMPUTED_VALUE"""),"1736026454733")</f>
        <v>1736026454733</v>
      </c>
      <c r="B3036" s="2"/>
      <c r="C3036" s="2" t="str">
        <v>0</v>
      </c>
      <c r="D3036" s="2"/>
      <c r="F3036" s="2" t="str">
        <v>0</v>
      </c>
      <c r="I3036" s="3" t="str">
        <f ca="1">IFERROR(__xludf.DUMMYFUNCTION("""COMPUTED_VALUE"""),"Dương Bảo Ngọc")</f>
        <v>Dương Bảo Ngọc</v>
      </c>
      <c r="J3036" s="3" t="str">
        <f ca="1">IFERROR(__xludf.DUMMYFUNCTION("""COMPUTED_VALUE"""),"0865031612")</f>
        <v>0865031612</v>
      </c>
      <c r="K3036" s="2" t="str">
        <f ca="1">IFERROR(__xludf.DUMMYFUNCTION("""COMPUTED_VALUE"""),"1736026454733")</f>
        <v>1736026454733</v>
      </c>
    </row>
    <row r="3037" spans="1:11" ht="12.45">
      <c r="A3037" s="2" t="str">
        <f ca="1">IFERROR(__xludf.DUMMYFUNCTION("""COMPUTED_VALUE"""),"1736026483918")</f>
        <v>1736026483918</v>
      </c>
      <c r="B3037" s="2"/>
      <c r="C3037" s="2" t="str">
        <v>0</v>
      </c>
      <c r="D3037" s="2"/>
      <c r="F3037" s="2" t="str">
        <v>0</v>
      </c>
      <c r="I3037" s="3" t="str">
        <f ca="1">IFERROR(__xludf.DUMMYFUNCTION("""COMPUTED_VALUE"""),"Nguyễn Lê Hương Giang ")</f>
        <v xml:space="preserve">Nguyễn Lê Hương Giang </v>
      </c>
      <c r="J3037" s="3" t="str">
        <f ca="1">IFERROR(__xludf.DUMMYFUNCTION("""COMPUTED_VALUE"""),"0869644853")</f>
        <v>0869644853</v>
      </c>
      <c r="K3037" s="2" t="str">
        <f ca="1">IFERROR(__xludf.DUMMYFUNCTION("""COMPUTED_VALUE"""),"1736026483918")</f>
        <v>1736026483918</v>
      </c>
    </row>
    <row r="3038" spans="1:11" ht="12.45">
      <c r="A3038" s="2" t="str">
        <f ca="1">IFERROR(__xludf.DUMMYFUNCTION("""COMPUTED_VALUE"""),"1736026507013")</f>
        <v>1736026507013</v>
      </c>
      <c r="B3038" s="2"/>
      <c r="C3038" s="2" t="str">
        <v>0</v>
      </c>
      <c r="D3038" s="2"/>
      <c r="F3038" s="2" t="str">
        <v>0</v>
      </c>
      <c r="I3038" s="3" t="str">
        <f ca="1">IFERROR(__xludf.DUMMYFUNCTION("""COMPUTED_VALUE"""),"Trần Thị Hoài Linh")</f>
        <v>Trần Thị Hoài Linh</v>
      </c>
      <c r="J3038" s="3" t="str">
        <f ca="1">IFERROR(__xludf.DUMMYFUNCTION("""COMPUTED_VALUE"""),"0393109274")</f>
        <v>0393109274</v>
      </c>
      <c r="K3038" s="2" t="str">
        <f ca="1">IFERROR(__xludf.DUMMYFUNCTION("""COMPUTED_VALUE"""),"1736026507013")</f>
        <v>1736026507013</v>
      </c>
    </row>
    <row r="3039" spans="1:11" ht="12.45">
      <c r="A3039" s="2" t="str">
        <f ca="1">IFERROR(__xludf.DUMMYFUNCTION("""COMPUTED_VALUE"""),"1736026533766")</f>
        <v>1736026533766</v>
      </c>
      <c r="B3039" s="2"/>
      <c r="C3039" s="2" t="str">
        <v>0</v>
      </c>
      <c r="D3039" s="2"/>
      <c r="F3039" s="2" t="str">
        <v>0</v>
      </c>
      <c r="I3039" s="3" t="str">
        <f ca="1">IFERROR(__xludf.DUMMYFUNCTION("""COMPUTED_VALUE"""),"Lê Thanh Ngân ")</f>
        <v xml:space="preserve">Lê Thanh Ngân </v>
      </c>
      <c r="J3039" s="3" t="str">
        <f ca="1">IFERROR(__xludf.DUMMYFUNCTION("""COMPUTED_VALUE"""),"0935084828")</f>
        <v>0935084828</v>
      </c>
      <c r="K3039" s="2" t="str">
        <f ca="1">IFERROR(__xludf.DUMMYFUNCTION("""COMPUTED_VALUE"""),"1736026533766")</f>
        <v>1736026533766</v>
      </c>
    </row>
    <row r="3040" spans="1:11" ht="12.45">
      <c r="A3040" s="2" t="str">
        <f ca="1">IFERROR(__xludf.DUMMYFUNCTION("""COMPUTED_VALUE"""),"1736026559296")</f>
        <v>1736026559296</v>
      </c>
      <c r="B3040" s="2"/>
      <c r="C3040" s="2" t="str">
        <v>0</v>
      </c>
      <c r="D3040" s="2"/>
      <c r="F3040" s="2" t="str">
        <v>0</v>
      </c>
      <c r="I3040" s="3" t="str">
        <f ca="1">IFERROR(__xludf.DUMMYFUNCTION("""COMPUTED_VALUE"""),"Nguyễn thị diệp")</f>
        <v>Nguyễn thị diệp</v>
      </c>
      <c r="J3040" s="3" t="str">
        <f ca="1">IFERROR(__xludf.DUMMYFUNCTION("""COMPUTED_VALUE"""),"0962543641")</f>
        <v>0962543641</v>
      </c>
      <c r="K3040" s="2" t="str">
        <f ca="1">IFERROR(__xludf.DUMMYFUNCTION("""COMPUTED_VALUE"""),"1736026559296")</f>
        <v>1736026559296</v>
      </c>
    </row>
    <row r="3041" spans="1:11" ht="12.45">
      <c r="A3041" s="2" t="str">
        <f ca="1">IFERROR(__xludf.DUMMYFUNCTION("""COMPUTED_VALUE"""),"1736026589181")</f>
        <v>1736026589181</v>
      </c>
      <c r="B3041" s="2"/>
      <c r="C3041" s="2" t="str">
        <v>0</v>
      </c>
      <c r="D3041" s="2"/>
      <c r="F3041" s="2" t="str">
        <v>0</v>
      </c>
      <c r="I3041" s="3" t="str">
        <f ca="1">IFERROR(__xludf.DUMMYFUNCTION("""COMPUTED_VALUE"""),"Trần Như Phúc")</f>
        <v>Trần Như Phúc</v>
      </c>
      <c r="J3041" s="3" t="str">
        <f ca="1">IFERROR(__xludf.DUMMYFUNCTION("""COMPUTED_VALUE"""),"0772894328")</f>
        <v>0772894328</v>
      </c>
      <c r="K3041" s="2" t="str">
        <f ca="1">IFERROR(__xludf.DUMMYFUNCTION("""COMPUTED_VALUE"""),"1736026589181")</f>
        <v>1736026589181</v>
      </c>
    </row>
    <row r="3042" spans="1:11" ht="12.45">
      <c r="A3042" s="2" t="str">
        <f ca="1">IFERROR(__xludf.DUMMYFUNCTION("""COMPUTED_VALUE"""),"1736026636567")</f>
        <v>1736026636567</v>
      </c>
      <c r="B3042" s="2"/>
      <c r="C3042" s="2" t="str">
        <v>0</v>
      </c>
      <c r="D3042" s="2"/>
      <c r="F3042" s="2" t="str">
        <v>0</v>
      </c>
      <c r="I3042" s="3" t="str">
        <f ca="1">IFERROR(__xludf.DUMMYFUNCTION("""COMPUTED_VALUE"""),"Trung Đoàn Hương Xuân ")</f>
        <v xml:space="preserve">Trung Đoàn Hương Xuân </v>
      </c>
      <c r="J3042" s="3" t="str">
        <f ca="1">IFERROR(__xludf.DUMMYFUNCTION("""COMPUTED_VALUE"""),"0344181888")</f>
        <v>0344181888</v>
      </c>
      <c r="K3042" s="2" t="str">
        <f ca="1">IFERROR(__xludf.DUMMYFUNCTION("""COMPUTED_VALUE"""),"1736026636567")</f>
        <v>1736026636567</v>
      </c>
    </row>
    <row r="3043" spans="1:11" ht="12.45">
      <c r="A3043" s="2" t="str">
        <f ca="1">IFERROR(__xludf.DUMMYFUNCTION("""COMPUTED_VALUE"""),"1736026666835")</f>
        <v>1736026666835</v>
      </c>
      <c r="B3043" s="2"/>
      <c r="C3043" s="2" t="str">
        <v>0</v>
      </c>
      <c r="D3043" s="2"/>
      <c r="F3043" s="2" t="str">
        <v>0</v>
      </c>
      <c r="I3043" s="3" t="str">
        <f ca="1">IFERROR(__xludf.DUMMYFUNCTION("""COMPUTED_VALUE"""),"Nguyễn Hà Nguyên")</f>
        <v>Nguyễn Hà Nguyên</v>
      </c>
      <c r="J3043" s="3" t="str">
        <f ca="1">IFERROR(__xludf.DUMMYFUNCTION("""COMPUTED_VALUE"""),"0961971001")</f>
        <v>0961971001</v>
      </c>
      <c r="K3043" s="2" t="str">
        <f ca="1">IFERROR(__xludf.DUMMYFUNCTION("""COMPUTED_VALUE"""),"1736026666835")</f>
        <v>1736026666835</v>
      </c>
    </row>
    <row r="3044" spans="1:11" ht="12.45">
      <c r="A3044" s="2" t="str">
        <f ca="1">IFERROR(__xludf.DUMMYFUNCTION("""COMPUTED_VALUE"""),"1736026710474")</f>
        <v>1736026710474</v>
      </c>
      <c r="B3044" s="2"/>
      <c r="C3044" s="2" t="str">
        <v>0</v>
      </c>
      <c r="D3044" s="2"/>
      <c r="F3044" s="2" t="str">
        <v>0</v>
      </c>
      <c r="I3044" s="3" t="str">
        <f ca="1">IFERROR(__xludf.DUMMYFUNCTION("""COMPUTED_VALUE"""),"Phạm Thị Yến Nhi")</f>
        <v>Phạm Thị Yến Nhi</v>
      </c>
      <c r="J3044" s="3" t="str">
        <f ca="1">IFERROR(__xludf.DUMMYFUNCTION("""COMPUTED_VALUE"""),"0985917897")</f>
        <v>0985917897</v>
      </c>
      <c r="K3044" s="2" t="str">
        <f ca="1">IFERROR(__xludf.DUMMYFUNCTION("""COMPUTED_VALUE"""),"1736026710474")</f>
        <v>1736026710474</v>
      </c>
    </row>
    <row r="3045" spans="1:11" ht="12.45">
      <c r="A3045" s="2" t="str">
        <f ca="1">IFERROR(__xludf.DUMMYFUNCTION("""COMPUTED_VALUE"""),"1736026738159")</f>
        <v>1736026738159</v>
      </c>
      <c r="B3045" s="2"/>
      <c r="C3045" s="2" t="str">
        <v>0</v>
      </c>
      <c r="D3045" s="2"/>
      <c r="F3045" s="2" t="str">
        <v>0</v>
      </c>
      <c r="I3045" s="3" t="str">
        <f ca="1">IFERROR(__xludf.DUMMYFUNCTION("""COMPUTED_VALUE"""),"Triệu Thị Khánh Ly")</f>
        <v>Triệu Thị Khánh Ly</v>
      </c>
      <c r="J3045" s="3" t="str">
        <f ca="1">IFERROR(__xludf.DUMMYFUNCTION("""COMPUTED_VALUE"""),"0387778934")</f>
        <v>0387778934</v>
      </c>
      <c r="K3045" s="2" t="str">
        <f ca="1">IFERROR(__xludf.DUMMYFUNCTION("""COMPUTED_VALUE"""),"1736026738159")</f>
        <v>1736026738159</v>
      </c>
    </row>
    <row r="3046" spans="1:11" ht="12.45">
      <c r="A3046" s="2" t="str">
        <f ca="1">IFERROR(__xludf.DUMMYFUNCTION("""COMPUTED_VALUE"""),"1736026774043")</f>
        <v>1736026774043</v>
      </c>
      <c r="B3046" s="2"/>
      <c r="C3046" s="2" t="str">
        <v>0</v>
      </c>
      <c r="D3046" s="2"/>
      <c r="F3046" s="2" t="str">
        <v>0</v>
      </c>
      <c r="I3046" s="3" t="str">
        <f ca="1">IFERROR(__xludf.DUMMYFUNCTION("""COMPUTED_VALUE"""),"Lường Thuỳ Linh")</f>
        <v>Lường Thuỳ Linh</v>
      </c>
      <c r="J3046" s="3" t="str">
        <f ca="1">IFERROR(__xludf.DUMMYFUNCTION("""COMPUTED_VALUE"""),"0365571606")</f>
        <v>0365571606</v>
      </c>
      <c r="K3046" s="2" t="str">
        <f ca="1">IFERROR(__xludf.DUMMYFUNCTION("""COMPUTED_VALUE"""),"1736026774043")</f>
        <v>1736026774043</v>
      </c>
    </row>
    <row r="3047" spans="1:11" ht="12.45">
      <c r="A3047" s="2" t="str">
        <f ca="1">IFERROR(__xludf.DUMMYFUNCTION("""COMPUTED_VALUE"""),"1736026808101")</f>
        <v>1736026808101</v>
      </c>
      <c r="B3047" s="2"/>
      <c r="C3047" s="2" t="str">
        <v>0</v>
      </c>
      <c r="D3047" s="2"/>
      <c r="F3047" s="2" t="str">
        <v>0</v>
      </c>
      <c r="I3047" s="3" t="str">
        <f ca="1">IFERROR(__xludf.DUMMYFUNCTION("""COMPUTED_VALUE"""),"NGUYỄN THỊ HỒNG THẮM ")</f>
        <v xml:space="preserve">NGUYỄN THỊ HỒNG THẮM </v>
      </c>
      <c r="J3047" s="3" t="str">
        <f ca="1">IFERROR(__xludf.DUMMYFUNCTION("""COMPUTED_VALUE"""),"0326056365")</f>
        <v>0326056365</v>
      </c>
      <c r="K3047" s="2" t="str">
        <f ca="1">IFERROR(__xludf.DUMMYFUNCTION("""COMPUTED_VALUE"""),"1736026808101")</f>
        <v>1736026808101</v>
      </c>
    </row>
    <row r="3048" spans="1:11" ht="12.45">
      <c r="A3048" s="2" t="str">
        <f ca="1">IFERROR(__xludf.DUMMYFUNCTION("""COMPUTED_VALUE"""),"1736026830454")</f>
        <v>1736026830454</v>
      </c>
      <c r="B3048" s="2"/>
      <c r="C3048" s="2" t="str">
        <v>0</v>
      </c>
      <c r="D3048" s="2"/>
      <c r="F3048" s="2" t="str">
        <v>0</v>
      </c>
      <c r="I3048" s="3" t="str">
        <f ca="1">IFERROR(__xludf.DUMMYFUNCTION("""COMPUTED_VALUE"""),"Trần Thị Tân An")</f>
        <v>Trần Thị Tân An</v>
      </c>
      <c r="J3048" s="3" t="str">
        <f ca="1">IFERROR(__xludf.DUMMYFUNCTION("""COMPUTED_VALUE"""),"0396974668")</f>
        <v>0396974668</v>
      </c>
      <c r="K3048" s="2" t="str">
        <f ca="1">IFERROR(__xludf.DUMMYFUNCTION("""COMPUTED_VALUE"""),"1736026830454")</f>
        <v>1736026830454</v>
      </c>
    </row>
    <row r="3049" spans="1:11" ht="12.45">
      <c r="A3049" s="2" t="str">
        <f ca="1">IFERROR(__xludf.DUMMYFUNCTION("""COMPUTED_VALUE"""),"1736026861301")</f>
        <v>1736026861301</v>
      </c>
      <c r="B3049" s="2"/>
      <c r="C3049" s="2" t="str">
        <v>0</v>
      </c>
      <c r="D3049" s="2"/>
      <c r="F3049" s="2" t="str">
        <v>0</v>
      </c>
      <c r="I3049" s="3" t="str">
        <f ca="1">IFERROR(__xludf.DUMMYFUNCTION("""COMPUTED_VALUE"""),"Phạm Thị Lan Anh")</f>
        <v>Phạm Thị Lan Anh</v>
      </c>
      <c r="J3049" s="3" t="str">
        <f ca="1">IFERROR(__xludf.DUMMYFUNCTION("""COMPUTED_VALUE"""),"0775299545")</f>
        <v>0775299545</v>
      </c>
      <c r="K3049" s="2" t="str">
        <f ca="1">IFERROR(__xludf.DUMMYFUNCTION("""COMPUTED_VALUE"""),"1736026861301")</f>
        <v>1736026861301</v>
      </c>
    </row>
    <row r="3050" spans="1:11" ht="12.45">
      <c r="A3050" s="2" t="str">
        <f ca="1">IFERROR(__xludf.DUMMYFUNCTION("""COMPUTED_VALUE"""),"1736026890271")</f>
        <v>1736026890271</v>
      </c>
      <c r="B3050" s="2"/>
      <c r="C3050" s="2" t="str">
        <v>0</v>
      </c>
      <c r="D3050" s="2"/>
      <c r="F3050" s="2" t="str">
        <v>0</v>
      </c>
      <c r="I3050" s="3" t="str">
        <f ca="1">IFERROR(__xludf.DUMMYFUNCTION("""COMPUTED_VALUE"""),"Võ Thị Ly Na")</f>
        <v>Võ Thị Ly Na</v>
      </c>
      <c r="J3050" s="3" t="str">
        <f ca="1">IFERROR(__xludf.DUMMYFUNCTION("""COMPUTED_VALUE"""),"0816843672")</f>
        <v>0816843672</v>
      </c>
      <c r="K3050" s="2" t="str">
        <f ca="1">IFERROR(__xludf.DUMMYFUNCTION("""COMPUTED_VALUE"""),"1736026890271")</f>
        <v>1736026890271</v>
      </c>
    </row>
    <row r="3051" spans="1:11" ht="12.45">
      <c r="A3051" s="2" t="str">
        <f ca="1">IFERROR(__xludf.DUMMYFUNCTION("""COMPUTED_VALUE"""),"1736026917742")</f>
        <v>1736026917742</v>
      </c>
      <c r="B3051" s="2"/>
      <c r="C3051" s="2" t="str">
        <v>0</v>
      </c>
      <c r="D3051" s="2"/>
      <c r="F3051" s="2" t="str">
        <v>0</v>
      </c>
      <c r="I3051" s="3" t="str">
        <f ca="1">IFERROR(__xludf.DUMMYFUNCTION("""COMPUTED_VALUE"""),"Nguyễn Thị Phương Thảo ")</f>
        <v xml:space="preserve">Nguyễn Thị Phương Thảo </v>
      </c>
      <c r="J3051" s="3" t="str">
        <f ca="1">IFERROR(__xludf.DUMMYFUNCTION("""COMPUTED_VALUE"""),"0328954637")</f>
        <v>0328954637</v>
      </c>
      <c r="K3051" s="2" t="str">
        <f ca="1">IFERROR(__xludf.DUMMYFUNCTION("""COMPUTED_VALUE"""),"1736026917742")</f>
        <v>1736026917742</v>
      </c>
    </row>
    <row r="3052" spans="1:11" ht="12.45">
      <c r="A3052" s="2" t="str">
        <f ca="1">IFERROR(__xludf.DUMMYFUNCTION("""COMPUTED_VALUE"""),"1736026942691")</f>
        <v>1736026942691</v>
      </c>
      <c r="B3052" s="2"/>
      <c r="C3052" s="2" t="str">
        <v>0</v>
      </c>
      <c r="D3052" s="2"/>
      <c r="F3052" s="2" t="str">
        <v>0</v>
      </c>
      <c r="I3052" s="3" t="str">
        <f ca="1">IFERROR(__xludf.DUMMYFUNCTION("""COMPUTED_VALUE"""),"Nguyễn Ngọc Khánh Ly")</f>
        <v>Nguyễn Ngọc Khánh Ly</v>
      </c>
      <c r="J3052" s="3" t="str">
        <f ca="1">IFERROR(__xludf.DUMMYFUNCTION("""COMPUTED_VALUE"""),"0353802007")</f>
        <v>0353802007</v>
      </c>
      <c r="K3052" s="2" t="str">
        <f ca="1">IFERROR(__xludf.DUMMYFUNCTION("""COMPUTED_VALUE"""),"1736026942691")</f>
        <v>1736026942691</v>
      </c>
    </row>
    <row r="3053" spans="1:11" ht="12.45">
      <c r="A3053" s="2" t="str">
        <f ca="1">IFERROR(__xludf.DUMMYFUNCTION("""COMPUTED_VALUE"""),"1736026972258")</f>
        <v>1736026972258</v>
      </c>
      <c r="B3053" s="2"/>
      <c r="C3053" s="2" t="str">
        <v>0</v>
      </c>
      <c r="D3053" s="2"/>
      <c r="F3053" s="2" t="str">
        <v>0</v>
      </c>
      <c r="I3053" s="3" t="str">
        <f ca="1">IFERROR(__xludf.DUMMYFUNCTION("""COMPUTED_VALUE"""),"Lê Thị Quỳnh Nga ")</f>
        <v xml:space="preserve">Lê Thị Quỳnh Nga </v>
      </c>
      <c r="J3053" s="3" t="str">
        <f ca="1">IFERROR(__xludf.DUMMYFUNCTION("""COMPUTED_VALUE"""),"0961295104")</f>
        <v>0961295104</v>
      </c>
      <c r="K3053" s="2" t="str">
        <f ca="1">IFERROR(__xludf.DUMMYFUNCTION("""COMPUTED_VALUE"""),"1736026972258")</f>
        <v>1736026972258</v>
      </c>
    </row>
    <row r="3054" spans="1:11" ht="12.45">
      <c r="A3054" s="2" t="str">
        <f ca="1">IFERROR(__xludf.DUMMYFUNCTION("""COMPUTED_VALUE"""),"1736027001230")</f>
        <v>1736027001230</v>
      </c>
      <c r="B3054" s="2"/>
      <c r="C3054" s="2" t="str">
        <v>0</v>
      </c>
      <c r="D3054" s="2"/>
      <c r="F3054" s="2" t="str">
        <v>0</v>
      </c>
      <c r="I3054" s="3" t="str">
        <f ca="1">IFERROR(__xludf.DUMMYFUNCTION("""COMPUTED_VALUE"""),"Nguyễn Tâm Đan")</f>
        <v>Nguyễn Tâm Đan</v>
      </c>
      <c r="J3054" s="3" t="str">
        <f ca="1">IFERROR(__xludf.DUMMYFUNCTION("""COMPUTED_VALUE"""),"0848382528")</f>
        <v>0848382528</v>
      </c>
      <c r="K3054" s="2" t="str">
        <f ca="1">IFERROR(__xludf.DUMMYFUNCTION("""COMPUTED_VALUE"""),"1736027001230")</f>
        <v>1736027001230</v>
      </c>
    </row>
    <row r="3055" spans="1:11" ht="12.45">
      <c r="A3055" s="2" t="str">
        <f ca="1">IFERROR(__xludf.DUMMYFUNCTION("""COMPUTED_VALUE"""),"1736027030952")</f>
        <v>1736027030952</v>
      </c>
      <c r="B3055" s="2"/>
      <c r="C3055" s="2" t="str">
        <v>0</v>
      </c>
      <c r="D3055" s="2"/>
      <c r="F3055" s="2" t="str">
        <v>0</v>
      </c>
      <c r="I3055" s="3" t="str">
        <f ca="1">IFERROR(__xludf.DUMMYFUNCTION("""COMPUTED_VALUE"""),"Phạm Nguyễn Kiều My")</f>
        <v>Phạm Nguyễn Kiều My</v>
      </c>
      <c r="J3055" s="3" t="str">
        <f ca="1">IFERROR(__xludf.DUMMYFUNCTION("""COMPUTED_VALUE"""),"0348804432")</f>
        <v>0348804432</v>
      </c>
      <c r="K3055" s="2" t="str">
        <f ca="1">IFERROR(__xludf.DUMMYFUNCTION("""COMPUTED_VALUE"""),"1736027030952")</f>
        <v>1736027030952</v>
      </c>
    </row>
    <row r="3056" spans="1:11" ht="12.45">
      <c r="A3056" s="2" t="str">
        <f ca="1">IFERROR(__xludf.DUMMYFUNCTION("""COMPUTED_VALUE"""),"1736027096119")</f>
        <v>1736027096119</v>
      </c>
      <c r="B3056" s="2"/>
      <c r="C3056" s="2" t="str">
        <v>0</v>
      </c>
      <c r="D3056" s="2"/>
      <c r="F3056" s="2" t="str">
        <v>0</v>
      </c>
      <c r="I3056" s="3" t="str">
        <f ca="1">IFERROR(__xludf.DUMMYFUNCTION("""COMPUTED_VALUE"""),"Trương Gia Hân")</f>
        <v>Trương Gia Hân</v>
      </c>
      <c r="J3056" s="3" t="str">
        <f ca="1">IFERROR(__xludf.DUMMYFUNCTION("""COMPUTED_VALUE"""),"0702539907")</f>
        <v>0702539907</v>
      </c>
      <c r="K3056" s="2" t="str">
        <f ca="1">IFERROR(__xludf.DUMMYFUNCTION("""COMPUTED_VALUE"""),"1736027096119")</f>
        <v>1736027096119</v>
      </c>
    </row>
    <row r="3057" spans="1:11" ht="12.45">
      <c r="A3057" s="2" t="str">
        <f ca="1">IFERROR(__xludf.DUMMYFUNCTION("""COMPUTED_VALUE"""),"1736027127810")</f>
        <v>1736027127810</v>
      </c>
      <c r="B3057" s="2"/>
      <c r="C3057" s="2" t="str">
        <v>0</v>
      </c>
      <c r="D3057" s="2"/>
      <c r="F3057" s="2" t="str">
        <v>0</v>
      </c>
      <c r="I3057" s="3" t="str">
        <f ca="1">IFERROR(__xludf.DUMMYFUNCTION("""COMPUTED_VALUE"""),"Nguyễn Trần Nguyệt Quỳnh ")</f>
        <v xml:space="preserve">Nguyễn Trần Nguyệt Quỳnh </v>
      </c>
      <c r="J3057" s="3" t="str">
        <f ca="1">IFERROR(__xludf.DUMMYFUNCTION("""COMPUTED_VALUE"""),"0935091117")</f>
        <v>0935091117</v>
      </c>
      <c r="K3057" s="2" t="str">
        <f ca="1">IFERROR(__xludf.DUMMYFUNCTION("""COMPUTED_VALUE"""),"1736027127810")</f>
        <v>1736027127810</v>
      </c>
    </row>
    <row r="3058" spans="1:11" ht="12.45">
      <c r="A3058" s="2" t="str">
        <f ca="1">IFERROR(__xludf.DUMMYFUNCTION("""COMPUTED_VALUE"""),"1736027145057")</f>
        <v>1736027145057</v>
      </c>
      <c r="B3058" s="2"/>
      <c r="C3058" s="2" t="str">
        <v>0</v>
      </c>
      <c r="D3058" s="2"/>
      <c r="F3058" s="2" t="str">
        <v>0</v>
      </c>
      <c r="I3058" s="3" t="str">
        <f ca="1">IFERROR(__xludf.DUMMYFUNCTION("""COMPUTED_VALUE"""),"Nguyễn Quỳnh Chi")</f>
        <v>Nguyễn Quỳnh Chi</v>
      </c>
      <c r="J3058" s="3" t="str">
        <f ca="1">IFERROR(__xludf.DUMMYFUNCTION("""COMPUTED_VALUE"""),"0965145603")</f>
        <v>0965145603</v>
      </c>
      <c r="K3058" s="2" t="str">
        <f ca="1">IFERROR(__xludf.DUMMYFUNCTION("""COMPUTED_VALUE"""),"1736027145057")</f>
        <v>1736027145057</v>
      </c>
    </row>
    <row r="3059" spans="1:11" ht="12.45">
      <c r="A3059" s="2" t="str">
        <f ca="1">IFERROR(__xludf.DUMMYFUNCTION("""COMPUTED_VALUE"""),"1736027169812")</f>
        <v>1736027169812</v>
      </c>
      <c r="B3059" s="2"/>
      <c r="C3059" s="2" t="str">
        <v>0</v>
      </c>
      <c r="D3059" s="2"/>
      <c r="F3059" s="2" t="str">
        <v>0</v>
      </c>
      <c r="I3059" s="3" t="str">
        <f ca="1">IFERROR(__xludf.DUMMYFUNCTION("""COMPUTED_VALUE"""),"Nguyễn Lê Khánh Linh")</f>
        <v>Nguyễn Lê Khánh Linh</v>
      </c>
      <c r="J3059" s="3" t="str">
        <f ca="1">IFERROR(__xludf.DUMMYFUNCTION("""COMPUTED_VALUE"""),"0862939736")</f>
        <v>0862939736</v>
      </c>
      <c r="K3059" s="2" t="str">
        <f ca="1">IFERROR(__xludf.DUMMYFUNCTION("""COMPUTED_VALUE"""),"1736027169812")</f>
        <v>1736027169812</v>
      </c>
    </row>
    <row r="3060" spans="1:11" ht="12.45">
      <c r="A3060" s="2" t="str">
        <f ca="1">IFERROR(__xludf.DUMMYFUNCTION("""COMPUTED_VALUE"""),"1736027205485")</f>
        <v>1736027205485</v>
      </c>
      <c r="B3060" s="2"/>
      <c r="C3060" s="2" t="str">
        <v>0</v>
      </c>
      <c r="D3060" s="2"/>
      <c r="F3060" s="2" t="str">
        <v>0</v>
      </c>
      <c r="I3060" s="3" t="str">
        <f ca="1">IFERROR(__xludf.DUMMYFUNCTION("""COMPUTED_VALUE"""),"Nguyễn Thị Phương")</f>
        <v>Nguyễn Thị Phương</v>
      </c>
      <c r="J3060" s="3" t="str">
        <f ca="1">IFERROR(__xludf.DUMMYFUNCTION("""COMPUTED_VALUE"""),"0325809127")</f>
        <v>0325809127</v>
      </c>
      <c r="K3060" s="2" t="str">
        <f ca="1">IFERROR(__xludf.DUMMYFUNCTION("""COMPUTED_VALUE"""),"1736027205485")</f>
        <v>1736027205485</v>
      </c>
    </row>
    <row r="3061" spans="1:11" ht="12.45">
      <c r="A3061" s="2" t="str">
        <f ca="1">IFERROR(__xludf.DUMMYFUNCTION("""COMPUTED_VALUE"""),"1736027240606")</f>
        <v>1736027240606</v>
      </c>
      <c r="B3061" s="2"/>
      <c r="C3061" s="2" t="str">
        <v>0</v>
      </c>
      <c r="D3061" s="2"/>
      <c r="F3061" s="2" t="str">
        <v>0</v>
      </c>
      <c r="I3061" s="3" t="str">
        <f ca="1">IFERROR(__xludf.DUMMYFUNCTION("""COMPUTED_VALUE"""),"Hoàng Mai Hà ")</f>
        <v xml:space="preserve">Hoàng Mai Hà </v>
      </c>
      <c r="J3061" s="3" t="str">
        <f ca="1">IFERROR(__xludf.DUMMYFUNCTION("""COMPUTED_VALUE"""),"0963331009")</f>
        <v>0963331009</v>
      </c>
      <c r="K3061" s="2" t="str">
        <f ca="1">IFERROR(__xludf.DUMMYFUNCTION("""COMPUTED_VALUE"""),"1736027240606")</f>
        <v>1736027240606</v>
      </c>
    </row>
    <row r="3062" spans="1:11" ht="12.45">
      <c r="A3062" s="2" t="str">
        <f ca="1">IFERROR(__xludf.DUMMYFUNCTION("""COMPUTED_VALUE"""),"1736027269815")</f>
        <v>1736027269815</v>
      </c>
      <c r="B3062" s="2"/>
      <c r="C3062" s="2" t="str">
        <v>0</v>
      </c>
      <c r="D3062" s="2"/>
      <c r="F3062" s="2" t="str">
        <v>0</v>
      </c>
      <c r="I3062" s="3" t="str">
        <f ca="1">IFERROR(__xludf.DUMMYFUNCTION("""COMPUTED_VALUE"""),"Đinh Thảo Vân")</f>
        <v>Đinh Thảo Vân</v>
      </c>
      <c r="J3062" s="3" t="str">
        <f ca="1">IFERROR(__xludf.DUMMYFUNCTION("""COMPUTED_VALUE"""),"0965873338")</f>
        <v>0965873338</v>
      </c>
      <c r="K3062" s="2" t="str">
        <f ca="1">IFERROR(__xludf.DUMMYFUNCTION("""COMPUTED_VALUE"""),"1736027269815")</f>
        <v>1736027269815</v>
      </c>
    </row>
    <row r="3063" spans="1:11" ht="12.45">
      <c r="A3063" s="2" t="str">
        <f ca="1">IFERROR(__xludf.DUMMYFUNCTION("""COMPUTED_VALUE"""),"1736027291663")</f>
        <v>1736027291663</v>
      </c>
      <c r="B3063" s="2"/>
      <c r="C3063" s="2" t="str">
        <v>0</v>
      </c>
      <c r="D3063" s="2"/>
      <c r="F3063" s="2" t="str">
        <v>0</v>
      </c>
      <c r="I3063" s="3" t="str">
        <f ca="1">IFERROR(__xludf.DUMMYFUNCTION("""COMPUTED_VALUE"""),"Nguyễn Thanh Thư")</f>
        <v>Nguyễn Thanh Thư</v>
      </c>
      <c r="J3063" s="3" t="str">
        <f ca="1">IFERROR(__xludf.DUMMYFUNCTION("""COMPUTED_VALUE"""),"0368220129")</f>
        <v>0368220129</v>
      </c>
      <c r="K3063" s="2" t="str">
        <f ca="1">IFERROR(__xludf.DUMMYFUNCTION("""COMPUTED_VALUE"""),"1736027291663")</f>
        <v>1736027291663</v>
      </c>
    </row>
    <row r="3064" spans="1:11" ht="12.45">
      <c r="A3064" s="2" t="str">
        <f ca="1">IFERROR(__xludf.DUMMYFUNCTION("""COMPUTED_VALUE"""),"1736027326399")</f>
        <v>1736027326399</v>
      </c>
      <c r="B3064" s="2"/>
      <c r="C3064" s="2" t="str">
        <v>0</v>
      </c>
      <c r="D3064" s="2"/>
      <c r="F3064" s="2" t="str">
        <v>0</v>
      </c>
      <c r="I3064" s="3" t="str">
        <f ca="1">IFERROR(__xludf.DUMMYFUNCTION("""COMPUTED_VALUE"""),"Nguyễn Hoàng Anh Thy")</f>
        <v>Nguyễn Hoàng Anh Thy</v>
      </c>
      <c r="J3064" s="3" t="str">
        <f ca="1">IFERROR(__xludf.DUMMYFUNCTION("""COMPUTED_VALUE"""),"0816260600")</f>
        <v>0816260600</v>
      </c>
      <c r="K3064" s="2" t="str">
        <f ca="1">IFERROR(__xludf.DUMMYFUNCTION("""COMPUTED_VALUE"""),"1736027326399")</f>
        <v>1736027326399</v>
      </c>
    </row>
    <row r="3065" spans="1:11" ht="12.45">
      <c r="A3065" s="2" t="str">
        <f ca="1">IFERROR(__xludf.DUMMYFUNCTION("""COMPUTED_VALUE"""),"1736027346286")</f>
        <v>1736027346286</v>
      </c>
      <c r="B3065" s="2"/>
      <c r="C3065" s="2" t="str">
        <v>0</v>
      </c>
      <c r="D3065" s="2"/>
      <c r="F3065" s="2" t="str">
        <v>0</v>
      </c>
      <c r="I3065" s="3" t="str">
        <f ca="1">IFERROR(__xludf.DUMMYFUNCTION("""COMPUTED_VALUE"""),"Chu Thị Khánh Băng")</f>
        <v>Chu Thị Khánh Băng</v>
      </c>
      <c r="J3065" s="3" t="str">
        <f ca="1">IFERROR(__xludf.DUMMYFUNCTION("""COMPUTED_VALUE"""),"0369453877")</f>
        <v>0369453877</v>
      </c>
      <c r="K3065" s="2" t="str">
        <f ca="1">IFERROR(__xludf.DUMMYFUNCTION("""COMPUTED_VALUE"""),"1736027346286")</f>
        <v>1736027346286</v>
      </c>
    </row>
    <row r="3066" spans="1:11" ht="12.45">
      <c r="A3066" s="2" t="str">
        <f ca="1">IFERROR(__xludf.DUMMYFUNCTION("""COMPUTED_VALUE"""),"1736027368092")</f>
        <v>1736027368092</v>
      </c>
      <c r="B3066" s="2"/>
      <c r="C3066" s="2" t="str">
        <v>0</v>
      </c>
      <c r="D3066" s="2"/>
      <c r="F3066" s="2" t="str">
        <v>0</v>
      </c>
      <c r="I3066" s="3" t="str">
        <f ca="1">IFERROR(__xludf.DUMMYFUNCTION("""COMPUTED_VALUE"""),"Nguyễn Minh Ánh")</f>
        <v>Nguyễn Minh Ánh</v>
      </c>
      <c r="J3066" s="3" t="str">
        <f ca="1">IFERROR(__xludf.DUMMYFUNCTION("""COMPUTED_VALUE"""),"0865822203")</f>
        <v>0865822203</v>
      </c>
      <c r="K3066" s="2" t="str">
        <f ca="1">IFERROR(__xludf.DUMMYFUNCTION("""COMPUTED_VALUE"""),"1736027368092")</f>
        <v>1736027368092</v>
      </c>
    </row>
    <row r="3067" spans="1:11" ht="12.45">
      <c r="A3067" s="2" t="str">
        <f ca="1">IFERROR(__xludf.DUMMYFUNCTION("""COMPUTED_VALUE"""),"1736027418921")</f>
        <v>1736027418921</v>
      </c>
      <c r="B3067" s="2"/>
      <c r="C3067" s="2" t="str">
        <v>0</v>
      </c>
      <c r="D3067" s="2"/>
      <c r="F3067" s="2" t="str">
        <v>0</v>
      </c>
      <c r="I3067" s="3" t="str">
        <f ca="1">IFERROR(__xludf.DUMMYFUNCTION("""COMPUTED_VALUE"""),"Bùi Ngọc Mai")</f>
        <v>Bùi Ngọc Mai</v>
      </c>
      <c r="J3067" s="3" t="str">
        <f ca="1">IFERROR(__xludf.DUMMYFUNCTION("""COMPUTED_VALUE"""),"0828100833")</f>
        <v>0828100833</v>
      </c>
      <c r="K3067" s="2" t="str">
        <f ca="1">IFERROR(__xludf.DUMMYFUNCTION("""COMPUTED_VALUE"""),"1736027418921")</f>
        <v>1736027418921</v>
      </c>
    </row>
    <row r="3068" spans="1:11" ht="12.45">
      <c r="A3068" s="2" t="str">
        <f ca="1">IFERROR(__xludf.DUMMYFUNCTION("""COMPUTED_VALUE"""),"1736027462555")</f>
        <v>1736027462555</v>
      </c>
      <c r="B3068" s="2"/>
      <c r="C3068" s="2" t="str">
        <v>0</v>
      </c>
      <c r="D3068" s="2"/>
      <c r="F3068" s="2" t="str">
        <v>0</v>
      </c>
      <c r="I3068" s="3" t="str">
        <f ca="1">IFERROR(__xludf.DUMMYFUNCTION("""COMPUTED_VALUE"""),"Nguyễn Thị Mai Anh")</f>
        <v>Nguyễn Thị Mai Anh</v>
      </c>
      <c r="J3068" s="3" t="str">
        <f ca="1">IFERROR(__xludf.DUMMYFUNCTION("""COMPUTED_VALUE"""),"0965559991")</f>
        <v>0965559991</v>
      </c>
      <c r="K3068" s="2" t="str">
        <f ca="1">IFERROR(__xludf.DUMMYFUNCTION("""COMPUTED_VALUE"""),"1736027462555")</f>
        <v>1736027462555</v>
      </c>
    </row>
    <row r="3069" spans="1:11" ht="12.45">
      <c r="A3069" s="2" t="str">
        <f ca="1">IFERROR(__xludf.DUMMYFUNCTION("""COMPUTED_VALUE"""),"1736027512099")</f>
        <v>1736027512099</v>
      </c>
      <c r="B3069" s="2"/>
      <c r="C3069" s="2" t="str">
        <v>0</v>
      </c>
      <c r="D3069" s="2"/>
      <c r="F3069" s="2" t="str">
        <v>0</v>
      </c>
      <c r="I3069" s="3" t="str">
        <f ca="1">IFERROR(__xludf.DUMMYFUNCTION("""COMPUTED_VALUE"""),"Nguyễn Khánh Ly ")</f>
        <v xml:space="preserve">Nguyễn Khánh Ly </v>
      </c>
      <c r="J3069" s="3" t="str">
        <f ca="1">IFERROR(__xludf.DUMMYFUNCTION("""COMPUTED_VALUE"""),"0357778612")</f>
        <v>0357778612</v>
      </c>
      <c r="K3069" s="2" t="str">
        <f ca="1">IFERROR(__xludf.DUMMYFUNCTION("""COMPUTED_VALUE"""),"1736027512099")</f>
        <v>1736027512099</v>
      </c>
    </row>
    <row r="3070" spans="1:11" ht="12.45">
      <c r="A3070" s="2" t="str">
        <f ca="1">IFERROR(__xludf.DUMMYFUNCTION("""COMPUTED_VALUE"""),"1736027558015")</f>
        <v>1736027558015</v>
      </c>
      <c r="B3070" s="2"/>
      <c r="C3070" s="2" t="str">
        <v>0</v>
      </c>
      <c r="D3070" s="2"/>
      <c r="F3070" s="2" t="str">
        <v>0</v>
      </c>
      <c r="I3070" s="3" t="str">
        <f ca="1">IFERROR(__xludf.DUMMYFUNCTION("""COMPUTED_VALUE"""),"Đỗ Trung Nam")</f>
        <v>Đỗ Trung Nam</v>
      </c>
      <c r="J3070" s="3" t="str">
        <f ca="1">IFERROR(__xludf.DUMMYFUNCTION("""COMPUTED_VALUE"""),"0395216368")</f>
        <v>0395216368</v>
      </c>
      <c r="K3070" s="2" t="str">
        <f ca="1">IFERROR(__xludf.DUMMYFUNCTION("""COMPUTED_VALUE"""),"1736027558015")</f>
        <v>1736027558015</v>
      </c>
    </row>
    <row r="3071" spans="1:11" ht="12.45">
      <c r="A3071" s="2" t="str">
        <f ca="1">IFERROR(__xludf.DUMMYFUNCTION("""COMPUTED_VALUE"""),"1736027603811")</f>
        <v>1736027603811</v>
      </c>
      <c r="B3071" s="2"/>
      <c r="C3071" s="2" t="str">
        <v>0</v>
      </c>
      <c r="D3071" s="2"/>
      <c r="F3071" s="2" t="str">
        <v>0</v>
      </c>
      <c r="I3071" s="3" t="str">
        <f ca="1">IFERROR(__xludf.DUMMYFUNCTION("""COMPUTED_VALUE"""),"Nguyễn Thị Cẩm Tú")</f>
        <v>Nguyễn Thị Cẩm Tú</v>
      </c>
      <c r="J3071" s="3" t="str">
        <f ca="1">IFERROR(__xludf.DUMMYFUNCTION("""COMPUTED_VALUE"""),"0942251614")</f>
        <v>0942251614</v>
      </c>
      <c r="K3071" s="2" t="str">
        <f ca="1">IFERROR(__xludf.DUMMYFUNCTION("""COMPUTED_VALUE"""),"1736027603811")</f>
        <v>1736027603811</v>
      </c>
    </row>
    <row r="3072" spans="1:11" ht="12.45">
      <c r="A3072" s="2" t="str">
        <f ca="1">IFERROR(__xludf.DUMMYFUNCTION("""COMPUTED_VALUE"""),"1736027644625")</f>
        <v>1736027644625</v>
      </c>
      <c r="B3072" s="2"/>
      <c r="C3072" s="2" t="str">
        <v>0</v>
      </c>
      <c r="D3072" s="2"/>
      <c r="F3072" s="2" t="str">
        <v>0</v>
      </c>
      <c r="I3072" s="3" t="str">
        <f ca="1">IFERROR(__xludf.DUMMYFUNCTION("""COMPUTED_VALUE"""),"Nguyễn Bảo Trân")</f>
        <v>Nguyễn Bảo Trân</v>
      </c>
      <c r="J3072" s="3" t="str">
        <f ca="1">IFERROR(__xludf.DUMMYFUNCTION("""COMPUTED_VALUE"""),"0368790479")</f>
        <v>0368790479</v>
      </c>
      <c r="K3072" s="2" t="str">
        <f ca="1">IFERROR(__xludf.DUMMYFUNCTION("""COMPUTED_VALUE"""),"1736027644625")</f>
        <v>1736027644625</v>
      </c>
    </row>
    <row r="3073" spans="1:11" ht="12.45">
      <c r="A3073" s="2" t="str">
        <f ca="1">IFERROR(__xludf.DUMMYFUNCTION("""COMPUTED_VALUE"""),"1736027682523")</f>
        <v>1736027682523</v>
      </c>
      <c r="B3073" s="2"/>
      <c r="C3073" s="2" t="str">
        <v>0</v>
      </c>
      <c r="D3073" s="2"/>
      <c r="F3073" s="2" t="str">
        <v>0</v>
      </c>
      <c r="I3073" s="3" t="str">
        <f ca="1">IFERROR(__xludf.DUMMYFUNCTION("""COMPUTED_VALUE"""),"Lê Thị Minh Nguyệt")</f>
        <v>Lê Thị Minh Nguyệt</v>
      </c>
      <c r="J3073" s="3" t="str">
        <f ca="1">IFERROR(__xludf.DUMMYFUNCTION("""COMPUTED_VALUE"""),"0783146368")</f>
        <v>0783146368</v>
      </c>
      <c r="K3073" s="2" t="str">
        <f ca="1">IFERROR(__xludf.DUMMYFUNCTION("""COMPUTED_VALUE"""),"1736027682523")</f>
        <v>1736027682523</v>
      </c>
    </row>
    <row r="3074" spans="1:11" ht="12.45">
      <c r="A3074" s="2" t="str">
        <f ca="1">IFERROR(__xludf.DUMMYFUNCTION("""COMPUTED_VALUE"""),"1736027713343")</f>
        <v>1736027713343</v>
      </c>
      <c r="B3074" s="2"/>
      <c r="C3074" s="2" t="str">
        <v>0</v>
      </c>
      <c r="D3074" s="2"/>
      <c r="F3074" s="2" t="str">
        <v>0</v>
      </c>
      <c r="I3074" s="3" t="str">
        <f ca="1">IFERROR(__xludf.DUMMYFUNCTION("""COMPUTED_VALUE"""),"Tạ Thị Yến Nhi ")</f>
        <v xml:space="preserve">Tạ Thị Yến Nhi </v>
      </c>
      <c r="J3074" s="3" t="str">
        <f ca="1">IFERROR(__xludf.DUMMYFUNCTION("""COMPUTED_VALUE"""),"0362458748")</f>
        <v>0362458748</v>
      </c>
      <c r="K3074" s="2" t="str">
        <f ca="1">IFERROR(__xludf.DUMMYFUNCTION("""COMPUTED_VALUE"""),"1736027713343")</f>
        <v>1736027713343</v>
      </c>
    </row>
    <row r="3075" spans="1:11" ht="12.45">
      <c r="A3075" s="2" t="str">
        <f ca="1">IFERROR(__xludf.DUMMYFUNCTION("""COMPUTED_VALUE"""),"1736027744901")</f>
        <v>1736027744901</v>
      </c>
      <c r="B3075" s="2"/>
      <c r="C3075" s="2" t="str">
        <v>0</v>
      </c>
      <c r="D3075" s="2"/>
      <c r="F3075" s="2" t="str">
        <v>0</v>
      </c>
      <c r="I3075" s="3" t="str">
        <f ca="1">IFERROR(__xludf.DUMMYFUNCTION("""COMPUTED_VALUE"""),"Cao Thúy Hằng")</f>
        <v>Cao Thúy Hằng</v>
      </c>
      <c r="J3075" s="3" t="str">
        <f ca="1">IFERROR(__xludf.DUMMYFUNCTION("""COMPUTED_VALUE"""),"0355296324")</f>
        <v>0355296324</v>
      </c>
      <c r="K3075" s="2" t="str">
        <f ca="1">IFERROR(__xludf.DUMMYFUNCTION("""COMPUTED_VALUE"""),"1736027744901")</f>
        <v>1736027744901</v>
      </c>
    </row>
    <row r="3076" spans="1:11" ht="12.45">
      <c r="A3076" s="2" t="str">
        <f ca="1">IFERROR(__xludf.DUMMYFUNCTION("""COMPUTED_VALUE"""),"1736202762201")</f>
        <v>1736202762201</v>
      </c>
      <c r="B3076" s="2"/>
      <c r="C3076" s="2" t="str">
        <v>0</v>
      </c>
      <c r="D3076" s="2"/>
      <c r="F3076" s="2" t="str">
        <v>0</v>
      </c>
      <c r="I3076" s="3" t="str">
        <f ca="1">IFERROR(__xludf.DUMMYFUNCTION("""COMPUTED_VALUE"""),"Vũ Thị Thanh Hiền")</f>
        <v>Vũ Thị Thanh Hiền</v>
      </c>
      <c r="J3076" s="3" t="str">
        <f ca="1">IFERROR(__xludf.DUMMYFUNCTION("""COMPUTED_VALUE"""),"0848341568")</f>
        <v>0848341568</v>
      </c>
      <c r="K3076" s="2" t="str">
        <f ca="1">IFERROR(__xludf.DUMMYFUNCTION("""COMPUTED_VALUE"""),"1736202762201")</f>
        <v>1736202762201</v>
      </c>
    </row>
    <row r="3077" spans="1:11" ht="12.45">
      <c r="A3077" s="2" t="str">
        <f ca="1">IFERROR(__xludf.DUMMYFUNCTION("""COMPUTED_VALUE"""),"1736202826973")</f>
        <v>1736202826973</v>
      </c>
      <c r="B3077" s="2"/>
      <c r="C3077" s="2" t="str">
        <v>0</v>
      </c>
      <c r="D3077" s="2"/>
      <c r="F3077" s="2" t="str">
        <v>0</v>
      </c>
      <c r="I3077" s="3" t="str">
        <f ca="1">IFERROR(__xludf.DUMMYFUNCTION("""COMPUTED_VALUE"""),"Đặng Mỹ Hạnh ")</f>
        <v xml:space="preserve">Đặng Mỹ Hạnh </v>
      </c>
      <c r="J3077" s="3" t="str">
        <f ca="1">IFERROR(__xludf.DUMMYFUNCTION("""COMPUTED_VALUE"""),"0782662228")</f>
        <v>0782662228</v>
      </c>
      <c r="K3077" s="2" t="str">
        <f ca="1">IFERROR(__xludf.DUMMYFUNCTION("""COMPUTED_VALUE"""),"1736202826973")</f>
        <v>1736202826973</v>
      </c>
    </row>
    <row r="3078" spans="1:11" ht="12.45">
      <c r="A3078" s="2" t="str">
        <f ca="1">IFERROR(__xludf.DUMMYFUNCTION("""COMPUTED_VALUE"""),"1736202862841")</f>
        <v>1736202862841</v>
      </c>
      <c r="B3078" s="2"/>
      <c r="C3078" s="2" t="str">
        <v>0</v>
      </c>
      <c r="D3078" s="2"/>
      <c r="F3078" s="2" t="str">
        <v>0</v>
      </c>
      <c r="I3078" s="3" t="str">
        <f ca="1">IFERROR(__xludf.DUMMYFUNCTION("""COMPUTED_VALUE"""),"Nguyễn Minh Anh")</f>
        <v>Nguyễn Minh Anh</v>
      </c>
      <c r="J3078" s="3" t="str">
        <f ca="1">IFERROR(__xludf.DUMMYFUNCTION("""COMPUTED_VALUE"""),"0902296589")</f>
        <v>0902296589</v>
      </c>
      <c r="K3078" s="2" t="str">
        <f ca="1">IFERROR(__xludf.DUMMYFUNCTION("""COMPUTED_VALUE"""),"1736202862841")</f>
        <v>1736202862841</v>
      </c>
    </row>
    <row r="3079" spans="1:11" ht="12.45">
      <c r="A3079" s="2" t="str">
        <f ca="1">IFERROR(__xludf.DUMMYFUNCTION("""COMPUTED_VALUE"""),"1736202903527")</f>
        <v>1736202903527</v>
      </c>
      <c r="B3079" s="2"/>
      <c r="C3079" s="2" t="str">
        <v>0</v>
      </c>
      <c r="D3079" s="2"/>
      <c r="F3079" s="2" t="str">
        <v>0</v>
      </c>
      <c r="I3079" s="3" t="str">
        <f ca="1">IFERROR(__xludf.DUMMYFUNCTION("""COMPUTED_VALUE"""),"Nguyễn Trần Phương Như ")</f>
        <v xml:space="preserve">Nguyễn Trần Phương Như </v>
      </c>
      <c r="J3079" s="3" t="str">
        <f ca="1">IFERROR(__xludf.DUMMYFUNCTION("""COMPUTED_VALUE"""),"0799701827")</f>
        <v>0799701827</v>
      </c>
      <c r="K3079" s="2" t="str">
        <f ca="1">IFERROR(__xludf.DUMMYFUNCTION("""COMPUTED_VALUE"""),"1736202903527")</f>
        <v>1736202903527</v>
      </c>
    </row>
    <row r="3080" spans="1:11" ht="12.45">
      <c r="A3080" s="2" t="str">
        <f ca="1">IFERROR(__xludf.DUMMYFUNCTION("""COMPUTED_VALUE"""),"1736202938017")</f>
        <v>1736202938017</v>
      </c>
      <c r="B3080" s="2"/>
      <c r="C3080" s="2" t="str">
        <v>0</v>
      </c>
      <c r="D3080" s="2"/>
      <c r="F3080" s="2" t="str">
        <v>0</v>
      </c>
      <c r="I3080" s="3" t="str">
        <f ca="1">IFERROR(__xludf.DUMMYFUNCTION("""COMPUTED_VALUE"""),"Đặng Huyền Trang")</f>
        <v>Đặng Huyền Trang</v>
      </c>
      <c r="J3080" s="3" t="str">
        <f ca="1">IFERROR(__xludf.DUMMYFUNCTION("""COMPUTED_VALUE"""),"0941708572")</f>
        <v>0941708572</v>
      </c>
      <c r="K3080" s="2" t="str">
        <f ca="1">IFERROR(__xludf.DUMMYFUNCTION("""COMPUTED_VALUE"""),"1736202938017")</f>
        <v>1736202938017</v>
      </c>
    </row>
    <row r="3081" spans="1:11" ht="12.45">
      <c r="A3081" s="2" t="str">
        <f ca="1">IFERROR(__xludf.DUMMYFUNCTION("""COMPUTED_VALUE"""),"1736202978644")</f>
        <v>1736202978644</v>
      </c>
      <c r="B3081" s="2"/>
      <c r="C3081" s="2" t="str">
        <v>0</v>
      </c>
      <c r="D3081" s="2"/>
      <c r="F3081" s="2" t="str">
        <v>0</v>
      </c>
      <c r="I3081" s="3" t="str">
        <f ca="1">IFERROR(__xludf.DUMMYFUNCTION("""COMPUTED_VALUE"""),"Vương Thị Phương Thảo")</f>
        <v>Vương Thị Phương Thảo</v>
      </c>
      <c r="J3081" s="3" t="str">
        <f ca="1">IFERROR(__xludf.DUMMYFUNCTION("""COMPUTED_VALUE"""),"0867962751")</f>
        <v>0867962751</v>
      </c>
      <c r="K3081" s="2" t="str">
        <f ca="1">IFERROR(__xludf.DUMMYFUNCTION("""COMPUTED_VALUE"""),"1736202978644")</f>
        <v>1736202978644</v>
      </c>
    </row>
    <row r="3082" spans="1:11" ht="12.45">
      <c r="A3082" s="2" t="str">
        <f ca="1">IFERROR(__xludf.DUMMYFUNCTION("""COMPUTED_VALUE"""),"1736203020913")</f>
        <v>1736203020913</v>
      </c>
      <c r="B3082" s="2"/>
      <c r="C3082" s="2" t="str">
        <v>0</v>
      </c>
      <c r="D3082" s="2"/>
      <c r="F3082" s="2" t="str">
        <v>0</v>
      </c>
      <c r="I3082" s="3" t="str">
        <f ca="1">IFERROR(__xludf.DUMMYFUNCTION("""COMPUTED_VALUE"""),"Nguyễn Thanh Các")</f>
        <v>Nguyễn Thanh Các</v>
      </c>
      <c r="J3082" s="3" t="str">
        <f ca="1">IFERROR(__xludf.DUMMYFUNCTION("""COMPUTED_VALUE"""),"0832500687")</f>
        <v>0832500687</v>
      </c>
      <c r="K3082" s="2" t="str">
        <f ca="1">IFERROR(__xludf.DUMMYFUNCTION("""COMPUTED_VALUE"""),"1736203020913")</f>
        <v>1736203020913</v>
      </c>
    </row>
    <row r="3083" spans="1:11" ht="12.45">
      <c r="A3083" s="2" t="str">
        <f ca="1">IFERROR(__xludf.DUMMYFUNCTION("""COMPUTED_VALUE"""),"1736203063604")</f>
        <v>1736203063604</v>
      </c>
      <c r="B3083" s="2"/>
      <c r="C3083" s="2" t="str">
        <v>0</v>
      </c>
      <c r="D3083" s="2"/>
      <c r="F3083" s="2" t="str">
        <v>0</v>
      </c>
      <c r="I3083" s="3" t="str">
        <f ca="1">IFERROR(__xludf.DUMMYFUNCTION("""COMPUTED_VALUE"""),"Ngô Quang Hiếu")</f>
        <v>Ngô Quang Hiếu</v>
      </c>
      <c r="J3083" s="3" t="str">
        <f ca="1">IFERROR(__xludf.DUMMYFUNCTION("""COMPUTED_VALUE"""),"0353385653")</f>
        <v>0353385653</v>
      </c>
      <c r="K3083" s="2" t="str">
        <f ca="1">IFERROR(__xludf.DUMMYFUNCTION("""COMPUTED_VALUE"""),"1736203063604")</f>
        <v>1736203063604</v>
      </c>
    </row>
    <row r="3084" spans="1:11" ht="12.45">
      <c r="A3084" s="2" t="str">
        <f ca="1">IFERROR(__xludf.DUMMYFUNCTION("""COMPUTED_VALUE"""),"1736203109860")</f>
        <v>1736203109860</v>
      </c>
      <c r="B3084" s="2"/>
      <c r="C3084" s="2" t="str">
        <v>0</v>
      </c>
      <c r="D3084" s="2"/>
      <c r="F3084" s="2" t="str">
        <v>0</v>
      </c>
      <c r="I3084" s="3" t="str">
        <f ca="1">IFERROR(__xludf.DUMMYFUNCTION("""COMPUTED_VALUE"""),"Lê Thị Kiều Anh")</f>
        <v>Lê Thị Kiều Anh</v>
      </c>
      <c r="J3084" s="3" t="str">
        <f ca="1">IFERROR(__xludf.DUMMYFUNCTION("""COMPUTED_VALUE"""),"0869889758")</f>
        <v>0869889758</v>
      </c>
      <c r="K3084" s="2" t="str">
        <f ca="1">IFERROR(__xludf.DUMMYFUNCTION("""COMPUTED_VALUE"""),"1736203109860")</f>
        <v>1736203109860</v>
      </c>
    </row>
    <row r="3085" spans="1:11" ht="12.45">
      <c r="A3085" s="2" t="str">
        <f ca="1">IFERROR(__xludf.DUMMYFUNCTION("""COMPUTED_VALUE"""),"1736203162075")</f>
        <v>1736203162075</v>
      </c>
      <c r="B3085" s="2"/>
      <c r="C3085" s="2" t="str">
        <v>0</v>
      </c>
      <c r="D3085" s="2"/>
      <c r="F3085" s="2" t="str">
        <v>0</v>
      </c>
      <c r="I3085" s="3" t="str">
        <f ca="1">IFERROR(__xludf.DUMMYFUNCTION("""COMPUTED_VALUE"""),"Nguyễn Gia Linh")</f>
        <v>Nguyễn Gia Linh</v>
      </c>
      <c r="J3085" s="3" t="str">
        <f ca="1">IFERROR(__xludf.DUMMYFUNCTION("""COMPUTED_VALUE"""),"0352767860")</f>
        <v>0352767860</v>
      </c>
      <c r="K3085" s="2" t="str">
        <f ca="1">IFERROR(__xludf.DUMMYFUNCTION("""COMPUTED_VALUE"""),"1736203162075")</f>
        <v>1736203162075</v>
      </c>
    </row>
    <row r="3086" spans="1:11" ht="12.45">
      <c r="A3086" s="2" t="str">
        <f ca="1">IFERROR(__xludf.DUMMYFUNCTION("""COMPUTED_VALUE"""),"1736203190107")</f>
        <v>1736203190107</v>
      </c>
      <c r="B3086" s="2"/>
      <c r="C3086" s="2" t="str">
        <v>0</v>
      </c>
      <c r="D3086" s="2"/>
      <c r="F3086" s="2" t="str">
        <v>0</v>
      </c>
      <c r="I3086" s="3" t="str">
        <f ca="1">IFERROR(__xludf.DUMMYFUNCTION("""COMPUTED_VALUE"""),"Hoàng Phi Nhung")</f>
        <v>Hoàng Phi Nhung</v>
      </c>
      <c r="J3086" s="3" t="str">
        <f ca="1">IFERROR(__xludf.DUMMYFUNCTION("""COMPUTED_VALUE"""),"0968916375")</f>
        <v>0968916375</v>
      </c>
      <c r="K3086" s="2" t="str">
        <f ca="1">IFERROR(__xludf.DUMMYFUNCTION("""COMPUTED_VALUE"""),"1736203190107")</f>
        <v>1736203190107</v>
      </c>
    </row>
    <row r="3087" spans="1:11" ht="12.45">
      <c r="A3087" s="2" t="str">
        <f ca="1">IFERROR(__xludf.DUMMYFUNCTION("""COMPUTED_VALUE"""),"1736203243368")</f>
        <v>1736203243368</v>
      </c>
      <c r="B3087" s="2"/>
      <c r="C3087" s="2" t="str">
        <v>0</v>
      </c>
      <c r="D3087" s="2"/>
      <c r="F3087" s="2" t="str">
        <v>0</v>
      </c>
      <c r="I3087" s="3" t="str">
        <f ca="1">IFERROR(__xludf.DUMMYFUNCTION("""COMPUTED_VALUE"""),"Trịnh Xuân Hùng")</f>
        <v>Trịnh Xuân Hùng</v>
      </c>
      <c r="J3087" s="3" t="str">
        <f ca="1">IFERROR(__xludf.DUMMYFUNCTION("""COMPUTED_VALUE"""),"0348021858")</f>
        <v>0348021858</v>
      </c>
      <c r="K3087" s="2" t="str">
        <f ca="1">IFERROR(__xludf.DUMMYFUNCTION("""COMPUTED_VALUE"""),"1736203243368")</f>
        <v>1736203243368</v>
      </c>
    </row>
    <row r="3088" spans="1:11" ht="12.45">
      <c r="A3088" s="2" t="str">
        <f ca="1">IFERROR(__xludf.DUMMYFUNCTION("""COMPUTED_VALUE"""),"1736203281530")</f>
        <v>1736203281530</v>
      </c>
      <c r="B3088" s="2"/>
      <c r="C3088" s="2" t="str">
        <v>0</v>
      </c>
      <c r="D3088" s="2"/>
      <c r="F3088" s="2" t="str">
        <v>0</v>
      </c>
      <c r="I3088" s="3" t="str">
        <f ca="1">IFERROR(__xludf.DUMMYFUNCTION("""COMPUTED_VALUE"""),"Trần Nguyễn Hồng Phúc")</f>
        <v>Trần Nguyễn Hồng Phúc</v>
      </c>
      <c r="J3088" s="3" t="str">
        <f ca="1">IFERROR(__xludf.DUMMYFUNCTION("""COMPUTED_VALUE"""),"0349692071")</f>
        <v>0349692071</v>
      </c>
      <c r="K3088" s="2" t="str">
        <f ca="1">IFERROR(__xludf.DUMMYFUNCTION("""COMPUTED_VALUE"""),"1736203281530")</f>
        <v>1736203281530</v>
      </c>
    </row>
    <row r="3089" spans="1:11" ht="12.45">
      <c r="A3089" s="2" t="str">
        <f ca="1">IFERROR(__xludf.DUMMYFUNCTION("""COMPUTED_VALUE"""),"1736203329443")</f>
        <v>1736203329443</v>
      </c>
      <c r="B3089" s="2"/>
      <c r="C3089" s="2" t="str">
        <v>0</v>
      </c>
      <c r="D3089" s="2"/>
      <c r="F3089" s="2" t="str">
        <v>0</v>
      </c>
      <c r="I3089" s="3" t="str">
        <f ca="1">IFERROR(__xludf.DUMMYFUNCTION("""COMPUTED_VALUE"""),"Vũ Quốc Khánh")</f>
        <v>Vũ Quốc Khánh</v>
      </c>
      <c r="J3089" s="3" t="str">
        <f ca="1">IFERROR(__xludf.DUMMYFUNCTION("""COMPUTED_VALUE"""),"0981814462")</f>
        <v>0981814462</v>
      </c>
      <c r="K3089" s="2" t="str">
        <f ca="1">IFERROR(__xludf.DUMMYFUNCTION("""COMPUTED_VALUE"""),"1736203329443")</f>
        <v>1736203329443</v>
      </c>
    </row>
    <row r="3090" spans="1:11" ht="12.45">
      <c r="A3090" s="2" t="str">
        <f ca="1">IFERROR(__xludf.DUMMYFUNCTION("""COMPUTED_VALUE"""),"1736203367792")</f>
        <v>1736203367792</v>
      </c>
      <c r="B3090" s="2"/>
      <c r="C3090" s="2" t="str">
        <v>0</v>
      </c>
      <c r="D3090" s="2"/>
      <c r="F3090" s="2" t="str">
        <v>0</v>
      </c>
      <c r="I3090" s="3" t="str">
        <f ca="1">IFERROR(__xludf.DUMMYFUNCTION("""COMPUTED_VALUE"""),"Nguyễn Hữu Nhật ")</f>
        <v xml:space="preserve">Nguyễn Hữu Nhật </v>
      </c>
      <c r="J3090" s="3" t="str">
        <f ca="1">IFERROR(__xludf.DUMMYFUNCTION("""COMPUTED_VALUE"""),"0384387002")</f>
        <v>0384387002</v>
      </c>
      <c r="K3090" s="2" t="str">
        <f ca="1">IFERROR(__xludf.DUMMYFUNCTION("""COMPUTED_VALUE"""),"1736203367792")</f>
        <v>1736203367792</v>
      </c>
    </row>
    <row r="3091" spans="1:11" ht="12.45">
      <c r="A3091" s="2" t="str">
        <f ca="1">IFERROR(__xludf.DUMMYFUNCTION("""COMPUTED_VALUE"""),"1736203408379")</f>
        <v>1736203408379</v>
      </c>
      <c r="B3091" s="2"/>
      <c r="C3091" s="2" t="str">
        <v>0</v>
      </c>
      <c r="D3091" s="2"/>
      <c r="F3091" s="2" t="str">
        <v>0</v>
      </c>
      <c r="I3091" s="2" t="str">
        <f ca="1">IFERROR(__xludf.DUMMYFUNCTION("""COMPUTED_VALUE"""),"Nguyễn Thanh Phương")</f>
        <v>Nguyễn Thanh Phương</v>
      </c>
      <c r="J3091" s="3" t="str">
        <f ca="1">IFERROR(__xludf.DUMMYFUNCTION("""COMPUTED_VALUE"""),"0334154806")</f>
        <v>0334154806</v>
      </c>
      <c r="K3091" s="2" t="str">
        <f ca="1">IFERROR(__xludf.DUMMYFUNCTION("""COMPUTED_VALUE"""),"1736203408379")</f>
        <v>1736203408379</v>
      </c>
    </row>
    <row r="3092" spans="1:11" ht="12.45">
      <c r="A3092" s="2" t="str">
        <f ca="1">IFERROR(__xludf.DUMMYFUNCTION("""COMPUTED_VALUE"""),"1736203450234")</f>
        <v>1736203450234</v>
      </c>
      <c r="B3092" s="2"/>
      <c r="C3092" s="2" t="str">
        <v>0</v>
      </c>
      <c r="D3092" s="2"/>
      <c r="F3092" s="2" t="str">
        <v>0</v>
      </c>
      <c r="I3092" s="3" t="str">
        <f ca="1">IFERROR(__xludf.DUMMYFUNCTION("""COMPUTED_VALUE"""),"võ chung thiên ngân")</f>
        <v>võ chung thiên ngân</v>
      </c>
      <c r="J3092" s="3" t="str">
        <f ca="1">IFERROR(__xludf.DUMMYFUNCTION("""COMPUTED_VALUE"""),"0938791552")</f>
        <v>0938791552</v>
      </c>
      <c r="K3092" s="2" t="str">
        <f ca="1">IFERROR(__xludf.DUMMYFUNCTION("""COMPUTED_VALUE"""),"1736203450234")</f>
        <v>1736203450234</v>
      </c>
    </row>
    <row r="3093" spans="1:11" ht="12.45">
      <c r="A3093" s="2" t="str">
        <f ca="1">IFERROR(__xludf.DUMMYFUNCTION("""COMPUTED_VALUE"""),"1736203498291")</f>
        <v>1736203498291</v>
      </c>
      <c r="B3093" s="2"/>
      <c r="C3093" s="2" t="str">
        <v>0</v>
      </c>
      <c r="D3093" s="2"/>
      <c r="F3093" s="2" t="str">
        <v>0</v>
      </c>
      <c r="I3093" s="3" t="str">
        <f ca="1">IFERROR(__xludf.DUMMYFUNCTION("""COMPUTED_VALUE"""),"Loan Thị Kiều Duyên")</f>
        <v>Loan Thị Kiều Duyên</v>
      </c>
      <c r="J3093" s="3" t="str">
        <f ca="1">IFERROR(__xludf.DUMMYFUNCTION("""COMPUTED_VALUE"""),"0585364541")</f>
        <v>0585364541</v>
      </c>
      <c r="K3093" s="2" t="str">
        <f ca="1">IFERROR(__xludf.DUMMYFUNCTION("""COMPUTED_VALUE"""),"1736203498291")</f>
        <v>1736203498291</v>
      </c>
    </row>
    <row r="3094" spans="1:11" ht="12.45">
      <c r="A3094" s="2" t="str">
        <f ca="1">IFERROR(__xludf.DUMMYFUNCTION("""COMPUTED_VALUE"""),"1736203543555")</f>
        <v>1736203543555</v>
      </c>
      <c r="B3094" s="2"/>
      <c r="C3094" s="2" t="str">
        <v>0</v>
      </c>
      <c r="D3094" s="2"/>
      <c r="F3094" s="2" t="str">
        <v>0</v>
      </c>
      <c r="I3094" s="3" t="str">
        <f ca="1">IFERROR(__xludf.DUMMYFUNCTION("""COMPUTED_VALUE"""),"Trương Mẫn ")</f>
        <v xml:space="preserve">Trương Mẫn </v>
      </c>
      <c r="J3094" s="3" t="str">
        <f ca="1">IFERROR(__xludf.DUMMYFUNCTION("""COMPUTED_VALUE"""),"0902810513")</f>
        <v>0902810513</v>
      </c>
      <c r="K3094" s="2" t="str">
        <f ca="1">IFERROR(__xludf.DUMMYFUNCTION("""COMPUTED_VALUE"""),"1736203543555")</f>
        <v>1736203543555</v>
      </c>
    </row>
    <row r="3095" spans="1:11" ht="12.45">
      <c r="A3095" s="2" t="str">
        <f ca="1">IFERROR(__xludf.DUMMYFUNCTION("""COMPUTED_VALUE"""),"1736203577962")</f>
        <v>1736203577962</v>
      </c>
      <c r="B3095" s="2"/>
      <c r="C3095" s="2" t="str">
        <v>0</v>
      </c>
      <c r="D3095" s="2"/>
      <c r="F3095" s="2" t="str">
        <v>0</v>
      </c>
      <c r="I3095" s="3" t="str">
        <f ca="1">IFERROR(__xludf.DUMMYFUNCTION("""COMPUTED_VALUE"""),"Dương Quỳnh Anh ")</f>
        <v xml:space="preserve">Dương Quỳnh Anh </v>
      </c>
      <c r="J3095" s="3" t="str">
        <f ca="1">IFERROR(__xludf.DUMMYFUNCTION("""COMPUTED_VALUE"""),"0908064207")</f>
        <v>0908064207</v>
      </c>
      <c r="K3095" s="2" t="str">
        <f ca="1">IFERROR(__xludf.DUMMYFUNCTION("""COMPUTED_VALUE"""),"1736203577962")</f>
        <v>1736203577962</v>
      </c>
    </row>
    <row r="3096" spans="1:11" ht="12.45">
      <c r="A3096" s="2" t="str">
        <f ca="1">IFERROR(__xludf.DUMMYFUNCTION("""COMPUTED_VALUE"""),"1736203614391")</f>
        <v>1736203614391</v>
      </c>
      <c r="B3096" s="2"/>
      <c r="C3096" s="2" t="str">
        <v>0</v>
      </c>
      <c r="D3096" s="2"/>
      <c r="F3096" s="2" t="str">
        <v>0</v>
      </c>
      <c r="I3096" s="3" t="str">
        <f ca="1">IFERROR(__xludf.DUMMYFUNCTION("""COMPUTED_VALUE"""),"Phạm Gia Khang")</f>
        <v>Phạm Gia Khang</v>
      </c>
      <c r="J3096" s="3" t="str">
        <f ca="1">IFERROR(__xludf.DUMMYFUNCTION("""COMPUTED_VALUE"""),"0858777721")</f>
        <v>0858777721</v>
      </c>
      <c r="K3096" s="2" t="str">
        <f ca="1">IFERROR(__xludf.DUMMYFUNCTION("""COMPUTED_VALUE"""),"1736203614391")</f>
        <v>1736203614391</v>
      </c>
    </row>
    <row r="3097" spans="1:11" ht="12.45">
      <c r="A3097" s="2" t="str">
        <f ca="1">IFERROR(__xludf.DUMMYFUNCTION("""COMPUTED_VALUE"""),"1736203662899")</f>
        <v>1736203662899</v>
      </c>
      <c r="B3097" s="2"/>
      <c r="C3097" s="2" t="str">
        <v>0</v>
      </c>
      <c r="D3097" s="2"/>
      <c r="F3097" s="2" t="str">
        <v>0</v>
      </c>
      <c r="I3097" s="3" t="str">
        <f ca="1">IFERROR(__xludf.DUMMYFUNCTION("""COMPUTED_VALUE"""),"Trần Tiến Dũng")</f>
        <v>Trần Tiến Dũng</v>
      </c>
      <c r="J3097" s="3" t="str">
        <f ca="1">IFERROR(__xludf.DUMMYFUNCTION("""COMPUTED_VALUE"""),"0962922399")</f>
        <v>0962922399</v>
      </c>
      <c r="K3097" s="2" t="str">
        <f ca="1">IFERROR(__xludf.DUMMYFUNCTION("""COMPUTED_VALUE"""),"1736203662899")</f>
        <v>1736203662899</v>
      </c>
    </row>
    <row r="3098" spans="1:11" ht="12.45">
      <c r="A3098" s="2" t="str">
        <f ca="1">IFERROR(__xludf.DUMMYFUNCTION("""COMPUTED_VALUE"""),"1736203713274")</f>
        <v>1736203713274</v>
      </c>
      <c r="B3098" s="2"/>
      <c r="C3098" s="2" t="str">
        <v>0</v>
      </c>
      <c r="D3098" s="2"/>
      <c r="F3098" s="2" t="str">
        <v>0</v>
      </c>
      <c r="I3098" s="3" t="str">
        <f ca="1">IFERROR(__xludf.DUMMYFUNCTION("""COMPUTED_VALUE"""),"Phạm Thu Hương")</f>
        <v>Phạm Thu Hương</v>
      </c>
      <c r="J3098" s="3" t="str">
        <f ca="1">IFERROR(__xludf.DUMMYFUNCTION("""COMPUTED_VALUE"""),"0332390382")</f>
        <v>0332390382</v>
      </c>
      <c r="K3098" s="2" t="str">
        <f ca="1">IFERROR(__xludf.DUMMYFUNCTION("""COMPUTED_VALUE"""),"1736203713274")</f>
        <v>1736203713274</v>
      </c>
    </row>
    <row r="3099" spans="1:11" ht="12.45">
      <c r="A3099" s="2" t="str">
        <f ca="1">IFERROR(__xludf.DUMMYFUNCTION("""COMPUTED_VALUE"""),"1736203753783")</f>
        <v>1736203753783</v>
      </c>
      <c r="B3099" s="2"/>
      <c r="C3099" s="2" t="str">
        <v>0</v>
      </c>
      <c r="D3099" s="2"/>
      <c r="F3099" s="2" t="str">
        <v>0</v>
      </c>
      <c r="I3099" s="3" t="str">
        <f ca="1">IFERROR(__xludf.DUMMYFUNCTION("""COMPUTED_VALUE"""),"Đoàn Trà My")</f>
        <v>Đoàn Trà My</v>
      </c>
      <c r="J3099" s="3" t="str">
        <f ca="1">IFERROR(__xludf.DUMMYFUNCTION("""COMPUTED_VALUE"""),"0986656841")</f>
        <v>0986656841</v>
      </c>
      <c r="K3099" s="2" t="str">
        <f ca="1">IFERROR(__xludf.DUMMYFUNCTION("""COMPUTED_VALUE"""),"1736203753783")</f>
        <v>1736203753783</v>
      </c>
    </row>
    <row r="3100" spans="1:11" ht="12.45">
      <c r="A3100" s="2" t="str">
        <f ca="1">IFERROR(__xludf.DUMMYFUNCTION("""COMPUTED_VALUE"""),"1736203789975")</f>
        <v>1736203789975</v>
      </c>
      <c r="B3100" s="2"/>
      <c r="C3100" s="2" t="str">
        <v>0</v>
      </c>
      <c r="D3100" s="2"/>
      <c r="F3100" s="2" t="str">
        <v>0</v>
      </c>
      <c r="I3100" s="3" t="str">
        <f ca="1">IFERROR(__xludf.DUMMYFUNCTION("""COMPUTED_VALUE"""),"Hà Ngọc Bích")</f>
        <v>Hà Ngọc Bích</v>
      </c>
      <c r="J3100" s="3" t="str">
        <f ca="1">IFERROR(__xludf.DUMMYFUNCTION("""COMPUTED_VALUE"""),"0988831353")</f>
        <v>0988831353</v>
      </c>
      <c r="K3100" s="2" t="str">
        <f ca="1">IFERROR(__xludf.DUMMYFUNCTION("""COMPUTED_VALUE"""),"1736203789975")</f>
        <v>1736203789975</v>
      </c>
    </row>
    <row r="3101" spans="1:11" ht="12.45">
      <c r="A3101" s="2" t="str">
        <f ca="1">IFERROR(__xludf.DUMMYFUNCTION("""COMPUTED_VALUE"""),"1736203816772")</f>
        <v>1736203816772</v>
      </c>
      <c r="B3101" s="2"/>
      <c r="C3101" s="2" t="str">
        <v>0</v>
      </c>
      <c r="D3101" s="2"/>
      <c r="F3101" s="2" t="str">
        <v>0</v>
      </c>
      <c r="I3101" s="3" t="str">
        <f ca="1">IFERROR(__xludf.DUMMYFUNCTION("""COMPUTED_VALUE"""),"Dương Thị Hà Vi")</f>
        <v>Dương Thị Hà Vi</v>
      </c>
      <c r="J3101" s="3" t="str">
        <f ca="1">IFERROR(__xludf.DUMMYFUNCTION("""COMPUTED_VALUE"""),"0343399640")</f>
        <v>0343399640</v>
      </c>
      <c r="K3101" s="2" t="str">
        <f ca="1">IFERROR(__xludf.DUMMYFUNCTION("""COMPUTED_VALUE"""),"1736203816772")</f>
        <v>1736203816772</v>
      </c>
    </row>
    <row r="3102" spans="1:11" ht="12.45">
      <c r="A3102" s="2" t="str">
        <f ca="1">IFERROR(__xludf.DUMMYFUNCTION("""COMPUTED_VALUE"""),"1736203855826")</f>
        <v>1736203855826</v>
      </c>
      <c r="B3102" s="2"/>
      <c r="C3102" s="2" t="str">
        <v>0</v>
      </c>
      <c r="D3102" s="2"/>
      <c r="F3102" s="2" t="str">
        <v>0</v>
      </c>
      <c r="I3102" s="3" t="str">
        <f ca="1">IFERROR(__xludf.DUMMYFUNCTION("""COMPUTED_VALUE"""),"Nguyễn Hoàng Thảo Vân")</f>
        <v>Nguyễn Hoàng Thảo Vân</v>
      </c>
      <c r="J3102" s="3" t="str">
        <f ca="1">IFERROR(__xludf.DUMMYFUNCTION("""COMPUTED_VALUE"""),"0886369246")</f>
        <v>0886369246</v>
      </c>
      <c r="K3102" s="2" t="str">
        <f ca="1">IFERROR(__xludf.DUMMYFUNCTION("""COMPUTED_VALUE"""),"1736203855826")</f>
        <v>1736203855826</v>
      </c>
    </row>
    <row r="3103" spans="1:11" ht="12.45">
      <c r="A3103" s="2" t="str">
        <f ca="1">IFERROR(__xludf.DUMMYFUNCTION("""COMPUTED_VALUE"""),"1736203894993")</f>
        <v>1736203894993</v>
      </c>
      <c r="B3103" s="2"/>
      <c r="C3103" s="2" t="str">
        <v>0</v>
      </c>
      <c r="D3103" s="2"/>
      <c r="F3103" s="2" t="str">
        <v>0</v>
      </c>
      <c r="I3103" s="3" t="str">
        <f ca="1">IFERROR(__xludf.DUMMYFUNCTION("""COMPUTED_VALUE"""),"Nguyễn Ngọc Anh")</f>
        <v>Nguyễn Ngọc Anh</v>
      </c>
      <c r="J3103" s="3" t="str">
        <f ca="1">IFERROR(__xludf.DUMMYFUNCTION("""COMPUTED_VALUE"""),"0368834782")</f>
        <v>0368834782</v>
      </c>
      <c r="K3103" s="2" t="str">
        <f ca="1">IFERROR(__xludf.DUMMYFUNCTION("""COMPUTED_VALUE"""),"1736203894993")</f>
        <v>1736203894993</v>
      </c>
    </row>
    <row r="3104" spans="1:11" ht="12.45">
      <c r="A3104" s="2" t="str">
        <f ca="1">IFERROR(__xludf.DUMMYFUNCTION("""COMPUTED_VALUE"""),"1736203949725")</f>
        <v>1736203949725</v>
      </c>
      <c r="B3104" s="2"/>
      <c r="C3104" s="2" t="str">
        <v>0</v>
      </c>
      <c r="D3104" s="2"/>
      <c r="F3104" s="2" t="str">
        <v>0</v>
      </c>
      <c r="I3104" s="3" t="str">
        <f ca="1">IFERROR(__xludf.DUMMYFUNCTION("""COMPUTED_VALUE"""),"Lò Thanh Diệp")</f>
        <v>Lò Thanh Diệp</v>
      </c>
      <c r="J3104" s="3" t="str">
        <f ca="1">IFERROR(__xludf.DUMMYFUNCTION("""COMPUTED_VALUE"""),"0349557978")</f>
        <v>0349557978</v>
      </c>
      <c r="K3104" s="2" t="str">
        <f ca="1">IFERROR(__xludf.DUMMYFUNCTION("""COMPUTED_VALUE"""),"1736203949725")</f>
        <v>1736203949725</v>
      </c>
    </row>
    <row r="3105" spans="1:11" ht="12.45">
      <c r="A3105" s="2" t="str">
        <f ca="1">IFERROR(__xludf.DUMMYFUNCTION("""COMPUTED_VALUE"""),"1736204011926")</f>
        <v>1736204011926</v>
      </c>
      <c r="B3105" s="2"/>
      <c r="C3105" s="2" t="str">
        <v>0</v>
      </c>
      <c r="D3105" s="2"/>
      <c r="F3105" s="2" t="str">
        <v>0</v>
      </c>
      <c r="I3105" s="3" t="str">
        <f ca="1">IFERROR(__xludf.DUMMYFUNCTION("""COMPUTED_VALUE"""),"Nguyễn Thị Mai Phương ")</f>
        <v xml:space="preserve">Nguyễn Thị Mai Phương </v>
      </c>
      <c r="J3105" s="3" t="str">
        <f ca="1">IFERROR(__xludf.DUMMYFUNCTION("""COMPUTED_VALUE"""),"0933566472")</f>
        <v>0933566472</v>
      </c>
      <c r="K3105" s="2" t="str">
        <f ca="1">IFERROR(__xludf.DUMMYFUNCTION("""COMPUTED_VALUE"""),"1736204011926")</f>
        <v>1736204011926</v>
      </c>
    </row>
    <row r="3106" spans="1:11" ht="12.45">
      <c r="A3106" s="2" t="str">
        <f ca="1">IFERROR(__xludf.DUMMYFUNCTION("""COMPUTED_VALUE"""),"1736204065502")</f>
        <v>1736204065502</v>
      </c>
      <c r="B3106" s="2"/>
      <c r="C3106" s="2" t="str">
        <v>0</v>
      </c>
      <c r="D3106" s="2"/>
      <c r="F3106" s="2" t="str">
        <v>0</v>
      </c>
      <c r="I3106" s="3" t="str">
        <f ca="1">IFERROR(__xludf.DUMMYFUNCTION("""COMPUTED_VALUE"""),"Trần Nguyễn Vương Linh")</f>
        <v>Trần Nguyễn Vương Linh</v>
      </c>
      <c r="J3106" s="2" t="str">
        <f ca="1">IFERROR(__xludf.DUMMYFUNCTION("""COMPUTED_VALUE"""),"0377233476")</f>
        <v>0377233476</v>
      </c>
      <c r="K3106" s="2" t="str">
        <f ca="1">IFERROR(__xludf.DUMMYFUNCTION("""COMPUTED_VALUE"""),"1736204065502")</f>
        <v>1736204065502</v>
      </c>
    </row>
    <row r="3107" spans="1:11" ht="12.45">
      <c r="A3107" s="2" t="str">
        <f ca="1">IFERROR(__xludf.DUMMYFUNCTION("""COMPUTED_VALUE"""),"1736204107222")</f>
        <v>1736204107222</v>
      </c>
      <c r="B3107" s="2"/>
      <c r="C3107" s="2" t="str">
        <v>0</v>
      </c>
      <c r="D3107" s="2"/>
      <c r="F3107" s="2" t="str">
        <v>0</v>
      </c>
      <c r="I3107" s="3" t="str">
        <f ca="1">IFERROR(__xludf.DUMMYFUNCTION("""COMPUTED_VALUE"""),"Nguyễn Hợp Viêt Thắng")</f>
        <v>Nguyễn Hợp Viêt Thắng</v>
      </c>
      <c r="J3107" s="3" t="str">
        <f ca="1">IFERROR(__xludf.DUMMYFUNCTION("""COMPUTED_VALUE"""),"0929979997")</f>
        <v>0929979997</v>
      </c>
      <c r="K3107" s="2" t="str">
        <f ca="1">IFERROR(__xludf.DUMMYFUNCTION("""COMPUTED_VALUE"""),"1736204107222")</f>
        <v>1736204107222</v>
      </c>
    </row>
    <row r="3108" spans="1:11" ht="12.45">
      <c r="A3108" s="2" t="str">
        <f ca="1">IFERROR(__xludf.DUMMYFUNCTION("""COMPUTED_VALUE"""),"1736204148402")</f>
        <v>1736204148402</v>
      </c>
      <c r="B3108" s="2"/>
      <c r="C3108" s="2" t="str">
        <v>0</v>
      </c>
      <c r="D3108" s="2"/>
      <c r="F3108" s="2" t="str">
        <v>0</v>
      </c>
      <c r="I3108" s="3" t="str">
        <f ca="1">IFERROR(__xludf.DUMMYFUNCTION("""COMPUTED_VALUE"""),"Nguyễn Nhật Thiên Lam")</f>
        <v>Nguyễn Nhật Thiên Lam</v>
      </c>
      <c r="J3108" s="3" t="str">
        <f ca="1">IFERROR(__xludf.DUMMYFUNCTION("""COMPUTED_VALUE"""),"0978169343")</f>
        <v>0978169343</v>
      </c>
      <c r="K3108" s="2" t="str">
        <f ca="1">IFERROR(__xludf.DUMMYFUNCTION("""COMPUTED_VALUE"""),"1736204148402")</f>
        <v>1736204148402</v>
      </c>
    </row>
    <row r="3109" spans="1:11" ht="12.45">
      <c r="A3109" s="2" t="str">
        <f ca="1">IFERROR(__xludf.DUMMYFUNCTION("""COMPUTED_VALUE"""),"1736204193398")</f>
        <v>1736204193398</v>
      </c>
      <c r="B3109" s="2"/>
      <c r="C3109" s="2" t="str">
        <v>0</v>
      </c>
      <c r="D3109" s="2"/>
      <c r="F3109" s="2" t="str">
        <v>0</v>
      </c>
      <c r="I3109" s="3" t="str">
        <f ca="1">IFERROR(__xludf.DUMMYFUNCTION("""COMPUTED_VALUE"""),"Nguyễn Thị Thuỳ Trang")</f>
        <v>Nguyễn Thị Thuỳ Trang</v>
      </c>
      <c r="J3109" s="3" t="str">
        <f ca="1">IFERROR(__xludf.DUMMYFUNCTION("""COMPUTED_VALUE"""),"0971569668")</f>
        <v>0971569668</v>
      </c>
      <c r="K3109" s="2" t="str">
        <f ca="1">IFERROR(__xludf.DUMMYFUNCTION("""COMPUTED_VALUE"""),"1736204193398")</f>
        <v>1736204193398</v>
      </c>
    </row>
    <row r="3110" spans="1:11" ht="12.45">
      <c r="A3110" s="2" t="str">
        <f ca="1">IFERROR(__xludf.DUMMYFUNCTION("""COMPUTED_VALUE"""),"1736204238760")</f>
        <v>1736204238760</v>
      </c>
      <c r="B3110" s="2"/>
      <c r="C3110" s="2" t="str">
        <v>0</v>
      </c>
      <c r="D3110" s="2"/>
      <c r="F3110" s="2" t="str">
        <v>0</v>
      </c>
      <c r="I3110" s="3" t="str">
        <f ca="1">IFERROR(__xludf.DUMMYFUNCTION("""COMPUTED_VALUE"""),"Nguyễn Thị Ngọc Phương")</f>
        <v>Nguyễn Thị Ngọc Phương</v>
      </c>
      <c r="J3110" s="3" t="str">
        <f ca="1">IFERROR(__xludf.DUMMYFUNCTION("""COMPUTED_VALUE"""),"0901822967")</f>
        <v>0901822967</v>
      </c>
      <c r="K3110" s="2" t="str">
        <f ca="1">IFERROR(__xludf.DUMMYFUNCTION("""COMPUTED_VALUE"""),"1736204238760")</f>
        <v>1736204238760</v>
      </c>
    </row>
    <row r="3111" spans="1:11" ht="12.45">
      <c r="A3111" s="2" t="str">
        <f ca="1">IFERROR(__xludf.DUMMYFUNCTION("""COMPUTED_VALUE"""),"1736204289263")</f>
        <v>1736204289263</v>
      </c>
      <c r="B3111" s="2"/>
      <c r="C3111" s="2" t="str">
        <v>0</v>
      </c>
      <c r="D3111" s="2"/>
      <c r="F3111" s="2" t="str">
        <v>0</v>
      </c>
      <c r="I3111" s="3" t="str">
        <f ca="1">IFERROR(__xludf.DUMMYFUNCTION("""COMPUTED_VALUE"""),"Trần Thị Diệu Hiền")</f>
        <v>Trần Thị Diệu Hiền</v>
      </c>
      <c r="J3111" s="3" t="str">
        <f ca="1">IFERROR(__xludf.DUMMYFUNCTION("""COMPUTED_VALUE"""),"0326209102")</f>
        <v>0326209102</v>
      </c>
      <c r="K3111" s="2" t="str">
        <f ca="1">IFERROR(__xludf.DUMMYFUNCTION("""COMPUTED_VALUE"""),"1736204289263")</f>
        <v>1736204289263</v>
      </c>
    </row>
    <row r="3112" spans="1:11" ht="12.45">
      <c r="A3112" s="2" t="str">
        <f ca="1">IFERROR(__xludf.DUMMYFUNCTION("""COMPUTED_VALUE"""),"1736204324504")</f>
        <v>1736204324504</v>
      </c>
      <c r="B3112" s="2"/>
      <c r="C3112" s="2" t="str">
        <v>0</v>
      </c>
      <c r="D3112" s="2"/>
      <c r="F3112" s="2" t="str">
        <v>0</v>
      </c>
      <c r="I3112" s="3" t="str">
        <f ca="1">IFERROR(__xludf.DUMMYFUNCTION("""COMPUTED_VALUE"""),"Nguyễn Đăng Hiếu")</f>
        <v>Nguyễn Đăng Hiếu</v>
      </c>
      <c r="J3112" s="3" t="str">
        <f ca="1">IFERROR(__xludf.DUMMYFUNCTION("""COMPUTED_VALUE"""),"0921137199")</f>
        <v>0921137199</v>
      </c>
      <c r="K3112" s="2" t="str">
        <f ca="1">IFERROR(__xludf.DUMMYFUNCTION("""COMPUTED_VALUE"""),"1736204324504")</f>
        <v>1736204324504</v>
      </c>
    </row>
    <row r="3113" spans="1:11" ht="12.45">
      <c r="A3113" s="2" t="str">
        <f ca="1">IFERROR(__xludf.DUMMYFUNCTION("""COMPUTED_VALUE"""),"Không giao sách")</f>
        <v>Không giao sách</v>
      </c>
      <c r="B3113" s="2"/>
      <c r="C3113" s="2" t="str">
        <v>0</v>
      </c>
      <c r="D3113" s="2"/>
      <c r="F3113" s="2" t="str">
        <v>0</v>
      </c>
      <c r="I3113" s="3" t="str">
        <f ca="1">IFERROR(__xludf.DUMMYFUNCTION("""COMPUTED_VALUE"""),"Lương Kim Ngân")</f>
        <v>Lương Kim Ngân</v>
      </c>
      <c r="J3113" s="3" t="str">
        <f ca="1">IFERROR(__xludf.DUMMYFUNCTION("""COMPUTED_VALUE"""),"0908079878")</f>
        <v>0908079878</v>
      </c>
      <c r="K3113" s="2" t="str">
        <f ca="1">IFERROR(__xludf.DUMMYFUNCTION("""COMPUTED_VALUE"""),"Không giao sách")</f>
        <v>Không giao sách</v>
      </c>
    </row>
    <row r="3114" spans="1:11" ht="12.45">
      <c r="A3114" s="2" t="str">
        <f ca="1">IFERROR(__xludf.DUMMYFUNCTION("""COMPUTED_VALUE"""),"1736204363670")</f>
        <v>1736204363670</v>
      </c>
      <c r="B3114" s="2"/>
      <c r="C3114" s="2" t="str">
        <v>0</v>
      </c>
      <c r="D3114" s="2"/>
      <c r="F3114" s="2" t="str">
        <v>0</v>
      </c>
      <c r="I3114" s="3" t="str">
        <f ca="1">IFERROR(__xludf.DUMMYFUNCTION("""COMPUTED_VALUE"""),"Nguyễn Quang Đăng")</f>
        <v>Nguyễn Quang Đăng</v>
      </c>
      <c r="J3114" s="3" t="str">
        <f ca="1">IFERROR(__xludf.DUMMYFUNCTION("""COMPUTED_VALUE"""),"0833285909")</f>
        <v>0833285909</v>
      </c>
      <c r="K3114" s="2" t="str">
        <f ca="1">IFERROR(__xludf.DUMMYFUNCTION("""COMPUTED_VALUE"""),"1736204363670")</f>
        <v>1736204363670</v>
      </c>
    </row>
    <row r="3115" spans="1:11" ht="12.45">
      <c r="A3115" s="2" t="str">
        <f ca="1">IFERROR(__xludf.DUMMYFUNCTION("""COMPUTED_VALUE"""),"1736204411054")</f>
        <v>1736204411054</v>
      </c>
      <c r="B3115" s="2"/>
      <c r="C3115" s="2" t="str">
        <v>0</v>
      </c>
      <c r="D3115" s="2"/>
      <c r="F3115" s="2" t="str">
        <v>0</v>
      </c>
      <c r="I3115" s="3" t="str">
        <f ca="1">IFERROR(__xludf.DUMMYFUNCTION("""COMPUTED_VALUE"""),"Ngô Tuệ Linh")</f>
        <v>Ngô Tuệ Linh</v>
      </c>
      <c r="J3115" s="3" t="str">
        <f ca="1">IFERROR(__xludf.DUMMYFUNCTION("""COMPUTED_VALUE"""),"0763209673")</f>
        <v>0763209673</v>
      </c>
      <c r="K3115" s="2" t="str">
        <f ca="1">IFERROR(__xludf.DUMMYFUNCTION("""COMPUTED_VALUE"""),"1736204411054")</f>
        <v>1736204411054</v>
      </c>
    </row>
    <row r="3116" spans="1:11" ht="12.45">
      <c r="A3116" s="2" t="str">
        <f ca="1">IFERROR(__xludf.DUMMYFUNCTION("""COMPUTED_VALUE"""),"1736204454116")</f>
        <v>1736204454116</v>
      </c>
      <c r="B3116" s="2"/>
      <c r="C3116" s="2" t="str">
        <v>0</v>
      </c>
      <c r="D3116" s="2"/>
      <c r="F3116" s="2" t="str">
        <v>0</v>
      </c>
      <c r="I3116" s="3" t="str">
        <f ca="1">IFERROR(__xludf.DUMMYFUNCTION("""COMPUTED_VALUE"""),"Nguyễn Ngọc Uyên Trang ")</f>
        <v xml:space="preserve">Nguyễn Ngọc Uyên Trang </v>
      </c>
      <c r="J3116" s="3" t="str">
        <f ca="1">IFERROR(__xludf.DUMMYFUNCTION("""COMPUTED_VALUE"""),"0775577387")</f>
        <v>0775577387</v>
      </c>
      <c r="K3116" s="2" t="str">
        <f ca="1">IFERROR(__xludf.DUMMYFUNCTION("""COMPUTED_VALUE"""),"1736204454116")</f>
        <v>1736204454116</v>
      </c>
    </row>
    <row r="3117" spans="1:11" ht="12.45">
      <c r="A3117" s="2" t="str">
        <f ca="1">IFERROR(__xludf.DUMMYFUNCTION("""COMPUTED_VALUE"""),"1736204500596")</f>
        <v>1736204500596</v>
      </c>
      <c r="B3117" s="2"/>
      <c r="C3117" s="2" t="str">
        <v>0</v>
      </c>
      <c r="D3117" s="2"/>
      <c r="F3117" s="2" t="str">
        <v>0</v>
      </c>
      <c r="I3117" s="3" t="str">
        <f ca="1">IFERROR(__xludf.DUMMYFUNCTION("""COMPUTED_VALUE"""),"Lưu Thuý Quỳnh")</f>
        <v>Lưu Thuý Quỳnh</v>
      </c>
      <c r="J3117" s="3" t="str">
        <f ca="1">IFERROR(__xludf.DUMMYFUNCTION("""COMPUTED_VALUE"""),"0357162486")</f>
        <v>0357162486</v>
      </c>
      <c r="K3117" s="2" t="str">
        <f ca="1">IFERROR(__xludf.DUMMYFUNCTION("""COMPUTED_VALUE"""),"1736204500596")</f>
        <v>1736204500596</v>
      </c>
    </row>
    <row r="3118" spans="1:11" ht="12.45">
      <c r="A3118" s="2" t="str">
        <f ca="1">IFERROR(__xludf.DUMMYFUNCTION("""COMPUTED_VALUE"""),"1736204539789")</f>
        <v>1736204539789</v>
      </c>
      <c r="B3118" s="2"/>
      <c r="C3118" s="2" t="str">
        <v>0</v>
      </c>
      <c r="D3118" s="2"/>
      <c r="F3118" s="2" t="str">
        <v>0</v>
      </c>
      <c r="I3118" s="3" t="str">
        <f ca="1">IFERROR(__xludf.DUMMYFUNCTION("""COMPUTED_VALUE"""),"Nguyễn Thị Thúy Ngân")</f>
        <v>Nguyễn Thị Thúy Ngân</v>
      </c>
      <c r="J3118" s="3" t="str">
        <f ca="1">IFERROR(__xludf.DUMMYFUNCTION("""COMPUTED_VALUE"""),"0868787547")</f>
        <v>0868787547</v>
      </c>
      <c r="K3118" s="2" t="str">
        <f ca="1">IFERROR(__xludf.DUMMYFUNCTION("""COMPUTED_VALUE"""),"1736204539789")</f>
        <v>1736204539789</v>
      </c>
    </row>
    <row r="3119" spans="1:11" ht="12.45">
      <c r="A3119" s="2" t="str">
        <f ca="1">IFERROR(__xludf.DUMMYFUNCTION("""COMPUTED_VALUE"""),"1736204586097")</f>
        <v>1736204586097</v>
      </c>
      <c r="B3119" s="2"/>
      <c r="C3119" s="2" t="str">
        <v>0</v>
      </c>
      <c r="D3119" s="2"/>
      <c r="F3119" s="2" t="str">
        <v>0</v>
      </c>
      <c r="I3119" s="3" t="str">
        <f ca="1">IFERROR(__xludf.DUMMYFUNCTION("""COMPUTED_VALUE"""),"Nguyễn An Nguyên")</f>
        <v>Nguyễn An Nguyên</v>
      </c>
      <c r="J3119" s="2" t="str">
        <f ca="1">IFERROR(__xludf.DUMMYFUNCTION("""COMPUTED_VALUE"""),"098856557")</f>
        <v>098856557</v>
      </c>
      <c r="K3119" s="2" t="str">
        <f ca="1">IFERROR(__xludf.DUMMYFUNCTION("""COMPUTED_VALUE"""),"1736204586097")</f>
        <v>1736204586097</v>
      </c>
    </row>
    <row r="3120" spans="1:11" ht="12.45">
      <c r="A3120" s="2" t="str">
        <f ca="1">IFERROR(__xludf.DUMMYFUNCTION("""COMPUTED_VALUE"""),"1736204638388")</f>
        <v>1736204638388</v>
      </c>
      <c r="B3120" s="2"/>
      <c r="C3120" s="2" t="str">
        <v>0</v>
      </c>
      <c r="D3120" s="2"/>
      <c r="F3120" s="2" t="str">
        <v>0</v>
      </c>
      <c r="I3120" s="3" t="str">
        <f ca="1">IFERROR(__xludf.DUMMYFUNCTION("""COMPUTED_VALUE"""),"Lê Thị Mỹ Uyên ")</f>
        <v xml:space="preserve">Lê Thị Mỹ Uyên </v>
      </c>
      <c r="J3120" s="3" t="str">
        <f ca="1">IFERROR(__xludf.DUMMYFUNCTION("""COMPUTED_VALUE"""),"0348739663")</f>
        <v>0348739663</v>
      </c>
      <c r="K3120" s="2" t="str">
        <f ca="1">IFERROR(__xludf.DUMMYFUNCTION("""COMPUTED_VALUE"""),"1736204638388")</f>
        <v>1736204638388</v>
      </c>
    </row>
    <row r="3121" spans="1:11" ht="12.45">
      <c r="A3121" s="2" t="str">
        <f ca="1">IFERROR(__xludf.DUMMYFUNCTION("""COMPUTED_VALUE"""),"1736204671968")</f>
        <v>1736204671968</v>
      </c>
      <c r="B3121" s="2"/>
      <c r="C3121" s="2" t="str">
        <v>0</v>
      </c>
      <c r="D3121" s="2"/>
      <c r="F3121" s="2" t="str">
        <v>0</v>
      </c>
      <c r="I3121" s="3" t="str">
        <f ca="1">IFERROR(__xludf.DUMMYFUNCTION("""COMPUTED_VALUE"""),"Nguyễn Quỳnh anh")</f>
        <v>Nguyễn Quỳnh anh</v>
      </c>
      <c r="J3121" s="3" t="str">
        <f ca="1">IFERROR(__xludf.DUMMYFUNCTION("""COMPUTED_VALUE"""),"0972984802")</f>
        <v>0972984802</v>
      </c>
      <c r="K3121" s="2" t="str">
        <f ca="1">IFERROR(__xludf.DUMMYFUNCTION("""COMPUTED_VALUE"""),"1736204671968")</f>
        <v>1736204671968</v>
      </c>
    </row>
    <row r="3122" spans="1:11" ht="12.45">
      <c r="A3122" s="2" t="str">
        <f ca="1">IFERROR(__xludf.DUMMYFUNCTION("""COMPUTED_VALUE"""),"1736204704449")</f>
        <v>1736204704449</v>
      </c>
      <c r="B3122" s="2"/>
      <c r="C3122" s="2" t="str">
        <v>0</v>
      </c>
      <c r="D3122" s="2"/>
      <c r="F3122" s="2" t="str">
        <v>0</v>
      </c>
      <c r="I3122" s="3" t="str">
        <f ca="1">IFERROR(__xludf.DUMMYFUNCTION("""COMPUTED_VALUE"""),"Đinh Thùy Dung ")</f>
        <v xml:space="preserve">Đinh Thùy Dung </v>
      </c>
      <c r="J3122" s="3" t="str">
        <f ca="1">IFERROR(__xludf.DUMMYFUNCTION("""COMPUTED_VALUE"""),"0393099890")</f>
        <v>0393099890</v>
      </c>
      <c r="K3122" s="2" t="str">
        <f ca="1">IFERROR(__xludf.DUMMYFUNCTION("""COMPUTED_VALUE"""),"1736204704449")</f>
        <v>1736204704449</v>
      </c>
    </row>
    <row r="3123" spans="1:11" ht="12.45">
      <c r="A3123" s="2" t="str">
        <f ca="1">IFERROR(__xludf.DUMMYFUNCTION("""COMPUTED_VALUE"""),"1736204750287")</f>
        <v>1736204750287</v>
      </c>
      <c r="B3123" s="2"/>
      <c r="C3123" s="2" t="str">
        <v>0</v>
      </c>
      <c r="D3123" s="2"/>
      <c r="F3123" s="2" t="str">
        <v>0</v>
      </c>
      <c r="I3123" s="3" t="str">
        <f ca="1">IFERROR(__xludf.DUMMYFUNCTION("""COMPUTED_VALUE"""),"Nguyễn Ngọc Bảo Châu ")</f>
        <v xml:space="preserve">Nguyễn Ngọc Bảo Châu </v>
      </c>
      <c r="J3123" s="3" t="str">
        <f ca="1">IFERROR(__xludf.DUMMYFUNCTION("""COMPUTED_VALUE"""),"0852162759")</f>
        <v>0852162759</v>
      </c>
      <c r="K3123" s="2" t="str">
        <f ca="1">IFERROR(__xludf.DUMMYFUNCTION("""COMPUTED_VALUE"""),"1736204750287")</f>
        <v>1736204750287</v>
      </c>
    </row>
    <row r="3124" spans="1:11" ht="12.45">
      <c r="A3124" s="2" t="str">
        <f ca="1">IFERROR(__xludf.DUMMYFUNCTION("""COMPUTED_VALUE"""),"1736204796091")</f>
        <v>1736204796091</v>
      </c>
      <c r="B3124" s="2"/>
      <c r="C3124" s="2" t="str">
        <v>0</v>
      </c>
      <c r="D3124" s="2"/>
      <c r="F3124" s="2" t="str">
        <v>0</v>
      </c>
      <c r="I3124" s="3" t="str">
        <f ca="1">IFERROR(__xludf.DUMMYFUNCTION("""COMPUTED_VALUE"""),"Đỗ Thiên Ngân")</f>
        <v>Đỗ Thiên Ngân</v>
      </c>
      <c r="J3124" s="3" t="str">
        <f ca="1">IFERROR(__xludf.DUMMYFUNCTION("""COMPUTED_VALUE"""),"0816679520")</f>
        <v>0816679520</v>
      </c>
      <c r="K3124" s="2" t="str">
        <f ca="1">IFERROR(__xludf.DUMMYFUNCTION("""COMPUTED_VALUE"""),"1736204796091")</f>
        <v>1736204796091</v>
      </c>
    </row>
    <row r="3125" spans="1:11" ht="12.45">
      <c r="A3125" s="2" t="str">
        <f ca="1">IFERROR(__xludf.DUMMYFUNCTION("""COMPUTED_VALUE"""),"1736204836820")</f>
        <v>1736204836820</v>
      </c>
      <c r="B3125" s="2"/>
      <c r="C3125" s="2" t="str">
        <v>0</v>
      </c>
      <c r="D3125" s="2"/>
      <c r="F3125" s="2" t="str">
        <v>0</v>
      </c>
      <c r="I3125" s="3" t="str">
        <f ca="1">IFERROR(__xludf.DUMMYFUNCTION("""COMPUTED_VALUE"""),"Huỳnh Thị Ngọc Hân")</f>
        <v>Huỳnh Thị Ngọc Hân</v>
      </c>
      <c r="J3125" s="3" t="str">
        <f ca="1">IFERROR(__xludf.DUMMYFUNCTION("""COMPUTED_VALUE"""),"0366869959")</f>
        <v>0366869959</v>
      </c>
      <c r="K3125" s="2" t="str">
        <f ca="1">IFERROR(__xludf.DUMMYFUNCTION("""COMPUTED_VALUE"""),"1736204836820")</f>
        <v>1736204836820</v>
      </c>
    </row>
    <row r="3126" spans="1:11" ht="12.45">
      <c r="A3126" s="2" t="str">
        <f ca="1">IFERROR(__xludf.DUMMYFUNCTION("""COMPUTED_VALUE"""),"1736204891557")</f>
        <v>1736204891557</v>
      </c>
      <c r="B3126" s="2"/>
      <c r="C3126" s="2" t="str">
        <v>0</v>
      </c>
      <c r="D3126" s="2"/>
      <c r="F3126" s="2" t="str">
        <v>0</v>
      </c>
      <c r="I3126" s="3" t="str">
        <f ca="1">IFERROR(__xludf.DUMMYFUNCTION("""COMPUTED_VALUE"""),"Nguyễn Ái Vy")</f>
        <v>Nguyễn Ái Vy</v>
      </c>
      <c r="J3126" s="3" t="str">
        <f ca="1">IFERROR(__xludf.DUMMYFUNCTION("""COMPUTED_VALUE"""),"0364865397")</f>
        <v>0364865397</v>
      </c>
      <c r="K3126" s="2" t="str">
        <f ca="1">IFERROR(__xludf.DUMMYFUNCTION("""COMPUTED_VALUE"""),"1736204891557")</f>
        <v>1736204891557</v>
      </c>
    </row>
    <row r="3127" spans="1:11" ht="12.45">
      <c r="A3127" s="2" t="str">
        <f ca="1">IFERROR(__xludf.DUMMYFUNCTION("""COMPUTED_VALUE"""),"1736204942196")</f>
        <v>1736204942196</v>
      </c>
      <c r="B3127" s="2"/>
      <c r="C3127" s="2" t="str">
        <v>0</v>
      </c>
      <c r="D3127" s="2"/>
      <c r="F3127" s="2" t="str">
        <v>0</v>
      </c>
      <c r="I3127" s="3" t="str">
        <f ca="1">IFERROR(__xludf.DUMMYFUNCTION("""COMPUTED_VALUE"""),"Đinh Thư Kỳ")</f>
        <v>Đinh Thư Kỳ</v>
      </c>
      <c r="J3127" s="3" t="str">
        <f ca="1">IFERROR(__xludf.DUMMYFUNCTION("""COMPUTED_VALUE"""),"0327902934")</f>
        <v>0327902934</v>
      </c>
      <c r="K3127" s="2" t="str">
        <f ca="1">IFERROR(__xludf.DUMMYFUNCTION("""COMPUTED_VALUE"""),"1736204942196")</f>
        <v>1736204942196</v>
      </c>
    </row>
    <row r="3128" spans="1:11" ht="12.45">
      <c r="A3128" s="2" t="str">
        <f ca="1">IFERROR(__xludf.DUMMYFUNCTION("""COMPUTED_VALUE"""),"1736204992208")</f>
        <v>1736204992208</v>
      </c>
      <c r="B3128" s="2"/>
      <c r="C3128" s="2" t="str">
        <v>0</v>
      </c>
      <c r="D3128" s="2"/>
      <c r="F3128" s="2" t="str">
        <v>0</v>
      </c>
      <c r="I3128" s="3" t="str">
        <f ca="1">IFERROR(__xludf.DUMMYFUNCTION("""COMPUTED_VALUE"""),"Nguyễn Văn Tú ")</f>
        <v xml:space="preserve">Nguyễn Văn Tú </v>
      </c>
      <c r="J3128" s="3" t="str">
        <f ca="1">IFERROR(__xludf.DUMMYFUNCTION("""COMPUTED_VALUE"""),"0979604211")</f>
        <v>0979604211</v>
      </c>
      <c r="K3128" s="2" t="str">
        <f ca="1">IFERROR(__xludf.DUMMYFUNCTION("""COMPUTED_VALUE"""),"1736204992208")</f>
        <v>1736204992208</v>
      </c>
    </row>
    <row r="3129" spans="1:11" ht="12.45">
      <c r="A3129" s="2" t="str">
        <f ca="1">IFERROR(__xludf.DUMMYFUNCTION("""COMPUTED_VALUE"""),"1736205041681")</f>
        <v>1736205041681</v>
      </c>
      <c r="B3129" s="2"/>
      <c r="C3129" s="2" t="str">
        <v>0</v>
      </c>
      <c r="D3129" s="2"/>
      <c r="F3129" s="2" t="str">
        <v>0</v>
      </c>
      <c r="I3129" s="3" t="str">
        <f ca="1">IFERROR(__xludf.DUMMYFUNCTION("""COMPUTED_VALUE"""),"Võ Thị Yến Nhi ")</f>
        <v xml:space="preserve">Võ Thị Yến Nhi </v>
      </c>
      <c r="J3129" s="3" t="str">
        <f ca="1">IFERROR(__xludf.DUMMYFUNCTION("""COMPUTED_VALUE"""),"0342059676")</f>
        <v>0342059676</v>
      </c>
      <c r="K3129" s="2" t="str">
        <f ca="1">IFERROR(__xludf.DUMMYFUNCTION("""COMPUTED_VALUE"""),"1736205041681")</f>
        <v>1736205041681</v>
      </c>
    </row>
    <row r="3130" spans="1:11" ht="12.45">
      <c r="A3130" s="2" t="str">
        <f ca="1">IFERROR(__xludf.DUMMYFUNCTION("""COMPUTED_VALUE"""),"1736205093307")</f>
        <v>1736205093307</v>
      </c>
      <c r="B3130" s="2"/>
      <c r="C3130" s="2" t="str">
        <v>0</v>
      </c>
      <c r="D3130" s="2"/>
      <c r="F3130" s="2" t="str">
        <v>0</v>
      </c>
      <c r="I3130" s="3" t="str">
        <f ca="1">IFERROR(__xludf.DUMMYFUNCTION("""COMPUTED_VALUE"""),"Nguyễn Tuệ Mẫn ")</f>
        <v xml:space="preserve">Nguyễn Tuệ Mẫn </v>
      </c>
      <c r="J3130" s="3" t="str">
        <f ca="1">IFERROR(__xludf.DUMMYFUNCTION("""COMPUTED_VALUE"""),"0855455450")</f>
        <v>0855455450</v>
      </c>
      <c r="K3130" s="2" t="str">
        <f ca="1">IFERROR(__xludf.DUMMYFUNCTION("""COMPUTED_VALUE"""),"1736205093307")</f>
        <v>1736205093307</v>
      </c>
    </row>
    <row r="3131" spans="1:11" ht="12.45">
      <c r="A3131" s="2" t="str">
        <f ca="1">IFERROR(__xludf.DUMMYFUNCTION("""COMPUTED_VALUE"""),"1736205129265")</f>
        <v>1736205129265</v>
      </c>
      <c r="B3131" s="2"/>
      <c r="C3131" s="2" t="str">
        <v>0</v>
      </c>
      <c r="D3131" s="2"/>
      <c r="F3131" s="2" t="str">
        <v>0</v>
      </c>
      <c r="I3131" s="3" t="str">
        <f ca="1">IFERROR(__xludf.DUMMYFUNCTION("""COMPUTED_VALUE"""),"Đunh Xuân Nhi")</f>
        <v>Đunh Xuân Nhi</v>
      </c>
      <c r="J3131" s="3" t="str">
        <f ca="1">IFERROR(__xludf.DUMMYFUNCTION("""COMPUTED_VALUE"""),"0941269236")</f>
        <v>0941269236</v>
      </c>
      <c r="K3131" s="2" t="str">
        <f ca="1">IFERROR(__xludf.DUMMYFUNCTION("""COMPUTED_VALUE"""),"1736205129265")</f>
        <v>1736205129265</v>
      </c>
    </row>
    <row r="3132" spans="1:11" ht="12.45">
      <c r="A3132" s="2" t="str">
        <f ca="1">IFERROR(__xludf.DUMMYFUNCTION("""COMPUTED_VALUE"""),"1736205164397")</f>
        <v>1736205164397</v>
      </c>
      <c r="B3132" s="2"/>
      <c r="C3132" s="2" t="str">
        <v>0</v>
      </c>
      <c r="D3132" s="2"/>
      <c r="F3132" s="2" t="str">
        <v>0</v>
      </c>
      <c r="I3132" s="3" t="str">
        <f ca="1">IFERROR(__xludf.DUMMYFUNCTION("""COMPUTED_VALUE"""),"Phan Anh Thư")</f>
        <v>Phan Anh Thư</v>
      </c>
      <c r="J3132" s="3" t="str">
        <f ca="1">IFERROR(__xludf.DUMMYFUNCTION("""COMPUTED_VALUE"""),"0865856231")</f>
        <v>0865856231</v>
      </c>
      <c r="K3132" s="2" t="str">
        <f ca="1">IFERROR(__xludf.DUMMYFUNCTION("""COMPUTED_VALUE"""),"1736205164397")</f>
        <v>1736205164397</v>
      </c>
    </row>
    <row r="3133" spans="1:11" ht="12.45">
      <c r="A3133" s="2" t="str">
        <f ca="1">IFERROR(__xludf.DUMMYFUNCTION("""COMPUTED_VALUE"""),"1736205212634")</f>
        <v>1736205212634</v>
      </c>
      <c r="B3133" s="2"/>
      <c r="C3133" s="2" t="str">
        <v>0</v>
      </c>
      <c r="D3133" s="2"/>
      <c r="F3133" s="2" t="str">
        <v>0</v>
      </c>
      <c r="I3133" s="3" t="str">
        <f ca="1">IFERROR(__xludf.DUMMYFUNCTION("""COMPUTED_VALUE"""),"Nguyễn Ngọc Huế ")</f>
        <v xml:space="preserve">Nguyễn Ngọc Huế </v>
      </c>
      <c r="J3133" s="3" t="str">
        <f ca="1">IFERROR(__xludf.DUMMYFUNCTION("""COMPUTED_VALUE"""),"0346257775")</f>
        <v>0346257775</v>
      </c>
      <c r="K3133" s="2" t="str">
        <f ca="1">IFERROR(__xludf.DUMMYFUNCTION("""COMPUTED_VALUE"""),"1736205212634")</f>
        <v>1736205212634</v>
      </c>
    </row>
    <row r="3134" spans="1:11" ht="12.45">
      <c r="A3134" s="2" t="str">
        <f ca="1">IFERROR(__xludf.DUMMYFUNCTION("""COMPUTED_VALUE"""),"1736205262818")</f>
        <v>1736205262818</v>
      </c>
      <c r="B3134" s="2"/>
      <c r="C3134" s="2" t="str">
        <v>0</v>
      </c>
      <c r="D3134" s="2"/>
      <c r="F3134" s="2" t="str">
        <v>0</v>
      </c>
      <c r="I3134" s="3" t="str">
        <f ca="1">IFERROR(__xludf.DUMMYFUNCTION("""COMPUTED_VALUE"""),"Phạm Thanh hoa")</f>
        <v>Phạm Thanh hoa</v>
      </c>
      <c r="J3134" s="3" t="str">
        <f ca="1">IFERROR(__xludf.DUMMYFUNCTION("""COMPUTED_VALUE"""),"0388895651")</f>
        <v>0388895651</v>
      </c>
      <c r="K3134" s="2" t="str">
        <f ca="1">IFERROR(__xludf.DUMMYFUNCTION("""COMPUTED_VALUE"""),"1736205262818")</f>
        <v>1736205262818</v>
      </c>
    </row>
    <row r="3135" spans="1:11" ht="12.45">
      <c r="A3135" s="2" t="str">
        <f ca="1">IFERROR(__xludf.DUMMYFUNCTION("""COMPUTED_VALUE"""),"1736205305750")</f>
        <v>1736205305750</v>
      </c>
      <c r="B3135" s="2"/>
      <c r="C3135" s="2" t="str">
        <v>0</v>
      </c>
      <c r="D3135" s="2"/>
      <c r="F3135" s="2" t="str">
        <v>0</v>
      </c>
      <c r="I3135" s="3" t="str">
        <f ca="1">IFERROR(__xludf.DUMMYFUNCTION("""COMPUTED_VALUE"""),"Nguyễn Hương Giang")</f>
        <v>Nguyễn Hương Giang</v>
      </c>
      <c r="J3135" s="3" t="str">
        <f ca="1">IFERROR(__xludf.DUMMYFUNCTION("""COMPUTED_VALUE"""),"0824922889")</f>
        <v>0824922889</v>
      </c>
      <c r="K3135" s="2" t="str">
        <f ca="1">IFERROR(__xludf.DUMMYFUNCTION("""COMPUTED_VALUE"""),"1736205305750")</f>
        <v>1736205305750</v>
      </c>
    </row>
    <row r="3136" spans="1:11" ht="12.45">
      <c r="A3136" s="2" t="str">
        <f ca="1">IFERROR(__xludf.DUMMYFUNCTION("""COMPUTED_VALUE"""),"1736205349528")</f>
        <v>1736205349528</v>
      </c>
      <c r="B3136" s="2"/>
      <c r="C3136" s="2" t="str">
        <v>0</v>
      </c>
      <c r="D3136" s="2"/>
      <c r="F3136" s="2" t="str">
        <v>0</v>
      </c>
      <c r="I3136" s="3" t="str">
        <f ca="1">IFERROR(__xludf.DUMMYFUNCTION("""COMPUTED_VALUE"""),"Nguyễn Hoàng Kim Ngân")</f>
        <v>Nguyễn Hoàng Kim Ngân</v>
      </c>
      <c r="J3136" s="3" t="str">
        <f ca="1">IFERROR(__xludf.DUMMYFUNCTION("""COMPUTED_VALUE"""),"0862657810")</f>
        <v>0862657810</v>
      </c>
      <c r="K3136" s="2" t="str">
        <f ca="1">IFERROR(__xludf.DUMMYFUNCTION("""COMPUTED_VALUE"""),"1736205349528")</f>
        <v>1736205349528</v>
      </c>
    </row>
    <row r="3137" spans="1:11" ht="12.45">
      <c r="A3137" s="2" t="str">
        <f ca="1">IFERROR(__xludf.DUMMYFUNCTION("""COMPUTED_VALUE"""),"1736205386926")</f>
        <v>1736205386926</v>
      </c>
      <c r="B3137" s="2"/>
      <c r="C3137" s="2" t="str">
        <v>0</v>
      </c>
      <c r="D3137" s="2"/>
      <c r="F3137" s="2" t="str">
        <v>0</v>
      </c>
      <c r="I3137" s="3" t="str">
        <f ca="1">IFERROR(__xludf.DUMMYFUNCTION("""COMPUTED_VALUE"""),"Vũ Thị Thu Hiền ")</f>
        <v xml:space="preserve">Vũ Thị Thu Hiền </v>
      </c>
      <c r="J3137" s="3" t="str">
        <f ca="1">IFERROR(__xludf.DUMMYFUNCTION("""COMPUTED_VALUE"""),"0792447090")</f>
        <v>0792447090</v>
      </c>
      <c r="K3137" s="2" t="str">
        <f ca="1">IFERROR(__xludf.DUMMYFUNCTION("""COMPUTED_VALUE"""),"1736205386926")</f>
        <v>1736205386926</v>
      </c>
    </row>
    <row r="3138" spans="1:11" ht="12.45">
      <c r="A3138" s="2" t="str">
        <f ca="1">IFERROR(__xludf.DUMMYFUNCTION("""COMPUTED_VALUE"""),"1736205437728")</f>
        <v>1736205437728</v>
      </c>
      <c r="B3138" s="2"/>
      <c r="C3138" s="2" t="str">
        <v>0</v>
      </c>
      <c r="D3138" s="2"/>
      <c r="F3138" s="2" t="str">
        <v>0</v>
      </c>
      <c r="I3138" s="3" t="str">
        <f ca="1">IFERROR(__xludf.DUMMYFUNCTION("""COMPUTED_VALUE"""),"Nguyễn Quế Anh")</f>
        <v>Nguyễn Quế Anh</v>
      </c>
      <c r="J3138" s="3" t="str">
        <f ca="1">IFERROR(__xludf.DUMMYFUNCTION("""COMPUTED_VALUE"""),"0912094433")</f>
        <v>0912094433</v>
      </c>
      <c r="K3138" s="2" t="str">
        <f ca="1">IFERROR(__xludf.DUMMYFUNCTION("""COMPUTED_VALUE"""),"1736205437728")</f>
        <v>1736205437728</v>
      </c>
    </row>
    <row r="3139" spans="1:11" ht="12.45">
      <c r="A3139" s="2" t="str">
        <f ca="1">IFERROR(__xludf.DUMMYFUNCTION("""COMPUTED_VALUE"""),"1736205488115")</f>
        <v>1736205488115</v>
      </c>
      <c r="B3139" s="2"/>
      <c r="C3139" s="2" t="str">
        <v>0</v>
      </c>
      <c r="D3139" s="2"/>
      <c r="F3139" s="2" t="str">
        <v>0</v>
      </c>
      <c r="I3139" s="3" t="str">
        <f ca="1">IFERROR(__xludf.DUMMYFUNCTION("""COMPUTED_VALUE"""),"Vương Thị Vân Anh")</f>
        <v>Vương Thị Vân Anh</v>
      </c>
      <c r="J3139" s="3" t="str">
        <f ca="1">IFERROR(__xludf.DUMMYFUNCTION("""COMPUTED_VALUE"""),"0339878946")</f>
        <v>0339878946</v>
      </c>
      <c r="K3139" s="2" t="str">
        <f ca="1">IFERROR(__xludf.DUMMYFUNCTION("""COMPUTED_VALUE"""),"1736205488115")</f>
        <v>1736205488115</v>
      </c>
    </row>
    <row r="3140" spans="1:11" ht="12.45">
      <c r="A3140" s="2" t="str">
        <f ca="1">IFERROR(__xludf.DUMMYFUNCTION("""COMPUTED_VALUE"""),"1736205520162")</f>
        <v>1736205520162</v>
      </c>
      <c r="B3140" s="2"/>
      <c r="C3140" s="2" t="str">
        <v>0</v>
      </c>
      <c r="D3140" s="2"/>
      <c r="F3140" s="2" t="str">
        <v>0</v>
      </c>
      <c r="I3140" s="3" t="str">
        <f ca="1">IFERROR(__xludf.DUMMYFUNCTION("""COMPUTED_VALUE"""),"Đỗ Nhật Quyên")</f>
        <v>Đỗ Nhật Quyên</v>
      </c>
      <c r="J3140" s="3" t="str">
        <f ca="1">IFERROR(__xludf.DUMMYFUNCTION("""COMPUTED_VALUE"""),"0984005625")</f>
        <v>0984005625</v>
      </c>
      <c r="K3140" s="2" t="str">
        <f ca="1">IFERROR(__xludf.DUMMYFUNCTION("""COMPUTED_VALUE"""),"1736205520162")</f>
        <v>1736205520162</v>
      </c>
    </row>
    <row r="3141" spans="1:11" ht="12.45">
      <c r="A3141" s="2" t="str">
        <f ca="1">IFERROR(__xludf.DUMMYFUNCTION("""COMPUTED_VALUE"""),"1736205553562")</f>
        <v>1736205553562</v>
      </c>
      <c r="B3141" s="2"/>
      <c r="C3141" s="2" t="str">
        <v>0</v>
      </c>
      <c r="D3141" s="2"/>
      <c r="F3141" s="2" t="str">
        <v>0</v>
      </c>
      <c r="I3141" s="3" t="str">
        <f ca="1">IFERROR(__xludf.DUMMYFUNCTION("""COMPUTED_VALUE"""),"Ngô Hương Giang ")</f>
        <v xml:space="preserve">Ngô Hương Giang </v>
      </c>
      <c r="J3141" s="3" t="str">
        <f ca="1">IFERROR(__xludf.DUMMYFUNCTION("""COMPUTED_VALUE"""),"0916449743")</f>
        <v>0916449743</v>
      </c>
      <c r="K3141" s="2" t="str">
        <f ca="1">IFERROR(__xludf.DUMMYFUNCTION("""COMPUTED_VALUE"""),"1736205553562")</f>
        <v>1736205553562</v>
      </c>
    </row>
    <row r="3142" spans="1:11" ht="12.45">
      <c r="A3142" s="2" t="str">
        <f ca="1">IFERROR(__xludf.DUMMYFUNCTION("""COMPUTED_VALUE"""),"1736205590787")</f>
        <v>1736205590787</v>
      </c>
      <c r="B3142" s="2"/>
      <c r="C3142" s="2" t="str">
        <v>0</v>
      </c>
      <c r="D3142" s="2"/>
      <c r="F3142" s="2" t="str">
        <v>0</v>
      </c>
      <c r="I3142" s="3" t="str">
        <f ca="1">IFERROR(__xludf.DUMMYFUNCTION("""COMPUTED_VALUE"""),"Dương Hương Giang")</f>
        <v>Dương Hương Giang</v>
      </c>
      <c r="J3142" s="3" t="str">
        <f ca="1">IFERROR(__xludf.DUMMYFUNCTION("""COMPUTED_VALUE"""),"0976619450")</f>
        <v>0976619450</v>
      </c>
      <c r="K3142" s="2" t="str">
        <f ca="1">IFERROR(__xludf.DUMMYFUNCTION("""COMPUTED_VALUE"""),"1736205590787")</f>
        <v>1736205590787</v>
      </c>
    </row>
    <row r="3143" spans="1:11" ht="12.45">
      <c r="A3143" s="2" t="str">
        <f ca="1">IFERROR(__xludf.DUMMYFUNCTION("""COMPUTED_VALUE"""),"1736205624460")</f>
        <v>1736205624460</v>
      </c>
      <c r="B3143" s="2"/>
      <c r="C3143" s="2" t="str">
        <v>0</v>
      </c>
      <c r="D3143" s="2"/>
      <c r="F3143" s="2" t="str">
        <v>0</v>
      </c>
      <c r="I3143" s="3" t="str">
        <f ca="1">IFERROR(__xludf.DUMMYFUNCTION("""COMPUTED_VALUE"""),"Nguyễn Thị Loan ")</f>
        <v xml:space="preserve">Nguyễn Thị Loan </v>
      </c>
      <c r="J3143" s="3" t="str">
        <f ca="1">IFERROR(__xludf.DUMMYFUNCTION("""COMPUTED_VALUE"""),"0373868242")</f>
        <v>0373868242</v>
      </c>
      <c r="K3143" s="2" t="str">
        <f ca="1">IFERROR(__xludf.DUMMYFUNCTION("""COMPUTED_VALUE"""),"1736205624460")</f>
        <v>1736205624460</v>
      </c>
    </row>
    <row r="3144" spans="1:11" ht="12.45">
      <c r="A3144" s="2" t="str">
        <f ca="1">IFERROR(__xludf.DUMMYFUNCTION("""COMPUTED_VALUE"""),"1736205662961")</f>
        <v>1736205662961</v>
      </c>
      <c r="B3144" s="2"/>
      <c r="C3144" s="2" t="str">
        <v>0</v>
      </c>
      <c r="D3144" s="2"/>
      <c r="F3144" s="2" t="str">
        <v>0</v>
      </c>
      <c r="I3144" s="3" t="str">
        <f ca="1">IFERROR(__xludf.DUMMYFUNCTION("""COMPUTED_VALUE"""),"Nguyễn Ngọc Hà")</f>
        <v>Nguyễn Ngọc Hà</v>
      </c>
      <c r="J3144" s="3" t="str">
        <f ca="1">IFERROR(__xludf.DUMMYFUNCTION("""COMPUTED_VALUE"""),"0967835393")</f>
        <v>0967835393</v>
      </c>
      <c r="K3144" s="2" t="str">
        <f ca="1">IFERROR(__xludf.DUMMYFUNCTION("""COMPUTED_VALUE"""),"1736205662961")</f>
        <v>1736205662961</v>
      </c>
    </row>
    <row r="3145" spans="1:11" ht="12.45">
      <c r="A3145" s="2" t="str">
        <f ca="1">IFERROR(__xludf.DUMMYFUNCTION("""COMPUTED_VALUE"""),"1736205692108")</f>
        <v>1736205692108</v>
      </c>
      <c r="B3145" s="2"/>
      <c r="C3145" s="2" t="str">
        <v>0</v>
      </c>
      <c r="D3145" s="2"/>
      <c r="F3145" s="2" t="str">
        <v>0</v>
      </c>
      <c r="I3145" s="3" t="str">
        <f ca="1">IFERROR(__xludf.DUMMYFUNCTION("""COMPUTED_VALUE"""),"Phạm Minh Trang ")</f>
        <v xml:space="preserve">Phạm Minh Trang </v>
      </c>
      <c r="J3145" s="3" t="str">
        <f ca="1">IFERROR(__xludf.DUMMYFUNCTION("""COMPUTED_VALUE"""),"0974665853")</f>
        <v>0974665853</v>
      </c>
      <c r="K3145" s="2" t="str">
        <f ca="1">IFERROR(__xludf.DUMMYFUNCTION("""COMPUTED_VALUE"""),"1736205692108")</f>
        <v>1736205692108</v>
      </c>
    </row>
    <row r="3146" spans="1:11" ht="12.45">
      <c r="A3146" s="2" t="str">
        <f ca="1">IFERROR(__xludf.DUMMYFUNCTION("""COMPUTED_VALUE"""),"1736205725260")</f>
        <v>1736205725260</v>
      </c>
      <c r="B3146" s="2"/>
      <c r="C3146" s="2" t="str">
        <v>0</v>
      </c>
      <c r="D3146" s="2"/>
      <c r="F3146" s="2" t="str">
        <v>0</v>
      </c>
      <c r="I3146" s="3" t="str">
        <f ca="1">IFERROR(__xludf.DUMMYFUNCTION("""COMPUTED_VALUE"""),"NGUYỄN THỊ NGỌC LINH")</f>
        <v>NGUYỄN THỊ NGỌC LINH</v>
      </c>
      <c r="J3146" s="3" t="str">
        <f ca="1">IFERROR(__xludf.DUMMYFUNCTION("""COMPUTED_VALUE"""),"0393869108")</f>
        <v>0393869108</v>
      </c>
      <c r="K3146" s="2" t="str">
        <f ca="1">IFERROR(__xludf.DUMMYFUNCTION("""COMPUTED_VALUE"""),"1736205725260")</f>
        <v>1736205725260</v>
      </c>
    </row>
    <row r="3147" spans="1:11" ht="12.45">
      <c r="A3147" s="2" t="str">
        <f ca="1">IFERROR(__xludf.DUMMYFUNCTION("""COMPUTED_VALUE"""),"1736205762097")</f>
        <v>1736205762097</v>
      </c>
      <c r="B3147" s="2"/>
      <c r="C3147" s="2" t="str">
        <v>0</v>
      </c>
      <c r="D3147" s="2"/>
      <c r="F3147" s="2" t="str">
        <v>0</v>
      </c>
      <c r="I3147" s="3" t="str">
        <f ca="1">IFERROR(__xludf.DUMMYFUNCTION("""COMPUTED_VALUE"""),"Nguyễn Thị An Thảo")</f>
        <v>Nguyễn Thị An Thảo</v>
      </c>
      <c r="J3147" s="3" t="str">
        <f ca="1">IFERROR(__xludf.DUMMYFUNCTION("""COMPUTED_VALUE"""),"0827501596")</f>
        <v>0827501596</v>
      </c>
      <c r="K3147" s="2" t="str">
        <f ca="1">IFERROR(__xludf.DUMMYFUNCTION("""COMPUTED_VALUE"""),"1736205762097")</f>
        <v>1736205762097</v>
      </c>
    </row>
    <row r="3148" spans="1:11" ht="12.45">
      <c r="A3148" s="2" t="str">
        <f ca="1">IFERROR(__xludf.DUMMYFUNCTION("""COMPUTED_VALUE"""),"1736205809065")</f>
        <v>1736205809065</v>
      </c>
      <c r="B3148" s="2"/>
      <c r="C3148" s="2" t="str">
        <v>0</v>
      </c>
      <c r="D3148" s="2"/>
      <c r="F3148" s="2" t="str">
        <v>0</v>
      </c>
      <c r="I3148" s="3" t="str">
        <f ca="1">IFERROR(__xludf.DUMMYFUNCTION("""COMPUTED_VALUE"""),"Tô Thị Ngọc Ánh")</f>
        <v>Tô Thị Ngọc Ánh</v>
      </c>
      <c r="J3148" s="3" t="str">
        <f ca="1">IFERROR(__xludf.DUMMYFUNCTION("""COMPUTED_VALUE"""),"0963054310")</f>
        <v>0963054310</v>
      </c>
      <c r="K3148" s="2" t="str">
        <f ca="1">IFERROR(__xludf.DUMMYFUNCTION("""COMPUTED_VALUE"""),"1736205809065")</f>
        <v>1736205809065</v>
      </c>
    </row>
    <row r="3149" spans="1:11" ht="12.45">
      <c r="A3149" s="2" t="str">
        <f ca="1">IFERROR(__xludf.DUMMYFUNCTION("""COMPUTED_VALUE"""),"1736205847905")</f>
        <v>1736205847905</v>
      </c>
      <c r="B3149" s="2"/>
      <c r="C3149" s="2" t="str">
        <v>0</v>
      </c>
      <c r="D3149" s="2"/>
      <c r="F3149" s="2" t="str">
        <v>0</v>
      </c>
      <c r="I3149" s="3" t="str">
        <f ca="1">IFERROR(__xludf.DUMMYFUNCTION("""COMPUTED_VALUE"""),"Nguyễn Bảo Trân")</f>
        <v>Nguyễn Bảo Trân</v>
      </c>
      <c r="J3149" s="3" t="str">
        <f ca="1">IFERROR(__xludf.DUMMYFUNCTION("""COMPUTED_VALUE"""),"0337904892")</f>
        <v>0337904892</v>
      </c>
      <c r="K3149" s="2" t="str">
        <f ca="1">IFERROR(__xludf.DUMMYFUNCTION("""COMPUTED_VALUE"""),"1736205847905")</f>
        <v>1736205847905</v>
      </c>
    </row>
    <row r="3150" spans="1:11" ht="12.45">
      <c r="A3150" s="2" t="str">
        <f ca="1">IFERROR(__xludf.DUMMYFUNCTION("""COMPUTED_VALUE"""),"1736205880247")</f>
        <v>1736205880247</v>
      </c>
      <c r="B3150" s="2"/>
      <c r="C3150" s="2" t="str">
        <v>0</v>
      </c>
      <c r="D3150" s="2"/>
      <c r="F3150" s="2" t="str">
        <v>0</v>
      </c>
      <c r="I3150" s="3" t="str">
        <f ca="1">IFERROR(__xludf.DUMMYFUNCTION("""COMPUTED_VALUE"""),"Hoàng Trâm Anh")</f>
        <v>Hoàng Trâm Anh</v>
      </c>
      <c r="J3150" s="3" t="str">
        <f ca="1">IFERROR(__xludf.DUMMYFUNCTION("""COMPUTED_VALUE"""),"0966387537")</f>
        <v>0966387537</v>
      </c>
      <c r="K3150" s="2" t="str">
        <f ca="1">IFERROR(__xludf.DUMMYFUNCTION("""COMPUTED_VALUE"""),"1736205880247")</f>
        <v>1736205880247</v>
      </c>
    </row>
    <row r="3151" spans="1:11" ht="12.45">
      <c r="A3151" s="2" t="str">
        <f ca="1">IFERROR(__xludf.DUMMYFUNCTION("""COMPUTED_VALUE"""),"1736205914902")</f>
        <v>1736205914902</v>
      </c>
      <c r="B3151" s="2"/>
      <c r="C3151" s="2" t="str">
        <v>0</v>
      </c>
      <c r="D3151" s="2"/>
      <c r="F3151" s="2" t="str">
        <v>0</v>
      </c>
      <c r="I3151" s="3" t="str">
        <f ca="1">IFERROR(__xludf.DUMMYFUNCTION("""COMPUTED_VALUE"""),"Hà Phương Diễm")</f>
        <v>Hà Phương Diễm</v>
      </c>
      <c r="J3151" s="3" t="str">
        <f ca="1">IFERROR(__xludf.DUMMYFUNCTION("""COMPUTED_VALUE"""),"0334318275")</f>
        <v>0334318275</v>
      </c>
      <c r="K3151" s="2" t="str">
        <f ca="1">IFERROR(__xludf.DUMMYFUNCTION("""COMPUTED_VALUE"""),"1736205914902")</f>
        <v>1736205914902</v>
      </c>
    </row>
    <row r="3152" spans="1:11" ht="12.45">
      <c r="A3152" s="2" t="str">
        <f ca="1">IFERROR(__xludf.DUMMYFUNCTION("""COMPUTED_VALUE"""),"1736205947379")</f>
        <v>1736205947379</v>
      </c>
      <c r="B3152" s="2"/>
      <c r="C3152" s="2" t="str">
        <v>0</v>
      </c>
      <c r="D3152" s="2"/>
      <c r="F3152" s="2" t="str">
        <v>0</v>
      </c>
      <c r="I3152" s="3" t="str">
        <f ca="1">IFERROR(__xludf.DUMMYFUNCTION("""COMPUTED_VALUE"""),"Nguyễn Thị Ngọc Mai")</f>
        <v>Nguyễn Thị Ngọc Mai</v>
      </c>
      <c r="J3152" s="3" t="str">
        <f ca="1">IFERROR(__xludf.DUMMYFUNCTION("""COMPUTED_VALUE"""),"0367263276")</f>
        <v>0367263276</v>
      </c>
      <c r="K3152" s="2" t="str">
        <f ca="1">IFERROR(__xludf.DUMMYFUNCTION("""COMPUTED_VALUE"""),"1736205947379")</f>
        <v>1736205947379</v>
      </c>
    </row>
    <row r="3153" spans="1:11" ht="12.45">
      <c r="A3153" s="2" t="str">
        <f ca="1">IFERROR(__xludf.DUMMYFUNCTION("""COMPUTED_VALUE"""),"1736205982057")</f>
        <v>1736205982057</v>
      </c>
      <c r="B3153" s="2"/>
      <c r="C3153" s="2" t="str">
        <v>0</v>
      </c>
      <c r="D3153" s="2"/>
      <c r="F3153" s="2" t="str">
        <v>0</v>
      </c>
      <c r="I3153" s="3" t="str">
        <f ca="1">IFERROR(__xludf.DUMMYFUNCTION("""COMPUTED_VALUE"""),"Đinh Hoài Phong")</f>
        <v>Đinh Hoài Phong</v>
      </c>
      <c r="J3153" s="3" t="str">
        <f ca="1">IFERROR(__xludf.DUMMYFUNCTION("""COMPUTED_VALUE"""),"0964695027")</f>
        <v>0964695027</v>
      </c>
      <c r="K3153" s="2" t="str">
        <f ca="1">IFERROR(__xludf.DUMMYFUNCTION("""COMPUTED_VALUE"""),"1736205982057")</f>
        <v>1736205982057</v>
      </c>
    </row>
    <row r="3154" spans="1:11" ht="12.45">
      <c r="A3154" s="2" t="str">
        <f ca="1">IFERROR(__xludf.DUMMYFUNCTION("""COMPUTED_VALUE"""),"1736206030791")</f>
        <v>1736206030791</v>
      </c>
      <c r="B3154" s="2"/>
      <c r="C3154" s="2" t="str">
        <v>0</v>
      </c>
      <c r="D3154" s="2"/>
      <c r="F3154" s="2" t="str">
        <v>0</v>
      </c>
      <c r="I3154" s="3" t="str">
        <f ca="1">IFERROR(__xludf.DUMMYFUNCTION("""COMPUTED_VALUE"""),"Trần Huy Hoàng ")</f>
        <v xml:space="preserve">Trần Huy Hoàng </v>
      </c>
      <c r="J3154" s="3" t="str">
        <f ca="1">IFERROR(__xludf.DUMMYFUNCTION("""COMPUTED_VALUE"""),"0344372409")</f>
        <v>0344372409</v>
      </c>
      <c r="K3154" s="2" t="str">
        <f ca="1">IFERROR(__xludf.DUMMYFUNCTION("""COMPUTED_VALUE"""),"1736206030791")</f>
        <v>1736206030791</v>
      </c>
    </row>
    <row r="3155" spans="1:11" ht="12.45">
      <c r="A3155" s="2" t="str">
        <f ca="1">IFERROR(__xludf.DUMMYFUNCTION("""COMPUTED_VALUE"""),"1736206075067")</f>
        <v>1736206075067</v>
      </c>
      <c r="B3155" s="2"/>
      <c r="C3155" s="2" t="str">
        <v>0</v>
      </c>
      <c r="D3155" s="2"/>
      <c r="F3155" s="2" t="str">
        <v>0</v>
      </c>
      <c r="I3155" s="3" t="str">
        <f ca="1">IFERROR(__xludf.DUMMYFUNCTION("""COMPUTED_VALUE"""),"Mai Phạm Khánh Trinh")</f>
        <v>Mai Phạm Khánh Trinh</v>
      </c>
      <c r="J3155" s="3" t="str">
        <f ca="1">IFERROR(__xludf.DUMMYFUNCTION("""COMPUTED_VALUE"""),"0833848293")</f>
        <v>0833848293</v>
      </c>
      <c r="K3155" s="2" t="str">
        <f ca="1">IFERROR(__xludf.DUMMYFUNCTION("""COMPUTED_VALUE"""),"1736206075067")</f>
        <v>1736206075067</v>
      </c>
    </row>
    <row r="3156" spans="1:11" ht="12.45">
      <c r="A3156" s="2" t="str">
        <f ca="1">IFERROR(__xludf.DUMMYFUNCTION("""COMPUTED_VALUE"""),"1736206110775")</f>
        <v>1736206110775</v>
      </c>
      <c r="B3156" s="2"/>
      <c r="C3156" s="2" t="str">
        <v>0</v>
      </c>
      <c r="D3156" s="2"/>
      <c r="F3156" s="2" t="str">
        <v>0</v>
      </c>
      <c r="I3156" s="3" t="str">
        <f ca="1">IFERROR(__xludf.DUMMYFUNCTION("""COMPUTED_VALUE"""),"Lê ngọc hà")</f>
        <v>Lê ngọc hà</v>
      </c>
      <c r="J3156" s="3" t="str">
        <f ca="1">IFERROR(__xludf.DUMMYFUNCTION("""COMPUTED_VALUE"""),"0343566932")</f>
        <v>0343566932</v>
      </c>
      <c r="K3156" s="2" t="str">
        <f ca="1">IFERROR(__xludf.DUMMYFUNCTION("""COMPUTED_VALUE"""),"1736206110775")</f>
        <v>1736206110775</v>
      </c>
    </row>
    <row r="3157" spans="1:11" ht="12.45">
      <c r="A3157" s="2" t="str">
        <f ca="1">IFERROR(__xludf.DUMMYFUNCTION("""COMPUTED_VALUE"""),"1736206147378")</f>
        <v>1736206147378</v>
      </c>
      <c r="B3157" s="2"/>
      <c r="C3157" s="2" t="str">
        <v>0</v>
      </c>
      <c r="D3157" s="2"/>
      <c r="F3157" s="2" t="str">
        <v>0</v>
      </c>
      <c r="I3157" s="3" t="str">
        <f ca="1">IFERROR(__xludf.DUMMYFUNCTION("""COMPUTED_VALUE"""),"Nguyễn Hồng Nhung")</f>
        <v>Nguyễn Hồng Nhung</v>
      </c>
      <c r="J3157" s="3" t="str">
        <f ca="1">IFERROR(__xludf.DUMMYFUNCTION("""COMPUTED_VALUE"""),"0367484685")</f>
        <v>0367484685</v>
      </c>
      <c r="K3157" s="2" t="str">
        <f ca="1">IFERROR(__xludf.DUMMYFUNCTION("""COMPUTED_VALUE"""),"1736206147378")</f>
        <v>1736206147378</v>
      </c>
    </row>
    <row r="3158" spans="1:11" ht="12.45">
      <c r="A3158" s="2" t="str">
        <f ca="1">IFERROR(__xludf.DUMMYFUNCTION("""COMPUTED_VALUE"""),"1736206180872")</f>
        <v>1736206180872</v>
      </c>
      <c r="B3158" s="2"/>
      <c r="C3158" s="2" t="str">
        <v>0</v>
      </c>
      <c r="D3158" s="2"/>
      <c r="F3158" s="2" t="str">
        <v>0</v>
      </c>
      <c r="I3158" s="3" t="str">
        <f ca="1">IFERROR(__xludf.DUMMYFUNCTION("""COMPUTED_VALUE"""),"Bùi Diệu Thuý ")</f>
        <v xml:space="preserve">Bùi Diệu Thuý </v>
      </c>
      <c r="J3158" s="3" t="str">
        <f ca="1">IFERROR(__xludf.DUMMYFUNCTION("""COMPUTED_VALUE"""),"0334055586")</f>
        <v>0334055586</v>
      </c>
      <c r="K3158" s="2" t="str">
        <f ca="1">IFERROR(__xludf.DUMMYFUNCTION("""COMPUTED_VALUE"""),"1736206180872")</f>
        <v>1736206180872</v>
      </c>
    </row>
    <row r="3159" spans="1:11" ht="12.45">
      <c r="A3159" s="2" t="str">
        <f ca="1">IFERROR(__xludf.DUMMYFUNCTION("""COMPUTED_VALUE"""),"1736206215439")</f>
        <v>1736206215439</v>
      </c>
      <c r="B3159" s="2"/>
      <c r="C3159" s="2" t="str">
        <v>0</v>
      </c>
      <c r="D3159" s="2"/>
      <c r="F3159" s="2" t="str">
        <v>0</v>
      </c>
      <c r="I3159" s="3" t="str">
        <f ca="1">IFERROR(__xludf.DUMMYFUNCTION("""COMPUTED_VALUE"""),"Trần Gia Khiêm")</f>
        <v>Trần Gia Khiêm</v>
      </c>
      <c r="J3159" s="3" t="str">
        <f ca="1">IFERROR(__xludf.DUMMYFUNCTION("""COMPUTED_VALUE"""),"0563705755")</f>
        <v>0563705755</v>
      </c>
      <c r="K3159" s="2" t="str">
        <f ca="1">IFERROR(__xludf.DUMMYFUNCTION("""COMPUTED_VALUE"""),"1736206215439")</f>
        <v>1736206215439</v>
      </c>
    </row>
    <row r="3160" spans="1:11" ht="12.45">
      <c r="A3160" s="2" t="str">
        <f ca="1">IFERROR(__xludf.DUMMYFUNCTION("""COMPUTED_VALUE"""),"Không giao sách")</f>
        <v>Không giao sách</v>
      </c>
      <c r="B3160" s="2"/>
      <c r="C3160" s="2" t="str">
        <v>0</v>
      </c>
      <c r="D3160" s="2"/>
      <c r="F3160" s="2" t="str">
        <v>0</v>
      </c>
      <c r="I3160" s="3" t="str">
        <f ca="1">IFERROR(__xludf.DUMMYFUNCTION("""COMPUTED_VALUE"""),"Trần Khánh Ly")</f>
        <v>Trần Khánh Ly</v>
      </c>
      <c r="J3160" s="3" t="str">
        <f ca="1">IFERROR(__xludf.DUMMYFUNCTION("""COMPUTED_VALUE"""),"0388092954")</f>
        <v>0388092954</v>
      </c>
      <c r="K3160" s="2" t="str">
        <f ca="1">IFERROR(__xludf.DUMMYFUNCTION("""COMPUTED_VALUE"""),"Không giao sách")</f>
        <v>Không giao sách</v>
      </c>
    </row>
    <row r="3161" spans="1:11" ht="12.45">
      <c r="A3161" s="2" t="str">
        <f ca="1">IFERROR(__xludf.DUMMYFUNCTION("""COMPUTED_VALUE"""),"1736206260463")</f>
        <v>1736206260463</v>
      </c>
      <c r="B3161" s="2"/>
      <c r="C3161" s="2" t="str">
        <v>0</v>
      </c>
      <c r="D3161" s="2"/>
      <c r="F3161" s="2" t="str">
        <v>0</v>
      </c>
      <c r="I3161" s="3" t="str">
        <f ca="1">IFERROR(__xludf.DUMMYFUNCTION("""COMPUTED_VALUE"""),"Trương Thanh An")</f>
        <v>Trương Thanh An</v>
      </c>
      <c r="J3161" s="3" t="str">
        <f ca="1">IFERROR(__xludf.DUMMYFUNCTION("""COMPUTED_VALUE"""),"0941526482")</f>
        <v>0941526482</v>
      </c>
      <c r="K3161" s="2" t="str">
        <f ca="1">IFERROR(__xludf.DUMMYFUNCTION("""COMPUTED_VALUE"""),"1736206260463")</f>
        <v>1736206260463</v>
      </c>
    </row>
    <row r="3162" spans="1:11" ht="12.45">
      <c r="A3162" s="2" t="str">
        <f ca="1">IFERROR(__xludf.DUMMYFUNCTION("""COMPUTED_VALUE"""),"1736206300537")</f>
        <v>1736206300537</v>
      </c>
      <c r="B3162" s="2"/>
      <c r="C3162" s="2" t="str">
        <v>0</v>
      </c>
      <c r="D3162" s="2"/>
      <c r="F3162" s="2" t="str">
        <v>0</v>
      </c>
      <c r="I3162" s="3" t="str">
        <f ca="1">IFERROR(__xludf.DUMMYFUNCTION("""COMPUTED_VALUE"""),"Đỗ Thị Quỳnh Hoa ")</f>
        <v xml:space="preserve">Đỗ Thị Quỳnh Hoa </v>
      </c>
      <c r="J3162" s="3" t="str">
        <f ca="1">IFERROR(__xludf.DUMMYFUNCTION("""COMPUTED_VALUE"""),"0868649661")</f>
        <v>0868649661</v>
      </c>
      <c r="K3162" s="2" t="str">
        <f ca="1">IFERROR(__xludf.DUMMYFUNCTION("""COMPUTED_VALUE"""),"1736206300537")</f>
        <v>1736206300537</v>
      </c>
    </row>
    <row r="3163" spans="1:11" ht="12.45">
      <c r="A3163" s="2" t="str">
        <f ca="1">IFERROR(__xludf.DUMMYFUNCTION("""COMPUTED_VALUE"""),"1736206336643")</f>
        <v>1736206336643</v>
      </c>
      <c r="B3163" s="2"/>
      <c r="C3163" s="2" t="str">
        <v>0</v>
      </c>
      <c r="D3163" s="2"/>
      <c r="F3163" s="2" t="str">
        <v>0</v>
      </c>
      <c r="I3163" s="3" t="str">
        <f ca="1">IFERROR(__xludf.DUMMYFUNCTION("""COMPUTED_VALUE"""),"Lê thị diệu chinh ")</f>
        <v xml:space="preserve">Lê thị diệu chinh </v>
      </c>
      <c r="J3163" s="3" t="str">
        <f ca="1">IFERROR(__xludf.DUMMYFUNCTION("""COMPUTED_VALUE"""),"0938281686")</f>
        <v>0938281686</v>
      </c>
      <c r="K3163" s="2" t="str">
        <f ca="1">IFERROR(__xludf.DUMMYFUNCTION("""COMPUTED_VALUE"""),"1736206336643")</f>
        <v>1736206336643</v>
      </c>
    </row>
    <row r="3164" spans="1:11" ht="12.45">
      <c r="A3164" s="2" t="str">
        <f ca="1">IFERROR(__xludf.DUMMYFUNCTION("""COMPUTED_VALUE"""),"1736206387219")</f>
        <v>1736206387219</v>
      </c>
      <c r="B3164" s="2"/>
      <c r="C3164" s="2" t="str">
        <v>0</v>
      </c>
      <c r="D3164" s="2"/>
      <c r="F3164" s="2" t="str">
        <v>0</v>
      </c>
      <c r="I3164" s="3" t="str">
        <f ca="1">IFERROR(__xludf.DUMMYFUNCTION("""COMPUTED_VALUE"""),"Nguyễn Huỳnh Thiên Tường ")</f>
        <v xml:space="preserve">Nguyễn Huỳnh Thiên Tường </v>
      </c>
      <c r="J3164" s="3" t="str">
        <f ca="1">IFERROR(__xludf.DUMMYFUNCTION("""COMPUTED_VALUE"""),"0815393687")</f>
        <v>0815393687</v>
      </c>
      <c r="K3164" s="2" t="str">
        <f ca="1">IFERROR(__xludf.DUMMYFUNCTION("""COMPUTED_VALUE"""),"1736206387219")</f>
        <v>1736206387219</v>
      </c>
    </row>
    <row r="3165" spans="1:11" ht="12.45">
      <c r="A3165" s="2" t="str">
        <f ca="1">IFERROR(__xludf.DUMMYFUNCTION("""COMPUTED_VALUE"""),"1736206419874")</f>
        <v>1736206419874</v>
      </c>
      <c r="B3165" s="2"/>
      <c r="C3165" s="2" t="str">
        <v>0</v>
      </c>
      <c r="D3165" s="2"/>
      <c r="F3165" s="2" t="str">
        <v>0</v>
      </c>
      <c r="I3165" s="3" t="str">
        <f ca="1">IFERROR(__xludf.DUMMYFUNCTION("""COMPUTED_VALUE"""),"Hồ Ngọc Khánh Linh ")</f>
        <v xml:space="preserve">Hồ Ngọc Khánh Linh </v>
      </c>
      <c r="J3165" s="3" t="str">
        <f ca="1">IFERROR(__xludf.DUMMYFUNCTION("""COMPUTED_VALUE"""),"0353184290")</f>
        <v>0353184290</v>
      </c>
      <c r="K3165" s="2" t="str">
        <f ca="1">IFERROR(__xludf.DUMMYFUNCTION("""COMPUTED_VALUE"""),"1736206419874")</f>
        <v>1736206419874</v>
      </c>
    </row>
    <row r="3166" spans="1:11" ht="12.45">
      <c r="A3166" s="2" t="str">
        <f ca="1">IFERROR(__xludf.DUMMYFUNCTION("""COMPUTED_VALUE"""),"1736206453970")</f>
        <v>1736206453970</v>
      </c>
      <c r="B3166" s="2"/>
      <c r="C3166" s="2" t="str">
        <v>0</v>
      </c>
      <c r="D3166" s="2"/>
      <c r="F3166" s="2" t="str">
        <v>0</v>
      </c>
      <c r="I3166" s="3" t="str">
        <f ca="1">IFERROR(__xludf.DUMMYFUNCTION("""COMPUTED_VALUE"""),"Mai Anh")</f>
        <v>Mai Anh</v>
      </c>
      <c r="J3166" s="3" t="str">
        <f ca="1">IFERROR(__xludf.DUMMYFUNCTION("""COMPUTED_VALUE"""),"0974907688")</f>
        <v>0974907688</v>
      </c>
      <c r="K3166" s="2" t="str">
        <f ca="1">IFERROR(__xludf.DUMMYFUNCTION("""COMPUTED_VALUE"""),"1736206453970")</f>
        <v>1736206453970</v>
      </c>
    </row>
    <row r="3167" spans="1:11" ht="12.45">
      <c r="A3167" s="2" t="str">
        <f ca="1">IFERROR(__xludf.DUMMYFUNCTION("""COMPUTED_VALUE"""),"1736206495840")</f>
        <v>1736206495840</v>
      </c>
      <c r="B3167" s="2"/>
      <c r="C3167" s="2" t="str">
        <v>0</v>
      </c>
      <c r="D3167" s="2"/>
      <c r="F3167" s="2" t="str">
        <v>0</v>
      </c>
      <c r="I3167" s="3" t="str">
        <f ca="1">IFERROR(__xludf.DUMMYFUNCTION("""COMPUTED_VALUE"""),"Trần Diệp Thuý Vy")</f>
        <v>Trần Diệp Thuý Vy</v>
      </c>
      <c r="J3167" s="3" t="str">
        <f ca="1">IFERROR(__xludf.DUMMYFUNCTION("""COMPUTED_VALUE"""),"0382870868")</f>
        <v>0382870868</v>
      </c>
      <c r="K3167" s="2" t="str">
        <f ca="1">IFERROR(__xludf.DUMMYFUNCTION("""COMPUTED_VALUE"""),"1736206495840")</f>
        <v>1736206495840</v>
      </c>
    </row>
    <row r="3168" spans="1:11" ht="12.45">
      <c r="A3168" s="2" t="str">
        <f ca="1">IFERROR(__xludf.DUMMYFUNCTION("""COMPUTED_VALUE"""),"1736206527383")</f>
        <v>1736206527383</v>
      </c>
      <c r="B3168" s="2"/>
      <c r="C3168" s="2" t="str">
        <v>0</v>
      </c>
      <c r="D3168" s="2"/>
      <c r="F3168" s="2" t="str">
        <v>0</v>
      </c>
      <c r="I3168" s="3" t="str">
        <f ca="1">IFERROR(__xludf.DUMMYFUNCTION("""COMPUTED_VALUE"""),"Nguyễn Vũ Hà Linh ")</f>
        <v xml:space="preserve">Nguyễn Vũ Hà Linh </v>
      </c>
      <c r="J3168" s="3" t="str">
        <f ca="1">IFERROR(__xludf.DUMMYFUNCTION("""COMPUTED_VALUE"""),"0975261008")</f>
        <v>0975261008</v>
      </c>
      <c r="K3168" s="2" t="str">
        <f ca="1">IFERROR(__xludf.DUMMYFUNCTION("""COMPUTED_VALUE"""),"1736206527383")</f>
        <v>1736206527383</v>
      </c>
    </row>
    <row r="3169" spans="1:11" ht="12.45">
      <c r="A3169" s="2" t="str">
        <f ca="1">IFERROR(__xludf.DUMMYFUNCTION("""COMPUTED_VALUE"""),"1736206566684")</f>
        <v>1736206566684</v>
      </c>
      <c r="B3169" s="2"/>
      <c r="C3169" s="2" t="str">
        <v>0</v>
      </c>
      <c r="D3169" s="2"/>
      <c r="F3169" s="2" t="str">
        <v>0</v>
      </c>
      <c r="I3169" s="3" t="str">
        <f ca="1">IFERROR(__xludf.DUMMYFUNCTION("""COMPUTED_VALUE"""),"Nguyễn Lê Bảo Trang")</f>
        <v>Nguyễn Lê Bảo Trang</v>
      </c>
      <c r="J3169" s="3" t="str">
        <f ca="1">IFERROR(__xludf.DUMMYFUNCTION("""COMPUTED_VALUE"""),"0973006207")</f>
        <v>0973006207</v>
      </c>
      <c r="K3169" s="2" t="str">
        <f ca="1">IFERROR(__xludf.DUMMYFUNCTION("""COMPUTED_VALUE"""),"1736206566684")</f>
        <v>1736206566684</v>
      </c>
    </row>
    <row r="3170" spans="1:11" ht="12.45">
      <c r="A3170" s="2" t="str">
        <f ca="1">IFERROR(__xludf.DUMMYFUNCTION("""COMPUTED_VALUE"""),"1736206602320")</f>
        <v>1736206602320</v>
      </c>
      <c r="B3170" s="2"/>
      <c r="C3170" s="2" t="str">
        <v>0</v>
      </c>
      <c r="D3170" s="2"/>
      <c r="F3170" s="2" t="str">
        <v>0</v>
      </c>
      <c r="I3170" s="3" t="str">
        <f ca="1">IFERROR(__xludf.DUMMYFUNCTION("""COMPUTED_VALUE"""),"Nguyễn Phương Thảo ")</f>
        <v xml:space="preserve">Nguyễn Phương Thảo </v>
      </c>
      <c r="J3170" s="3" t="str">
        <f ca="1">IFERROR(__xludf.DUMMYFUNCTION("""COMPUTED_VALUE"""),"0357833562")</f>
        <v>0357833562</v>
      </c>
      <c r="K3170" s="2" t="str">
        <f ca="1">IFERROR(__xludf.DUMMYFUNCTION("""COMPUTED_VALUE"""),"1736206602320")</f>
        <v>1736206602320</v>
      </c>
    </row>
    <row r="3171" spans="1:11" ht="12.45">
      <c r="A3171" s="2" t="str">
        <f ca="1">IFERROR(__xludf.DUMMYFUNCTION("""COMPUTED_VALUE"""),"1736206638572")</f>
        <v>1736206638572</v>
      </c>
      <c r="B3171" s="2"/>
      <c r="C3171" s="2" t="str">
        <v>0</v>
      </c>
      <c r="D3171" s="2"/>
      <c r="F3171" s="2" t="str">
        <v>0</v>
      </c>
      <c r="I3171" s="3" t="str">
        <f ca="1">IFERROR(__xludf.DUMMYFUNCTION("""COMPUTED_VALUE"""),"Nguyễn Thuý Ngọc ")</f>
        <v xml:space="preserve">Nguyễn Thuý Ngọc </v>
      </c>
      <c r="J3171" s="3" t="str">
        <f ca="1">IFERROR(__xludf.DUMMYFUNCTION("""COMPUTED_VALUE"""),"0349034502")</f>
        <v>0349034502</v>
      </c>
      <c r="K3171" s="2" t="str">
        <f ca="1">IFERROR(__xludf.DUMMYFUNCTION("""COMPUTED_VALUE"""),"1736206638572")</f>
        <v>1736206638572</v>
      </c>
    </row>
    <row r="3172" spans="1:11" ht="12.45">
      <c r="A3172" s="2" t="str">
        <f ca="1">IFERROR(__xludf.DUMMYFUNCTION("""COMPUTED_VALUE"""),"1736206674015")</f>
        <v>1736206674015</v>
      </c>
      <c r="B3172" s="2"/>
      <c r="C3172" s="2" t="str">
        <v>0</v>
      </c>
      <c r="D3172" s="2"/>
      <c r="F3172" s="2" t="str">
        <v>0</v>
      </c>
      <c r="I3172" s="3" t="str">
        <f ca="1">IFERROR(__xludf.DUMMYFUNCTION("""COMPUTED_VALUE"""),"Phan Ngọc Thủy Tiên ")</f>
        <v xml:space="preserve">Phan Ngọc Thủy Tiên </v>
      </c>
      <c r="J3172" s="3" t="str">
        <f ca="1">IFERROR(__xludf.DUMMYFUNCTION("""COMPUTED_VALUE"""),"0937706073")</f>
        <v>0937706073</v>
      </c>
      <c r="K3172" s="2" t="str">
        <f ca="1">IFERROR(__xludf.DUMMYFUNCTION("""COMPUTED_VALUE"""),"1736206674015")</f>
        <v>1736206674015</v>
      </c>
    </row>
    <row r="3173" spans="1:11" ht="12.45">
      <c r="A3173" s="2" t="str">
        <f ca="1">IFERROR(__xludf.DUMMYFUNCTION("""COMPUTED_VALUE"""),"1736206716180")</f>
        <v>1736206716180</v>
      </c>
      <c r="B3173" s="2"/>
      <c r="C3173" s="2" t="str">
        <v>0</v>
      </c>
      <c r="D3173" s="2"/>
      <c r="F3173" s="2" t="str">
        <v>0</v>
      </c>
      <c r="I3173" s="3" t="str">
        <f ca="1">IFERROR(__xludf.DUMMYFUNCTION("""COMPUTED_VALUE"""),"Trần Thu Phương")</f>
        <v>Trần Thu Phương</v>
      </c>
      <c r="J3173" s="3" t="str">
        <f ca="1">IFERROR(__xludf.DUMMYFUNCTION("""COMPUTED_VALUE"""),"0398612279")</f>
        <v>0398612279</v>
      </c>
      <c r="K3173" s="2" t="str">
        <f ca="1">IFERROR(__xludf.DUMMYFUNCTION("""COMPUTED_VALUE"""),"1736206716180")</f>
        <v>1736206716180</v>
      </c>
    </row>
    <row r="3174" spans="1:11" ht="12.45">
      <c r="A3174" s="2" t="str">
        <f ca="1">IFERROR(__xludf.DUMMYFUNCTION("""COMPUTED_VALUE"""),"1736206758289")</f>
        <v>1736206758289</v>
      </c>
      <c r="B3174" s="2"/>
      <c r="C3174" s="2" t="str">
        <v>0</v>
      </c>
      <c r="D3174" s="2"/>
      <c r="F3174" s="2" t="str">
        <v>0</v>
      </c>
      <c r="I3174" s="3" t="str">
        <f ca="1">IFERROR(__xludf.DUMMYFUNCTION("""COMPUTED_VALUE"""),"Hà Quang Sáng")</f>
        <v>Hà Quang Sáng</v>
      </c>
      <c r="J3174" s="3" t="str">
        <f ca="1">IFERROR(__xludf.DUMMYFUNCTION("""COMPUTED_VALUE"""),"0328932496")</f>
        <v>0328932496</v>
      </c>
      <c r="K3174" s="2" t="str">
        <f ca="1">IFERROR(__xludf.DUMMYFUNCTION("""COMPUTED_VALUE"""),"1736206758289")</f>
        <v>1736206758289</v>
      </c>
    </row>
    <row r="3175" spans="1:11" ht="12.45">
      <c r="A3175" s="2" t="str">
        <f ca="1">IFERROR(__xludf.DUMMYFUNCTION("""COMPUTED_VALUE"""),"1736206804831")</f>
        <v>1736206804831</v>
      </c>
      <c r="B3175" s="2"/>
      <c r="C3175" s="2" t="str">
        <v>0</v>
      </c>
      <c r="D3175" s="2"/>
      <c r="F3175" s="2" t="str">
        <v>0</v>
      </c>
      <c r="I3175" s="3" t="str">
        <f ca="1">IFERROR(__xludf.DUMMYFUNCTION("""COMPUTED_VALUE"""),"Nguyễn Thị Mai Linh")</f>
        <v>Nguyễn Thị Mai Linh</v>
      </c>
      <c r="J3175" s="3" t="str">
        <f ca="1">IFERROR(__xludf.DUMMYFUNCTION("""COMPUTED_VALUE"""),"0388100807")</f>
        <v>0388100807</v>
      </c>
      <c r="K3175" s="2" t="str">
        <f ca="1">IFERROR(__xludf.DUMMYFUNCTION("""COMPUTED_VALUE"""),"1736206804831")</f>
        <v>1736206804831</v>
      </c>
    </row>
    <row r="3176" spans="1:11" ht="12.45">
      <c r="A3176" s="2" t="str">
        <f ca="1">IFERROR(__xludf.DUMMYFUNCTION("""COMPUTED_VALUE"""),"1736206847128")</f>
        <v>1736206847128</v>
      </c>
      <c r="B3176" s="2"/>
      <c r="C3176" s="2" t="str">
        <v>0</v>
      </c>
      <c r="D3176" s="2"/>
      <c r="F3176" s="2" t="str">
        <v>0</v>
      </c>
      <c r="I3176" s="3" t="str">
        <f ca="1">IFERROR(__xludf.DUMMYFUNCTION("""COMPUTED_VALUE"""),"Trần Hứa Khánh Anh")</f>
        <v>Trần Hứa Khánh Anh</v>
      </c>
      <c r="J3176" s="3" t="str">
        <f ca="1">IFERROR(__xludf.DUMMYFUNCTION("""COMPUTED_VALUE"""),"0768363363")</f>
        <v>0768363363</v>
      </c>
      <c r="K3176" s="2" t="str">
        <f ca="1">IFERROR(__xludf.DUMMYFUNCTION("""COMPUTED_VALUE"""),"1736206847128")</f>
        <v>1736206847128</v>
      </c>
    </row>
    <row r="3177" spans="1:11" ht="12.45">
      <c r="A3177" s="2" t="str">
        <f ca="1">IFERROR(__xludf.DUMMYFUNCTION("""COMPUTED_VALUE"""),"1736206887464")</f>
        <v>1736206887464</v>
      </c>
      <c r="B3177" s="2"/>
      <c r="C3177" s="2" t="str">
        <v>0</v>
      </c>
      <c r="D3177" s="2"/>
      <c r="F3177" s="2" t="str">
        <v>0</v>
      </c>
      <c r="I3177" s="3" t="str">
        <f ca="1">IFERROR(__xludf.DUMMYFUNCTION("""COMPUTED_VALUE"""),"Phạm Phương Linh")</f>
        <v>Phạm Phương Linh</v>
      </c>
      <c r="J3177" s="3" t="str">
        <f ca="1">IFERROR(__xludf.DUMMYFUNCTION("""COMPUTED_VALUE"""),"0869229355")</f>
        <v>0869229355</v>
      </c>
      <c r="K3177" s="2" t="str">
        <f ca="1">IFERROR(__xludf.DUMMYFUNCTION("""COMPUTED_VALUE"""),"1736206887464")</f>
        <v>1736206887464</v>
      </c>
    </row>
    <row r="3178" spans="1:11" ht="12.45">
      <c r="A3178" s="2" t="str">
        <f ca="1">IFERROR(__xludf.DUMMYFUNCTION("""COMPUTED_VALUE"""),"1736348842282")</f>
        <v>1736348842282</v>
      </c>
      <c r="B3178" s="2"/>
      <c r="C3178" s="2" t="str">
        <v>0</v>
      </c>
      <c r="D3178" s="2"/>
      <c r="F3178" s="2" t="str">
        <v>0</v>
      </c>
      <c r="I3178" s="3" t="str">
        <f ca="1">IFERROR(__xludf.DUMMYFUNCTION("""COMPUTED_VALUE"""),"Trương Yến Nhi")</f>
        <v>Trương Yến Nhi</v>
      </c>
      <c r="J3178" s="3" t="str">
        <f ca="1">IFERROR(__xludf.DUMMYFUNCTION("""COMPUTED_VALUE"""),"0358293157")</f>
        <v>0358293157</v>
      </c>
      <c r="K3178" s="2" t="str">
        <f ca="1">IFERROR(__xludf.DUMMYFUNCTION("""COMPUTED_VALUE"""),"1736348842282")</f>
        <v>1736348842282</v>
      </c>
    </row>
    <row r="3179" spans="1:11" ht="12.45">
      <c r="A3179" s="2" t="str">
        <f ca="1">IFERROR(__xludf.DUMMYFUNCTION("""COMPUTED_VALUE"""),"1736348900321")</f>
        <v>1736348900321</v>
      </c>
      <c r="B3179" s="2"/>
      <c r="C3179" s="2" t="str">
        <v>0</v>
      </c>
      <c r="D3179" s="2"/>
      <c r="F3179" s="2" t="str">
        <v>0</v>
      </c>
      <c r="I3179" s="3" t="str">
        <f ca="1">IFERROR(__xludf.DUMMYFUNCTION("""COMPUTED_VALUE"""),"Phùng Thuỵ Tuyết Trinh")</f>
        <v>Phùng Thuỵ Tuyết Trinh</v>
      </c>
      <c r="J3179" s="3" t="str">
        <f ca="1">IFERROR(__xludf.DUMMYFUNCTION("""COMPUTED_VALUE"""),"0792273458")</f>
        <v>0792273458</v>
      </c>
      <c r="K3179" s="2" t="str">
        <f ca="1">IFERROR(__xludf.DUMMYFUNCTION("""COMPUTED_VALUE"""),"1736348900321")</f>
        <v>1736348900321</v>
      </c>
    </row>
    <row r="3180" spans="1:11" ht="12.45">
      <c r="A3180" s="2" t="str">
        <f ca="1">IFERROR(__xludf.DUMMYFUNCTION("""COMPUTED_VALUE"""),"1736348933035")</f>
        <v>1736348933035</v>
      </c>
      <c r="B3180" s="2"/>
      <c r="C3180" s="2" t="str">
        <v>0</v>
      </c>
      <c r="D3180" s="2"/>
      <c r="F3180" s="2" t="str">
        <v>0</v>
      </c>
      <c r="I3180" s="3" t="str">
        <f ca="1">IFERROR(__xludf.DUMMYFUNCTION("""COMPUTED_VALUE"""),"Trần Khánh Ly")</f>
        <v>Trần Khánh Ly</v>
      </c>
      <c r="J3180" s="3" t="str">
        <f ca="1">IFERROR(__xludf.DUMMYFUNCTION("""COMPUTED_VALUE"""),"0388092954")</f>
        <v>0388092954</v>
      </c>
      <c r="K3180" s="2" t="str">
        <f ca="1">IFERROR(__xludf.DUMMYFUNCTION("""COMPUTED_VALUE"""),"1736348933035")</f>
        <v>1736348933035</v>
      </c>
    </row>
    <row r="3181" spans="1:11" ht="12.45">
      <c r="A3181" s="2" t="str">
        <f ca="1">IFERROR(__xludf.DUMMYFUNCTION("""COMPUTED_VALUE"""),"1736348964246")</f>
        <v>1736348964246</v>
      </c>
      <c r="B3181" s="2"/>
      <c r="C3181" s="2" t="str">
        <v>0</v>
      </c>
      <c r="D3181" s="2"/>
      <c r="F3181" s="2" t="str">
        <v>0</v>
      </c>
      <c r="I3181" s="3" t="str">
        <f ca="1">IFERROR(__xludf.DUMMYFUNCTION("""COMPUTED_VALUE"""),"Phạm Vũ Bích Ngọc ")</f>
        <v xml:space="preserve">Phạm Vũ Bích Ngọc </v>
      </c>
      <c r="J3181" s="3" t="str">
        <f ca="1">IFERROR(__xludf.DUMMYFUNCTION("""COMPUTED_VALUE"""),"0818992007")</f>
        <v>0818992007</v>
      </c>
      <c r="K3181" s="2" t="str">
        <f ca="1">IFERROR(__xludf.DUMMYFUNCTION("""COMPUTED_VALUE"""),"1736348964246")</f>
        <v>1736348964246</v>
      </c>
    </row>
    <row r="3182" spans="1:11" ht="12.45">
      <c r="A3182" s="2" t="str">
        <f ca="1">IFERROR(__xludf.DUMMYFUNCTION("""COMPUTED_VALUE"""),"1736349002007")</f>
        <v>1736349002007</v>
      </c>
      <c r="B3182" s="2"/>
      <c r="C3182" s="2" t="str">
        <v>0</v>
      </c>
      <c r="D3182" s="2"/>
      <c r="F3182" s="2" t="str">
        <v>0</v>
      </c>
      <c r="I3182" s="3" t="str">
        <f ca="1">IFERROR(__xludf.DUMMYFUNCTION("""COMPUTED_VALUE"""),"Nguyễn Thị Minh Thư ")</f>
        <v xml:space="preserve">Nguyễn Thị Minh Thư </v>
      </c>
      <c r="J3182" s="3" t="str">
        <f ca="1">IFERROR(__xludf.DUMMYFUNCTION("""COMPUTED_VALUE"""),"0398769465")</f>
        <v>0398769465</v>
      </c>
      <c r="K3182" s="2" t="str">
        <f ca="1">IFERROR(__xludf.DUMMYFUNCTION("""COMPUTED_VALUE"""),"1736349002007")</f>
        <v>1736349002007</v>
      </c>
    </row>
    <row r="3183" spans="1:11" ht="12.45">
      <c r="A3183" s="2" t="str">
        <f ca="1">IFERROR(__xludf.DUMMYFUNCTION("""COMPUTED_VALUE"""),"1736349037908")</f>
        <v>1736349037908</v>
      </c>
      <c r="B3183" s="2"/>
      <c r="C3183" s="2" t="str">
        <v>0</v>
      </c>
      <c r="D3183" s="2"/>
      <c r="F3183" s="2" t="str">
        <v>0</v>
      </c>
      <c r="I3183" s="3" t="str">
        <f ca="1">IFERROR(__xludf.DUMMYFUNCTION("""COMPUTED_VALUE"""),"Đặng Thảo Ngân")</f>
        <v>Đặng Thảo Ngân</v>
      </c>
      <c r="J3183" s="3" t="str">
        <f ca="1">IFERROR(__xludf.DUMMYFUNCTION("""COMPUTED_VALUE"""),"0917704234")</f>
        <v>0917704234</v>
      </c>
      <c r="K3183" s="2" t="str">
        <f ca="1">IFERROR(__xludf.DUMMYFUNCTION("""COMPUTED_VALUE"""),"1736349037908")</f>
        <v>1736349037908</v>
      </c>
    </row>
    <row r="3184" spans="1:11" ht="12.45">
      <c r="A3184" s="2" t="str">
        <f ca="1">IFERROR(__xludf.DUMMYFUNCTION("""COMPUTED_VALUE"""),"1736349070154")</f>
        <v>1736349070154</v>
      </c>
      <c r="B3184" s="2"/>
      <c r="C3184" s="2" t="str">
        <v>0</v>
      </c>
      <c r="D3184" s="2"/>
      <c r="F3184" s="2" t="str">
        <v>0</v>
      </c>
      <c r="I3184" s="3" t="str">
        <f ca="1">IFERROR(__xludf.DUMMYFUNCTION("""COMPUTED_VALUE"""),"Tăng Huyền Ngọc")</f>
        <v>Tăng Huyền Ngọc</v>
      </c>
      <c r="J3184" s="3" t="str">
        <f ca="1">IFERROR(__xludf.DUMMYFUNCTION("""COMPUTED_VALUE"""),"0918581517")</f>
        <v>0918581517</v>
      </c>
      <c r="K3184" s="2" t="str">
        <f ca="1">IFERROR(__xludf.DUMMYFUNCTION("""COMPUTED_VALUE"""),"1736349070154")</f>
        <v>1736349070154</v>
      </c>
    </row>
    <row r="3185" spans="1:11" ht="12.45">
      <c r="A3185" s="2" t="str">
        <f ca="1">IFERROR(__xludf.DUMMYFUNCTION("""COMPUTED_VALUE"""),"1736349115140")</f>
        <v>1736349115140</v>
      </c>
      <c r="B3185" s="2"/>
      <c r="C3185" s="2" t="str">
        <v>0</v>
      </c>
      <c r="D3185" s="2"/>
      <c r="F3185" s="2" t="str">
        <v>0</v>
      </c>
      <c r="I3185" s="3" t="str">
        <f ca="1">IFERROR(__xludf.DUMMYFUNCTION("""COMPUTED_VALUE"""),"Cao Thị Thảo Vy ")</f>
        <v xml:space="preserve">Cao Thị Thảo Vy </v>
      </c>
      <c r="J3185" s="3" t="str">
        <f ca="1">IFERROR(__xludf.DUMMYFUNCTION("""COMPUTED_VALUE"""),"0362528308")</f>
        <v>0362528308</v>
      </c>
      <c r="K3185" s="2" t="str">
        <f ca="1">IFERROR(__xludf.DUMMYFUNCTION("""COMPUTED_VALUE"""),"1736349115140")</f>
        <v>1736349115140</v>
      </c>
    </row>
    <row r="3186" spans="1:11" ht="12.45">
      <c r="A3186" s="2" t="str">
        <f ca="1">IFERROR(__xludf.DUMMYFUNCTION("""COMPUTED_VALUE"""),"1736349150553")</f>
        <v>1736349150553</v>
      </c>
      <c r="B3186" s="2"/>
      <c r="C3186" s="2" t="str">
        <v>0</v>
      </c>
      <c r="D3186" s="2"/>
      <c r="F3186" s="2" t="str">
        <v>0</v>
      </c>
      <c r="I3186" s="3" t="str">
        <f ca="1">IFERROR(__xludf.DUMMYFUNCTION("""COMPUTED_VALUE"""),"Lê Hải Yến")</f>
        <v>Lê Hải Yến</v>
      </c>
      <c r="J3186" s="3" t="str">
        <f ca="1">IFERROR(__xludf.DUMMYFUNCTION("""COMPUTED_VALUE"""),"0843430199")</f>
        <v>0843430199</v>
      </c>
      <c r="K3186" s="2" t="str">
        <f ca="1">IFERROR(__xludf.DUMMYFUNCTION("""COMPUTED_VALUE"""),"1736349150553")</f>
        <v>1736349150553</v>
      </c>
    </row>
    <row r="3187" spans="1:11" ht="12.45">
      <c r="A3187" s="2" t="str">
        <f ca="1">IFERROR(__xludf.DUMMYFUNCTION("""COMPUTED_VALUE"""),"1736349180452")</f>
        <v>1736349180452</v>
      </c>
      <c r="B3187" s="2"/>
      <c r="C3187" s="2" t="str">
        <v>0</v>
      </c>
      <c r="D3187" s="2"/>
      <c r="F3187" s="2" t="str">
        <v>0</v>
      </c>
      <c r="I3187" s="3" t="str">
        <f ca="1">IFERROR(__xludf.DUMMYFUNCTION("""COMPUTED_VALUE"""),"Nguyễn Thị Khánh Huyền")</f>
        <v>Nguyễn Thị Khánh Huyền</v>
      </c>
      <c r="J3187" s="3" t="str">
        <f ca="1">IFERROR(__xludf.DUMMYFUNCTION("""COMPUTED_VALUE"""),"0906114457")</f>
        <v>0906114457</v>
      </c>
      <c r="K3187" s="2" t="str">
        <f ca="1">IFERROR(__xludf.DUMMYFUNCTION("""COMPUTED_VALUE"""),"1736349180452")</f>
        <v>1736349180452</v>
      </c>
    </row>
    <row r="3188" spans="1:11" ht="12.45">
      <c r="A3188" s="2" t="str">
        <f ca="1">IFERROR(__xludf.DUMMYFUNCTION("""COMPUTED_VALUE"""),"1736349210705")</f>
        <v>1736349210705</v>
      </c>
      <c r="B3188" s="2"/>
      <c r="C3188" s="2" t="str">
        <v>0</v>
      </c>
      <c r="D3188" s="2"/>
      <c r="F3188" s="2" t="str">
        <v>0</v>
      </c>
      <c r="I3188" s="3" t="str">
        <f ca="1">IFERROR(__xludf.DUMMYFUNCTION("""COMPUTED_VALUE"""),"Lâm Tâm Nhi")</f>
        <v>Lâm Tâm Nhi</v>
      </c>
      <c r="J3188" s="3" t="str">
        <f ca="1">IFERROR(__xludf.DUMMYFUNCTION("""COMPUTED_VALUE"""),"0368320301")</f>
        <v>0368320301</v>
      </c>
      <c r="K3188" s="2" t="str">
        <f ca="1">IFERROR(__xludf.DUMMYFUNCTION("""COMPUTED_VALUE"""),"1736349210705")</f>
        <v>1736349210705</v>
      </c>
    </row>
    <row r="3189" spans="1:11" ht="12.45">
      <c r="A3189" s="2" t="str">
        <f ca="1">IFERROR(__xludf.DUMMYFUNCTION("""COMPUTED_VALUE"""),"1736349259906")</f>
        <v>1736349259906</v>
      </c>
      <c r="B3189" s="2"/>
      <c r="C3189" s="2" t="str">
        <v>0</v>
      </c>
      <c r="D3189" s="2"/>
      <c r="F3189" s="2" t="str">
        <v>0</v>
      </c>
      <c r="I3189" s="3" t="str">
        <f ca="1">IFERROR(__xludf.DUMMYFUNCTION("""COMPUTED_VALUE"""),"Trương Bảo Chúc")</f>
        <v>Trương Bảo Chúc</v>
      </c>
      <c r="J3189" s="3" t="str">
        <f ca="1">IFERROR(__xludf.DUMMYFUNCTION("""COMPUTED_VALUE"""),"0338938831")</f>
        <v>0338938831</v>
      </c>
      <c r="K3189" s="2" t="str">
        <f ca="1">IFERROR(__xludf.DUMMYFUNCTION("""COMPUTED_VALUE"""),"1736349259906")</f>
        <v>1736349259906</v>
      </c>
    </row>
    <row r="3190" spans="1:11" ht="12.45">
      <c r="A3190" s="2" t="str">
        <f ca="1">IFERROR(__xludf.DUMMYFUNCTION("""COMPUTED_VALUE"""),"1736349300898")</f>
        <v>1736349300898</v>
      </c>
      <c r="B3190" s="2"/>
      <c r="C3190" s="2" t="str">
        <v>0</v>
      </c>
      <c r="D3190" s="2"/>
      <c r="F3190" s="2" t="str">
        <v>0</v>
      </c>
      <c r="I3190" s="3" t="str">
        <f ca="1">IFERROR(__xludf.DUMMYFUNCTION("""COMPUTED_VALUE"""),"Phạm Trường Thảo Nguyên")</f>
        <v>Phạm Trường Thảo Nguyên</v>
      </c>
      <c r="J3190" s="3" t="str">
        <f ca="1">IFERROR(__xludf.DUMMYFUNCTION("""COMPUTED_VALUE"""),"0942414924")</f>
        <v>0942414924</v>
      </c>
      <c r="K3190" s="2" t="str">
        <f ca="1">IFERROR(__xludf.DUMMYFUNCTION("""COMPUTED_VALUE"""),"1736349300898")</f>
        <v>1736349300898</v>
      </c>
    </row>
    <row r="3191" spans="1:11" ht="12.45">
      <c r="A3191" s="2" t="str">
        <f ca="1">IFERROR(__xludf.DUMMYFUNCTION("""COMPUTED_VALUE"""),"1736349331456")</f>
        <v>1736349331456</v>
      </c>
      <c r="B3191" s="2"/>
      <c r="C3191" s="2" t="str">
        <v>0</v>
      </c>
      <c r="D3191" s="2"/>
      <c r="F3191" s="2" t="str">
        <v>0</v>
      </c>
      <c r="I3191" s="3" t="str">
        <f ca="1">IFERROR(__xludf.DUMMYFUNCTION("""COMPUTED_VALUE"""),"Phạm Thị Phương Trinh ")</f>
        <v xml:space="preserve">Phạm Thị Phương Trinh </v>
      </c>
      <c r="J3191" s="3" t="str">
        <f ca="1">IFERROR(__xludf.DUMMYFUNCTION("""COMPUTED_VALUE"""),"0329275122")</f>
        <v>0329275122</v>
      </c>
      <c r="K3191" s="2" t="str">
        <f ca="1">IFERROR(__xludf.DUMMYFUNCTION("""COMPUTED_VALUE"""),"1736349331456")</f>
        <v>1736349331456</v>
      </c>
    </row>
    <row r="3192" spans="1:11" ht="12.45">
      <c r="A3192" s="2" t="str">
        <f ca="1">IFERROR(__xludf.DUMMYFUNCTION("""COMPUTED_VALUE"""),"1736349361328")</f>
        <v>1736349361328</v>
      </c>
      <c r="B3192" s="2"/>
      <c r="C3192" s="2" t="str">
        <v>0</v>
      </c>
      <c r="D3192" s="2"/>
      <c r="F3192" s="2" t="str">
        <v>0</v>
      </c>
      <c r="I3192" s="3" t="str">
        <f ca="1">IFERROR(__xludf.DUMMYFUNCTION("""COMPUTED_VALUE"""),"Trần Phương Anh")</f>
        <v>Trần Phương Anh</v>
      </c>
      <c r="J3192" s="3" t="str">
        <f ca="1">IFERROR(__xludf.DUMMYFUNCTION("""COMPUTED_VALUE"""),"0838812007")</f>
        <v>0838812007</v>
      </c>
      <c r="K3192" s="2" t="str">
        <f ca="1">IFERROR(__xludf.DUMMYFUNCTION("""COMPUTED_VALUE"""),"1736349361328")</f>
        <v>1736349361328</v>
      </c>
    </row>
    <row r="3193" spans="1:11" ht="12.45">
      <c r="A3193" s="2" t="str">
        <f ca="1">IFERROR(__xludf.DUMMYFUNCTION("""COMPUTED_VALUE"""),"1736349392213")</f>
        <v>1736349392213</v>
      </c>
      <c r="B3193" s="2"/>
      <c r="C3193" s="2" t="str">
        <v>0</v>
      </c>
      <c r="D3193" s="2"/>
      <c r="F3193" s="2" t="str">
        <v>0</v>
      </c>
      <c r="I3193" s="3" t="str">
        <f ca="1">IFERROR(__xludf.DUMMYFUNCTION("""COMPUTED_VALUE"""),"Ngô Minh Anh")</f>
        <v>Ngô Minh Anh</v>
      </c>
      <c r="J3193" s="3" t="str">
        <f ca="1">IFERROR(__xludf.DUMMYFUNCTION("""COMPUTED_VALUE"""),"0799170507")</f>
        <v>0799170507</v>
      </c>
      <c r="K3193" s="2" t="str">
        <f ca="1">IFERROR(__xludf.DUMMYFUNCTION("""COMPUTED_VALUE"""),"1736349392213")</f>
        <v>1736349392213</v>
      </c>
    </row>
    <row r="3194" spans="1:11" ht="12.45">
      <c r="A3194" s="2" t="str">
        <f ca="1">IFERROR(__xludf.DUMMYFUNCTION("""COMPUTED_VALUE"""),"1736349420095")</f>
        <v>1736349420095</v>
      </c>
      <c r="B3194" s="2"/>
      <c r="C3194" s="2" t="str">
        <v>0</v>
      </c>
      <c r="D3194" s="2"/>
      <c r="F3194" s="2" t="str">
        <v>0</v>
      </c>
      <c r="I3194" s="3" t="str">
        <f ca="1">IFERROR(__xludf.DUMMYFUNCTION("""COMPUTED_VALUE"""),"Nguyễn Hồng Cẩm")</f>
        <v>Nguyễn Hồng Cẩm</v>
      </c>
      <c r="J3194" s="3" t="str">
        <f ca="1">IFERROR(__xludf.DUMMYFUNCTION("""COMPUTED_VALUE"""),"0962626031")</f>
        <v>0962626031</v>
      </c>
      <c r="K3194" s="2" t="str">
        <f ca="1">IFERROR(__xludf.DUMMYFUNCTION("""COMPUTED_VALUE"""),"1736349420095")</f>
        <v>1736349420095</v>
      </c>
    </row>
    <row r="3195" spans="1:11" ht="12.45">
      <c r="A3195" s="2" t="str">
        <f ca="1">IFERROR(__xludf.DUMMYFUNCTION("""COMPUTED_VALUE"""),"1736349442848")</f>
        <v>1736349442848</v>
      </c>
      <c r="B3195" s="2"/>
      <c r="C3195" s="2" t="str">
        <v>0</v>
      </c>
      <c r="D3195" s="2"/>
      <c r="F3195" s="2" t="str">
        <v>0</v>
      </c>
      <c r="I3195" s="3" t="str">
        <f ca="1">IFERROR(__xludf.DUMMYFUNCTION("""COMPUTED_VALUE"""),"Nguyễn Anh Nhi")</f>
        <v>Nguyễn Anh Nhi</v>
      </c>
      <c r="J3195" s="3" t="str">
        <f ca="1">IFERROR(__xludf.DUMMYFUNCTION("""COMPUTED_VALUE"""),"0981409528")</f>
        <v>0981409528</v>
      </c>
      <c r="K3195" s="2" t="str">
        <f ca="1">IFERROR(__xludf.DUMMYFUNCTION("""COMPUTED_VALUE"""),"1736349442848")</f>
        <v>1736349442848</v>
      </c>
    </row>
    <row r="3196" spans="1:11" ht="12.45">
      <c r="A3196" s="2" t="str">
        <f ca="1">IFERROR(__xludf.DUMMYFUNCTION("""COMPUTED_VALUE"""),"1736349471129")</f>
        <v>1736349471129</v>
      </c>
      <c r="B3196" s="2"/>
      <c r="C3196" s="2" t="str">
        <v>0</v>
      </c>
      <c r="D3196" s="2"/>
      <c r="F3196" s="2" t="str">
        <v>0</v>
      </c>
      <c r="I3196" s="3" t="str">
        <f ca="1">IFERROR(__xludf.DUMMYFUNCTION("""COMPUTED_VALUE"""),"Trịnh Phương Linh")</f>
        <v>Trịnh Phương Linh</v>
      </c>
      <c r="J3196" s="3" t="str">
        <f ca="1">IFERROR(__xludf.DUMMYFUNCTION("""COMPUTED_VALUE"""),"0375765882")</f>
        <v>0375765882</v>
      </c>
      <c r="K3196" s="2" t="str">
        <f ca="1">IFERROR(__xludf.DUMMYFUNCTION("""COMPUTED_VALUE"""),"1736349471129")</f>
        <v>1736349471129</v>
      </c>
    </row>
    <row r="3197" spans="1:11" ht="12.45">
      <c r="A3197" s="2" t="str">
        <f ca="1">IFERROR(__xludf.DUMMYFUNCTION("""COMPUTED_VALUE"""),"1736349501102")</f>
        <v>1736349501102</v>
      </c>
      <c r="B3197" s="2"/>
      <c r="C3197" s="2" t="str">
        <v>0</v>
      </c>
      <c r="D3197" s="2"/>
      <c r="F3197" s="2" t="str">
        <v>0</v>
      </c>
      <c r="I3197" s="3" t="str">
        <f ca="1">IFERROR(__xludf.DUMMYFUNCTION("""COMPUTED_VALUE"""),"Trần Thị Tuyết Nhi")</f>
        <v>Trần Thị Tuyết Nhi</v>
      </c>
      <c r="J3197" s="3" t="str">
        <f ca="1">IFERROR(__xludf.DUMMYFUNCTION("""COMPUTED_VALUE"""),"0377466920")</f>
        <v>0377466920</v>
      </c>
      <c r="K3197" s="2" t="str">
        <f ca="1">IFERROR(__xludf.DUMMYFUNCTION("""COMPUTED_VALUE"""),"1736349501102")</f>
        <v>1736349501102</v>
      </c>
    </row>
    <row r="3198" spans="1:11" ht="12.45">
      <c r="A3198" s="2" t="str">
        <f ca="1">IFERROR(__xludf.DUMMYFUNCTION("""COMPUTED_VALUE"""),"1736349531773")</f>
        <v>1736349531773</v>
      </c>
      <c r="B3198" s="2"/>
      <c r="C3198" s="2" t="str">
        <v>0</v>
      </c>
      <c r="D3198" s="2"/>
      <c r="F3198" s="2" t="str">
        <v>0</v>
      </c>
      <c r="I3198" s="3" t="str">
        <f ca="1">IFERROR(__xludf.DUMMYFUNCTION("""COMPUTED_VALUE"""),"Lâm Thái Thanh ")</f>
        <v xml:space="preserve">Lâm Thái Thanh </v>
      </c>
      <c r="J3198" s="3" t="str">
        <f ca="1">IFERROR(__xludf.DUMMYFUNCTION("""COMPUTED_VALUE"""),"0963154867")</f>
        <v>0963154867</v>
      </c>
      <c r="K3198" s="2" t="str">
        <f ca="1">IFERROR(__xludf.DUMMYFUNCTION("""COMPUTED_VALUE"""),"1736349531773")</f>
        <v>1736349531773</v>
      </c>
    </row>
    <row r="3199" spans="1:11" ht="12.45">
      <c r="A3199" s="2" t="str">
        <f ca="1">IFERROR(__xludf.DUMMYFUNCTION("""COMPUTED_VALUE"""),"1736349559324")</f>
        <v>1736349559324</v>
      </c>
      <c r="B3199" s="2"/>
      <c r="C3199" s="2" t="str">
        <v>0</v>
      </c>
      <c r="D3199" s="2"/>
      <c r="F3199" s="2" t="str">
        <v>0</v>
      </c>
      <c r="I3199" s="3" t="str">
        <f ca="1">IFERROR(__xludf.DUMMYFUNCTION("""COMPUTED_VALUE"""),"Dương Quốc Thái")</f>
        <v>Dương Quốc Thái</v>
      </c>
      <c r="J3199" s="3" t="str">
        <f ca="1">IFERROR(__xludf.DUMMYFUNCTION("""COMPUTED_VALUE"""),"0353218159")</f>
        <v>0353218159</v>
      </c>
      <c r="K3199" s="2" t="str">
        <f ca="1">IFERROR(__xludf.DUMMYFUNCTION("""COMPUTED_VALUE"""),"1736349559324")</f>
        <v>1736349559324</v>
      </c>
    </row>
    <row r="3200" spans="1:11" ht="12.45">
      <c r="A3200" s="2" t="str">
        <f ca="1">IFERROR(__xludf.DUMMYFUNCTION("""COMPUTED_VALUE"""),"1736349587912")</f>
        <v>1736349587912</v>
      </c>
      <c r="B3200" s="2"/>
      <c r="C3200" s="2" t="str">
        <v>0</v>
      </c>
      <c r="D3200" s="2"/>
      <c r="F3200" s="2" t="str">
        <v>0</v>
      </c>
      <c r="I3200" s="3" t="str">
        <f ca="1">IFERROR(__xludf.DUMMYFUNCTION("""COMPUTED_VALUE"""),"Đào Minh Anh")</f>
        <v>Đào Minh Anh</v>
      </c>
      <c r="J3200" s="3" t="str">
        <f ca="1">IFERROR(__xludf.DUMMYFUNCTION("""COMPUTED_VALUE"""),"0865066908")</f>
        <v>0865066908</v>
      </c>
      <c r="K3200" s="2" t="str">
        <f ca="1">IFERROR(__xludf.DUMMYFUNCTION("""COMPUTED_VALUE"""),"1736349587912")</f>
        <v>1736349587912</v>
      </c>
    </row>
    <row r="3201" spans="1:11" ht="12.45">
      <c r="A3201" s="2" t="str">
        <f ca="1">IFERROR(__xludf.DUMMYFUNCTION("""COMPUTED_VALUE"""),"1736349617044")</f>
        <v>1736349617044</v>
      </c>
      <c r="B3201" s="2"/>
      <c r="C3201" s="2" t="str">
        <v>0</v>
      </c>
      <c r="D3201" s="2"/>
      <c r="F3201" s="2" t="str">
        <v>0</v>
      </c>
      <c r="I3201" s="3" t="str">
        <f ca="1">IFERROR(__xludf.DUMMYFUNCTION("""COMPUTED_VALUE"""),"Lục Hương Linh")</f>
        <v>Lục Hương Linh</v>
      </c>
      <c r="J3201" s="2" t="str">
        <f ca="1">IFERROR(__xludf.DUMMYFUNCTION("""COMPUTED_VALUE"""),"0363082085")</f>
        <v>0363082085</v>
      </c>
      <c r="K3201" s="2" t="str">
        <f ca="1">IFERROR(__xludf.DUMMYFUNCTION("""COMPUTED_VALUE"""),"1736349617044")</f>
        <v>1736349617044</v>
      </c>
    </row>
    <row r="3202" spans="1:11" ht="12.45">
      <c r="A3202" s="2" t="str">
        <f ca="1">IFERROR(__xludf.DUMMYFUNCTION("""COMPUTED_VALUE"""),"1736349647558")</f>
        <v>1736349647558</v>
      </c>
      <c r="B3202" s="2"/>
      <c r="C3202" s="2" t="str">
        <v>0</v>
      </c>
      <c r="D3202" s="2"/>
      <c r="F3202" s="2" t="str">
        <v>0</v>
      </c>
      <c r="I3202" s="3" t="str">
        <f ca="1">IFERROR(__xludf.DUMMYFUNCTION("""COMPUTED_VALUE"""),"Võ Gia Bách ")</f>
        <v xml:space="preserve">Võ Gia Bách </v>
      </c>
      <c r="J3202" s="3" t="str">
        <f ca="1">IFERROR(__xludf.DUMMYFUNCTION("""COMPUTED_VALUE"""),"0385000690")</f>
        <v>0385000690</v>
      </c>
      <c r="K3202" s="2" t="str">
        <f ca="1">IFERROR(__xludf.DUMMYFUNCTION("""COMPUTED_VALUE"""),"1736349647558")</f>
        <v>1736349647558</v>
      </c>
    </row>
    <row r="3203" spans="1:11" ht="12.45">
      <c r="A3203" s="2" t="str">
        <f ca="1">IFERROR(__xludf.DUMMYFUNCTION("""COMPUTED_VALUE"""),"1736349675250")</f>
        <v>1736349675250</v>
      </c>
      <c r="B3203" s="2"/>
      <c r="C3203" s="2" t="str">
        <v>0</v>
      </c>
      <c r="D3203" s="2"/>
      <c r="F3203" s="2" t="str">
        <v>0</v>
      </c>
      <c r="I3203" s="3" t="str">
        <f ca="1">IFERROR(__xludf.DUMMYFUNCTION("""COMPUTED_VALUE"""),"Trần Nguyễn Bảo Thy")</f>
        <v>Trần Nguyễn Bảo Thy</v>
      </c>
      <c r="J3203" s="3" t="str">
        <f ca="1">IFERROR(__xludf.DUMMYFUNCTION("""COMPUTED_VALUE"""),"0934541708")</f>
        <v>0934541708</v>
      </c>
      <c r="K3203" s="2" t="str">
        <f ca="1">IFERROR(__xludf.DUMMYFUNCTION("""COMPUTED_VALUE"""),"1736349675250")</f>
        <v>1736349675250</v>
      </c>
    </row>
    <row r="3204" spans="1:11" ht="12.45">
      <c r="A3204" s="2" t="str">
        <f ca="1">IFERROR(__xludf.DUMMYFUNCTION("""COMPUTED_VALUE"""),"1736349707043")</f>
        <v>1736349707043</v>
      </c>
      <c r="B3204" s="2"/>
      <c r="C3204" s="2" t="str">
        <v>0</v>
      </c>
      <c r="D3204" s="2"/>
      <c r="F3204" s="2" t="str">
        <v>0</v>
      </c>
      <c r="I3204" s="3" t="str">
        <f ca="1">IFERROR(__xludf.DUMMYFUNCTION("""COMPUTED_VALUE"""),"Lê Anh Thơ")</f>
        <v>Lê Anh Thơ</v>
      </c>
      <c r="J3204" s="3" t="str">
        <f ca="1">IFERROR(__xludf.DUMMYFUNCTION("""COMPUTED_VALUE"""),"0833112383")</f>
        <v>0833112383</v>
      </c>
      <c r="K3204" s="2" t="str">
        <f ca="1">IFERROR(__xludf.DUMMYFUNCTION("""COMPUTED_VALUE"""),"1736349707043")</f>
        <v>1736349707043</v>
      </c>
    </row>
    <row r="3205" spans="1:11" ht="12.45">
      <c r="A3205" s="2" t="str">
        <f ca="1">IFERROR(__xludf.DUMMYFUNCTION("""COMPUTED_VALUE"""),"1736349741256")</f>
        <v>1736349741256</v>
      </c>
      <c r="B3205" s="2"/>
      <c r="C3205" s="2" t="str">
        <v>0</v>
      </c>
      <c r="D3205" s="2"/>
      <c r="F3205" s="2" t="str">
        <v>0</v>
      </c>
      <c r="I3205" s="3" t="str">
        <f ca="1">IFERROR(__xludf.DUMMYFUNCTION("""COMPUTED_VALUE"""),"Lê Nguyễn Nhật Kim ")</f>
        <v xml:space="preserve">Lê Nguyễn Nhật Kim </v>
      </c>
      <c r="J3205" s="3" t="str">
        <f ca="1">IFERROR(__xludf.DUMMYFUNCTION("""COMPUTED_VALUE"""),"0867701933")</f>
        <v>0867701933</v>
      </c>
      <c r="K3205" s="2" t="str">
        <f ca="1">IFERROR(__xludf.DUMMYFUNCTION("""COMPUTED_VALUE"""),"1736349741256")</f>
        <v>1736349741256</v>
      </c>
    </row>
    <row r="3206" spans="1:11" ht="12.45">
      <c r="A3206" s="2" t="str">
        <f ca="1">IFERROR(__xludf.DUMMYFUNCTION("""COMPUTED_VALUE"""),"1736349779774")</f>
        <v>1736349779774</v>
      </c>
      <c r="B3206" s="2"/>
      <c r="C3206" s="2" t="str">
        <v>0</v>
      </c>
      <c r="D3206" s="2"/>
      <c r="F3206" s="2" t="str">
        <v>0</v>
      </c>
      <c r="I3206" s="3" t="str">
        <f ca="1">IFERROR(__xludf.DUMMYFUNCTION("""COMPUTED_VALUE"""),"Đàm Thị Như Quỳnh")</f>
        <v>Đàm Thị Như Quỳnh</v>
      </c>
      <c r="J3206" s="3" t="str">
        <f ca="1">IFERROR(__xludf.DUMMYFUNCTION("""COMPUTED_VALUE"""),"0388384125")</f>
        <v>0388384125</v>
      </c>
      <c r="K3206" s="2" t="str">
        <f ca="1">IFERROR(__xludf.DUMMYFUNCTION("""COMPUTED_VALUE"""),"1736349779774")</f>
        <v>1736349779774</v>
      </c>
    </row>
    <row r="3207" spans="1:11" ht="12.45">
      <c r="A3207" s="2" t="str">
        <f ca="1">IFERROR(__xludf.DUMMYFUNCTION("""COMPUTED_VALUE"""),"1736349813082")</f>
        <v>1736349813082</v>
      </c>
      <c r="B3207" s="2"/>
      <c r="C3207" s="2" t="str">
        <v>0</v>
      </c>
      <c r="D3207" s="2"/>
      <c r="F3207" s="2" t="str">
        <v>0</v>
      </c>
      <c r="I3207" s="3" t="str">
        <f ca="1">IFERROR(__xludf.DUMMYFUNCTION("""COMPUTED_VALUE"""),"Phạm Thị Mai Linh")</f>
        <v>Phạm Thị Mai Linh</v>
      </c>
      <c r="J3207" s="3" t="str">
        <f ca="1">IFERROR(__xludf.DUMMYFUNCTION("""COMPUTED_VALUE"""),"0784261493")</f>
        <v>0784261493</v>
      </c>
      <c r="K3207" s="2" t="str">
        <f ca="1">IFERROR(__xludf.DUMMYFUNCTION("""COMPUTED_VALUE"""),"1736349813082")</f>
        <v>1736349813082</v>
      </c>
    </row>
    <row r="3208" spans="1:11" ht="12.45">
      <c r="A3208" s="2" t="str">
        <f ca="1">IFERROR(__xludf.DUMMYFUNCTION("""COMPUTED_VALUE"""),"1736349842305")</f>
        <v>1736349842305</v>
      </c>
      <c r="B3208" s="2"/>
      <c r="C3208" s="2" t="str">
        <v>0</v>
      </c>
      <c r="D3208" s="2"/>
      <c r="F3208" s="2" t="str">
        <v>0</v>
      </c>
      <c r="I3208" s="3" t="str">
        <f ca="1">IFERROR(__xludf.DUMMYFUNCTION("""COMPUTED_VALUE"""),"Lương Hà Minh Anh")</f>
        <v>Lương Hà Minh Anh</v>
      </c>
      <c r="J3208" s="3" t="str">
        <f ca="1">IFERROR(__xludf.DUMMYFUNCTION("""COMPUTED_VALUE"""),"0866742376")</f>
        <v>0866742376</v>
      </c>
      <c r="K3208" s="2" t="str">
        <f ca="1">IFERROR(__xludf.DUMMYFUNCTION("""COMPUTED_VALUE"""),"1736349842305")</f>
        <v>1736349842305</v>
      </c>
    </row>
    <row r="3209" spans="1:11" ht="12.45">
      <c r="A3209" s="2" t="str">
        <f ca="1">IFERROR(__xludf.DUMMYFUNCTION("""COMPUTED_VALUE"""),"1736349870667")</f>
        <v>1736349870667</v>
      </c>
      <c r="B3209" s="2"/>
      <c r="C3209" s="2" t="str">
        <v>0</v>
      </c>
      <c r="D3209" s="2"/>
      <c r="F3209" s="2" t="str">
        <v>0</v>
      </c>
      <c r="I3209" s="3" t="str">
        <f ca="1">IFERROR(__xludf.DUMMYFUNCTION("""COMPUTED_VALUE"""),"Nguyễn Phương Thảo")</f>
        <v>Nguyễn Phương Thảo</v>
      </c>
      <c r="J3209" s="3" t="str">
        <f ca="1">IFERROR(__xludf.DUMMYFUNCTION("""COMPUTED_VALUE"""),"0797423368")</f>
        <v>0797423368</v>
      </c>
      <c r="K3209" s="2" t="str">
        <f ca="1">IFERROR(__xludf.DUMMYFUNCTION("""COMPUTED_VALUE"""),"1736349870667")</f>
        <v>1736349870667</v>
      </c>
    </row>
    <row r="3210" spans="1:11" ht="12.45">
      <c r="A3210" s="2" t="str">
        <f ca="1">IFERROR(__xludf.DUMMYFUNCTION("""COMPUTED_VALUE"""),"1736349902138")</f>
        <v>1736349902138</v>
      </c>
      <c r="B3210" s="2"/>
      <c r="C3210" s="2" t="str">
        <v>0</v>
      </c>
      <c r="D3210" s="2"/>
      <c r="F3210" s="2" t="str">
        <v>0</v>
      </c>
      <c r="I3210" s="3" t="str">
        <f ca="1">IFERROR(__xludf.DUMMYFUNCTION("""COMPUTED_VALUE"""),"Đặng Nguyễn Quỳnh Anh")</f>
        <v>Đặng Nguyễn Quỳnh Anh</v>
      </c>
      <c r="J3210" s="3" t="str">
        <f ca="1">IFERROR(__xludf.DUMMYFUNCTION("""COMPUTED_VALUE"""),"0859318950")</f>
        <v>0859318950</v>
      </c>
      <c r="K3210" s="2" t="str">
        <f ca="1">IFERROR(__xludf.DUMMYFUNCTION("""COMPUTED_VALUE"""),"1736349902138")</f>
        <v>1736349902138</v>
      </c>
    </row>
    <row r="3211" spans="1:11" ht="12.45">
      <c r="A3211" s="2" t="str">
        <f ca="1">IFERROR(__xludf.DUMMYFUNCTION("""COMPUTED_VALUE"""),"1736349933110")</f>
        <v>1736349933110</v>
      </c>
      <c r="B3211" s="2"/>
      <c r="C3211" s="2" t="str">
        <v>0</v>
      </c>
      <c r="D3211" s="2"/>
      <c r="F3211" s="2" t="str">
        <v>0</v>
      </c>
      <c r="I3211" s="3" t="str">
        <f ca="1">IFERROR(__xludf.DUMMYFUNCTION("""COMPUTED_VALUE"""),"Nguyễn Thị Thảo ")</f>
        <v xml:space="preserve">Nguyễn Thị Thảo </v>
      </c>
      <c r="J3211" s="3" t="str">
        <f ca="1">IFERROR(__xludf.DUMMYFUNCTION("""COMPUTED_VALUE"""),"0352646447")</f>
        <v>0352646447</v>
      </c>
      <c r="K3211" s="2" t="str">
        <f ca="1">IFERROR(__xludf.DUMMYFUNCTION("""COMPUTED_VALUE"""),"1736349933110")</f>
        <v>1736349933110</v>
      </c>
    </row>
    <row r="3212" spans="1:11" ht="12.45">
      <c r="A3212" s="2" t="str">
        <f ca="1">IFERROR(__xludf.DUMMYFUNCTION("""COMPUTED_VALUE"""),"1736349963138")</f>
        <v>1736349963138</v>
      </c>
      <c r="B3212" s="2"/>
      <c r="C3212" s="2" t="str">
        <v>0</v>
      </c>
      <c r="D3212" s="2"/>
      <c r="F3212" s="2" t="str">
        <v>0</v>
      </c>
      <c r="I3212" s="3" t="str">
        <f ca="1">IFERROR(__xludf.DUMMYFUNCTION("""COMPUTED_VALUE"""),"Võ Trần Hà Nguyên")</f>
        <v>Võ Trần Hà Nguyên</v>
      </c>
      <c r="J3212" s="3" t="str">
        <f ca="1">IFERROR(__xludf.DUMMYFUNCTION("""COMPUTED_VALUE"""),"0815121927")</f>
        <v>0815121927</v>
      </c>
      <c r="K3212" s="2" t="str">
        <f ca="1">IFERROR(__xludf.DUMMYFUNCTION("""COMPUTED_VALUE"""),"1736349963138")</f>
        <v>1736349963138</v>
      </c>
    </row>
    <row r="3213" spans="1:11" ht="12.45">
      <c r="A3213" s="2" t="str">
        <f ca="1">IFERROR(__xludf.DUMMYFUNCTION("""COMPUTED_VALUE"""),"1736349991126")</f>
        <v>1736349991126</v>
      </c>
      <c r="B3213" s="2"/>
      <c r="C3213" s="2" t="str">
        <v>0</v>
      </c>
      <c r="D3213" s="2"/>
      <c r="F3213" s="2" t="str">
        <v>0</v>
      </c>
      <c r="I3213" s="3" t="str">
        <f ca="1">IFERROR(__xludf.DUMMYFUNCTION("""COMPUTED_VALUE"""),"Thi Hoa ")</f>
        <v xml:space="preserve">Thi Hoa </v>
      </c>
      <c r="J3213" s="3" t="str">
        <f ca="1">IFERROR(__xludf.DUMMYFUNCTION("""COMPUTED_VALUE"""),"0355190122")</f>
        <v>0355190122</v>
      </c>
      <c r="K3213" s="2" t="str">
        <f ca="1">IFERROR(__xludf.DUMMYFUNCTION("""COMPUTED_VALUE"""),"1736349991126")</f>
        <v>1736349991126</v>
      </c>
    </row>
    <row r="3214" spans="1:11" ht="12.45">
      <c r="A3214" s="2" t="str">
        <f ca="1">IFERROR(__xludf.DUMMYFUNCTION("""COMPUTED_VALUE"""),"1736350020658")</f>
        <v>1736350020658</v>
      </c>
      <c r="B3214" s="2"/>
      <c r="C3214" s="2" t="str">
        <v>0</v>
      </c>
      <c r="D3214" s="2"/>
      <c r="F3214" s="2" t="str">
        <v>0</v>
      </c>
      <c r="I3214" s="3" t="str">
        <f ca="1">IFERROR(__xludf.DUMMYFUNCTION("""COMPUTED_VALUE"""),"ĐOÀN THỊ HƯƠNG DIỆU")</f>
        <v>ĐOÀN THỊ HƯƠNG DIỆU</v>
      </c>
      <c r="J3214" s="3" t="str">
        <f ca="1">IFERROR(__xludf.DUMMYFUNCTION("""COMPUTED_VALUE"""),"0868697636")</f>
        <v>0868697636</v>
      </c>
      <c r="K3214" s="2" t="str">
        <f ca="1">IFERROR(__xludf.DUMMYFUNCTION("""COMPUTED_VALUE"""),"1736350020658")</f>
        <v>1736350020658</v>
      </c>
    </row>
    <row r="3215" spans="1:11" ht="12.45">
      <c r="A3215" s="2" t="str">
        <f ca="1">IFERROR(__xludf.DUMMYFUNCTION("""COMPUTED_VALUE"""),"1736350049365")</f>
        <v>1736350049365</v>
      </c>
      <c r="B3215" s="2"/>
      <c r="C3215" s="2" t="str">
        <v>0</v>
      </c>
      <c r="D3215" s="2"/>
      <c r="F3215" s="2" t="str">
        <v>0</v>
      </c>
      <c r="I3215" s="3" t="str">
        <f ca="1">IFERROR(__xludf.DUMMYFUNCTION("""COMPUTED_VALUE"""),"Phạm Thảo Nguyên")</f>
        <v>Phạm Thảo Nguyên</v>
      </c>
      <c r="J3215" s="3" t="str">
        <f ca="1">IFERROR(__xludf.DUMMYFUNCTION("""COMPUTED_VALUE"""),"0938747040")</f>
        <v>0938747040</v>
      </c>
      <c r="K3215" s="2" t="str">
        <f ca="1">IFERROR(__xludf.DUMMYFUNCTION("""COMPUTED_VALUE"""),"1736350049365")</f>
        <v>1736350049365</v>
      </c>
    </row>
    <row r="3216" spans="1:11" ht="12.45">
      <c r="A3216" s="2" t="str">
        <f ca="1">IFERROR(__xludf.DUMMYFUNCTION("""COMPUTED_VALUE"""),"1736350081925")</f>
        <v>1736350081925</v>
      </c>
      <c r="B3216" s="2"/>
      <c r="C3216" s="2" t="str">
        <v>0</v>
      </c>
      <c r="D3216" s="2"/>
      <c r="F3216" s="2" t="str">
        <v>0</v>
      </c>
      <c r="I3216" s="3" t="str">
        <f ca="1">IFERROR(__xludf.DUMMYFUNCTION("""COMPUTED_VALUE"""),"Bùi Tâm Như")</f>
        <v>Bùi Tâm Như</v>
      </c>
      <c r="J3216" s="3" t="str">
        <f ca="1">IFERROR(__xludf.DUMMYFUNCTION("""COMPUTED_VALUE"""),"0812930779")</f>
        <v>0812930779</v>
      </c>
      <c r="K3216" s="2" t="str">
        <f ca="1">IFERROR(__xludf.DUMMYFUNCTION("""COMPUTED_VALUE"""),"1736350081925")</f>
        <v>1736350081925</v>
      </c>
    </row>
    <row r="3217" spans="1:11" ht="12.45">
      <c r="A3217" s="2" t="str">
        <f ca="1">IFERROR(__xludf.DUMMYFUNCTION("""COMPUTED_VALUE"""),"1736350110602")</f>
        <v>1736350110602</v>
      </c>
      <c r="B3217" s="2"/>
      <c r="C3217" s="2" t="str">
        <v>0</v>
      </c>
      <c r="D3217" s="2"/>
      <c r="F3217" s="2" t="str">
        <v>0</v>
      </c>
      <c r="I3217" s="3" t="str">
        <f ca="1">IFERROR(__xludf.DUMMYFUNCTION("""COMPUTED_VALUE"""),"Nguyễn Thị Phương Thảo ")</f>
        <v xml:space="preserve">Nguyễn Thị Phương Thảo </v>
      </c>
      <c r="J3217" s="3" t="str">
        <f ca="1">IFERROR(__xludf.DUMMYFUNCTION("""COMPUTED_VALUE"""),"0838619616")</f>
        <v>0838619616</v>
      </c>
      <c r="K3217" s="2" t="str">
        <f ca="1">IFERROR(__xludf.DUMMYFUNCTION("""COMPUTED_VALUE"""),"1736350110602")</f>
        <v>1736350110602</v>
      </c>
    </row>
    <row r="3218" spans="1:11" ht="12.45">
      <c r="A3218" s="2" t="str">
        <f ca="1">IFERROR(__xludf.DUMMYFUNCTION("""COMPUTED_VALUE"""),"1736350140462")</f>
        <v>1736350140462</v>
      </c>
      <c r="B3218" s="2"/>
      <c r="C3218" s="2" t="str">
        <v>0</v>
      </c>
      <c r="D3218" s="2"/>
      <c r="F3218" s="2" t="str">
        <v>0</v>
      </c>
      <c r="I3218" s="3" t="str">
        <f ca="1">IFERROR(__xludf.DUMMYFUNCTION("""COMPUTED_VALUE"""),"Nguyễn Dương Tú")</f>
        <v>Nguyễn Dương Tú</v>
      </c>
      <c r="J3218" s="3" t="str">
        <f ca="1">IFERROR(__xludf.DUMMYFUNCTION("""COMPUTED_VALUE"""),"0862569951")</f>
        <v>0862569951</v>
      </c>
      <c r="K3218" s="2" t="str">
        <f ca="1">IFERROR(__xludf.DUMMYFUNCTION("""COMPUTED_VALUE"""),"1736350140462")</f>
        <v>1736350140462</v>
      </c>
    </row>
    <row r="3219" spans="1:11" ht="12.45">
      <c r="A3219" s="2" t="str">
        <f ca="1">IFERROR(__xludf.DUMMYFUNCTION("""COMPUTED_VALUE"""),"1736350166652")</f>
        <v>1736350166652</v>
      </c>
      <c r="B3219" s="2"/>
      <c r="C3219" s="2" t="str">
        <v>0</v>
      </c>
      <c r="D3219" s="2"/>
      <c r="F3219" s="2" t="str">
        <v>0</v>
      </c>
      <c r="I3219" s="3" t="str">
        <f ca="1">IFERROR(__xludf.DUMMYFUNCTION("""COMPUTED_VALUE"""),"Nguyễn Thị Kim Uyên ")</f>
        <v xml:space="preserve">Nguyễn Thị Kim Uyên </v>
      </c>
      <c r="J3219" s="3" t="str">
        <f ca="1">IFERROR(__xludf.DUMMYFUNCTION("""COMPUTED_VALUE"""),"0797919609")</f>
        <v>0797919609</v>
      </c>
      <c r="K3219" s="2" t="str">
        <f ca="1">IFERROR(__xludf.DUMMYFUNCTION("""COMPUTED_VALUE"""),"1736350166652")</f>
        <v>1736350166652</v>
      </c>
    </row>
    <row r="3220" spans="1:11" ht="12.45">
      <c r="A3220" s="2" t="str">
        <f ca="1">IFERROR(__xludf.DUMMYFUNCTION("""COMPUTED_VALUE"""),"1736350191298")</f>
        <v>1736350191298</v>
      </c>
      <c r="B3220" s="2"/>
      <c r="C3220" s="2" t="str">
        <v>0</v>
      </c>
      <c r="D3220" s="2"/>
      <c r="F3220" s="2" t="str">
        <v>0</v>
      </c>
      <c r="I3220" s="3" t="str">
        <f ca="1">IFERROR(__xludf.DUMMYFUNCTION("""COMPUTED_VALUE"""),"Bùi Thị Thanh Tuyến")</f>
        <v>Bùi Thị Thanh Tuyến</v>
      </c>
      <c r="J3220" s="3" t="str">
        <f ca="1">IFERROR(__xludf.DUMMYFUNCTION("""COMPUTED_VALUE"""),"0862582276")</f>
        <v>0862582276</v>
      </c>
      <c r="K3220" s="2" t="str">
        <f ca="1">IFERROR(__xludf.DUMMYFUNCTION("""COMPUTED_VALUE"""),"1736350191298")</f>
        <v>1736350191298</v>
      </c>
    </row>
    <row r="3221" spans="1:11" ht="12.45">
      <c r="A3221" s="2" t="str">
        <f ca="1">IFERROR(__xludf.DUMMYFUNCTION("""COMPUTED_VALUE"""),"1736350220053")</f>
        <v>1736350220053</v>
      </c>
      <c r="B3221" s="2"/>
      <c r="C3221" s="2" t="str">
        <v>0</v>
      </c>
      <c r="D3221" s="2"/>
      <c r="F3221" s="2" t="str">
        <v>0</v>
      </c>
      <c r="I3221" s="3" t="str">
        <f ca="1">IFERROR(__xludf.DUMMYFUNCTION("""COMPUTED_VALUE"""),"Nguyễn Mẫn Nhi")</f>
        <v>Nguyễn Mẫn Nhi</v>
      </c>
      <c r="J3221" s="3" t="str">
        <f ca="1">IFERROR(__xludf.DUMMYFUNCTION("""COMPUTED_VALUE"""),"0358677791")</f>
        <v>0358677791</v>
      </c>
      <c r="K3221" s="2" t="str">
        <f ca="1">IFERROR(__xludf.DUMMYFUNCTION("""COMPUTED_VALUE"""),"1736350220053")</f>
        <v>1736350220053</v>
      </c>
    </row>
    <row r="3222" spans="1:11" ht="12.45">
      <c r="A3222" s="2" t="str">
        <f ca="1">IFERROR(__xludf.DUMMYFUNCTION("""COMPUTED_VALUE"""),"1736350251325")</f>
        <v>1736350251325</v>
      </c>
      <c r="B3222" s="2"/>
      <c r="C3222" s="2" t="str">
        <v>0</v>
      </c>
      <c r="D3222" s="2"/>
      <c r="F3222" s="2" t="str">
        <v>0</v>
      </c>
      <c r="I3222" s="3" t="str">
        <f ca="1">IFERROR(__xludf.DUMMYFUNCTION("""COMPUTED_VALUE"""),"Chu Thị Hằng Nga")</f>
        <v>Chu Thị Hằng Nga</v>
      </c>
      <c r="J3222" s="3" t="str">
        <f ca="1">IFERROR(__xludf.DUMMYFUNCTION("""COMPUTED_VALUE"""),"0869630765")</f>
        <v>0869630765</v>
      </c>
      <c r="K3222" s="2" t="str">
        <f ca="1">IFERROR(__xludf.DUMMYFUNCTION("""COMPUTED_VALUE"""),"1736350251325")</f>
        <v>1736350251325</v>
      </c>
    </row>
    <row r="3223" spans="1:11" ht="12.45">
      <c r="A3223" s="2" t="str">
        <f ca="1">IFERROR(__xludf.DUMMYFUNCTION("""COMPUTED_VALUE"""),"1736350278921")</f>
        <v>1736350278921</v>
      </c>
      <c r="B3223" s="2"/>
      <c r="C3223" s="2" t="str">
        <v>0</v>
      </c>
      <c r="D3223" s="2"/>
      <c r="F3223" s="2" t="str">
        <v>0</v>
      </c>
      <c r="I3223" s="3" t="str">
        <f ca="1">IFERROR(__xludf.DUMMYFUNCTION("""COMPUTED_VALUE"""),"Nguyễn Việt Chiến")</f>
        <v>Nguyễn Việt Chiến</v>
      </c>
      <c r="J3223" s="3" t="str">
        <f ca="1">IFERROR(__xludf.DUMMYFUNCTION("""COMPUTED_VALUE"""),"0328314752")</f>
        <v>0328314752</v>
      </c>
      <c r="K3223" s="2" t="str">
        <f ca="1">IFERROR(__xludf.DUMMYFUNCTION("""COMPUTED_VALUE"""),"1736350278921")</f>
        <v>1736350278921</v>
      </c>
    </row>
    <row r="3224" spans="1:11" ht="12.45">
      <c r="A3224" s="2" t="str">
        <f ca="1">IFERROR(__xludf.DUMMYFUNCTION("""COMPUTED_VALUE"""),"1736350303216")</f>
        <v>1736350303216</v>
      </c>
      <c r="B3224" s="2"/>
      <c r="C3224" s="2" t="str">
        <v>0</v>
      </c>
      <c r="D3224" s="2"/>
      <c r="F3224" s="2" t="str">
        <v>0</v>
      </c>
      <c r="I3224" s="3" t="str">
        <f ca="1">IFERROR(__xludf.DUMMYFUNCTION("""COMPUTED_VALUE"""),"Nguyễn Thị Ngân")</f>
        <v>Nguyễn Thị Ngân</v>
      </c>
      <c r="J3224" s="3" t="str">
        <f ca="1">IFERROR(__xludf.DUMMYFUNCTION("""COMPUTED_VALUE"""),"0359166703")</f>
        <v>0359166703</v>
      </c>
      <c r="K3224" s="2" t="str">
        <f ca="1">IFERROR(__xludf.DUMMYFUNCTION("""COMPUTED_VALUE"""),"1736350303216")</f>
        <v>1736350303216</v>
      </c>
    </row>
    <row r="3225" spans="1:11" ht="12.45">
      <c r="A3225" s="2" t="str">
        <f ca="1">IFERROR(__xludf.DUMMYFUNCTION("""COMPUTED_VALUE"""),"1736350330903")</f>
        <v>1736350330903</v>
      </c>
      <c r="B3225" s="2"/>
      <c r="C3225" s="2" t="str">
        <v>0</v>
      </c>
      <c r="D3225" s="2"/>
      <c r="F3225" s="2" t="str">
        <v>0</v>
      </c>
      <c r="I3225" s="3" t="str">
        <f ca="1">IFERROR(__xludf.DUMMYFUNCTION("""COMPUTED_VALUE"""),"Nguyễn Thị Quỳnh Trang")</f>
        <v>Nguyễn Thị Quỳnh Trang</v>
      </c>
      <c r="J3225" s="3" t="str">
        <f ca="1">IFERROR(__xludf.DUMMYFUNCTION("""COMPUTED_VALUE"""),"0846171005")</f>
        <v>0846171005</v>
      </c>
      <c r="K3225" s="2" t="str">
        <f ca="1">IFERROR(__xludf.DUMMYFUNCTION("""COMPUTED_VALUE"""),"1736350330903")</f>
        <v>1736350330903</v>
      </c>
    </row>
    <row r="3226" spans="1:11" ht="12.45">
      <c r="A3226" s="2" t="str">
        <f ca="1">IFERROR(__xludf.DUMMYFUNCTION("""COMPUTED_VALUE"""),"1736350360335")</f>
        <v>1736350360335</v>
      </c>
      <c r="B3226" s="2"/>
      <c r="C3226" s="2" t="str">
        <v>0</v>
      </c>
      <c r="D3226" s="2"/>
      <c r="F3226" s="2" t="str">
        <v>0</v>
      </c>
      <c r="I3226" s="3" t="str">
        <f ca="1">IFERROR(__xludf.DUMMYFUNCTION("""COMPUTED_VALUE"""),"Nguyễn thị Hồng ngọc ")</f>
        <v xml:space="preserve">Nguyễn thị Hồng ngọc </v>
      </c>
      <c r="J3226" s="3" t="str">
        <f ca="1">IFERROR(__xludf.DUMMYFUNCTION("""COMPUTED_VALUE"""),"0828971586")</f>
        <v>0828971586</v>
      </c>
      <c r="K3226" s="2" t="str">
        <f ca="1">IFERROR(__xludf.DUMMYFUNCTION("""COMPUTED_VALUE"""),"1736350360335")</f>
        <v>1736350360335</v>
      </c>
    </row>
    <row r="3227" spans="1:11" ht="12.45">
      <c r="A3227" s="2" t="str">
        <f ca="1">IFERROR(__xludf.DUMMYFUNCTION("""COMPUTED_VALUE"""),"1736350383593")</f>
        <v>1736350383593</v>
      </c>
      <c r="B3227" s="2"/>
      <c r="C3227" s="2" t="str">
        <v>0</v>
      </c>
      <c r="D3227" s="2"/>
      <c r="F3227" s="2" t="str">
        <v>0</v>
      </c>
      <c r="I3227" s="3" t="str">
        <f ca="1">IFERROR(__xludf.DUMMYFUNCTION("""COMPUTED_VALUE"""),"Lê Phương Linh")</f>
        <v>Lê Phương Linh</v>
      </c>
      <c r="J3227" s="3" t="str">
        <f ca="1">IFERROR(__xludf.DUMMYFUNCTION("""COMPUTED_VALUE"""),"0334025856")</f>
        <v>0334025856</v>
      </c>
      <c r="K3227" s="2" t="str">
        <f ca="1">IFERROR(__xludf.DUMMYFUNCTION("""COMPUTED_VALUE"""),"1736350383593")</f>
        <v>1736350383593</v>
      </c>
    </row>
    <row r="3228" spans="1:11" ht="12.45">
      <c r="A3228" s="2" t="str">
        <f ca="1">IFERROR(__xludf.DUMMYFUNCTION("""COMPUTED_VALUE"""),"1736350404959")</f>
        <v>1736350404959</v>
      </c>
      <c r="B3228" s="2"/>
      <c r="C3228" s="2" t="str">
        <v>0</v>
      </c>
      <c r="D3228" s="2"/>
      <c r="F3228" s="2" t="str">
        <v>0</v>
      </c>
      <c r="I3228" s="3" t="str">
        <f ca="1">IFERROR(__xludf.DUMMYFUNCTION("""COMPUTED_VALUE"""),"Nguyễn Thị Thảo")</f>
        <v>Nguyễn Thị Thảo</v>
      </c>
      <c r="J3228" s="3" t="str">
        <f ca="1">IFERROR(__xludf.DUMMYFUNCTION("""COMPUTED_VALUE"""),"0372979122")</f>
        <v>0372979122</v>
      </c>
      <c r="K3228" s="2" t="str">
        <f ca="1">IFERROR(__xludf.DUMMYFUNCTION("""COMPUTED_VALUE"""),"1736350404959")</f>
        <v>1736350404959</v>
      </c>
    </row>
    <row r="3229" spans="1:11" ht="12.45">
      <c r="A3229" s="2" t="str">
        <f ca="1">IFERROR(__xludf.DUMMYFUNCTION("""COMPUTED_VALUE"""),"1736350434320")</f>
        <v>1736350434320</v>
      </c>
      <c r="B3229" s="2"/>
      <c r="C3229" s="2" t="str">
        <v>0</v>
      </c>
      <c r="D3229" s="2"/>
      <c r="F3229" s="2" t="str">
        <v>0</v>
      </c>
      <c r="I3229" s="3" t="str">
        <f ca="1">IFERROR(__xludf.DUMMYFUNCTION("""COMPUTED_VALUE"""),"Nguyễn Chí Hải Minh")</f>
        <v>Nguyễn Chí Hải Minh</v>
      </c>
      <c r="J3229" s="3" t="str">
        <f ca="1">IFERROR(__xludf.DUMMYFUNCTION("""COMPUTED_VALUE"""),"0373423108")</f>
        <v>0373423108</v>
      </c>
      <c r="K3229" s="2" t="str">
        <f ca="1">IFERROR(__xludf.DUMMYFUNCTION("""COMPUTED_VALUE"""),"1736350434320")</f>
        <v>1736350434320</v>
      </c>
    </row>
    <row r="3230" spans="1:11" ht="12.45">
      <c r="A3230" s="2" t="str">
        <f ca="1">IFERROR(__xludf.DUMMYFUNCTION("""COMPUTED_VALUE"""),"1736350465037")</f>
        <v>1736350465037</v>
      </c>
      <c r="B3230" s="2"/>
      <c r="C3230" s="2" t="str">
        <v>0</v>
      </c>
      <c r="D3230" s="2"/>
      <c r="F3230" s="2" t="str">
        <v>0</v>
      </c>
      <c r="I3230" s="3" t="str">
        <f ca="1">IFERROR(__xludf.DUMMYFUNCTION("""COMPUTED_VALUE"""),"Nguyễn Kim Ngân")</f>
        <v>Nguyễn Kim Ngân</v>
      </c>
      <c r="J3230" s="3" t="str">
        <f ca="1">IFERROR(__xludf.DUMMYFUNCTION("""COMPUTED_VALUE"""),"0943948723")</f>
        <v>0943948723</v>
      </c>
      <c r="K3230" s="2" t="str">
        <f ca="1">IFERROR(__xludf.DUMMYFUNCTION("""COMPUTED_VALUE"""),"1736350465037")</f>
        <v>1736350465037</v>
      </c>
    </row>
    <row r="3231" spans="1:11" ht="12.45">
      <c r="A3231" s="2" t="str">
        <f ca="1">IFERROR(__xludf.DUMMYFUNCTION("""COMPUTED_VALUE"""),"1736350493907")</f>
        <v>1736350493907</v>
      </c>
      <c r="B3231" s="2"/>
      <c r="C3231" s="2" t="str">
        <v>0</v>
      </c>
      <c r="D3231" s="2"/>
      <c r="F3231" s="2" t="str">
        <v>0</v>
      </c>
      <c r="I3231" s="3" t="str">
        <f ca="1">IFERROR(__xludf.DUMMYFUNCTION("""COMPUTED_VALUE"""),"Nguyễn Hoàng Diệu Trang")</f>
        <v>Nguyễn Hoàng Diệu Trang</v>
      </c>
      <c r="J3231" s="3" t="str">
        <f ca="1">IFERROR(__xludf.DUMMYFUNCTION("""COMPUTED_VALUE"""),"0879947111")</f>
        <v>0879947111</v>
      </c>
      <c r="K3231" s="2" t="str">
        <f ca="1">IFERROR(__xludf.DUMMYFUNCTION("""COMPUTED_VALUE"""),"1736350493907")</f>
        <v>1736350493907</v>
      </c>
    </row>
    <row r="3232" spans="1:11" ht="12.45">
      <c r="A3232" s="2" t="str">
        <f ca="1">IFERROR(__xludf.DUMMYFUNCTION("""COMPUTED_VALUE"""),"1736350522745")</f>
        <v>1736350522745</v>
      </c>
      <c r="B3232" s="2"/>
      <c r="C3232" s="2" t="str">
        <v>0</v>
      </c>
      <c r="D3232" s="2"/>
      <c r="F3232" s="2" t="str">
        <v>0</v>
      </c>
      <c r="I3232" s="3" t="str">
        <f ca="1">IFERROR(__xludf.DUMMYFUNCTION("""COMPUTED_VALUE"""),"Đỗ Thị Hồng Hạnh")</f>
        <v>Đỗ Thị Hồng Hạnh</v>
      </c>
      <c r="J3232" s="3" t="str">
        <f ca="1">IFERROR(__xludf.DUMMYFUNCTION("""COMPUTED_VALUE"""),"0984048799")</f>
        <v>0984048799</v>
      </c>
      <c r="K3232" s="2" t="str">
        <f ca="1">IFERROR(__xludf.DUMMYFUNCTION("""COMPUTED_VALUE"""),"1736350522745")</f>
        <v>1736350522745</v>
      </c>
    </row>
    <row r="3233" spans="1:11" ht="12.45">
      <c r="A3233" s="2" t="str">
        <f ca="1">IFERROR(__xludf.DUMMYFUNCTION("""COMPUTED_VALUE"""),"1736350549863")</f>
        <v>1736350549863</v>
      </c>
      <c r="B3233" s="2"/>
      <c r="C3233" s="2" t="str">
        <v>0</v>
      </c>
      <c r="D3233" s="2"/>
      <c r="F3233" s="2" t="str">
        <v>0</v>
      </c>
      <c r="I3233" s="3" t="str">
        <f ca="1">IFERROR(__xludf.DUMMYFUNCTION("""COMPUTED_VALUE"""),"TỐNG THU TRANG")</f>
        <v>TỐNG THU TRANG</v>
      </c>
      <c r="J3233" s="3" t="str">
        <f ca="1">IFERROR(__xludf.DUMMYFUNCTION("""COMPUTED_VALUE"""),"0365440567")</f>
        <v>0365440567</v>
      </c>
      <c r="K3233" s="2" t="str">
        <f ca="1">IFERROR(__xludf.DUMMYFUNCTION("""COMPUTED_VALUE"""),"1736350549863")</f>
        <v>1736350549863</v>
      </c>
    </row>
    <row r="3234" spans="1:11" ht="12.45">
      <c r="A3234" s="2" t="str">
        <f ca="1">IFERROR(__xludf.DUMMYFUNCTION("""COMPUTED_VALUE"""),"Không giao sách")</f>
        <v>Không giao sách</v>
      </c>
      <c r="B3234" s="2"/>
      <c r="C3234" s="2" t="str">
        <v>0</v>
      </c>
      <c r="D3234" s="2"/>
      <c r="F3234" s="2" t="str">
        <v>0</v>
      </c>
      <c r="I3234" s="3" t="str">
        <f ca="1">IFERROR(__xludf.DUMMYFUNCTION("""COMPUTED_VALUE"""),"Nguyễn Kim Ngân")</f>
        <v>Nguyễn Kim Ngân</v>
      </c>
      <c r="J3234" s="3" t="str">
        <f ca="1">IFERROR(__xludf.DUMMYFUNCTION("""COMPUTED_VALUE"""),"0943948723")</f>
        <v>0943948723</v>
      </c>
      <c r="K3234" s="2" t="str">
        <f ca="1">IFERROR(__xludf.DUMMYFUNCTION("""COMPUTED_VALUE"""),"Không giao sách")</f>
        <v>Không giao sách</v>
      </c>
    </row>
    <row r="3235" spans="1:11" ht="12.45">
      <c r="A3235" s="2" t="str">
        <f ca="1">IFERROR(__xludf.DUMMYFUNCTION("""COMPUTED_VALUE"""),"1736350576385")</f>
        <v>1736350576385</v>
      </c>
      <c r="B3235" s="2"/>
      <c r="C3235" s="2" t="str">
        <v>0</v>
      </c>
      <c r="D3235" s="2"/>
      <c r="F3235" s="2" t="str">
        <v>0</v>
      </c>
      <c r="I3235" s="3" t="str">
        <f ca="1">IFERROR(__xludf.DUMMYFUNCTION("""COMPUTED_VALUE"""),"Võ gia hân")</f>
        <v>Võ gia hân</v>
      </c>
      <c r="J3235" s="3" t="str">
        <f ca="1">IFERROR(__xludf.DUMMYFUNCTION("""COMPUTED_VALUE"""),"0926335611")</f>
        <v>0926335611</v>
      </c>
      <c r="K3235" s="2" t="str">
        <f ca="1">IFERROR(__xludf.DUMMYFUNCTION("""COMPUTED_VALUE"""),"1736350576385")</f>
        <v>1736350576385</v>
      </c>
    </row>
    <row r="3236" spans="1:11" ht="12.45">
      <c r="A3236" s="2" t="str">
        <f ca="1">IFERROR(__xludf.DUMMYFUNCTION("""COMPUTED_VALUE"""),"1736350610170")</f>
        <v>1736350610170</v>
      </c>
      <c r="B3236" s="2"/>
      <c r="C3236" s="2" t="str">
        <v>0</v>
      </c>
      <c r="D3236" s="2"/>
      <c r="F3236" s="2" t="str">
        <v>0</v>
      </c>
      <c r="I3236" s="3" t="str">
        <f ca="1">IFERROR(__xludf.DUMMYFUNCTION("""COMPUTED_VALUE"""),"Tạ Thị Thanh Thủy")</f>
        <v>Tạ Thị Thanh Thủy</v>
      </c>
      <c r="J3236" s="3" t="str">
        <f ca="1">IFERROR(__xludf.DUMMYFUNCTION("""COMPUTED_VALUE"""),"0345257658")</f>
        <v>0345257658</v>
      </c>
      <c r="K3236" s="2" t="str">
        <f ca="1">IFERROR(__xludf.DUMMYFUNCTION("""COMPUTED_VALUE"""),"1736350610170")</f>
        <v>1736350610170</v>
      </c>
    </row>
    <row r="3237" spans="1:11" ht="12.45">
      <c r="A3237" s="2" t="str">
        <f ca="1">IFERROR(__xludf.DUMMYFUNCTION("""COMPUTED_VALUE"""),"1736350634497")</f>
        <v>1736350634497</v>
      </c>
      <c r="B3237" s="2"/>
      <c r="C3237" s="2" t="str">
        <v>0</v>
      </c>
      <c r="D3237" s="2"/>
      <c r="F3237" s="2" t="str">
        <v>0</v>
      </c>
      <c r="I3237" s="3" t="str">
        <f ca="1">IFERROR(__xludf.DUMMYFUNCTION("""COMPUTED_VALUE"""),"Nguyễn Thị Huyền Trang")</f>
        <v>Nguyễn Thị Huyền Trang</v>
      </c>
      <c r="J3237" s="3" t="str">
        <f ca="1">IFERROR(__xludf.DUMMYFUNCTION("""COMPUTED_VALUE"""),"0365557675")</f>
        <v>0365557675</v>
      </c>
      <c r="K3237" s="2" t="str">
        <f ca="1">IFERROR(__xludf.DUMMYFUNCTION("""COMPUTED_VALUE"""),"1736350634497")</f>
        <v>1736350634497</v>
      </c>
    </row>
    <row r="3238" spans="1:11" ht="12.45">
      <c r="A3238" s="2" t="str">
        <f ca="1">IFERROR(__xludf.DUMMYFUNCTION("""COMPUTED_VALUE"""),"1736350658157")</f>
        <v>1736350658157</v>
      </c>
      <c r="B3238" s="2"/>
      <c r="C3238" s="2" t="str">
        <v>0</v>
      </c>
      <c r="D3238" s="2"/>
      <c r="F3238" s="2" t="str">
        <v>0</v>
      </c>
      <c r="I3238" s="3" t="str">
        <f ca="1">IFERROR(__xludf.DUMMYFUNCTION("""COMPUTED_VALUE"""),"Nguyễn Vi Hiền Ngọc")</f>
        <v>Nguyễn Vi Hiền Ngọc</v>
      </c>
      <c r="J3238" s="3" t="str">
        <f ca="1">IFERROR(__xludf.DUMMYFUNCTION("""COMPUTED_VALUE"""),"0866864525")</f>
        <v>0866864525</v>
      </c>
      <c r="K3238" s="2" t="str">
        <f ca="1">IFERROR(__xludf.DUMMYFUNCTION("""COMPUTED_VALUE"""),"1736350658157")</f>
        <v>1736350658157</v>
      </c>
    </row>
    <row r="3239" spans="1:11" ht="12.45">
      <c r="A3239" s="2" t="str">
        <f ca="1">IFERROR(__xludf.DUMMYFUNCTION("""COMPUTED_VALUE"""),"1736350687353")</f>
        <v>1736350687353</v>
      </c>
      <c r="B3239" s="2"/>
      <c r="C3239" s="2" t="str">
        <v>0</v>
      </c>
      <c r="D3239" s="2"/>
      <c r="F3239" s="2" t="str">
        <v>0</v>
      </c>
      <c r="I3239" s="3" t="str">
        <f ca="1">IFERROR(__xludf.DUMMYFUNCTION("""COMPUTED_VALUE"""),"Trần Ngọc Hà")</f>
        <v>Trần Ngọc Hà</v>
      </c>
      <c r="J3239" s="3" t="str">
        <f ca="1">IFERROR(__xludf.DUMMYFUNCTION("""COMPUTED_VALUE"""),"0379148302")</f>
        <v>0379148302</v>
      </c>
      <c r="K3239" s="2" t="str">
        <f ca="1">IFERROR(__xludf.DUMMYFUNCTION("""COMPUTED_VALUE"""),"1736350687353")</f>
        <v>1736350687353</v>
      </c>
    </row>
    <row r="3240" spans="1:11" ht="12.45">
      <c r="A3240" s="2" t="str">
        <f ca="1">IFERROR(__xludf.DUMMYFUNCTION("""COMPUTED_VALUE"""),"1736350715036")</f>
        <v>1736350715036</v>
      </c>
      <c r="B3240" s="2"/>
      <c r="C3240" s="2" t="str">
        <v>0</v>
      </c>
      <c r="D3240" s="2"/>
      <c r="F3240" s="2" t="str">
        <v>0</v>
      </c>
      <c r="I3240" s="3" t="str">
        <f ca="1">IFERROR(__xludf.DUMMYFUNCTION("""COMPUTED_VALUE"""),"Đỗ Vân Anh")</f>
        <v>Đỗ Vân Anh</v>
      </c>
      <c r="J3240" s="3" t="str">
        <f ca="1">IFERROR(__xludf.DUMMYFUNCTION("""COMPUTED_VALUE"""),"0333847681")</f>
        <v>0333847681</v>
      </c>
      <c r="K3240" s="2" t="str">
        <f ca="1">IFERROR(__xludf.DUMMYFUNCTION("""COMPUTED_VALUE"""),"1736350715036")</f>
        <v>1736350715036</v>
      </c>
    </row>
    <row r="3241" spans="1:11" ht="12.45">
      <c r="A3241" s="2" t="str">
        <f ca="1">IFERROR(__xludf.DUMMYFUNCTION("""COMPUTED_VALUE"""),"1736350739215")</f>
        <v>1736350739215</v>
      </c>
      <c r="B3241" s="2"/>
      <c r="C3241" s="2" t="str">
        <v>0</v>
      </c>
      <c r="D3241" s="2"/>
      <c r="F3241" s="2" t="str">
        <v>0</v>
      </c>
      <c r="I3241" s="3" t="str">
        <f ca="1">IFERROR(__xludf.DUMMYFUNCTION("""COMPUTED_VALUE"""),"Nguyễn Thuý Hiền")</f>
        <v>Nguyễn Thuý Hiền</v>
      </c>
      <c r="J3241" s="3" t="str">
        <f ca="1">IFERROR(__xludf.DUMMYFUNCTION("""COMPUTED_VALUE"""),"0395734858")</f>
        <v>0395734858</v>
      </c>
      <c r="K3241" s="2" t="str">
        <f ca="1">IFERROR(__xludf.DUMMYFUNCTION("""COMPUTED_VALUE"""),"1736350739215")</f>
        <v>1736350739215</v>
      </c>
    </row>
    <row r="3242" spans="1:11" ht="12.45">
      <c r="A3242" s="2" t="str">
        <f ca="1">IFERROR(__xludf.DUMMYFUNCTION("""COMPUTED_VALUE"""),"1736350763551")</f>
        <v>1736350763551</v>
      </c>
      <c r="B3242" s="2"/>
      <c r="C3242" s="2" t="str">
        <v>0</v>
      </c>
      <c r="D3242" s="2"/>
      <c r="F3242" s="2" t="str">
        <v>0</v>
      </c>
      <c r="I3242" s="3" t="str">
        <f ca="1">IFERROR(__xludf.DUMMYFUNCTION("""COMPUTED_VALUE"""),"Nguyễn Phương Hoa")</f>
        <v>Nguyễn Phương Hoa</v>
      </c>
      <c r="J3242" s="3" t="str">
        <f ca="1">IFERROR(__xludf.DUMMYFUNCTION("""COMPUTED_VALUE"""),"0399579291")</f>
        <v>0399579291</v>
      </c>
      <c r="K3242" s="2" t="str">
        <f ca="1">IFERROR(__xludf.DUMMYFUNCTION("""COMPUTED_VALUE"""),"1736350763551")</f>
        <v>1736350763551</v>
      </c>
    </row>
    <row r="3243" spans="1:11" ht="12.45">
      <c r="A3243" s="2" t="str">
        <f ca="1">IFERROR(__xludf.DUMMYFUNCTION("""COMPUTED_VALUE"""),"1736350790859")</f>
        <v>1736350790859</v>
      </c>
      <c r="B3243" s="2"/>
      <c r="C3243" s="2" t="str">
        <v>0</v>
      </c>
      <c r="D3243" s="2"/>
      <c r="F3243" s="2" t="str">
        <v>0</v>
      </c>
      <c r="I3243" s="3" t="str">
        <f ca="1">IFERROR(__xludf.DUMMYFUNCTION("""COMPUTED_VALUE"""),"Nguyễn Phương Ngân ")</f>
        <v xml:space="preserve">Nguyễn Phương Ngân </v>
      </c>
      <c r="J3243" s="3" t="str">
        <f ca="1">IFERROR(__xludf.DUMMYFUNCTION("""COMPUTED_VALUE"""),"0989514596")</f>
        <v>0989514596</v>
      </c>
      <c r="K3243" s="2" t="str">
        <f ca="1">IFERROR(__xludf.DUMMYFUNCTION("""COMPUTED_VALUE"""),"1736350790859")</f>
        <v>1736350790859</v>
      </c>
    </row>
    <row r="3244" spans="1:11" ht="12.45">
      <c r="A3244" s="2" t="str">
        <f ca="1">IFERROR(__xludf.DUMMYFUNCTION("""COMPUTED_VALUE"""),"1736350818006")</f>
        <v>1736350818006</v>
      </c>
      <c r="B3244" s="2"/>
      <c r="C3244" s="2" t="str">
        <v>0</v>
      </c>
      <c r="D3244" s="2"/>
      <c r="F3244" s="2" t="str">
        <v>0</v>
      </c>
      <c r="I3244" s="3" t="str">
        <f ca="1">IFERROR(__xludf.DUMMYFUNCTION("""COMPUTED_VALUE"""),"Phan Yến Anh")</f>
        <v>Phan Yến Anh</v>
      </c>
      <c r="J3244" s="3" t="str">
        <f ca="1">IFERROR(__xludf.DUMMYFUNCTION("""COMPUTED_VALUE"""),"0703239895")</f>
        <v>0703239895</v>
      </c>
      <c r="K3244" s="2" t="str">
        <f ca="1">IFERROR(__xludf.DUMMYFUNCTION("""COMPUTED_VALUE"""),"1736350818006")</f>
        <v>1736350818006</v>
      </c>
    </row>
    <row r="3245" spans="1:11" ht="12.45">
      <c r="A3245" s="2" t="str">
        <f ca="1">IFERROR(__xludf.DUMMYFUNCTION("""COMPUTED_VALUE"""),"1736350855937")</f>
        <v>1736350855937</v>
      </c>
      <c r="B3245" s="2"/>
      <c r="C3245" s="2" t="str">
        <v>0</v>
      </c>
      <c r="D3245" s="2"/>
      <c r="F3245" s="2" t="str">
        <v>0</v>
      </c>
      <c r="I3245" s="3" t="str">
        <f ca="1">IFERROR(__xludf.DUMMYFUNCTION("""COMPUTED_VALUE"""),"Trần Trình Yến Ly")</f>
        <v>Trần Trình Yến Ly</v>
      </c>
      <c r="J3245" s="3" t="str">
        <f ca="1">IFERROR(__xludf.DUMMYFUNCTION("""COMPUTED_VALUE"""),"0383581403")</f>
        <v>0383581403</v>
      </c>
      <c r="K3245" s="2" t="str">
        <f ca="1">IFERROR(__xludf.DUMMYFUNCTION("""COMPUTED_VALUE"""),"1736350855937")</f>
        <v>1736350855937</v>
      </c>
    </row>
    <row r="3246" spans="1:11" ht="12.45">
      <c r="A3246" s="2" t="str">
        <f ca="1">IFERROR(__xludf.DUMMYFUNCTION("""COMPUTED_VALUE"""),"1736350885936")</f>
        <v>1736350885936</v>
      </c>
      <c r="B3246" s="2"/>
      <c r="C3246" s="2" t="str">
        <v>0</v>
      </c>
      <c r="D3246" s="2"/>
      <c r="F3246" s="2" t="str">
        <v>0</v>
      </c>
      <c r="I3246" s="3" t="str">
        <f ca="1">IFERROR(__xludf.DUMMYFUNCTION("""COMPUTED_VALUE"""),"Nguyễn Thị Hương")</f>
        <v>Nguyễn Thị Hương</v>
      </c>
      <c r="J3246" s="3" t="str">
        <f ca="1">IFERROR(__xludf.DUMMYFUNCTION("""COMPUTED_VALUE"""),"0394857840")</f>
        <v>0394857840</v>
      </c>
      <c r="K3246" s="2" t="str">
        <f ca="1">IFERROR(__xludf.DUMMYFUNCTION("""COMPUTED_VALUE"""),"1736350885936")</f>
        <v>1736350885936</v>
      </c>
    </row>
    <row r="3247" spans="1:11" ht="12.45">
      <c r="A3247" s="2" t="str">
        <f ca="1">IFERROR(__xludf.DUMMYFUNCTION("""COMPUTED_VALUE"""),"1736350926517")</f>
        <v>1736350926517</v>
      </c>
      <c r="B3247" s="2"/>
      <c r="C3247" s="2" t="str">
        <v>0</v>
      </c>
      <c r="D3247" s="2"/>
      <c r="F3247" s="2" t="str">
        <v>0</v>
      </c>
      <c r="I3247" s="3" t="str">
        <f ca="1">IFERROR(__xludf.DUMMYFUNCTION("""COMPUTED_VALUE"""),"Nguyễn Hương Giang")</f>
        <v>Nguyễn Hương Giang</v>
      </c>
      <c r="J3247" s="3" t="str">
        <f ca="1">IFERROR(__xludf.DUMMYFUNCTION("""COMPUTED_VALUE"""),"0812922007")</f>
        <v>0812922007</v>
      </c>
      <c r="K3247" s="2" t="str">
        <f ca="1">IFERROR(__xludf.DUMMYFUNCTION("""COMPUTED_VALUE"""),"1736350926517")</f>
        <v>1736350926517</v>
      </c>
    </row>
    <row r="3248" spans="1:11" ht="12.45">
      <c r="A3248" s="2" t="str">
        <f ca="1">IFERROR(__xludf.DUMMYFUNCTION("""COMPUTED_VALUE"""),"1736350958045")</f>
        <v>1736350958045</v>
      </c>
      <c r="B3248" s="2"/>
      <c r="C3248" s="2" t="str">
        <v>0</v>
      </c>
      <c r="D3248" s="2"/>
      <c r="F3248" s="2" t="str">
        <v>0</v>
      </c>
      <c r="I3248" s="3" t="str">
        <f ca="1">IFERROR(__xludf.DUMMYFUNCTION("""COMPUTED_VALUE"""),"Đồng thị lan Phương")</f>
        <v>Đồng thị lan Phương</v>
      </c>
      <c r="J3248" s="3" t="str">
        <f ca="1">IFERROR(__xludf.DUMMYFUNCTION("""COMPUTED_VALUE"""),"0396394099")</f>
        <v>0396394099</v>
      </c>
      <c r="K3248" s="2" t="str">
        <f ca="1">IFERROR(__xludf.DUMMYFUNCTION("""COMPUTED_VALUE"""),"1736350958045")</f>
        <v>1736350958045</v>
      </c>
    </row>
    <row r="3249" spans="1:11" ht="12.45">
      <c r="A3249" s="2" t="str">
        <f ca="1">IFERROR(__xludf.DUMMYFUNCTION("""COMPUTED_VALUE"""),"1736350988139")</f>
        <v>1736350988139</v>
      </c>
      <c r="B3249" s="2"/>
      <c r="C3249" s="2" t="str">
        <v>0</v>
      </c>
      <c r="D3249" s="2"/>
      <c r="F3249" s="2" t="str">
        <v>0</v>
      </c>
      <c r="I3249" s="3" t="str">
        <f ca="1">IFERROR(__xludf.DUMMYFUNCTION("""COMPUTED_VALUE"""),"Nguyễn Trần Bảo Như ")</f>
        <v xml:space="preserve">Nguyễn Trần Bảo Như </v>
      </c>
      <c r="J3249" s="3" t="str">
        <f ca="1">IFERROR(__xludf.DUMMYFUNCTION("""COMPUTED_VALUE"""),"0911882389")</f>
        <v>0911882389</v>
      </c>
      <c r="K3249" s="2" t="str">
        <f ca="1">IFERROR(__xludf.DUMMYFUNCTION("""COMPUTED_VALUE"""),"1736350988139")</f>
        <v>1736350988139</v>
      </c>
    </row>
    <row r="3250" spans="1:11" ht="12.45">
      <c r="A3250" s="2" t="str">
        <f ca="1">IFERROR(__xludf.DUMMYFUNCTION("""COMPUTED_VALUE"""),"1736351020195")</f>
        <v>1736351020195</v>
      </c>
      <c r="B3250" s="2"/>
      <c r="C3250" s="2" t="str">
        <v>0</v>
      </c>
      <c r="D3250" s="2"/>
      <c r="F3250" s="2" t="str">
        <v>0</v>
      </c>
      <c r="I3250" s="3" t="str">
        <f ca="1">IFERROR(__xludf.DUMMYFUNCTION("""COMPUTED_VALUE"""),"Nguyễn Ngọc Yến Nhi")</f>
        <v>Nguyễn Ngọc Yến Nhi</v>
      </c>
      <c r="J3250" s="3" t="str">
        <f ca="1">IFERROR(__xludf.DUMMYFUNCTION("""COMPUTED_VALUE"""),"0968981606")</f>
        <v>0968981606</v>
      </c>
      <c r="K3250" s="2" t="str">
        <f ca="1">IFERROR(__xludf.DUMMYFUNCTION("""COMPUTED_VALUE"""),"1736351020195")</f>
        <v>1736351020195</v>
      </c>
    </row>
    <row r="3251" spans="1:11" ht="12.45">
      <c r="A3251" s="2" t="str">
        <f ca="1">IFERROR(__xludf.DUMMYFUNCTION("""COMPUTED_VALUE"""),"1736351047177")</f>
        <v>1736351047177</v>
      </c>
      <c r="B3251" s="2"/>
      <c r="C3251" s="2" t="str">
        <v>0</v>
      </c>
      <c r="D3251" s="2"/>
      <c r="F3251" s="2" t="str">
        <v>0</v>
      </c>
      <c r="I3251" s="3" t="str">
        <f ca="1">IFERROR(__xludf.DUMMYFUNCTION("""COMPUTED_VALUE"""),"vũ thị thùy linh")</f>
        <v>vũ thị thùy linh</v>
      </c>
      <c r="J3251" s="3" t="str">
        <f ca="1">IFERROR(__xludf.DUMMYFUNCTION("""COMPUTED_VALUE"""),"0921389084")</f>
        <v>0921389084</v>
      </c>
      <c r="K3251" s="2" t="str">
        <f ca="1">IFERROR(__xludf.DUMMYFUNCTION("""COMPUTED_VALUE"""),"1736351047177")</f>
        <v>1736351047177</v>
      </c>
    </row>
    <row r="3252" spans="1:11" ht="12.45">
      <c r="A3252" s="2" t="str">
        <f ca="1">IFERROR(__xludf.DUMMYFUNCTION("""COMPUTED_VALUE"""),"1736351073561")</f>
        <v>1736351073561</v>
      </c>
      <c r="B3252" s="2"/>
      <c r="C3252" s="2" t="str">
        <v>0</v>
      </c>
      <c r="D3252" s="2"/>
      <c r="F3252" s="2" t="str">
        <v>0</v>
      </c>
      <c r="I3252" s="3" t="str">
        <f ca="1">IFERROR(__xludf.DUMMYFUNCTION("""COMPUTED_VALUE"""),"Đào Thị Hồng Nhung ")</f>
        <v xml:space="preserve">Đào Thị Hồng Nhung </v>
      </c>
      <c r="J3252" s="3" t="str">
        <f ca="1">IFERROR(__xludf.DUMMYFUNCTION("""COMPUTED_VALUE"""),"0356827040")</f>
        <v>0356827040</v>
      </c>
      <c r="K3252" s="2" t="str">
        <f ca="1">IFERROR(__xludf.DUMMYFUNCTION("""COMPUTED_VALUE"""),"1736351073561")</f>
        <v>1736351073561</v>
      </c>
    </row>
    <row r="3253" spans="1:11" ht="12.45">
      <c r="A3253" s="2" t="str">
        <f ca="1">IFERROR(__xludf.DUMMYFUNCTION("""COMPUTED_VALUE"""),"1736351106964")</f>
        <v>1736351106964</v>
      </c>
      <c r="B3253" s="2"/>
      <c r="C3253" s="2" t="str">
        <v>0</v>
      </c>
      <c r="D3253" s="2"/>
      <c r="F3253" s="2" t="str">
        <v>0</v>
      </c>
      <c r="I3253" s="3" t="str">
        <f ca="1">IFERROR(__xludf.DUMMYFUNCTION("""COMPUTED_VALUE"""),"Cao Gia Huy")</f>
        <v>Cao Gia Huy</v>
      </c>
      <c r="J3253" s="3" t="str">
        <f ca="1">IFERROR(__xludf.DUMMYFUNCTION("""COMPUTED_VALUE"""),"0359025700")</f>
        <v>0359025700</v>
      </c>
      <c r="K3253" s="2" t="str">
        <f ca="1">IFERROR(__xludf.DUMMYFUNCTION("""COMPUTED_VALUE"""),"1736351106964")</f>
        <v>1736351106964</v>
      </c>
    </row>
    <row r="3254" spans="1:11" ht="12.45">
      <c r="A3254" s="2" t="str">
        <f ca="1">IFERROR(__xludf.DUMMYFUNCTION("""COMPUTED_VALUE"""),"1736351134832")</f>
        <v>1736351134832</v>
      </c>
      <c r="B3254" s="2"/>
      <c r="C3254" s="2" t="str">
        <v>0</v>
      </c>
      <c r="D3254" s="2"/>
      <c r="F3254" s="2" t="str">
        <v>0</v>
      </c>
      <c r="I3254" s="3" t="str">
        <f ca="1">IFERROR(__xludf.DUMMYFUNCTION("""COMPUTED_VALUE"""),"Đinh Thị Kiều Kiên")</f>
        <v>Đinh Thị Kiều Kiên</v>
      </c>
      <c r="J3254" s="3" t="str">
        <f ca="1">IFERROR(__xludf.DUMMYFUNCTION("""COMPUTED_VALUE"""),"0898947683")</f>
        <v>0898947683</v>
      </c>
      <c r="K3254" s="2" t="str">
        <f ca="1">IFERROR(__xludf.DUMMYFUNCTION("""COMPUTED_VALUE"""),"1736351134832")</f>
        <v>1736351134832</v>
      </c>
    </row>
    <row r="3255" spans="1:11" ht="12.45">
      <c r="A3255" s="2" t="str">
        <f ca="1">IFERROR(__xludf.DUMMYFUNCTION("""COMPUTED_VALUE"""),"1736351163362")</f>
        <v>1736351163362</v>
      </c>
      <c r="B3255" s="2"/>
      <c r="C3255" s="2" t="str">
        <v>0</v>
      </c>
      <c r="D3255" s="2"/>
      <c r="F3255" s="2" t="str">
        <v>0</v>
      </c>
      <c r="I3255" s="3" t="str">
        <f ca="1">IFERROR(__xludf.DUMMYFUNCTION("""COMPUTED_VALUE"""),"Vũ Gia Hân")</f>
        <v>Vũ Gia Hân</v>
      </c>
      <c r="J3255" s="3" t="str">
        <f ca="1">IFERROR(__xludf.DUMMYFUNCTION("""COMPUTED_VALUE"""),"0346949399")</f>
        <v>0346949399</v>
      </c>
      <c r="K3255" s="2" t="str">
        <f ca="1">IFERROR(__xludf.DUMMYFUNCTION("""COMPUTED_VALUE"""),"1736351163362")</f>
        <v>1736351163362</v>
      </c>
    </row>
    <row r="3256" spans="1:11" ht="12.45">
      <c r="A3256" s="2" t="str">
        <f ca="1">IFERROR(__xludf.DUMMYFUNCTION("""COMPUTED_VALUE"""),"1736351192671")</f>
        <v>1736351192671</v>
      </c>
      <c r="B3256" s="2"/>
      <c r="C3256" s="2" t="str">
        <v>0</v>
      </c>
      <c r="D3256" s="2"/>
      <c r="F3256" s="2" t="str">
        <v>0</v>
      </c>
      <c r="I3256" s="3" t="str">
        <f ca="1">IFERROR(__xludf.DUMMYFUNCTION("""COMPUTED_VALUE"""),"Mã Ngọc Anh Tuấn")</f>
        <v>Mã Ngọc Anh Tuấn</v>
      </c>
      <c r="J3256" s="3" t="str">
        <f ca="1">IFERROR(__xludf.DUMMYFUNCTION("""COMPUTED_VALUE"""),"0835314554")</f>
        <v>0835314554</v>
      </c>
      <c r="K3256" s="2" t="str">
        <f ca="1">IFERROR(__xludf.DUMMYFUNCTION("""COMPUTED_VALUE"""),"1736351192671")</f>
        <v>1736351192671</v>
      </c>
    </row>
    <row r="3257" spans="1:11" ht="12.45">
      <c r="A3257" s="2" t="str">
        <f ca="1">IFERROR(__xludf.DUMMYFUNCTION("""COMPUTED_VALUE"""),"1736351224139")</f>
        <v>1736351224139</v>
      </c>
      <c r="B3257" s="2"/>
      <c r="C3257" s="2" t="str">
        <v>0</v>
      </c>
      <c r="D3257" s="2"/>
      <c r="F3257" s="2" t="str">
        <v>0</v>
      </c>
      <c r="I3257" s="3" t="str">
        <f ca="1">IFERROR(__xludf.DUMMYFUNCTION("""COMPUTED_VALUE"""),"Trương Lê Hằng Ny")</f>
        <v>Trương Lê Hằng Ny</v>
      </c>
      <c r="J3257" s="3" t="str">
        <f ca="1">IFERROR(__xludf.DUMMYFUNCTION("""COMPUTED_VALUE"""),"0375291842")</f>
        <v>0375291842</v>
      </c>
      <c r="K3257" s="2" t="str">
        <f ca="1">IFERROR(__xludf.DUMMYFUNCTION("""COMPUTED_VALUE"""),"1736351224139")</f>
        <v>1736351224139</v>
      </c>
    </row>
    <row r="3258" spans="1:11" ht="12.45">
      <c r="A3258" s="2" t="str">
        <f ca="1">IFERROR(__xludf.DUMMYFUNCTION("""COMPUTED_VALUE"""),"1736351251659")</f>
        <v>1736351251659</v>
      </c>
      <c r="B3258" s="2"/>
      <c r="C3258" s="2" t="str">
        <v>0</v>
      </c>
      <c r="D3258" s="2"/>
      <c r="F3258" s="2" t="str">
        <v>0</v>
      </c>
      <c r="I3258" s="3" t="str">
        <f ca="1">IFERROR(__xludf.DUMMYFUNCTION("""COMPUTED_VALUE"""),"Nguyễn Khánh Linh ")</f>
        <v xml:space="preserve">Nguyễn Khánh Linh </v>
      </c>
      <c r="J3258" s="3" t="str">
        <f ca="1">IFERROR(__xludf.DUMMYFUNCTION("""COMPUTED_VALUE"""),"0334527421")</f>
        <v>0334527421</v>
      </c>
      <c r="K3258" s="2" t="str">
        <f ca="1">IFERROR(__xludf.DUMMYFUNCTION("""COMPUTED_VALUE"""),"1736351251659")</f>
        <v>1736351251659</v>
      </c>
    </row>
    <row r="3259" spans="1:11" ht="12.45">
      <c r="A3259" s="2" t="str">
        <f ca="1">IFERROR(__xludf.DUMMYFUNCTION("""COMPUTED_VALUE"""),"1736351275111")</f>
        <v>1736351275111</v>
      </c>
      <c r="B3259" s="2"/>
      <c r="C3259" s="2" t="str">
        <v>0</v>
      </c>
      <c r="D3259" s="2"/>
      <c r="F3259" s="2" t="str">
        <v>0</v>
      </c>
      <c r="I3259" s="3" t="str">
        <f ca="1">IFERROR(__xludf.DUMMYFUNCTION("""COMPUTED_VALUE"""),"Cao Vũ Trà My")</f>
        <v>Cao Vũ Trà My</v>
      </c>
      <c r="J3259" s="3" t="str">
        <f ca="1">IFERROR(__xludf.DUMMYFUNCTION("""COMPUTED_VALUE"""),"0975043196")</f>
        <v>0975043196</v>
      </c>
      <c r="K3259" s="2" t="str">
        <f ca="1">IFERROR(__xludf.DUMMYFUNCTION("""COMPUTED_VALUE"""),"1736351275111")</f>
        <v>1736351275111</v>
      </c>
    </row>
    <row r="3260" spans="1:11" ht="12.45">
      <c r="A3260" s="2" t="str">
        <f ca="1">IFERROR(__xludf.DUMMYFUNCTION("""COMPUTED_VALUE"""),"1736351308174")</f>
        <v>1736351308174</v>
      </c>
      <c r="B3260" s="2"/>
      <c r="C3260" s="2" t="str">
        <v>0</v>
      </c>
      <c r="D3260" s="2"/>
      <c r="F3260" s="2" t="str">
        <v>0</v>
      </c>
      <c r="I3260" s="3" t="str">
        <f ca="1">IFERROR(__xludf.DUMMYFUNCTION("""COMPUTED_VALUE"""),"Nguyễn Hoàng Thuỳ Linh ")</f>
        <v xml:space="preserve">Nguyễn Hoàng Thuỳ Linh </v>
      </c>
      <c r="J3260" s="3" t="str">
        <f ca="1">IFERROR(__xludf.DUMMYFUNCTION("""COMPUTED_VALUE"""),"0988617910")</f>
        <v>0988617910</v>
      </c>
      <c r="K3260" s="2" t="str">
        <f ca="1">IFERROR(__xludf.DUMMYFUNCTION("""COMPUTED_VALUE"""),"1736351308174")</f>
        <v>1736351308174</v>
      </c>
    </row>
    <row r="3261" spans="1:11" ht="12.45">
      <c r="A3261" s="2" t="str">
        <f ca="1">IFERROR(__xludf.DUMMYFUNCTION("""COMPUTED_VALUE"""),"1736351341960")</f>
        <v>1736351341960</v>
      </c>
      <c r="B3261" s="2"/>
      <c r="C3261" s="2" t="str">
        <v>0</v>
      </c>
      <c r="D3261" s="2"/>
      <c r="F3261" s="2" t="str">
        <v>0</v>
      </c>
      <c r="I3261" s="3" t="str">
        <f ca="1">IFERROR(__xludf.DUMMYFUNCTION("""COMPUTED_VALUE"""),"Đinh Thu Hân ")</f>
        <v xml:space="preserve">Đinh Thu Hân </v>
      </c>
      <c r="J3261" s="3" t="str">
        <f ca="1">IFERROR(__xludf.DUMMYFUNCTION("""COMPUTED_VALUE"""),"0346008799")</f>
        <v>0346008799</v>
      </c>
      <c r="K3261" s="2" t="str">
        <f ca="1">IFERROR(__xludf.DUMMYFUNCTION("""COMPUTED_VALUE"""),"1736351341960")</f>
        <v>1736351341960</v>
      </c>
    </row>
    <row r="3262" spans="1:11" ht="12.45">
      <c r="A3262" s="2" t="str">
        <f ca="1">IFERROR(__xludf.DUMMYFUNCTION("""COMPUTED_VALUE"""),"1736351366231")</f>
        <v>1736351366231</v>
      </c>
      <c r="B3262" s="2"/>
      <c r="C3262" s="2" t="str">
        <v>0</v>
      </c>
      <c r="D3262" s="2"/>
      <c r="F3262" s="2" t="str">
        <v>0</v>
      </c>
      <c r="I3262" s="3" t="str">
        <f ca="1">IFERROR(__xludf.DUMMYFUNCTION("""COMPUTED_VALUE"""),"Phan Ngọc Hân")</f>
        <v>Phan Ngọc Hân</v>
      </c>
      <c r="J3262" s="3" t="str">
        <f ca="1">IFERROR(__xludf.DUMMYFUNCTION("""COMPUTED_VALUE"""),"0945143827")</f>
        <v>0945143827</v>
      </c>
      <c r="K3262" s="2" t="str">
        <f ca="1">IFERROR(__xludf.DUMMYFUNCTION("""COMPUTED_VALUE"""),"1736351366231")</f>
        <v>1736351366231</v>
      </c>
    </row>
    <row r="3263" spans="1:11" ht="12.45">
      <c r="A3263" s="2" t="str">
        <f ca="1">IFERROR(__xludf.DUMMYFUNCTION("""COMPUTED_VALUE"""),"1736351392758")</f>
        <v>1736351392758</v>
      </c>
      <c r="B3263" s="2"/>
      <c r="C3263" s="2" t="str">
        <v>0</v>
      </c>
      <c r="D3263" s="2"/>
      <c r="F3263" s="2" t="str">
        <v>0</v>
      </c>
      <c r="I3263" s="3" t="str">
        <f ca="1">IFERROR(__xludf.DUMMYFUNCTION("""COMPUTED_VALUE"""),"Hoàng Mai Trân")</f>
        <v>Hoàng Mai Trân</v>
      </c>
      <c r="J3263" s="3" t="str">
        <f ca="1">IFERROR(__xludf.DUMMYFUNCTION("""COMPUTED_VALUE"""),"0849545779")</f>
        <v>0849545779</v>
      </c>
      <c r="K3263" s="2" t="str">
        <f ca="1">IFERROR(__xludf.DUMMYFUNCTION("""COMPUTED_VALUE"""),"1736351392758")</f>
        <v>1736351392758</v>
      </c>
    </row>
    <row r="3264" spans="1:11" ht="12.45">
      <c r="A3264" s="2" t="str">
        <f ca="1">IFERROR(__xludf.DUMMYFUNCTION("""COMPUTED_VALUE"""),"1736351419399")</f>
        <v>1736351419399</v>
      </c>
      <c r="B3264" s="2"/>
      <c r="C3264" s="2" t="str">
        <v>0</v>
      </c>
      <c r="D3264" s="2"/>
      <c r="F3264" s="2" t="str">
        <v>0</v>
      </c>
      <c r="I3264" s="3" t="str">
        <f ca="1">IFERROR(__xludf.DUMMYFUNCTION("""COMPUTED_VALUE"""),"Nguyễn Phong Đạt")</f>
        <v>Nguyễn Phong Đạt</v>
      </c>
      <c r="J3264" s="3" t="str">
        <f ca="1">IFERROR(__xludf.DUMMYFUNCTION("""COMPUTED_VALUE"""),"0706563719")</f>
        <v>0706563719</v>
      </c>
      <c r="K3264" s="2" t="str">
        <f ca="1">IFERROR(__xludf.DUMMYFUNCTION("""COMPUTED_VALUE"""),"1736351419399")</f>
        <v>1736351419399</v>
      </c>
    </row>
    <row r="3265" spans="1:11" ht="12.45">
      <c r="A3265" s="2" t="str">
        <f ca="1">IFERROR(__xludf.DUMMYFUNCTION("""COMPUTED_VALUE"""),"1736351446724")</f>
        <v>1736351446724</v>
      </c>
      <c r="B3265" s="2"/>
      <c r="C3265" s="2" t="str">
        <v>0</v>
      </c>
      <c r="D3265" s="2"/>
      <c r="F3265" s="2" t="str">
        <v>0</v>
      </c>
      <c r="I3265" s="3" t="str">
        <f ca="1">IFERROR(__xludf.DUMMYFUNCTION("""COMPUTED_VALUE"""),"Trần Ngọc Vân Anh ")</f>
        <v xml:space="preserve">Trần Ngọc Vân Anh </v>
      </c>
      <c r="J3265" s="3" t="str">
        <f ca="1">IFERROR(__xludf.DUMMYFUNCTION("""COMPUTED_VALUE"""),"0762941590")</f>
        <v>0762941590</v>
      </c>
      <c r="K3265" s="2" t="str">
        <f ca="1">IFERROR(__xludf.DUMMYFUNCTION("""COMPUTED_VALUE"""),"1736351446724")</f>
        <v>1736351446724</v>
      </c>
    </row>
    <row r="3266" spans="1:11" ht="12.45">
      <c r="A3266" s="2" t="str">
        <f ca="1">IFERROR(__xludf.DUMMYFUNCTION("""COMPUTED_VALUE"""),"1736351473786")</f>
        <v>1736351473786</v>
      </c>
      <c r="B3266" s="2"/>
      <c r="C3266" s="2" t="str">
        <v>0</v>
      </c>
      <c r="D3266" s="2"/>
      <c r="F3266" s="2" t="str">
        <v>0</v>
      </c>
      <c r="I3266" s="3" t="str">
        <f ca="1">IFERROR(__xludf.DUMMYFUNCTION("""COMPUTED_VALUE"""),"Nguyễn Kim Ngân")</f>
        <v>Nguyễn Kim Ngân</v>
      </c>
      <c r="J3266" s="3" t="str">
        <f ca="1">IFERROR(__xludf.DUMMYFUNCTION("""COMPUTED_VALUE"""),"0352225100")</f>
        <v>0352225100</v>
      </c>
      <c r="K3266" s="2" t="str">
        <f ca="1">IFERROR(__xludf.DUMMYFUNCTION("""COMPUTED_VALUE"""),"1736351473786")</f>
        <v>1736351473786</v>
      </c>
    </row>
    <row r="3267" spans="1:11" ht="12.45">
      <c r="A3267" s="2" t="str">
        <f ca="1">IFERROR(__xludf.DUMMYFUNCTION("""COMPUTED_VALUE"""),"1736351500356")</f>
        <v>1736351500356</v>
      </c>
      <c r="B3267" s="2"/>
      <c r="C3267" s="2" t="str">
        <v>0</v>
      </c>
      <c r="D3267" s="2"/>
      <c r="F3267" s="2" t="str">
        <v>0</v>
      </c>
      <c r="I3267" s="3" t="str">
        <f ca="1">IFERROR(__xludf.DUMMYFUNCTION("""COMPUTED_VALUE"""),"Nguyễn Trần Hoàng Nhi ")</f>
        <v xml:space="preserve">Nguyễn Trần Hoàng Nhi </v>
      </c>
      <c r="J3267" s="3" t="str">
        <f ca="1">IFERROR(__xludf.DUMMYFUNCTION("""COMPUTED_VALUE"""),"0777169578")</f>
        <v>0777169578</v>
      </c>
      <c r="K3267" s="2" t="str">
        <f ca="1">IFERROR(__xludf.DUMMYFUNCTION("""COMPUTED_VALUE"""),"1736351500356")</f>
        <v>1736351500356</v>
      </c>
    </row>
    <row r="3268" spans="1:11" ht="12.45">
      <c r="A3268" s="2" t="str">
        <f ca="1">IFERROR(__xludf.DUMMYFUNCTION("""COMPUTED_VALUE"""),"1736351540860")</f>
        <v>1736351540860</v>
      </c>
      <c r="B3268" s="2"/>
      <c r="C3268" s="2" t="str">
        <v>0</v>
      </c>
      <c r="D3268" s="2"/>
      <c r="F3268" s="2" t="str">
        <v>0</v>
      </c>
      <c r="I3268" s="3" t="str">
        <f ca="1">IFERROR(__xludf.DUMMYFUNCTION("""COMPUTED_VALUE"""),"Cún Gia Hải My")</f>
        <v>Cún Gia Hải My</v>
      </c>
      <c r="J3268" s="3" t="str">
        <f ca="1">IFERROR(__xludf.DUMMYFUNCTION("""COMPUTED_VALUE"""),"0963502832")</f>
        <v>0963502832</v>
      </c>
      <c r="K3268" s="2" t="str">
        <f ca="1">IFERROR(__xludf.DUMMYFUNCTION("""COMPUTED_VALUE"""),"1736351540860")</f>
        <v>1736351540860</v>
      </c>
    </row>
    <row r="3269" spans="1:11" ht="12.45">
      <c r="A3269" s="2" t="str">
        <f ca="1">IFERROR(__xludf.DUMMYFUNCTION("""COMPUTED_VALUE"""),"1736351569081")</f>
        <v>1736351569081</v>
      </c>
      <c r="B3269" s="2"/>
      <c r="C3269" s="2" t="str">
        <v>0</v>
      </c>
      <c r="D3269" s="2"/>
      <c r="F3269" s="2" t="str">
        <v>0</v>
      </c>
      <c r="I3269" s="3" t="str">
        <f ca="1">IFERROR(__xludf.DUMMYFUNCTION("""COMPUTED_VALUE"""),"Nguyễn Hải Yến")</f>
        <v>Nguyễn Hải Yến</v>
      </c>
      <c r="J3269" s="3" t="str">
        <f ca="1">IFERROR(__xludf.DUMMYFUNCTION("""COMPUTED_VALUE"""),"0924727836")</f>
        <v>0924727836</v>
      </c>
      <c r="K3269" s="2" t="str">
        <f ca="1">IFERROR(__xludf.DUMMYFUNCTION("""COMPUTED_VALUE"""),"1736351569081")</f>
        <v>1736351569081</v>
      </c>
    </row>
    <row r="3270" spans="1:11" ht="12.45">
      <c r="A3270" s="2" t="str">
        <f ca="1">IFERROR(__xludf.DUMMYFUNCTION("""COMPUTED_VALUE"""),"1736351593191")</f>
        <v>1736351593191</v>
      </c>
      <c r="B3270" s="2"/>
      <c r="C3270" s="2" t="str">
        <v>0</v>
      </c>
      <c r="D3270" s="2"/>
      <c r="F3270" s="2" t="str">
        <v>0</v>
      </c>
      <c r="I3270" s="3" t="str">
        <f ca="1">IFERROR(__xludf.DUMMYFUNCTION("""COMPUTED_VALUE"""),"Lê Hương Ly ")</f>
        <v xml:space="preserve">Lê Hương Ly </v>
      </c>
      <c r="J3270" s="3" t="str">
        <f ca="1">IFERROR(__xludf.DUMMYFUNCTION("""COMPUTED_VALUE"""),"0334670006")</f>
        <v>0334670006</v>
      </c>
      <c r="K3270" s="2" t="str">
        <f ca="1">IFERROR(__xludf.DUMMYFUNCTION("""COMPUTED_VALUE"""),"1736351593191")</f>
        <v>1736351593191</v>
      </c>
    </row>
    <row r="3271" spans="1:11" ht="12.45">
      <c r="A3271" s="2" t="str">
        <f ca="1">IFERROR(__xludf.DUMMYFUNCTION("""COMPUTED_VALUE"""),"1736351619424")</f>
        <v>1736351619424</v>
      </c>
      <c r="B3271" s="2"/>
      <c r="C3271" s="2" t="str">
        <v>0</v>
      </c>
      <c r="D3271" s="2"/>
      <c r="F3271" s="2" t="str">
        <v>0</v>
      </c>
      <c r="I3271" s="3" t="str">
        <f ca="1">IFERROR(__xludf.DUMMYFUNCTION("""COMPUTED_VALUE"""),"Lê Nguyễn Ngọc Hằng")</f>
        <v>Lê Nguyễn Ngọc Hằng</v>
      </c>
      <c r="J3271" s="3" t="str">
        <f ca="1">IFERROR(__xludf.DUMMYFUNCTION("""COMPUTED_VALUE"""),"0961484178")</f>
        <v>0961484178</v>
      </c>
      <c r="K3271" s="2" t="str">
        <f ca="1">IFERROR(__xludf.DUMMYFUNCTION("""COMPUTED_VALUE"""),"1736351619424")</f>
        <v>1736351619424</v>
      </c>
    </row>
    <row r="3272" spans="1:11" ht="12.45">
      <c r="A3272" s="2" t="str">
        <f ca="1">IFERROR(__xludf.DUMMYFUNCTION("""COMPUTED_VALUE"""),"1736351650329")</f>
        <v>1736351650329</v>
      </c>
      <c r="B3272" s="2"/>
      <c r="C3272" s="2" t="str">
        <v>0</v>
      </c>
      <c r="D3272" s="2"/>
      <c r="F3272" s="2" t="str">
        <v>0</v>
      </c>
      <c r="I3272" s="3" t="str">
        <f ca="1">IFERROR(__xludf.DUMMYFUNCTION("""COMPUTED_VALUE"""),"Nguyễn Thị Diệp Anh")</f>
        <v>Nguyễn Thị Diệp Anh</v>
      </c>
      <c r="J3272" s="3" t="str">
        <f ca="1">IFERROR(__xludf.DUMMYFUNCTION("""COMPUTED_VALUE"""),"0559502298")</f>
        <v>0559502298</v>
      </c>
      <c r="K3272" s="2" t="str">
        <f ca="1">IFERROR(__xludf.DUMMYFUNCTION("""COMPUTED_VALUE"""),"1736351650329")</f>
        <v>1736351650329</v>
      </c>
    </row>
    <row r="3273" spans="1:11" ht="12.45">
      <c r="A3273" s="2" t="str">
        <f ca="1">IFERROR(__xludf.DUMMYFUNCTION("""COMPUTED_VALUE"""),"1736351679012")</f>
        <v>1736351679012</v>
      </c>
      <c r="B3273" s="2"/>
      <c r="C3273" s="2" t="str">
        <v>0</v>
      </c>
      <c r="D3273" s="2"/>
      <c r="F3273" s="2" t="str">
        <v>0</v>
      </c>
      <c r="I3273" s="3" t="str">
        <f ca="1">IFERROR(__xludf.DUMMYFUNCTION("""COMPUTED_VALUE"""),"Hoàng Nguyễn Yến Nhi")</f>
        <v>Hoàng Nguyễn Yến Nhi</v>
      </c>
      <c r="J3273" s="3" t="str">
        <f ca="1">IFERROR(__xludf.DUMMYFUNCTION("""COMPUTED_VALUE"""),"0968790327")</f>
        <v>0968790327</v>
      </c>
      <c r="K3273" s="2" t="str">
        <f ca="1">IFERROR(__xludf.DUMMYFUNCTION("""COMPUTED_VALUE"""),"1736351679012")</f>
        <v>1736351679012</v>
      </c>
    </row>
    <row r="3274" spans="1:11" ht="12.45">
      <c r="A3274" s="2" t="str">
        <f ca="1">IFERROR(__xludf.DUMMYFUNCTION("""COMPUTED_VALUE"""),"1736351712089")</f>
        <v>1736351712089</v>
      </c>
      <c r="B3274" s="2"/>
      <c r="C3274" s="2" t="str">
        <v>0</v>
      </c>
      <c r="D3274" s="2"/>
      <c r="F3274" s="2" t="str">
        <v>0</v>
      </c>
      <c r="I3274" s="3" t="str">
        <f ca="1">IFERROR(__xludf.DUMMYFUNCTION("""COMPUTED_VALUE"""),"Nguyễn Thanh Huyền")</f>
        <v>Nguyễn Thanh Huyền</v>
      </c>
      <c r="J3274" s="3" t="str">
        <f ca="1">IFERROR(__xludf.DUMMYFUNCTION("""COMPUTED_VALUE"""),"0865347919")</f>
        <v>0865347919</v>
      </c>
      <c r="K3274" s="2" t="str">
        <f ca="1">IFERROR(__xludf.DUMMYFUNCTION("""COMPUTED_VALUE"""),"1736351712089")</f>
        <v>1736351712089</v>
      </c>
    </row>
    <row r="3275" spans="1:11" ht="12.45">
      <c r="A3275" s="2" t="str">
        <f ca="1">IFERROR(__xludf.DUMMYFUNCTION("""COMPUTED_VALUE"""),"1736351740374")</f>
        <v>1736351740374</v>
      </c>
      <c r="B3275" s="2"/>
      <c r="C3275" s="2" t="str">
        <v>0</v>
      </c>
      <c r="D3275" s="2"/>
      <c r="F3275" s="2" t="str">
        <v>0</v>
      </c>
      <c r="I3275" s="3" t="str">
        <f ca="1">IFERROR(__xludf.DUMMYFUNCTION("""COMPUTED_VALUE"""),"Lê Khánh Linh")</f>
        <v>Lê Khánh Linh</v>
      </c>
      <c r="J3275" s="3" t="str">
        <f ca="1">IFERROR(__xludf.DUMMYFUNCTION("""COMPUTED_VALUE"""),"0976337126")</f>
        <v>0976337126</v>
      </c>
      <c r="K3275" s="2" t="str">
        <f ca="1">IFERROR(__xludf.DUMMYFUNCTION("""COMPUTED_VALUE"""),"1736351740374")</f>
        <v>1736351740374</v>
      </c>
    </row>
    <row r="3276" spans="1:11" ht="12.45">
      <c r="A3276" s="2" t="str">
        <f ca="1">IFERROR(__xludf.DUMMYFUNCTION("""COMPUTED_VALUE"""),"1736351779214")</f>
        <v>1736351779214</v>
      </c>
      <c r="B3276" s="2"/>
      <c r="C3276" s="2" t="str">
        <v>0</v>
      </c>
      <c r="D3276" s="2"/>
      <c r="F3276" s="2" t="str">
        <v>0</v>
      </c>
      <c r="I3276" s="3" t="str">
        <f ca="1">IFERROR(__xludf.DUMMYFUNCTION("""COMPUTED_VALUE"""),"Nguyễn Thị Anh Thư")</f>
        <v>Nguyễn Thị Anh Thư</v>
      </c>
      <c r="J3276" s="3" t="str">
        <f ca="1">IFERROR(__xludf.DUMMYFUNCTION("""COMPUTED_VALUE"""),"0375534670")</f>
        <v>0375534670</v>
      </c>
      <c r="K3276" s="2" t="str">
        <f ca="1">IFERROR(__xludf.DUMMYFUNCTION("""COMPUTED_VALUE"""),"1736351779214")</f>
        <v>1736351779214</v>
      </c>
    </row>
    <row r="3277" spans="1:11" ht="12.45">
      <c r="A3277" s="2" t="str">
        <f ca="1">IFERROR(__xludf.DUMMYFUNCTION("""COMPUTED_VALUE"""),"1736351807690")</f>
        <v>1736351807690</v>
      </c>
      <c r="B3277" s="2"/>
      <c r="C3277" s="2" t="str">
        <v>0</v>
      </c>
      <c r="D3277" s="2"/>
      <c r="F3277" s="2" t="str">
        <v>0</v>
      </c>
      <c r="I3277" s="3" t="str">
        <f ca="1">IFERROR(__xludf.DUMMYFUNCTION("""COMPUTED_VALUE"""),"Nguyễn Hồng Mai Thi")</f>
        <v>Nguyễn Hồng Mai Thi</v>
      </c>
      <c r="J3277" s="3" t="str">
        <f ca="1">IFERROR(__xludf.DUMMYFUNCTION("""COMPUTED_VALUE"""),"0332416096")</f>
        <v>0332416096</v>
      </c>
      <c r="K3277" s="2" t="str">
        <f ca="1">IFERROR(__xludf.DUMMYFUNCTION("""COMPUTED_VALUE"""),"1736351807690")</f>
        <v>1736351807690</v>
      </c>
    </row>
    <row r="3278" spans="1:11" ht="12.45">
      <c r="A3278" s="2" t="str">
        <f ca="1">IFERROR(__xludf.DUMMYFUNCTION("""COMPUTED_VALUE"""),"1736351840691")</f>
        <v>1736351840691</v>
      </c>
      <c r="B3278" s="2"/>
      <c r="C3278" s="2" t="str">
        <v>0</v>
      </c>
      <c r="D3278" s="2"/>
      <c r="F3278" s="2" t="str">
        <v>0</v>
      </c>
      <c r="I3278" s="3" t="str">
        <f ca="1">IFERROR(__xludf.DUMMYFUNCTION("""COMPUTED_VALUE"""),"Nguyễn Yến Danh")</f>
        <v>Nguyễn Yến Danh</v>
      </c>
      <c r="J3278" s="3" t="str">
        <f ca="1">IFERROR(__xludf.DUMMYFUNCTION("""COMPUTED_VALUE"""),"0384116376")</f>
        <v>0384116376</v>
      </c>
      <c r="K3278" s="2" t="str">
        <f ca="1">IFERROR(__xludf.DUMMYFUNCTION("""COMPUTED_VALUE"""),"1736351840691")</f>
        <v>1736351840691</v>
      </c>
    </row>
    <row r="3279" spans="1:11" ht="12.45">
      <c r="A3279" s="2" t="str">
        <f ca="1">IFERROR(__xludf.DUMMYFUNCTION("""COMPUTED_VALUE"""),"1736703520713")</f>
        <v>1736703520713</v>
      </c>
      <c r="B3279" s="2"/>
      <c r="C3279" s="2" t="str">
        <v>0</v>
      </c>
      <c r="D3279" s="2"/>
      <c r="F3279" s="2" t="str">
        <v>0</v>
      </c>
      <c r="I3279" s="3" t="str">
        <f ca="1">IFERROR(__xludf.DUMMYFUNCTION("""COMPUTED_VALUE"""),"Đỗ Thị Huyền Trang")</f>
        <v>Đỗ Thị Huyền Trang</v>
      </c>
      <c r="J3279" s="3" t="str">
        <f ca="1">IFERROR(__xludf.DUMMYFUNCTION("""COMPUTED_VALUE"""),"0366342007")</f>
        <v>0366342007</v>
      </c>
      <c r="K3279" s="2" t="str">
        <f ca="1">IFERROR(__xludf.DUMMYFUNCTION("""COMPUTED_VALUE"""),"1736703520713")</f>
        <v>1736703520713</v>
      </c>
    </row>
    <row r="3280" spans="1:11" ht="12.45">
      <c r="A3280" s="2" t="str">
        <f ca="1">IFERROR(__xludf.DUMMYFUNCTION("""COMPUTED_VALUE"""),"1736703565957")</f>
        <v>1736703565957</v>
      </c>
      <c r="B3280" s="2"/>
      <c r="C3280" s="2" t="str">
        <v>0</v>
      </c>
      <c r="D3280" s="2"/>
      <c r="F3280" s="2" t="str">
        <v>0</v>
      </c>
      <c r="I3280" s="3" t="str">
        <f ca="1">IFERROR(__xludf.DUMMYFUNCTION("""COMPUTED_VALUE"""),"NGUYỄN LÊ VAN NAM")</f>
        <v>NGUYỄN LÊ VAN NAM</v>
      </c>
      <c r="J3280" s="3" t="str">
        <f ca="1">IFERROR(__xludf.DUMMYFUNCTION("""COMPUTED_VALUE"""),"0335838019")</f>
        <v>0335838019</v>
      </c>
      <c r="K3280" s="2" t="str">
        <f ca="1">IFERROR(__xludf.DUMMYFUNCTION("""COMPUTED_VALUE"""),"1736703565957")</f>
        <v>1736703565957</v>
      </c>
    </row>
    <row r="3281" spans="1:11" ht="12.45">
      <c r="A3281" s="2" t="str">
        <f ca="1">IFERROR(__xludf.DUMMYFUNCTION("""COMPUTED_VALUE"""),"1736703602402")</f>
        <v>1736703602402</v>
      </c>
      <c r="B3281" s="2"/>
      <c r="C3281" s="2" t="str">
        <v>0</v>
      </c>
      <c r="D3281" s="2"/>
      <c r="F3281" s="2" t="str">
        <v>0</v>
      </c>
      <c r="I3281" s="3" t="str">
        <f ca="1">IFERROR(__xludf.DUMMYFUNCTION("""COMPUTED_VALUE"""),"Lê Thị Thương")</f>
        <v>Lê Thị Thương</v>
      </c>
      <c r="J3281" s="3" t="str">
        <f ca="1">IFERROR(__xludf.DUMMYFUNCTION("""COMPUTED_VALUE"""),"0385135876")</f>
        <v>0385135876</v>
      </c>
      <c r="K3281" s="2" t="str">
        <f ca="1">IFERROR(__xludf.DUMMYFUNCTION("""COMPUTED_VALUE"""),"1736703602402")</f>
        <v>1736703602402</v>
      </c>
    </row>
    <row r="3282" spans="1:11" ht="12.45">
      <c r="A3282" s="2" t="str">
        <f ca="1">IFERROR(__xludf.DUMMYFUNCTION("""COMPUTED_VALUE"""),"1736703640246")</f>
        <v>1736703640246</v>
      </c>
      <c r="B3282" s="2"/>
      <c r="C3282" s="2" t="str">
        <v>0</v>
      </c>
      <c r="D3282" s="2"/>
      <c r="F3282" s="2" t="str">
        <v>0</v>
      </c>
      <c r="I3282" s="3" t="str">
        <f ca="1">IFERROR(__xludf.DUMMYFUNCTION("""COMPUTED_VALUE"""),"Trần Hoàng Diễm Thy")</f>
        <v>Trần Hoàng Diễm Thy</v>
      </c>
      <c r="J3282" s="3" t="str">
        <f ca="1">IFERROR(__xludf.DUMMYFUNCTION("""COMPUTED_VALUE"""),"0919932451")</f>
        <v>0919932451</v>
      </c>
      <c r="K3282" s="2" t="str">
        <f ca="1">IFERROR(__xludf.DUMMYFUNCTION("""COMPUTED_VALUE"""),"1736703640246")</f>
        <v>1736703640246</v>
      </c>
    </row>
    <row r="3283" spans="1:11" ht="12.45">
      <c r="A3283" s="2" t="str">
        <f ca="1">IFERROR(__xludf.DUMMYFUNCTION("""COMPUTED_VALUE"""),"1736703676884")</f>
        <v>1736703676884</v>
      </c>
      <c r="B3283" s="2"/>
      <c r="C3283" s="2" t="str">
        <v>0</v>
      </c>
      <c r="D3283" s="2"/>
      <c r="F3283" s="2" t="str">
        <v>0</v>
      </c>
      <c r="I3283" s="3" t="str">
        <f ca="1">IFERROR(__xludf.DUMMYFUNCTION("""COMPUTED_VALUE"""),"Đỗ Huỳnh Phương Anh")</f>
        <v>Đỗ Huỳnh Phương Anh</v>
      </c>
      <c r="J3283" s="3" t="str">
        <f ca="1">IFERROR(__xludf.DUMMYFUNCTION("""COMPUTED_VALUE"""),"0901114607")</f>
        <v>0901114607</v>
      </c>
      <c r="K3283" s="2" t="str">
        <f ca="1">IFERROR(__xludf.DUMMYFUNCTION("""COMPUTED_VALUE"""),"1736703676884")</f>
        <v>1736703676884</v>
      </c>
    </row>
    <row r="3284" spans="1:11" ht="12.45">
      <c r="A3284" s="2" t="str">
        <f ca="1">IFERROR(__xludf.DUMMYFUNCTION("""COMPUTED_VALUE"""),"1736703719726")</f>
        <v>1736703719726</v>
      </c>
      <c r="B3284" s="2"/>
      <c r="C3284" s="2" t="str">
        <v>0</v>
      </c>
      <c r="D3284" s="2"/>
      <c r="F3284" s="2" t="str">
        <v>0</v>
      </c>
      <c r="I3284" s="3" t="str">
        <f ca="1">IFERROR(__xludf.DUMMYFUNCTION("""COMPUTED_VALUE"""),"Vũ Thị Hoài Thương ")</f>
        <v xml:space="preserve">Vũ Thị Hoài Thương </v>
      </c>
      <c r="J3284" s="3" t="str">
        <f ca="1">IFERROR(__xludf.DUMMYFUNCTION("""COMPUTED_VALUE"""),"0397439211")</f>
        <v>0397439211</v>
      </c>
      <c r="K3284" s="2" t="str">
        <f ca="1">IFERROR(__xludf.DUMMYFUNCTION("""COMPUTED_VALUE"""),"1736703719726")</f>
        <v>1736703719726</v>
      </c>
    </row>
    <row r="3285" spans="1:11" ht="12.45">
      <c r="A3285" s="2" t="str">
        <f ca="1">IFERROR(__xludf.DUMMYFUNCTION("""COMPUTED_VALUE"""),"1736703756353")</f>
        <v>1736703756353</v>
      </c>
      <c r="B3285" s="2"/>
      <c r="C3285" s="2" t="str">
        <v>0</v>
      </c>
      <c r="D3285" s="2"/>
      <c r="F3285" s="2" t="str">
        <v>0</v>
      </c>
      <c r="I3285" s="3" t="str">
        <f ca="1">IFERROR(__xludf.DUMMYFUNCTION("""COMPUTED_VALUE"""),"Nguyễn Phương Linh ")</f>
        <v xml:space="preserve">Nguyễn Phương Linh </v>
      </c>
      <c r="J3285" s="3" t="str">
        <f ca="1">IFERROR(__xludf.DUMMYFUNCTION("""COMPUTED_VALUE"""),"0961611779")</f>
        <v>0961611779</v>
      </c>
      <c r="K3285" s="2" t="str">
        <f ca="1">IFERROR(__xludf.DUMMYFUNCTION("""COMPUTED_VALUE"""),"1736703756353")</f>
        <v>1736703756353</v>
      </c>
    </row>
    <row r="3286" spans="1:11" ht="12.45">
      <c r="A3286" s="2" t="str">
        <f ca="1">IFERROR(__xludf.DUMMYFUNCTION("""COMPUTED_VALUE"""),"1736703791464")</f>
        <v>1736703791464</v>
      </c>
      <c r="B3286" s="2"/>
      <c r="C3286" s="2" t="str">
        <v>0</v>
      </c>
      <c r="D3286" s="2"/>
      <c r="F3286" s="2" t="str">
        <v>0</v>
      </c>
      <c r="I3286" s="3" t="str">
        <f ca="1">IFERROR(__xludf.DUMMYFUNCTION("""COMPUTED_VALUE"""),"Hà Ngọc Thư")</f>
        <v>Hà Ngọc Thư</v>
      </c>
      <c r="J3286" s="3" t="str">
        <f ca="1">IFERROR(__xludf.DUMMYFUNCTION("""COMPUTED_VALUE"""),"0906351156")</f>
        <v>0906351156</v>
      </c>
      <c r="K3286" s="2" t="str">
        <f ca="1">IFERROR(__xludf.DUMMYFUNCTION("""COMPUTED_VALUE"""),"1736703791464")</f>
        <v>1736703791464</v>
      </c>
    </row>
    <row r="3287" spans="1:11" ht="12.45">
      <c r="A3287" s="2" t="str">
        <f ca="1">IFERROR(__xludf.DUMMYFUNCTION("""COMPUTED_VALUE"""),"1736703832114")</f>
        <v>1736703832114</v>
      </c>
      <c r="B3287" s="2"/>
      <c r="C3287" s="2" t="str">
        <v>0</v>
      </c>
      <c r="D3287" s="2"/>
      <c r="F3287" s="2" t="str">
        <v>0</v>
      </c>
      <c r="I3287" s="3" t="str">
        <f ca="1">IFERROR(__xludf.DUMMYFUNCTION("""COMPUTED_VALUE"""),"Đỗ Thị Thu Phương")</f>
        <v>Đỗ Thị Thu Phương</v>
      </c>
      <c r="J3287" s="3" t="str">
        <f ca="1">IFERROR(__xludf.DUMMYFUNCTION("""COMPUTED_VALUE"""),"0326219917")</f>
        <v>0326219917</v>
      </c>
      <c r="K3287" s="2" t="str">
        <f ca="1">IFERROR(__xludf.DUMMYFUNCTION("""COMPUTED_VALUE"""),"1736703832114")</f>
        <v>1736703832114</v>
      </c>
    </row>
    <row r="3288" spans="1:11" ht="12.45">
      <c r="A3288" s="2" t="str">
        <f ca="1">IFERROR(__xludf.DUMMYFUNCTION("""COMPUTED_VALUE"""),"1736703871842")</f>
        <v>1736703871842</v>
      </c>
      <c r="B3288" s="2"/>
      <c r="C3288" s="2" t="str">
        <v>0</v>
      </c>
      <c r="D3288" s="2"/>
      <c r="F3288" s="2" t="str">
        <v>0</v>
      </c>
      <c r="I3288" s="3" t="str">
        <f ca="1">IFERROR(__xludf.DUMMYFUNCTION("""COMPUTED_VALUE"""),"Vũ Đặng Thùy Dung ")</f>
        <v xml:space="preserve">Vũ Đặng Thùy Dung </v>
      </c>
      <c r="J3288" s="3" t="str">
        <f ca="1">IFERROR(__xludf.DUMMYFUNCTION("""COMPUTED_VALUE"""),"0384419316")</f>
        <v>0384419316</v>
      </c>
      <c r="K3288" s="2" t="str">
        <f ca="1">IFERROR(__xludf.DUMMYFUNCTION("""COMPUTED_VALUE"""),"1736703871842")</f>
        <v>1736703871842</v>
      </c>
    </row>
    <row r="3289" spans="1:11" ht="12.45">
      <c r="A3289" s="2" t="str">
        <f ca="1">IFERROR(__xludf.DUMMYFUNCTION("""COMPUTED_VALUE"""),"1736703914369")</f>
        <v>1736703914369</v>
      </c>
      <c r="B3289" s="2"/>
      <c r="C3289" s="2" t="str">
        <v>0</v>
      </c>
      <c r="D3289" s="2"/>
      <c r="F3289" s="2" t="str">
        <v>0</v>
      </c>
      <c r="I3289" s="3" t="str">
        <f ca="1">IFERROR(__xludf.DUMMYFUNCTION("""COMPUTED_VALUE"""),"Ngô Thị Minh Phương ")</f>
        <v xml:space="preserve">Ngô Thị Minh Phương </v>
      </c>
      <c r="J3289" s="3" t="str">
        <f ca="1">IFERROR(__xludf.DUMMYFUNCTION("""COMPUTED_VALUE"""),"0987626515")</f>
        <v>0987626515</v>
      </c>
      <c r="K3289" s="2" t="str">
        <f ca="1">IFERROR(__xludf.DUMMYFUNCTION("""COMPUTED_VALUE"""),"1736703914369")</f>
        <v>1736703914369</v>
      </c>
    </row>
    <row r="3290" spans="1:11" ht="12.45">
      <c r="A3290" s="2" t="str">
        <f ca="1">IFERROR(__xludf.DUMMYFUNCTION("""COMPUTED_VALUE"""),"1736703967052")</f>
        <v>1736703967052</v>
      </c>
      <c r="B3290" s="2"/>
      <c r="C3290" s="2" t="str">
        <v>0</v>
      </c>
      <c r="D3290" s="2"/>
      <c r="F3290" s="2" t="str">
        <v>0</v>
      </c>
      <c r="I3290" s="3" t="str">
        <f ca="1">IFERROR(__xludf.DUMMYFUNCTION("""COMPUTED_VALUE"""),"Nguyễn Lan Anh")</f>
        <v>Nguyễn Lan Anh</v>
      </c>
      <c r="J3290" s="3" t="str">
        <f ca="1">IFERROR(__xludf.DUMMYFUNCTION("""COMPUTED_VALUE"""),"0977017108")</f>
        <v>0977017108</v>
      </c>
      <c r="K3290" s="2" t="str">
        <f ca="1">IFERROR(__xludf.DUMMYFUNCTION("""COMPUTED_VALUE"""),"1736703967052")</f>
        <v>1736703967052</v>
      </c>
    </row>
    <row r="3291" spans="1:11" ht="12.45">
      <c r="A3291" s="2" t="str">
        <f ca="1">IFERROR(__xludf.DUMMYFUNCTION("""COMPUTED_VALUE"""),"1736704002058")</f>
        <v>1736704002058</v>
      </c>
      <c r="B3291" s="2"/>
      <c r="C3291" s="2" t="str">
        <v>0</v>
      </c>
      <c r="D3291" s="2"/>
      <c r="F3291" s="2" t="str">
        <v>0</v>
      </c>
      <c r="I3291" s="3" t="str">
        <f ca="1">IFERROR(__xludf.DUMMYFUNCTION("""COMPUTED_VALUE"""),"Chu Khánh Linh")</f>
        <v>Chu Khánh Linh</v>
      </c>
      <c r="J3291" s="3" t="str">
        <f ca="1">IFERROR(__xludf.DUMMYFUNCTION("""COMPUTED_VALUE"""),"0976083940")</f>
        <v>0976083940</v>
      </c>
      <c r="K3291" s="2" t="str">
        <f ca="1">IFERROR(__xludf.DUMMYFUNCTION("""COMPUTED_VALUE"""),"1736704002058")</f>
        <v>1736704002058</v>
      </c>
    </row>
    <row r="3292" spans="1:11" ht="12.45">
      <c r="A3292" s="2" t="str">
        <f ca="1">IFERROR(__xludf.DUMMYFUNCTION("""COMPUTED_VALUE"""),"1736704044410")</f>
        <v>1736704044410</v>
      </c>
      <c r="B3292" s="2"/>
      <c r="C3292" s="2" t="str">
        <v>0</v>
      </c>
      <c r="D3292" s="2"/>
      <c r="F3292" s="2" t="str">
        <v>0</v>
      </c>
      <c r="I3292" s="3" t="str">
        <f ca="1">IFERROR(__xludf.DUMMYFUNCTION("""COMPUTED_VALUE"""),"Nguyễn Hoàng Thảo Ly")</f>
        <v>Nguyễn Hoàng Thảo Ly</v>
      </c>
      <c r="J3292" s="3" t="str">
        <f ca="1">IFERROR(__xludf.DUMMYFUNCTION("""COMPUTED_VALUE"""),"0984376864")</f>
        <v>0984376864</v>
      </c>
      <c r="K3292" s="2" t="str">
        <f ca="1">IFERROR(__xludf.DUMMYFUNCTION("""COMPUTED_VALUE"""),"1736704044410")</f>
        <v>1736704044410</v>
      </c>
    </row>
    <row r="3293" spans="1:11" ht="12.45">
      <c r="A3293" s="2" t="str">
        <f ca="1">IFERROR(__xludf.DUMMYFUNCTION("""COMPUTED_VALUE"""),"1736704080086")</f>
        <v>1736704080086</v>
      </c>
      <c r="B3293" s="2"/>
      <c r="C3293" s="2" t="str">
        <v>0</v>
      </c>
      <c r="D3293" s="2"/>
      <c r="F3293" s="2" t="str">
        <v>0</v>
      </c>
      <c r="I3293" s="3" t="str">
        <f ca="1">IFERROR(__xludf.DUMMYFUNCTION("""COMPUTED_VALUE"""),"Hoàng Thoại Vy")</f>
        <v>Hoàng Thoại Vy</v>
      </c>
      <c r="J3293" s="3" t="str">
        <f ca="1">IFERROR(__xludf.DUMMYFUNCTION("""COMPUTED_VALUE"""),"0825814379")</f>
        <v>0825814379</v>
      </c>
      <c r="K3293" s="2" t="str">
        <f ca="1">IFERROR(__xludf.DUMMYFUNCTION("""COMPUTED_VALUE"""),"1736704080086")</f>
        <v>1736704080086</v>
      </c>
    </row>
    <row r="3294" spans="1:11" ht="12.45">
      <c r="A3294" s="2" t="str">
        <f ca="1">IFERROR(__xludf.DUMMYFUNCTION("""COMPUTED_VALUE"""),"1736704122153")</f>
        <v>1736704122153</v>
      </c>
      <c r="B3294" s="2"/>
      <c r="C3294" s="2" t="str">
        <v>0</v>
      </c>
      <c r="D3294" s="2"/>
      <c r="F3294" s="2" t="str">
        <v>0</v>
      </c>
      <c r="I3294" s="3" t="str">
        <f ca="1">IFERROR(__xludf.DUMMYFUNCTION("""COMPUTED_VALUE"""),"Nguyễn Trần Quang Mỹ Tây")</f>
        <v>Nguyễn Trần Quang Mỹ Tây</v>
      </c>
      <c r="J3294" s="3" t="str">
        <f ca="1">IFERROR(__xludf.DUMMYFUNCTION("""COMPUTED_VALUE"""),"0363709105")</f>
        <v>0363709105</v>
      </c>
      <c r="K3294" s="2" t="str">
        <f ca="1">IFERROR(__xludf.DUMMYFUNCTION("""COMPUTED_VALUE"""),"1736704122153")</f>
        <v>1736704122153</v>
      </c>
    </row>
    <row r="3295" spans="1:11" ht="12.45">
      <c r="A3295" s="2" t="str">
        <f ca="1">IFERROR(__xludf.DUMMYFUNCTION("""COMPUTED_VALUE"""),"1736704172120")</f>
        <v>1736704172120</v>
      </c>
      <c r="B3295" s="2"/>
      <c r="C3295" s="2" t="str">
        <v>0</v>
      </c>
      <c r="D3295" s="2"/>
      <c r="F3295" s="2" t="str">
        <v>0</v>
      </c>
      <c r="I3295" s="3" t="str">
        <f ca="1">IFERROR(__xludf.DUMMYFUNCTION("""COMPUTED_VALUE"""),"Nguyễn Ngọc Cẩm Tú ")</f>
        <v xml:space="preserve">Nguyễn Ngọc Cẩm Tú </v>
      </c>
      <c r="J3295" s="3" t="str">
        <f ca="1">IFERROR(__xludf.DUMMYFUNCTION("""COMPUTED_VALUE"""),"0343854439")</f>
        <v>0343854439</v>
      </c>
      <c r="K3295" s="2" t="str">
        <f ca="1">IFERROR(__xludf.DUMMYFUNCTION("""COMPUTED_VALUE"""),"1736704172120")</f>
        <v>1736704172120</v>
      </c>
    </row>
    <row r="3296" spans="1:11" ht="12.45">
      <c r="A3296" s="2" t="str">
        <f ca="1">IFERROR(__xludf.DUMMYFUNCTION("""COMPUTED_VALUE"""),"1736704202160")</f>
        <v>1736704202160</v>
      </c>
      <c r="B3296" s="2"/>
      <c r="C3296" s="2" t="str">
        <v>0</v>
      </c>
      <c r="D3296" s="2"/>
      <c r="F3296" s="2" t="str">
        <v>0</v>
      </c>
      <c r="I3296" s="3" t="str">
        <f ca="1">IFERROR(__xludf.DUMMYFUNCTION("""COMPUTED_VALUE"""),"Trịnh Hồng Minh Ngọc")</f>
        <v>Trịnh Hồng Minh Ngọc</v>
      </c>
      <c r="J3296" s="3" t="str">
        <f ca="1">IFERROR(__xludf.DUMMYFUNCTION("""COMPUTED_VALUE"""),"0347210007")</f>
        <v>0347210007</v>
      </c>
      <c r="K3296" s="2" t="str">
        <f ca="1">IFERROR(__xludf.DUMMYFUNCTION("""COMPUTED_VALUE"""),"1736704202160")</f>
        <v>1736704202160</v>
      </c>
    </row>
    <row r="3297" spans="1:11" ht="12.45">
      <c r="A3297" s="2" t="str">
        <f ca="1">IFERROR(__xludf.DUMMYFUNCTION("""COMPUTED_VALUE"""),"1736704235357")</f>
        <v>1736704235357</v>
      </c>
      <c r="B3297" s="2"/>
      <c r="C3297" s="2" t="str">
        <v>0</v>
      </c>
      <c r="D3297" s="2"/>
      <c r="F3297" s="2" t="str">
        <v>0</v>
      </c>
      <c r="I3297" s="3" t="str">
        <f ca="1">IFERROR(__xludf.DUMMYFUNCTION("""COMPUTED_VALUE"""),"Trần Hoàng Thiên Trang")</f>
        <v>Trần Hoàng Thiên Trang</v>
      </c>
      <c r="J3297" s="3" t="str">
        <f ca="1">IFERROR(__xludf.DUMMYFUNCTION("""COMPUTED_VALUE"""),"0344988977")</f>
        <v>0344988977</v>
      </c>
      <c r="K3297" s="2" t="str">
        <f ca="1">IFERROR(__xludf.DUMMYFUNCTION("""COMPUTED_VALUE"""),"1736704235357")</f>
        <v>1736704235357</v>
      </c>
    </row>
    <row r="3298" spans="1:11" ht="12.45">
      <c r="A3298" s="2" t="str">
        <f ca="1">IFERROR(__xludf.DUMMYFUNCTION("""COMPUTED_VALUE"""),"1736704275576")</f>
        <v>1736704275576</v>
      </c>
      <c r="B3298" s="2"/>
      <c r="C3298" s="2" t="str">
        <v>0</v>
      </c>
      <c r="D3298" s="2"/>
      <c r="F3298" s="2" t="str">
        <v>0</v>
      </c>
      <c r="I3298" s="3" t="str">
        <f ca="1">IFERROR(__xludf.DUMMYFUNCTION("""COMPUTED_VALUE"""),"Phạm hồng ngọc")</f>
        <v>Phạm hồng ngọc</v>
      </c>
      <c r="J3298" s="3" t="str">
        <f ca="1">IFERROR(__xludf.DUMMYFUNCTION("""COMPUTED_VALUE"""),"0917033710")</f>
        <v>0917033710</v>
      </c>
      <c r="K3298" s="2" t="str">
        <f ca="1">IFERROR(__xludf.DUMMYFUNCTION("""COMPUTED_VALUE"""),"1736704275576")</f>
        <v>1736704275576</v>
      </c>
    </row>
    <row r="3299" spans="1:11" ht="12.45">
      <c r="A3299" s="2" t="str">
        <f ca="1">IFERROR(__xludf.DUMMYFUNCTION("""COMPUTED_VALUE"""),"1736704313970")</f>
        <v>1736704313970</v>
      </c>
      <c r="B3299" s="2"/>
      <c r="C3299" s="2" t="str">
        <v>0</v>
      </c>
      <c r="D3299" s="2"/>
      <c r="F3299" s="2" t="str">
        <v>0</v>
      </c>
      <c r="I3299" s="3" t="str">
        <f ca="1">IFERROR(__xludf.DUMMYFUNCTION("""COMPUTED_VALUE"""),"Lê Văn Hồng Sơn")</f>
        <v>Lê Văn Hồng Sơn</v>
      </c>
      <c r="J3299" s="3" t="str">
        <f ca="1">IFERROR(__xludf.DUMMYFUNCTION("""COMPUTED_VALUE"""),"0848289357")</f>
        <v>0848289357</v>
      </c>
      <c r="K3299" s="2" t="str">
        <f ca="1">IFERROR(__xludf.DUMMYFUNCTION("""COMPUTED_VALUE"""),"1736704313970")</f>
        <v>1736704313970</v>
      </c>
    </row>
    <row r="3300" spans="1:11" ht="12.45">
      <c r="A3300" s="2" t="str">
        <f ca="1">IFERROR(__xludf.DUMMYFUNCTION("""COMPUTED_VALUE"""),"1736704348069")</f>
        <v>1736704348069</v>
      </c>
      <c r="B3300" s="2"/>
      <c r="C3300" s="2" t="str">
        <v>0</v>
      </c>
      <c r="D3300" s="2"/>
      <c r="F3300" s="2" t="str">
        <v>0</v>
      </c>
      <c r="I3300" s="3" t="str">
        <f ca="1">IFERROR(__xludf.DUMMYFUNCTION("""COMPUTED_VALUE"""),"TRẦN NGUYỄN BẢO NGỌC ")</f>
        <v xml:space="preserve">TRẦN NGUYỄN BẢO NGỌC </v>
      </c>
      <c r="J3300" s="3" t="str">
        <f ca="1">IFERROR(__xludf.DUMMYFUNCTION("""COMPUTED_VALUE"""),"0911716733")</f>
        <v>0911716733</v>
      </c>
      <c r="K3300" s="2" t="str">
        <f ca="1">IFERROR(__xludf.DUMMYFUNCTION("""COMPUTED_VALUE"""),"1736704348069")</f>
        <v>1736704348069</v>
      </c>
    </row>
    <row r="3301" spans="1:11" ht="12.45">
      <c r="A3301" s="2" t="str">
        <f ca="1">IFERROR(__xludf.DUMMYFUNCTION("""COMPUTED_VALUE"""),"1736704380228")</f>
        <v>1736704380228</v>
      </c>
      <c r="B3301" s="2"/>
      <c r="C3301" s="2" t="str">
        <v>0</v>
      </c>
      <c r="D3301" s="2"/>
      <c r="F3301" s="2" t="str">
        <v>0</v>
      </c>
      <c r="I3301" s="3" t="str">
        <f ca="1">IFERROR(__xludf.DUMMYFUNCTION("""COMPUTED_VALUE"""),"Lưu Gia Linh")</f>
        <v>Lưu Gia Linh</v>
      </c>
      <c r="J3301" s="3" t="str">
        <f ca="1">IFERROR(__xludf.DUMMYFUNCTION("""COMPUTED_VALUE"""),"0914779588")</f>
        <v>0914779588</v>
      </c>
      <c r="K3301" s="2" t="str">
        <f ca="1">IFERROR(__xludf.DUMMYFUNCTION("""COMPUTED_VALUE"""),"1736704380228")</f>
        <v>1736704380228</v>
      </c>
    </row>
    <row r="3302" spans="1:11" ht="12.45">
      <c r="A3302" s="2" t="str">
        <f ca="1">IFERROR(__xludf.DUMMYFUNCTION("""COMPUTED_VALUE"""),"1736704414551")</f>
        <v>1736704414551</v>
      </c>
      <c r="B3302" s="2"/>
      <c r="C3302" s="2" t="str">
        <v>0</v>
      </c>
      <c r="D3302" s="2"/>
      <c r="F3302" s="2" t="str">
        <v>0</v>
      </c>
      <c r="I3302" s="3" t="str">
        <f ca="1">IFERROR(__xludf.DUMMYFUNCTION("""COMPUTED_VALUE"""),"Từ Minh Hằng")</f>
        <v>Từ Minh Hằng</v>
      </c>
      <c r="J3302" s="3" t="str">
        <f ca="1">IFERROR(__xludf.DUMMYFUNCTION("""COMPUTED_VALUE"""),"0345214120")</f>
        <v>0345214120</v>
      </c>
      <c r="K3302" s="2" t="str">
        <f ca="1">IFERROR(__xludf.DUMMYFUNCTION("""COMPUTED_VALUE"""),"1736704414551")</f>
        <v>1736704414551</v>
      </c>
    </row>
    <row r="3303" spans="1:11" ht="12.45">
      <c r="A3303" s="2" t="str">
        <f ca="1">IFERROR(__xludf.DUMMYFUNCTION("""COMPUTED_VALUE"""),"1736704448949")</f>
        <v>1736704448949</v>
      </c>
      <c r="B3303" s="2"/>
      <c r="C3303" s="2" t="str">
        <v>0</v>
      </c>
      <c r="D3303" s="2"/>
      <c r="F3303" s="2" t="str">
        <v>0</v>
      </c>
      <c r="I3303" s="3" t="str">
        <f ca="1">IFERROR(__xludf.DUMMYFUNCTION("""COMPUTED_VALUE"""),"Cao Thùy Thiên Trang ")</f>
        <v xml:space="preserve">Cao Thùy Thiên Trang </v>
      </c>
      <c r="J3303" s="3" t="str">
        <f ca="1">IFERROR(__xludf.DUMMYFUNCTION("""COMPUTED_VALUE"""),"0375600032")</f>
        <v>0375600032</v>
      </c>
      <c r="K3303" s="2" t="str">
        <f ca="1">IFERROR(__xludf.DUMMYFUNCTION("""COMPUTED_VALUE"""),"1736704448949")</f>
        <v>1736704448949</v>
      </c>
    </row>
    <row r="3304" spans="1:11" ht="12.45">
      <c r="A3304" s="2" t="str">
        <f ca="1">IFERROR(__xludf.DUMMYFUNCTION("""COMPUTED_VALUE"""),"1736704479092")</f>
        <v>1736704479092</v>
      </c>
      <c r="B3304" s="2"/>
      <c r="C3304" s="2" t="str">
        <v>0</v>
      </c>
      <c r="D3304" s="2"/>
      <c r="F3304" s="2" t="str">
        <v>0</v>
      </c>
      <c r="I3304" s="3" t="str">
        <f ca="1">IFERROR(__xludf.DUMMYFUNCTION("""COMPUTED_VALUE"""),"Nguyễn Lâm Anh ")</f>
        <v xml:space="preserve">Nguyễn Lâm Anh </v>
      </c>
      <c r="J3304" s="3" t="str">
        <f ca="1">IFERROR(__xludf.DUMMYFUNCTION("""COMPUTED_VALUE"""),"0987895758")</f>
        <v>0987895758</v>
      </c>
      <c r="K3304" s="2" t="str">
        <f ca="1">IFERROR(__xludf.DUMMYFUNCTION("""COMPUTED_VALUE"""),"1736704479092")</f>
        <v>1736704479092</v>
      </c>
    </row>
    <row r="3305" spans="1:11" ht="12.45">
      <c r="A3305" s="2" t="str">
        <f ca="1">IFERROR(__xludf.DUMMYFUNCTION("""COMPUTED_VALUE"""),"1736704510605")</f>
        <v>1736704510605</v>
      </c>
      <c r="B3305" s="2"/>
      <c r="C3305" s="2" t="str">
        <v>0</v>
      </c>
      <c r="D3305" s="2"/>
      <c r="F3305" s="2" t="str">
        <v>0</v>
      </c>
      <c r="I3305" s="3" t="str">
        <f ca="1">IFERROR(__xludf.DUMMYFUNCTION("""COMPUTED_VALUE"""),"Nguyễn Vũ Thị Trường Trang ")</f>
        <v xml:space="preserve">Nguyễn Vũ Thị Trường Trang </v>
      </c>
      <c r="J3305" s="3" t="str">
        <f ca="1">IFERROR(__xludf.DUMMYFUNCTION("""COMPUTED_VALUE"""),"0822183132")</f>
        <v>0822183132</v>
      </c>
      <c r="K3305" s="2" t="str">
        <f ca="1">IFERROR(__xludf.DUMMYFUNCTION("""COMPUTED_VALUE"""),"1736704510605")</f>
        <v>1736704510605</v>
      </c>
    </row>
    <row r="3306" spans="1:11" ht="12.45">
      <c r="A3306" s="2" t="str">
        <f ca="1">IFERROR(__xludf.DUMMYFUNCTION("""COMPUTED_VALUE"""),"1736704554443")</f>
        <v>1736704554443</v>
      </c>
      <c r="B3306" s="2"/>
      <c r="C3306" s="2" t="str">
        <v>0</v>
      </c>
      <c r="D3306" s="2"/>
      <c r="F3306" s="2" t="str">
        <v>0</v>
      </c>
      <c r="I3306" s="3" t="str">
        <f ca="1">IFERROR(__xludf.DUMMYFUNCTION("""COMPUTED_VALUE"""),"nguyễn lê phương anh")</f>
        <v>nguyễn lê phương anh</v>
      </c>
      <c r="J3306" s="3" t="str">
        <f ca="1">IFERROR(__xludf.DUMMYFUNCTION("""COMPUTED_VALUE"""),"0878343887")</f>
        <v>0878343887</v>
      </c>
      <c r="K3306" s="2" t="str">
        <f ca="1">IFERROR(__xludf.DUMMYFUNCTION("""COMPUTED_VALUE"""),"1736704554443")</f>
        <v>1736704554443</v>
      </c>
    </row>
    <row r="3307" spans="1:11" ht="12.45">
      <c r="A3307" s="2" t="str">
        <f ca="1">IFERROR(__xludf.DUMMYFUNCTION("""COMPUTED_VALUE"""),"1736704583220")</f>
        <v>1736704583220</v>
      </c>
      <c r="B3307" s="2"/>
      <c r="C3307" s="2" t="str">
        <v>0</v>
      </c>
      <c r="D3307" s="2"/>
      <c r="F3307" s="2" t="str">
        <v>0</v>
      </c>
      <c r="I3307" s="3" t="str">
        <f ca="1">IFERROR(__xludf.DUMMYFUNCTION("""COMPUTED_VALUE"""),"Phạm Trà My")</f>
        <v>Phạm Trà My</v>
      </c>
      <c r="J3307" s="3" t="str">
        <f ca="1">IFERROR(__xludf.DUMMYFUNCTION("""COMPUTED_VALUE"""),"0983737826")</f>
        <v>0983737826</v>
      </c>
      <c r="K3307" s="2" t="str">
        <f ca="1">IFERROR(__xludf.DUMMYFUNCTION("""COMPUTED_VALUE"""),"1736704583220")</f>
        <v>1736704583220</v>
      </c>
    </row>
    <row r="3308" spans="1:11" ht="12.45">
      <c r="A3308" s="2" t="str">
        <f ca="1">IFERROR(__xludf.DUMMYFUNCTION("""COMPUTED_VALUE"""),"1736704613059")</f>
        <v>1736704613059</v>
      </c>
      <c r="B3308" s="2"/>
      <c r="C3308" s="2" t="str">
        <v>0</v>
      </c>
      <c r="D3308" s="2"/>
      <c r="F3308" s="2" t="str">
        <v>0</v>
      </c>
      <c r="I3308" s="3" t="str">
        <f ca="1">IFERROR(__xludf.DUMMYFUNCTION("""COMPUTED_VALUE"""),"Hà Thị Linh Chi ")</f>
        <v xml:space="preserve">Hà Thị Linh Chi </v>
      </c>
      <c r="J3308" s="3" t="str">
        <f ca="1">IFERROR(__xludf.DUMMYFUNCTION("""COMPUTED_VALUE"""),"0387684661")</f>
        <v>0387684661</v>
      </c>
      <c r="K3308" s="2" t="str">
        <f ca="1">IFERROR(__xludf.DUMMYFUNCTION("""COMPUTED_VALUE"""),"1736704613059")</f>
        <v>1736704613059</v>
      </c>
    </row>
    <row r="3309" spans="1:11" ht="12.45">
      <c r="A3309" s="2" t="str">
        <f ca="1">IFERROR(__xludf.DUMMYFUNCTION("""COMPUTED_VALUE"""),"1736704661294")</f>
        <v>1736704661294</v>
      </c>
      <c r="B3309" s="2"/>
      <c r="C3309" s="2" t="str">
        <v>0</v>
      </c>
      <c r="D3309" s="2"/>
      <c r="F3309" s="2" t="str">
        <v>0</v>
      </c>
      <c r="I3309" s="3" t="str">
        <f ca="1">IFERROR(__xludf.DUMMYFUNCTION("""COMPUTED_VALUE"""),"Nguyễn Anh Thư")</f>
        <v>Nguyễn Anh Thư</v>
      </c>
      <c r="J3309" s="3" t="str">
        <f ca="1">IFERROR(__xludf.DUMMYFUNCTION("""COMPUTED_VALUE"""),"0913591190")</f>
        <v>0913591190</v>
      </c>
      <c r="K3309" s="2" t="str">
        <f ca="1">IFERROR(__xludf.DUMMYFUNCTION("""COMPUTED_VALUE"""),"1736704661294")</f>
        <v>1736704661294</v>
      </c>
    </row>
    <row r="3310" spans="1:11" ht="12.45">
      <c r="A3310" s="2" t="str">
        <f ca="1">IFERROR(__xludf.DUMMYFUNCTION("""COMPUTED_VALUE"""),"1736704699352")</f>
        <v>1736704699352</v>
      </c>
      <c r="B3310" s="2"/>
      <c r="C3310" s="2" t="str">
        <v>0</v>
      </c>
      <c r="D3310" s="2"/>
      <c r="F3310" s="2" t="str">
        <v>0</v>
      </c>
      <c r="I3310" s="3" t="str">
        <f ca="1">IFERROR(__xludf.DUMMYFUNCTION("""COMPUTED_VALUE"""),"Phạm Quốc Đạt")</f>
        <v>Phạm Quốc Đạt</v>
      </c>
      <c r="J3310" s="3" t="str">
        <f ca="1">IFERROR(__xludf.DUMMYFUNCTION("""COMPUTED_VALUE"""),"0393902343")</f>
        <v>0393902343</v>
      </c>
      <c r="K3310" s="2" t="str">
        <f ca="1">IFERROR(__xludf.DUMMYFUNCTION("""COMPUTED_VALUE"""),"1736704699352")</f>
        <v>1736704699352</v>
      </c>
    </row>
    <row r="3311" spans="1:11" ht="12.45">
      <c r="A3311" s="2" t="str">
        <f ca="1">IFERROR(__xludf.DUMMYFUNCTION("""COMPUTED_VALUE"""),"1736704729001")</f>
        <v>1736704729001</v>
      </c>
      <c r="B3311" s="2"/>
      <c r="C3311" s="2" t="str">
        <v>0</v>
      </c>
      <c r="D3311" s="2"/>
      <c r="F3311" s="2" t="str">
        <v>0</v>
      </c>
      <c r="I3311" s="3" t="str">
        <f ca="1">IFERROR(__xludf.DUMMYFUNCTION("""COMPUTED_VALUE"""),"Nguyễn Hoàng Bảo Ngọc ")</f>
        <v xml:space="preserve">Nguyễn Hoàng Bảo Ngọc </v>
      </c>
      <c r="J3311" s="3" t="str">
        <f ca="1">IFERROR(__xludf.DUMMYFUNCTION("""COMPUTED_VALUE"""),"0862876007")</f>
        <v>0862876007</v>
      </c>
      <c r="K3311" s="2" t="str">
        <f ca="1">IFERROR(__xludf.DUMMYFUNCTION("""COMPUTED_VALUE"""),"1736704729001")</f>
        <v>1736704729001</v>
      </c>
    </row>
    <row r="3312" spans="1:11" ht="12.45">
      <c r="A3312" s="2" t="str">
        <f ca="1">IFERROR(__xludf.DUMMYFUNCTION("""COMPUTED_VALUE"""),"1736704754978")</f>
        <v>1736704754978</v>
      </c>
      <c r="B3312" s="2"/>
      <c r="C3312" s="2" t="str">
        <v>0</v>
      </c>
      <c r="D3312" s="2"/>
      <c r="F3312" s="2" t="str">
        <v>0</v>
      </c>
      <c r="I3312" s="3" t="str">
        <f ca="1">IFERROR(__xludf.DUMMYFUNCTION("""COMPUTED_VALUE"""),"Tạ Minh Ngọc")</f>
        <v>Tạ Minh Ngọc</v>
      </c>
      <c r="J3312" s="3" t="str">
        <f ca="1">IFERROR(__xludf.DUMMYFUNCTION("""COMPUTED_VALUE"""),"0862709141")</f>
        <v>0862709141</v>
      </c>
      <c r="K3312" s="2" t="str">
        <f ca="1">IFERROR(__xludf.DUMMYFUNCTION("""COMPUTED_VALUE"""),"1736704754978")</f>
        <v>1736704754978</v>
      </c>
    </row>
    <row r="3313" spans="1:11" ht="12.45">
      <c r="A3313" s="2" t="str">
        <f ca="1">IFERROR(__xludf.DUMMYFUNCTION("""COMPUTED_VALUE"""),"1736704788724")</f>
        <v>1736704788724</v>
      </c>
      <c r="B3313" s="2"/>
      <c r="C3313" s="2" t="str">
        <v>0</v>
      </c>
      <c r="D3313" s="2"/>
      <c r="F3313" s="2" t="str">
        <v>0</v>
      </c>
      <c r="I3313" s="3" t="str">
        <f ca="1">IFERROR(__xludf.DUMMYFUNCTION("""COMPUTED_VALUE"""),"Mai Nguyễn Phú Châu ")</f>
        <v xml:space="preserve">Mai Nguyễn Phú Châu </v>
      </c>
      <c r="J3313" s="3" t="str">
        <f ca="1">IFERROR(__xludf.DUMMYFUNCTION("""COMPUTED_VALUE"""),"0855558964")</f>
        <v>0855558964</v>
      </c>
      <c r="K3313" s="2" t="str">
        <f ca="1">IFERROR(__xludf.DUMMYFUNCTION("""COMPUTED_VALUE"""),"1736704788724")</f>
        <v>1736704788724</v>
      </c>
    </row>
    <row r="3314" spans="1:11" ht="12.45">
      <c r="A3314" s="2" t="str">
        <f ca="1">IFERROR(__xludf.DUMMYFUNCTION("""COMPUTED_VALUE"""),"1736704835217")</f>
        <v>1736704835217</v>
      </c>
      <c r="B3314" s="2"/>
      <c r="C3314" s="2" t="str">
        <v>0</v>
      </c>
      <c r="D3314" s="2"/>
      <c r="F3314" s="2" t="str">
        <v>0</v>
      </c>
      <c r="I3314" s="3" t="str">
        <f ca="1">IFERROR(__xludf.DUMMYFUNCTION("""COMPUTED_VALUE"""),"Trần Khánh Ly ")</f>
        <v xml:space="preserve">Trần Khánh Ly </v>
      </c>
      <c r="J3314" s="3" t="str">
        <f ca="1">IFERROR(__xludf.DUMMYFUNCTION("""COMPUTED_VALUE"""),"0773466860")</f>
        <v>0773466860</v>
      </c>
      <c r="K3314" s="2" t="str">
        <f ca="1">IFERROR(__xludf.DUMMYFUNCTION("""COMPUTED_VALUE"""),"1736704835217")</f>
        <v>1736704835217</v>
      </c>
    </row>
    <row r="3315" spans="1:11" ht="12.45">
      <c r="A3315" s="2" t="str">
        <f ca="1">IFERROR(__xludf.DUMMYFUNCTION("""COMPUTED_VALUE"""),"1736704872786")</f>
        <v>1736704872786</v>
      </c>
      <c r="B3315" s="2"/>
      <c r="C3315" s="2" t="str">
        <v>0</v>
      </c>
      <c r="D3315" s="2"/>
      <c r="F3315" s="2" t="str">
        <v>0</v>
      </c>
      <c r="I3315" s="3" t="str">
        <f ca="1">IFERROR(__xludf.DUMMYFUNCTION("""COMPUTED_VALUE"""),"Võ Lê Hoài Thương")</f>
        <v>Võ Lê Hoài Thương</v>
      </c>
      <c r="J3315" s="3" t="str">
        <f ca="1">IFERROR(__xludf.DUMMYFUNCTION("""COMPUTED_VALUE"""),"0907882047")</f>
        <v>0907882047</v>
      </c>
      <c r="K3315" s="2" t="str">
        <f ca="1">IFERROR(__xludf.DUMMYFUNCTION("""COMPUTED_VALUE"""),"1736704872786")</f>
        <v>1736704872786</v>
      </c>
    </row>
    <row r="3316" spans="1:11" ht="12.45">
      <c r="A3316" s="2" t="str">
        <f ca="1">IFERROR(__xludf.DUMMYFUNCTION("""COMPUTED_VALUE"""),"1736704905191")</f>
        <v>1736704905191</v>
      </c>
      <c r="B3316" s="2"/>
      <c r="C3316" s="2" t="str">
        <v>0</v>
      </c>
      <c r="D3316" s="2"/>
      <c r="F3316" s="2" t="str">
        <v>0</v>
      </c>
      <c r="I3316" s="3" t="str">
        <f ca="1">IFERROR(__xludf.DUMMYFUNCTION("""COMPUTED_VALUE"""),"Nguyễn Trần Thảo Vân")</f>
        <v>Nguyễn Trần Thảo Vân</v>
      </c>
      <c r="J3316" s="3" t="str">
        <f ca="1">IFERROR(__xludf.DUMMYFUNCTION("""COMPUTED_VALUE"""),"0328432598")</f>
        <v>0328432598</v>
      </c>
      <c r="K3316" s="2" t="str">
        <f ca="1">IFERROR(__xludf.DUMMYFUNCTION("""COMPUTED_VALUE"""),"1736704905191")</f>
        <v>1736704905191</v>
      </c>
    </row>
    <row r="3317" spans="1:11" ht="12.45">
      <c r="A3317" s="2" t="str">
        <f ca="1">IFERROR(__xludf.DUMMYFUNCTION("""COMPUTED_VALUE"""),"1736704952449")</f>
        <v>1736704952449</v>
      </c>
      <c r="B3317" s="2"/>
      <c r="C3317" s="2" t="str">
        <v>0</v>
      </c>
      <c r="D3317" s="2"/>
      <c r="F3317" s="2" t="str">
        <v>0</v>
      </c>
      <c r="I3317" s="3" t="str">
        <f ca="1">IFERROR(__xludf.DUMMYFUNCTION("""COMPUTED_VALUE"""),"Bùi Lê Ngọc Yến Nhi")</f>
        <v>Bùi Lê Ngọc Yến Nhi</v>
      </c>
      <c r="J3317" s="3" t="str">
        <f ca="1">IFERROR(__xludf.DUMMYFUNCTION("""COMPUTED_VALUE"""),"0976422771")</f>
        <v>0976422771</v>
      </c>
      <c r="K3317" s="2" t="str">
        <f ca="1">IFERROR(__xludf.DUMMYFUNCTION("""COMPUTED_VALUE"""),"1736704952449")</f>
        <v>1736704952449</v>
      </c>
    </row>
    <row r="3318" spans="1:11" ht="12.45">
      <c r="A3318" s="2" t="str">
        <f ca="1">IFERROR(__xludf.DUMMYFUNCTION("""COMPUTED_VALUE"""),"1736704993310")</f>
        <v>1736704993310</v>
      </c>
      <c r="B3318" s="2"/>
      <c r="C3318" s="2" t="str">
        <v>0</v>
      </c>
      <c r="D3318" s="2"/>
      <c r="F3318" s="2" t="str">
        <v>0</v>
      </c>
      <c r="I3318" s="3" t="str">
        <f ca="1">IFERROR(__xludf.DUMMYFUNCTION("""COMPUTED_VALUE"""),"Tống Khánh Huyền")</f>
        <v>Tống Khánh Huyền</v>
      </c>
      <c r="J3318" s="3" t="str">
        <f ca="1">IFERROR(__xludf.DUMMYFUNCTION("""COMPUTED_VALUE"""),"0374076243")</f>
        <v>0374076243</v>
      </c>
      <c r="K3318" s="2" t="str">
        <f ca="1">IFERROR(__xludf.DUMMYFUNCTION("""COMPUTED_VALUE"""),"1736704993310")</f>
        <v>1736704993310</v>
      </c>
    </row>
    <row r="3319" spans="1:11" ht="12.45">
      <c r="A3319" s="2" t="str">
        <f ca="1">IFERROR(__xludf.DUMMYFUNCTION("""COMPUTED_VALUE"""),"1736705032222")</f>
        <v>1736705032222</v>
      </c>
      <c r="B3319" s="2"/>
      <c r="C3319" s="2" t="str">
        <v>0</v>
      </c>
      <c r="D3319" s="2"/>
      <c r="F3319" s="2" t="str">
        <v>0</v>
      </c>
      <c r="I3319" s="3" t="str">
        <f ca="1">IFERROR(__xludf.DUMMYFUNCTION("""COMPUTED_VALUE"""),"Hoàng Viết Hưng ")</f>
        <v xml:space="preserve">Hoàng Viết Hưng </v>
      </c>
      <c r="J3319" s="3" t="str">
        <f ca="1">IFERROR(__xludf.DUMMYFUNCTION("""COMPUTED_VALUE"""),"0931689822")</f>
        <v>0931689822</v>
      </c>
      <c r="K3319" s="2" t="str">
        <f ca="1">IFERROR(__xludf.DUMMYFUNCTION("""COMPUTED_VALUE"""),"1736705032222")</f>
        <v>1736705032222</v>
      </c>
    </row>
    <row r="3320" spans="1:11" ht="12.45">
      <c r="A3320" s="2" t="str">
        <f ca="1">IFERROR(__xludf.DUMMYFUNCTION("""COMPUTED_VALUE"""),"1736705070555")</f>
        <v>1736705070555</v>
      </c>
      <c r="B3320" s="2"/>
      <c r="C3320" s="2" t="str">
        <v>0</v>
      </c>
      <c r="D3320" s="2"/>
      <c r="F3320" s="2" t="str">
        <v>0</v>
      </c>
      <c r="I3320" s="3" t="str">
        <f ca="1">IFERROR(__xludf.DUMMYFUNCTION("""COMPUTED_VALUE"""),"Phạm Thị Phương Nga")</f>
        <v>Phạm Thị Phương Nga</v>
      </c>
      <c r="J3320" s="3" t="str">
        <f ca="1">IFERROR(__xludf.DUMMYFUNCTION("""COMPUTED_VALUE"""),"0342256743")</f>
        <v>0342256743</v>
      </c>
      <c r="K3320" s="2" t="str">
        <f ca="1">IFERROR(__xludf.DUMMYFUNCTION("""COMPUTED_VALUE"""),"1736705070555")</f>
        <v>1736705070555</v>
      </c>
    </row>
    <row r="3321" spans="1:11" ht="12.45">
      <c r="A3321" s="2" t="str">
        <f ca="1">IFERROR(__xludf.DUMMYFUNCTION("""COMPUTED_VALUE"""),"1736705099137")</f>
        <v>1736705099137</v>
      </c>
      <c r="B3321" s="2"/>
      <c r="C3321" s="2" t="str">
        <v>0</v>
      </c>
      <c r="D3321" s="2"/>
      <c r="F3321" s="2" t="str">
        <v>0</v>
      </c>
      <c r="I3321" s="3" t="str">
        <f ca="1">IFERROR(__xludf.DUMMYFUNCTION("""COMPUTED_VALUE"""),"Nguyễn Quang Hoàng")</f>
        <v>Nguyễn Quang Hoàng</v>
      </c>
      <c r="J3321" s="3" t="str">
        <f ca="1">IFERROR(__xludf.DUMMYFUNCTION("""COMPUTED_VALUE"""),"0369110032")</f>
        <v>0369110032</v>
      </c>
      <c r="K3321" s="2" t="str">
        <f ca="1">IFERROR(__xludf.DUMMYFUNCTION("""COMPUTED_VALUE"""),"1736705099137")</f>
        <v>1736705099137</v>
      </c>
    </row>
    <row r="3322" spans="1:11" ht="12.45">
      <c r="A3322" s="2" t="str">
        <f ca="1">IFERROR(__xludf.DUMMYFUNCTION("""COMPUTED_VALUE"""),"1736705130709")</f>
        <v>1736705130709</v>
      </c>
      <c r="B3322" s="2"/>
      <c r="C3322" s="2" t="str">
        <v>0</v>
      </c>
      <c r="D3322" s="2"/>
      <c r="F3322" s="2" t="str">
        <v>0</v>
      </c>
      <c r="I3322" s="3" t="str">
        <f ca="1">IFERROR(__xludf.DUMMYFUNCTION("""COMPUTED_VALUE"""),"Đặng Thu Hường ")</f>
        <v xml:space="preserve">Đặng Thu Hường </v>
      </c>
      <c r="J3322" s="3" t="str">
        <f ca="1">IFERROR(__xludf.DUMMYFUNCTION("""COMPUTED_VALUE"""),"0973966077")</f>
        <v>0973966077</v>
      </c>
      <c r="K3322" s="2" t="str">
        <f ca="1">IFERROR(__xludf.DUMMYFUNCTION("""COMPUTED_VALUE"""),"1736705130709")</f>
        <v>1736705130709</v>
      </c>
    </row>
    <row r="3323" spans="1:11" ht="12.45">
      <c r="A3323" s="2" t="str">
        <f ca="1">IFERROR(__xludf.DUMMYFUNCTION("""COMPUTED_VALUE"""),"1736705179733")</f>
        <v>1736705179733</v>
      </c>
      <c r="B3323" s="2"/>
      <c r="C3323" s="2" t="str">
        <v>0</v>
      </c>
      <c r="D3323" s="2"/>
      <c r="F3323" s="2" t="str">
        <v>0</v>
      </c>
      <c r="I3323" s="3" t="str">
        <f ca="1">IFERROR(__xludf.DUMMYFUNCTION("""COMPUTED_VALUE"""),"Trần Thị Thảo Linh")</f>
        <v>Trần Thị Thảo Linh</v>
      </c>
      <c r="J3323" s="3" t="str">
        <f ca="1">IFERROR(__xludf.DUMMYFUNCTION("""COMPUTED_VALUE"""),"0915107877")</f>
        <v>0915107877</v>
      </c>
      <c r="K3323" s="2" t="str">
        <f ca="1">IFERROR(__xludf.DUMMYFUNCTION("""COMPUTED_VALUE"""),"1736705179733")</f>
        <v>1736705179733</v>
      </c>
    </row>
    <row r="3324" spans="1:11" ht="12.45">
      <c r="A3324" s="2" t="str">
        <f ca="1">IFERROR(__xludf.DUMMYFUNCTION("""COMPUTED_VALUE"""),"1736705210614")</f>
        <v>1736705210614</v>
      </c>
      <c r="B3324" s="2"/>
      <c r="C3324" s="2" t="str">
        <v>0</v>
      </c>
      <c r="D3324" s="2"/>
      <c r="F3324" s="2" t="str">
        <v>0</v>
      </c>
      <c r="I3324" s="3" t="str">
        <f ca="1">IFERROR(__xludf.DUMMYFUNCTION("""COMPUTED_VALUE"""),"Bùi Đức Hiệp ")</f>
        <v xml:space="preserve">Bùi Đức Hiệp </v>
      </c>
      <c r="J3324" s="3" t="str">
        <f ca="1">IFERROR(__xludf.DUMMYFUNCTION("""COMPUTED_VALUE"""),"0364239107")</f>
        <v>0364239107</v>
      </c>
      <c r="K3324" s="2" t="str">
        <f ca="1">IFERROR(__xludf.DUMMYFUNCTION("""COMPUTED_VALUE"""),"1736705210614")</f>
        <v>1736705210614</v>
      </c>
    </row>
    <row r="3325" spans="1:11" ht="12.45">
      <c r="A3325" s="2" t="str">
        <f ca="1">IFERROR(__xludf.DUMMYFUNCTION("""COMPUTED_VALUE"""),"1736705261296")</f>
        <v>1736705261296</v>
      </c>
      <c r="B3325" s="2"/>
      <c r="C3325" s="2" t="str">
        <v>0</v>
      </c>
      <c r="D3325" s="2"/>
      <c r="F3325" s="2" t="str">
        <v>0</v>
      </c>
      <c r="I3325" s="3" t="str">
        <f ca="1">IFERROR(__xludf.DUMMYFUNCTION("""COMPUTED_VALUE"""),"Đặng phương linh ")</f>
        <v xml:space="preserve">Đặng phương linh </v>
      </c>
      <c r="J3325" s="3" t="str">
        <f ca="1">IFERROR(__xludf.DUMMYFUNCTION("""COMPUTED_VALUE"""),"0385678106")</f>
        <v>0385678106</v>
      </c>
      <c r="K3325" s="2" t="str">
        <f ca="1">IFERROR(__xludf.DUMMYFUNCTION("""COMPUTED_VALUE"""),"1736705261296")</f>
        <v>1736705261296</v>
      </c>
    </row>
    <row r="3326" spans="1:11" ht="12.45">
      <c r="A3326" s="2" t="str">
        <f ca="1">IFERROR(__xludf.DUMMYFUNCTION("""COMPUTED_VALUE"""),"1736705295677")</f>
        <v>1736705295677</v>
      </c>
      <c r="B3326" s="2"/>
      <c r="C3326" s="2" t="str">
        <v>0</v>
      </c>
      <c r="D3326" s="2"/>
      <c r="F3326" s="2" t="str">
        <v>0</v>
      </c>
      <c r="I3326" s="3" t="str">
        <f ca="1">IFERROR(__xludf.DUMMYFUNCTION("""COMPUTED_VALUE"""),"Nguyễn Hồng Ngọc")</f>
        <v>Nguyễn Hồng Ngọc</v>
      </c>
      <c r="J3326" s="3" t="str">
        <f ca="1">IFERROR(__xludf.DUMMYFUNCTION("""COMPUTED_VALUE"""),"0334798078")</f>
        <v>0334798078</v>
      </c>
      <c r="K3326" s="2" t="str">
        <f ca="1">IFERROR(__xludf.DUMMYFUNCTION("""COMPUTED_VALUE"""),"1736705295677")</f>
        <v>1736705295677</v>
      </c>
    </row>
    <row r="3327" spans="1:11" ht="12.45">
      <c r="A3327" s="2" t="str">
        <f ca="1">IFERROR(__xludf.DUMMYFUNCTION("""COMPUTED_VALUE"""),"1736705319795")</f>
        <v>1736705319795</v>
      </c>
      <c r="B3327" s="2"/>
      <c r="C3327" s="2" t="str">
        <v>0</v>
      </c>
      <c r="D3327" s="2"/>
      <c r="F3327" s="2" t="str">
        <v>0</v>
      </c>
      <c r="I3327" s="3" t="str">
        <f ca="1">IFERROR(__xludf.DUMMYFUNCTION("""COMPUTED_VALUE"""),"Đỗ Như Quỳnh ")</f>
        <v xml:space="preserve">Đỗ Như Quỳnh </v>
      </c>
      <c r="J3327" s="3" t="str">
        <f ca="1">IFERROR(__xludf.DUMMYFUNCTION("""COMPUTED_VALUE"""),"0886324512")</f>
        <v>0886324512</v>
      </c>
      <c r="K3327" s="2" t="str">
        <f ca="1">IFERROR(__xludf.DUMMYFUNCTION("""COMPUTED_VALUE"""),"1736705319795")</f>
        <v>1736705319795</v>
      </c>
    </row>
    <row r="3328" spans="1:11" ht="12.45">
      <c r="A3328" s="2" t="str">
        <f ca="1">IFERROR(__xludf.DUMMYFUNCTION("""COMPUTED_VALUE"""),"1736705356251")</f>
        <v>1736705356251</v>
      </c>
      <c r="B3328" s="2"/>
      <c r="C3328" s="2" t="str">
        <v>0</v>
      </c>
      <c r="D3328" s="2"/>
      <c r="F3328" s="2" t="str">
        <v>0</v>
      </c>
      <c r="I3328" s="3" t="str">
        <f ca="1">IFERROR(__xludf.DUMMYFUNCTION("""COMPUTED_VALUE"""),"Trương Thị Thanh Hương")</f>
        <v>Trương Thị Thanh Hương</v>
      </c>
      <c r="J3328" s="3" t="str">
        <f ca="1">IFERROR(__xludf.DUMMYFUNCTION("""COMPUTED_VALUE"""),"0962260851")</f>
        <v>0962260851</v>
      </c>
      <c r="K3328" s="2" t="str">
        <f ca="1">IFERROR(__xludf.DUMMYFUNCTION("""COMPUTED_VALUE"""),"1736705356251")</f>
        <v>1736705356251</v>
      </c>
    </row>
    <row r="3329" spans="1:11" ht="12.45">
      <c r="A3329" s="2" t="str">
        <f ca="1">IFERROR(__xludf.DUMMYFUNCTION("""COMPUTED_VALUE"""),"1736705389090")</f>
        <v>1736705389090</v>
      </c>
      <c r="B3329" s="2"/>
      <c r="C3329" s="2" t="str">
        <v>0</v>
      </c>
      <c r="D3329" s="2"/>
      <c r="F3329" s="2" t="str">
        <v>0</v>
      </c>
      <c r="I3329" s="3" t="str">
        <f ca="1">IFERROR(__xludf.DUMMYFUNCTION("""COMPUTED_VALUE"""),"Nguyễn Thoại Kha")</f>
        <v>Nguyễn Thoại Kha</v>
      </c>
      <c r="J3329" s="3" t="str">
        <f ca="1">IFERROR(__xludf.DUMMYFUNCTION("""COMPUTED_VALUE"""),"0387961500")</f>
        <v>0387961500</v>
      </c>
      <c r="K3329" s="2" t="str">
        <f ca="1">IFERROR(__xludf.DUMMYFUNCTION("""COMPUTED_VALUE"""),"1736705389090")</f>
        <v>1736705389090</v>
      </c>
    </row>
    <row r="3330" spans="1:11" ht="12.45">
      <c r="A3330" s="2" t="str">
        <f ca="1">IFERROR(__xludf.DUMMYFUNCTION("""COMPUTED_VALUE"""),"1736705425466")</f>
        <v>1736705425466</v>
      </c>
      <c r="B3330" s="2"/>
      <c r="C3330" s="2" t="str">
        <v>0</v>
      </c>
      <c r="D3330" s="2"/>
      <c r="F3330" s="2" t="str">
        <v>0</v>
      </c>
      <c r="I3330" s="3" t="str">
        <f ca="1">IFERROR(__xludf.DUMMYFUNCTION("""COMPUTED_VALUE"""),"Trần Gia Bảo")</f>
        <v>Trần Gia Bảo</v>
      </c>
      <c r="J3330" s="3" t="str">
        <f ca="1">IFERROR(__xludf.DUMMYFUNCTION("""COMPUTED_VALUE"""),"0867440040")</f>
        <v>0867440040</v>
      </c>
      <c r="K3330" s="2" t="str">
        <f ca="1">IFERROR(__xludf.DUMMYFUNCTION("""COMPUTED_VALUE"""),"1736705425466")</f>
        <v>1736705425466</v>
      </c>
    </row>
    <row r="3331" spans="1:11" ht="12.45">
      <c r="A3331" s="2" t="str">
        <f ca="1">IFERROR(__xludf.DUMMYFUNCTION("""COMPUTED_VALUE"""),"1736705468869")</f>
        <v>1736705468869</v>
      </c>
      <c r="B3331" s="2"/>
      <c r="C3331" s="2" t="str">
        <v>0</v>
      </c>
      <c r="D3331" s="2"/>
      <c r="F3331" s="2" t="str">
        <v>0</v>
      </c>
      <c r="I3331" s="3" t="str">
        <f ca="1">IFERROR(__xludf.DUMMYFUNCTION("""COMPUTED_VALUE"""),"Nguyễn Thuý Ngọc")</f>
        <v>Nguyễn Thuý Ngọc</v>
      </c>
      <c r="J3331" s="3" t="str">
        <f ca="1">IFERROR(__xludf.DUMMYFUNCTION("""COMPUTED_VALUE"""),"0961911295")</f>
        <v>0961911295</v>
      </c>
      <c r="K3331" s="2" t="str">
        <f ca="1">IFERROR(__xludf.DUMMYFUNCTION("""COMPUTED_VALUE"""),"1736705468869")</f>
        <v>1736705468869</v>
      </c>
    </row>
    <row r="3332" spans="1:11" ht="12.45">
      <c r="A3332" s="2" t="str">
        <f ca="1">IFERROR(__xludf.DUMMYFUNCTION("""COMPUTED_VALUE"""),"1736705505193")</f>
        <v>1736705505193</v>
      </c>
      <c r="B3332" s="2"/>
      <c r="C3332" s="2" t="str">
        <v>0</v>
      </c>
      <c r="D3332" s="2"/>
      <c r="F3332" s="2" t="str">
        <v>0</v>
      </c>
      <c r="I3332" s="3" t="str">
        <f ca="1">IFERROR(__xludf.DUMMYFUNCTION("""COMPUTED_VALUE"""),"Dương Hương Ly")</f>
        <v>Dương Hương Ly</v>
      </c>
      <c r="J3332" s="3" t="str">
        <f ca="1">IFERROR(__xludf.DUMMYFUNCTION("""COMPUTED_VALUE"""),"0374861900")</f>
        <v>0374861900</v>
      </c>
      <c r="K3332" s="2" t="str">
        <f ca="1">IFERROR(__xludf.DUMMYFUNCTION("""COMPUTED_VALUE"""),"1736705505193")</f>
        <v>1736705505193</v>
      </c>
    </row>
    <row r="3333" spans="1:11" ht="12.45">
      <c r="A3333" s="2" t="str">
        <f ca="1">IFERROR(__xludf.DUMMYFUNCTION("""COMPUTED_VALUE"""),"1736705540551")</f>
        <v>1736705540551</v>
      </c>
      <c r="B3333" s="2"/>
      <c r="C3333" s="2" t="str">
        <v>0</v>
      </c>
      <c r="D3333" s="2"/>
      <c r="F3333" s="2" t="str">
        <v>0</v>
      </c>
      <c r="I3333" s="3" t="str">
        <f ca="1">IFERROR(__xludf.DUMMYFUNCTION("""COMPUTED_VALUE"""),"Nguyễn Tâm Anh")</f>
        <v>Nguyễn Tâm Anh</v>
      </c>
      <c r="J3333" s="3" t="str">
        <f ca="1">IFERROR(__xludf.DUMMYFUNCTION("""COMPUTED_VALUE"""),"0372371140")</f>
        <v>0372371140</v>
      </c>
      <c r="K3333" s="2" t="str">
        <f ca="1">IFERROR(__xludf.DUMMYFUNCTION("""COMPUTED_VALUE"""),"1736705540551")</f>
        <v>1736705540551</v>
      </c>
    </row>
    <row r="3334" spans="1:11" ht="12.45">
      <c r="A3334" s="2" t="str">
        <f ca="1">IFERROR(__xludf.DUMMYFUNCTION("""COMPUTED_VALUE"""),"1736705580280")</f>
        <v>1736705580280</v>
      </c>
      <c r="B3334" s="2"/>
      <c r="C3334" s="2" t="str">
        <v>0</v>
      </c>
      <c r="D3334" s="2"/>
      <c r="F3334" s="2" t="str">
        <v>0</v>
      </c>
      <c r="I3334" s="3" t="str">
        <f ca="1">IFERROR(__xludf.DUMMYFUNCTION("""COMPUTED_VALUE"""),"Nguyễn Anh Thư")</f>
        <v>Nguyễn Anh Thư</v>
      </c>
      <c r="J3334" s="3" t="str">
        <f ca="1">IFERROR(__xludf.DUMMYFUNCTION("""COMPUTED_VALUE"""),"0812650577")</f>
        <v>0812650577</v>
      </c>
      <c r="K3334" s="2" t="str">
        <f ca="1">IFERROR(__xludf.DUMMYFUNCTION("""COMPUTED_VALUE"""),"1736705580280")</f>
        <v>1736705580280</v>
      </c>
    </row>
    <row r="3335" spans="1:11" ht="12.45">
      <c r="A3335" s="2" t="str">
        <f ca="1">IFERROR(__xludf.DUMMYFUNCTION("""COMPUTED_VALUE"""),"1736705635461")</f>
        <v>1736705635461</v>
      </c>
      <c r="B3335" s="2"/>
      <c r="C3335" s="2" t="str">
        <v>0</v>
      </c>
      <c r="D3335" s="2"/>
      <c r="F3335" s="2" t="str">
        <v>0</v>
      </c>
      <c r="I3335" s="3" t="str">
        <f ca="1">IFERROR(__xludf.DUMMYFUNCTION("""COMPUTED_VALUE"""),"bùi thị ngọc diệp")</f>
        <v>bùi thị ngọc diệp</v>
      </c>
      <c r="J3335" s="3" t="str">
        <f ca="1">IFERROR(__xludf.DUMMYFUNCTION("""COMPUTED_VALUE"""),"0944385539")</f>
        <v>0944385539</v>
      </c>
      <c r="K3335" s="2" t="str">
        <f ca="1">IFERROR(__xludf.DUMMYFUNCTION("""COMPUTED_VALUE"""),"1736705635461")</f>
        <v>1736705635461</v>
      </c>
    </row>
    <row r="3336" spans="1:11" ht="12.45">
      <c r="A3336" s="2" t="str">
        <f ca="1">IFERROR(__xludf.DUMMYFUNCTION("""COMPUTED_VALUE"""),"1736705694501")</f>
        <v>1736705694501</v>
      </c>
      <c r="B3336" s="2"/>
      <c r="C3336" s="2" t="str">
        <v>0</v>
      </c>
      <c r="D3336" s="2"/>
      <c r="F3336" s="2" t="str">
        <v>0</v>
      </c>
      <c r="I3336" s="3" t="str">
        <f ca="1">IFERROR(__xludf.DUMMYFUNCTION("""COMPUTED_VALUE"""),"Lý Tâm Như")</f>
        <v>Lý Tâm Như</v>
      </c>
      <c r="J3336" s="3" t="str">
        <f ca="1">IFERROR(__xludf.DUMMYFUNCTION("""COMPUTED_VALUE"""),"0931624191")</f>
        <v>0931624191</v>
      </c>
      <c r="K3336" s="2" t="str">
        <f ca="1">IFERROR(__xludf.DUMMYFUNCTION("""COMPUTED_VALUE"""),"1736705694501")</f>
        <v>1736705694501</v>
      </c>
    </row>
    <row r="3337" spans="1:11" ht="12.45">
      <c r="A3337" s="2" t="str">
        <f ca="1">IFERROR(__xludf.DUMMYFUNCTION("""COMPUTED_VALUE"""),"1736705749318")</f>
        <v>1736705749318</v>
      </c>
      <c r="B3337" s="2"/>
      <c r="C3337" s="2" t="str">
        <v>0</v>
      </c>
      <c r="D3337" s="2"/>
      <c r="F3337" s="2" t="str">
        <v>0</v>
      </c>
      <c r="I3337" s="3" t="str">
        <f ca="1">IFERROR(__xludf.DUMMYFUNCTION("""COMPUTED_VALUE"""),"Hoàng Thị Huệ Chi")</f>
        <v>Hoàng Thị Huệ Chi</v>
      </c>
      <c r="J3337" s="3" t="str">
        <f ca="1">IFERROR(__xludf.DUMMYFUNCTION("""COMPUTED_VALUE"""),"0565862697")</f>
        <v>0565862697</v>
      </c>
      <c r="K3337" s="2" t="str">
        <f ca="1">IFERROR(__xludf.DUMMYFUNCTION("""COMPUTED_VALUE"""),"1736705749318")</f>
        <v>1736705749318</v>
      </c>
    </row>
    <row r="3338" spans="1:11" ht="12.45">
      <c r="A3338" s="2" t="str">
        <f ca="1">IFERROR(__xludf.DUMMYFUNCTION("""COMPUTED_VALUE"""),"1736705797501")</f>
        <v>1736705797501</v>
      </c>
      <c r="B3338" s="2"/>
      <c r="C3338" s="2" t="str">
        <v>0</v>
      </c>
      <c r="D3338" s="2"/>
      <c r="F3338" s="2" t="str">
        <v>0</v>
      </c>
      <c r="I3338" s="3" t="str">
        <f ca="1">IFERROR(__xludf.DUMMYFUNCTION("""COMPUTED_VALUE"""),"Phạm Minh Tâm")</f>
        <v>Phạm Minh Tâm</v>
      </c>
      <c r="J3338" s="3" t="str">
        <f ca="1">IFERROR(__xludf.DUMMYFUNCTION("""COMPUTED_VALUE"""),"0703034975")</f>
        <v>0703034975</v>
      </c>
      <c r="K3338" s="2" t="str">
        <f ca="1">IFERROR(__xludf.DUMMYFUNCTION("""COMPUTED_VALUE"""),"1736705797501")</f>
        <v>1736705797501</v>
      </c>
    </row>
    <row r="3339" spans="1:11" ht="12.45">
      <c r="A3339" s="2" t="str">
        <f ca="1">IFERROR(__xludf.DUMMYFUNCTION("""COMPUTED_VALUE"""),"1736705835842")</f>
        <v>1736705835842</v>
      </c>
      <c r="B3339" s="2"/>
      <c r="C3339" s="2" t="str">
        <v>0</v>
      </c>
      <c r="D3339" s="2"/>
      <c r="F3339" s="2" t="str">
        <v>0</v>
      </c>
      <c r="I3339" s="3" t="str">
        <f ca="1">IFERROR(__xludf.DUMMYFUNCTION("""COMPUTED_VALUE"""),"Trần Anh Thư ")</f>
        <v xml:space="preserve">Trần Anh Thư </v>
      </c>
      <c r="J3339" s="3" t="str">
        <f ca="1">IFERROR(__xludf.DUMMYFUNCTION("""COMPUTED_VALUE"""),"0943331838")</f>
        <v>0943331838</v>
      </c>
      <c r="K3339" s="2" t="str">
        <f ca="1">IFERROR(__xludf.DUMMYFUNCTION("""COMPUTED_VALUE"""),"1736705835842")</f>
        <v>1736705835842</v>
      </c>
    </row>
    <row r="3340" spans="1:11" ht="12.45">
      <c r="A3340" s="2" t="str">
        <f ca="1">IFERROR(__xludf.DUMMYFUNCTION("""COMPUTED_VALUE"""),"1736705882836")</f>
        <v>1736705882836</v>
      </c>
      <c r="B3340" s="2"/>
      <c r="C3340" s="2" t="str">
        <v>0</v>
      </c>
      <c r="D3340" s="2"/>
      <c r="F3340" s="2" t="str">
        <v>0</v>
      </c>
      <c r="I3340" s="3" t="str">
        <f ca="1">IFERROR(__xludf.DUMMYFUNCTION("""COMPUTED_VALUE"""),"Trần Thương")</f>
        <v>Trần Thương</v>
      </c>
      <c r="J3340" s="3" t="str">
        <f ca="1">IFERROR(__xludf.DUMMYFUNCTION("""COMPUTED_VALUE"""),"0862119633")</f>
        <v>0862119633</v>
      </c>
      <c r="K3340" s="2" t="str">
        <f ca="1">IFERROR(__xludf.DUMMYFUNCTION("""COMPUTED_VALUE"""),"1736705882836")</f>
        <v>1736705882836</v>
      </c>
    </row>
    <row r="3341" spans="1:11" ht="12.45">
      <c r="A3341" s="2" t="str">
        <f ca="1">IFERROR(__xludf.DUMMYFUNCTION("""COMPUTED_VALUE"""),"1736705923065")</f>
        <v>1736705923065</v>
      </c>
      <c r="B3341" s="2"/>
      <c r="C3341" s="2" t="str">
        <v>0</v>
      </c>
      <c r="D3341" s="2"/>
      <c r="F3341" s="2" t="str">
        <v>0</v>
      </c>
      <c r="I3341" s="3" t="str">
        <f ca="1">IFERROR(__xludf.DUMMYFUNCTION("""COMPUTED_VALUE"""),"TRẦN ĐẶNG HÀ CHÂU")</f>
        <v>TRẦN ĐẶNG HÀ CHÂU</v>
      </c>
      <c r="J3341" s="3" t="str">
        <f ca="1">IFERROR(__xludf.DUMMYFUNCTION("""COMPUTED_VALUE"""),"0834964179")</f>
        <v>0834964179</v>
      </c>
      <c r="K3341" s="2" t="str">
        <f ca="1">IFERROR(__xludf.DUMMYFUNCTION("""COMPUTED_VALUE"""),"1736705923065")</f>
        <v>1736705923065</v>
      </c>
    </row>
    <row r="3342" spans="1:11" ht="12.45">
      <c r="A3342" s="2" t="str">
        <f ca="1">IFERROR(__xludf.DUMMYFUNCTION("""COMPUTED_VALUE"""),"1736705964022")</f>
        <v>1736705964022</v>
      </c>
      <c r="B3342" s="2"/>
      <c r="C3342" s="2" t="str">
        <v>0</v>
      </c>
      <c r="D3342" s="2"/>
      <c r="F3342" s="2" t="str">
        <v>0</v>
      </c>
      <c r="I3342" s="3" t="str">
        <f ca="1">IFERROR(__xludf.DUMMYFUNCTION("""COMPUTED_VALUE"""),"Phan Tường Vy")</f>
        <v>Phan Tường Vy</v>
      </c>
      <c r="J3342" s="3" t="str">
        <f ca="1">IFERROR(__xludf.DUMMYFUNCTION("""COMPUTED_VALUE"""),"0392409158")</f>
        <v>0392409158</v>
      </c>
      <c r="K3342" s="2" t="str">
        <f ca="1">IFERROR(__xludf.DUMMYFUNCTION("""COMPUTED_VALUE"""),"1736705964022")</f>
        <v>1736705964022</v>
      </c>
    </row>
    <row r="3343" spans="1:11" ht="12.45">
      <c r="A3343" s="2" t="str">
        <f ca="1">IFERROR(__xludf.DUMMYFUNCTION("""COMPUTED_VALUE"""),"1736706011576")</f>
        <v>1736706011576</v>
      </c>
      <c r="B3343" s="2"/>
      <c r="C3343" s="2" t="str">
        <v>0</v>
      </c>
      <c r="D3343" s="2"/>
      <c r="F3343" s="2" t="str">
        <v>0</v>
      </c>
      <c r="I3343" s="3" t="str">
        <f ca="1">IFERROR(__xludf.DUMMYFUNCTION("""COMPUTED_VALUE"""),"Trương Quốc Kiệt ")</f>
        <v xml:space="preserve">Trương Quốc Kiệt </v>
      </c>
      <c r="J3343" s="3" t="str">
        <f ca="1">IFERROR(__xludf.DUMMYFUNCTION("""COMPUTED_VALUE"""),"0359767644")</f>
        <v>0359767644</v>
      </c>
      <c r="K3343" s="2" t="str">
        <f ca="1">IFERROR(__xludf.DUMMYFUNCTION("""COMPUTED_VALUE"""),"1736706011576")</f>
        <v>1736706011576</v>
      </c>
    </row>
    <row r="3344" spans="1:11" ht="12.45">
      <c r="A3344" s="2" t="str">
        <f ca="1">IFERROR(__xludf.DUMMYFUNCTION("""COMPUTED_VALUE"""),"1736706067859")</f>
        <v>1736706067859</v>
      </c>
      <c r="B3344" s="2"/>
      <c r="C3344" s="2" t="str">
        <v>0</v>
      </c>
      <c r="D3344" s="2"/>
      <c r="F3344" s="2" t="str">
        <v>0</v>
      </c>
      <c r="I3344" s="3" t="str">
        <f ca="1">IFERROR(__xludf.DUMMYFUNCTION("""COMPUTED_VALUE"""),"Phạm Thảo Linh ")</f>
        <v xml:space="preserve">Phạm Thảo Linh </v>
      </c>
      <c r="J3344" s="3" t="str">
        <f ca="1">IFERROR(__xludf.DUMMYFUNCTION("""COMPUTED_VALUE"""),"0962940134")</f>
        <v>0962940134</v>
      </c>
      <c r="K3344" s="2" t="str">
        <f ca="1">IFERROR(__xludf.DUMMYFUNCTION("""COMPUTED_VALUE"""),"1736706067859")</f>
        <v>1736706067859</v>
      </c>
    </row>
    <row r="3345" spans="1:11" ht="12.45">
      <c r="A3345" s="2" t="str">
        <f ca="1">IFERROR(__xludf.DUMMYFUNCTION("""COMPUTED_VALUE"""),"1736706102763")</f>
        <v>1736706102763</v>
      </c>
      <c r="B3345" s="2"/>
      <c r="C3345" s="2" t="str">
        <v>0</v>
      </c>
      <c r="D3345" s="2"/>
      <c r="F3345" s="2" t="str">
        <v>0</v>
      </c>
      <c r="I3345" s="3" t="str">
        <f ca="1">IFERROR(__xludf.DUMMYFUNCTION("""COMPUTED_VALUE"""),"Nguyễn Yến Linh")</f>
        <v>Nguyễn Yến Linh</v>
      </c>
      <c r="J3345" s="3" t="str">
        <f ca="1">IFERROR(__xludf.DUMMYFUNCTION("""COMPUTED_VALUE"""),"0338966229")</f>
        <v>0338966229</v>
      </c>
      <c r="K3345" s="2" t="str">
        <f ca="1">IFERROR(__xludf.DUMMYFUNCTION("""COMPUTED_VALUE"""),"1736706102763")</f>
        <v>1736706102763</v>
      </c>
    </row>
    <row r="3346" spans="1:11" ht="12.45">
      <c r="A3346" s="2" t="str">
        <f ca="1">IFERROR(__xludf.DUMMYFUNCTION("""COMPUTED_VALUE"""),"1736706130368")</f>
        <v>1736706130368</v>
      </c>
      <c r="B3346" s="2"/>
      <c r="C3346" s="2" t="str">
        <v>0</v>
      </c>
      <c r="D3346" s="2"/>
      <c r="F3346" s="2" t="str">
        <v>0</v>
      </c>
      <c r="I3346" s="3" t="str">
        <f ca="1">IFERROR(__xludf.DUMMYFUNCTION("""COMPUTED_VALUE"""),"Đặng Hương Giang")</f>
        <v>Đặng Hương Giang</v>
      </c>
      <c r="J3346" s="3" t="str">
        <f ca="1">IFERROR(__xludf.DUMMYFUNCTION("""COMPUTED_VALUE"""),"0865181007")</f>
        <v>0865181007</v>
      </c>
      <c r="K3346" s="2" t="str">
        <f ca="1">IFERROR(__xludf.DUMMYFUNCTION("""COMPUTED_VALUE"""),"1736706130368")</f>
        <v>1736706130368</v>
      </c>
    </row>
    <row r="3347" spans="1:11" ht="12.45">
      <c r="A3347" s="2" t="str">
        <f ca="1">IFERROR(__xludf.DUMMYFUNCTION("""COMPUTED_VALUE"""),"1736706171521")</f>
        <v>1736706171521</v>
      </c>
      <c r="B3347" s="2"/>
      <c r="C3347" s="2" t="str">
        <v>0</v>
      </c>
      <c r="D3347" s="2"/>
      <c r="F3347" s="2" t="str">
        <v>0</v>
      </c>
      <c r="I3347" s="3" t="str">
        <f ca="1">IFERROR(__xludf.DUMMYFUNCTION("""COMPUTED_VALUE"""),"Nguyễn Thị Bích Trâm")</f>
        <v>Nguyễn Thị Bích Trâm</v>
      </c>
      <c r="J3347" s="3" t="str">
        <f ca="1">IFERROR(__xludf.DUMMYFUNCTION("""COMPUTED_VALUE"""),"0853049749")</f>
        <v>0853049749</v>
      </c>
      <c r="K3347" s="2" t="str">
        <f ca="1">IFERROR(__xludf.DUMMYFUNCTION("""COMPUTED_VALUE"""),"1736706171521")</f>
        <v>1736706171521</v>
      </c>
    </row>
    <row r="3348" spans="1:11" ht="12.45">
      <c r="A3348" s="2" t="str">
        <f ca="1">IFERROR(__xludf.DUMMYFUNCTION("""COMPUTED_VALUE"""),"1736706210606")</f>
        <v>1736706210606</v>
      </c>
      <c r="B3348" s="2"/>
      <c r="C3348" s="2" t="str">
        <v>0</v>
      </c>
      <c r="D3348" s="2"/>
      <c r="F3348" s="2" t="str">
        <v>0</v>
      </c>
      <c r="I3348" s="3" t="str">
        <f ca="1">IFERROR(__xludf.DUMMYFUNCTION("""COMPUTED_VALUE"""),"Nguyễn Mai Anh ")</f>
        <v xml:space="preserve">Nguyễn Mai Anh </v>
      </c>
      <c r="J3348" s="3" t="str">
        <f ca="1">IFERROR(__xludf.DUMMYFUNCTION("""COMPUTED_VALUE"""),"0869338491")</f>
        <v>0869338491</v>
      </c>
      <c r="K3348" s="2" t="str">
        <f ca="1">IFERROR(__xludf.DUMMYFUNCTION("""COMPUTED_VALUE"""),"1736706210606")</f>
        <v>1736706210606</v>
      </c>
    </row>
    <row r="3349" spans="1:11" ht="12.45">
      <c r="A3349" s="2" t="str">
        <f ca="1">IFERROR(__xludf.DUMMYFUNCTION("""COMPUTED_VALUE"""),"1736706250962")</f>
        <v>1736706250962</v>
      </c>
      <c r="B3349" s="2"/>
      <c r="C3349" s="2" t="str">
        <v>0</v>
      </c>
      <c r="D3349" s="2"/>
      <c r="F3349" s="2" t="str">
        <v>0</v>
      </c>
      <c r="I3349" s="3" t="str">
        <f ca="1">IFERROR(__xludf.DUMMYFUNCTION("""COMPUTED_VALUE"""),"Võ Thị Hoàng Nhi")</f>
        <v>Võ Thị Hoàng Nhi</v>
      </c>
      <c r="J3349" s="3" t="str">
        <f ca="1">IFERROR(__xludf.DUMMYFUNCTION("""COMPUTED_VALUE"""),"0336589773")</f>
        <v>0336589773</v>
      </c>
      <c r="K3349" s="2" t="str">
        <f ca="1">IFERROR(__xludf.DUMMYFUNCTION("""COMPUTED_VALUE"""),"1736706250962")</f>
        <v>1736706250962</v>
      </c>
    </row>
    <row r="3350" spans="1:11" ht="12.45">
      <c r="A3350" s="2" t="str">
        <f ca="1">IFERROR(__xludf.DUMMYFUNCTION("""COMPUTED_VALUE"""),"1736706305113")</f>
        <v>1736706305113</v>
      </c>
      <c r="B3350" s="2"/>
      <c r="C3350" s="2" t="str">
        <v>0</v>
      </c>
      <c r="D3350" s="2"/>
      <c r="F3350" s="2" t="str">
        <v>0</v>
      </c>
      <c r="I3350" s="3" t="str">
        <f ca="1">IFERROR(__xludf.DUMMYFUNCTION("""COMPUTED_VALUE"""),"Nguyễn Thị Hương Giang ")</f>
        <v xml:space="preserve">Nguyễn Thị Hương Giang </v>
      </c>
      <c r="J3350" s="3" t="str">
        <f ca="1">IFERROR(__xludf.DUMMYFUNCTION("""COMPUTED_VALUE"""),"0342906603")</f>
        <v>0342906603</v>
      </c>
      <c r="K3350" s="2" t="str">
        <f ca="1">IFERROR(__xludf.DUMMYFUNCTION("""COMPUTED_VALUE"""),"1736706305113")</f>
        <v>1736706305113</v>
      </c>
    </row>
    <row r="3351" spans="1:11" ht="12.45">
      <c r="A3351" s="2" t="str">
        <f ca="1">IFERROR(__xludf.DUMMYFUNCTION("""COMPUTED_VALUE"""),"1736706337955")</f>
        <v>1736706337955</v>
      </c>
      <c r="B3351" s="2"/>
      <c r="C3351" s="2" t="str">
        <v>0</v>
      </c>
      <c r="D3351" s="2"/>
      <c r="F3351" s="2" t="str">
        <v>0</v>
      </c>
      <c r="I3351" s="3" t="str">
        <f ca="1">IFERROR(__xludf.DUMMYFUNCTION("""COMPUTED_VALUE"""),"Trần Hoàn Thái Vũ")</f>
        <v>Trần Hoàn Thái Vũ</v>
      </c>
      <c r="J3351" s="3" t="str">
        <f ca="1">IFERROR(__xludf.DUMMYFUNCTION("""COMPUTED_VALUE"""),"0968876115")</f>
        <v>0968876115</v>
      </c>
      <c r="K3351" s="2" t="str">
        <f ca="1">IFERROR(__xludf.DUMMYFUNCTION("""COMPUTED_VALUE"""),"1736706337955")</f>
        <v>1736706337955</v>
      </c>
    </row>
    <row r="3352" spans="1:11" ht="12.45">
      <c r="A3352" s="2" t="str">
        <f ca="1">IFERROR(__xludf.DUMMYFUNCTION("""COMPUTED_VALUE"""),"1736706375306")</f>
        <v>1736706375306</v>
      </c>
      <c r="B3352" s="2"/>
      <c r="C3352" s="2" t="str">
        <v>0</v>
      </c>
      <c r="D3352" s="2"/>
      <c r="F3352" s="2" t="str">
        <v>0</v>
      </c>
      <c r="I3352" s="3" t="str">
        <f ca="1">IFERROR(__xludf.DUMMYFUNCTION("""COMPUTED_VALUE"""),"Nguyễn Thị Ngọc Nhi")</f>
        <v>Nguyễn Thị Ngọc Nhi</v>
      </c>
      <c r="J3352" s="3" t="str">
        <f ca="1">IFERROR(__xludf.DUMMYFUNCTION("""COMPUTED_VALUE"""),"0968353631")</f>
        <v>0968353631</v>
      </c>
      <c r="K3352" s="2" t="str">
        <f ca="1">IFERROR(__xludf.DUMMYFUNCTION("""COMPUTED_VALUE"""),"1736706375306")</f>
        <v>1736706375306</v>
      </c>
    </row>
    <row r="3353" spans="1:11" ht="12.45">
      <c r="A3353" s="2" t="str">
        <f ca="1">IFERROR(__xludf.DUMMYFUNCTION("""COMPUTED_VALUE"""),"1736706437091")</f>
        <v>1736706437091</v>
      </c>
      <c r="B3353" s="2"/>
      <c r="C3353" s="2" t="str">
        <v>0</v>
      </c>
      <c r="D3353" s="2"/>
      <c r="F3353" s="2" t="str">
        <v>0</v>
      </c>
      <c r="I3353" s="3" t="str">
        <f ca="1">IFERROR(__xludf.DUMMYFUNCTION("""COMPUTED_VALUE"""),"Lê Thị Hà Vy ")</f>
        <v xml:space="preserve">Lê Thị Hà Vy </v>
      </c>
      <c r="J3353" s="3" t="str">
        <f ca="1">IFERROR(__xludf.DUMMYFUNCTION("""COMPUTED_VALUE"""),"0393233723")</f>
        <v>0393233723</v>
      </c>
      <c r="K3353" s="2" t="str">
        <f ca="1">IFERROR(__xludf.DUMMYFUNCTION("""COMPUTED_VALUE"""),"1736706437091")</f>
        <v>1736706437091</v>
      </c>
    </row>
    <row r="3354" spans="1:11" ht="12.45">
      <c r="A3354" s="2" t="str">
        <f ca="1">IFERROR(__xludf.DUMMYFUNCTION("""COMPUTED_VALUE"""),"1736706471146")</f>
        <v>1736706471146</v>
      </c>
      <c r="B3354" s="2"/>
      <c r="C3354" s="2" t="str">
        <v>0</v>
      </c>
      <c r="D3354" s="2"/>
      <c r="F3354" s="2" t="str">
        <v>0</v>
      </c>
      <c r="I3354" s="3" t="str">
        <f ca="1">IFERROR(__xludf.DUMMYFUNCTION("""COMPUTED_VALUE"""),"Cao Quỳnh Như")</f>
        <v>Cao Quỳnh Như</v>
      </c>
      <c r="J3354" s="3" t="str">
        <f ca="1">IFERROR(__xludf.DUMMYFUNCTION("""COMPUTED_VALUE"""),"0343844459")</f>
        <v>0343844459</v>
      </c>
      <c r="K3354" s="2" t="str">
        <f ca="1">IFERROR(__xludf.DUMMYFUNCTION("""COMPUTED_VALUE"""),"1736706471146")</f>
        <v>1736706471146</v>
      </c>
    </row>
    <row r="3355" spans="1:11" ht="12.45">
      <c r="A3355" s="2" t="str">
        <f ca="1">IFERROR(__xludf.DUMMYFUNCTION("""COMPUTED_VALUE"""),"1736706513067")</f>
        <v>1736706513067</v>
      </c>
      <c r="B3355" s="2"/>
      <c r="C3355" s="2" t="str">
        <v>0</v>
      </c>
      <c r="D3355" s="2"/>
      <c r="F3355" s="2" t="str">
        <v>0</v>
      </c>
      <c r="I3355" s="3" t="str">
        <f ca="1">IFERROR(__xludf.DUMMYFUNCTION("""COMPUTED_VALUE"""),"Huỳnh Nguyễn Hương Giang")</f>
        <v>Huỳnh Nguyễn Hương Giang</v>
      </c>
      <c r="J3355" s="3" t="str">
        <f ca="1">IFERROR(__xludf.DUMMYFUNCTION("""COMPUTED_VALUE"""),"0386012679")</f>
        <v>0386012679</v>
      </c>
      <c r="K3355" s="2" t="str">
        <f ca="1">IFERROR(__xludf.DUMMYFUNCTION("""COMPUTED_VALUE"""),"1736706513067")</f>
        <v>1736706513067</v>
      </c>
    </row>
    <row r="3356" spans="1:11" ht="12.45">
      <c r="A3356" s="2" t="str">
        <f ca="1">IFERROR(__xludf.DUMMYFUNCTION("""COMPUTED_VALUE"""),"1736706551840")</f>
        <v>1736706551840</v>
      </c>
      <c r="B3356" s="2"/>
      <c r="C3356" s="2" t="str">
        <v>0</v>
      </c>
      <c r="D3356" s="2"/>
      <c r="F3356" s="2" t="str">
        <v>0</v>
      </c>
      <c r="I3356" s="3" t="str">
        <f ca="1">IFERROR(__xludf.DUMMYFUNCTION("""COMPUTED_VALUE"""),"Nguyễn Thị Bảo Chăm")</f>
        <v>Nguyễn Thị Bảo Chăm</v>
      </c>
      <c r="J3356" s="3" t="str">
        <f ca="1">IFERROR(__xludf.DUMMYFUNCTION("""COMPUTED_VALUE"""),"0375710094")</f>
        <v>0375710094</v>
      </c>
      <c r="K3356" s="2" t="str">
        <f ca="1">IFERROR(__xludf.DUMMYFUNCTION("""COMPUTED_VALUE"""),"1736706551840")</f>
        <v>1736706551840</v>
      </c>
    </row>
    <row r="3357" spans="1:11" ht="12.45">
      <c r="A3357" s="2" t="str">
        <f ca="1">IFERROR(__xludf.DUMMYFUNCTION("""COMPUTED_VALUE"""),"1736706597683")</f>
        <v>1736706597683</v>
      </c>
      <c r="B3357" s="2"/>
      <c r="C3357" s="2" t="str">
        <v>0</v>
      </c>
      <c r="D3357" s="2"/>
      <c r="F3357" s="2" t="str">
        <v>0</v>
      </c>
      <c r="I3357" s="3" t="str">
        <f ca="1">IFERROR(__xludf.DUMMYFUNCTION("""COMPUTED_VALUE"""),"Thân Hà Phương Vy")</f>
        <v>Thân Hà Phương Vy</v>
      </c>
      <c r="J3357" s="3" t="str">
        <f ca="1">IFERROR(__xludf.DUMMYFUNCTION("""COMPUTED_VALUE"""),"0764079647")</f>
        <v>0764079647</v>
      </c>
      <c r="K3357" s="2" t="str">
        <f ca="1">IFERROR(__xludf.DUMMYFUNCTION("""COMPUTED_VALUE"""),"1736706597683")</f>
        <v>1736706597683</v>
      </c>
    </row>
    <row r="3358" spans="1:11" ht="12.45">
      <c r="A3358" s="2" t="str">
        <f ca="1">IFERROR(__xludf.DUMMYFUNCTION("""COMPUTED_VALUE"""),"1736706629321")</f>
        <v>1736706629321</v>
      </c>
      <c r="B3358" s="2"/>
      <c r="C3358" s="2" t="str">
        <v>0</v>
      </c>
      <c r="D3358" s="2"/>
      <c r="F3358" s="2" t="str">
        <v>0</v>
      </c>
      <c r="I3358" s="3" t="str">
        <f ca="1">IFERROR(__xludf.DUMMYFUNCTION("""COMPUTED_VALUE"""),"Nguyễn Minh Hà")</f>
        <v>Nguyễn Minh Hà</v>
      </c>
      <c r="J3358" s="3" t="str">
        <f ca="1">IFERROR(__xludf.DUMMYFUNCTION("""COMPUTED_VALUE"""),"0886407026")</f>
        <v>0886407026</v>
      </c>
      <c r="K3358" s="2" t="str">
        <f ca="1">IFERROR(__xludf.DUMMYFUNCTION("""COMPUTED_VALUE"""),"1736706629321")</f>
        <v>1736706629321</v>
      </c>
    </row>
    <row r="3359" spans="1:11" ht="12.45">
      <c r="A3359" s="2" t="str">
        <f ca="1">IFERROR(__xludf.DUMMYFUNCTION("""COMPUTED_VALUE"""),"1736706660273")</f>
        <v>1736706660273</v>
      </c>
      <c r="B3359" s="2"/>
      <c r="C3359" s="2" t="str">
        <v>0</v>
      </c>
      <c r="D3359" s="2"/>
      <c r="F3359" s="2" t="str">
        <v>0</v>
      </c>
      <c r="I3359" s="3" t="str">
        <f ca="1">IFERROR(__xludf.DUMMYFUNCTION("""COMPUTED_VALUE"""),"Vũ Ngân Hà")</f>
        <v>Vũ Ngân Hà</v>
      </c>
      <c r="J3359" s="3" t="str">
        <f ca="1">IFERROR(__xludf.DUMMYFUNCTION("""COMPUTED_VALUE"""),"0384613585")</f>
        <v>0384613585</v>
      </c>
      <c r="K3359" s="2" t="str">
        <f ca="1">IFERROR(__xludf.DUMMYFUNCTION("""COMPUTED_VALUE"""),"1736706660273")</f>
        <v>1736706660273</v>
      </c>
    </row>
    <row r="3360" spans="1:11" ht="12.45">
      <c r="A3360" s="2" t="str">
        <f ca="1">IFERROR(__xludf.DUMMYFUNCTION("""COMPUTED_VALUE"""),"1736706704836")</f>
        <v>1736706704836</v>
      </c>
      <c r="B3360" s="2"/>
      <c r="C3360" s="2" t="str">
        <v>0</v>
      </c>
      <c r="D3360" s="2"/>
      <c r="F3360" s="2" t="str">
        <v>0</v>
      </c>
      <c r="I3360" s="3" t="str">
        <f ca="1">IFERROR(__xludf.DUMMYFUNCTION("""COMPUTED_VALUE"""),"Nguyễn Thị Nhung ")</f>
        <v xml:space="preserve">Nguyễn Thị Nhung </v>
      </c>
      <c r="J3360" s="3" t="str">
        <f ca="1">IFERROR(__xludf.DUMMYFUNCTION("""COMPUTED_VALUE"""),"0383983273")</f>
        <v>0383983273</v>
      </c>
      <c r="K3360" s="2" t="str">
        <f ca="1">IFERROR(__xludf.DUMMYFUNCTION("""COMPUTED_VALUE"""),"1736706704836")</f>
        <v>1736706704836</v>
      </c>
    </row>
    <row r="3361" spans="1:11" ht="12.45">
      <c r="A3361" s="2" t="str">
        <f ca="1">IFERROR(__xludf.DUMMYFUNCTION("""COMPUTED_VALUE"""),"1736706745974")</f>
        <v>1736706745974</v>
      </c>
      <c r="B3361" s="2"/>
      <c r="C3361" s="2" t="str">
        <v>0</v>
      </c>
      <c r="D3361" s="2"/>
      <c r="F3361" s="2" t="str">
        <v>0</v>
      </c>
      <c r="I3361" s="3" t="str">
        <f ca="1">IFERROR(__xludf.DUMMYFUNCTION("""COMPUTED_VALUE"""),"Hồ Hải Yến")</f>
        <v>Hồ Hải Yến</v>
      </c>
      <c r="J3361" s="3" t="str">
        <f ca="1">IFERROR(__xludf.DUMMYFUNCTION("""COMPUTED_VALUE"""),"0387560119")</f>
        <v>0387560119</v>
      </c>
      <c r="K3361" s="2" t="str">
        <f ca="1">IFERROR(__xludf.DUMMYFUNCTION("""COMPUTED_VALUE"""),"1736706745974")</f>
        <v>1736706745974</v>
      </c>
    </row>
    <row r="3362" spans="1:11" ht="12.45">
      <c r="A3362" s="2" t="str">
        <f ca="1">IFERROR(__xludf.DUMMYFUNCTION("""COMPUTED_VALUE"""),"1736706776231")</f>
        <v>1736706776231</v>
      </c>
      <c r="B3362" s="2"/>
      <c r="C3362" s="2" t="str">
        <v>0</v>
      </c>
      <c r="D3362" s="2"/>
      <c r="F3362" s="2" t="str">
        <v>0</v>
      </c>
      <c r="I3362" s="3" t="str">
        <f ca="1">IFERROR(__xludf.DUMMYFUNCTION("""COMPUTED_VALUE"""),"Hà Đan Như")</f>
        <v>Hà Đan Như</v>
      </c>
      <c r="J3362" s="3" t="str">
        <f ca="1">IFERROR(__xludf.DUMMYFUNCTION("""COMPUTED_VALUE"""),"0935977330")</f>
        <v>0935977330</v>
      </c>
      <c r="K3362" s="2" t="str">
        <f ca="1">IFERROR(__xludf.DUMMYFUNCTION("""COMPUTED_VALUE"""),"1736706776231")</f>
        <v>1736706776231</v>
      </c>
    </row>
    <row r="3363" spans="1:11" ht="12.45">
      <c r="A3363" s="2" t="str">
        <f ca="1">IFERROR(__xludf.DUMMYFUNCTION("""COMPUTED_VALUE"""),"1736706808530")</f>
        <v>1736706808530</v>
      </c>
      <c r="B3363" s="2"/>
      <c r="C3363" s="2" t="str">
        <v>0</v>
      </c>
      <c r="D3363" s="2"/>
      <c r="F3363" s="2" t="str">
        <v>0</v>
      </c>
      <c r="I3363" s="3" t="str">
        <f ca="1">IFERROR(__xludf.DUMMYFUNCTION("""COMPUTED_VALUE"""),"Đỗ Hồng Anh ")</f>
        <v xml:space="preserve">Đỗ Hồng Anh </v>
      </c>
      <c r="J3363" s="3" t="str">
        <f ca="1">IFERROR(__xludf.DUMMYFUNCTION("""COMPUTED_VALUE"""),"0336464526")</f>
        <v>0336464526</v>
      </c>
      <c r="K3363" s="2" t="str">
        <f ca="1">IFERROR(__xludf.DUMMYFUNCTION("""COMPUTED_VALUE"""),"1736706808530")</f>
        <v>1736706808530</v>
      </c>
    </row>
    <row r="3364" spans="1:11" ht="12.45">
      <c r="A3364" s="2" t="str">
        <f ca="1">IFERROR(__xludf.DUMMYFUNCTION("""COMPUTED_VALUE"""),"1736706844128")</f>
        <v>1736706844128</v>
      </c>
      <c r="B3364" s="2"/>
      <c r="C3364" s="2" t="str">
        <v>0</v>
      </c>
      <c r="D3364" s="2"/>
      <c r="F3364" s="2" t="str">
        <v>0</v>
      </c>
      <c r="I3364" s="3" t="str">
        <f ca="1">IFERROR(__xludf.DUMMYFUNCTION("""COMPUTED_VALUE"""),"Nguyễn Tương Cầm")</f>
        <v>Nguyễn Tương Cầm</v>
      </c>
      <c r="J3364" s="3" t="str">
        <f ca="1">IFERROR(__xludf.DUMMYFUNCTION("""COMPUTED_VALUE"""),"0984260507")</f>
        <v>0984260507</v>
      </c>
      <c r="K3364" s="2" t="str">
        <f ca="1">IFERROR(__xludf.DUMMYFUNCTION("""COMPUTED_VALUE"""),"1736706844128")</f>
        <v>1736706844128</v>
      </c>
    </row>
    <row r="3365" spans="1:11" ht="12.45">
      <c r="A3365" s="2" t="str">
        <f ca="1">IFERROR(__xludf.DUMMYFUNCTION("""COMPUTED_VALUE"""),"1736706891554")</f>
        <v>1736706891554</v>
      </c>
      <c r="B3365" s="2"/>
      <c r="C3365" s="2" t="str">
        <v>0</v>
      </c>
      <c r="D3365" s="2"/>
      <c r="F3365" s="2" t="str">
        <v>0</v>
      </c>
      <c r="I3365" s="3" t="str">
        <f ca="1">IFERROR(__xludf.DUMMYFUNCTION("""COMPUTED_VALUE"""),"Phan Nguyễn Vân Anh")</f>
        <v>Phan Nguyễn Vân Anh</v>
      </c>
      <c r="J3365" s="3" t="str">
        <f ca="1">IFERROR(__xludf.DUMMYFUNCTION("""COMPUTED_VALUE"""),"0984952940")</f>
        <v>0984952940</v>
      </c>
      <c r="K3365" s="2" t="str">
        <f ca="1">IFERROR(__xludf.DUMMYFUNCTION("""COMPUTED_VALUE"""),"1736706891554")</f>
        <v>1736706891554</v>
      </c>
    </row>
    <row r="3366" spans="1:11" ht="12.45">
      <c r="A3366" s="2" t="str">
        <f ca="1">IFERROR(__xludf.DUMMYFUNCTION("""COMPUTED_VALUE"""),"1736706926117")</f>
        <v>1736706926117</v>
      </c>
      <c r="B3366" s="2"/>
      <c r="C3366" s="2" t="str">
        <v>0</v>
      </c>
      <c r="D3366" s="2"/>
      <c r="F3366" s="2" t="str">
        <v>0</v>
      </c>
      <c r="I3366" s="3" t="str">
        <f ca="1">IFERROR(__xludf.DUMMYFUNCTION("""COMPUTED_VALUE"""),"Trần Ngọc Bảo Trâm")</f>
        <v>Trần Ngọc Bảo Trâm</v>
      </c>
      <c r="J3366" s="3" t="str">
        <f ca="1">IFERROR(__xludf.DUMMYFUNCTION("""COMPUTED_VALUE"""),"0812934204")</f>
        <v>0812934204</v>
      </c>
      <c r="K3366" s="2" t="str">
        <f ca="1">IFERROR(__xludf.DUMMYFUNCTION("""COMPUTED_VALUE"""),"1736706926117")</f>
        <v>1736706926117</v>
      </c>
    </row>
    <row r="3367" spans="1:11" ht="12.45">
      <c r="A3367" s="2" t="str">
        <f ca="1">IFERROR(__xludf.DUMMYFUNCTION("""COMPUTED_VALUE"""),"1736706961514")</f>
        <v>1736706961514</v>
      </c>
      <c r="B3367" s="2"/>
      <c r="C3367" s="2" t="str">
        <v>0</v>
      </c>
      <c r="D3367" s="2"/>
      <c r="F3367" s="2" t="str">
        <v>0</v>
      </c>
      <c r="I3367" s="3" t="str">
        <f ca="1">IFERROR(__xludf.DUMMYFUNCTION("""COMPUTED_VALUE"""),"Đinh Yến Nhi")</f>
        <v>Đinh Yến Nhi</v>
      </c>
      <c r="J3367" s="2" t="str">
        <f ca="1">IFERROR(__xludf.DUMMYFUNCTION("""COMPUTED_VALUE"""),"0901534710")</f>
        <v>0901534710</v>
      </c>
      <c r="K3367" s="2" t="str">
        <f ca="1">IFERROR(__xludf.DUMMYFUNCTION("""COMPUTED_VALUE"""),"1736706961514")</f>
        <v>1736706961514</v>
      </c>
    </row>
    <row r="3368" spans="1:11" ht="12.45">
      <c r="A3368" s="2" t="str">
        <f ca="1">IFERROR(__xludf.DUMMYFUNCTION("""COMPUTED_VALUE"""),"1736706988617")</f>
        <v>1736706988617</v>
      </c>
      <c r="B3368" s="2"/>
      <c r="C3368" s="2" t="str">
        <v>0</v>
      </c>
      <c r="D3368" s="2"/>
      <c r="F3368" s="2" t="str">
        <v>0</v>
      </c>
      <c r="I3368" s="3" t="str">
        <f ca="1">IFERROR(__xludf.DUMMYFUNCTION("""COMPUTED_VALUE"""),"Hồ Minh Thư ")</f>
        <v xml:space="preserve">Hồ Minh Thư </v>
      </c>
      <c r="J3368" s="3" t="str">
        <f ca="1">IFERROR(__xludf.DUMMYFUNCTION("""COMPUTED_VALUE"""),"0913302042")</f>
        <v>0913302042</v>
      </c>
      <c r="K3368" s="2" t="str">
        <f ca="1">IFERROR(__xludf.DUMMYFUNCTION("""COMPUTED_VALUE"""),"1736706988617")</f>
        <v>1736706988617</v>
      </c>
    </row>
    <row r="3369" spans="1:11" ht="12.45">
      <c r="A3369" s="2" t="str">
        <f ca="1">IFERROR(__xludf.DUMMYFUNCTION("""COMPUTED_VALUE"""),"1736707048877")</f>
        <v>1736707048877</v>
      </c>
      <c r="B3369" s="2"/>
      <c r="C3369" s="2" t="str">
        <v>0</v>
      </c>
      <c r="D3369" s="2"/>
      <c r="F3369" s="2" t="str">
        <v>0</v>
      </c>
      <c r="I3369" s="3" t="str">
        <f ca="1">IFERROR(__xludf.DUMMYFUNCTION("""COMPUTED_VALUE"""),"La Thị Quỳnh Chi")</f>
        <v>La Thị Quỳnh Chi</v>
      </c>
      <c r="J3369" s="3" t="str">
        <f ca="1">IFERROR(__xludf.DUMMYFUNCTION("""COMPUTED_VALUE"""),"0869621979")</f>
        <v>0869621979</v>
      </c>
      <c r="K3369" s="2" t="str">
        <f ca="1">IFERROR(__xludf.DUMMYFUNCTION("""COMPUTED_VALUE"""),"1736707048877")</f>
        <v>1736707048877</v>
      </c>
    </row>
    <row r="3370" spans="1:11" ht="12.45">
      <c r="A3370" s="2" t="str">
        <f ca="1">IFERROR(__xludf.DUMMYFUNCTION("""COMPUTED_VALUE"""),"1736707077063")</f>
        <v>1736707077063</v>
      </c>
      <c r="B3370" s="2"/>
      <c r="C3370" s="2" t="str">
        <v>0</v>
      </c>
      <c r="D3370" s="2"/>
      <c r="F3370" s="2" t="str">
        <v>0</v>
      </c>
      <c r="I3370" s="3" t="str">
        <f ca="1">IFERROR(__xludf.DUMMYFUNCTION("""COMPUTED_VALUE"""),"Nguyễn Lan Phương")</f>
        <v>Nguyễn Lan Phương</v>
      </c>
      <c r="J3370" s="3" t="str">
        <f ca="1">IFERROR(__xludf.DUMMYFUNCTION("""COMPUTED_VALUE"""),"0399757743")</f>
        <v>0399757743</v>
      </c>
      <c r="K3370" s="2" t="str">
        <f ca="1">IFERROR(__xludf.DUMMYFUNCTION("""COMPUTED_VALUE"""),"1736707077063")</f>
        <v>1736707077063</v>
      </c>
    </row>
    <row r="3371" spans="1:11" ht="12.45">
      <c r="A3371" s="2" t="str">
        <f ca="1">IFERROR(__xludf.DUMMYFUNCTION("""COMPUTED_VALUE"""),"1736707119749")</f>
        <v>1736707119749</v>
      </c>
      <c r="B3371" s="2"/>
      <c r="C3371" s="2" t="str">
        <v>0</v>
      </c>
      <c r="D3371" s="2"/>
      <c r="F3371" s="2" t="str">
        <v>0</v>
      </c>
      <c r="I3371" s="3" t="str">
        <f ca="1">IFERROR(__xludf.DUMMYFUNCTION("""COMPUTED_VALUE"""),"Lê Thị Tuyết Như ")</f>
        <v xml:space="preserve">Lê Thị Tuyết Như </v>
      </c>
      <c r="J3371" s="3" t="str">
        <f ca="1">IFERROR(__xludf.DUMMYFUNCTION("""COMPUTED_VALUE"""),"0364163247")</f>
        <v>0364163247</v>
      </c>
      <c r="K3371" s="2" t="str">
        <f ca="1">IFERROR(__xludf.DUMMYFUNCTION("""COMPUTED_VALUE"""),"1736707119749")</f>
        <v>1736707119749</v>
      </c>
    </row>
    <row r="3372" spans="1:11" ht="12.45">
      <c r="A3372" s="2" t="str">
        <f ca="1">IFERROR(__xludf.DUMMYFUNCTION("""COMPUTED_VALUE"""),"1736707157629")</f>
        <v>1736707157629</v>
      </c>
      <c r="B3372" s="2"/>
      <c r="C3372" s="2" t="str">
        <v>0</v>
      </c>
      <c r="D3372" s="2"/>
      <c r="F3372" s="2" t="str">
        <v>0</v>
      </c>
      <c r="I3372" s="3" t="str">
        <f ca="1">IFERROR(__xludf.DUMMYFUNCTION("""COMPUTED_VALUE"""),"Phạm Sao Mai")</f>
        <v>Phạm Sao Mai</v>
      </c>
      <c r="J3372" s="3" t="str">
        <f ca="1">IFERROR(__xludf.DUMMYFUNCTION("""COMPUTED_VALUE"""),"0335994234")</f>
        <v>0335994234</v>
      </c>
      <c r="K3372" s="2" t="str">
        <f ca="1">IFERROR(__xludf.DUMMYFUNCTION("""COMPUTED_VALUE"""),"1736707157629")</f>
        <v>1736707157629</v>
      </c>
    </row>
    <row r="3373" spans="1:11" ht="12.45">
      <c r="A3373" s="2" t="str">
        <f ca="1">IFERROR(__xludf.DUMMYFUNCTION("""COMPUTED_VALUE"""),"1736707201924")</f>
        <v>1736707201924</v>
      </c>
      <c r="B3373" s="2"/>
      <c r="C3373" s="2" t="str">
        <v>0</v>
      </c>
      <c r="D3373" s="2"/>
      <c r="F3373" s="2" t="str">
        <v>0</v>
      </c>
      <c r="I3373" s="3" t="str">
        <f ca="1">IFERROR(__xludf.DUMMYFUNCTION("""COMPUTED_VALUE"""),"Nguyễn Minh Trang")</f>
        <v>Nguyễn Minh Trang</v>
      </c>
      <c r="J3373" s="3" t="str">
        <f ca="1">IFERROR(__xludf.DUMMYFUNCTION("""COMPUTED_VALUE"""),"0869814196")</f>
        <v>0869814196</v>
      </c>
      <c r="K3373" s="2" t="str">
        <f ca="1">IFERROR(__xludf.DUMMYFUNCTION("""COMPUTED_VALUE"""),"1736707201924")</f>
        <v>1736707201924</v>
      </c>
    </row>
    <row r="3374" spans="1:11" ht="12.45">
      <c r="A3374" s="2" t="str">
        <f ca="1">IFERROR(__xludf.DUMMYFUNCTION("""COMPUTED_VALUE"""),"1736707254758")</f>
        <v>1736707254758</v>
      </c>
      <c r="B3374" s="2"/>
      <c r="C3374" s="2" t="str">
        <v>0</v>
      </c>
      <c r="D3374" s="2"/>
      <c r="F3374" s="2" t="str">
        <v>0</v>
      </c>
      <c r="I3374" s="3" t="str">
        <f ca="1">IFERROR(__xludf.DUMMYFUNCTION("""COMPUTED_VALUE"""),"Viên Trà My ")</f>
        <v xml:space="preserve">Viên Trà My </v>
      </c>
      <c r="J3374" s="3" t="str">
        <f ca="1">IFERROR(__xludf.DUMMYFUNCTION("""COMPUTED_VALUE"""),"0394238158")</f>
        <v>0394238158</v>
      </c>
      <c r="K3374" s="2" t="str">
        <f ca="1">IFERROR(__xludf.DUMMYFUNCTION("""COMPUTED_VALUE"""),"1736707254758")</f>
        <v>1736707254758</v>
      </c>
    </row>
    <row r="3375" spans="1:11" ht="12.45">
      <c r="A3375" s="2" t="str">
        <f ca="1">IFERROR(__xludf.DUMMYFUNCTION("""COMPUTED_VALUE"""),"1736707289063")</f>
        <v>1736707289063</v>
      </c>
      <c r="B3375" s="2"/>
      <c r="C3375" s="2" t="str">
        <v>0</v>
      </c>
      <c r="D3375" s="2"/>
      <c r="F3375" s="2" t="str">
        <v>0</v>
      </c>
      <c r="I3375" s="3" t="str">
        <f ca="1">IFERROR(__xludf.DUMMYFUNCTION("""COMPUTED_VALUE"""),"Trương Thị Mỹ Dung")</f>
        <v>Trương Thị Mỹ Dung</v>
      </c>
      <c r="J3375" s="3" t="str">
        <f ca="1">IFERROR(__xludf.DUMMYFUNCTION("""COMPUTED_VALUE"""),"0867730792")</f>
        <v>0867730792</v>
      </c>
      <c r="K3375" s="2" t="str">
        <f ca="1">IFERROR(__xludf.DUMMYFUNCTION("""COMPUTED_VALUE"""),"1736707289063")</f>
        <v>1736707289063</v>
      </c>
    </row>
    <row r="3376" spans="1:11" ht="12.45">
      <c r="A3376" s="2" t="str">
        <f ca="1">IFERROR(__xludf.DUMMYFUNCTION("""COMPUTED_VALUE"""),"1736707326225")</f>
        <v>1736707326225</v>
      </c>
      <c r="B3376" s="2"/>
      <c r="C3376" s="2" t="str">
        <v>0</v>
      </c>
      <c r="D3376" s="2"/>
      <c r="F3376" s="2" t="str">
        <v>0</v>
      </c>
      <c r="I3376" s="3" t="str">
        <f ca="1">IFERROR(__xludf.DUMMYFUNCTION("""COMPUTED_VALUE"""),"Lê võ tâm bình")</f>
        <v>Lê võ tâm bình</v>
      </c>
      <c r="J3376" s="3" t="str">
        <f ca="1">IFERROR(__xludf.DUMMYFUNCTION("""COMPUTED_VALUE"""),"0345281107")</f>
        <v>0345281107</v>
      </c>
      <c r="K3376" s="2" t="str">
        <f ca="1">IFERROR(__xludf.DUMMYFUNCTION("""COMPUTED_VALUE"""),"1736707326225")</f>
        <v>1736707326225</v>
      </c>
    </row>
    <row r="3377" spans="1:11" ht="12.45">
      <c r="A3377" s="2" t="str">
        <f ca="1">IFERROR(__xludf.DUMMYFUNCTION("""COMPUTED_VALUE"""),"1736707358213")</f>
        <v>1736707358213</v>
      </c>
      <c r="B3377" s="2"/>
      <c r="C3377" s="2" t="str">
        <v>0</v>
      </c>
      <c r="D3377" s="2"/>
      <c r="F3377" s="2" t="str">
        <v>0</v>
      </c>
      <c r="I3377" s="3" t="str">
        <f ca="1">IFERROR(__xludf.DUMMYFUNCTION("""COMPUTED_VALUE"""),"Bùi Phạm Hải Thục")</f>
        <v>Bùi Phạm Hải Thục</v>
      </c>
      <c r="J3377" s="3" t="str">
        <f ca="1">IFERROR(__xludf.DUMMYFUNCTION("""COMPUTED_VALUE"""),"0708297609")</f>
        <v>0708297609</v>
      </c>
      <c r="K3377" s="2" t="str">
        <f ca="1">IFERROR(__xludf.DUMMYFUNCTION("""COMPUTED_VALUE"""),"1736707358213")</f>
        <v>1736707358213</v>
      </c>
    </row>
    <row r="3378" spans="1:11" ht="12.45">
      <c r="A3378" s="2" t="str">
        <f ca="1">IFERROR(__xludf.DUMMYFUNCTION("""COMPUTED_VALUE"""),"1736707383078")</f>
        <v>1736707383078</v>
      </c>
      <c r="B3378" s="2"/>
      <c r="C3378" s="2" t="str">
        <v>0</v>
      </c>
      <c r="D3378" s="2"/>
      <c r="F3378" s="2" t="str">
        <v>0</v>
      </c>
      <c r="I3378" s="3" t="str">
        <f ca="1">IFERROR(__xludf.DUMMYFUNCTION("""COMPUTED_VALUE"""),"Nguyễn Thùy Linh ")</f>
        <v xml:space="preserve">Nguyễn Thùy Linh </v>
      </c>
      <c r="J3378" s="3" t="str">
        <f ca="1">IFERROR(__xludf.DUMMYFUNCTION("""COMPUTED_VALUE"""),"0388752430")</f>
        <v>0388752430</v>
      </c>
      <c r="K3378" s="2" t="str">
        <f ca="1">IFERROR(__xludf.DUMMYFUNCTION("""COMPUTED_VALUE"""),"1736707383078")</f>
        <v>1736707383078</v>
      </c>
    </row>
    <row r="3379" spans="1:11" ht="12.45">
      <c r="A3379" s="2" t="str">
        <f ca="1">IFERROR(__xludf.DUMMYFUNCTION("""COMPUTED_VALUE"""),"1736977214617")</f>
        <v>1736977214617</v>
      </c>
      <c r="B3379" s="2"/>
      <c r="C3379" s="2" t="str">
        <v>0</v>
      </c>
      <c r="D3379" s="2"/>
      <c r="F3379" s="2" t="str">
        <v>0</v>
      </c>
      <c r="I3379" s="3" t="str">
        <f ca="1">IFERROR(__xludf.DUMMYFUNCTION("""COMPUTED_VALUE"""),"Phạm Thuỳ Trang")</f>
        <v>Phạm Thuỳ Trang</v>
      </c>
      <c r="J3379" s="3" t="str">
        <f ca="1">IFERROR(__xludf.DUMMYFUNCTION("""COMPUTED_VALUE"""),"0393023858")</f>
        <v>0393023858</v>
      </c>
      <c r="K3379" s="2" t="str">
        <f ca="1">IFERROR(__xludf.DUMMYFUNCTION("""COMPUTED_VALUE"""),"1736977214617")</f>
        <v>1736977214617</v>
      </c>
    </row>
    <row r="3380" spans="1:11" ht="12.45">
      <c r="A3380" s="2" t="str">
        <f ca="1">IFERROR(__xludf.DUMMYFUNCTION("""COMPUTED_VALUE"""),"1736977264388")</f>
        <v>1736977264388</v>
      </c>
      <c r="B3380" s="2"/>
      <c r="C3380" s="2" t="str">
        <v>0</v>
      </c>
      <c r="D3380" s="2"/>
      <c r="F3380" s="2" t="str">
        <v>0</v>
      </c>
      <c r="I3380" s="3" t="str">
        <f ca="1">IFERROR(__xludf.DUMMYFUNCTION("""COMPUTED_VALUE"""),"Nguyễn Hương Giang ")</f>
        <v xml:space="preserve">Nguyễn Hương Giang </v>
      </c>
      <c r="J3380" s="3" t="str">
        <f ca="1">IFERROR(__xludf.DUMMYFUNCTION("""COMPUTED_VALUE"""),"0797273607")</f>
        <v>0797273607</v>
      </c>
      <c r="K3380" s="2" t="str">
        <f ca="1">IFERROR(__xludf.DUMMYFUNCTION("""COMPUTED_VALUE"""),"1736977264388")</f>
        <v>1736977264388</v>
      </c>
    </row>
    <row r="3381" spans="1:11" ht="12.45">
      <c r="A3381" s="2" t="str">
        <f ca="1">IFERROR(__xludf.DUMMYFUNCTION("""COMPUTED_VALUE"""),"1736977314539")</f>
        <v>1736977314539</v>
      </c>
      <c r="B3381" s="2"/>
      <c r="C3381" s="2" t="str">
        <v>0</v>
      </c>
      <c r="D3381" s="2"/>
      <c r="F3381" s="2" t="str">
        <v>0</v>
      </c>
      <c r="I3381" s="3" t="str">
        <f ca="1">IFERROR(__xludf.DUMMYFUNCTION("""COMPUTED_VALUE"""),"Đinh Thu Huyền")</f>
        <v>Đinh Thu Huyền</v>
      </c>
      <c r="J3381" s="3" t="str">
        <f ca="1">IFERROR(__xludf.DUMMYFUNCTION("""COMPUTED_VALUE"""),"0329341220")</f>
        <v>0329341220</v>
      </c>
      <c r="K3381" s="2" t="str">
        <f ca="1">IFERROR(__xludf.DUMMYFUNCTION("""COMPUTED_VALUE"""),"1736977314539")</f>
        <v>1736977314539</v>
      </c>
    </row>
    <row r="3382" spans="1:11" ht="12.45">
      <c r="A3382" s="2" t="str">
        <f ca="1">IFERROR(__xludf.DUMMYFUNCTION("""COMPUTED_VALUE"""),"1736977358325")</f>
        <v>1736977358325</v>
      </c>
      <c r="B3382" s="2"/>
      <c r="C3382" s="2" t="str">
        <v>0</v>
      </c>
      <c r="D3382" s="2"/>
      <c r="F3382" s="2" t="str">
        <v>0</v>
      </c>
      <c r="I3382" s="3" t="str">
        <f ca="1">IFERROR(__xludf.DUMMYFUNCTION("""COMPUTED_VALUE"""),"Phạm Hà Khánh Linh")</f>
        <v>Phạm Hà Khánh Linh</v>
      </c>
      <c r="J3382" s="3" t="str">
        <f ca="1">IFERROR(__xludf.DUMMYFUNCTION("""COMPUTED_VALUE"""),"0868371629")</f>
        <v>0868371629</v>
      </c>
      <c r="K3382" s="2" t="str">
        <f ca="1">IFERROR(__xludf.DUMMYFUNCTION("""COMPUTED_VALUE"""),"1736977358325")</f>
        <v>1736977358325</v>
      </c>
    </row>
    <row r="3383" spans="1:11" ht="12.45">
      <c r="A3383" s="2" t="str">
        <f ca="1">IFERROR(__xludf.DUMMYFUNCTION("""COMPUTED_VALUE"""),"1736977397332")</f>
        <v>1736977397332</v>
      </c>
      <c r="B3383" s="2"/>
      <c r="C3383" s="2" t="str">
        <v>0</v>
      </c>
      <c r="D3383" s="2"/>
      <c r="F3383" s="2" t="str">
        <v>0</v>
      </c>
      <c r="I3383" s="3" t="str">
        <f ca="1">IFERROR(__xludf.DUMMYFUNCTION("""COMPUTED_VALUE"""),"Nguyễn Tường Vy")</f>
        <v>Nguyễn Tường Vy</v>
      </c>
      <c r="J3383" s="3" t="str">
        <f ca="1">IFERROR(__xludf.DUMMYFUNCTION("""COMPUTED_VALUE"""),"0961787591")</f>
        <v>0961787591</v>
      </c>
      <c r="K3383" s="2" t="str">
        <f ca="1">IFERROR(__xludf.DUMMYFUNCTION("""COMPUTED_VALUE"""),"1736977397332")</f>
        <v>1736977397332</v>
      </c>
    </row>
    <row r="3384" spans="1:11" ht="12.45">
      <c r="A3384" s="2" t="str">
        <f ca="1">IFERROR(__xludf.DUMMYFUNCTION("""COMPUTED_VALUE"""),"1736977441515")</f>
        <v>1736977441515</v>
      </c>
      <c r="B3384" s="2"/>
      <c r="C3384" s="2" t="str">
        <v>0</v>
      </c>
      <c r="D3384" s="2"/>
      <c r="F3384" s="2" t="str">
        <v>0</v>
      </c>
      <c r="I3384" s="3" t="str">
        <f ca="1">IFERROR(__xludf.DUMMYFUNCTION("""COMPUTED_VALUE"""),"Nguyễn Thị Bích Ngân")</f>
        <v>Nguyễn Thị Bích Ngân</v>
      </c>
      <c r="J3384" s="3" t="str">
        <f ca="1">IFERROR(__xludf.DUMMYFUNCTION("""COMPUTED_VALUE"""),"0981425383")</f>
        <v>0981425383</v>
      </c>
      <c r="K3384" s="2" t="str">
        <f ca="1">IFERROR(__xludf.DUMMYFUNCTION("""COMPUTED_VALUE"""),"1736977441515")</f>
        <v>1736977441515</v>
      </c>
    </row>
    <row r="3385" spans="1:11" ht="12.45">
      <c r="A3385" s="2" t="str">
        <f ca="1">IFERROR(__xludf.DUMMYFUNCTION("""COMPUTED_VALUE"""),"1736977482294")</f>
        <v>1736977482294</v>
      </c>
      <c r="B3385" s="2"/>
      <c r="C3385" s="2" t="str">
        <v>0</v>
      </c>
      <c r="D3385" s="2"/>
      <c r="F3385" s="2" t="str">
        <v>0</v>
      </c>
      <c r="I3385" s="3" t="str">
        <f ca="1">IFERROR(__xludf.DUMMYFUNCTION("""COMPUTED_VALUE"""),"Lương Yến Nhi ")</f>
        <v xml:space="preserve">Lương Yến Nhi </v>
      </c>
      <c r="J3385" s="3" t="str">
        <f ca="1">IFERROR(__xludf.DUMMYFUNCTION("""COMPUTED_VALUE"""),"0914914097")</f>
        <v>0914914097</v>
      </c>
      <c r="K3385" s="2" t="str">
        <f ca="1">IFERROR(__xludf.DUMMYFUNCTION("""COMPUTED_VALUE"""),"1736977482294")</f>
        <v>1736977482294</v>
      </c>
    </row>
    <row r="3386" spans="1:11" ht="12.45">
      <c r="A3386" s="2" t="str">
        <f ca="1">IFERROR(__xludf.DUMMYFUNCTION("""COMPUTED_VALUE"""),"1736977521146")</f>
        <v>1736977521146</v>
      </c>
      <c r="B3386" s="2"/>
      <c r="C3386" s="2" t="str">
        <v>0</v>
      </c>
      <c r="D3386" s="2"/>
      <c r="F3386" s="2" t="str">
        <v>0</v>
      </c>
      <c r="I3386" s="3" t="str">
        <f ca="1">IFERROR(__xludf.DUMMYFUNCTION("""COMPUTED_VALUE"""),"Trần Thanh Duyên")</f>
        <v>Trần Thanh Duyên</v>
      </c>
      <c r="J3386" s="3" t="str">
        <f ca="1">IFERROR(__xludf.DUMMYFUNCTION("""COMPUTED_VALUE"""),"0975547176")</f>
        <v>0975547176</v>
      </c>
      <c r="K3386" s="2" t="str">
        <f ca="1">IFERROR(__xludf.DUMMYFUNCTION("""COMPUTED_VALUE"""),"1736977521146")</f>
        <v>1736977521146</v>
      </c>
    </row>
    <row r="3387" spans="1:11" ht="12.45">
      <c r="A3387" s="2" t="str">
        <f ca="1">IFERROR(__xludf.DUMMYFUNCTION("""COMPUTED_VALUE"""),"1736977556323")</f>
        <v>1736977556323</v>
      </c>
      <c r="B3387" s="2"/>
      <c r="C3387" s="2" t="str">
        <v>0</v>
      </c>
      <c r="D3387" s="2"/>
      <c r="F3387" s="2" t="str">
        <v>0</v>
      </c>
      <c r="I3387" s="3" t="str">
        <f ca="1">IFERROR(__xludf.DUMMYFUNCTION("""COMPUTED_VALUE"""),"Vũ Phương Anh")</f>
        <v>Vũ Phương Anh</v>
      </c>
      <c r="J3387" s="3" t="str">
        <f ca="1">IFERROR(__xludf.DUMMYFUNCTION("""COMPUTED_VALUE"""),"0986499724")</f>
        <v>0986499724</v>
      </c>
      <c r="K3387" s="2" t="str">
        <f ca="1">IFERROR(__xludf.DUMMYFUNCTION("""COMPUTED_VALUE"""),"1736977556323")</f>
        <v>1736977556323</v>
      </c>
    </row>
    <row r="3388" spans="1:11" ht="12.45">
      <c r="A3388" s="2" t="str">
        <f ca="1">IFERROR(__xludf.DUMMYFUNCTION("""COMPUTED_VALUE"""),"1736977588329")</f>
        <v>1736977588329</v>
      </c>
      <c r="B3388" s="2"/>
      <c r="C3388" s="2" t="str">
        <v>0</v>
      </c>
      <c r="D3388" s="2"/>
      <c r="F3388" s="2" t="str">
        <v>0</v>
      </c>
      <c r="I3388" s="3" t="str">
        <f ca="1">IFERROR(__xludf.DUMMYFUNCTION("""COMPUTED_VALUE"""),"Lê Phương Anh")</f>
        <v>Lê Phương Anh</v>
      </c>
      <c r="J3388" s="3" t="str">
        <f ca="1">IFERROR(__xludf.DUMMYFUNCTION("""COMPUTED_VALUE"""),"0971526093")</f>
        <v>0971526093</v>
      </c>
      <c r="K3388" s="2" t="str">
        <f ca="1">IFERROR(__xludf.DUMMYFUNCTION("""COMPUTED_VALUE"""),"1736977588329")</f>
        <v>1736977588329</v>
      </c>
    </row>
    <row r="3389" spans="1:11" ht="12.45">
      <c r="A3389" s="2" t="str">
        <f ca="1">IFERROR(__xludf.DUMMYFUNCTION("""COMPUTED_VALUE"""),"1736977623501")</f>
        <v>1736977623501</v>
      </c>
      <c r="B3389" s="2"/>
      <c r="C3389" s="2" t="str">
        <v>0</v>
      </c>
      <c r="D3389" s="2"/>
      <c r="F3389" s="2" t="str">
        <v>0</v>
      </c>
      <c r="I3389" s="3" t="str">
        <f ca="1">IFERROR(__xludf.DUMMYFUNCTION("""COMPUTED_VALUE"""),"Nguyễn Thị Phương Thảo")</f>
        <v>Nguyễn Thị Phương Thảo</v>
      </c>
      <c r="J3389" s="3" t="str">
        <f ca="1">IFERROR(__xludf.DUMMYFUNCTION("""COMPUTED_VALUE"""),"0984799604")</f>
        <v>0984799604</v>
      </c>
      <c r="K3389" s="2" t="str">
        <f ca="1">IFERROR(__xludf.DUMMYFUNCTION("""COMPUTED_VALUE"""),"1736977623501")</f>
        <v>1736977623501</v>
      </c>
    </row>
    <row r="3390" spans="1:11" ht="12.45">
      <c r="A3390" s="2" t="str">
        <f ca="1">IFERROR(__xludf.DUMMYFUNCTION("""COMPUTED_VALUE"""),"1736977654797")</f>
        <v>1736977654797</v>
      </c>
      <c r="B3390" s="2"/>
      <c r="C3390" s="2" t="str">
        <v>0</v>
      </c>
      <c r="D3390" s="2"/>
      <c r="F3390" s="2" t="str">
        <v>0</v>
      </c>
      <c r="I3390" s="3" t="str">
        <f ca="1">IFERROR(__xludf.DUMMYFUNCTION("""COMPUTED_VALUE"""),"Đào Thị Thùy Dương ")</f>
        <v xml:space="preserve">Đào Thị Thùy Dương </v>
      </c>
      <c r="J3390" s="3" t="str">
        <f ca="1">IFERROR(__xludf.DUMMYFUNCTION("""COMPUTED_VALUE"""),"0364157290")</f>
        <v>0364157290</v>
      </c>
      <c r="K3390" s="2" t="str">
        <f ca="1">IFERROR(__xludf.DUMMYFUNCTION("""COMPUTED_VALUE"""),"1736977654797")</f>
        <v>1736977654797</v>
      </c>
    </row>
    <row r="3391" spans="1:11" ht="12.45">
      <c r="A3391" s="2" t="str">
        <f ca="1">IFERROR(__xludf.DUMMYFUNCTION("""COMPUTED_VALUE"""),"1736977687105")</f>
        <v>1736977687105</v>
      </c>
      <c r="B3391" s="2"/>
      <c r="C3391" s="2" t="str">
        <v>0</v>
      </c>
      <c r="D3391" s="2"/>
      <c r="F3391" s="2" t="str">
        <v>0</v>
      </c>
      <c r="I3391" s="3" t="str">
        <f ca="1">IFERROR(__xludf.DUMMYFUNCTION("""COMPUTED_VALUE"""),"Đoàn Ngọc Hân ")</f>
        <v xml:space="preserve">Đoàn Ngọc Hân </v>
      </c>
      <c r="J3391" s="3" t="str">
        <f ca="1">IFERROR(__xludf.DUMMYFUNCTION("""COMPUTED_VALUE"""),"0367096002")</f>
        <v>0367096002</v>
      </c>
      <c r="K3391" s="2" t="str">
        <f ca="1">IFERROR(__xludf.DUMMYFUNCTION("""COMPUTED_VALUE"""),"1736977687105")</f>
        <v>1736977687105</v>
      </c>
    </row>
    <row r="3392" spans="1:11" ht="12.45">
      <c r="A3392" s="2" t="str">
        <f ca="1">IFERROR(__xludf.DUMMYFUNCTION("""COMPUTED_VALUE"""),"1736977721982")</f>
        <v>1736977721982</v>
      </c>
      <c r="B3392" s="2"/>
      <c r="C3392" s="2" t="str">
        <v>0</v>
      </c>
      <c r="D3392" s="2"/>
      <c r="F3392" s="2" t="str">
        <v>0</v>
      </c>
      <c r="I3392" s="3" t="str">
        <f ca="1">IFERROR(__xludf.DUMMYFUNCTION("""COMPUTED_VALUE"""),"Vũ Xuân Hải")</f>
        <v>Vũ Xuân Hải</v>
      </c>
      <c r="J3392" s="3" t="str">
        <f ca="1">IFERROR(__xludf.DUMMYFUNCTION("""COMPUTED_VALUE"""),"0399207607")</f>
        <v>0399207607</v>
      </c>
      <c r="K3392" s="2" t="str">
        <f ca="1">IFERROR(__xludf.DUMMYFUNCTION("""COMPUTED_VALUE"""),"1736977721982")</f>
        <v>1736977721982</v>
      </c>
    </row>
    <row r="3393" spans="1:11" ht="12.45">
      <c r="A3393" s="2" t="str">
        <f ca="1">IFERROR(__xludf.DUMMYFUNCTION("""COMPUTED_VALUE"""),"1736977750062")</f>
        <v>1736977750062</v>
      </c>
      <c r="B3393" s="2"/>
      <c r="C3393" s="2" t="str">
        <v>0</v>
      </c>
      <c r="D3393" s="2"/>
      <c r="F3393" s="2" t="str">
        <v>0</v>
      </c>
      <c r="I3393" s="3" t="str">
        <f ca="1">IFERROR(__xludf.DUMMYFUNCTION("""COMPUTED_VALUE"""),"Nguyễn Mai Chi")</f>
        <v>Nguyễn Mai Chi</v>
      </c>
      <c r="J3393" s="3" t="str">
        <f ca="1">IFERROR(__xludf.DUMMYFUNCTION("""COMPUTED_VALUE"""),"0379718307")</f>
        <v>0379718307</v>
      </c>
      <c r="K3393" s="2" t="str">
        <f ca="1">IFERROR(__xludf.DUMMYFUNCTION("""COMPUTED_VALUE"""),"1736977750062")</f>
        <v>1736977750062</v>
      </c>
    </row>
    <row r="3394" spans="1:11" ht="12.45">
      <c r="A3394" s="2" t="str">
        <f ca="1">IFERROR(__xludf.DUMMYFUNCTION("""COMPUTED_VALUE"""),"1736977780826")</f>
        <v>1736977780826</v>
      </c>
      <c r="B3394" s="2"/>
      <c r="C3394" s="2" t="str">
        <v>0</v>
      </c>
      <c r="D3394" s="2"/>
      <c r="F3394" s="2" t="str">
        <v>0</v>
      </c>
      <c r="I3394" s="3" t="str">
        <f ca="1">IFERROR(__xludf.DUMMYFUNCTION("""COMPUTED_VALUE"""),"chu thị như ngọc")</f>
        <v>chu thị như ngọc</v>
      </c>
      <c r="J3394" s="3" t="str">
        <f ca="1">IFERROR(__xludf.DUMMYFUNCTION("""COMPUTED_VALUE"""),"0354132043")</f>
        <v>0354132043</v>
      </c>
      <c r="K3394" s="2" t="str">
        <f ca="1">IFERROR(__xludf.DUMMYFUNCTION("""COMPUTED_VALUE"""),"1736977780826")</f>
        <v>1736977780826</v>
      </c>
    </row>
    <row r="3395" spans="1:11" ht="12.45">
      <c r="A3395" s="2" t="str">
        <f ca="1">IFERROR(__xludf.DUMMYFUNCTION("""COMPUTED_VALUE"""),"1736977814009")</f>
        <v>1736977814009</v>
      </c>
      <c r="B3395" s="2"/>
      <c r="C3395" s="2" t="str">
        <v>0</v>
      </c>
      <c r="D3395" s="2"/>
      <c r="F3395" s="2" t="str">
        <v>0</v>
      </c>
      <c r="I3395" s="3" t="str">
        <f ca="1">IFERROR(__xludf.DUMMYFUNCTION("""COMPUTED_VALUE"""),"Vũ Thị Như")</f>
        <v>Vũ Thị Như</v>
      </c>
      <c r="J3395" s="3" t="str">
        <f ca="1">IFERROR(__xludf.DUMMYFUNCTION("""COMPUTED_VALUE"""),"0394135158")</f>
        <v>0394135158</v>
      </c>
      <c r="K3395" s="2" t="str">
        <f ca="1">IFERROR(__xludf.DUMMYFUNCTION("""COMPUTED_VALUE"""),"1736977814009")</f>
        <v>1736977814009</v>
      </c>
    </row>
    <row r="3396" spans="1:11" ht="12.45">
      <c r="A3396" s="2" t="str">
        <f ca="1">IFERROR(__xludf.DUMMYFUNCTION("""COMPUTED_VALUE"""),"1736977840074")</f>
        <v>1736977840074</v>
      </c>
      <c r="B3396" s="2"/>
      <c r="C3396" s="2" t="str">
        <v>0</v>
      </c>
      <c r="D3396" s="2"/>
      <c r="F3396" s="2" t="str">
        <v>0</v>
      </c>
      <c r="I3396" s="3" t="str">
        <f ca="1">IFERROR(__xludf.DUMMYFUNCTION("""COMPUTED_VALUE"""),"Trần Phương Anh")</f>
        <v>Trần Phương Anh</v>
      </c>
      <c r="J3396" s="3" t="str">
        <f ca="1">IFERROR(__xludf.DUMMYFUNCTION("""COMPUTED_VALUE"""),"0329818616")</f>
        <v>0329818616</v>
      </c>
      <c r="K3396" s="2" t="str">
        <f ca="1">IFERROR(__xludf.DUMMYFUNCTION("""COMPUTED_VALUE"""),"1736977840074")</f>
        <v>1736977840074</v>
      </c>
    </row>
    <row r="3397" spans="1:11" ht="12.45">
      <c r="A3397" s="2" t="str">
        <f ca="1">IFERROR(__xludf.DUMMYFUNCTION("""COMPUTED_VALUE"""),"1736977877776")</f>
        <v>1736977877776</v>
      </c>
      <c r="B3397" s="2"/>
      <c r="C3397" s="2" t="str">
        <v>0</v>
      </c>
      <c r="D3397" s="2"/>
      <c r="F3397" s="2" t="str">
        <v>0</v>
      </c>
      <c r="I3397" s="3" t="str">
        <f ca="1">IFERROR(__xludf.DUMMYFUNCTION("""COMPUTED_VALUE"""),"Trần Nguyễn Hoàng Uyên")</f>
        <v>Trần Nguyễn Hoàng Uyên</v>
      </c>
      <c r="J3397" s="3" t="str">
        <f ca="1">IFERROR(__xludf.DUMMYFUNCTION("""COMPUTED_VALUE"""),"0911986263")</f>
        <v>0911986263</v>
      </c>
      <c r="K3397" s="2" t="str">
        <f ca="1">IFERROR(__xludf.DUMMYFUNCTION("""COMPUTED_VALUE"""),"1736977877776")</f>
        <v>1736977877776</v>
      </c>
    </row>
    <row r="3398" spans="1:11" ht="12.45">
      <c r="A3398" s="2" t="str">
        <f ca="1">IFERROR(__xludf.DUMMYFUNCTION("""COMPUTED_VALUE"""),"1736977904238")</f>
        <v>1736977904238</v>
      </c>
      <c r="B3398" s="2"/>
      <c r="C3398" s="2" t="str">
        <v>0</v>
      </c>
      <c r="D3398" s="2"/>
      <c r="F3398" s="2" t="str">
        <v>0</v>
      </c>
      <c r="I3398" s="3" t="str">
        <f ca="1">IFERROR(__xludf.DUMMYFUNCTION("""COMPUTED_VALUE"""),"Phạm Minh Trang ")</f>
        <v xml:space="preserve">Phạm Minh Trang </v>
      </c>
      <c r="J3398" s="3" t="str">
        <f ca="1">IFERROR(__xludf.DUMMYFUNCTION("""COMPUTED_VALUE"""),"0936233264")</f>
        <v>0936233264</v>
      </c>
      <c r="K3398" s="2" t="str">
        <f ca="1">IFERROR(__xludf.DUMMYFUNCTION("""COMPUTED_VALUE"""),"1736977904238")</f>
        <v>1736977904238</v>
      </c>
    </row>
    <row r="3399" spans="1:11" ht="12.45">
      <c r="A3399" s="2" t="str">
        <f ca="1">IFERROR(__xludf.DUMMYFUNCTION("""COMPUTED_VALUE"""),"1736977938398")</f>
        <v>1736977938398</v>
      </c>
      <c r="B3399" s="2"/>
      <c r="C3399" s="2" t="str">
        <v>0</v>
      </c>
      <c r="D3399" s="2"/>
      <c r="F3399" s="2" t="str">
        <v>0</v>
      </c>
      <c r="I3399" s="3" t="str">
        <f ca="1">IFERROR(__xludf.DUMMYFUNCTION("""COMPUTED_VALUE"""),"Kiều khánh Linh")</f>
        <v>Kiều khánh Linh</v>
      </c>
      <c r="J3399" s="3" t="str">
        <f ca="1">IFERROR(__xludf.DUMMYFUNCTION("""COMPUTED_VALUE"""),"0879132082")</f>
        <v>0879132082</v>
      </c>
      <c r="K3399" s="2" t="str">
        <f ca="1">IFERROR(__xludf.DUMMYFUNCTION("""COMPUTED_VALUE"""),"1736977938398")</f>
        <v>1736977938398</v>
      </c>
    </row>
    <row r="3400" spans="1:11" ht="12.45">
      <c r="A3400" s="2" t="str">
        <f ca="1">IFERROR(__xludf.DUMMYFUNCTION("""COMPUTED_VALUE"""),"1736977977272")</f>
        <v>1736977977272</v>
      </c>
      <c r="B3400" s="2"/>
      <c r="C3400" s="2" t="str">
        <v>0</v>
      </c>
      <c r="D3400" s="2"/>
      <c r="F3400" s="2" t="str">
        <v>0</v>
      </c>
      <c r="I3400" s="3" t="str">
        <f ca="1">IFERROR(__xludf.DUMMYFUNCTION("""COMPUTED_VALUE"""),"Nguyễn Khánh Ly")</f>
        <v>Nguyễn Khánh Ly</v>
      </c>
      <c r="J3400" s="3" t="str">
        <f ca="1">IFERROR(__xludf.DUMMYFUNCTION("""COMPUTED_VALUE"""),"0338471156")</f>
        <v>0338471156</v>
      </c>
      <c r="K3400" s="2" t="str">
        <f ca="1">IFERROR(__xludf.DUMMYFUNCTION("""COMPUTED_VALUE"""),"1736977977272")</f>
        <v>1736977977272</v>
      </c>
    </row>
    <row r="3401" spans="1:11" ht="12.45">
      <c r="A3401" s="2" t="str">
        <f ca="1">IFERROR(__xludf.DUMMYFUNCTION("""COMPUTED_VALUE"""),"1736978010072")</f>
        <v>1736978010072</v>
      </c>
      <c r="B3401" s="2"/>
      <c r="C3401" s="2" t="str">
        <v>0</v>
      </c>
      <c r="D3401" s="2"/>
      <c r="F3401" s="2" t="str">
        <v>0</v>
      </c>
      <c r="I3401" s="3" t="str">
        <f ca="1">IFERROR(__xludf.DUMMYFUNCTION("""COMPUTED_VALUE"""),"Trần Ngọc Minh")</f>
        <v>Trần Ngọc Minh</v>
      </c>
      <c r="J3401" s="3" t="str">
        <f ca="1">IFERROR(__xludf.DUMMYFUNCTION("""COMPUTED_VALUE"""),"0915725038")</f>
        <v>0915725038</v>
      </c>
      <c r="K3401" s="2" t="str">
        <f ca="1">IFERROR(__xludf.DUMMYFUNCTION("""COMPUTED_VALUE"""),"1736978010072")</f>
        <v>1736978010072</v>
      </c>
    </row>
    <row r="3402" spans="1:11" ht="12.45">
      <c r="A3402" s="2" t="str">
        <f ca="1">IFERROR(__xludf.DUMMYFUNCTION("""COMPUTED_VALUE"""),"1736978047134")</f>
        <v>1736978047134</v>
      </c>
      <c r="B3402" s="2"/>
      <c r="C3402" s="2" t="str">
        <v>0</v>
      </c>
      <c r="D3402" s="2"/>
      <c r="F3402" s="2" t="str">
        <v>0</v>
      </c>
      <c r="I3402" s="3" t="str">
        <f ca="1">IFERROR(__xludf.DUMMYFUNCTION("""COMPUTED_VALUE"""),"Đỗ Thị Kim Hằng")</f>
        <v>Đỗ Thị Kim Hằng</v>
      </c>
      <c r="J3402" s="3" t="str">
        <f ca="1">IFERROR(__xludf.DUMMYFUNCTION("""COMPUTED_VALUE"""),"0961709023")</f>
        <v>0961709023</v>
      </c>
      <c r="K3402" s="2" t="str">
        <f ca="1">IFERROR(__xludf.DUMMYFUNCTION("""COMPUTED_VALUE"""),"1736978047134")</f>
        <v>1736978047134</v>
      </c>
    </row>
    <row r="3403" spans="1:11" ht="12.45">
      <c r="A3403" s="2" t="str">
        <f ca="1">IFERROR(__xludf.DUMMYFUNCTION("""COMPUTED_VALUE"""),"1736978085728")</f>
        <v>1736978085728</v>
      </c>
      <c r="B3403" s="2"/>
      <c r="C3403" s="2" t="str">
        <v>0</v>
      </c>
      <c r="D3403" s="2"/>
      <c r="F3403" s="2" t="str">
        <v>0</v>
      </c>
      <c r="I3403" s="3" t="str">
        <f ca="1">IFERROR(__xludf.DUMMYFUNCTION("""COMPUTED_VALUE"""),"Phạm Thị Thuỷ Ngân")</f>
        <v>Phạm Thị Thuỷ Ngân</v>
      </c>
      <c r="J3403" s="2" t="str">
        <f ca="1">IFERROR(__xludf.DUMMYFUNCTION("""COMPUTED_VALUE"""),"0325558837")</f>
        <v>0325558837</v>
      </c>
      <c r="K3403" s="2" t="str">
        <f ca="1">IFERROR(__xludf.DUMMYFUNCTION("""COMPUTED_VALUE"""),"1736978085728")</f>
        <v>1736978085728</v>
      </c>
    </row>
    <row r="3404" spans="1:11" ht="12.45">
      <c r="A3404" s="2" t="str">
        <f ca="1">IFERROR(__xludf.DUMMYFUNCTION("""COMPUTED_VALUE"""),"1736978116805")</f>
        <v>1736978116805</v>
      </c>
      <c r="B3404" s="2"/>
      <c r="C3404" s="2" t="str">
        <v>0</v>
      </c>
      <c r="D3404" s="2"/>
      <c r="F3404" s="2" t="str">
        <v>0</v>
      </c>
      <c r="I3404" s="3" t="str">
        <f ca="1">IFERROR(__xludf.DUMMYFUNCTION("""COMPUTED_VALUE"""),"Ngô Ngân")</f>
        <v>Ngô Ngân</v>
      </c>
      <c r="J3404" s="3" t="str">
        <f ca="1">IFERROR(__xludf.DUMMYFUNCTION("""COMPUTED_VALUE"""),"0346590237")</f>
        <v>0346590237</v>
      </c>
      <c r="K3404" s="2" t="str">
        <f ca="1">IFERROR(__xludf.DUMMYFUNCTION("""COMPUTED_VALUE"""),"1736978116805")</f>
        <v>1736978116805</v>
      </c>
    </row>
    <row r="3405" spans="1:11" ht="12.45">
      <c r="A3405" s="2" t="str">
        <f ca="1">IFERROR(__xludf.DUMMYFUNCTION("""COMPUTED_VALUE"""),"1736978156856")</f>
        <v>1736978156856</v>
      </c>
      <c r="B3405" s="2"/>
      <c r="C3405" s="2" t="str">
        <v>0</v>
      </c>
      <c r="D3405" s="2"/>
      <c r="F3405" s="2" t="str">
        <v>0</v>
      </c>
      <c r="I3405" s="3" t="str">
        <f ca="1">IFERROR(__xludf.DUMMYFUNCTION("""COMPUTED_VALUE"""),"Nguyễn Thị Cẩm Vân")</f>
        <v>Nguyễn Thị Cẩm Vân</v>
      </c>
      <c r="J3405" s="3" t="str">
        <f ca="1">IFERROR(__xludf.DUMMYFUNCTION("""COMPUTED_VALUE"""),"0961126005")</f>
        <v>0961126005</v>
      </c>
      <c r="K3405" s="2" t="str">
        <f ca="1">IFERROR(__xludf.DUMMYFUNCTION("""COMPUTED_VALUE"""),"1736978156856")</f>
        <v>1736978156856</v>
      </c>
    </row>
    <row r="3406" spans="1:11" ht="12.45">
      <c r="A3406" s="2" t="str">
        <f ca="1">IFERROR(__xludf.DUMMYFUNCTION("""COMPUTED_VALUE"""),"1736978199588")</f>
        <v>1736978199588</v>
      </c>
      <c r="B3406" s="2"/>
      <c r="C3406" s="2" t="str">
        <v>0</v>
      </c>
      <c r="D3406" s="2"/>
      <c r="F3406" s="2" t="str">
        <v>0</v>
      </c>
      <c r="I3406" s="3" t="str">
        <f ca="1">IFERROR(__xludf.DUMMYFUNCTION("""COMPUTED_VALUE"""),"Nguyễn Khánh Ly")</f>
        <v>Nguyễn Khánh Ly</v>
      </c>
      <c r="J3406" s="3" t="str">
        <f ca="1">IFERROR(__xludf.DUMMYFUNCTION("""COMPUTED_VALUE"""),"0368021377")</f>
        <v>0368021377</v>
      </c>
      <c r="K3406" s="2" t="str">
        <f ca="1">IFERROR(__xludf.DUMMYFUNCTION("""COMPUTED_VALUE"""),"1736978199588")</f>
        <v>1736978199588</v>
      </c>
    </row>
    <row r="3407" spans="1:11" ht="12.45">
      <c r="A3407" s="2" t="str">
        <f ca="1">IFERROR(__xludf.DUMMYFUNCTION("""COMPUTED_VALUE"""),"1736978234086")</f>
        <v>1736978234086</v>
      </c>
      <c r="B3407" s="2"/>
      <c r="C3407" s="2" t="str">
        <v>0</v>
      </c>
      <c r="D3407" s="2"/>
      <c r="F3407" s="2" t="str">
        <v>0</v>
      </c>
      <c r="I3407" s="3" t="str">
        <f ca="1">IFERROR(__xludf.DUMMYFUNCTION("""COMPUTED_VALUE"""),"Nguyễn Thị Thu Giang")</f>
        <v>Nguyễn Thị Thu Giang</v>
      </c>
      <c r="J3407" s="3" t="str">
        <f ca="1">IFERROR(__xludf.DUMMYFUNCTION("""COMPUTED_VALUE"""),"0926781068")</f>
        <v>0926781068</v>
      </c>
      <c r="K3407" s="2" t="str">
        <f ca="1">IFERROR(__xludf.DUMMYFUNCTION("""COMPUTED_VALUE"""),"1736978234086")</f>
        <v>1736978234086</v>
      </c>
    </row>
    <row r="3408" spans="1:11" ht="12.45">
      <c r="A3408" s="2" t="str">
        <f ca="1">IFERROR(__xludf.DUMMYFUNCTION("""COMPUTED_VALUE"""),"1736978262334")</f>
        <v>1736978262334</v>
      </c>
      <c r="B3408" s="2"/>
      <c r="C3408" s="2" t="str">
        <v>0</v>
      </c>
      <c r="D3408" s="2"/>
      <c r="F3408" s="2" t="str">
        <v>0</v>
      </c>
      <c r="I3408" s="3" t="str">
        <f ca="1">IFERROR(__xludf.DUMMYFUNCTION("""COMPUTED_VALUE"""),"Vũ Mạnh khôi")</f>
        <v>Vũ Mạnh khôi</v>
      </c>
      <c r="J3408" s="3" t="str">
        <f ca="1">IFERROR(__xludf.DUMMYFUNCTION("""COMPUTED_VALUE"""),"0364310366")</f>
        <v>0364310366</v>
      </c>
      <c r="K3408" s="2" t="str">
        <f ca="1">IFERROR(__xludf.DUMMYFUNCTION("""COMPUTED_VALUE"""),"1736978262334")</f>
        <v>1736978262334</v>
      </c>
    </row>
    <row r="3409" spans="1:11" ht="12.45">
      <c r="A3409" s="2" t="str">
        <f ca="1">IFERROR(__xludf.DUMMYFUNCTION("""COMPUTED_VALUE"""),"1736978289918")</f>
        <v>1736978289918</v>
      </c>
      <c r="B3409" s="2"/>
      <c r="C3409" s="2" t="str">
        <v>0</v>
      </c>
      <c r="D3409" s="2"/>
      <c r="F3409" s="2" t="str">
        <v>0</v>
      </c>
      <c r="I3409" s="3" t="str">
        <f ca="1">IFERROR(__xludf.DUMMYFUNCTION("""COMPUTED_VALUE"""),"Đặng Phương Linh ")</f>
        <v xml:space="preserve">Đặng Phương Linh </v>
      </c>
      <c r="J3409" s="3" t="str">
        <f ca="1">IFERROR(__xludf.DUMMYFUNCTION("""COMPUTED_VALUE"""),"0392664177")</f>
        <v>0392664177</v>
      </c>
      <c r="K3409" s="2" t="str">
        <f ca="1">IFERROR(__xludf.DUMMYFUNCTION("""COMPUTED_VALUE"""),"1736978289918")</f>
        <v>1736978289918</v>
      </c>
    </row>
    <row r="3410" spans="1:11" ht="12.45">
      <c r="A3410" s="2" t="str">
        <f ca="1">IFERROR(__xludf.DUMMYFUNCTION("""COMPUTED_VALUE"""),"1736978332700")</f>
        <v>1736978332700</v>
      </c>
      <c r="B3410" s="2"/>
      <c r="C3410" s="2" t="str">
        <v>0</v>
      </c>
      <c r="D3410" s="2"/>
      <c r="F3410" s="2" t="str">
        <v>0</v>
      </c>
      <c r="I3410" s="3" t="str">
        <f ca="1">IFERROR(__xludf.DUMMYFUNCTION("""COMPUTED_VALUE"""),"Hồ Huyền Diệu")</f>
        <v>Hồ Huyền Diệu</v>
      </c>
      <c r="J3410" s="3" t="str">
        <f ca="1">IFERROR(__xludf.DUMMYFUNCTION("""COMPUTED_VALUE"""),"0342574758")</f>
        <v>0342574758</v>
      </c>
      <c r="K3410" s="2" t="str">
        <f ca="1">IFERROR(__xludf.DUMMYFUNCTION("""COMPUTED_VALUE"""),"1736978332700")</f>
        <v>1736978332700</v>
      </c>
    </row>
    <row r="3411" spans="1:11" ht="12.45">
      <c r="A3411" s="2" t="str">
        <f ca="1">IFERROR(__xludf.DUMMYFUNCTION("""COMPUTED_VALUE"""),"1736978374348")</f>
        <v>1736978374348</v>
      </c>
      <c r="B3411" s="2"/>
      <c r="C3411" s="2" t="str">
        <v>0</v>
      </c>
      <c r="D3411" s="2"/>
      <c r="F3411" s="2" t="str">
        <v>0</v>
      </c>
      <c r="I3411" s="3" t="str">
        <f ca="1">IFERROR(__xludf.DUMMYFUNCTION("""COMPUTED_VALUE"""),"Phùng Thị Xuân Mai")</f>
        <v>Phùng Thị Xuân Mai</v>
      </c>
      <c r="J3411" s="3" t="str">
        <f ca="1">IFERROR(__xludf.DUMMYFUNCTION("""COMPUTED_VALUE"""),"0856525363")</f>
        <v>0856525363</v>
      </c>
      <c r="K3411" s="2" t="str">
        <f ca="1">IFERROR(__xludf.DUMMYFUNCTION("""COMPUTED_VALUE"""),"1736978374348")</f>
        <v>1736978374348</v>
      </c>
    </row>
    <row r="3412" spans="1:11" ht="12.45">
      <c r="A3412" s="2" t="str">
        <f ca="1">IFERROR(__xludf.DUMMYFUNCTION("""COMPUTED_VALUE"""),"1736978422450")</f>
        <v>1736978422450</v>
      </c>
      <c r="B3412" s="2"/>
      <c r="C3412" s="2" t="str">
        <v>0</v>
      </c>
      <c r="D3412" s="2"/>
      <c r="F3412" s="2" t="str">
        <v>0</v>
      </c>
      <c r="I3412" s="3" t="str">
        <f ca="1">IFERROR(__xludf.DUMMYFUNCTION("""COMPUTED_VALUE"""),"Phạm Thị Thuý Kiều ")</f>
        <v xml:space="preserve">Phạm Thị Thuý Kiều </v>
      </c>
      <c r="J3412" s="3" t="str">
        <f ca="1">IFERROR(__xludf.DUMMYFUNCTION("""COMPUTED_VALUE"""),"0975370630")</f>
        <v>0975370630</v>
      </c>
      <c r="K3412" s="2" t="str">
        <f ca="1">IFERROR(__xludf.DUMMYFUNCTION("""COMPUTED_VALUE"""),"1736978422450")</f>
        <v>1736978422450</v>
      </c>
    </row>
    <row r="3413" spans="1:11" ht="12.45">
      <c r="A3413" s="2" t="str">
        <f ca="1">IFERROR(__xludf.DUMMYFUNCTION("""COMPUTED_VALUE"""),"1736978461851")</f>
        <v>1736978461851</v>
      </c>
      <c r="B3413" s="2"/>
      <c r="C3413" s="2" t="str">
        <v>0</v>
      </c>
      <c r="D3413" s="2"/>
      <c r="F3413" s="2" t="str">
        <v>0</v>
      </c>
      <c r="I3413" s="3" t="str">
        <f ca="1">IFERROR(__xludf.DUMMYFUNCTION("""COMPUTED_VALUE"""),"Nguyễn Thị Mỹ Kiều ")</f>
        <v xml:space="preserve">Nguyễn Thị Mỹ Kiều </v>
      </c>
      <c r="J3413" s="3" t="str">
        <f ca="1">IFERROR(__xludf.DUMMYFUNCTION("""COMPUTED_VALUE"""),"0379136883")</f>
        <v>0379136883</v>
      </c>
      <c r="K3413" s="2" t="str">
        <f ca="1">IFERROR(__xludf.DUMMYFUNCTION("""COMPUTED_VALUE"""),"1736978461851")</f>
        <v>1736978461851</v>
      </c>
    </row>
    <row r="3414" spans="1:11" ht="12.45">
      <c r="A3414" s="2" t="str">
        <f ca="1">IFERROR(__xludf.DUMMYFUNCTION("""COMPUTED_VALUE"""),"1736978499265")</f>
        <v>1736978499265</v>
      </c>
      <c r="B3414" s="2"/>
      <c r="C3414" s="2" t="str">
        <v>0</v>
      </c>
      <c r="D3414" s="2"/>
      <c r="F3414" s="2" t="str">
        <v>0</v>
      </c>
      <c r="I3414" s="3" t="str">
        <f ca="1">IFERROR(__xludf.DUMMYFUNCTION("""COMPUTED_VALUE"""),"Nguyễn ngọc phượng")</f>
        <v>Nguyễn ngọc phượng</v>
      </c>
      <c r="J3414" s="3" t="str">
        <f ca="1">IFERROR(__xludf.DUMMYFUNCTION("""COMPUTED_VALUE"""),"0366918644")</f>
        <v>0366918644</v>
      </c>
      <c r="K3414" s="2" t="str">
        <f ca="1">IFERROR(__xludf.DUMMYFUNCTION("""COMPUTED_VALUE"""),"1736978499265")</f>
        <v>1736978499265</v>
      </c>
    </row>
    <row r="3415" spans="1:11" ht="12.45">
      <c r="A3415" s="2" t="str">
        <f ca="1">IFERROR(__xludf.DUMMYFUNCTION("""COMPUTED_VALUE"""),"1736978530591")</f>
        <v>1736978530591</v>
      </c>
      <c r="B3415" s="2"/>
      <c r="C3415" s="2" t="str">
        <v>0</v>
      </c>
      <c r="D3415" s="2"/>
      <c r="F3415" s="2" t="str">
        <v>0</v>
      </c>
      <c r="I3415" s="3" t="str">
        <f ca="1">IFERROR(__xludf.DUMMYFUNCTION("""COMPUTED_VALUE"""),"Lê Nguyễn Nguyệt Hằng")</f>
        <v>Lê Nguyễn Nguyệt Hằng</v>
      </c>
      <c r="J3415" s="3" t="str">
        <f ca="1">IFERROR(__xludf.DUMMYFUNCTION("""COMPUTED_VALUE"""),"0326639345")</f>
        <v>0326639345</v>
      </c>
      <c r="K3415" s="2" t="str">
        <f ca="1">IFERROR(__xludf.DUMMYFUNCTION("""COMPUTED_VALUE"""),"1736978530591")</f>
        <v>1736978530591</v>
      </c>
    </row>
    <row r="3416" spans="1:11" ht="12.45">
      <c r="A3416" s="2" t="str">
        <f ca="1">IFERROR(__xludf.DUMMYFUNCTION("""COMPUTED_VALUE"""),"1736978560712")</f>
        <v>1736978560712</v>
      </c>
      <c r="B3416" s="2"/>
      <c r="C3416" s="2" t="str">
        <v>0</v>
      </c>
      <c r="D3416" s="2"/>
      <c r="F3416" s="2" t="str">
        <v>0</v>
      </c>
      <c r="I3416" s="3" t="str">
        <f ca="1">IFERROR(__xludf.DUMMYFUNCTION("""COMPUTED_VALUE"""),"Nguyễn Đặng Ngọc Anh")</f>
        <v>Nguyễn Đặng Ngọc Anh</v>
      </c>
      <c r="J3416" s="3" t="str">
        <f ca="1">IFERROR(__xludf.DUMMYFUNCTION("""COMPUTED_VALUE"""),"0339574708")</f>
        <v>0339574708</v>
      </c>
      <c r="K3416" s="2" t="str">
        <f ca="1">IFERROR(__xludf.DUMMYFUNCTION("""COMPUTED_VALUE"""),"1736978560712")</f>
        <v>1736978560712</v>
      </c>
    </row>
    <row r="3417" spans="1:11" ht="12.45">
      <c r="A3417" s="2" t="str">
        <f ca="1">IFERROR(__xludf.DUMMYFUNCTION("""COMPUTED_VALUE"""),"1736978591821")</f>
        <v>1736978591821</v>
      </c>
      <c r="B3417" s="2"/>
      <c r="C3417" s="2" t="str">
        <v>0</v>
      </c>
      <c r="D3417" s="2"/>
      <c r="F3417" s="2" t="str">
        <v>0</v>
      </c>
      <c r="I3417" s="3" t="str">
        <f ca="1">IFERROR(__xludf.DUMMYFUNCTION("""COMPUTED_VALUE"""),"Trần Thị Diễm My")</f>
        <v>Trần Thị Diễm My</v>
      </c>
      <c r="J3417" s="3" t="str">
        <f ca="1">IFERROR(__xludf.DUMMYFUNCTION("""COMPUTED_VALUE"""),"0977471891")</f>
        <v>0977471891</v>
      </c>
      <c r="K3417" s="2" t="str">
        <f ca="1">IFERROR(__xludf.DUMMYFUNCTION("""COMPUTED_VALUE"""),"1736978591821")</f>
        <v>1736978591821</v>
      </c>
    </row>
    <row r="3418" spans="1:11" ht="12.45">
      <c r="A3418" s="2" t="str">
        <f ca="1">IFERROR(__xludf.DUMMYFUNCTION("""COMPUTED_VALUE"""),"1736978640014")</f>
        <v>1736978640014</v>
      </c>
      <c r="B3418" s="2"/>
      <c r="C3418" s="2" t="str">
        <v>0</v>
      </c>
      <c r="D3418" s="2"/>
      <c r="F3418" s="2" t="str">
        <v>0</v>
      </c>
      <c r="I3418" s="3" t="str">
        <f ca="1">IFERROR(__xludf.DUMMYFUNCTION("""COMPUTED_VALUE"""),"Dương Thị Thúy Vy")</f>
        <v>Dương Thị Thúy Vy</v>
      </c>
      <c r="J3418" s="3" t="str">
        <f ca="1">IFERROR(__xludf.DUMMYFUNCTION("""COMPUTED_VALUE"""),"0783472512")</f>
        <v>0783472512</v>
      </c>
      <c r="K3418" s="2" t="str">
        <f ca="1">IFERROR(__xludf.DUMMYFUNCTION("""COMPUTED_VALUE"""),"1736978640014")</f>
        <v>1736978640014</v>
      </c>
    </row>
    <row r="3419" spans="1:11" ht="12.45">
      <c r="A3419" s="2" t="str">
        <f ca="1">IFERROR(__xludf.DUMMYFUNCTION("""COMPUTED_VALUE"""),"1736978673413")</f>
        <v>1736978673413</v>
      </c>
      <c r="B3419" s="2"/>
      <c r="C3419" s="2" t="str">
        <v>0</v>
      </c>
      <c r="D3419" s="2"/>
      <c r="F3419" s="2" t="str">
        <v>0</v>
      </c>
      <c r="I3419" s="3" t="str">
        <f ca="1">IFERROR(__xludf.DUMMYFUNCTION("""COMPUTED_VALUE"""),"Bùi Tuyết Nhi")</f>
        <v>Bùi Tuyết Nhi</v>
      </c>
      <c r="J3419" s="3" t="str">
        <f ca="1">IFERROR(__xludf.DUMMYFUNCTION("""COMPUTED_VALUE"""),"0357101107")</f>
        <v>0357101107</v>
      </c>
      <c r="K3419" s="2" t="str">
        <f ca="1">IFERROR(__xludf.DUMMYFUNCTION("""COMPUTED_VALUE"""),"1736978673413")</f>
        <v>1736978673413</v>
      </c>
    </row>
    <row r="3420" spans="1:11" ht="12.45">
      <c r="A3420" s="2" t="str">
        <f ca="1">IFERROR(__xludf.DUMMYFUNCTION("""COMPUTED_VALUE"""),"1736978715308")</f>
        <v>1736978715308</v>
      </c>
      <c r="B3420" s="2"/>
      <c r="C3420" s="2" t="str">
        <v>0</v>
      </c>
      <c r="D3420" s="2"/>
      <c r="F3420" s="2" t="str">
        <v>0</v>
      </c>
      <c r="I3420" s="3" t="str">
        <f ca="1">IFERROR(__xludf.DUMMYFUNCTION("""COMPUTED_VALUE"""),"Nguyễn Ngọc Yến Nhi")</f>
        <v>Nguyễn Ngọc Yến Nhi</v>
      </c>
      <c r="J3420" s="3" t="str">
        <f ca="1">IFERROR(__xludf.DUMMYFUNCTION("""COMPUTED_VALUE"""),"0933614424")</f>
        <v>0933614424</v>
      </c>
      <c r="K3420" s="2" t="str">
        <f ca="1">IFERROR(__xludf.DUMMYFUNCTION("""COMPUTED_VALUE"""),"1736978715308")</f>
        <v>1736978715308</v>
      </c>
    </row>
    <row r="3421" spans="1:11" ht="12.45">
      <c r="A3421" s="2" t="str">
        <f ca="1">IFERROR(__xludf.DUMMYFUNCTION("""COMPUTED_VALUE"""),"1736978750847")</f>
        <v>1736978750847</v>
      </c>
      <c r="B3421" s="2"/>
      <c r="C3421" s="2" t="str">
        <v>0</v>
      </c>
      <c r="D3421" s="2"/>
      <c r="F3421" s="2" t="str">
        <v>0</v>
      </c>
      <c r="I3421" s="3" t="str">
        <f ca="1">IFERROR(__xludf.DUMMYFUNCTION("""COMPUTED_VALUE"""),"Nguyễn Thanh Nhàn")</f>
        <v>Nguyễn Thanh Nhàn</v>
      </c>
      <c r="J3421" s="3" t="str">
        <f ca="1">IFERROR(__xludf.DUMMYFUNCTION("""COMPUTED_VALUE"""),"0398450258")</f>
        <v>0398450258</v>
      </c>
      <c r="K3421" s="2" t="str">
        <f ca="1">IFERROR(__xludf.DUMMYFUNCTION("""COMPUTED_VALUE"""),"1736978750847")</f>
        <v>1736978750847</v>
      </c>
    </row>
    <row r="3422" spans="1:11" ht="12.45">
      <c r="A3422" s="2" t="str">
        <f ca="1">IFERROR(__xludf.DUMMYFUNCTION("""COMPUTED_VALUE"""),"1736978794835")</f>
        <v>1736978794835</v>
      </c>
      <c r="B3422" s="2"/>
      <c r="C3422" s="2" t="str">
        <v>0</v>
      </c>
      <c r="D3422" s="2"/>
      <c r="F3422" s="2" t="str">
        <v>0</v>
      </c>
      <c r="I3422" s="3" t="str">
        <f ca="1">IFERROR(__xludf.DUMMYFUNCTION("""COMPUTED_VALUE"""),"Đặng Ngô Quốc Long")</f>
        <v>Đặng Ngô Quốc Long</v>
      </c>
      <c r="J3422" s="3" t="str">
        <f ca="1">IFERROR(__xludf.DUMMYFUNCTION("""COMPUTED_VALUE"""),"0394520271")</f>
        <v>0394520271</v>
      </c>
      <c r="K3422" s="2" t="str">
        <f ca="1">IFERROR(__xludf.DUMMYFUNCTION("""COMPUTED_VALUE"""),"1736978794835")</f>
        <v>1736978794835</v>
      </c>
    </row>
    <row r="3423" spans="1:11" ht="12.45">
      <c r="A3423" s="2" t="str">
        <f ca="1">IFERROR(__xludf.DUMMYFUNCTION("""COMPUTED_VALUE"""),"1736978832441")</f>
        <v>1736978832441</v>
      </c>
      <c r="B3423" s="2"/>
      <c r="C3423" s="2" t="str">
        <v>0</v>
      </c>
      <c r="D3423" s="2"/>
      <c r="F3423" s="2" t="str">
        <v>0</v>
      </c>
      <c r="I3423" s="3" t="str">
        <f ca="1">IFERROR(__xludf.DUMMYFUNCTION("""COMPUTED_VALUE"""),"Hoàng Thị Thu Uyên")</f>
        <v>Hoàng Thị Thu Uyên</v>
      </c>
      <c r="J3423" s="3" t="str">
        <f ca="1">IFERROR(__xludf.DUMMYFUNCTION("""COMPUTED_VALUE"""),"0826308045")</f>
        <v>0826308045</v>
      </c>
      <c r="K3423" s="2" t="str">
        <f ca="1">IFERROR(__xludf.DUMMYFUNCTION("""COMPUTED_VALUE"""),"1736978832441")</f>
        <v>1736978832441</v>
      </c>
    </row>
    <row r="3424" spans="1:11" ht="12.45">
      <c r="A3424" s="2" t="str">
        <f ca="1">IFERROR(__xludf.DUMMYFUNCTION("""COMPUTED_VALUE"""),"1736978870323")</f>
        <v>1736978870323</v>
      </c>
      <c r="B3424" s="2"/>
      <c r="C3424" s="2" t="str">
        <v>0</v>
      </c>
      <c r="D3424" s="2"/>
      <c r="F3424" s="2" t="str">
        <v>0</v>
      </c>
      <c r="I3424" s="3" t="str">
        <f ca="1">IFERROR(__xludf.DUMMYFUNCTION("""COMPUTED_VALUE"""),"Phạm Thị Phương Dung")</f>
        <v>Phạm Thị Phương Dung</v>
      </c>
      <c r="J3424" s="3" t="str">
        <f ca="1">IFERROR(__xludf.DUMMYFUNCTION("""COMPUTED_VALUE"""),"0943668265")</f>
        <v>0943668265</v>
      </c>
      <c r="K3424" s="2" t="str">
        <f ca="1">IFERROR(__xludf.DUMMYFUNCTION("""COMPUTED_VALUE"""),"1736978870323")</f>
        <v>1736978870323</v>
      </c>
    </row>
    <row r="3425" spans="1:11" ht="12.45">
      <c r="A3425" s="2" t="str">
        <f ca="1">IFERROR(__xludf.DUMMYFUNCTION("""COMPUTED_VALUE"""),"1736978910369")</f>
        <v>1736978910369</v>
      </c>
      <c r="B3425" s="2"/>
      <c r="C3425" s="2" t="str">
        <v>0</v>
      </c>
      <c r="D3425" s="2"/>
      <c r="F3425" s="2" t="str">
        <v>0</v>
      </c>
      <c r="I3425" s="3" t="str">
        <f ca="1">IFERROR(__xludf.DUMMYFUNCTION("""COMPUTED_VALUE"""),"Phạm Thị Bích Loan")</f>
        <v>Phạm Thị Bích Loan</v>
      </c>
      <c r="J3425" s="3" t="str">
        <f ca="1">IFERROR(__xludf.DUMMYFUNCTION("""COMPUTED_VALUE"""),"0866462860")</f>
        <v>0866462860</v>
      </c>
      <c r="K3425" s="2" t="str">
        <f ca="1">IFERROR(__xludf.DUMMYFUNCTION("""COMPUTED_VALUE"""),"1736978910369")</f>
        <v>1736978910369</v>
      </c>
    </row>
    <row r="3426" spans="1:11" ht="12.45">
      <c r="A3426" s="2" t="str">
        <f ca="1">IFERROR(__xludf.DUMMYFUNCTION("""COMPUTED_VALUE"""),"1748266358829")</f>
        <v>1748266358829</v>
      </c>
      <c r="B3426" s="2"/>
      <c r="C3426" s="2" t="str">
        <v>0</v>
      </c>
      <c r="D3426" s="2"/>
      <c r="F3426" s="2" t="str">
        <v>0</v>
      </c>
      <c r="I3426" s="3" t="str">
        <f ca="1">IFERROR(__xludf.DUMMYFUNCTION("""COMPUTED_VALUE"""),"Lâm Thị Diễm My")</f>
        <v>Lâm Thị Diễm My</v>
      </c>
      <c r="J3426" s="3" t="str">
        <f ca="1">IFERROR(__xludf.DUMMYFUNCTION("""COMPUTED_VALUE"""),"0949414182")</f>
        <v>0949414182</v>
      </c>
      <c r="K3426" s="2" t="str">
        <f ca="1">IFERROR(__xludf.DUMMYFUNCTION("""COMPUTED_VALUE"""),"1748266358829")</f>
        <v>1748266358829</v>
      </c>
    </row>
    <row r="3427" spans="1:11" ht="12.45">
      <c r="A3427" s="2" t="str">
        <f ca="1">IFERROR(__xludf.DUMMYFUNCTION("""COMPUTED_VALUE"""),"1736978995620")</f>
        <v>1736978995620</v>
      </c>
      <c r="B3427" s="2"/>
      <c r="C3427" s="2" t="str">
        <v>0</v>
      </c>
      <c r="D3427" s="2"/>
      <c r="F3427" s="2" t="str">
        <v>0</v>
      </c>
      <c r="I3427" s="3" t="str">
        <f ca="1">IFERROR(__xludf.DUMMYFUNCTION("""COMPUTED_VALUE"""),"Phạm Quỳnh Nga")</f>
        <v>Phạm Quỳnh Nga</v>
      </c>
      <c r="J3427" s="3" t="str">
        <f ca="1">IFERROR(__xludf.DUMMYFUNCTION("""COMPUTED_VALUE"""),"0965125969")</f>
        <v>0965125969</v>
      </c>
      <c r="K3427" s="2" t="str">
        <f ca="1">IFERROR(__xludf.DUMMYFUNCTION("""COMPUTED_VALUE"""),"1736978995620")</f>
        <v>1736978995620</v>
      </c>
    </row>
    <row r="3428" spans="1:11" ht="12.45">
      <c r="A3428" s="2" t="str">
        <f ca="1">IFERROR(__xludf.DUMMYFUNCTION("""COMPUTED_VALUE"""),"1736979024755")</f>
        <v>1736979024755</v>
      </c>
      <c r="B3428" s="2"/>
      <c r="C3428" s="2" t="str">
        <v>0</v>
      </c>
      <c r="D3428" s="2"/>
      <c r="F3428" s="2" t="str">
        <v>0</v>
      </c>
      <c r="I3428" s="3" t="str">
        <f ca="1">IFERROR(__xludf.DUMMYFUNCTION("""COMPUTED_VALUE"""),"Lê Hiền Anh")</f>
        <v>Lê Hiền Anh</v>
      </c>
      <c r="J3428" s="3" t="str">
        <f ca="1">IFERROR(__xludf.DUMMYFUNCTION("""COMPUTED_VALUE"""),"0938100381")</f>
        <v>0938100381</v>
      </c>
      <c r="K3428" s="2" t="str">
        <f ca="1">IFERROR(__xludf.DUMMYFUNCTION("""COMPUTED_VALUE"""),"1736979024755")</f>
        <v>1736979024755</v>
      </c>
    </row>
    <row r="3429" spans="1:11" ht="12.45">
      <c r="A3429" s="2" t="str">
        <f ca="1">IFERROR(__xludf.DUMMYFUNCTION("""COMPUTED_VALUE"""),"1736979055071")</f>
        <v>1736979055071</v>
      </c>
      <c r="B3429" s="2"/>
      <c r="C3429" s="2" t="str">
        <v>0</v>
      </c>
      <c r="D3429" s="2"/>
      <c r="F3429" s="2" t="str">
        <v>0</v>
      </c>
      <c r="I3429" s="3" t="str">
        <f ca="1">IFERROR(__xludf.DUMMYFUNCTION("""COMPUTED_VALUE"""),"Hoàng Bảo Trâm")</f>
        <v>Hoàng Bảo Trâm</v>
      </c>
      <c r="J3429" s="3" t="str">
        <f ca="1">IFERROR(__xludf.DUMMYFUNCTION("""COMPUTED_VALUE"""),"0889522007")</f>
        <v>0889522007</v>
      </c>
      <c r="K3429" s="2" t="str">
        <f ca="1">IFERROR(__xludf.DUMMYFUNCTION("""COMPUTED_VALUE"""),"1736979055071")</f>
        <v>1736979055071</v>
      </c>
    </row>
    <row r="3430" spans="1:11" ht="12.45">
      <c r="A3430" s="2" t="str">
        <f ca="1">IFERROR(__xludf.DUMMYFUNCTION("""COMPUTED_VALUE"""),"1736979088290")</f>
        <v>1736979088290</v>
      </c>
      <c r="B3430" s="2"/>
      <c r="C3430" s="2" t="str">
        <v>0</v>
      </c>
      <c r="D3430" s="2"/>
      <c r="F3430" s="2" t="str">
        <v>0</v>
      </c>
      <c r="I3430" s="3" t="str">
        <f ca="1">IFERROR(__xludf.DUMMYFUNCTION("""COMPUTED_VALUE"""),"Nguyễn Thị Đoan Trang ")</f>
        <v xml:space="preserve">Nguyễn Thị Đoan Trang </v>
      </c>
      <c r="J3430" s="3" t="str">
        <f ca="1">IFERROR(__xludf.DUMMYFUNCTION("""COMPUTED_VALUE"""),"0843258330")</f>
        <v>0843258330</v>
      </c>
      <c r="K3430" s="2" t="str">
        <f ca="1">IFERROR(__xludf.DUMMYFUNCTION("""COMPUTED_VALUE"""),"1736979088290")</f>
        <v>1736979088290</v>
      </c>
    </row>
    <row r="3431" spans="1:11" ht="12.45">
      <c r="A3431" s="2" t="str">
        <f ca="1">IFERROR(__xludf.DUMMYFUNCTION("""COMPUTED_VALUE"""),"1736979125676")</f>
        <v>1736979125676</v>
      </c>
      <c r="B3431" s="2"/>
      <c r="C3431" s="2" t="str">
        <v>0</v>
      </c>
      <c r="D3431" s="2"/>
      <c r="F3431" s="2" t="str">
        <v>0</v>
      </c>
      <c r="I3431" s="3" t="str">
        <f ca="1">IFERROR(__xludf.DUMMYFUNCTION("""COMPUTED_VALUE"""),"Lê Hải Vân")</f>
        <v>Lê Hải Vân</v>
      </c>
      <c r="J3431" s="3" t="str">
        <f ca="1">IFERROR(__xludf.DUMMYFUNCTION("""COMPUTED_VALUE"""),"0969562841")</f>
        <v>0969562841</v>
      </c>
      <c r="K3431" s="2" t="str">
        <f ca="1">IFERROR(__xludf.DUMMYFUNCTION("""COMPUTED_VALUE"""),"1736979125676")</f>
        <v>1736979125676</v>
      </c>
    </row>
    <row r="3432" spans="1:11" ht="12.45">
      <c r="A3432" s="2" t="str">
        <f ca="1">IFERROR(__xludf.DUMMYFUNCTION("""COMPUTED_VALUE"""),"1736979169200")</f>
        <v>1736979169200</v>
      </c>
      <c r="B3432" s="2"/>
      <c r="C3432" s="2" t="str">
        <v>0</v>
      </c>
      <c r="D3432" s="2"/>
      <c r="F3432" s="2" t="str">
        <v>0</v>
      </c>
      <c r="I3432" s="3" t="str">
        <f ca="1">IFERROR(__xludf.DUMMYFUNCTION("""COMPUTED_VALUE"""),"Nguyễn Lê Nhật Quỳnh")</f>
        <v>Nguyễn Lê Nhật Quỳnh</v>
      </c>
      <c r="J3432" s="3" t="str">
        <f ca="1">IFERROR(__xludf.DUMMYFUNCTION("""COMPUTED_VALUE"""),"0397748370")</f>
        <v>0397748370</v>
      </c>
      <c r="K3432" s="2" t="str">
        <f ca="1">IFERROR(__xludf.DUMMYFUNCTION("""COMPUTED_VALUE"""),"1736979169200")</f>
        <v>1736979169200</v>
      </c>
    </row>
    <row r="3433" spans="1:11" ht="12.45">
      <c r="A3433" s="2" t="str">
        <f ca="1">IFERROR(__xludf.DUMMYFUNCTION("""COMPUTED_VALUE"""),"1736979237244")</f>
        <v>1736979237244</v>
      </c>
      <c r="B3433" s="2"/>
      <c r="C3433" s="2" t="str">
        <v>0</v>
      </c>
      <c r="D3433" s="2"/>
      <c r="F3433" s="2" t="str">
        <v>0</v>
      </c>
      <c r="I3433" s="3" t="str">
        <f ca="1">IFERROR(__xludf.DUMMYFUNCTION("""COMPUTED_VALUE"""),"Bùi Thị Hồng Đào")</f>
        <v>Bùi Thị Hồng Đào</v>
      </c>
      <c r="J3433" s="3" t="str">
        <f ca="1">IFERROR(__xludf.DUMMYFUNCTION("""COMPUTED_VALUE"""),"0396297062")</f>
        <v>0396297062</v>
      </c>
      <c r="K3433" s="2" t="str">
        <f ca="1">IFERROR(__xludf.DUMMYFUNCTION("""COMPUTED_VALUE"""),"1736979237244")</f>
        <v>1736979237244</v>
      </c>
    </row>
    <row r="3434" spans="1:11" ht="12.45">
      <c r="A3434" s="2" t="str">
        <f ca="1">IFERROR(__xludf.DUMMYFUNCTION("""COMPUTED_VALUE"""),"1736979278164")</f>
        <v>1736979278164</v>
      </c>
      <c r="B3434" s="2"/>
      <c r="C3434" s="2" t="str">
        <v>0</v>
      </c>
      <c r="D3434" s="2"/>
      <c r="F3434" s="2" t="str">
        <v>0</v>
      </c>
      <c r="I3434" s="3" t="str">
        <f ca="1">IFERROR(__xludf.DUMMYFUNCTION("""COMPUTED_VALUE"""),"Trần Thị Hồng Vi ")</f>
        <v xml:space="preserve">Trần Thị Hồng Vi </v>
      </c>
      <c r="J3434" s="3" t="str">
        <f ca="1">IFERROR(__xludf.DUMMYFUNCTION("""COMPUTED_VALUE"""),"0379704606")</f>
        <v>0379704606</v>
      </c>
      <c r="K3434" s="2" t="str">
        <f ca="1">IFERROR(__xludf.DUMMYFUNCTION("""COMPUTED_VALUE"""),"1736979278164")</f>
        <v>1736979278164</v>
      </c>
    </row>
    <row r="3435" spans="1:11" ht="12.45">
      <c r="A3435" s="2" t="str">
        <f ca="1">IFERROR(__xludf.DUMMYFUNCTION("""COMPUTED_VALUE"""),"1736991822007")</f>
        <v>1736991822007</v>
      </c>
      <c r="B3435" s="2"/>
      <c r="C3435" s="2" t="str">
        <v>0</v>
      </c>
      <c r="D3435" s="2"/>
      <c r="F3435" s="2" t="str">
        <v>0</v>
      </c>
      <c r="I3435" s="3" t="str">
        <f ca="1">IFERROR(__xludf.DUMMYFUNCTION("""COMPUTED_VALUE"""),"Hoàng Thị Hà Chi ")</f>
        <v xml:space="preserve">Hoàng Thị Hà Chi </v>
      </c>
      <c r="J3435" s="3" t="str">
        <f ca="1">IFERROR(__xludf.DUMMYFUNCTION("""COMPUTED_VALUE"""),"0865918209")</f>
        <v>0865918209</v>
      </c>
      <c r="K3435" s="2" t="str">
        <f ca="1">IFERROR(__xludf.DUMMYFUNCTION("""COMPUTED_VALUE"""),"1736991822007")</f>
        <v>1736991822007</v>
      </c>
    </row>
    <row r="3436" spans="1:11" ht="12.45">
      <c r="A3436" s="2" t="str">
        <f ca="1">IFERROR(__xludf.DUMMYFUNCTION("""COMPUTED_VALUE"""),"1736991862020")</f>
        <v>1736991862020</v>
      </c>
      <c r="B3436" s="2"/>
      <c r="C3436" s="2" t="str">
        <v>0</v>
      </c>
      <c r="D3436" s="2"/>
      <c r="F3436" s="2" t="str">
        <v>0</v>
      </c>
      <c r="I3436" s="3" t="str">
        <f ca="1">IFERROR(__xludf.DUMMYFUNCTION("""COMPUTED_VALUE"""),"Tạ Phan Thúy Vân ")</f>
        <v xml:space="preserve">Tạ Phan Thúy Vân </v>
      </c>
      <c r="J3436" s="3" t="str">
        <f ca="1">IFERROR(__xludf.DUMMYFUNCTION("""COMPUTED_VALUE"""),"0338275014")</f>
        <v>0338275014</v>
      </c>
      <c r="K3436" s="2" t="str">
        <f ca="1">IFERROR(__xludf.DUMMYFUNCTION("""COMPUTED_VALUE"""),"1736991862020")</f>
        <v>1736991862020</v>
      </c>
    </row>
    <row r="3437" spans="1:11" ht="12.45">
      <c r="A3437" s="2" t="str">
        <f ca="1">IFERROR(__xludf.DUMMYFUNCTION("""COMPUTED_VALUE"""),"1736991905549")</f>
        <v>1736991905549</v>
      </c>
      <c r="B3437" s="2"/>
      <c r="C3437" s="2" t="str">
        <v>0</v>
      </c>
      <c r="D3437" s="2"/>
      <c r="F3437" s="2" t="str">
        <v>0</v>
      </c>
      <c r="I3437" s="3" t="str">
        <f ca="1">IFERROR(__xludf.DUMMYFUNCTION("""COMPUTED_VALUE"""),"Hoàng Mạnh Quyền ")</f>
        <v xml:space="preserve">Hoàng Mạnh Quyền </v>
      </c>
      <c r="J3437" s="3" t="str">
        <f ca="1">IFERROR(__xludf.DUMMYFUNCTION("""COMPUTED_VALUE"""),"0343872865")</f>
        <v>0343872865</v>
      </c>
      <c r="K3437" s="2" t="str">
        <f ca="1">IFERROR(__xludf.DUMMYFUNCTION("""COMPUTED_VALUE"""),"1736991905549")</f>
        <v>1736991905549</v>
      </c>
    </row>
    <row r="3438" spans="1:11" ht="12.45">
      <c r="A3438" s="2" t="str">
        <f ca="1">IFERROR(__xludf.DUMMYFUNCTION("""COMPUTED_VALUE"""),"1736991946595")</f>
        <v>1736991946595</v>
      </c>
      <c r="B3438" s="2"/>
      <c r="C3438" s="2" t="str">
        <v>0</v>
      </c>
      <c r="D3438" s="2"/>
      <c r="F3438" s="2" t="str">
        <v>0</v>
      </c>
      <c r="I3438" s="3" t="str">
        <f ca="1">IFERROR(__xludf.DUMMYFUNCTION("""COMPUTED_VALUE"""),"Nguyễn Đỗ Lan Hương")</f>
        <v>Nguyễn Đỗ Lan Hương</v>
      </c>
      <c r="J3438" s="3" t="str">
        <f ca="1">IFERROR(__xludf.DUMMYFUNCTION("""COMPUTED_VALUE"""),"0705680984")</f>
        <v>0705680984</v>
      </c>
      <c r="K3438" s="2" t="str">
        <f ca="1">IFERROR(__xludf.DUMMYFUNCTION("""COMPUTED_VALUE"""),"1736991946595")</f>
        <v>1736991946595</v>
      </c>
    </row>
    <row r="3439" spans="1:11" ht="12.45">
      <c r="A3439" s="2" t="str">
        <f ca="1">IFERROR(__xludf.DUMMYFUNCTION("""COMPUTED_VALUE"""),"1736991983600")</f>
        <v>1736991983600</v>
      </c>
      <c r="B3439" s="2"/>
      <c r="C3439" s="2" t="str">
        <v>0</v>
      </c>
      <c r="D3439" s="2"/>
      <c r="F3439" s="2" t="str">
        <v>0</v>
      </c>
      <c r="I3439" s="3" t="str">
        <f ca="1">IFERROR(__xludf.DUMMYFUNCTION("""COMPUTED_VALUE"""),"Nguyễn Vũ Hà Vy")</f>
        <v>Nguyễn Vũ Hà Vy</v>
      </c>
      <c r="J3439" s="3" t="str">
        <f ca="1">IFERROR(__xludf.DUMMYFUNCTION("""COMPUTED_VALUE"""),"0888517668")</f>
        <v>0888517668</v>
      </c>
      <c r="K3439" s="2" t="str">
        <f ca="1">IFERROR(__xludf.DUMMYFUNCTION("""COMPUTED_VALUE"""),"1736991983600")</f>
        <v>1736991983600</v>
      </c>
    </row>
    <row r="3440" spans="1:11" ht="12.45">
      <c r="A3440" s="2" t="str">
        <f ca="1">IFERROR(__xludf.DUMMYFUNCTION("""COMPUTED_VALUE"""),"1736992026417")</f>
        <v>1736992026417</v>
      </c>
      <c r="B3440" s="2"/>
      <c r="C3440" s="2" t="str">
        <v>0</v>
      </c>
      <c r="D3440" s="2"/>
      <c r="F3440" s="2" t="str">
        <v>0</v>
      </c>
      <c r="I3440" s="3" t="str">
        <f ca="1">IFERROR(__xludf.DUMMYFUNCTION("""COMPUTED_VALUE"""),"Võ Anh Nguyên")</f>
        <v>Võ Anh Nguyên</v>
      </c>
      <c r="J3440" s="3" t="str">
        <f ca="1">IFERROR(__xludf.DUMMYFUNCTION("""COMPUTED_VALUE"""),"0787577779")</f>
        <v>0787577779</v>
      </c>
      <c r="K3440" s="2" t="str">
        <f ca="1">IFERROR(__xludf.DUMMYFUNCTION("""COMPUTED_VALUE"""),"1736992026417")</f>
        <v>1736992026417</v>
      </c>
    </row>
    <row r="3441" spans="1:11" ht="12.45">
      <c r="A3441" s="2" t="str">
        <f ca="1">IFERROR(__xludf.DUMMYFUNCTION("""COMPUTED_VALUE"""),"1736992070370")</f>
        <v>1736992070370</v>
      </c>
      <c r="B3441" s="2"/>
      <c r="C3441" s="2" t="str">
        <v>0</v>
      </c>
      <c r="D3441" s="2"/>
      <c r="F3441" s="2" t="str">
        <v>0</v>
      </c>
      <c r="I3441" s="3" t="str">
        <f ca="1">IFERROR(__xludf.DUMMYFUNCTION("""COMPUTED_VALUE"""),"Ngô Bảo Anh Thư")</f>
        <v>Ngô Bảo Anh Thư</v>
      </c>
      <c r="J3441" s="3" t="str">
        <f ca="1">IFERROR(__xludf.DUMMYFUNCTION("""COMPUTED_VALUE"""),"0984220346")</f>
        <v>0984220346</v>
      </c>
      <c r="K3441" s="2" t="str">
        <f ca="1">IFERROR(__xludf.DUMMYFUNCTION("""COMPUTED_VALUE"""),"1736992070370")</f>
        <v>1736992070370</v>
      </c>
    </row>
    <row r="3442" spans="1:11" ht="12.45">
      <c r="A3442" s="2" t="str">
        <f ca="1">IFERROR(__xludf.DUMMYFUNCTION("""COMPUTED_VALUE"""),"1736992110934")</f>
        <v>1736992110934</v>
      </c>
      <c r="B3442" s="2"/>
      <c r="C3442" s="2" t="str">
        <v>0</v>
      </c>
      <c r="D3442" s="2"/>
      <c r="F3442" s="2" t="str">
        <v>0</v>
      </c>
      <c r="I3442" s="3" t="str">
        <f ca="1">IFERROR(__xludf.DUMMYFUNCTION("""COMPUTED_VALUE"""),"Lê Thị Mỹ Lanh")</f>
        <v>Lê Thị Mỹ Lanh</v>
      </c>
      <c r="J3442" s="3" t="str">
        <f ca="1">IFERROR(__xludf.DUMMYFUNCTION("""COMPUTED_VALUE"""),"0382648423")</f>
        <v>0382648423</v>
      </c>
      <c r="K3442" s="2" t="str">
        <f ca="1">IFERROR(__xludf.DUMMYFUNCTION("""COMPUTED_VALUE"""),"1736992110934")</f>
        <v>1736992110934</v>
      </c>
    </row>
    <row r="3443" spans="1:11" ht="12.45">
      <c r="A3443" s="2" t="str">
        <f ca="1">IFERROR(__xludf.DUMMYFUNCTION("""COMPUTED_VALUE"""),"1736992153979")</f>
        <v>1736992153979</v>
      </c>
      <c r="B3443" s="2"/>
      <c r="C3443" s="2" t="str">
        <v>0</v>
      </c>
      <c r="D3443" s="2"/>
      <c r="F3443" s="2" t="str">
        <v>0</v>
      </c>
      <c r="I3443" s="3" t="str">
        <f ca="1">IFERROR(__xludf.DUMMYFUNCTION("""COMPUTED_VALUE"""),"Nguyễn Thị Huyền Trân")</f>
        <v>Nguyễn Thị Huyền Trân</v>
      </c>
      <c r="J3443" s="3" t="str">
        <f ca="1">IFERROR(__xludf.DUMMYFUNCTION("""COMPUTED_VALUE"""),"0798469745")</f>
        <v>0798469745</v>
      </c>
      <c r="K3443" s="2" t="str">
        <f ca="1">IFERROR(__xludf.DUMMYFUNCTION("""COMPUTED_VALUE"""),"1736992153979")</f>
        <v>1736992153979</v>
      </c>
    </row>
    <row r="3444" spans="1:11" ht="12.45">
      <c r="A3444" s="2" t="str">
        <f ca="1">IFERROR(__xludf.DUMMYFUNCTION("""COMPUTED_VALUE"""),"1736992205107")</f>
        <v>1736992205107</v>
      </c>
      <c r="B3444" s="2"/>
      <c r="C3444" s="2" t="str">
        <v>0</v>
      </c>
      <c r="D3444" s="2"/>
      <c r="F3444" s="2" t="str">
        <v>0</v>
      </c>
      <c r="I3444" s="3" t="str">
        <f ca="1">IFERROR(__xludf.DUMMYFUNCTION("""COMPUTED_VALUE"""),"PHẠM VY DIỆU QUỲNH ")</f>
        <v xml:space="preserve">PHẠM VY DIỆU QUỲNH </v>
      </c>
      <c r="J3444" s="3" t="str">
        <f ca="1">IFERROR(__xludf.DUMMYFUNCTION("""COMPUTED_VALUE"""),"0372906804")</f>
        <v>0372906804</v>
      </c>
      <c r="K3444" s="2" t="str">
        <f ca="1">IFERROR(__xludf.DUMMYFUNCTION("""COMPUTED_VALUE"""),"1736992205107")</f>
        <v>1736992205107</v>
      </c>
    </row>
    <row r="3445" spans="1:11" ht="12.45">
      <c r="A3445" s="2" t="str">
        <f ca="1">IFERROR(__xludf.DUMMYFUNCTION("""COMPUTED_VALUE"""),"1736992245590")</f>
        <v>1736992245590</v>
      </c>
      <c r="B3445" s="2"/>
      <c r="C3445" s="2" t="str">
        <v>0</v>
      </c>
      <c r="D3445" s="2"/>
      <c r="F3445" s="2" t="str">
        <v>0</v>
      </c>
      <c r="I3445" s="3" t="str">
        <f ca="1">IFERROR(__xludf.DUMMYFUNCTION("""COMPUTED_VALUE"""),"Lê Thị Thùy Linh")</f>
        <v>Lê Thị Thùy Linh</v>
      </c>
      <c r="J3445" s="3" t="str">
        <f ca="1">IFERROR(__xludf.DUMMYFUNCTION("""COMPUTED_VALUE"""),"0342006899")</f>
        <v>0342006899</v>
      </c>
      <c r="K3445" s="2" t="str">
        <f ca="1">IFERROR(__xludf.DUMMYFUNCTION("""COMPUTED_VALUE"""),"1736992245590")</f>
        <v>1736992245590</v>
      </c>
    </row>
    <row r="3446" spans="1:11" ht="12.45">
      <c r="A3446" s="2" t="str">
        <f ca="1">IFERROR(__xludf.DUMMYFUNCTION("""COMPUTED_VALUE"""),"1736992287984")</f>
        <v>1736992287984</v>
      </c>
      <c r="B3446" s="2"/>
      <c r="C3446" s="2" t="str">
        <v>0</v>
      </c>
      <c r="D3446" s="2"/>
      <c r="F3446" s="2" t="str">
        <v>0</v>
      </c>
      <c r="I3446" s="3" t="str">
        <f ca="1">IFERROR(__xludf.DUMMYFUNCTION("""COMPUTED_VALUE"""),"Trịnh Thị Minh Ngọc")</f>
        <v>Trịnh Thị Minh Ngọc</v>
      </c>
      <c r="J3446" s="3" t="str">
        <f ca="1">IFERROR(__xludf.DUMMYFUNCTION("""COMPUTED_VALUE"""),"0969882186")</f>
        <v>0969882186</v>
      </c>
      <c r="K3446" s="2" t="str">
        <f ca="1">IFERROR(__xludf.DUMMYFUNCTION("""COMPUTED_VALUE"""),"1736992287984")</f>
        <v>1736992287984</v>
      </c>
    </row>
    <row r="3447" spans="1:11" ht="12.45">
      <c r="A3447" s="2" t="str">
        <f ca="1">IFERROR(__xludf.DUMMYFUNCTION("""COMPUTED_VALUE"""),"1740104394335")</f>
        <v>1740104394335</v>
      </c>
      <c r="B3447" s="2"/>
      <c r="C3447" s="2" t="str">
        <v>0</v>
      </c>
      <c r="D3447" s="2"/>
      <c r="F3447" s="2" t="str">
        <v>0</v>
      </c>
      <c r="I3447" s="3" t="str">
        <f ca="1">IFERROR(__xludf.DUMMYFUNCTION("""COMPUTED_VALUE"""),"Đỗ Thị Hương ")</f>
        <v xml:space="preserve">Đỗ Thị Hương </v>
      </c>
      <c r="J3447" s="2" t="str">
        <f ca="1">IFERROR(__xludf.DUMMYFUNCTION("""COMPUTED_VALUE"""),"0964392412")</f>
        <v>0964392412</v>
      </c>
      <c r="K3447" s="2" t="str">
        <f ca="1">IFERROR(__xludf.DUMMYFUNCTION("""COMPUTED_VALUE"""),"1740104394335")</f>
        <v>1740104394335</v>
      </c>
    </row>
    <row r="3448" spans="1:11" ht="12.45">
      <c r="A3448" s="2" t="str">
        <f ca="1">IFERROR(__xludf.DUMMYFUNCTION("""COMPUTED_VALUE"""),"1736992329607")</f>
        <v>1736992329607</v>
      </c>
      <c r="B3448" s="2"/>
      <c r="C3448" s="2" t="str">
        <v>0</v>
      </c>
      <c r="D3448" s="2"/>
      <c r="F3448" s="2" t="str">
        <v>0</v>
      </c>
      <c r="I3448" s="3" t="str">
        <f ca="1">IFERROR(__xludf.DUMMYFUNCTION("""COMPUTED_VALUE"""),"Nguyễn Thảo Uyên")</f>
        <v>Nguyễn Thảo Uyên</v>
      </c>
      <c r="J3448" s="3" t="str">
        <f ca="1">IFERROR(__xludf.DUMMYFUNCTION("""COMPUTED_VALUE"""),"0377512307")</f>
        <v>0377512307</v>
      </c>
      <c r="K3448" s="2" t="str">
        <f ca="1">IFERROR(__xludf.DUMMYFUNCTION("""COMPUTED_VALUE"""),"1736992329607")</f>
        <v>1736992329607</v>
      </c>
    </row>
    <row r="3449" spans="1:11" ht="12.45">
      <c r="A3449" s="2" t="str">
        <f ca="1">IFERROR(__xludf.DUMMYFUNCTION("""COMPUTED_VALUE"""),"1736992369980")</f>
        <v>1736992369980</v>
      </c>
      <c r="B3449" s="2"/>
      <c r="C3449" s="2" t="str">
        <v>0</v>
      </c>
      <c r="D3449" s="2"/>
      <c r="F3449" s="2" t="str">
        <v>0</v>
      </c>
      <c r="I3449" s="3" t="str">
        <f ca="1">IFERROR(__xludf.DUMMYFUNCTION("""COMPUTED_VALUE"""),"Thạch Yến Ngọc ")</f>
        <v xml:space="preserve">Thạch Yến Ngọc </v>
      </c>
      <c r="J3449" s="3" t="str">
        <f ca="1">IFERROR(__xludf.DUMMYFUNCTION("""COMPUTED_VALUE"""),"0835950916")</f>
        <v>0835950916</v>
      </c>
      <c r="K3449" s="2" t="str">
        <f ca="1">IFERROR(__xludf.DUMMYFUNCTION("""COMPUTED_VALUE"""),"1736992369980")</f>
        <v>1736992369980</v>
      </c>
    </row>
    <row r="3450" spans="1:11" ht="12.45">
      <c r="A3450" s="2" t="str">
        <f ca="1">IFERROR(__xludf.DUMMYFUNCTION("""COMPUTED_VALUE"""),"1736992426435")</f>
        <v>1736992426435</v>
      </c>
      <c r="B3450" s="2"/>
      <c r="C3450" s="2" t="str">
        <v>0</v>
      </c>
      <c r="D3450" s="2"/>
      <c r="F3450" s="2" t="str">
        <v>0</v>
      </c>
      <c r="I3450" s="3" t="str">
        <f ca="1">IFERROR(__xludf.DUMMYFUNCTION("""COMPUTED_VALUE"""),"Đoàn Thị Huyền Trang ")</f>
        <v xml:space="preserve">Đoàn Thị Huyền Trang </v>
      </c>
      <c r="J3450" s="3" t="str">
        <f ca="1">IFERROR(__xludf.DUMMYFUNCTION("""COMPUTED_VALUE"""),"0968149018")</f>
        <v>0968149018</v>
      </c>
      <c r="K3450" s="2" t="str">
        <f ca="1">IFERROR(__xludf.DUMMYFUNCTION("""COMPUTED_VALUE"""),"1736992426435")</f>
        <v>1736992426435</v>
      </c>
    </row>
    <row r="3451" spans="1:11" ht="12.45">
      <c r="A3451" s="2" t="str">
        <f ca="1">IFERROR(__xludf.DUMMYFUNCTION("""COMPUTED_VALUE"""),"1736992481606")</f>
        <v>1736992481606</v>
      </c>
      <c r="B3451" s="2"/>
      <c r="C3451" s="2" t="str">
        <v>0</v>
      </c>
      <c r="D3451" s="2"/>
      <c r="F3451" s="2" t="str">
        <v>0</v>
      </c>
      <c r="I3451" s="3" t="str">
        <f ca="1">IFERROR(__xludf.DUMMYFUNCTION("""COMPUTED_VALUE"""),"Đặng Phương Anh")</f>
        <v>Đặng Phương Anh</v>
      </c>
      <c r="J3451" s="3" t="str">
        <f ca="1">IFERROR(__xludf.DUMMYFUNCTION("""COMPUTED_VALUE"""),"0379489915")</f>
        <v>0379489915</v>
      </c>
      <c r="K3451" s="2" t="str">
        <f ca="1">IFERROR(__xludf.DUMMYFUNCTION("""COMPUTED_VALUE"""),"1736992481606")</f>
        <v>1736992481606</v>
      </c>
    </row>
    <row r="3452" spans="1:11" ht="12.45">
      <c r="A3452" s="2" t="str">
        <f ca="1">IFERROR(__xludf.DUMMYFUNCTION("""COMPUTED_VALUE"""),"1736992526857")</f>
        <v>1736992526857</v>
      </c>
      <c r="B3452" s="2"/>
      <c r="C3452" s="2" t="str">
        <v>0</v>
      </c>
      <c r="D3452" s="2"/>
      <c r="F3452" s="2" t="str">
        <v>0</v>
      </c>
      <c r="I3452" s="3" t="str">
        <f ca="1">IFERROR(__xludf.DUMMYFUNCTION("""COMPUTED_VALUE"""),"Trần Vũ Bạch Dương")</f>
        <v>Trần Vũ Bạch Dương</v>
      </c>
      <c r="J3452" s="3" t="str">
        <f ca="1">IFERROR(__xludf.DUMMYFUNCTION("""COMPUTED_VALUE"""),"0987057751")</f>
        <v>0987057751</v>
      </c>
      <c r="K3452" s="2" t="str">
        <f ca="1">IFERROR(__xludf.DUMMYFUNCTION("""COMPUTED_VALUE"""),"1736992526857")</f>
        <v>1736992526857</v>
      </c>
    </row>
    <row r="3453" spans="1:11" ht="12.45">
      <c r="A3453" s="2" t="str">
        <f ca="1">IFERROR(__xludf.DUMMYFUNCTION("""COMPUTED_VALUE"""),"1736992574915")</f>
        <v>1736992574915</v>
      </c>
      <c r="B3453" s="2"/>
      <c r="C3453" s="2" t="str">
        <v>0</v>
      </c>
      <c r="D3453" s="2"/>
      <c r="F3453" s="2" t="str">
        <v>0</v>
      </c>
      <c r="I3453" s="3" t="str">
        <f ca="1">IFERROR(__xludf.DUMMYFUNCTION("""COMPUTED_VALUE"""),"Nguyễn Thị Ngọc Phương")</f>
        <v>Nguyễn Thị Ngọc Phương</v>
      </c>
      <c r="J3453" s="3" t="str">
        <f ca="1">IFERROR(__xludf.DUMMYFUNCTION("""COMPUTED_VALUE"""),"0868716531")</f>
        <v>0868716531</v>
      </c>
      <c r="K3453" s="2" t="str">
        <f ca="1">IFERROR(__xludf.DUMMYFUNCTION("""COMPUTED_VALUE"""),"1736992574915")</f>
        <v>1736992574915</v>
      </c>
    </row>
    <row r="3454" spans="1:11" ht="12.45">
      <c r="A3454" s="2" t="str">
        <f ca="1">IFERROR(__xludf.DUMMYFUNCTION("""COMPUTED_VALUE"""),"1736992615415")</f>
        <v>1736992615415</v>
      </c>
      <c r="B3454" s="2"/>
      <c r="C3454" s="2" t="str">
        <v>0</v>
      </c>
      <c r="D3454" s="2"/>
      <c r="F3454" s="2" t="str">
        <v>0</v>
      </c>
      <c r="I3454" s="3" t="str">
        <f ca="1">IFERROR(__xludf.DUMMYFUNCTION("""COMPUTED_VALUE"""),"Nguyễn Hoàng Song Giang")</f>
        <v>Nguyễn Hoàng Song Giang</v>
      </c>
      <c r="J3454" s="3" t="str">
        <f ca="1">IFERROR(__xludf.DUMMYFUNCTION("""COMPUTED_VALUE"""),"0933861261")</f>
        <v>0933861261</v>
      </c>
      <c r="K3454" s="2" t="str">
        <f ca="1">IFERROR(__xludf.DUMMYFUNCTION("""COMPUTED_VALUE"""),"1736992615415")</f>
        <v>1736992615415</v>
      </c>
    </row>
    <row r="3455" spans="1:11" ht="12.45">
      <c r="A3455" s="2" t="str">
        <f ca="1">IFERROR(__xludf.DUMMYFUNCTION("""COMPUTED_VALUE"""),"1736992665425")</f>
        <v>1736992665425</v>
      </c>
      <c r="B3455" s="2"/>
      <c r="C3455" s="2" t="str">
        <v>0</v>
      </c>
      <c r="D3455" s="2"/>
      <c r="F3455" s="2" t="str">
        <v>0</v>
      </c>
      <c r="I3455" s="3" t="str">
        <f ca="1">IFERROR(__xludf.DUMMYFUNCTION("""COMPUTED_VALUE"""),"Trương Thị Mỹ Duyên ")</f>
        <v xml:space="preserve">Trương Thị Mỹ Duyên </v>
      </c>
      <c r="J3455" s="3" t="str">
        <f ca="1">IFERROR(__xludf.DUMMYFUNCTION("""COMPUTED_VALUE"""),"0941763355")</f>
        <v>0941763355</v>
      </c>
      <c r="K3455" s="2" t="str">
        <f ca="1">IFERROR(__xludf.DUMMYFUNCTION("""COMPUTED_VALUE"""),"1736992665425")</f>
        <v>1736992665425</v>
      </c>
    </row>
    <row r="3456" spans="1:11" ht="12.45">
      <c r="A3456" s="2" t="str">
        <f ca="1">IFERROR(__xludf.DUMMYFUNCTION("""COMPUTED_VALUE"""),"1736992726360")</f>
        <v>1736992726360</v>
      </c>
      <c r="B3456" s="2"/>
      <c r="C3456" s="2" t="str">
        <v>0</v>
      </c>
      <c r="D3456" s="2"/>
      <c r="F3456" s="2" t="str">
        <v>0</v>
      </c>
      <c r="I3456" s="3" t="str">
        <f ca="1">IFERROR(__xludf.DUMMYFUNCTION("""COMPUTED_VALUE"""),"TRẦN TIỀN PHONG")</f>
        <v>TRẦN TIỀN PHONG</v>
      </c>
      <c r="J3456" s="3" t="str">
        <f ca="1">IFERROR(__xludf.DUMMYFUNCTION("""COMPUTED_VALUE"""),"0853781820")</f>
        <v>0853781820</v>
      </c>
      <c r="K3456" s="2" t="str">
        <f ca="1">IFERROR(__xludf.DUMMYFUNCTION("""COMPUTED_VALUE"""),"1736992726360")</f>
        <v>1736992726360</v>
      </c>
    </row>
    <row r="3457" spans="1:11" ht="12.45">
      <c r="A3457" s="2" t="str">
        <f ca="1">IFERROR(__xludf.DUMMYFUNCTION("""COMPUTED_VALUE"""),"1736992772561")</f>
        <v>1736992772561</v>
      </c>
      <c r="B3457" s="2"/>
      <c r="C3457" s="2" t="str">
        <v>0</v>
      </c>
      <c r="D3457" s="2"/>
      <c r="F3457" s="2" t="str">
        <v>0</v>
      </c>
      <c r="I3457" s="3" t="str">
        <f ca="1">IFERROR(__xludf.DUMMYFUNCTION("""COMPUTED_VALUE"""),"Lê Phạm Bảo Yến ")</f>
        <v xml:space="preserve">Lê Phạm Bảo Yến </v>
      </c>
      <c r="J3457" s="3" t="str">
        <f ca="1">IFERROR(__xludf.DUMMYFUNCTION("""COMPUTED_VALUE"""),"0889901488")</f>
        <v>0889901488</v>
      </c>
      <c r="K3457" s="2" t="str">
        <f ca="1">IFERROR(__xludf.DUMMYFUNCTION("""COMPUTED_VALUE"""),"1736992772561")</f>
        <v>1736992772561</v>
      </c>
    </row>
    <row r="3458" spans="1:11" ht="12.45">
      <c r="A3458" s="2" t="str">
        <f ca="1">IFERROR(__xludf.DUMMYFUNCTION("""COMPUTED_VALUE"""),"1736992802544")</f>
        <v>1736992802544</v>
      </c>
      <c r="B3458" s="2"/>
      <c r="C3458" s="2" t="str">
        <v>0</v>
      </c>
      <c r="D3458" s="2"/>
      <c r="F3458" s="2" t="str">
        <v>0</v>
      </c>
      <c r="I3458" s="3" t="str">
        <f ca="1">IFERROR(__xludf.DUMMYFUNCTION("""COMPUTED_VALUE"""),"Cam Ngọc Anh Thư")</f>
        <v>Cam Ngọc Anh Thư</v>
      </c>
      <c r="J3458" s="3" t="str">
        <f ca="1">IFERROR(__xludf.DUMMYFUNCTION("""COMPUTED_VALUE"""),"0962356990")</f>
        <v>0962356990</v>
      </c>
      <c r="K3458" s="2" t="str">
        <f ca="1">IFERROR(__xludf.DUMMYFUNCTION("""COMPUTED_VALUE"""),"1736992802544")</f>
        <v>1736992802544</v>
      </c>
    </row>
    <row r="3459" spans="1:11" ht="12.45">
      <c r="A3459" s="2" t="str">
        <f ca="1">IFERROR(__xludf.DUMMYFUNCTION("""COMPUTED_VALUE"""),"1744768628223")</f>
        <v>1744768628223</v>
      </c>
      <c r="B3459" s="2"/>
      <c r="C3459" s="2" t="str">
        <v>0</v>
      </c>
      <c r="D3459" s="2"/>
      <c r="F3459" s="2" t="str">
        <v>0</v>
      </c>
      <c r="I3459" s="3" t="str">
        <f ca="1">IFERROR(__xludf.DUMMYFUNCTION("""COMPUTED_VALUE"""),"Lưu Trung Hải")</f>
        <v>Lưu Trung Hải</v>
      </c>
      <c r="J3459" s="3" t="str">
        <f ca="1">IFERROR(__xludf.DUMMYFUNCTION("""COMPUTED_VALUE"""),"0985368034")</f>
        <v>0985368034</v>
      </c>
      <c r="K3459" s="2" t="str">
        <f ca="1">IFERROR(__xludf.DUMMYFUNCTION("""COMPUTED_VALUE"""),"1744768628223")</f>
        <v>1744768628223</v>
      </c>
    </row>
    <row r="3460" spans="1:11" ht="12.45">
      <c r="A3460" s="2" t="str">
        <f ca="1">IFERROR(__xludf.DUMMYFUNCTION("""COMPUTED_VALUE"""),"1736992830859")</f>
        <v>1736992830859</v>
      </c>
      <c r="B3460" s="2"/>
      <c r="C3460" s="2" t="str">
        <v>0</v>
      </c>
      <c r="D3460" s="2"/>
      <c r="F3460" s="2" t="str">
        <v>0</v>
      </c>
      <c r="I3460" s="3" t="str">
        <f ca="1">IFERROR(__xludf.DUMMYFUNCTION("""COMPUTED_VALUE"""),"Trần Hương Giang")</f>
        <v>Trần Hương Giang</v>
      </c>
      <c r="J3460" s="3" t="str">
        <f ca="1">IFERROR(__xludf.DUMMYFUNCTION("""COMPUTED_VALUE"""),"0904868535")</f>
        <v>0904868535</v>
      </c>
      <c r="K3460" s="2" t="str">
        <f ca="1">IFERROR(__xludf.DUMMYFUNCTION("""COMPUTED_VALUE"""),"1736992830859")</f>
        <v>1736992830859</v>
      </c>
    </row>
    <row r="3461" spans="1:11" ht="12.45">
      <c r="A3461" s="2" t="str">
        <f ca="1">IFERROR(__xludf.DUMMYFUNCTION("""COMPUTED_VALUE"""),"1736992877209")</f>
        <v>1736992877209</v>
      </c>
      <c r="B3461" s="2"/>
      <c r="C3461" s="2" t="str">
        <v>0</v>
      </c>
      <c r="D3461" s="2"/>
      <c r="F3461" s="2" t="str">
        <v>0</v>
      </c>
      <c r="I3461" s="3" t="str">
        <f ca="1">IFERROR(__xludf.DUMMYFUNCTION("""COMPUTED_VALUE"""),"Khánh Linh")</f>
        <v>Khánh Linh</v>
      </c>
      <c r="J3461" s="3" t="str">
        <f ca="1">IFERROR(__xludf.DUMMYFUNCTION("""COMPUTED_VALUE"""),"0822322987")</f>
        <v>0822322987</v>
      </c>
      <c r="K3461" s="2" t="str">
        <f ca="1">IFERROR(__xludf.DUMMYFUNCTION("""COMPUTED_VALUE"""),"1736992877209")</f>
        <v>1736992877209</v>
      </c>
    </row>
    <row r="3462" spans="1:11" ht="12.45">
      <c r="A3462" s="2" t="str">
        <f ca="1">IFERROR(__xludf.DUMMYFUNCTION("""COMPUTED_VALUE"""),"1736992927908")</f>
        <v>1736992927908</v>
      </c>
      <c r="B3462" s="2"/>
      <c r="C3462" s="2" t="str">
        <v>0</v>
      </c>
      <c r="D3462" s="2"/>
      <c r="F3462" s="2" t="str">
        <v>0</v>
      </c>
      <c r="I3462" s="3" t="str">
        <f ca="1">IFERROR(__xludf.DUMMYFUNCTION("""COMPUTED_VALUE"""),"Hoàng Vân Anh")</f>
        <v>Hoàng Vân Anh</v>
      </c>
      <c r="J3462" s="3" t="str">
        <f ca="1">IFERROR(__xludf.DUMMYFUNCTION("""COMPUTED_VALUE"""),"0848300107")</f>
        <v>0848300107</v>
      </c>
      <c r="K3462" s="2" t="str">
        <f ca="1">IFERROR(__xludf.DUMMYFUNCTION("""COMPUTED_VALUE"""),"1736992927908")</f>
        <v>1736992927908</v>
      </c>
    </row>
    <row r="3463" spans="1:11" ht="12.45">
      <c r="A3463" s="2" t="str">
        <f ca="1">IFERROR(__xludf.DUMMYFUNCTION("""COMPUTED_VALUE"""),"1736992984637")</f>
        <v>1736992984637</v>
      </c>
      <c r="B3463" s="2"/>
      <c r="C3463" s="2" t="str">
        <v>0</v>
      </c>
      <c r="D3463" s="2"/>
      <c r="F3463" s="2" t="str">
        <v>0</v>
      </c>
      <c r="I3463" s="3" t="str">
        <f ca="1">IFERROR(__xludf.DUMMYFUNCTION("""COMPUTED_VALUE"""),"Lê Nguyễn Tường Vy")</f>
        <v>Lê Nguyễn Tường Vy</v>
      </c>
      <c r="J3463" s="3" t="str">
        <f ca="1">IFERROR(__xludf.DUMMYFUNCTION("""COMPUTED_VALUE"""),"0358496141")</f>
        <v>0358496141</v>
      </c>
      <c r="K3463" s="2" t="str">
        <f ca="1">IFERROR(__xludf.DUMMYFUNCTION("""COMPUTED_VALUE"""),"1736992984637")</f>
        <v>1736992984637</v>
      </c>
    </row>
    <row r="3464" spans="1:11" ht="12.45">
      <c r="A3464" s="2" t="str">
        <f ca="1">IFERROR(__xludf.DUMMYFUNCTION("""COMPUTED_VALUE"""),"1736993028331")</f>
        <v>1736993028331</v>
      </c>
      <c r="B3464" s="2"/>
      <c r="C3464" s="2" t="str">
        <v>0</v>
      </c>
      <c r="D3464" s="2"/>
      <c r="F3464" s="2" t="str">
        <v>0</v>
      </c>
      <c r="I3464" s="3" t="str">
        <f ca="1">IFERROR(__xludf.DUMMYFUNCTION("""COMPUTED_VALUE"""),"Dương Diễm Ngọc")</f>
        <v>Dương Diễm Ngọc</v>
      </c>
      <c r="J3464" s="3" t="str">
        <f ca="1">IFERROR(__xludf.DUMMYFUNCTION("""COMPUTED_VALUE"""),"0788230853")</f>
        <v>0788230853</v>
      </c>
      <c r="K3464" s="2" t="str">
        <f ca="1">IFERROR(__xludf.DUMMYFUNCTION("""COMPUTED_VALUE"""),"1736993028331")</f>
        <v>1736993028331</v>
      </c>
    </row>
    <row r="3465" spans="1:11" ht="12.45">
      <c r="A3465" s="2">
        <f ca="1">IFERROR(__xludf.DUMMYFUNCTION("""COMPUTED_VALUE"""),1739990701963)</f>
        <v>1739990701963</v>
      </c>
      <c r="B3465" s="2"/>
      <c r="C3465" s="2" t="str">
        <v>0</v>
      </c>
      <c r="D3465" s="2"/>
      <c r="F3465" s="2" t="str">
        <v>0</v>
      </c>
      <c r="I3465" s="3" t="str">
        <f ca="1">IFERROR(__xludf.DUMMYFUNCTION("""COMPUTED_VALUE"""),"Phạm Khánh Linh")</f>
        <v>Phạm Khánh Linh</v>
      </c>
      <c r="J3465" s="3" t="str">
        <f ca="1">IFERROR(__xludf.DUMMYFUNCTION("""COMPUTED_VALUE"""),"0919257865")</f>
        <v>0919257865</v>
      </c>
      <c r="K3465" s="2">
        <f ca="1">IFERROR(__xludf.DUMMYFUNCTION("""COMPUTED_VALUE"""),1739990701963)</f>
        <v>1739990701963</v>
      </c>
    </row>
    <row r="3466" spans="1:11" ht="12.45">
      <c r="A3466" s="2" t="str">
        <f ca="1">IFERROR(__xludf.DUMMYFUNCTION("""COMPUTED_VALUE"""),"1736993119841")</f>
        <v>1736993119841</v>
      </c>
      <c r="B3466" s="2"/>
      <c r="C3466" s="2" t="str">
        <v>0</v>
      </c>
      <c r="D3466" s="2"/>
      <c r="F3466" s="2" t="str">
        <v>0</v>
      </c>
      <c r="I3466" s="3" t="str">
        <f ca="1">IFERROR(__xludf.DUMMYFUNCTION("""COMPUTED_VALUE"""),"En Chập Minh Cường")</f>
        <v>En Chập Minh Cường</v>
      </c>
      <c r="J3466" s="3" t="str">
        <f ca="1">IFERROR(__xludf.DUMMYFUNCTION("""COMPUTED_VALUE"""),"0899777325")</f>
        <v>0899777325</v>
      </c>
      <c r="K3466" s="2" t="str">
        <f ca="1">IFERROR(__xludf.DUMMYFUNCTION("""COMPUTED_VALUE"""),"1736993119841")</f>
        <v>1736993119841</v>
      </c>
    </row>
    <row r="3467" spans="1:11" ht="12.45">
      <c r="A3467" s="2" t="str">
        <f ca="1">IFERROR(__xludf.DUMMYFUNCTION("""COMPUTED_VALUE"""),"1736993165909")</f>
        <v>1736993165909</v>
      </c>
      <c r="B3467" s="2"/>
      <c r="C3467" s="2" t="str">
        <v>0</v>
      </c>
      <c r="D3467" s="2"/>
      <c r="F3467" s="2" t="str">
        <v>0</v>
      </c>
      <c r="I3467" s="3" t="str">
        <f ca="1">IFERROR(__xludf.DUMMYFUNCTION("""COMPUTED_VALUE"""),"Cao Diễm Quỳnh")</f>
        <v>Cao Diễm Quỳnh</v>
      </c>
      <c r="J3467" s="3" t="str">
        <f ca="1">IFERROR(__xludf.DUMMYFUNCTION("""COMPUTED_VALUE"""),"0969707136")</f>
        <v>0969707136</v>
      </c>
      <c r="K3467" s="2" t="str">
        <f ca="1">IFERROR(__xludf.DUMMYFUNCTION("""COMPUTED_VALUE"""),"1736993165909")</f>
        <v>1736993165909</v>
      </c>
    </row>
    <row r="3468" spans="1:11" ht="12.45">
      <c r="A3468" s="2" t="str">
        <f ca="1">IFERROR(__xludf.DUMMYFUNCTION("""COMPUTED_VALUE"""),"1736993215293")</f>
        <v>1736993215293</v>
      </c>
      <c r="B3468" s="2"/>
      <c r="C3468" s="2" t="str">
        <v>0</v>
      </c>
      <c r="D3468" s="2"/>
      <c r="F3468" s="2" t="str">
        <v>0</v>
      </c>
      <c r="I3468" s="3" t="str">
        <f ca="1">IFERROR(__xludf.DUMMYFUNCTION("""COMPUTED_VALUE"""),"Nguyễn Hương Giang")</f>
        <v>Nguyễn Hương Giang</v>
      </c>
      <c r="J3468" s="3" t="str">
        <f ca="1">IFERROR(__xludf.DUMMYFUNCTION("""COMPUTED_VALUE"""),"0948676295")</f>
        <v>0948676295</v>
      </c>
      <c r="K3468" s="2" t="str">
        <f ca="1">IFERROR(__xludf.DUMMYFUNCTION("""COMPUTED_VALUE"""),"1736993215293")</f>
        <v>1736993215293</v>
      </c>
    </row>
    <row r="3469" spans="1:11" ht="12.45">
      <c r="A3469" s="2" t="str">
        <f ca="1">IFERROR(__xludf.DUMMYFUNCTION("""COMPUTED_VALUE"""),"1759203282150")</f>
        <v>1759203282150</v>
      </c>
      <c r="B3469" s="2"/>
      <c r="C3469" s="2" t="str">
        <v>0</v>
      </c>
      <c r="D3469" s="2"/>
      <c r="F3469" s="2" t="str">
        <v>0</v>
      </c>
      <c r="I3469" s="3" t="str">
        <f ca="1">IFERROR(__xludf.DUMMYFUNCTION("""COMPUTED_VALUE"""),"Cao Thị Ngọc Ánh ")</f>
        <v xml:space="preserve">Cao Thị Ngọc Ánh </v>
      </c>
      <c r="J3469" s="3" t="str">
        <f ca="1">IFERROR(__xludf.DUMMYFUNCTION("""COMPUTED_VALUE"""),"0398147642")</f>
        <v>0398147642</v>
      </c>
      <c r="K3469" s="2" t="str">
        <f ca="1">IFERROR(__xludf.DUMMYFUNCTION("""COMPUTED_VALUE"""),"1759203282150")</f>
        <v>1759203282150</v>
      </c>
    </row>
    <row r="3470" spans="1:11" ht="12.45">
      <c r="A3470" s="2" t="str">
        <f ca="1">IFERROR(__xludf.DUMMYFUNCTION("""COMPUTED_VALUE"""),"1736993251819")</f>
        <v>1736993251819</v>
      </c>
      <c r="B3470" s="2"/>
      <c r="C3470" s="2" t="str">
        <v>0</v>
      </c>
      <c r="D3470" s="2"/>
      <c r="F3470" s="2" t="str">
        <v>0</v>
      </c>
      <c r="I3470" s="3" t="str">
        <f ca="1">IFERROR(__xludf.DUMMYFUNCTION("""COMPUTED_VALUE"""),"Trần Ngọc Minh Anh")</f>
        <v>Trần Ngọc Minh Anh</v>
      </c>
      <c r="J3470" s="3" t="str">
        <f ca="1">IFERROR(__xludf.DUMMYFUNCTION("""COMPUTED_VALUE"""),"0942459979")</f>
        <v>0942459979</v>
      </c>
      <c r="K3470" s="2" t="str">
        <f ca="1">IFERROR(__xludf.DUMMYFUNCTION("""COMPUTED_VALUE"""),"1736993251819")</f>
        <v>1736993251819</v>
      </c>
    </row>
    <row r="3471" spans="1:11" ht="12.45">
      <c r="A3471" s="2" t="str">
        <f ca="1">IFERROR(__xludf.DUMMYFUNCTION("""COMPUTED_VALUE"""),"1736993290701")</f>
        <v>1736993290701</v>
      </c>
      <c r="B3471" s="2"/>
      <c r="C3471" s="2" t="str">
        <v>0</v>
      </c>
      <c r="D3471" s="2"/>
      <c r="F3471" s="2" t="str">
        <v>0</v>
      </c>
      <c r="I3471" s="3" t="str">
        <f ca="1">IFERROR(__xludf.DUMMYFUNCTION("""COMPUTED_VALUE"""),"Nguyễn Phương Linh ")</f>
        <v xml:space="preserve">Nguyễn Phương Linh </v>
      </c>
      <c r="J3471" s="3" t="str">
        <f ca="1">IFERROR(__xludf.DUMMYFUNCTION("""COMPUTED_VALUE"""),"0367607442")</f>
        <v>0367607442</v>
      </c>
      <c r="K3471" s="2" t="str">
        <f ca="1">IFERROR(__xludf.DUMMYFUNCTION("""COMPUTED_VALUE"""),"1736993290701")</f>
        <v>1736993290701</v>
      </c>
    </row>
    <row r="3472" spans="1:11" ht="12.45">
      <c r="A3472" s="2" t="str">
        <f ca="1">IFERROR(__xludf.DUMMYFUNCTION("""COMPUTED_VALUE"""),"1736993328358")</f>
        <v>1736993328358</v>
      </c>
      <c r="B3472" s="2"/>
      <c r="C3472" s="2" t="str">
        <v>0</v>
      </c>
      <c r="D3472" s="2"/>
      <c r="F3472" s="2" t="str">
        <v>0</v>
      </c>
      <c r="I3472" s="3" t="str">
        <f ca="1">IFERROR(__xludf.DUMMYFUNCTION("""COMPUTED_VALUE"""),"Bùi Phương Linh")</f>
        <v>Bùi Phương Linh</v>
      </c>
      <c r="J3472" s="3" t="str">
        <f ca="1">IFERROR(__xludf.DUMMYFUNCTION("""COMPUTED_VALUE"""),"0705834963")</f>
        <v>0705834963</v>
      </c>
      <c r="K3472" s="2" t="str">
        <f ca="1">IFERROR(__xludf.DUMMYFUNCTION("""COMPUTED_VALUE"""),"1736993328358")</f>
        <v>1736993328358</v>
      </c>
    </row>
    <row r="3473" spans="1:11" ht="12.45">
      <c r="A3473" s="2" t="str">
        <f ca="1">IFERROR(__xludf.DUMMYFUNCTION("""COMPUTED_VALUE"""),"1736993376637")</f>
        <v>1736993376637</v>
      </c>
      <c r="B3473" s="2"/>
      <c r="C3473" s="2" t="str">
        <v>0</v>
      </c>
      <c r="D3473" s="2"/>
      <c r="F3473" s="2" t="str">
        <v>0</v>
      </c>
      <c r="I3473" s="3" t="str">
        <f ca="1">IFERROR(__xludf.DUMMYFUNCTION("""COMPUTED_VALUE"""),"Hoàng Thị Phương ")</f>
        <v xml:space="preserve">Hoàng Thị Phương </v>
      </c>
      <c r="J3473" s="3" t="str">
        <f ca="1">IFERROR(__xludf.DUMMYFUNCTION("""COMPUTED_VALUE"""),"0827123247")</f>
        <v>0827123247</v>
      </c>
      <c r="K3473" s="2" t="str">
        <f ca="1">IFERROR(__xludf.DUMMYFUNCTION("""COMPUTED_VALUE"""),"1736993376637")</f>
        <v>1736993376637</v>
      </c>
    </row>
    <row r="3474" spans="1:11" ht="12.45">
      <c r="A3474" s="2" t="str">
        <f ca="1">IFERROR(__xludf.DUMMYFUNCTION("""COMPUTED_VALUE"""),"1736993432329")</f>
        <v>1736993432329</v>
      </c>
      <c r="B3474" s="2"/>
      <c r="C3474" s="2" t="str">
        <v>0</v>
      </c>
      <c r="D3474" s="2"/>
      <c r="F3474" s="2" t="str">
        <v>0</v>
      </c>
      <c r="I3474" s="3" t="str">
        <f ca="1">IFERROR(__xludf.DUMMYFUNCTION("""COMPUTED_VALUE"""),"Trần Ngọc Diễm")</f>
        <v>Trần Ngọc Diễm</v>
      </c>
      <c r="J3474" s="3" t="str">
        <f ca="1">IFERROR(__xludf.DUMMYFUNCTION("""COMPUTED_VALUE"""),"0787801369")</f>
        <v>0787801369</v>
      </c>
      <c r="K3474" s="2" t="str">
        <f ca="1">IFERROR(__xludf.DUMMYFUNCTION("""COMPUTED_VALUE"""),"1736993432329")</f>
        <v>1736993432329</v>
      </c>
    </row>
    <row r="3475" spans="1:11" ht="12.45">
      <c r="A3475" s="2" t="str">
        <f ca="1">IFERROR(__xludf.DUMMYFUNCTION("""COMPUTED_VALUE"""),"1736993471037")</f>
        <v>1736993471037</v>
      </c>
      <c r="B3475" s="2"/>
      <c r="C3475" s="2" t="str">
        <v>0</v>
      </c>
      <c r="D3475" s="2"/>
      <c r="F3475" s="2" t="str">
        <v>0</v>
      </c>
      <c r="I3475" s="3" t="str">
        <f ca="1">IFERROR(__xludf.DUMMYFUNCTION("""COMPUTED_VALUE"""),"Lê Hà Vy")</f>
        <v>Lê Hà Vy</v>
      </c>
      <c r="J3475" s="3" t="str">
        <f ca="1">IFERROR(__xludf.DUMMYFUNCTION("""COMPUTED_VALUE"""),"0987478030")</f>
        <v>0987478030</v>
      </c>
      <c r="K3475" s="2" t="str">
        <f ca="1">IFERROR(__xludf.DUMMYFUNCTION("""COMPUTED_VALUE"""),"1736993471037")</f>
        <v>1736993471037</v>
      </c>
    </row>
    <row r="3476" spans="1:11" ht="12.45">
      <c r="A3476" s="2" t="str">
        <f ca="1">IFERROR(__xludf.DUMMYFUNCTION("""COMPUTED_VALUE"""),"1736993535579")</f>
        <v>1736993535579</v>
      </c>
      <c r="B3476" s="2"/>
      <c r="C3476" s="2" t="str">
        <v>0</v>
      </c>
      <c r="D3476" s="2"/>
      <c r="F3476" s="2" t="str">
        <v>0</v>
      </c>
      <c r="I3476" s="3" t="str">
        <f ca="1">IFERROR(__xludf.DUMMYFUNCTION("""COMPUTED_VALUE"""),"Chu Huyền Trang ")</f>
        <v xml:space="preserve">Chu Huyền Trang </v>
      </c>
      <c r="J3476" s="3" t="str">
        <f ca="1">IFERROR(__xludf.DUMMYFUNCTION("""COMPUTED_VALUE"""),"0966410201")</f>
        <v>0966410201</v>
      </c>
      <c r="K3476" s="2" t="str">
        <f ca="1">IFERROR(__xludf.DUMMYFUNCTION("""COMPUTED_VALUE"""),"1736993535579")</f>
        <v>1736993535579</v>
      </c>
    </row>
    <row r="3477" spans="1:11" ht="12.45">
      <c r="A3477" s="2" t="str">
        <f ca="1">IFERROR(__xludf.DUMMYFUNCTION("""COMPUTED_VALUE"""),"1736993593018")</f>
        <v>1736993593018</v>
      </c>
      <c r="B3477" s="2"/>
      <c r="C3477" s="2" t="str">
        <v>0</v>
      </c>
      <c r="D3477" s="2"/>
      <c r="F3477" s="2" t="str">
        <v>0</v>
      </c>
      <c r="I3477" s="3" t="str">
        <f ca="1">IFERROR(__xludf.DUMMYFUNCTION("""COMPUTED_VALUE"""),"Phùng Thị Thanh Hương")</f>
        <v>Phùng Thị Thanh Hương</v>
      </c>
      <c r="J3477" s="3" t="str">
        <f ca="1">IFERROR(__xludf.DUMMYFUNCTION("""COMPUTED_VALUE"""),"0344134648")</f>
        <v>0344134648</v>
      </c>
      <c r="K3477" s="2" t="str">
        <f ca="1">IFERROR(__xludf.DUMMYFUNCTION("""COMPUTED_VALUE"""),"1736993593018")</f>
        <v>1736993593018</v>
      </c>
    </row>
    <row r="3478" spans="1:11" ht="12.45">
      <c r="A3478" s="2" t="str">
        <f ca="1">IFERROR(__xludf.DUMMYFUNCTION("""COMPUTED_VALUE"""),"1736993626790")</f>
        <v>1736993626790</v>
      </c>
      <c r="B3478" s="2"/>
      <c r="C3478" s="2" t="str">
        <v>0</v>
      </c>
      <c r="D3478" s="2"/>
      <c r="F3478" s="2" t="str">
        <v>0</v>
      </c>
      <c r="I3478" s="3" t="str">
        <f ca="1">IFERROR(__xludf.DUMMYFUNCTION("""COMPUTED_VALUE"""),"Võ Ngọc Thanh Thuỳ")</f>
        <v>Võ Ngọc Thanh Thuỳ</v>
      </c>
      <c r="J3478" s="3" t="str">
        <f ca="1">IFERROR(__xludf.DUMMYFUNCTION("""COMPUTED_VALUE"""),"0853345739")</f>
        <v>0853345739</v>
      </c>
      <c r="K3478" s="2" t="str">
        <f ca="1">IFERROR(__xludf.DUMMYFUNCTION("""COMPUTED_VALUE"""),"1736993626790")</f>
        <v>1736993626790</v>
      </c>
    </row>
    <row r="3479" spans="1:11" ht="12.45">
      <c r="A3479" s="2" t="str">
        <f ca="1">IFERROR(__xludf.DUMMYFUNCTION("""COMPUTED_VALUE"""),"1736993661147")</f>
        <v>1736993661147</v>
      </c>
      <c r="B3479" s="2"/>
      <c r="C3479" s="2" t="str">
        <v>0</v>
      </c>
      <c r="D3479" s="2"/>
      <c r="F3479" s="2" t="str">
        <v>0</v>
      </c>
      <c r="I3479" s="3" t="str">
        <f ca="1">IFERROR(__xludf.DUMMYFUNCTION("""COMPUTED_VALUE"""),"Vũ Đoàn Hà Trang")</f>
        <v>Vũ Đoàn Hà Trang</v>
      </c>
      <c r="J3479" s="3" t="str">
        <f ca="1">IFERROR(__xludf.DUMMYFUNCTION("""COMPUTED_VALUE"""),"0948810958")</f>
        <v>0948810958</v>
      </c>
      <c r="K3479" s="2" t="str">
        <f ca="1">IFERROR(__xludf.DUMMYFUNCTION("""COMPUTED_VALUE"""),"1736993661147")</f>
        <v>1736993661147</v>
      </c>
    </row>
    <row r="3480" spans="1:11" ht="12.45">
      <c r="A3480" s="2" t="str">
        <f ca="1">IFERROR(__xludf.DUMMYFUNCTION("""COMPUTED_VALUE"""),"1736993700734")</f>
        <v>1736993700734</v>
      </c>
      <c r="B3480" s="2"/>
      <c r="C3480" s="2" t="str">
        <v>0</v>
      </c>
      <c r="D3480" s="2"/>
      <c r="F3480" s="2" t="str">
        <v>0</v>
      </c>
      <c r="I3480" s="3" t="str">
        <f ca="1">IFERROR(__xludf.DUMMYFUNCTION("""COMPUTED_VALUE"""),"Lô Hải Yến")</f>
        <v>Lô Hải Yến</v>
      </c>
      <c r="J3480" s="3" t="str">
        <f ca="1">IFERROR(__xludf.DUMMYFUNCTION("""COMPUTED_VALUE"""),"0986966088")</f>
        <v>0986966088</v>
      </c>
      <c r="K3480" s="2" t="str">
        <f ca="1">IFERROR(__xludf.DUMMYFUNCTION("""COMPUTED_VALUE"""),"1736993700734")</f>
        <v>1736993700734</v>
      </c>
    </row>
    <row r="3481" spans="1:11" ht="12.45">
      <c r="A3481" s="2" t="str">
        <f ca="1">IFERROR(__xludf.DUMMYFUNCTION("""COMPUTED_VALUE"""),"1736993731715")</f>
        <v>1736993731715</v>
      </c>
      <c r="B3481" s="2"/>
      <c r="C3481" s="2" t="str">
        <v>0</v>
      </c>
      <c r="D3481" s="2"/>
      <c r="F3481" s="2" t="str">
        <v>0</v>
      </c>
      <c r="I3481" s="3" t="str">
        <f ca="1">IFERROR(__xludf.DUMMYFUNCTION("""COMPUTED_VALUE"""),"Nguyễn Thị Quỳnh Mai")</f>
        <v>Nguyễn Thị Quỳnh Mai</v>
      </c>
      <c r="J3481" s="3" t="str">
        <f ca="1">IFERROR(__xludf.DUMMYFUNCTION("""COMPUTED_VALUE"""),"0964533215")</f>
        <v>0964533215</v>
      </c>
      <c r="K3481" s="2" t="str">
        <f ca="1">IFERROR(__xludf.DUMMYFUNCTION("""COMPUTED_VALUE"""),"1736993731715")</f>
        <v>1736993731715</v>
      </c>
    </row>
    <row r="3482" spans="1:11" ht="12.45">
      <c r="A3482" s="2" t="str">
        <f ca="1">IFERROR(__xludf.DUMMYFUNCTION("""COMPUTED_VALUE"""),"1737176589239")</f>
        <v>1737176589239</v>
      </c>
      <c r="B3482" s="2"/>
      <c r="C3482" s="2" t="str">
        <v>0</v>
      </c>
      <c r="D3482" s="2"/>
      <c r="F3482" s="2" t="str">
        <v>0</v>
      </c>
      <c r="I3482" s="3" t="str">
        <f ca="1">IFERROR(__xludf.DUMMYFUNCTION("""COMPUTED_VALUE"""),"Trần Thị Quỳnh Hương ")</f>
        <v xml:space="preserve">Trần Thị Quỳnh Hương </v>
      </c>
      <c r="J3482" s="3" t="str">
        <f ca="1">IFERROR(__xludf.DUMMYFUNCTION("""COMPUTED_VALUE"""),"0917758129")</f>
        <v>0917758129</v>
      </c>
      <c r="K3482" s="2" t="str">
        <f ca="1">IFERROR(__xludf.DUMMYFUNCTION("""COMPUTED_VALUE"""),"1737176589239")</f>
        <v>1737176589239</v>
      </c>
    </row>
    <row r="3483" spans="1:11" ht="12.45">
      <c r="A3483" s="2" t="str">
        <f ca="1">IFERROR(__xludf.DUMMYFUNCTION("""COMPUTED_VALUE"""),"1737176632096")</f>
        <v>1737176632096</v>
      </c>
      <c r="B3483" s="2"/>
      <c r="C3483" s="2" t="str">
        <v>0</v>
      </c>
      <c r="D3483" s="2"/>
      <c r="F3483" s="2" t="str">
        <v>0</v>
      </c>
      <c r="I3483" s="3" t="str">
        <f ca="1">IFERROR(__xludf.DUMMYFUNCTION("""COMPUTED_VALUE"""),"Lê Khánh Linh")</f>
        <v>Lê Khánh Linh</v>
      </c>
      <c r="J3483" s="3" t="str">
        <f ca="1">IFERROR(__xludf.DUMMYFUNCTION("""COMPUTED_VALUE"""),"0972066723")</f>
        <v>0972066723</v>
      </c>
      <c r="K3483" s="2" t="str">
        <f ca="1">IFERROR(__xludf.DUMMYFUNCTION("""COMPUTED_VALUE"""),"1737176632096")</f>
        <v>1737176632096</v>
      </c>
    </row>
    <row r="3484" spans="1:11" ht="12.45">
      <c r="A3484" s="2" t="str">
        <f ca="1">IFERROR(__xludf.DUMMYFUNCTION("""COMPUTED_VALUE"""),"1737176665682")</f>
        <v>1737176665682</v>
      </c>
      <c r="B3484" s="2"/>
      <c r="C3484" s="2" t="str">
        <v>0</v>
      </c>
      <c r="D3484" s="2"/>
      <c r="F3484" s="2" t="str">
        <v>0</v>
      </c>
      <c r="I3484" s="3" t="str">
        <f ca="1">IFERROR(__xludf.DUMMYFUNCTION("""COMPUTED_VALUE"""),"Võ Nhật Huy")</f>
        <v>Võ Nhật Huy</v>
      </c>
      <c r="J3484" s="3" t="str">
        <f ca="1">IFERROR(__xludf.DUMMYFUNCTION("""COMPUTED_VALUE"""),"0876530727")</f>
        <v>0876530727</v>
      </c>
      <c r="K3484" s="2" t="str">
        <f ca="1">IFERROR(__xludf.DUMMYFUNCTION("""COMPUTED_VALUE"""),"1737176665682")</f>
        <v>1737176665682</v>
      </c>
    </row>
    <row r="3485" spans="1:11" ht="12.45">
      <c r="A3485" s="2" t="str">
        <f ca="1">IFERROR(__xludf.DUMMYFUNCTION("""COMPUTED_VALUE"""),"1737176693231")</f>
        <v>1737176693231</v>
      </c>
      <c r="B3485" s="2"/>
      <c r="C3485" s="2" t="str">
        <v>0</v>
      </c>
      <c r="D3485" s="2"/>
      <c r="F3485" s="2" t="str">
        <v>0</v>
      </c>
      <c r="I3485" s="3" t="str">
        <f ca="1">IFERROR(__xludf.DUMMYFUNCTION("""COMPUTED_VALUE"""),"Phan Ngọc Khánh Vy")</f>
        <v>Phan Ngọc Khánh Vy</v>
      </c>
      <c r="J3485" s="3" t="str">
        <f ca="1">IFERROR(__xludf.DUMMYFUNCTION("""COMPUTED_VALUE"""),"0853860002")</f>
        <v>0853860002</v>
      </c>
      <c r="K3485" s="2" t="str">
        <f ca="1">IFERROR(__xludf.DUMMYFUNCTION("""COMPUTED_VALUE"""),"1737176693231")</f>
        <v>1737176693231</v>
      </c>
    </row>
    <row r="3486" spans="1:11" ht="12.45">
      <c r="A3486" s="2" t="str">
        <f ca="1">IFERROR(__xludf.DUMMYFUNCTION("""COMPUTED_VALUE"""),"1737176728605")</f>
        <v>1737176728605</v>
      </c>
      <c r="B3486" s="2"/>
      <c r="C3486" s="2" t="str">
        <v>0</v>
      </c>
      <c r="D3486" s="2"/>
      <c r="F3486" s="2" t="str">
        <v>0</v>
      </c>
      <c r="I3486" s="3" t="str">
        <f ca="1">IFERROR(__xludf.DUMMYFUNCTION("""COMPUTED_VALUE"""),"Nguyên Thị Ngọc Diệu ")</f>
        <v xml:space="preserve">Nguyên Thị Ngọc Diệu </v>
      </c>
      <c r="J3486" s="3" t="str">
        <f ca="1">IFERROR(__xludf.DUMMYFUNCTION("""COMPUTED_VALUE"""),"0702121695")</f>
        <v>0702121695</v>
      </c>
      <c r="K3486" s="2" t="str">
        <f ca="1">IFERROR(__xludf.DUMMYFUNCTION("""COMPUTED_VALUE"""),"1737176728605")</f>
        <v>1737176728605</v>
      </c>
    </row>
    <row r="3487" spans="1:11" ht="12.45">
      <c r="A3487" s="2" t="str">
        <f ca="1">IFERROR(__xludf.DUMMYFUNCTION("""COMPUTED_VALUE"""),"1737176758879")</f>
        <v>1737176758879</v>
      </c>
      <c r="B3487" s="2"/>
      <c r="C3487" s="2" t="str">
        <v>0</v>
      </c>
      <c r="D3487" s="2"/>
      <c r="F3487" s="2" t="str">
        <v>0</v>
      </c>
      <c r="I3487" s="3" t="str">
        <f ca="1">IFERROR(__xludf.DUMMYFUNCTION("""COMPUTED_VALUE"""),"Trần Minh Hạnh ")</f>
        <v xml:space="preserve">Trần Minh Hạnh </v>
      </c>
      <c r="J3487" s="3" t="str">
        <f ca="1">IFERROR(__xludf.DUMMYFUNCTION("""COMPUTED_VALUE"""),"0356810440")</f>
        <v>0356810440</v>
      </c>
      <c r="K3487" s="2" t="str">
        <f ca="1">IFERROR(__xludf.DUMMYFUNCTION("""COMPUTED_VALUE"""),"1737176758879")</f>
        <v>1737176758879</v>
      </c>
    </row>
    <row r="3488" spans="1:11" ht="12.45">
      <c r="A3488" s="2" t="str">
        <f ca="1">IFERROR(__xludf.DUMMYFUNCTION("""COMPUTED_VALUE"""),"1737176790057")</f>
        <v>1737176790057</v>
      </c>
      <c r="B3488" s="2"/>
      <c r="C3488" s="2" t="str">
        <v>0</v>
      </c>
      <c r="D3488" s="2"/>
      <c r="F3488" s="2" t="str">
        <v>0</v>
      </c>
      <c r="I3488" s="3" t="str">
        <f ca="1">IFERROR(__xludf.DUMMYFUNCTION("""COMPUTED_VALUE"""),"Trần Khánh Linh")</f>
        <v>Trần Khánh Linh</v>
      </c>
      <c r="J3488" s="3" t="str">
        <f ca="1">IFERROR(__xludf.DUMMYFUNCTION("""COMPUTED_VALUE"""),"0983239109")</f>
        <v>0983239109</v>
      </c>
      <c r="K3488" s="2" t="str">
        <f ca="1">IFERROR(__xludf.DUMMYFUNCTION("""COMPUTED_VALUE"""),"1737176790057")</f>
        <v>1737176790057</v>
      </c>
    </row>
    <row r="3489" spans="1:11" ht="12.45">
      <c r="A3489" s="2" t="str">
        <f ca="1">IFERROR(__xludf.DUMMYFUNCTION("""COMPUTED_VALUE"""),"1737176820667")</f>
        <v>1737176820667</v>
      </c>
      <c r="B3489" s="2"/>
      <c r="C3489" s="2" t="str">
        <v>0</v>
      </c>
      <c r="D3489" s="2"/>
      <c r="F3489" s="2" t="str">
        <v>0</v>
      </c>
      <c r="I3489" s="3" t="str">
        <f ca="1">IFERROR(__xludf.DUMMYFUNCTION("""COMPUTED_VALUE"""),"Nguyễn Phạm Thảo Nguyên")</f>
        <v>Nguyễn Phạm Thảo Nguyên</v>
      </c>
      <c r="J3489" s="3" t="str">
        <f ca="1">IFERROR(__xludf.DUMMYFUNCTION("""COMPUTED_VALUE"""),"0839501819")</f>
        <v>0839501819</v>
      </c>
      <c r="K3489" s="2" t="str">
        <f ca="1">IFERROR(__xludf.DUMMYFUNCTION("""COMPUTED_VALUE"""),"1737176820667")</f>
        <v>1737176820667</v>
      </c>
    </row>
    <row r="3490" spans="1:11" ht="12.45">
      <c r="A3490" s="2" t="str">
        <f ca="1">IFERROR(__xludf.DUMMYFUNCTION("""COMPUTED_VALUE"""),"1737176851197")</f>
        <v>1737176851197</v>
      </c>
      <c r="B3490" s="2"/>
      <c r="C3490" s="2" t="str">
        <v>0</v>
      </c>
      <c r="D3490" s="2"/>
      <c r="F3490" s="2" t="str">
        <v>0</v>
      </c>
      <c r="I3490" s="3" t="str">
        <f ca="1">IFERROR(__xludf.DUMMYFUNCTION("""COMPUTED_VALUE"""),"Phạm Hoàng Thanh Nhàn")</f>
        <v>Phạm Hoàng Thanh Nhàn</v>
      </c>
      <c r="J3490" s="3" t="str">
        <f ca="1">IFERROR(__xludf.DUMMYFUNCTION("""COMPUTED_VALUE"""),"0356517188")</f>
        <v>0356517188</v>
      </c>
      <c r="K3490" s="2" t="str">
        <f ca="1">IFERROR(__xludf.DUMMYFUNCTION("""COMPUTED_VALUE"""),"1737176851197")</f>
        <v>1737176851197</v>
      </c>
    </row>
    <row r="3491" spans="1:11" ht="12.45">
      <c r="A3491" s="2" t="str">
        <f ca="1">IFERROR(__xludf.DUMMYFUNCTION("""COMPUTED_VALUE"""),"1737176888325")</f>
        <v>1737176888325</v>
      </c>
      <c r="B3491" s="2"/>
      <c r="C3491" s="2" t="str">
        <v>0</v>
      </c>
      <c r="D3491" s="2"/>
      <c r="F3491" s="2" t="str">
        <v>0</v>
      </c>
      <c r="I3491" s="3" t="str">
        <f ca="1">IFERROR(__xludf.DUMMYFUNCTION("""COMPUTED_VALUE"""),"Đinh Bảo Lâm ")</f>
        <v xml:space="preserve">Đinh Bảo Lâm </v>
      </c>
      <c r="J3491" s="3" t="str">
        <f ca="1">IFERROR(__xludf.DUMMYFUNCTION("""COMPUTED_VALUE"""),"0369142006")</f>
        <v>0369142006</v>
      </c>
      <c r="K3491" s="2" t="str">
        <f ca="1">IFERROR(__xludf.DUMMYFUNCTION("""COMPUTED_VALUE"""),"1737176888325")</f>
        <v>1737176888325</v>
      </c>
    </row>
    <row r="3492" spans="1:11" ht="12.45">
      <c r="A3492" s="2" t="str">
        <f ca="1">IFERROR(__xludf.DUMMYFUNCTION("""COMPUTED_VALUE"""),"1737176919286")</f>
        <v>1737176919286</v>
      </c>
      <c r="B3492" s="2"/>
      <c r="C3492" s="2" t="str">
        <v>0</v>
      </c>
      <c r="D3492" s="2"/>
      <c r="F3492" s="2" t="str">
        <v>0</v>
      </c>
      <c r="I3492" s="3" t="str">
        <f ca="1">IFERROR(__xludf.DUMMYFUNCTION("""COMPUTED_VALUE"""),"Nguyễn Trà My")</f>
        <v>Nguyễn Trà My</v>
      </c>
      <c r="J3492" s="3" t="str">
        <f ca="1">IFERROR(__xludf.DUMMYFUNCTION("""COMPUTED_VALUE"""),"0988764907")</f>
        <v>0988764907</v>
      </c>
      <c r="K3492" s="2" t="str">
        <f ca="1">IFERROR(__xludf.DUMMYFUNCTION("""COMPUTED_VALUE"""),"1737176919286")</f>
        <v>1737176919286</v>
      </c>
    </row>
    <row r="3493" spans="1:11" ht="12.45">
      <c r="A3493" s="2" t="str">
        <f ca="1">IFERROR(__xludf.DUMMYFUNCTION("""COMPUTED_VALUE"""),"1737176967070")</f>
        <v>1737176967070</v>
      </c>
      <c r="B3493" s="2"/>
      <c r="C3493" s="2" t="str">
        <v>0</v>
      </c>
      <c r="D3493" s="2"/>
      <c r="F3493" s="2" t="str">
        <v>0</v>
      </c>
      <c r="I3493" s="3" t="str">
        <f ca="1">IFERROR(__xludf.DUMMYFUNCTION("""COMPUTED_VALUE"""),"Lê Huệ Từ")</f>
        <v>Lê Huệ Từ</v>
      </c>
      <c r="J3493" s="3" t="str">
        <f ca="1">IFERROR(__xludf.DUMMYFUNCTION("""COMPUTED_VALUE"""),"0355992018")</f>
        <v>0355992018</v>
      </c>
      <c r="K3493" s="2" t="str">
        <f ca="1">IFERROR(__xludf.DUMMYFUNCTION("""COMPUTED_VALUE"""),"1737176967070")</f>
        <v>1737176967070</v>
      </c>
    </row>
    <row r="3494" spans="1:11" ht="12.45">
      <c r="A3494" s="2" t="str">
        <f ca="1">IFERROR(__xludf.DUMMYFUNCTION("""COMPUTED_VALUE"""),"1737177003313")</f>
        <v>1737177003313</v>
      </c>
      <c r="B3494" s="2"/>
      <c r="C3494" s="2" t="str">
        <v>0</v>
      </c>
      <c r="D3494" s="2"/>
      <c r="F3494" s="2" t="str">
        <v>0</v>
      </c>
      <c r="I3494" s="3" t="str">
        <f ca="1">IFERROR(__xludf.DUMMYFUNCTION("""COMPUTED_VALUE"""),"Đặng Ngọc Hân")</f>
        <v>Đặng Ngọc Hân</v>
      </c>
      <c r="J3494" s="3" t="str">
        <f ca="1">IFERROR(__xludf.DUMMYFUNCTION("""COMPUTED_VALUE"""),"0393638977")</f>
        <v>0393638977</v>
      </c>
      <c r="K3494" s="2" t="str">
        <f ca="1">IFERROR(__xludf.DUMMYFUNCTION("""COMPUTED_VALUE"""),"1737177003313")</f>
        <v>1737177003313</v>
      </c>
    </row>
    <row r="3495" spans="1:11" ht="12.45">
      <c r="A3495" s="2" t="str">
        <f ca="1">IFERROR(__xludf.DUMMYFUNCTION("""COMPUTED_VALUE"""),"1737177037514")</f>
        <v>1737177037514</v>
      </c>
      <c r="B3495" s="2"/>
      <c r="C3495" s="2" t="str">
        <v>0</v>
      </c>
      <c r="D3495" s="2"/>
      <c r="F3495" s="2" t="str">
        <v>0</v>
      </c>
      <c r="I3495" s="3" t="str">
        <f ca="1">IFERROR(__xludf.DUMMYFUNCTION("""COMPUTED_VALUE"""),"Nguyễn Kim Quyên")</f>
        <v>Nguyễn Kim Quyên</v>
      </c>
      <c r="J3495" s="3" t="str">
        <f ca="1">IFERROR(__xludf.DUMMYFUNCTION("""COMPUTED_VALUE"""),"0865024464")</f>
        <v>0865024464</v>
      </c>
      <c r="K3495" s="2" t="str">
        <f ca="1">IFERROR(__xludf.DUMMYFUNCTION("""COMPUTED_VALUE"""),"1737177037514")</f>
        <v>1737177037514</v>
      </c>
    </row>
    <row r="3496" spans="1:11" ht="12.45">
      <c r="A3496" s="2" t="str">
        <f ca="1">IFERROR(__xludf.DUMMYFUNCTION("""COMPUTED_VALUE"""),"1737177070778")</f>
        <v>1737177070778</v>
      </c>
      <c r="B3496" s="2"/>
      <c r="C3496" s="2" t="str">
        <v>0</v>
      </c>
      <c r="D3496" s="2"/>
      <c r="F3496" s="2" t="str">
        <v>0</v>
      </c>
      <c r="I3496" s="3" t="str">
        <f ca="1">IFERROR(__xludf.DUMMYFUNCTION("""COMPUTED_VALUE"""),"Nguyễn Thị Thanh Ly ")</f>
        <v xml:space="preserve">Nguyễn Thị Thanh Ly </v>
      </c>
      <c r="J3496" s="3" t="str">
        <f ca="1">IFERROR(__xludf.DUMMYFUNCTION("""COMPUTED_VALUE"""),"0387975019")</f>
        <v>0387975019</v>
      </c>
      <c r="K3496" s="2" t="str">
        <f ca="1">IFERROR(__xludf.DUMMYFUNCTION("""COMPUTED_VALUE"""),"1737177070778")</f>
        <v>1737177070778</v>
      </c>
    </row>
    <row r="3497" spans="1:11" ht="12.45">
      <c r="A3497" s="2" t="str">
        <f ca="1">IFERROR(__xludf.DUMMYFUNCTION("""COMPUTED_VALUE"""),"1737177100837")</f>
        <v>1737177100837</v>
      </c>
      <c r="B3497" s="2"/>
      <c r="C3497" s="2" t="str">
        <v>0</v>
      </c>
      <c r="D3497" s="2"/>
      <c r="F3497" s="2" t="str">
        <v>0</v>
      </c>
      <c r="I3497" s="3" t="str">
        <f ca="1">IFERROR(__xludf.DUMMYFUNCTION("""COMPUTED_VALUE"""),"Đào Việt Anh")</f>
        <v>Đào Việt Anh</v>
      </c>
      <c r="J3497" s="3" t="str">
        <f ca="1">IFERROR(__xludf.DUMMYFUNCTION("""COMPUTED_VALUE"""),"0888795107")</f>
        <v>0888795107</v>
      </c>
      <c r="K3497" s="2" t="str">
        <f ca="1">IFERROR(__xludf.DUMMYFUNCTION("""COMPUTED_VALUE"""),"1737177100837")</f>
        <v>1737177100837</v>
      </c>
    </row>
    <row r="3498" spans="1:11" ht="12.45">
      <c r="A3498" s="2" t="str">
        <f ca="1">IFERROR(__xludf.DUMMYFUNCTION("""COMPUTED_VALUE"""),"1737177134117")</f>
        <v>1737177134117</v>
      </c>
      <c r="B3498" s="2"/>
      <c r="C3498" s="2" t="str">
        <v>0</v>
      </c>
      <c r="D3498" s="2"/>
      <c r="F3498" s="2" t="str">
        <v>0</v>
      </c>
      <c r="I3498" s="3" t="str">
        <f ca="1">IFERROR(__xludf.DUMMYFUNCTION("""COMPUTED_VALUE"""),"Đỗ Ngọc Hà Vy")</f>
        <v>Đỗ Ngọc Hà Vy</v>
      </c>
      <c r="J3498" s="3" t="str">
        <f ca="1">IFERROR(__xludf.DUMMYFUNCTION("""COMPUTED_VALUE"""),"0868727838")</f>
        <v>0868727838</v>
      </c>
      <c r="K3498" s="2" t="str">
        <f ca="1">IFERROR(__xludf.DUMMYFUNCTION("""COMPUTED_VALUE"""),"1737177134117")</f>
        <v>1737177134117</v>
      </c>
    </row>
    <row r="3499" spans="1:11" ht="12.45">
      <c r="A3499" s="2" t="str">
        <f ca="1">IFERROR(__xludf.DUMMYFUNCTION("""COMPUTED_VALUE"""),"1737177171531")</f>
        <v>1737177171531</v>
      </c>
      <c r="B3499" s="2"/>
      <c r="C3499" s="2" t="str">
        <v>0</v>
      </c>
      <c r="D3499" s="2"/>
      <c r="F3499" s="2" t="str">
        <v>0</v>
      </c>
      <c r="I3499" s="3" t="str">
        <f ca="1">IFERROR(__xludf.DUMMYFUNCTION("""COMPUTED_VALUE"""),"Cao Hoàng Yến")</f>
        <v>Cao Hoàng Yến</v>
      </c>
      <c r="J3499" s="3" t="str">
        <f ca="1">IFERROR(__xludf.DUMMYFUNCTION("""COMPUTED_VALUE"""),"0869121040")</f>
        <v>0869121040</v>
      </c>
      <c r="K3499" s="2" t="str">
        <f ca="1">IFERROR(__xludf.DUMMYFUNCTION("""COMPUTED_VALUE"""),"1737177171531")</f>
        <v>1737177171531</v>
      </c>
    </row>
    <row r="3500" spans="1:11" ht="12.45">
      <c r="A3500" s="2" t="str">
        <f ca="1">IFERROR(__xludf.DUMMYFUNCTION("""COMPUTED_VALUE"""),"1737177203679")</f>
        <v>1737177203679</v>
      </c>
      <c r="B3500" s="2"/>
      <c r="C3500" s="2" t="str">
        <v>0</v>
      </c>
      <c r="D3500" s="2"/>
      <c r="F3500" s="2" t="str">
        <v>0</v>
      </c>
      <c r="I3500" s="3" t="str">
        <f ca="1">IFERROR(__xludf.DUMMYFUNCTION("""COMPUTED_VALUE"""),"Nguyễn Quỳnh Thi ")</f>
        <v xml:space="preserve">Nguyễn Quỳnh Thi </v>
      </c>
      <c r="J3500" s="3" t="str">
        <f ca="1">IFERROR(__xludf.DUMMYFUNCTION("""COMPUTED_VALUE"""),"0937590359")</f>
        <v>0937590359</v>
      </c>
      <c r="K3500" s="2" t="str">
        <f ca="1">IFERROR(__xludf.DUMMYFUNCTION("""COMPUTED_VALUE"""),"1737177203679")</f>
        <v>1737177203679</v>
      </c>
    </row>
    <row r="3501" spans="1:11" ht="12.45">
      <c r="A3501" s="2" t="str">
        <f ca="1">IFERROR(__xludf.DUMMYFUNCTION("""COMPUTED_VALUE"""),"1737177237624")</f>
        <v>1737177237624</v>
      </c>
      <c r="B3501" s="2"/>
      <c r="C3501" s="2" t="str">
        <v>0</v>
      </c>
      <c r="D3501" s="2"/>
      <c r="F3501" s="2" t="str">
        <v>0</v>
      </c>
      <c r="I3501" s="3" t="str">
        <f ca="1">IFERROR(__xludf.DUMMYFUNCTION("""COMPUTED_VALUE"""),"Nguyễn Thuý Hằng")</f>
        <v>Nguyễn Thuý Hằng</v>
      </c>
      <c r="J3501" s="3" t="str">
        <f ca="1">IFERROR(__xludf.DUMMYFUNCTION("""COMPUTED_VALUE"""),"0399176101")</f>
        <v>0399176101</v>
      </c>
      <c r="K3501" s="2" t="str">
        <f ca="1">IFERROR(__xludf.DUMMYFUNCTION("""COMPUTED_VALUE"""),"1737177237624")</f>
        <v>1737177237624</v>
      </c>
    </row>
    <row r="3502" spans="1:11" ht="12.45">
      <c r="A3502" s="2" t="str">
        <f ca="1">IFERROR(__xludf.DUMMYFUNCTION("""COMPUTED_VALUE"""),"1737177267224")</f>
        <v>1737177267224</v>
      </c>
      <c r="B3502" s="2"/>
      <c r="C3502" s="2" t="str">
        <v>0</v>
      </c>
      <c r="D3502" s="2"/>
      <c r="F3502" s="2" t="str">
        <v>0</v>
      </c>
      <c r="I3502" s="3" t="str">
        <f ca="1">IFERROR(__xludf.DUMMYFUNCTION("""COMPUTED_VALUE"""),"Lưu Thị Thùy Anh")</f>
        <v>Lưu Thị Thùy Anh</v>
      </c>
      <c r="J3502" s="3" t="str">
        <f ca="1">IFERROR(__xludf.DUMMYFUNCTION("""COMPUTED_VALUE"""),"0332317653")</f>
        <v>0332317653</v>
      </c>
      <c r="K3502" s="2" t="str">
        <f ca="1">IFERROR(__xludf.DUMMYFUNCTION("""COMPUTED_VALUE"""),"1737177267224")</f>
        <v>1737177267224</v>
      </c>
    </row>
    <row r="3503" spans="1:11" ht="12.45">
      <c r="A3503" s="2" t="str">
        <f ca="1">IFERROR(__xludf.DUMMYFUNCTION("""COMPUTED_VALUE"""),"1737177306999")</f>
        <v>1737177306999</v>
      </c>
      <c r="B3503" s="2"/>
      <c r="C3503" s="2" t="str">
        <v>0</v>
      </c>
      <c r="D3503" s="2"/>
      <c r="F3503" s="2" t="str">
        <v>0</v>
      </c>
      <c r="I3503" s="3" t="str">
        <f ca="1">IFERROR(__xludf.DUMMYFUNCTION("""COMPUTED_VALUE"""),"Bạch Quốc An")</f>
        <v>Bạch Quốc An</v>
      </c>
      <c r="J3503" s="3" t="str">
        <f ca="1">IFERROR(__xludf.DUMMYFUNCTION("""COMPUTED_VALUE"""),"0582362562")</f>
        <v>0582362562</v>
      </c>
      <c r="K3503" s="2" t="str">
        <f ca="1">IFERROR(__xludf.DUMMYFUNCTION("""COMPUTED_VALUE"""),"1737177306999")</f>
        <v>1737177306999</v>
      </c>
    </row>
    <row r="3504" spans="1:11" ht="12.45">
      <c r="A3504" s="2" t="str">
        <f ca="1">IFERROR(__xludf.DUMMYFUNCTION("""COMPUTED_VALUE"""),"1737177347162")</f>
        <v>1737177347162</v>
      </c>
      <c r="B3504" s="2"/>
      <c r="C3504" s="2" t="str">
        <v>0</v>
      </c>
      <c r="D3504" s="2"/>
      <c r="F3504" s="2" t="str">
        <v>0</v>
      </c>
      <c r="I3504" s="3" t="str">
        <f ca="1">IFERROR(__xludf.DUMMYFUNCTION("""COMPUTED_VALUE"""),"Nguyễn Phương Anh")</f>
        <v>Nguyễn Phương Anh</v>
      </c>
      <c r="J3504" s="3" t="str">
        <f ca="1">IFERROR(__xludf.DUMMYFUNCTION("""COMPUTED_VALUE"""),"0776890361")</f>
        <v>0776890361</v>
      </c>
      <c r="K3504" s="2" t="str">
        <f ca="1">IFERROR(__xludf.DUMMYFUNCTION("""COMPUTED_VALUE"""),"1737177347162")</f>
        <v>1737177347162</v>
      </c>
    </row>
    <row r="3505" spans="1:11" ht="12.45">
      <c r="A3505" s="2" t="str">
        <f ca="1">IFERROR(__xludf.DUMMYFUNCTION("""COMPUTED_VALUE"""),"1737177383376")</f>
        <v>1737177383376</v>
      </c>
      <c r="B3505" s="2"/>
      <c r="C3505" s="2" t="str">
        <v>0</v>
      </c>
      <c r="D3505" s="2"/>
      <c r="F3505" s="2" t="str">
        <v>0</v>
      </c>
      <c r="I3505" s="3" t="str">
        <f ca="1">IFERROR(__xludf.DUMMYFUNCTION("""COMPUTED_VALUE"""),"Phạm Minh Anh")</f>
        <v>Phạm Minh Anh</v>
      </c>
      <c r="J3505" s="3" t="str">
        <f ca="1">IFERROR(__xludf.DUMMYFUNCTION("""COMPUTED_VALUE"""),"0944477496")</f>
        <v>0944477496</v>
      </c>
      <c r="K3505" s="2" t="str">
        <f ca="1">IFERROR(__xludf.DUMMYFUNCTION("""COMPUTED_VALUE"""),"1737177383376")</f>
        <v>1737177383376</v>
      </c>
    </row>
    <row r="3506" spans="1:11" ht="12.45">
      <c r="A3506" s="2" t="str">
        <f ca="1">IFERROR(__xludf.DUMMYFUNCTION("""COMPUTED_VALUE"""),"1737177409697")</f>
        <v>1737177409697</v>
      </c>
      <c r="B3506" s="2"/>
      <c r="C3506" s="2" t="str">
        <v>0</v>
      </c>
      <c r="D3506" s="2"/>
      <c r="F3506" s="2" t="str">
        <v>0</v>
      </c>
      <c r="I3506" s="3" t="str">
        <f ca="1">IFERROR(__xludf.DUMMYFUNCTION("""COMPUTED_VALUE"""),"Bùi Khánh Linh ")</f>
        <v xml:space="preserve">Bùi Khánh Linh </v>
      </c>
      <c r="J3506" s="3" t="str">
        <f ca="1">IFERROR(__xludf.DUMMYFUNCTION("""COMPUTED_VALUE"""),"0852208398")</f>
        <v>0852208398</v>
      </c>
      <c r="K3506" s="2" t="str">
        <f ca="1">IFERROR(__xludf.DUMMYFUNCTION("""COMPUTED_VALUE"""),"1737177409697")</f>
        <v>1737177409697</v>
      </c>
    </row>
    <row r="3507" spans="1:11" ht="12.45">
      <c r="A3507" s="2" t="str">
        <f ca="1">IFERROR(__xludf.DUMMYFUNCTION("""COMPUTED_VALUE"""),"1737177441412")</f>
        <v>1737177441412</v>
      </c>
      <c r="B3507" s="2"/>
      <c r="C3507" s="2" t="str">
        <v>0</v>
      </c>
      <c r="D3507" s="2"/>
      <c r="F3507" s="2" t="str">
        <v>0</v>
      </c>
      <c r="I3507" s="3" t="str">
        <f ca="1">IFERROR(__xludf.DUMMYFUNCTION("""COMPUTED_VALUE"""),"Nguyễn Đặng Thùy Dương ")</f>
        <v xml:space="preserve">Nguyễn Đặng Thùy Dương </v>
      </c>
      <c r="J3507" s="3" t="str">
        <f ca="1">IFERROR(__xludf.DUMMYFUNCTION("""COMPUTED_VALUE"""),"0354583716")</f>
        <v>0354583716</v>
      </c>
      <c r="K3507" s="2" t="str">
        <f ca="1">IFERROR(__xludf.DUMMYFUNCTION("""COMPUTED_VALUE"""),"1737177441412")</f>
        <v>1737177441412</v>
      </c>
    </row>
    <row r="3508" spans="1:11" ht="12.45">
      <c r="A3508" s="2" t="str">
        <f ca="1">IFERROR(__xludf.DUMMYFUNCTION("""COMPUTED_VALUE"""),"1737177471156")</f>
        <v>1737177471156</v>
      </c>
      <c r="B3508" s="2"/>
      <c r="C3508" s="2" t="str">
        <v>0</v>
      </c>
      <c r="D3508" s="2"/>
      <c r="F3508" s="2" t="str">
        <v>0</v>
      </c>
      <c r="I3508" s="3" t="str">
        <f ca="1">IFERROR(__xludf.DUMMYFUNCTION("""COMPUTED_VALUE"""),"Đàm Lương Nhật Quỳnh")</f>
        <v>Đàm Lương Nhật Quỳnh</v>
      </c>
      <c r="J3508" s="3" t="str">
        <f ca="1">IFERROR(__xludf.DUMMYFUNCTION("""COMPUTED_VALUE"""),"0907469599")</f>
        <v>0907469599</v>
      </c>
      <c r="K3508" s="2" t="str">
        <f ca="1">IFERROR(__xludf.DUMMYFUNCTION("""COMPUTED_VALUE"""),"1737177471156")</f>
        <v>1737177471156</v>
      </c>
    </row>
    <row r="3509" spans="1:11" ht="12.45">
      <c r="A3509" s="2" t="str">
        <f ca="1">IFERROR(__xludf.DUMMYFUNCTION("""COMPUTED_VALUE"""),"1737177502935")</f>
        <v>1737177502935</v>
      </c>
      <c r="B3509" s="2"/>
      <c r="C3509" s="2" t="str">
        <v>0</v>
      </c>
      <c r="D3509" s="2"/>
      <c r="F3509" s="2" t="str">
        <v>0</v>
      </c>
      <c r="I3509" s="3" t="str">
        <f ca="1">IFERROR(__xludf.DUMMYFUNCTION("""COMPUTED_VALUE"""),"Phạm Thị Thùy Dương ")</f>
        <v xml:space="preserve">Phạm Thị Thùy Dương </v>
      </c>
      <c r="J3509" s="3" t="str">
        <f ca="1">IFERROR(__xludf.DUMMYFUNCTION("""COMPUTED_VALUE"""),"0398641117")</f>
        <v>0398641117</v>
      </c>
      <c r="K3509" s="2" t="str">
        <f ca="1">IFERROR(__xludf.DUMMYFUNCTION("""COMPUTED_VALUE"""),"1737177502935")</f>
        <v>1737177502935</v>
      </c>
    </row>
    <row r="3510" spans="1:11" ht="12.45">
      <c r="A3510" s="2" t="str">
        <f ca="1">IFERROR(__xludf.DUMMYFUNCTION("""COMPUTED_VALUE"""),"1737177527983")</f>
        <v>1737177527983</v>
      </c>
      <c r="B3510" s="2"/>
      <c r="C3510" s="2" t="str">
        <v>0</v>
      </c>
      <c r="D3510" s="2"/>
      <c r="F3510" s="2" t="str">
        <v>0</v>
      </c>
      <c r="I3510" s="3" t="str">
        <f ca="1">IFERROR(__xludf.DUMMYFUNCTION("""COMPUTED_VALUE"""),"nguyễn lan anh")</f>
        <v>nguyễn lan anh</v>
      </c>
      <c r="J3510" s="3" t="str">
        <f ca="1">IFERROR(__xludf.DUMMYFUNCTION("""COMPUTED_VALUE"""),"0986485887")</f>
        <v>0986485887</v>
      </c>
      <c r="K3510" s="2" t="str">
        <f ca="1">IFERROR(__xludf.DUMMYFUNCTION("""COMPUTED_VALUE"""),"1737177527983")</f>
        <v>1737177527983</v>
      </c>
    </row>
    <row r="3511" spans="1:11" ht="12.45">
      <c r="A3511" s="2" t="str">
        <f ca="1">IFERROR(__xludf.DUMMYFUNCTION("""COMPUTED_VALUE"""),"1737177559516")</f>
        <v>1737177559516</v>
      </c>
      <c r="B3511" s="2"/>
      <c r="C3511" s="2" t="str">
        <v>0</v>
      </c>
      <c r="D3511" s="2"/>
      <c r="F3511" s="2" t="str">
        <v>0</v>
      </c>
      <c r="I3511" s="3" t="str">
        <f ca="1">IFERROR(__xludf.DUMMYFUNCTION("""COMPUTED_VALUE"""),"Lê Yến Chi")</f>
        <v>Lê Yến Chi</v>
      </c>
      <c r="J3511" s="3" t="str">
        <f ca="1">IFERROR(__xludf.DUMMYFUNCTION("""COMPUTED_VALUE"""),"0359992486")</f>
        <v>0359992486</v>
      </c>
      <c r="K3511" s="2" t="str">
        <f ca="1">IFERROR(__xludf.DUMMYFUNCTION("""COMPUTED_VALUE"""),"1737177559516")</f>
        <v>1737177559516</v>
      </c>
    </row>
    <row r="3512" spans="1:11" ht="12.45">
      <c r="A3512" s="2" t="str">
        <f ca="1">IFERROR(__xludf.DUMMYFUNCTION("""COMPUTED_VALUE"""),"1737177585879")</f>
        <v>1737177585879</v>
      </c>
      <c r="B3512" s="2"/>
      <c r="C3512" s="2" t="str">
        <v>0</v>
      </c>
      <c r="D3512" s="2"/>
      <c r="F3512" s="2" t="str">
        <v>0</v>
      </c>
      <c r="I3512" s="3" t="str">
        <f ca="1">IFERROR(__xludf.DUMMYFUNCTION("""COMPUTED_VALUE"""),"Phạm Ngọc Linh")</f>
        <v>Phạm Ngọc Linh</v>
      </c>
      <c r="J3512" s="3" t="str">
        <f ca="1">IFERROR(__xludf.DUMMYFUNCTION("""COMPUTED_VALUE"""),"0389204152")</f>
        <v>0389204152</v>
      </c>
      <c r="K3512" s="2" t="str">
        <f ca="1">IFERROR(__xludf.DUMMYFUNCTION("""COMPUTED_VALUE"""),"1737177585879")</f>
        <v>1737177585879</v>
      </c>
    </row>
    <row r="3513" spans="1:11" ht="12.45">
      <c r="A3513" s="2" t="str">
        <f ca="1">IFERROR(__xludf.DUMMYFUNCTION("""COMPUTED_VALUE"""),"1737177613189")</f>
        <v>1737177613189</v>
      </c>
      <c r="B3513" s="2"/>
      <c r="C3513" s="2" t="str">
        <v>0</v>
      </c>
      <c r="D3513" s="2"/>
      <c r="F3513" s="2" t="str">
        <v>0</v>
      </c>
      <c r="I3513" s="3" t="str">
        <f ca="1">IFERROR(__xludf.DUMMYFUNCTION("""COMPUTED_VALUE"""),"Tăng Thị Đức Đạt")</f>
        <v>Tăng Thị Đức Đạt</v>
      </c>
      <c r="J3513" s="3" t="str">
        <f ca="1">IFERROR(__xludf.DUMMYFUNCTION("""COMPUTED_VALUE"""),"0369952115")</f>
        <v>0369952115</v>
      </c>
      <c r="K3513" s="2" t="str">
        <f ca="1">IFERROR(__xludf.DUMMYFUNCTION("""COMPUTED_VALUE"""),"1737177613189")</f>
        <v>1737177613189</v>
      </c>
    </row>
    <row r="3514" spans="1:11" ht="12.45">
      <c r="A3514" s="2" t="str">
        <f ca="1">IFERROR(__xludf.DUMMYFUNCTION("""COMPUTED_VALUE"""),"1737177645256")</f>
        <v>1737177645256</v>
      </c>
      <c r="B3514" s="2"/>
      <c r="C3514" s="2" t="str">
        <v>0</v>
      </c>
      <c r="D3514" s="2"/>
      <c r="F3514" s="2" t="str">
        <v>0</v>
      </c>
      <c r="I3514" s="3" t="str">
        <f ca="1">IFERROR(__xludf.DUMMYFUNCTION("""COMPUTED_VALUE"""),"Nguyễn Thu Trang")</f>
        <v>Nguyễn Thu Trang</v>
      </c>
      <c r="J3514" s="3" t="str">
        <f ca="1">IFERROR(__xludf.DUMMYFUNCTION("""COMPUTED_VALUE"""),"0352921641")</f>
        <v>0352921641</v>
      </c>
      <c r="K3514" s="2" t="str">
        <f ca="1">IFERROR(__xludf.DUMMYFUNCTION("""COMPUTED_VALUE"""),"1737177645256")</f>
        <v>1737177645256</v>
      </c>
    </row>
    <row r="3515" spans="1:11" ht="12.45">
      <c r="A3515" s="2" t="str">
        <f ca="1">IFERROR(__xludf.DUMMYFUNCTION("""COMPUTED_VALUE"""),"1737177678836")</f>
        <v>1737177678836</v>
      </c>
      <c r="B3515" s="2"/>
      <c r="C3515" s="2" t="str">
        <v>0</v>
      </c>
      <c r="D3515" s="2"/>
      <c r="F3515" s="2" t="str">
        <v>0</v>
      </c>
      <c r="I3515" s="3" t="str">
        <f ca="1">IFERROR(__xludf.DUMMYFUNCTION("""COMPUTED_VALUE"""),"Trịnh Gia Ngân")</f>
        <v>Trịnh Gia Ngân</v>
      </c>
      <c r="J3515" s="3" t="str">
        <f ca="1">IFERROR(__xludf.DUMMYFUNCTION("""COMPUTED_VALUE"""),"0911582388")</f>
        <v>0911582388</v>
      </c>
      <c r="K3515" s="2" t="str">
        <f ca="1">IFERROR(__xludf.DUMMYFUNCTION("""COMPUTED_VALUE"""),"1737177678836")</f>
        <v>1737177678836</v>
      </c>
    </row>
    <row r="3516" spans="1:11" ht="12.45">
      <c r="A3516" s="2" t="str">
        <f ca="1">IFERROR(__xludf.DUMMYFUNCTION("""COMPUTED_VALUE"""),"1737177723620")</f>
        <v>1737177723620</v>
      </c>
      <c r="B3516" s="2"/>
      <c r="C3516" s="2" t="str">
        <v>0</v>
      </c>
      <c r="D3516" s="2"/>
      <c r="F3516" s="2" t="str">
        <v>0</v>
      </c>
      <c r="I3516" s="3" t="str">
        <f ca="1">IFERROR(__xludf.DUMMYFUNCTION("""COMPUTED_VALUE"""),"Xuân Hương")</f>
        <v>Xuân Hương</v>
      </c>
      <c r="J3516" s="3" t="str">
        <f ca="1">IFERROR(__xludf.DUMMYFUNCTION("""COMPUTED_VALUE"""),"0396014146")</f>
        <v>0396014146</v>
      </c>
      <c r="K3516" s="2" t="str">
        <f ca="1">IFERROR(__xludf.DUMMYFUNCTION("""COMPUTED_VALUE"""),"1737177723620")</f>
        <v>1737177723620</v>
      </c>
    </row>
    <row r="3517" spans="1:11" ht="12.45">
      <c r="A3517" s="2" t="str">
        <f ca="1">IFERROR(__xludf.DUMMYFUNCTION("""COMPUTED_VALUE"""),"1737177754871")</f>
        <v>1737177754871</v>
      </c>
      <c r="B3517" s="2"/>
      <c r="C3517" s="2" t="str">
        <v>0</v>
      </c>
      <c r="D3517" s="2"/>
      <c r="F3517" s="2" t="str">
        <v>0</v>
      </c>
      <c r="I3517" s="3" t="str">
        <f ca="1">IFERROR(__xludf.DUMMYFUNCTION("""COMPUTED_VALUE"""),"Phạm thị Ngọc Thuý ")</f>
        <v xml:space="preserve">Phạm thị Ngọc Thuý </v>
      </c>
      <c r="J3517" s="3" t="str">
        <f ca="1">IFERROR(__xludf.DUMMYFUNCTION("""COMPUTED_VALUE"""),"0904968279")</f>
        <v>0904968279</v>
      </c>
      <c r="K3517" s="2" t="str">
        <f ca="1">IFERROR(__xludf.DUMMYFUNCTION("""COMPUTED_VALUE"""),"1737177754871")</f>
        <v>1737177754871</v>
      </c>
    </row>
    <row r="3518" spans="1:11" ht="12.45">
      <c r="A3518" s="2" t="str">
        <f ca="1">IFERROR(__xludf.DUMMYFUNCTION("""COMPUTED_VALUE"""),"1737177783916")</f>
        <v>1737177783916</v>
      </c>
      <c r="B3518" s="2"/>
      <c r="C3518" s="2" t="str">
        <v>0</v>
      </c>
      <c r="D3518" s="2"/>
      <c r="F3518" s="2" t="str">
        <v>0</v>
      </c>
      <c r="I3518" s="3" t="str">
        <f ca="1">IFERROR(__xludf.DUMMYFUNCTION("""COMPUTED_VALUE"""),"Nguyễn Đình Nhật Huy ")</f>
        <v xml:space="preserve">Nguyễn Đình Nhật Huy </v>
      </c>
      <c r="J3518" s="3" t="str">
        <f ca="1">IFERROR(__xludf.DUMMYFUNCTION("""COMPUTED_VALUE"""),"0388294845")</f>
        <v>0388294845</v>
      </c>
      <c r="K3518" s="2" t="str">
        <f ca="1">IFERROR(__xludf.DUMMYFUNCTION("""COMPUTED_VALUE"""),"1737177783916")</f>
        <v>1737177783916</v>
      </c>
    </row>
    <row r="3519" spans="1:11" ht="12.45">
      <c r="A3519" s="2" t="str">
        <f ca="1">IFERROR(__xludf.DUMMYFUNCTION("""COMPUTED_VALUE"""),"1737177812672")</f>
        <v>1737177812672</v>
      </c>
      <c r="B3519" s="2"/>
      <c r="C3519" s="2" t="str">
        <v>0</v>
      </c>
      <c r="D3519" s="2"/>
      <c r="F3519" s="2" t="str">
        <v>0</v>
      </c>
      <c r="I3519" s="3" t="str">
        <f ca="1">IFERROR(__xludf.DUMMYFUNCTION("""COMPUTED_VALUE"""),"Vũ Yến Nhi ")</f>
        <v xml:space="preserve">Vũ Yến Nhi </v>
      </c>
      <c r="J3519" s="3" t="str">
        <f ca="1">IFERROR(__xludf.DUMMYFUNCTION("""COMPUTED_VALUE"""),"0868664861")</f>
        <v>0868664861</v>
      </c>
      <c r="K3519" s="2" t="str">
        <f ca="1">IFERROR(__xludf.DUMMYFUNCTION("""COMPUTED_VALUE"""),"1737177812672")</f>
        <v>1737177812672</v>
      </c>
    </row>
    <row r="3520" spans="1:11" ht="12.45">
      <c r="A3520" s="2" t="str">
        <f ca="1">IFERROR(__xludf.DUMMYFUNCTION("""COMPUTED_VALUE"""),"1737177846959")</f>
        <v>1737177846959</v>
      </c>
      <c r="B3520" s="2"/>
      <c r="C3520" s="2" t="str">
        <v>0</v>
      </c>
      <c r="D3520" s="2"/>
      <c r="F3520" s="2" t="str">
        <v>0</v>
      </c>
      <c r="I3520" s="3" t="str">
        <f ca="1">IFERROR(__xludf.DUMMYFUNCTION("""COMPUTED_VALUE"""),"Cao Phương Nhi")</f>
        <v>Cao Phương Nhi</v>
      </c>
      <c r="J3520" s="3" t="str">
        <f ca="1">IFERROR(__xludf.DUMMYFUNCTION("""COMPUTED_VALUE"""),"0335701233")</f>
        <v>0335701233</v>
      </c>
      <c r="K3520" s="2" t="str">
        <f ca="1">IFERROR(__xludf.DUMMYFUNCTION("""COMPUTED_VALUE"""),"1737177846959")</f>
        <v>1737177846959</v>
      </c>
    </row>
    <row r="3521" spans="1:11" ht="12.45">
      <c r="A3521" s="2" t="str">
        <f ca="1">IFERROR(__xludf.DUMMYFUNCTION("""COMPUTED_VALUE"""),"1737177890194")</f>
        <v>1737177890194</v>
      </c>
      <c r="B3521" s="2"/>
      <c r="C3521" s="2" t="str">
        <v>0</v>
      </c>
      <c r="D3521" s="2"/>
      <c r="F3521" s="2" t="str">
        <v>0</v>
      </c>
      <c r="I3521" s="3" t="str">
        <f ca="1">IFERROR(__xludf.DUMMYFUNCTION("""COMPUTED_VALUE"""),"Vũ Hải Cúc Phương ")</f>
        <v xml:space="preserve">Vũ Hải Cúc Phương </v>
      </c>
      <c r="J3521" s="3" t="str">
        <f ca="1">IFERROR(__xludf.DUMMYFUNCTION("""COMPUTED_VALUE"""),"0376077092")</f>
        <v>0376077092</v>
      </c>
      <c r="K3521" s="2" t="str">
        <f ca="1">IFERROR(__xludf.DUMMYFUNCTION("""COMPUTED_VALUE"""),"1737177890194")</f>
        <v>1737177890194</v>
      </c>
    </row>
    <row r="3522" spans="1:11" ht="12.45">
      <c r="A3522" s="2" t="str">
        <f ca="1">IFERROR(__xludf.DUMMYFUNCTION("""COMPUTED_VALUE"""),"1737177919604")</f>
        <v>1737177919604</v>
      </c>
      <c r="B3522" s="2"/>
      <c r="C3522" s="2" t="str">
        <v>0</v>
      </c>
      <c r="D3522" s="2"/>
      <c r="F3522" s="2" t="str">
        <v>0</v>
      </c>
      <c r="I3522" s="3" t="str">
        <f ca="1">IFERROR(__xludf.DUMMYFUNCTION("""COMPUTED_VALUE"""),"Lê Phạm Phúc Gia")</f>
        <v>Lê Phạm Phúc Gia</v>
      </c>
      <c r="J3522" s="3" t="str">
        <f ca="1">IFERROR(__xludf.DUMMYFUNCTION("""COMPUTED_VALUE"""),"0911245552")</f>
        <v>0911245552</v>
      </c>
      <c r="K3522" s="2" t="str">
        <f ca="1">IFERROR(__xludf.DUMMYFUNCTION("""COMPUTED_VALUE"""),"1737177919604")</f>
        <v>1737177919604</v>
      </c>
    </row>
    <row r="3523" spans="1:11" ht="12.45">
      <c r="A3523" s="2" t="str">
        <f ca="1">IFERROR(__xludf.DUMMYFUNCTION("""COMPUTED_VALUE"""),"1737177961064")</f>
        <v>1737177961064</v>
      </c>
      <c r="B3523" s="2"/>
      <c r="C3523" s="2" t="str">
        <v>0</v>
      </c>
      <c r="D3523" s="2"/>
      <c r="F3523" s="2" t="str">
        <v>0</v>
      </c>
      <c r="I3523" s="3" t="str">
        <f ca="1">IFERROR(__xludf.DUMMYFUNCTION("""COMPUTED_VALUE"""),"Trần Vân Anh")</f>
        <v>Trần Vân Anh</v>
      </c>
      <c r="J3523" s="3" t="str">
        <f ca="1">IFERROR(__xludf.DUMMYFUNCTION("""COMPUTED_VALUE"""),"0968197445")</f>
        <v>0968197445</v>
      </c>
      <c r="K3523" s="2" t="str">
        <f ca="1">IFERROR(__xludf.DUMMYFUNCTION("""COMPUTED_VALUE"""),"1737177961064")</f>
        <v>1737177961064</v>
      </c>
    </row>
    <row r="3524" spans="1:11" ht="12.45">
      <c r="A3524" s="2" t="str">
        <f ca="1">IFERROR(__xludf.DUMMYFUNCTION("""COMPUTED_VALUE"""),"1737177990752")</f>
        <v>1737177990752</v>
      </c>
      <c r="B3524" s="2"/>
      <c r="C3524" s="2" t="str">
        <v>0</v>
      </c>
      <c r="D3524" s="2"/>
      <c r="F3524" s="2" t="str">
        <v>0</v>
      </c>
      <c r="I3524" s="3" t="str">
        <f ca="1">IFERROR(__xludf.DUMMYFUNCTION("""COMPUTED_VALUE"""),"Nguyễn Anh Thư ")</f>
        <v xml:space="preserve">Nguyễn Anh Thư </v>
      </c>
      <c r="J3524" s="3" t="str">
        <f ca="1">IFERROR(__xludf.DUMMYFUNCTION("""COMPUTED_VALUE"""),"0769598119")</f>
        <v>0769598119</v>
      </c>
      <c r="K3524" s="2" t="str">
        <f ca="1">IFERROR(__xludf.DUMMYFUNCTION("""COMPUTED_VALUE"""),"1737177990752")</f>
        <v>1737177990752</v>
      </c>
    </row>
    <row r="3525" spans="1:11" ht="12.45">
      <c r="A3525" s="2" t="str">
        <f ca="1">IFERROR(__xludf.DUMMYFUNCTION("""COMPUTED_VALUE"""),"1737178027370")</f>
        <v>1737178027370</v>
      </c>
      <c r="B3525" s="2"/>
      <c r="C3525" s="2" t="str">
        <v>0</v>
      </c>
      <c r="D3525" s="2"/>
      <c r="F3525" s="2" t="str">
        <v>0</v>
      </c>
      <c r="I3525" s="3" t="str">
        <f ca="1">IFERROR(__xludf.DUMMYFUNCTION("""COMPUTED_VALUE"""),"Võ Thị Quỳnh Trang")</f>
        <v>Võ Thị Quỳnh Trang</v>
      </c>
      <c r="J3525" s="3" t="str">
        <f ca="1">IFERROR(__xludf.DUMMYFUNCTION("""COMPUTED_VALUE"""),"0396878767")</f>
        <v>0396878767</v>
      </c>
      <c r="K3525" s="2" t="str">
        <f ca="1">IFERROR(__xludf.DUMMYFUNCTION("""COMPUTED_VALUE"""),"1737178027370")</f>
        <v>1737178027370</v>
      </c>
    </row>
    <row r="3526" spans="1:11" ht="12.45">
      <c r="A3526" s="2" t="str">
        <f ca="1">IFERROR(__xludf.DUMMYFUNCTION("""COMPUTED_VALUE"""),"1737178069098")</f>
        <v>1737178069098</v>
      </c>
      <c r="B3526" s="2"/>
      <c r="C3526" s="2" t="str">
        <v>0</v>
      </c>
      <c r="D3526" s="2"/>
      <c r="F3526" s="2" t="str">
        <v>0</v>
      </c>
      <c r="I3526" s="3" t="str">
        <f ca="1">IFERROR(__xludf.DUMMYFUNCTION("""COMPUTED_VALUE"""),"Bùi Ngọc Anh")</f>
        <v>Bùi Ngọc Anh</v>
      </c>
      <c r="J3526" s="3" t="str">
        <f ca="1">IFERROR(__xludf.DUMMYFUNCTION("""COMPUTED_VALUE"""),"0862489856")</f>
        <v>0862489856</v>
      </c>
      <c r="K3526" s="2" t="str">
        <f ca="1">IFERROR(__xludf.DUMMYFUNCTION("""COMPUTED_VALUE"""),"1737178069098")</f>
        <v>1737178069098</v>
      </c>
    </row>
    <row r="3527" spans="1:11" ht="12.45">
      <c r="A3527" s="2" t="str">
        <f ca="1">IFERROR(__xludf.DUMMYFUNCTION("""COMPUTED_VALUE"""),"1737178102553")</f>
        <v>1737178102553</v>
      </c>
      <c r="B3527" s="2"/>
      <c r="C3527" s="2" t="str">
        <v>0</v>
      </c>
      <c r="D3527" s="2"/>
      <c r="F3527" s="2" t="str">
        <v>0</v>
      </c>
      <c r="I3527" s="3" t="str">
        <f ca="1">IFERROR(__xludf.DUMMYFUNCTION("""COMPUTED_VALUE"""),"Đỗ Thanh Lâm")</f>
        <v>Đỗ Thanh Lâm</v>
      </c>
      <c r="J3527" s="3" t="str">
        <f ca="1">IFERROR(__xludf.DUMMYFUNCTION("""COMPUTED_VALUE"""),"0975085373")</f>
        <v>0975085373</v>
      </c>
      <c r="K3527" s="2" t="str">
        <f ca="1">IFERROR(__xludf.DUMMYFUNCTION("""COMPUTED_VALUE"""),"1737178102553")</f>
        <v>1737178102553</v>
      </c>
    </row>
    <row r="3528" spans="1:11" ht="12.45">
      <c r="A3528" s="2" t="str">
        <f ca="1">IFERROR(__xludf.DUMMYFUNCTION("""COMPUTED_VALUE"""),"1737178128581")</f>
        <v>1737178128581</v>
      </c>
      <c r="B3528" s="2"/>
      <c r="C3528" s="2" t="str">
        <v>0</v>
      </c>
      <c r="D3528" s="2"/>
      <c r="F3528" s="2" t="str">
        <v>0</v>
      </c>
      <c r="I3528" s="3" t="str">
        <f ca="1">IFERROR(__xludf.DUMMYFUNCTION("""COMPUTED_VALUE"""),"Đào Diệu Diệu ")</f>
        <v xml:space="preserve">Đào Diệu Diệu </v>
      </c>
      <c r="J3528" s="3" t="str">
        <f ca="1">IFERROR(__xludf.DUMMYFUNCTION("""COMPUTED_VALUE"""),"0972595786")</f>
        <v>0972595786</v>
      </c>
      <c r="K3528" s="2" t="str">
        <f ca="1">IFERROR(__xludf.DUMMYFUNCTION("""COMPUTED_VALUE"""),"1737178128581")</f>
        <v>1737178128581</v>
      </c>
    </row>
    <row r="3529" spans="1:11" ht="12.45">
      <c r="A3529" s="2" t="str">
        <f ca="1">IFERROR(__xludf.DUMMYFUNCTION("""COMPUTED_VALUE"""),"1744768665968")</f>
        <v>1744768665968</v>
      </c>
      <c r="B3529" s="2"/>
      <c r="C3529" s="2" t="str">
        <v>0</v>
      </c>
      <c r="D3529" s="2"/>
      <c r="F3529" s="2" t="str">
        <v>0</v>
      </c>
      <c r="I3529" s="3" t="str">
        <f ca="1">IFERROR(__xludf.DUMMYFUNCTION("""COMPUTED_VALUE"""),"Trần Khánh Ly")</f>
        <v>Trần Khánh Ly</v>
      </c>
      <c r="J3529" s="3" t="str">
        <f ca="1">IFERROR(__xludf.DUMMYFUNCTION("""COMPUTED_VALUE"""),"0337681135")</f>
        <v>0337681135</v>
      </c>
      <c r="K3529" s="2" t="str">
        <f ca="1">IFERROR(__xludf.DUMMYFUNCTION("""COMPUTED_VALUE"""),"1744768665968")</f>
        <v>1744768665968</v>
      </c>
    </row>
    <row r="3530" spans="1:11" ht="12.45">
      <c r="A3530" s="2" t="str">
        <f ca="1">IFERROR(__xludf.DUMMYFUNCTION("""COMPUTED_VALUE"""),"1737178157620")</f>
        <v>1737178157620</v>
      </c>
      <c r="B3530" s="2"/>
      <c r="C3530" s="2" t="str">
        <v>0</v>
      </c>
      <c r="D3530" s="2"/>
      <c r="F3530" s="2" t="str">
        <v>0</v>
      </c>
      <c r="I3530" s="3" t="str">
        <f ca="1">IFERROR(__xludf.DUMMYFUNCTION("""COMPUTED_VALUE"""),"Đàm Thị Quỳnh Anh ")</f>
        <v xml:space="preserve">Đàm Thị Quỳnh Anh </v>
      </c>
      <c r="J3530" s="3" t="str">
        <f ca="1">IFERROR(__xludf.DUMMYFUNCTION("""COMPUTED_VALUE"""),"0384809301")</f>
        <v>0384809301</v>
      </c>
      <c r="K3530" s="2" t="str">
        <f ca="1">IFERROR(__xludf.DUMMYFUNCTION("""COMPUTED_VALUE"""),"1737178157620")</f>
        <v>1737178157620</v>
      </c>
    </row>
    <row r="3531" spans="1:11" ht="12.45">
      <c r="A3531" s="2" t="str">
        <f ca="1">IFERROR(__xludf.DUMMYFUNCTION("""COMPUTED_VALUE"""),"1737178185629")</f>
        <v>1737178185629</v>
      </c>
      <c r="B3531" s="2"/>
      <c r="C3531" s="2" t="str">
        <v>0</v>
      </c>
      <c r="D3531" s="2"/>
      <c r="F3531" s="2" t="str">
        <v>0</v>
      </c>
      <c r="I3531" s="3" t="str">
        <f ca="1">IFERROR(__xludf.DUMMYFUNCTION("""COMPUTED_VALUE"""),"Nguyễn Thị Thu Phương")</f>
        <v>Nguyễn Thị Thu Phương</v>
      </c>
      <c r="J3531" s="3" t="str">
        <f ca="1">IFERROR(__xludf.DUMMYFUNCTION("""COMPUTED_VALUE"""),"0964896959")</f>
        <v>0964896959</v>
      </c>
      <c r="K3531" s="2" t="str">
        <f ca="1">IFERROR(__xludf.DUMMYFUNCTION("""COMPUTED_VALUE"""),"1737178185629")</f>
        <v>1737178185629</v>
      </c>
    </row>
    <row r="3532" spans="1:11" ht="12.45">
      <c r="A3532" s="2" t="str">
        <f ca="1">IFERROR(__xludf.DUMMYFUNCTION("""COMPUTED_VALUE"""),"1737178215380")</f>
        <v>1737178215380</v>
      </c>
      <c r="B3532" s="2"/>
      <c r="C3532" s="2" t="str">
        <v>0</v>
      </c>
      <c r="D3532" s="2"/>
      <c r="F3532" s="2" t="str">
        <v>0</v>
      </c>
      <c r="I3532" s="3" t="str">
        <f ca="1">IFERROR(__xludf.DUMMYFUNCTION("""COMPUTED_VALUE"""),"Nguyễn Thuỳ Dương")</f>
        <v>Nguyễn Thuỳ Dương</v>
      </c>
      <c r="J3532" s="3" t="str">
        <f ca="1">IFERROR(__xludf.DUMMYFUNCTION("""COMPUTED_VALUE"""),"0356454775")</f>
        <v>0356454775</v>
      </c>
      <c r="K3532" s="2" t="str">
        <f ca="1">IFERROR(__xludf.DUMMYFUNCTION("""COMPUTED_VALUE"""),"1737178215380")</f>
        <v>1737178215380</v>
      </c>
    </row>
    <row r="3533" spans="1:11" ht="12.45">
      <c r="A3533" s="2" t="str">
        <f ca="1">IFERROR(__xludf.DUMMYFUNCTION("""COMPUTED_VALUE"""),"1737178252351")</f>
        <v>1737178252351</v>
      </c>
      <c r="B3533" s="2"/>
      <c r="C3533" s="2" t="str">
        <v>0</v>
      </c>
      <c r="D3533" s="2"/>
      <c r="F3533" s="2" t="str">
        <v>0</v>
      </c>
      <c r="I3533" s="3" t="str">
        <f ca="1">IFERROR(__xludf.DUMMYFUNCTION("""COMPUTED_VALUE"""),"Phùng Thị Thanh Thảo")</f>
        <v>Phùng Thị Thanh Thảo</v>
      </c>
      <c r="J3533" s="3" t="str">
        <f ca="1">IFERROR(__xludf.DUMMYFUNCTION("""COMPUTED_VALUE"""),"0348881014")</f>
        <v>0348881014</v>
      </c>
      <c r="K3533" s="2" t="str">
        <f ca="1">IFERROR(__xludf.DUMMYFUNCTION("""COMPUTED_VALUE"""),"1737178252351")</f>
        <v>1737178252351</v>
      </c>
    </row>
    <row r="3534" spans="1:11" ht="12.45">
      <c r="A3534" s="2" t="str">
        <f ca="1">IFERROR(__xludf.DUMMYFUNCTION("""COMPUTED_VALUE"""),"1737178296554")</f>
        <v>1737178296554</v>
      </c>
      <c r="B3534" s="2"/>
      <c r="C3534" s="2" t="str">
        <v>0</v>
      </c>
      <c r="D3534" s="2"/>
      <c r="F3534" s="2" t="str">
        <v>0</v>
      </c>
      <c r="I3534" s="3" t="str">
        <f ca="1">IFERROR(__xludf.DUMMYFUNCTION("""COMPUTED_VALUE"""),"Đặng khánh ly")</f>
        <v>Đặng khánh ly</v>
      </c>
      <c r="J3534" s="3" t="str">
        <f ca="1">IFERROR(__xludf.DUMMYFUNCTION("""COMPUTED_VALUE"""),"0393087936")</f>
        <v>0393087936</v>
      </c>
      <c r="K3534" s="2" t="str">
        <f ca="1">IFERROR(__xludf.DUMMYFUNCTION("""COMPUTED_VALUE"""),"1737178296554")</f>
        <v>1737178296554</v>
      </c>
    </row>
    <row r="3535" spans="1:11" ht="12.45">
      <c r="A3535" s="2" t="str">
        <f ca="1">IFERROR(__xludf.DUMMYFUNCTION("""COMPUTED_VALUE"""),"1737178323294")</f>
        <v>1737178323294</v>
      </c>
      <c r="B3535" s="2"/>
      <c r="C3535" s="2" t="str">
        <v>0</v>
      </c>
      <c r="D3535" s="2"/>
      <c r="F3535" s="2" t="str">
        <v>0</v>
      </c>
      <c r="I3535" s="3" t="str">
        <f ca="1">IFERROR(__xludf.DUMMYFUNCTION("""COMPUTED_VALUE"""),"Đinh Tâm Như")</f>
        <v>Đinh Tâm Như</v>
      </c>
      <c r="J3535" s="3" t="str">
        <f ca="1">IFERROR(__xludf.DUMMYFUNCTION("""COMPUTED_VALUE"""),"0865625107")</f>
        <v>0865625107</v>
      </c>
      <c r="K3535" s="2" t="str">
        <f ca="1">IFERROR(__xludf.DUMMYFUNCTION("""COMPUTED_VALUE"""),"1737178323294")</f>
        <v>1737178323294</v>
      </c>
    </row>
    <row r="3536" spans="1:11" ht="12.45">
      <c r="A3536" s="2" t="str">
        <f ca="1">IFERROR(__xludf.DUMMYFUNCTION("""COMPUTED_VALUE"""),"1737178355315")</f>
        <v>1737178355315</v>
      </c>
      <c r="B3536" s="2"/>
      <c r="C3536" s="2" t="str">
        <v>0</v>
      </c>
      <c r="D3536" s="2"/>
      <c r="F3536" s="2" t="str">
        <v>0</v>
      </c>
      <c r="I3536" s="3" t="str">
        <f ca="1">IFERROR(__xludf.DUMMYFUNCTION("""COMPUTED_VALUE"""),"Vương thế nhanh")</f>
        <v>Vương thế nhanh</v>
      </c>
      <c r="J3536" s="3" t="str">
        <f ca="1">IFERROR(__xludf.DUMMYFUNCTION("""COMPUTED_VALUE"""),"0385865131")</f>
        <v>0385865131</v>
      </c>
      <c r="K3536" s="2" t="str">
        <f ca="1">IFERROR(__xludf.DUMMYFUNCTION("""COMPUTED_VALUE"""),"1737178355315")</f>
        <v>1737178355315</v>
      </c>
    </row>
    <row r="3537" spans="1:11" ht="12.45">
      <c r="A3537" s="2" t="str">
        <f ca="1">IFERROR(__xludf.DUMMYFUNCTION("""COMPUTED_VALUE"""),"1737178385899")</f>
        <v>1737178385899</v>
      </c>
      <c r="B3537" s="2"/>
      <c r="C3537" s="2" t="str">
        <v>0</v>
      </c>
      <c r="D3537" s="2"/>
      <c r="F3537" s="2" t="str">
        <v>0</v>
      </c>
      <c r="I3537" s="3" t="str">
        <f ca="1">IFERROR(__xludf.DUMMYFUNCTION("""COMPUTED_VALUE"""),"Đỗ Phạm Ngọc Diệp")</f>
        <v>Đỗ Phạm Ngọc Diệp</v>
      </c>
      <c r="J3537" s="3" t="str">
        <f ca="1">IFERROR(__xludf.DUMMYFUNCTION("""COMPUTED_VALUE"""),"0941600289")</f>
        <v>0941600289</v>
      </c>
      <c r="K3537" s="2" t="str">
        <f ca="1">IFERROR(__xludf.DUMMYFUNCTION("""COMPUTED_VALUE"""),"1737178385899")</f>
        <v>1737178385899</v>
      </c>
    </row>
    <row r="3538" spans="1:11" ht="12.45">
      <c r="A3538" s="2" t="str">
        <f ca="1">IFERROR(__xludf.DUMMYFUNCTION("""COMPUTED_VALUE"""),"1737178422116")</f>
        <v>1737178422116</v>
      </c>
      <c r="B3538" s="2"/>
      <c r="C3538" s="2" t="str">
        <v>0</v>
      </c>
      <c r="D3538" s="2"/>
      <c r="F3538" s="2" t="str">
        <v>0</v>
      </c>
      <c r="I3538" s="3" t="str">
        <f ca="1">IFERROR(__xludf.DUMMYFUNCTION("""COMPUTED_VALUE"""),"Nguyễn Thanh Thảo")</f>
        <v>Nguyễn Thanh Thảo</v>
      </c>
      <c r="J3538" s="3" t="str">
        <f ca="1">IFERROR(__xludf.DUMMYFUNCTION("""COMPUTED_VALUE"""),"0338484320")</f>
        <v>0338484320</v>
      </c>
      <c r="K3538" s="2" t="str">
        <f ca="1">IFERROR(__xludf.DUMMYFUNCTION("""COMPUTED_VALUE"""),"1737178422116")</f>
        <v>1737178422116</v>
      </c>
    </row>
    <row r="3539" spans="1:11" ht="12.45">
      <c r="A3539" s="2" t="str">
        <f ca="1">IFERROR(__xludf.DUMMYFUNCTION("""COMPUTED_VALUE"""),"1737178456846")</f>
        <v>1737178456846</v>
      </c>
      <c r="B3539" s="2"/>
      <c r="C3539" s="2" t="str">
        <v>0</v>
      </c>
      <c r="D3539" s="2"/>
      <c r="F3539" s="2" t="str">
        <v>0</v>
      </c>
      <c r="I3539" s="3" t="str">
        <f ca="1">IFERROR(__xludf.DUMMYFUNCTION("""COMPUTED_VALUE"""),"Lê Thị Kim Huệ ")</f>
        <v xml:space="preserve">Lê Thị Kim Huệ </v>
      </c>
      <c r="J3539" s="3" t="str">
        <f ca="1">IFERROR(__xludf.DUMMYFUNCTION("""COMPUTED_VALUE"""),"0364001447")</f>
        <v>0364001447</v>
      </c>
      <c r="K3539" s="2" t="str">
        <f ca="1">IFERROR(__xludf.DUMMYFUNCTION("""COMPUTED_VALUE"""),"1737178456846")</f>
        <v>1737178456846</v>
      </c>
    </row>
    <row r="3540" spans="1:11" ht="12.45">
      <c r="A3540" s="2" t="str">
        <f ca="1">IFERROR(__xludf.DUMMYFUNCTION("""COMPUTED_VALUE"""),"1737178487654")</f>
        <v>1737178487654</v>
      </c>
      <c r="B3540" s="2"/>
      <c r="C3540" s="2" t="str">
        <v>0</v>
      </c>
      <c r="D3540" s="2"/>
      <c r="F3540" s="2" t="str">
        <v>0</v>
      </c>
      <c r="I3540" s="3" t="str">
        <f ca="1">IFERROR(__xludf.DUMMYFUNCTION("""COMPUTED_VALUE"""),"Nguyễn Bảo Vương")</f>
        <v>Nguyễn Bảo Vương</v>
      </c>
      <c r="J3540" s="3" t="str">
        <f ca="1">IFERROR(__xludf.DUMMYFUNCTION("""COMPUTED_VALUE"""),"0977548416")</f>
        <v>0977548416</v>
      </c>
      <c r="K3540" s="2" t="str">
        <f ca="1">IFERROR(__xludf.DUMMYFUNCTION("""COMPUTED_VALUE"""),"1737178487654")</f>
        <v>1737178487654</v>
      </c>
    </row>
    <row r="3541" spans="1:11" ht="12.45">
      <c r="A3541" s="2" t="str">
        <f ca="1">IFERROR(__xludf.DUMMYFUNCTION("""COMPUTED_VALUE"""),"1737178516202")</f>
        <v>1737178516202</v>
      </c>
      <c r="B3541" s="2"/>
      <c r="C3541" s="2" t="str">
        <v>0</v>
      </c>
      <c r="D3541" s="2"/>
      <c r="F3541" s="2" t="str">
        <v>0</v>
      </c>
      <c r="I3541" s="3" t="str">
        <f ca="1">IFERROR(__xludf.DUMMYFUNCTION("""COMPUTED_VALUE"""),"Đỗ Nguyễn Ngọc Diệp")</f>
        <v>Đỗ Nguyễn Ngọc Diệp</v>
      </c>
      <c r="J3541" s="3" t="str">
        <f ca="1">IFERROR(__xludf.DUMMYFUNCTION("""COMPUTED_VALUE"""),"0981573439")</f>
        <v>0981573439</v>
      </c>
      <c r="K3541" s="2" t="str">
        <f ca="1">IFERROR(__xludf.DUMMYFUNCTION("""COMPUTED_VALUE"""),"1737178516202")</f>
        <v>1737178516202</v>
      </c>
    </row>
    <row r="3542" spans="1:11" ht="12.45">
      <c r="A3542" s="2" t="str">
        <f ca="1">IFERROR(__xludf.DUMMYFUNCTION("""COMPUTED_VALUE"""),"1737178547591")</f>
        <v>1737178547591</v>
      </c>
      <c r="B3542" s="2"/>
      <c r="C3542" s="2" t="str">
        <v>0</v>
      </c>
      <c r="D3542" s="2"/>
      <c r="F3542" s="2" t="str">
        <v>0</v>
      </c>
      <c r="I3542" s="3" t="str">
        <f ca="1">IFERROR(__xludf.DUMMYFUNCTION("""COMPUTED_VALUE"""),"Trần Ngọc Quế Như")</f>
        <v>Trần Ngọc Quế Như</v>
      </c>
      <c r="J3542" s="3" t="str">
        <f ca="1">IFERROR(__xludf.DUMMYFUNCTION("""COMPUTED_VALUE"""),"0912909144")</f>
        <v>0912909144</v>
      </c>
      <c r="K3542" s="2" t="str">
        <f ca="1">IFERROR(__xludf.DUMMYFUNCTION("""COMPUTED_VALUE"""),"1737178547591")</f>
        <v>1737178547591</v>
      </c>
    </row>
    <row r="3543" spans="1:11" ht="12.45">
      <c r="A3543" s="2" t="str">
        <f ca="1">IFERROR(__xludf.DUMMYFUNCTION("""COMPUTED_VALUE"""),"1737178587292")</f>
        <v>1737178587292</v>
      </c>
      <c r="B3543" s="2"/>
      <c r="C3543" s="2" t="str">
        <v>0</v>
      </c>
      <c r="D3543" s="2"/>
      <c r="F3543" s="2" t="str">
        <v>0</v>
      </c>
      <c r="I3543" s="3" t="str">
        <f ca="1">IFERROR(__xludf.DUMMYFUNCTION("""COMPUTED_VALUE"""),"Lê Hoàng Thương")</f>
        <v>Lê Hoàng Thương</v>
      </c>
      <c r="J3543" s="3" t="str">
        <f ca="1">IFERROR(__xludf.DUMMYFUNCTION("""COMPUTED_VALUE"""),"0337400642")</f>
        <v>0337400642</v>
      </c>
      <c r="K3543" s="2" t="str">
        <f ca="1">IFERROR(__xludf.DUMMYFUNCTION("""COMPUTED_VALUE"""),"1737178587292")</f>
        <v>1737178587292</v>
      </c>
    </row>
    <row r="3544" spans="1:11" ht="12.45">
      <c r="A3544" s="2" t="str">
        <f ca="1">IFERROR(__xludf.DUMMYFUNCTION("""COMPUTED_VALUE"""),"1737178627759")</f>
        <v>1737178627759</v>
      </c>
      <c r="B3544" s="2"/>
      <c r="C3544" s="2" t="str">
        <v>0</v>
      </c>
      <c r="D3544" s="2"/>
      <c r="F3544" s="2" t="str">
        <v>0</v>
      </c>
      <c r="I3544" s="3" t="str">
        <f ca="1">IFERROR(__xludf.DUMMYFUNCTION("""COMPUTED_VALUE"""),"Hùynh lê ngọc minh")</f>
        <v>Hùynh lê ngọc minh</v>
      </c>
      <c r="J3544" s="3" t="str">
        <f ca="1">IFERROR(__xludf.DUMMYFUNCTION("""COMPUTED_VALUE"""),"0374443859")</f>
        <v>0374443859</v>
      </c>
      <c r="K3544" s="2" t="str">
        <f ca="1">IFERROR(__xludf.DUMMYFUNCTION("""COMPUTED_VALUE"""),"1737178627759")</f>
        <v>1737178627759</v>
      </c>
    </row>
    <row r="3545" spans="1:11" ht="12.45">
      <c r="A3545" s="2" t="str">
        <f ca="1">IFERROR(__xludf.DUMMYFUNCTION("""COMPUTED_VALUE"""),"1737178657896")</f>
        <v>1737178657896</v>
      </c>
      <c r="B3545" s="2"/>
      <c r="C3545" s="2" t="str">
        <v>0</v>
      </c>
      <c r="D3545" s="2"/>
      <c r="F3545" s="2" t="str">
        <v>0</v>
      </c>
      <c r="I3545" s="3" t="str">
        <f ca="1">IFERROR(__xludf.DUMMYFUNCTION("""COMPUTED_VALUE"""),"Lương Thanh Vy")</f>
        <v>Lương Thanh Vy</v>
      </c>
      <c r="J3545" s="3" t="str">
        <f ca="1">IFERROR(__xludf.DUMMYFUNCTION("""COMPUTED_VALUE"""),"0387329930")</f>
        <v>0387329930</v>
      </c>
      <c r="K3545" s="2" t="str">
        <f ca="1">IFERROR(__xludf.DUMMYFUNCTION("""COMPUTED_VALUE"""),"1737178657896")</f>
        <v>1737178657896</v>
      </c>
    </row>
    <row r="3546" spans="1:11" ht="12.45">
      <c r="A3546" s="2" t="str">
        <f ca="1">IFERROR(__xludf.DUMMYFUNCTION("""COMPUTED_VALUE"""),"1737178693825")</f>
        <v>1737178693825</v>
      </c>
      <c r="B3546" s="2"/>
      <c r="C3546" s="2" t="str">
        <v>0</v>
      </c>
      <c r="D3546" s="2"/>
      <c r="F3546" s="2" t="str">
        <v>0</v>
      </c>
      <c r="I3546" s="3" t="str">
        <f ca="1">IFERROR(__xludf.DUMMYFUNCTION("""COMPUTED_VALUE"""),"Đỗ Thị Khánh Linh ")</f>
        <v xml:space="preserve">Đỗ Thị Khánh Linh </v>
      </c>
      <c r="J3546" s="3" t="str">
        <f ca="1">IFERROR(__xludf.DUMMYFUNCTION("""COMPUTED_VALUE"""),"0763040757")</f>
        <v>0763040757</v>
      </c>
      <c r="K3546" s="2" t="str">
        <f ca="1">IFERROR(__xludf.DUMMYFUNCTION("""COMPUTED_VALUE"""),"1737178693825")</f>
        <v>1737178693825</v>
      </c>
    </row>
    <row r="3547" spans="1:11" ht="12.45">
      <c r="A3547" s="2" t="str">
        <f ca="1">IFERROR(__xludf.DUMMYFUNCTION("""COMPUTED_VALUE"""),"1737178734535")</f>
        <v>1737178734535</v>
      </c>
      <c r="B3547" s="2"/>
      <c r="C3547" s="2" t="str">
        <v>0</v>
      </c>
      <c r="D3547" s="2"/>
      <c r="F3547" s="2" t="str">
        <v>0</v>
      </c>
      <c r="I3547" s="3" t="str">
        <f ca="1">IFERROR(__xludf.DUMMYFUNCTION("""COMPUTED_VALUE"""),"Nguyễn Phương Thuỳ")</f>
        <v>Nguyễn Phương Thuỳ</v>
      </c>
      <c r="J3547" s="3" t="str">
        <f ca="1">IFERROR(__xludf.DUMMYFUNCTION("""COMPUTED_VALUE"""),"0979927479")</f>
        <v>0979927479</v>
      </c>
      <c r="K3547" s="2" t="str">
        <f ca="1">IFERROR(__xludf.DUMMYFUNCTION("""COMPUTED_VALUE"""),"1737178734535")</f>
        <v>1737178734535</v>
      </c>
    </row>
    <row r="3548" spans="1:11" ht="12.45">
      <c r="A3548" s="2" t="str">
        <f ca="1">IFERROR(__xludf.DUMMYFUNCTION("""COMPUTED_VALUE"""),"1737178773385")</f>
        <v>1737178773385</v>
      </c>
      <c r="B3548" s="2"/>
      <c r="C3548" s="2" t="str">
        <v>0</v>
      </c>
      <c r="D3548" s="2"/>
      <c r="F3548" s="2" t="str">
        <v>0</v>
      </c>
      <c r="I3548" s="3" t="str">
        <f ca="1">IFERROR(__xludf.DUMMYFUNCTION("""COMPUTED_VALUE"""),"Lê Nguyên Khang ")</f>
        <v xml:space="preserve">Lê Nguyên Khang </v>
      </c>
      <c r="J3548" s="3" t="str">
        <f ca="1">IFERROR(__xludf.DUMMYFUNCTION("""COMPUTED_VALUE"""),"0969862563")</f>
        <v>0969862563</v>
      </c>
      <c r="K3548" s="2" t="str">
        <f ca="1">IFERROR(__xludf.DUMMYFUNCTION("""COMPUTED_VALUE"""),"1737178773385")</f>
        <v>1737178773385</v>
      </c>
    </row>
    <row r="3549" spans="1:11" ht="12.45">
      <c r="A3549" s="2" t="str">
        <f ca="1">IFERROR(__xludf.DUMMYFUNCTION("""COMPUTED_VALUE"""),"1737178810148")</f>
        <v>1737178810148</v>
      </c>
      <c r="B3549" s="2"/>
      <c r="C3549" s="2" t="str">
        <v>0</v>
      </c>
      <c r="D3549" s="2"/>
      <c r="F3549" s="2" t="str">
        <v>0</v>
      </c>
      <c r="I3549" s="3" t="str">
        <f ca="1">IFERROR(__xludf.DUMMYFUNCTION("""COMPUTED_VALUE"""),"Nguyễn Thị Ngọc Diễm ")</f>
        <v xml:space="preserve">Nguyễn Thị Ngọc Diễm </v>
      </c>
      <c r="J3549" s="3" t="str">
        <f ca="1">IFERROR(__xludf.DUMMYFUNCTION("""COMPUTED_VALUE"""),"0913208629")</f>
        <v>0913208629</v>
      </c>
      <c r="K3549" s="2" t="str">
        <f ca="1">IFERROR(__xludf.DUMMYFUNCTION("""COMPUTED_VALUE"""),"1737178810148")</f>
        <v>1737178810148</v>
      </c>
    </row>
    <row r="3550" spans="1:11" ht="12.45">
      <c r="A3550" s="2" t="str">
        <f ca="1">IFERROR(__xludf.DUMMYFUNCTION("""COMPUTED_VALUE"""),"1737178843855")</f>
        <v>1737178843855</v>
      </c>
      <c r="B3550" s="2"/>
      <c r="C3550" s="2" t="str">
        <v>0</v>
      </c>
      <c r="D3550" s="2"/>
      <c r="F3550" s="2" t="str">
        <v>0</v>
      </c>
      <c r="I3550" s="3" t="str">
        <f ca="1">IFERROR(__xludf.DUMMYFUNCTION("""COMPUTED_VALUE"""),"Nguyễn Thị Kim Ngân")</f>
        <v>Nguyễn Thị Kim Ngân</v>
      </c>
      <c r="J3550" s="3" t="str">
        <f ca="1">IFERROR(__xludf.DUMMYFUNCTION("""COMPUTED_VALUE"""),"0799207172")</f>
        <v>0799207172</v>
      </c>
      <c r="K3550" s="2" t="str">
        <f ca="1">IFERROR(__xludf.DUMMYFUNCTION("""COMPUTED_VALUE"""),"1737178843855")</f>
        <v>1737178843855</v>
      </c>
    </row>
    <row r="3551" spans="1:11" ht="12.45">
      <c r="A3551" s="2" t="str">
        <f ca="1">IFERROR(__xludf.DUMMYFUNCTION("""COMPUTED_VALUE"""),"1737178888751")</f>
        <v>1737178888751</v>
      </c>
      <c r="B3551" s="2"/>
      <c r="C3551" s="2" t="str">
        <v>0</v>
      </c>
      <c r="D3551" s="2"/>
      <c r="F3551" s="2" t="str">
        <v>0</v>
      </c>
      <c r="I3551" s="3" t="str">
        <f ca="1">IFERROR(__xludf.DUMMYFUNCTION("""COMPUTED_VALUE"""),"Trần Phúc Thịnh")</f>
        <v>Trần Phúc Thịnh</v>
      </c>
      <c r="J3551" s="3" t="str">
        <f ca="1">IFERROR(__xludf.DUMMYFUNCTION("""COMPUTED_VALUE"""),"0963469786")</f>
        <v>0963469786</v>
      </c>
      <c r="K3551" s="2" t="str">
        <f ca="1">IFERROR(__xludf.DUMMYFUNCTION("""COMPUTED_VALUE"""),"1737178888751")</f>
        <v>1737178888751</v>
      </c>
    </row>
    <row r="3552" spans="1:11" ht="12.45">
      <c r="A3552" s="2" t="str">
        <f ca="1">IFERROR(__xludf.DUMMYFUNCTION("""COMPUTED_VALUE"""),"1737178936589")</f>
        <v>1737178936589</v>
      </c>
      <c r="B3552" s="2"/>
      <c r="C3552" s="2" t="str">
        <v>0</v>
      </c>
      <c r="D3552" s="2"/>
      <c r="F3552" s="2" t="str">
        <v>0</v>
      </c>
      <c r="I3552" s="3" t="str">
        <f ca="1">IFERROR(__xludf.DUMMYFUNCTION("""COMPUTED_VALUE"""),"Chu Thị Kim Oanh")</f>
        <v>Chu Thị Kim Oanh</v>
      </c>
      <c r="J3552" s="3" t="str">
        <f ca="1">IFERROR(__xludf.DUMMYFUNCTION("""COMPUTED_VALUE"""),"0837028810")</f>
        <v>0837028810</v>
      </c>
      <c r="K3552" s="2" t="str">
        <f ca="1">IFERROR(__xludf.DUMMYFUNCTION("""COMPUTED_VALUE"""),"1737178936589")</f>
        <v>1737178936589</v>
      </c>
    </row>
    <row r="3553" spans="1:11" ht="12.45">
      <c r="A3553" s="2" t="str">
        <f ca="1">IFERROR(__xludf.DUMMYFUNCTION("""COMPUTED_VALUE"""),"1737178969685")</f>
        <v>1737178969685</v>
      </c>
      <c r="B3553" s="2"/>
      <c r="C3553" s="2" t="str">
        <v>0</v>
      </c>
      <c r="D3553" s="2"/>
      <c r="F3553" s="2" t="str">
        <v>0</v>
      </c>
      <c r="I3553" s="3" t="str">
        <f ca="1">IFERROR(__xludf.DUMMYFUNCTION("""COMPUTED_VALUE"""),"Hứa Bảo Linh ")</f>
        <v xml:space="preserve">Hứa Bảo Linh </v>
      </c>
      <c r="J3553" s="3" t="str">
        <f ca="1">IFERROR(__xludf.DUMMYFUNCTION("""COMPUTED_VALUE"""),"0347576926")</f>
        <v>0347576926</v>
      </c>
      <c r="K3553" s="2" t="str">
        <f ca="1">IFERROR(__xludf.DUMMYFUNCTION("""COMPUTED_VALUE"""),"1737178969685")</f>
        <v>1737178969685</v>
      </c>
    </row>
    <row r="3554" spans="1:11" ht="12.45">
      <c r="A3554" s="2" t="str">
        <f ca="1">IFERROR(__xludf.DUMMYFUNCTION("""COMPUTED_VALUE"""),"1737178998319")</f>
        <v>1737178998319</v>
      </c>
      <c r="B3554" s="2"/>
      <c r="C3554" s="2" t="str">
        <v>0</v>
      </c>
      <c r="D3554" s="2"/>
      <c r="F3554" s="2" t="str">
        <v>0</v>
      </c>
      <c r="I3554" s="3" t="str">
        <f ca="1">IFERROR(__xludf.DUMMYFUNCTION("""COMPUTED_VALUE"""),"Lê Phương Anh ")</f>
        <v xml:space="preserve">Lê Phương Anh </v>
      </c>
      <c r="J3554" s="3" t="str">
        <f ca="1">IFERROR(__xludf.DUMMYFUNCTION("""COMPUTED_VALUE"""),"0965932826")</f>
        <v>0965932826</v>
      </c>
      <c r="K3554" s="2" t="str">
        <f ca="1">IFERROR(__xludf.DUMMYFUNCTION("""COMPUTED_VALUE"""),"1737178998319")</f>
        <v>1737178998319</v>
      </c>
    </row>
    <row r="3555" spans="1:11" ht="12.45">
      <c r="A3555" s="2" t="str">
        <f ca="1">IFERROR(__xludf.DUMMYFUNCTION("""COMPUTED_VALUE"""),"1744768699683")</f>
        <v>1744768699683</v>
      </c>
      <c r="B3555" s="2"/>
      <c r="C3555" s="2" t="str">
        <v>0</v>
      </c>
      <c r="D3555" s="2"/>
      <c r="F3555" s="2" t="str">
        <v>0</v>
      </c>
      <c r="I3555" s="3" t="str">
        <f ca="1">IFERROR(__xludf.DUMMYFUNCTION("""COMPUTED_VALUE"""),"Nguyễn Thuý Hằng")</f>
        <v>Nguyễn Thuý Hằng</v>
      </c>
      <c r="J3555" s="3" t="str">
        <f ca="1">IFERROR(__xludf.DUMMYFUNCTION("""COMPUTED_VALUE"""),"0904414338")</f>
        <v>0904414338</v>
      </c>
      <c r="K3555" s="2" t="str">
        <f ca="1">IFERROR(__xludf.DUMMYFUNCTION("""COMPUTED_VALUE"""),"1744768699683")</f>
        <v>1744768699683</v>
      </c>
    </row>
    <row r="3556" spans="1:11" ht="12.45">
      <c r="A3556" s="2" t="str">
        <f ca="1">IFERROR(__xludf.DUMMYFUNCTION("""COMPUTED_VALUE"""),"1737179079498")</f>
        <v>1737179079498</v>
      </c>
      <c r="B3556" s="2"/>
      <c r="C3556" s="2" t="str">
        <v>0</v>
      </c>
      <c r="D3556" s="2"/>
      <c r="F3556" s="2" t="str">
        <v>0</v>
      </c>
      <c r="I3556" s="3" t="str">
        <f ca="1">IFERROR(__xludf.DUMMYFUNCTION("""COMPUTED_VALUE"""),"Nguyễn Trần Thủy Tiên")</f>
        <v>Nguyễn Trần Thủy Tiên</v>
      </c>
      <c r="J3556" s="3" t="str">
        <f ca="1">IFERROR(__xludf.DUMMYFUNCTION("""COMPUTED_VALUE"""),"0918694405")</f>
        <v>0918694405</v>
      </c>
      <c r="K3556" s="2" t="str">
        <f ca="1">IFERROR(__xludf.DUMMYFUNCTION("""COMPUTED_VALUE"""),"1737179079498")</f>
        <v>1737179079498</v>
      </c>
    </row>
    <row r="3557" spans="1:11" ht="12.45">
      <c r="A3557" s="2" t="str">
        <f ca="1">IFERROR(__xludf.DUMMYFUNCTION("""COMPUTED_VALUE"""),"1737179121903")</f>
        <v>1737179121903</v>
      </c>
      <c r="B3557" s="2"/>
      <c r="C3557" s="2" t="str">
        <v>0</v>
      </c>
      <c r="D3557" s="2"/>
      <c r="F3557" s="2" t="str">
        <v>0</v>
      </c>
      <c r="I3557" s="3" t="str">
        <f ca="1">IFERROR(__xludf.DUMMYFUNCTION("""COMPUTED_VALUE"""),"Phan Thị Nhung Huyền")</f>
        <v>Phan Thị Nhung Huyền</v>
      </c>
      <c r="J3557" s="3" t="str">
        <f ca="1">IFERROR(__xludf.DUMMYFUNCTION("""COMPUTED_VALUE"""),"0329498039")</f>
        <v>0329498039</v>
      </c>
      <c r="K3557" s="2" t="str">
        <f ca="1">IFERROR(__xludf.DUMMYFUNCTION("""COMPUTED_VALUE"""),"1737179121903")</f>
        <v>1737179121903</v>
      </c>
    </row>
    <row r="3558" spans="1:11" ht="12.45">
      <c r="A3558" s="2" t="str">
        <f ca="1">IFERROR(__xludf.DUMMYFUNCTION("""COMPUTED_VALUE"""),"1737179149465")</f>
        <v>1737179149465</v>
      </c>
      <c r="B3558" s="2"/>
      <c r="C3558" s="2" t="str">
        <v>0</v>
      </c>
      <c r="D3558" s="2"/>
      <c r="F3558" s="2" t="str">
        <v>0</v>
      </c>
      <c r="I3558" s="3" t="str">
        <f ca="1">IFERROR(__xludf.DUMMYFUNCTION("""COMPUTED_VALUE"""),"Chu Minh Hiếu")</f>
        <v>Chu Minh Hiếu</v>
      </c>
      <c r="J3558" s="3" t="str">
        <f ca="1">IFERROR(__xludf.DUMMYFUNCTION("""COMPUTED_VALUE"""),"0326823986")</f>
        <v>0326823986</v>
      </c>
      <c r="K3558" s="2" t="str">
        <f ca="1">IFERROR(__xludf.DUMMYFUNCTION("""COMPUTED_VALUE"""),"1737179149465")</f>
        <v>1737179149465</v>
      </c>
    </row>
    <row r="3559" spans="1:11" ht="12.45">
      <c r="A3559" s="2" t="str">
        <f ca="1">IFERROR(__xludf.DUMMYFUNCTION("""COMPUTED_VALUE"""),"1737179175098")</f>
        <v>1737179175098</v>
      </c>
      <c r="B3559" s="2"/>
      <c r="C3559" s="2" t="str">
        <v>0</v>
      </c>
      <c r="D3559" s="2"/>
      <c r="F3559" s="2" t="str">
        <v>0</v>
      </c>
      <c r="I3559" s="3" t="str">
        <f ca="1">IFERROR(__xludf.DUMMYFUNCTION("""COMPUTED_VALUE"""),"Nguyễn Hải Anh ")</f>
        <v xml:space="preserve">Nguyễn Hải Anh </v>
      </c>
      <c r="J3559" s="3" t="str">
        <f ca="1">IFERROR(__xludf.DUMMYFUNCTION("""COMPUTED_VALUE"""),"0902159799")</f>
        <v>0902159799</v>
      </c>
      <c r="K3559" s="2" t="str">
        <f ca="1">IFERROR(__xludf.DUMMYFUNCTION("""COMPUTED_VALUE"""),"1737179175098")</f>
        <v>1737179175098</v>
      </c>
    </row>
    <row r="3560" spans="1:11" ht="12.45">
      <c r="A3560" s="2" t="str">
        <f ca="1">IFERROR(__xludf.DUMMYFUNCTION("""COMPUTED_VALUE"""),"1737179209186")</f>
        <v>1737179209186</v>
      </c>
      <c r="B3560" s="2"/>
      <c r="C3560" s="2" t="str">
        <v>0</v>
      </c>
      <c r="D3560" s="2"/>
      <c r="F3560" s="2" t="str">
        <v>0</v>
      </c>
      <c r="I3560" s="3" t="str">
        <f ca="1">IFERROR(__xludf.DUMMYFUNCTION("""COMPUTED_VALUE"""),"vũ thị tuyết mai")</f>
        <v>vũ thị tuyết mai</v>
      </c>
      <c r="J3560" s="3" t="str">
        <f ca="1">IFERROR(__xludf.DUMMYFUNCTION("""COMPUTED_VALUE"""),"0344521077")</f>
        <v>0344521077</v>
      </c>
      <c r="K3560" s="2" t="str">
        <f ca="1">IFERROR(__xludf.DUMMYFUNCTION("""COMPUTED_VALUE"""),"1737179209186")</f>
        <v>1737179209186</v>
      </c>
    </row>
    <row r="3561" spans="1:11" ht="12.45">
      <c r="A3561" s="2" t="str">
        <f ca="1">IFERROR(__xludf.DUMMYFUNCTION("""COMPUTED_VALUE"""),"1737179254600")</f>
        <v>1737179254600</v>
      </c>
      <c r="B3561" s="2"/>
      <c r="C3561" s="2" t="str">
        <v>0</v>
      </c>
      <c r="D3561" s="2"/>
      <c r="F3561" s="2" t="str">
        <v>0</v>
      </c>
      <c r="I3561" s="3" t="str">
        <f ca="1">IFERROR(__xludf.DUMMYFUNCTION("""COMPUTED_VALUE"""),"Quách Ngọc Khả Vy")</f>
        <v>Quách Ngọc Khả Vy</v>
      </c>
      <c r="J3561" s="3" t="str">
        <f ca="1">IFERROR(__xludf.DUMMYFUNCTION("""COMPUTED_VALUE"""),"0914636802")</f>
        <v>0914636802</v>
      </c>
      <c r="K3561" s="2" t="str">
        <f ca="1">IFERROR(__xludf.DUMMYFUNCTION("""COMPUTED_VALUE"""),"1737179254600")</f>
        <v>1737179254600</v>
      </c>
    </row>
    <row r="3562" spans="1:11" ht="12.45">
      <c r="A3562" s="2" t="str">
        <f ca="1">IFERROR(__xludf.DUMMYFUNCTION("""COMPUTED_VALUE"""),"1737179285181")</f>
        <v>1737179285181</v>
      </c>
      <c r="B3562" s="2"/>
      <c r="C3562" s="2" t="str">
        <v>0</v>
      </c>
      <c r="D3562" s="2"/>
      <c r="F3562" s="2" t="str">
        <v>0</v>
      </c>
      <c r="I3562" s="3" t="str">
        <f ca="1">IFERROR(__xludf.DUMMYFUNCTION("""COMPUTED_VALUE"""),"Trần Phi Hùng")</f>
        <v>Trần Phi Hùng</v>
      </c>
      <c r="J3562" s="3" t="str">
        <f ca="1">IFERROR(__xludf.DUMMYFUNCTION("""COMPUTED_VALUE"""),"0369773464")</f>
        <v>0369773464</v>
      </c>
      <c r="K3562" s="2" t="str">
        <f ca="1">IFERROR(__xludf.DUMMYFUNCTION("""COMPUTED_VALUE"""),"1737179285181")</f>
        <v>1737179285181</v>
      </c>
    </row>
    <row r="3563" spans="1:11" ht="12.45">
      <c r="A3563" s="2" t="str">
        <f ca="1">IFERROR(__xludf.DUMMYFUNCTION("""COMPUTED_VALUE"""),"1737179321194")</f>
        <v>1737179321194</v>
      </c>
      <c r="B3563" s="2"/>
      <c r="C3563" s="2" t="str">
        <v>0</v>
      </c>
      <c r="D3563" s="2"/>
      <c r="F3563" s="2" t="str">
        <v>0</v>
      </c>
      <c r="I3563" s="3" t="str">
        <f ca="1">IFERROR(__xludf.DUMMYFUNCTION("""COMPUTED_VALUE"""),"Huỳnh Thị Yến Linh")</f>
        <v>Huỳnh Thị Yến Linh</v>
      </c>
      <c r="J3563" s="3" t="str">
        <f ca="1">IFERROR(__xludf.DUMMYFUNCTION("""COMPUTED_VALUE"""),"0914490730")</f>
        <v>0914490730</v>
      </c>
      <c r="K3563" s="2" t="str">
        <f ca="1">IFERROR(__xludf.DUMMYFUNCTION("""COMPUTED_VALUE"""),"1737179321194")</f>
        <v>1737179321194</v>
      </c>
    </row>
    <row r="3564" spans="1:11" ht="12.45">
      <c r="A3564" s="2" t="str">
        <f ca="1">IFERROR(__xludf.DUMMYFUNCTION("""COMPUTED_VALUE"""),"1737179352618")</f>
        <v>1737179352618</v>
      </c>
      <c r="B3564" s="2"/>
      <c r="C3564" s="2" t="str">
        <v>0</v>
      </c>
      <c r="D3564" s="2"/>
      <c r="F3564" s="2" t="str">
        <v>0</v>
      </c>
      <c r="I3564" s="3" t="str">
        <f ca="1">IFERROR(__xludf.DUMMYFUNCTION("""COMPUTED_VALUE"""),"Đỗ Nguyễn Hà Vy")</f>
        <v>Đỗ Nguyễn Hà Vy</v>
      </c>
      <c r="J3564" s="3" t="str">
        <f ca="1">IFERROR(__xludf.DUMMYFUNCTION("""COMPUTED_VALUE"""),"0945512818")</f>
        <v>0945512818</v>
      </c>
      <c r="K3564" s="2" t="str">
        <f ca="1">IFERROR(__xludf.DUMMYFUNCTION("""COMPUTED_VALUE"""),"1737179352618")</f>
        <v>1737179352618</v>
      </c>
    </row>
    <row r="3565" spans="1:11" ht="12.45">
      <c r="A3565" s="2" t="str">
        <f ca="1">IFERROR(__xludf.DUMMYFUNCTION("""COMPUTED_VALUE"""),"1737179392189")</f>
        <v>1737179392189</v>
      </c>
      <c r="B3565" s="2"/>
      <c r="C3565" s="2" t="str">
        <v>0</v>
      </c>
      <c r="D3565" s="2"/>
      <c r="F3565" s="2" t="str">
        <v>0</v>
      </c>
      <c r="I3565" s="3" t="str">
        <f ca="1">IFERROR(__xludf.DUMMYFUNCTION("""COMPUTED_VALUE"""),"Lê quang hưng")</f>
        <v>Lê quang hưng</v>
      </c>
      <c r="J3565" s="3" t="str">
        <f ca="1">IFERROR(__xludf.DUMMYFUNCTION("""COMPUTED_VALUE"""),"0823579135")</f>
        <v>0823579135</v>
      </c>
      <c r="K3565" s="2" t="str">
        <f ca="1">IFERROR(__xludf.DUMMYFUNCTION("""COMPUTED_VALUE"""),"1737179392189")</f>
        <v>1737179392189</v>
      </c>
    </row>
    <row r="3566" spans="1:11" ht="12.45">
      <c r="A3566" s="2" t="str">
        <f ca="1">IFERROR(__xludf.DUMMYFUNCTION("""COMPUTED_VALUE"""),"1737179432891")</f>
        <v>1737179432891</v>
      </c>
      <c r="B3566" s="2"/>
      <c r="C3566" s="2" t="str">
        <v>0</v>
      </c>
      <c r="D3566" s="2"/>
      <c r="F3566" s="2" t="str">
        <v>0</v>
      </c>
      <c r="I3566" s="3" t="str">
        <f ca="1">IFERROR(__xludf.DUMMYFUNCTION("""COMPUTED_VALUE"""),"Trần Thị Thảo Vân")</f>
        <v>Trần Thị Thảo Vân</v>
      </c>
      <c r="J3566" s="3" t="str">
        <f ca="1">IFERROR(__xludf.DUMMYFUNCTION("""COMPUTED_VALUE"""),"0945488082")</f>
        <v>0945488082</v>
      </c>
      <c r="K3566" s="2" t="str">
        <f ca="1">IFERROR(__xludf.DUMMYFUNCTION("""COMPUTED_VALUE"""),"1737179432891")</f>
        <v>1737179432891</v>
      </c>
    </row>
    <row r="3567" spans="1:11" ht="12.45">
      <c r="A3567" s="2" t="str">
        <f ca="1">IFERROR(__xludf.DUMMYFUNCTION("""COMPUTED_VALUE"""),"1737179485251")</f>
        <v>1737179485251</v>
      </c>
      <c r="B3567" s="2"/>
      <c r="C3567" s="2" t="str">
        <v>0</v>
      </c>
      <c r="D3567" s="2"/>
      <c r="F3567" s="2" t="str">
        <v>0</v>
      </c>
      <c r="I3567" s="3" t="str">
        <f ca="1">IFERROR(__xludf.DUMMYFUNCTION("""COMPUTED_VALUE"""),"Võ Văn Kiên")</f>
        <v>Võ Văn Kiên</v>
      </c>
      <c r="J3567" s="3" t="str">
        <f ca="1">IFERROR(__xludf.DUMMYFUNCTION("""COMPUTED_VALUE"""),"0867140105")</f>
        <v>0867140105</v>
      </c>
      <c r="K3567" s="2" t="str">
        <f ca="1">IFERROR(__xludf.DUMMYFUNCTION("""COMPUTED_VALUE"""),"1737179485251")</f>
        <v>1737179485251</v>
      </c>
    </row>
    <row r="3568" spans="1:11" ht="12.45">
      <c r="A3568" s="2" t="str">
        <f ca="1">IFERROR(__xludf.DUMMYFUNCTION("""COMPUTED_VALUE"""),"1737179526764")</f>
        <v>1737179526764</v>
      </c>
      <c r="B3568" s="2"/>
      <c r="C3568" s="2" t="str">
        <v>0</v>
      </c>
      <c r="D3568" s="2"/>
      <c r="F3568" s="2" t="str">
        <v>0</v>
      </c>
      <c r="I3568" s="3" t="str">
        <f ca="1">IFERROR(__xludf.DUMMYFUNCTION("""COMPUTED_VALUE"""),"Trương Thị Phương Mai")</f>
        <v>Trương Thị Phương Mai</v>
      </c>
      <c r="J3568" s="3" t="str">
        <f ca="1">IFERROR(__xludf.DUMMYFUNCTION("""COMPUTED_VALUE"""),"0383391916")</f>
        <v>0383391916</v>
      </c>
      <c r="K3568" s="2" t="str">
        <f ca="1">IFERROR(__xludf.DUMMYFUNCTION("""COMPUTED_VALUE"""),"1737179526764")</f>
        <v>1737179526764</v>
      </c>
    </row>
    <row r="3569" spans="1:11" ht="12.45">
      <c r="A3569" s="2" t="str">
        <f ca="1">IFERROR(__xludf.DUMMYFUNCTION("""COMPUTED_VALUE"""),"1737179567666")</f>
        <v>1737179567666</v>
      </c>
      <c r="B3569" s="2"/>
      <c r="C3569" s="2" t="str">
        <v>0</v>
      </c>
      <c r="D3569" s="2"/>
      <c r="F3569" s="2" t="str">
        <v>0</v>
      </c>
      <c r="I3569" s="3" t="str">
        <f ca="1">IFERROR(__xludf.DUMMYFUNCTION("""COMPUTED_VALUE"""),"Trần Thảo Nguyên")</f>
        <v>Trần Thảo Nguyên</v>
      </c>
      <c r="J3569" s="3" t="str">
        <f ca="1">IFERROR(__xludf.DUMMYFUNCTION("""COMPUTED_VALUE"""),"0355125313")</f>
        <v>0355125313</v>
      </c>
      <c r="K3569" s="2" t="str">
        <f ca="1">IFERROR(__xludf.DUMMYFUNCTION("""COMPUTED_VALUE"""),"1737179567666")</f>
        <v>1737179567666</v>
      </c>
    </row>
    <row r="3570" spans="1:11" ht="12.45">
      <c r="A3570" s="2" t="str">
        <f ca="1">IFERROR(__xludf.DUMMYFUNCTION("""COMPUTED_VALUE"""),"1737179601104")</f>
        <v>1737179601104</v>
      </c>
      <c r="B3570" s="2"/>
      <c r="C3570" s="2" t="str">
        <v>0</v>
      </c>
      <c r="D3570" s="2"/>
      <c r="F3570" s="2" t="str">
        <v>0</v>
      </c>
      <c r="I3570" s="3" t="str">
        <f ca="1">IFERROR(__xludf.DUMMYFUNCTION("""COMPUTED_VALUE"""),"Lăng Khánh Huyền")</f>
        <v>Lăng Khánh Huyền</v>
      </c>
      <c r="J3570" s="3" t="str">
        <f ca="1">IFERROR(__xludf.DUMMYFUNCTION("""COMPUTED_VALUE"""),"0815629656")</f>
        <v>0815629656</v>
      </c>
      <c r="K3570" s="2" t="str">
        <f ca="1">IFERROR(__xludf.DUMMYFUNCTION("""COMPUTED_VALUE"""),"1737179601104")</f>
        <v>1737179601104</v>
      </c>
    </row>
    <row r="3571" spans="1:11" ht="12.45">
      <c r="A3571" s="2" t="str">
        <f ca="1">IFERROR(__xludf.DUMMYFUNCTION("""COMPUTED_VALUE"""),"1737179633714")</f>
        <v>1737179633714</v>
      </c>
      <c r="B3571" s="2"/>
      <c r="C3571" s="2" t="str">
        <v>0</v>
      </c>
      <c r="D3571" s="2"/>
      <c r="F3571" s="2" t="str">
        <v>0</v>
      </c>
      <c r="I3571" s="3" t="str">
        <f ca="1">IFERROR(__xludf.DUMMYFUNCTION("""COMPUTED_VALUE"""),"Đào Nhật Nam")</f>
        <v>Đào Nhật Nam</v>
      </c>
      <c r="J3571" s="3" t="str">
        <f ca="1">IFERROR(__xludf.DUMMYFUNCTION("""COMPUTED_VALUE"""),"0788383863")</f>
        <v>0788383863</v>
      </c>
      <c r="K3571" s="2" t="str">
        <f ca="1">IFERROR(__xludf.DUMMYFUNCTION("""COMPUTED_VALUE"""),"1737179633714")</f>
        <v>1737179633714</v>
      </c>
    </row>
    <row r="3572" spans="1:11" ht="12.45">
      <c r="A3572" s="2" t="str">
        <f ca="1">IFERROR(__xludf.DUMMYFUNCTION("""COMPUTED_VALUE"""),"1737179663762")</f>
        <v>1737179663762</v>
      </c>
      <c r="B3572" s="2"/>
      <c r="C3572" s="2" t="str">
        <v>0</v>
      </c>
      <c r="D3572" s="2"/>
      <c r="F3572" s="2" t="str">
        <v>0</v>
      </c>
      <c r="I3572" s="3" t="str">
        <f ca="1">IFERROR(__xludf.DUMMYFUNCTION("""COMPUTED_VALUE"""),"Vũ Thái Hà ")</f>
        <v xml:space="preserve">Vũ Thái Hà </v>
      </c>
      <c r="J3572" s="3" t="str">
        <f ca="1">IFERROR(__xludf.DUMMYFUNCTION("""COMPUTED_VALUE"""),"0368861822")</f>
        <v>0368861822</v>
      </c>
      <c r="K3572" s="2" t="str">
        <f ca="1">IFERROR(__xludf.DUMMYFUNCTION("""COMPUTED_VALUE"""),"1737179663762")</f>
        <v>1737179663762</v>
      </c>
    </row>
    <row r="3573" spans="1:11" ht="12.45">
      <c r="A3573" s="2" t="str">
        <f ca="1">IFERROR(__xludf.DUMMYFUNCTION("""COMPUTED_VALUE"""),"1737179700621")</f>
        <v>1737179700621</v>
      </c>
      <c r="B3573" s="2"/>
      <c r="C3573" s="2" t="str">
        <v>0</v>
      </c>
      <c r="D3573" s="2"/>
      <c r="F3573" s="2" t="str">
        <v>0</v>
      </c>
      <c r="I3573" s="3" t="str">
        <f ca="1">IFERROR(__xludf.DUMMYFUNCTION("""COMPUTED_VALUE"""),"Nguyễn Thị Thùy Linh ")</f>
        <v xml:space="preserve">Nguyễn Thị Thùy Linh </v>
      </c>
      <c r="J3573" s="3" t="str">
        <f ca="1">IFERROR(__xludf.DUMMYFUNCTION("""COMPUTED_VALUE"""),"0971367238")</f>
        <v>0971367238</v>
      </c>
      <c r="K3573" s="2" t="str">
        <f ca="1">IFERROR(__xludf.DUMMYFUNCTION("""COMPUTED_VALUE"""),"1737179700621")</f>
        <v>1737179700621</v>
      </c>
    </row>
    <row r="3574" spans="1:11" ht="12.45">
      <c r="A3574" s="2" t="str">
        <f ca="1">IFERROR(__xludf.DUMMYFUNCTION("""COMPUTED_VALUE"""),"1737179740124")</f>
        <v>1737179740124</v>
      </c>
      <c r="B3574" s="2"/>
      <c r="C3574" s="2" t="str">
        <v>0</v>
      </c>
      <c r="D3574" s="2"/>
      <c r="F3574" s="2" t="str">
        <v>0</v>
      </c>
      <c r="I3574" s="3" t="str">
        <f ca="1">IFERROR(__xludf.DUMMYFUNCTION("""COMPUTED_VALUE"""),"Tăng Thị Thảo Vân ")</f>
        <v xml:space="preserve">Tăng Thị Thảo Vân </v>
      </c>
      <c r="J3574" s="3" t="str">
        <f ca="1">IFERROR(__xludf.DUMMYFUNCTION("""COMPUTED_VALUE"""),"0899142483")</f>
        <v>0899142483</v>
      </c>
      <c r="K3574" s="2" t="str">
        <f ca="1">IFERROR(__xludf.DUMMYFUNCTION("""COMPUTED_VALUE"""),"1737179740124")</f>
        <v>1737179740124</v>
      </c>
    </row>
    <row r="3575" spans="1:11" ht="12.45">
      <c r="A3575" s="2" t="str">
        <f ca="1">IFERROR(__xludf.DUMMYFUNCTION("""COMPUTED_VALUE"""),"1737179773606")</f>
        <v>1737179773606</v>
      </c>
      <c r="B3575" s="2"/>
      <c r="C3575" s="2" t="str">
        <v>0</v>
      </c>
      <c r="D3575" s="2"/>
      <c r="F3575" s="2" t="str">
        <v>0</v>
      </c>
      <c r="I3575" s="3" t="str">
        <f ca="1">IFERROR(__xludf.DUMMYFUNCTION("""COMPUTED_VALUE"""),"Lê Nguyễn Tây Nguyên")</f>
        <v>Lê Nguyễn Tây Nguyên</v>
      </c>
      <c r="J3575" s="3" t="str">
        <f ca="1">IFERROR(__xludf.DUMMYFUNCTION("""COMPUTED_VALUE"""),"0706645999")</f>
        <v>0706645999</v>
      </c>
      <c r="K3575" s="2" t="str">
        <f ca="1">IFERROR(__xludf.DUMMYFUNCTION("""COMPUTED_VALUE"""),"1737179773606")</f>
        <v>1737179773606</v>
      </c>
    </row>
    <row r="3576" spans="1:11" ht="12.45">
      <c r="A3576" s="2" t="str">
        <f ca="1">IFERROR(__xludf.DUMMYFUNCTION("""COMPUTED_VALUE"""),"1737179809838")</f>
        <v>1737179809838</v>
      </c>
      <c r="B3576" s="2"/>
      <c r="C3576" s="2" t="str">
        <v>0</v>
      </c>
      <c r="D3576" s="2"/>
      <c r="F3576" s="2" t="str">
        <v>0</v>
      </c>
      <c r="I3576" s="3" t="str">
        <f ca="1">IFERROR(__xludf.DUMMYFUNCTION("""COMPUTED_VALUE"""),"Trần Nguyễn Bảo Ngọc")</f>
        <v>Trần Nguyễn Bảo Ngọc</v>
      </c>
      <c r="J3576" s="3" t="str">
        <f ca="1">IFERROR(__xludf.DUMMYFUNCTION("""COMPUTED_VALUE"""),"0364511676")</f>
        <v>0364511676</v>
      </c>
      <c r="K3576" s="2" t="str">
        <f ca="1">IFERROR(__xludf.DUMMYFUNCTION("""COMPUTED_VALUE"""),"1737179809838")</f>
        <v>1737179809838</v>
      </c>
    </row>
    <row r="3577" spans="1:11" ht="12.45">
      <c r="A3577" s="2" t="str">
        <f ca="1">IFERROR(__xludf.DUMMYFUNCTION("""COMPUTED_VALUE"""),"1737179836679")</f>
        <v>1737179836679</v>
      </c>
      <c r="B3577" s="2"/>
      <c r="C3577" s="2" t="str">
        <v>0</v>
      </c>
      <c r="D3577" s="2"/>
      <c r="F3577" s="2" t="str">
        <v>0</v>
      </c>
      <c r="I3577" s="3" t="str">
        <f ca="1">IFERROR(__xludf.DUMMYFUNCTION("""COMPUTED_VALUE"""),"VŨ BẢO THY")</f>
        <v>VŨ BẢO THY</v>
      </c>
      <c r="J3577" s="3" t="str">
        <f ca="1">IFERROR(__xludf.DUMMYFUNCTION("""COMPUTED_VALUE"""),"0938421207")</f>
        <v>0938421207</v>
      </c>
      <c r="K3577" s="2" t="str">
        <f ca="1">IFERROR(__xludf.DUMMYFUNCTION("""COMPUTED_VALUE"""),"1737179836679")</f>
        <v>1737179836679</v>
      </c>
    </row>
    <row r="3578" spans="1:11" ht="12.45">
      <c r="A3578" s="2" t="str">
        <f ca="1">IFERROR(__xludf.DUMMYFUNCTION("""COMPUTED_VALUE"""),"1737179869170")</f>
        <v>1737179869170</v>
      </c>
      <c r="B3578" s="2"/>
      <c r="C3578" s="2" t="str">
        <v>0</v>
      </c>
      <c r="D3578" s="2"/>
      <c r="F3578" s="2" t="str">
        <v>0</v>
      </c>
      <c r="I3578" s="3" t="str">
        <f ca="1">IFERROR(__xludf.DUMMYFUNCTION("""COMPUTED_VALUE"""),"Nguyễn Duy Khang")</f>
        <v>Nguyễn Duy Khang</v>
      </c>
      <c r="J3578" s="3" t="str">
        <f ca="1">IFERROR(__xludf.DUMMYFUNCTION("""COMPUTED_VALUE"""),"0399913748")</f>
        <v>0399913748</v>
      </c>
      <c r="K3578" s="2" t="str">
        <f ca="1">IFERROR(__xludf.DUMMYFUNCTION("""COMPUTED_VALUE"""),"1737179869170")</f>
        <v>1737179869170</v>
      </c>
    </row>
    <row r="3579" spans="1:11" ht="12.45">
      <c r="A3579" s="2" t="str">
        <f ca="1">IFERROR(__xludf.DUMMYFUNCTION("""COMPUTED_VALUE"""),"1737179908670")</f>
        <v>1737179908670</v>
      </c>
      <c r="B3579" s="2"/>
      <c r="C3579" s="2" t="str">
        <v>0</v>
      </c>
      <c r="D3579" s="2"/>
      <c r="F3579" s="2" t="str">
        <v>0</v>
      </c>
      <c r="I3579" s="3" t="str">
        <f ca="1">IFERROR(__xludf.DUMMYFUNCTION("""COMPUTED_VALUE"""),"Võ trần vân anh")</f>
        <v>Võ trần vân anh</v>
      </c>
      <c r="J3579" s="3" t="str">
        <f ca="1">IFERROR(__xludf.DUMMYFUNCTION("""COMPUTED_VALUE"""),"0947826007")</f>
        <v>0947826007</v>
      </c>
      <c r="K3579" s="2" t="str">
        <f ca="1">IFERROR(__xludf.DUMMYFUNCTION("""COMPUTED_VALUE"""),"1737179908670")</f>
        <v>1737179908670</v>
      </c>
    </row>
    <row r="3580" spans="1:11" ht="12.45">
      <c r="A3580" s="2" t="str">
        <f ca="1">IFERROR(__xludf.DUMMYFUNCTION("""COMPUTED_VALUE"""),"1737179943423")</f>
        <v>1737179943423</v>
      </c>
      <c r="B3580" s="2"/>
      <c r="C3580" s="2" t="str">
        <v>0</v>
      </c>
      <c r="D3580" s="2"/>
      <c r="F3580" s="2" t="str">
        <v>0</v>
      </c>
      <c r="I3580" s="3" t="str">
        <f ca="1">IFERROR(__xludf.DUMMYFUNCTION("""COMPUTED_VALUE"""),"Phạm Hồ Quỳnh Phương")</f>
        <v>Phạm Hồ Quỳnh Phương</v>
      </c>
      <c r="J3580" s="3" t="str">
        <f ca="1">IFERROR(__xludf.DUMMYFUNCTION("""COMPUTED_VALUE"""),"0901174847")</f>
        <v>0901174847</v>
      </c>
      <c r="K3580" s="2" t="str">
        <f ca="1">IFERROR(__xludf.DUMMYFUNCTION("""COMPUTED_VALUE"""),"1737179943423")</f>
        <v>1737179943423</v>
      </c>
    </row>
    <row r="3581" spans="1:11" ht="12.45">
      <c r="A3581" s="2" t="str">
        <f ca="1">IFERROR(__xludf.DUMMYFUNCTION("""COMPUTED_VALUE"""),"1737179976264")</f>
        <v>1737179976264</v>
      </c>
      <c r="B3581" s="2"/>
      <c r="C3581" s="2" t="str">
        <v>0</v>
      </c>
      <c r="D3581" s="2"/>
      <c r="F3581" s="2" t="str">
        <v>0</v>
      </c>
      <c r="I3581" s="3" t="str">
        <f ca="1">IFERROR(__xludf.DUMMYFUNCTION("""COMPUTED_VALUE"""),"Quách Nguyễn Diễm Ngọc")</f>
        <v>Quách Nguyễn Diễm Ngọc</v>
      </c>
      <c r="J3581" s="3" t="str">
        <f ca="1">IFERROR(__xludf.DUMMYFUNCTION("""COMPUTED_VALUE"""),"0396060013")</f>
        <v>0396060013</v>
      </c>
      <c r="K3581" s="2" t="str">
        <f ca="1">IFERROR(__xludf.DUMMYFUNCTION("""COMPUTED_VALUE"""),"1737179976264")</f>
        <v>1737179976264</v>
      </c>
    </row>
    <row r="3582" spans="1:11" ht="12.45">
      <c r="A3582" s="2" t="str">
        <f ca="1">IFERROR(__xludf.DUMMYFUNCTION("""COMPUTED_VALUE"""),"1737180011132")</f>
        <v>1737180011132</v>
      </c>
      <c r="B3582" s="2"/>
      <c r="C3582" s="2" t="str">
        <v>0</v>
      </c>
      <c r="D3582" s="2"/>
      <c r="F3582" s="2" t="str">
        <v>0</v>
      </c>
      <c r="I3582" s="3" t="str">
        <f ca="1">IFERROR(__xludf.DUMMYFUNCTION("""COMPUTED_VALUE"""),"Phan lê chi")</f>
        <v>Phan lê chi</v>
      </c>
      <c r="J3582" s="3" t="str">
        <f ca="1">IFERROR(__xludf.DUMMYFUNCTION("""COMPUTED_VALUE"""),"0935713660")</f>
        <v>0935713660</v>
      </c>
      <c r="K3582" s="2" t="str">
        <f ca="1">IFERROR(__xludf.DUMMYFUNCTION("""COMPUTED_VALUE"""),"1737180011132")</f>
        <v>1737180011132</v>
      </c>
    </row>
    <row r="3583" spans="1:11" ht="12.45">
      <c r="A3583" s="2" t="str">
        <f ca="1">IFERROR(__xludf.DUMMYFUNCTION("""COMPUTED_VALUE"""),"1737179045709")</f>
        <v>1737179045709</v>
      </c>
      <c r="B3583" s="2"/>
      <c r="C3583" s="2" t="str">
        <v>0</v>
      </c>
      <c r="D3583" s="2"/>
      <c r="F3583" s="2" t="str">
        <v>0</v>
      </c>
      <c r="I3583" s="3" t="str">
        <f ca="1">IFERROR(__xludf.DUMMYFUNCTION("""COMPUTED_VALUE"""),"Hoàng Vĩnh Long ")</f>
        <v xml:space="preserve">Hoàng Vĩnh Long </v>
      </c>
      <c r="J3583" s="3" t="str">
        <f ca="1">IFERROR(__xludf.DUMMYFUNCTION("""COMPUTED_VALUE"""),"0879899239")</f>
        <v>0879899239</v>
      </c>
      <c r="K3583" s="2" t="str">
        <f ca="1">IFERROR(__xludf.DUMMYFUNCTION("""COMPUTED_VALUE"""),"1737179045709")</f>
        <v>1737179045709</v>
      </c>
    </row>
    <row r="3584" spans="1:11" ht="12.45">
      <c r="A3584" s="2" t="str">
        <f ca="1">IFERROR(__xludf.DUMMYFUNCTION("""COMPUTED_VALUE"""),"1737631637541")</f>
        <v>1737631637541</v>
      </c>
      <c r="B3584" s="2"/>
      <c r="C3584" s="2" t="str">
        <v>0</v>
      </c>
      <c r="D3584" s="2"/>
      <c r="F3584" s="2" t="str">
        <v>0</v>
      </c>
      <c r="I3584" s="3" t="str">
        <f ca="1">IFERROR(__xludf.DUMMYFUNCTION("""COMPUTED_VALUE"""),"ĐÀM PHƯƠNG LINH")</f>
        <v>ĐÀM PHƯƠNG LINH</v>
      </c>
      <c r="J3584" s="3" t="str">
        <f ca="1">IFERROR(__xludf.DUMMYFUNCTION("""COMPUTED_VALUE"""),"0368868604")</f>
        <v>0368868604</v>
      </c>
      <c r="K3584" s="2" t="str">
        <f ca="1">IFERROR(__xludf.DUMMYFUNCTION("""COMPUTED_VALUE"""),"1737631637541")</f>
        <v>1737631637541</v>
      </c>
    </row>
    <row r="3585" spans="1:11" ht="12.45">
      <c r="A3585" s="2" t="str">
        <f ca="1">IFERROR(__xludf.DUMMYFUNCTION("""COMPUTED_VALUE"""),"1737631672647")</f>
        <v>1737631672647</v>
      </c>
      <c r="B3585" s="2"/>
      <c r="C3585" s="2" t="str">
        <v>0</v>
      </c>
      <c r="D3585" s="2"/>
      <c r="F3585" s="2" t="str">
        <v>0</v>
      </c>
      <c r="I3585" s="3" t="str">
        <f ca="1">IFERROR(__xludf.DUMMYFUNCTION("""COMPUTED_VALUE"""),"Vi Ái Nghi")</f>
        <v>Vi Ái Nghi</v>
      </c>
      <c r="J3585" s="3" t="str">
        <f ca="1">IFERROR(__xludf.DUMMYFUNCTION("""COMPUTED_VALUE"""),"0815523047")</f>
        <v>0815523047</v>
      </c>
      <c r="K3585" s="2" t="str">
        <f ca="1">IFERROR(__xludf.DUMMYFUNCTION("""COMPUTED_VALUE"""),"1737631672647")</f>
        <v>1737631672647</v>
      </c>
    </row>
    <row r="3586" spans="1:11" ht="12.45">
      <c r="A3586" s="2" t="str">
        <f ca="1">IFERROR(__xludf.DUMMYFUNCTION("""COMPUTED_VALUE"""),"1737631707229")</f>
        <v>1737631707229</v>
      </c>
      <c r="B3586" s="2"/>
      <c r="C3586" s="2" t="str">
        <v>0</v>
      </c>
      <c r="D3586" s="2"/>
      <c r="F3586" s="2" t="str">
        <v>0</v>
      </c>
      <c r="I3586" s="3" t="str">
        <f ca="1">IFERROR(__xludf.DUMMYFUNCTION("""COMPUTED_VALUE"""),"Vy Mai Phương")</f>
        <v>Vy Mai Phương</v>
      </c>
      <c r="J3586" s="3" t="str">
        <f ca="1">IFERROR(__xludf.DUMMYFUNCTION("""COMPUTED_VALUE"""),"0365922302")</f>
        <v>0365922302</v>
      </c>
      <c r="K3586" s="2" t="str">
        <f ca="1">IFERROR(__xludf.DUMMYFUNCTION("""COMPUTED_VALUE"""),"1737631707229")</f>
        <v>1737631707229</v>
      </c>
    </row>
    <row r="3587" spans="1:11" ht="12.45">
      <c r="A3587" s="2" t="str">
        <f ca="1">IFERROR(__xludf.DUMMYFUNCTION("""COMPUTED_VALUE"""),"1737631738391")</f>
        <v>1737631738391</v>
      </c>
      <c r="B3587" s="2"/>
      <c r="C3587" s="2" t="str">
        <v>0</v>
      </c>
      <c r="D3587" s="2"/>
      <c r="F3587" s="2" t="str">
        <v>0</v>
      </c>
      <c r="I3587" s="3" t="str">
        <f ca="1">IFERROR(__xludf.DUMMYFUNCTION("""COMPUTED_VALUE"""),"Nguyễn Duy Anh")</f>
        <v>Nguyễn Duy Anh</v>
      </c>
      <c r="J3587" s="3" t="str">
        <f ca="1">IFERROR(__xludf.DUMMYFUNCTION("""COMPUTED_VALUE"""),"0357557135")</f>
        <v>0357557135</v>
      </c>
      <c r="K3587" s="2" t="str">
        <f ca="1">IFERROR(__xludf.DUMMYFUNCTION("""COMPUTED_VALUE"""),"1737631738391")</f>
        <v>1737631738391</v>
      </c>
    </row>
    <row r="3588" spans="1:11" ht="12.45">
      <c r="A3588" s="2" t="str">
        <f ca="1">IFERROR(__xludf.DUMMYFUNCTION("""COMPUTED_VALUE"""),"1737631763195")</f>
        <v>1737631763195</v>
      </c>
      <c r="B3588" s="2"/>
      <c r="C3588" s="2" t="str">
        <v>0</v>
      </c>
      <c r="D3588" s="2"/>
      <c r="F3588" s="2" t="str">
        <v>0</v>
      </c>
      <c r="I3588" s="3" t="str">
        <f ca="1">IFERROR(__xludf.DUMMYFUNCTION("""COMPUTED_VALUE"""),"Vũ Bảo Nhi")</f>
        <v>Vũ Bảo Nhi</v>
      </c>
      <c r="J3588" s="3" t="str">
        <f ca="1">IFERROR(__xludf.DUMMYFUNCTION("""COMPUTED_VALUE"""),"0356068127")</f>
        <v>0356068127</v>
      </c>
      <c r="K3588" s="2" t="str">
        <f ca="1">IFERROR(__xludf.DUMMYFUNCTION("""COMPUTED_VALUE"""),"1737631763195")</f>
        <v>1737631763195</v>
      </c>
    </row>
    <row r="3589" spans="1:11" ht="12.45">
      <c r="A3589" s="2" t="str">
        <f ca="1">IFERROR(__xludf.DUMMYFUNCTION("""COMPUTED_VALUE"""),"1737631795976")</f>
        <v>1737631795976</v>
      </c>
      <c r="B3589" s="2"/>
      <c r="C3589" s="2" t="str">
        <v>0</v>
      </c>
      <c r="D3589" s="2"/>
      <c r="F3589" s="2" t="str">
        <v>0</v>
      </c>
      <c r="I3589" s="3" t="str">
        <f ca="1">IFERROR(__xludf.DUMMYFUNCTION("""COMPUTED_VALUE"""),"Nguyễn Hoài Thương")</f>
        <v>Nguyễn Hoài Thương</v>
      </c>
      <c r="J3589" s="3" t="str">
        <f ca="1">IFERROR(__xludf.DUMMYFUNCTION("""COMPUTED_VALUE"""),"0886631939")</f>
        <v>0886631939</v>
      </c>
      <c r="K3589" s="2" t="str">
        <f ca="1">IFERROR(__xludf.DUMMYFUNCTION("""COMPUTED_VALUE"""),"1737631795976")</f>
        <v>1737631795976</v>
      </c>
    </row>
    <row r="3590" spans="1:11" ht="12.45">
      <c r="A3590" s="2" t="str">
        <f ca="1">IFERROR(__xludf.DUMMYFUNCTION("""COMPUTED_VALUE"""),"1737631824242")</f>
        <v>1737631824242</v>
      </c>
      <c r="B3590" s="2"/>
      <c r="C3590" s="2" t="str">
        <v>0</v>
      </c>
      <c r="D3590" s="2"/>
      <c r="F3590" s="2" t="str">
        <v>0</v>
      </c>
      <c r="I3590" s="3" t="str">
        <f ca="1">IFERROR(__xludf.DUMMYFUNCTION("""COMPUTED_VALUE"""),"Đặng Thị Anh Thư")</f>
        <v>Đặng Thị Anh Thư</v>
      </c>
      <c r="J3590" s="3" t="str">
        <f ca="1">IFERROR(__xludf.DUMMYFUNCTION("""COMPUTED_VALUE"""),"0347896452")</f>
        <v>0347896452</v>
      </c>
      <c r="K3590" s="2" t="str">
        <f ca="1">IFERROR(__xludf.DUMMYFUNCTION("""COMPUTED_VALUE"""),"1737631824242")</f>
        <v>1737631824242</v>
      </c>
    </row>
    <row r="3591" spans="1:11" ht="12.45">
      <c r="A3591" s="2" t="str">
        <f ca="1">IFERROR(__xludf.DUMMYFUNCTION("""COMPUTED_VALUE"""),"1737631852904")</f>
        <v>1737631852904</v>
      </c>
      <c r="B3591" s="2"/>
      <c r="C3591" s="2" t="str">
        <v>0</v>
      </c>
      <c r="D3591" s="2"/>
      <c r="F3591" s="2" t="str">
        <v>0</v>
      </c>
      <c r="I3591" s="3" t="str">
        <f ca="1">IFERROR(__xludf.DUMMYFUNCTION("""COMPUTED_VALUE"""),"Dương Nguyệt Anh ")</f>
        <v xml:space="preserve">Dương Nguyệt Anh </v>
      </c>
      <c r="J3591" s="3" t="str">
        <f ca="1">IFERROR(__xludf.DUMMYFUNCTION("""COMPUTED_VALUE"""),"0383084525")</f>
        <v>0383084525</v>
      </c>
      <c r="K3591" s="2" t="str">
        <f ca="1">IFERROR(__xludf.DUMMYFUNCTION("""COMPUTED_VALUE"""),"1737631852904")</f>
        <v>1737631852904</v>
      </c>
    </row>
    <row r="3592" spans="1:11" ht="12.45">
      <c r="A3592" s="2" t="str">
        <f ca="1">IFERROR(__xludf.DUMMYFUNCTION("""COMPUTED_VALUE"""),"1737631884880")</f>
        <v>1737631884880</v>
      </c>
      <c r="B3592" s="2"/>
      <c r="C3592" s="2" t="str">
        <v>0</v>
      </c>
      <c r="D3592" s="2"/>
      <c r="F3592" s="2" t="str">
        <v>0</v>
      </c>
      <c r="I3592" s="3" t="str">
        <f ca="1">IFERROR(__xludf.DUMMYFUNCTION("""COMPUTED_VALUE"""),"Biện Như Huỳnh")</f>
        <v>Biện Như Huỳnh</v>
      </c>
      <c r="J3592" s="3" t="str">
        <f ca="1">IFERROR(__xludf.DUMMYFUNCTION("""COMPUTED_VALUE"""),"0357966091")</f>
        <v>0357966091</v>
      </c>
      <c r="K3592" s="2" t="str">
        <f ca="1">IFERROR(__xludf.DUMMYFUNCTION("""COMPUTED_VALUE"""),"1737631884880")</f>
        <v>1737631884880</v>
      </c>
    </row>
    <row r="3593" spans="1:11" ht="12.45">
      <c r="A3593" s="2" t="str">
        <f ca="1">IFERROR(__xludf.DUMMYFUNCTION("""COMPUTED_VALUE"""),"1737631925107")</f>
        <v>1737631925107</v>
      </c>
      <c r="B3593" s="2"/>
      <c r="C3593" s="2" t="str">
        <v>0</v>
      </c>
      <c r="D3593" s="2"/>
      <c r="F3593" s="2" t="str">
        <v>0</v>
      </c>
      <c r="I3593" s="3" t="str">
        <f ca="1">IFERROR(__xludf.DUMMYFUNCTION("""COMPUTED_VALUE"""),"Nhuyễn Thị Quỳnh Như")</f>
        <v>Nhuyễn Thị Quỳnh Như</v>
      </c>
      <c r="J3593" s="3" t="str">
        <f ca="1">IFERROR(__xludf.DUMMYFUNCTION("""COMPUTED_VALUE"""),"0395204430")</f>
        <v>0395204430</v>
      </c>
      <c r="K3593" s="2" t="str">
        <f ca="1">IFERROR(__xludf.DUMMYFUNCTION("""COMPUTED_VALUE"""),"1737631925107")</f>
        <v>1737631925107</v>
      </c>
    </row>
    <row r="3594" spans="1:11" ht="12.45">
      <c r="A3594" s="2" t="str">
        <f ca="1">IFERROR(__xludf.DUMMYFUNCTION("""COMPUTED_VALUE"""),"1737631964449")</f>
        <v>1737631964449</v>
      </c>
      <c r="B3594" s="2"/>
      <c r="C3594" s="2" t="str">
        <v>0</v>
      </c>
      <c r="D3594" s="2"/>
      <c r="F3594" s="2" t="str">
        <v>0</v>
      </c>
      <c r="I3594" s="3" t="str">
        <f ca="1">IFERROR(__xludf.DUMMYFUNCTION("""COMPUTED_VALUE"""),"Trần Minh Phương")</f>
        <v>Trần Minh Phương</v>
      </c>
      <c r="J3594" s="3" t="str">
        <f ca="1">IFERROR(__xludf.DUMMYFUNCTION("""COMPUTED_VALUE"""),"0984706678")</f>
        <v>0984706678</v>
      </c>
      <c r="K3594" s="2" t="str">
        <f ca="1">IFERROR(__xludf.DUMMYFUNCTION("""COMPUTED_VALUE"""),"1737631964449")</f>
        <v>1737631964449</v>
      </c>
    </row>
    <row r="3595" spans="1:11" ht="12.45">
      <c r="A3595" s="2" t="str">
        <f ca="1">IFERROR(__xludf.DUMMYFUNCTION("""COMPUTED_VALUE"""),"1737632013786")</f>
        <v>1737632013786</v>
      </c>
      <c r="B3595" s="2"/>
      <c r="C3595" s="2" t="str">
        <v>0</v>
      </c>
      <c r="D3595" s="2"/>
      <c r="F3595" s="2" t="str">
        <v>0</v>
      </c>
      <c r="I3595" s="3" t="str">
        <f ca="1">IFERROR(__xludf.DUMMYFUNCTION("""COMPUTED_VALUE"""),"Phạm Đức Hồng")</f>
        <v>Phạm Đức Hồng</v>
      </c>
      <c r="J3595" s="3" t="str">
        <f ca="1">IFERROR(__xludf.DUMMYFUNCTION("""COMPUTED_VALUE"""),"0909913851")</f>
        <v>0909913851</v>
      </c>
      <c r="K3595" s="2" t="str">
        <f ca="1">IFERROR(__xludf.DUMMYFUNCTION("""COMPUTED_VALUE"""),"1737632013786")</f>
        <v>1737632013786</v>
      </c>
    </row>
    <row r="3596" spans="1:11" ht="12.45">
      <c r="A3596" s="2" t="str">
        <f ca="1">IFERROR(__xludf.DUMMYFUNCTION("""COMPUTED_VALUE"""),"1737632054193")</f>
        <v>1737632054193</v>
      </c>
      <c r="B3596" s="2"/>
      <c r="C3596" s="2" t="str">
        <v>0</v>
      </c>
      <c r="D3596" s="2"/>
      <c r="F3596" s="2" t="str">
        <v>0</v>
      </c>
      <c r="I3596" s="3" t="str">
        <f ca="1">IFERROR(__xludf.DUMMYFUNCTION("""COMPUTED_VALUE"""),"Nguyễn Hồng Nhung ")</f>
        <v xml:space="preserve">Nguyễn Hồng Nhung </v>
      </c>
      <c r="J3596" s="3" t="str">
        <f ca="1">IFERROR(__xludf.DUMMYFUNCTION("""COMPUTED_VALUE"""),"0348022612")</f>
        <v>0348022612</v>
      </c>
      <c r="K3596" s="2" t="str">
        <f ca="1">IFERROR(__xludf.DUMMYFUNCTION("""COMPUTED_VALUE"""),"1737632054193")</f>
        <v>1737632054193</v>
      </c>
    </row>
    <row r="3597" spans="1:11" ht="12.45">
      <c r="A3597" s="2" t="str">
        <f ca="1">IFERROR(__xludf.DUMMYFUNCTION("""COMPUTED_VALUE"""),"1737632079308")</f>
        <v>1737632079308</v>
      </c>
      <c r="B3597" s="2"/>
      <c r="C3597" s="2" t="str">
        <v>0</v>
      </c>
      <c r="D3597" s="2"/>
      <c r="F3597" s="2" t="str">
        <v>0</v>
      </c>
      <c r="I3597" s="3" t="str">
        <f ca="1">IFERROR(__xludf.DUMMYFUNCTION("""COMPUTED_VALUE"""),"La Bảo Ngọc")</f>
        <v>La Bảo Ngọc</v>
      </c>
      <c r="J3597" s="3" t="str">
        <f ca="1">IFERROR(__xludf.DUMMYFUNCTION("""COMPUTED_VALUE"""),"0904684721")</f>
        <v>0904684721</v>
      </c>
      <c r="K3597" s="2" t="str">
        <f ca="1">IFERROR(__xludf.DUMMYFUNCTION("""COMPUTED_VALUE"""),"1737632079308")</f>
        <v>1737632079308</v>
      </c>
    </row>
    <row r="3598" spans="1:11" ht="12.45">
      <c r="A3598" s="2" t="str">
        <f ca="1">IFERROR(__xludf.DUMMYFUNCTION("""COMPUTED_VALUE"""),"1737632118788")</f>
        <v>1737632118788</v>
      </c>
      <c r="B3598" s="2"/>
      <c r="C3598" s="2" t="str">
        <v>0</v>
      </c>
      <c r="D3598" s="2"/>
      <c r="F3598" s="2" t="str">
        <v>0</v>
      </c>
      <c r="I3598" s="3" t="str">
        <f ca="1">IFERROR(__xludf.DUMMYFUNCTION("""COMPUTED_VALUE"""),"Phan Nguyễn Hồng Ánh")</f>
        <v>Phan Nguyễn Hồng Ánh</v>
      </c>
      <c r="J3598" s="3" t="str">
        <f ca="1">IFERROR(__xludf.DUMMYFUNCTION("""COMPUTED_VALUE"""),"0931571099")</f>
        <v>0931571099</v>
      </c>
      <c r="K3598" s="2" t="str">
        <f ca="1">IFERROR(__xludf.DUMMYFUNCTION("""COMPUTED_VALUE"""),"1737632118788")</f>
        <v>1737632118788</v>
      </c>
    </row>
    <row r="3599" spans="1:11" ht="12.45">
      <c r="A3599" s="2" t="str">
        <f ca="1">IFERROR(__xludf.DUMMYFUNCTION("""COMPUTED_VALUE"""),"1737632163425")</f>
        <v>1737632163425</v>
      </c>
      <c r="B3599" s="2"/>
      <c r="C3599" s="2" t="str">
        <v>0</v>
      </c>
      <c r="D3599" s="2"/>
      <c r="F3599" s="2" t="str">
        <v>0</v>
      </c>
      <c r="I3599" s="3" t="str">
        <f ca="1">IFERROR(__xludf.DUMMYFUNCTION("""COMPUTED_VALUE"""),"Trịnh Ngọc Ánh")</f>
        <v>Trịnh Ngọc Ánh</v>
      </c>
      <c r="J3599" s="3" t="str">
        <f ca="1">IFERROR(__xludf.DUMMYFUNCTION("""COMPUTED_VALUE"""),"0375472191")</f>
        <v>0375472191</v>
      </c>
      <c r="K3599" s="2" t="str">
        <f ca="1">IFERROR(__xludf.DUMMYFUNCTION("""COMPUTED_VALUE"""),"1737632163425")</f>
        <v>1737632163425</v>
      </c>
    </row>
    <row r="3600" spans="1:11" ht="12.45">
      <c r="A3600" s="2" t="str">
        <f ca="1">IFERROR(__xludf.DUMMYFUNCTION("""COMPUTED_VALUE"""),"1737632201136")</f>
        <v>1737632201136</v>
      </c>
      <c r="B3600" s="2"/>
      <c r="C3600" s="2" t="str">
        <v>0</v>
      </c>
      <c r="D3600" s="2"/>
      <c r="F3600" s="2" t="str">
        <v>0</v>
      </c>
      <c r="I3600" s="3" t="str">
        <f ca="1">IFERROR(__xludf.DUMMYFUNCTION("""COMPUTED_VALUE"""),"Phạm Lê Yến Vy ")</f>
        <v xml:space="preserve">Phạm Lê Yến Vy </v>
      </c>
      <c r="J3600" s="3" t="str">
        <f ca="1">IFERROR(__xludf.DUMMYFUNCTION("""COMPUTED_VALUE"""),"0896235720")</f>
        <v>0896235720</v>
      </c>
      <c r="K3600" s="2" t="str">
        <f ca="1">IFERROR(__xludf.DUMMYFUNCTION("""COMPUTED_VALUE"""),"1737632201136")</f>
        <v>1737632201136</v>
      </c>
    </row>
    <row r="3601" spans="1:11" ht="12.45">
      <c r="A3601" s="2" t="str">
        <f ca="1">IFERROR(__xludf.DUMMYFUNCTION("""COMPUTED_VALUE"""),"1737632240579")</f>
        <v>1737632240579</v>
      </c>
      <c r="B3601" s="2"/>
      <c r="C3601" s="2" t="str">
        <v>0</v>
      </c>
      <c r="D3601" s="2"/>
      <c r="F3601" s="2" t="str">
        <v>0</v>
      </c>
      <c r="I3601" s="3" t="str">
        <f ca="1">IFERROR(__xludf.DUMMYFUNCTION("""COMPUTED_VALUE"""),"Ngô Thị Diệu Huyền")</f>
        <v>Ngô Thị Diệu Huyền</v>
      </c>
      <c r="J3601" s="3" t="str">
        <f ca="1">IFERROR(__xludf.DUMMYFUNCTION("""COMPUTED_VALUE"""),"0363803112")</f>
        <v>0363803112</v>
      </c>
      <c r="K3601" s="2" t="str">
        <f ca="1">IFERROR(__xludf.DUMMYFUNCTION("""COMPUTED_VALUE"""),"1737632240579")</f>
        <v>1737632240579</v>
      </c>
    </row>
    <row r="3602" spans="1:11" ht="12.45">
      <c r="A3602" s="2" t="str">
        <f ca="1">IFERROR(__xludf.DUMMYFUNCTION("""COMPUTED_VALUE"""),"1737632279065")</f>
        <v>1737632279065</v>
      </c>
      <c r="B3602" s="2"/>
      <c r="C3602" s="2" t="str">
        <v>0</v>
      </c>
      <c r="D3602" s="2"/>
      <c r="F3602" s="2" t="str">
        <v>0</v>
      </c>
      <c r="I3602" s="3" t="str">
        <f ca="1">IFERROR(__xludf.DUMMYFUNCTION("""COMPUTED_VALUE"""),"Nguyễn Đình Hoàng")</f>
        <v>Nguyễn Đình Hoàng</v>
      </c>
      <c r="J3602" s="3" t="str">
        <f ca="1">IFERROR(__xludf.DUMMYFUNCTION("""COMPUTED_VALUE"""),"0384145869")</f>
        <v>0384145869</v>
      </c>
      <c r="K3602" s="2" t="str">
        <f ca="1">IFERROR(__xludf.DUMMYFUNCTION("""COMPUTED_VALUE"""),"1737632279065")</f>
        <v>1737632279065</v>
      </c>
    </row>
    <row r="3603" spans="1:11" ht="12.45">
      <c r="A3603" s="2" t="str">
        <f ca="1">IFERROR(__xludf.DUMMYFUNCTION("""COMPUTED_VALUE"""),"1737632318559")</f>
        <v>1737632318559</v>
      </c>
      <c r="B3603" s="2"/>
      <c r="C3603" s="2" t="str">
        <v>0</v>
      </c>
      <c r="D3603" s="2"/>
      <c r="F3603" s="2" t="str">
        <v>0</v>
      </c>
      <c r="I3603" s="3" t="str">
        <f ca="1">IFERROR(__xludf.DUMMYFUNCTION("""COMPUTED_VALUE"""),"nguyễn phước mai phương ")</f>
        <v xml:space="preserve">nguyễn phước mai phương </v>
      </c>
      <c r="J3603" s="3" t="str">
        <f ca="1">IFERROR(__xludf.DUMMYFUNCTION("""COMPUTED_VALUE"""),"0917825309")</f>
        <v>0917825309</v>
      </c>
      <c r="K3603" s="2" t="str">
        <f ca="1">IFERROR(__xludf.DUMMYFUNCTION("""COMPUTED_VALUE"""),"1737632318559")</f>
        <v>1737632318559</v>
      </c>
    </row>
    <row r="3604" spans="1:11" ht="12.45">
      <c r="A3604" s="2" t="str">
        <f ca="1">IFERROR(__xludf.DUMMYFUNCTION("""COMPUTED_VALUE"""),"1737632357885")</f>
        <v>1737632357885</v>
      </c>
      <c r="B3604" s="2"/>
      <c r="C3604" s="2" t="str">
        <v>0</v>
      </c>
      <c r="D3604" s="2"/>
      <c r="F3604" s="2" t="str">
        <v>0</v>
      </c>
      <c r="I3604" s="3" t="str">
        <f ca="1">IFERROR(__xludf.DUMMYFUNCTION("""COMPUTED_VALUE"""),"Võ Tấn Dũng")</f>
        <v>Võ Tấn Dũng</v>
      </c>
      <c r="J3604" s="3" t="str">
        <f ca="1">IFERROR(__xludf.DUMMYFUNCTION("""COMPUTED_VALUE"""),"0349403663")</f>
        <v>0349403663</v>
      </c>
      <c r="K3604" s="2" t="str">
        <f ca="1">IFERROR(__xludf.DUMMYFUNCTION("""COMPUTED_VALUE"""),"1737632357885")</f>
        <v>1737632357885</v>
      </c>
    </row>
    <row r="3605" spans="1:11" ht="12.45">
      <c r="A3605" s="2" t="str">
        <f ca="1">IFERROR(__xludf.DUMMYFUNCTION("""COMPUTED_VALUE"""),"1737632395511")</f>
        <v>1737632395511</v>
      </c>
      <c r="B3605" s="2"/>
      <c r="C3605" s="2" t="str">
        <v>0</v>
      </c>
      <c r="D3605" s="2"/>
      <c r="F3605" s="2" t="str">
        <v>0</v>
      </c>
      <c r="I3605" s="3" t="str">
        <f ca="1">IFERROR(__xludf.DUMMYFUNCTION("""COMPUTED_VALUE"""),"Nguyễn Ngọc Ý Như")</f>
        <v>Nguyễn Ngọc Ý Như</v>
      </c>
      <c r="J3605" s="3" t="str">
        <f ca="1">IFERROR(__xludf.DUMMYFUNCTION("""COMPUTED_VALUE"""),"0763828012")</f>
        <v>0763828012</v>
      </c>
      <c r="K3605" s="2" t="str">
        <f ca="1">IFERROR(__xludf.DUMMYFUNCTION("""COMPUTED_VALUE"""),"1737632395511")</f>
        <v>1737632395511</v>
      </c>
    </row>
    <row r="3606" spans="1:11" ht="12.45">
      <c r="A3606" s="2" t="str">
        <f ca="1">IFERROR(__xludf.DUMMYFUNCTION("""COMPUTED_VALUE"""),"1737632438157")</f>
        <v>1737632438157</v>
      </c>
      <c r="B3606" s="2"/>
      <c r="C3606" s="2" t="str">
        <v>0</v>
      </c>
      <c r="D3606" s="2"/>
      <c r="F3606" s="2" t="str">
        <v>0</v>
      </c>
      <c r="I3606" s="3" t="str">
        <f ca="1">IFERROR(__xludf.DUMMYFUNCTION("""COMPUTED_VALUE"""),"Nguyễn Minh Khiêm")</f>
        <v>Nguyễn Minh Khiêm</v>
      </c>
      <c r="J3606" s="3" t="str">
        <f ca="1">IFERROR(__xludf.DUMMYFUNCTION("""COMPUTED_VALUE"""),"0777973225")</f>
        <v>0777973225</v>
      </c>
      <c r="K3606" s="2" t="str">
        <f ca="1">IFERROR(__xludf.DUMMYFUNCTION("""COMPUTED_VALUE"""),"1737632438157")</f>
        <v>1737632438157</v>
      </c>
    </row>
    <row r="3607" spans="1:11" ht="12.45">
      <c r="A3607" s="2" t="str">
        <f ca="1">IFERROR(__xludf.DUMMYFUNCTION("""COMPUTED_VALUE"""),"1737632476235")</f>
        <v>1737632476235</v>
      </c>
      <c r="B3607" s="2"/>
      <c r="C3607" s="2" t="str">
        <v>0</v>
      </c>
      <c r="D3607" s="2"/>
      <c r="F3607" s="2" t="str">
        <v>0</v>
      </c>
      <c r="I3607" s="3" t="str">
        <f ca="1">IFERROR(__xludf.DUMMYFUNCTION("""COMPUTED_VALUE"""),"Nguyễn Ngọc Phương Anh")</f>
        <v>Nguyễn Ngọc Phương Anh</v>
      </c>
      <c r="J3607" s="3" t="str">
        <f ca="1">IFERROR(__xludf.DUMMYFUNCTION("""COMPUTED_VALUE"""),"0912759970")</f>
        <v>0912759970</v>
      </c>
      <c r="K3607" s="2" t="str">
        <f ca="1">IFERROR(__xludf.DUMMYFUNCTION("""COMPUTED_VALUE"""),"1737632476235")</f>
        <v>1737632476235</v>
      </c>
    </row>
    <row r="3608" spans="1:11" ht="12.45">
      <c r="A3608" s="2" t="str">
        <f ca="1">IFERROR(__xludf.DUMMYFUNCTION("""COMPUTED_VALUE"""),"1737632525903")</f>
        <v>1737632525903</v>
      </c>
      <c r="B3608" s="2"/>
      <c r="C3608" s="2" t="str">
        <v>0</v>
      </c>
      <c r="D3608" s="2"/>
      <c r="F3608" s="2" t="str">
        <v>0</v>
      </c>
      <c r="I3608" s="3" t="str">
        <f ca="1">IFERROR(__xludf.DUMMYFUNCTION("""COMPUTED_VALUE"""),"Nguyễn thị khánh ly")</f>
        <v>Nguyễn thị khánh ly</v>
      </c>
      <c r="J3608" s="3" t="str">
        <f ca="1">IFERROR(__xludf.DUMMYFUNCTION("""COMPUTED_VALUE"""),"0975836191")</f>
        <v>0975836191</v>
      </c>
      <c r="K3608" s="2" t="str">
        <f ca="1">IFERROR(__xludf.DUMMYFUNCTION("""COMPUTED_VALUE"""),"1737632525903")</f>
        <v>1737632525903</v>
      </c>
    </row>
    <row r="3609" spans="1:11" ht="12.45">
      <c r="A3609" s="2" t="str">
        <f ca="1">IFERROR(__xludf.DUMMYFUNCTION("""COMPUTED_VALUE"""),"1737632588516")</f>
        <v>1737632588516</v>
      </c>
      <c r="B3609" s="2"/>
      <c r="C3609" s="2" t="str">
        <v>0</v>
      </c>
      <c r="D3609" s="2"/>
      <c r="F3609" s="2" t="str">
        <v>0</v>
      </c>
      <c r="I3609" s="3" t="str">
        <f ca="1">IFERROR(__xludf.DUMMYFUNCTION("""COMPUTED_VALUE"""),"Bùi Thiên Anh Thư ")</f>
        <v xml:space="preserve">Bùi Thiên Anh Thư </v>
      </c>
      <c r="J3609" s="3" t="str">
        <f ca="1">IFERROR(__xludf.DUMMYFUNCTION("""COMPUTED_VALUE"""),"0911615682")</f>
        <v>0911615682</v>
      </c>
      <c r="K3609" s="2" t="str">
        <f ca="1">IFERROR(__xludf.DUMMYFUNCTION("""COMPUTED_VALUE"""),"1737632588516")</f>
        <v>1737632588516</v>
      </c>
    </row>
    <row r="3610" spans="1:11" ht="12.45">
      <c r="A3610" s="2" t="str">
        <f ca="1">IFERROR(__xludf.DUMMYFUNCTION("""COMPUTED_VALUE"""),"Không giao sách")</f>
        <v>Không giao sách</v>
      </c>
      <c r="B3610" s="2"/>
      <c r="C3610" s="2" t="str">
        <v>0</v>
      </c>
      <c r="D3610" s="2"/>
      <c r="F3610" s="2" t="str">
        <v>0</v>
      </c>
      <c r="I3610" s="3" t="str">
        <f ca="1">IFERROR(__xludf.DUMMYFUNCTION("""COMPUTED_VALUE"""),"Nguyễn Thị Kim Ngân ")</f>
        <v xml:space="preserve">Nguyễn Thị Kim Ngân </v>
      </c>
      <c r="J3610" s="3" t="str">
        <f ca="1">IFERROR(__xludf.DUMMYFUNCTION("""COMPUTED_VALUE"""),"0799207172")</f>
        <v>0799207172</v>
      </c>
      <c r="K3610" s="2" t="str">
        <f ca="1">IFERROR(__xludf.DUMMYFUNCTION("""COMPUTED_VALUE"""),"Không giao sách")</f>
        <v>Không giao sách</v>
      </c>
    </row>
    <row r="3611" spans="1:11" ht="12.45">
      <c r="A3611" s="2" t="str">
        <f ca="1">IFERROR(__xludf.DUMMYFUNCTION("""COMPUTED_VALUE"""),"1737632666251")</f>
        <v>1737632666251</v>
      </c>
      <c r="B3611" s="2"/>
      <c r="C3611" s="2" t="str">
        <v>0</v>
      </c>
      <c r="D3611" s="2"/>
      <c r="F3611" s="2" t="str">
        <v>0</v>
      </c>
      <c r="I3611" s="3" t="str">
        <f ca="1">IFERROR(__xludf.DUMMYFUNCTION("""COMPUTED_VALUE"""),"Vũ Thị Quỳnh Trang ")</f>
        <v xml:space="preserve">Vũ Thị Quỳnh Trang </v>
      </c>
      <c r="J3611" s="3" t="str">
        <f ca="1">IFERROR(__xludf.DUMMYFUNCTION("""COMPUTED_VALUE"""),"0968199148")</f>
        <v>0968199148</v>
      </c>
      <c r="K3611" s="2" t="str">
        <f ca="1">IFERROR(__xludf.DUMMYFUNCTION("""COMPUTED_VALUE"""),"1737632666251")</f>
        <v>1737632666251</v>
      </c>
    </row>
    <row r="3612" spans="1:11" ht="12.45">
      <c r="A3612" s="2" t="str">
        <f ca="1">IFERROR(__xludf.DUMMYFUNCTION("""COMPUTED_VALUE"""),"1737632734430")</f>
        <v>1737632734430</v>
      </c>
      <c r="B3612" s="2"/>
      <c r="C3612" s="2" t="str">
        <v>0</v>
      </c>
      <c r="D3612" s="2"/>
      <c r="F3612" s="2" t="str">
        <v>0</v>
      </c>
      <c r="I3612" s="3" t="str">
        <f ca="1">IFERROR(__xludf.DUMMYFUNCTION("""COMPUTED_VALUE"""),"Tô Ngọc Anh")</f>
        <v>Tô Ngọc Anh</v>
      </c>
      <c r="J3612" s="3" t="str">
        <f ca="1">IFERROR(__xludf.DUMMYFUNCTION("""COMPUTED_VALUE"""),"0369771835")</f>
        <v>0369771835</v>
      </c>
      <c r="K3612" s="2" t="str">
        <f ca="1">IFERROR(__xludf.DUMMYFUNCTION("""COMPUTED_VALUE"""),"1737632734430")</f>
        <v>1737632734430</v>
      </c>
    </row>
    <row r="3613" spans="1:11" ht="12.45">
      <c r="A3613" s="2" t="str">
        <f ca="1">IFERROR(__xludf.DUMMYFUNCTION("""COMPUTED_VALUE"""),"1737632789432")</f>
        <v>1737632789432</v>
      </c>
      <c r="B3613" s="2"/>
      <c r="C3613" s="2" t="str">
        <v>0</v>
      </c>
      <c r="D3613" s="2"/>
      <c r="F3613" s="2" t="str">
        <v>0</v>
      </c>
      <c r="I3613" s="3" t="str">
        <f ca="1">IFERROR(__xludf.DUMMYFUNCTION("""COMPUTED_VALUE"""),"Nguyễn Hoàng Nguyệt Quế ")</f>
        <v xml:space="preserve">Nguyễn Hoàng Nguyệt Quế </v>
      </c>
      <c r="J3613" s="3" t="str">
        <f ca="1">IFERROR(__xludf.DUMMYFUNCTION("""COMPUTED_VALUE"""),"0939504476")</f>
        <v>0939504476</v>
      </c>
      <c r="K3613" s="2" t="str">
        <f ca="1">IFERROR(__xludf.DUMMYFUNCTION("""COMPUTED_VALUE"""),"1737632789432")</f>
        <v>1737632789432</v>
      </c>
    </row>
    <row r="3614" spans="1:11" ht="12.45">
      <c r="A3614" s="2" t="str">
        <f ca="1">IFERROR(__xludf.DUMMYFUNCTION("""COMPUTED_VALUE"""),"1737632836957")</f>
        <v>1737632836957</v>
      </c>
      <c r="B3614" s="2"/>
      <c r="C3614" s="2" t="str">
        <v>0</v>
      </c>
      <c r="D3614" s="2"/>
      <c r="F3614" s="2" t="str">
        <v>0</v>
      </c>
      <c r="I3614" s="3" t="str">
        <f ca="1">IFERROR(__xludf.DUMMYFUNCTION("""COMPUTED_VALUE"""),"Đoàn Diệu Quyên")</f>
        <v>Đoàn Diệu Quyên</v>
      </c>
      <c r="J3614" s="3" t="str">
        <f ca="1">IFERROR(__xludf.DUMMYFUNCTION("""COMPUTED_VALUE"""),"0349245356")</f>
        <v>0349245356</v>
      </c>
      <c r="K3614" s="2" t="str">
        <f ca="1">IFERROR(__xludf.DUMMYFUNCTION("""COMPUTED_VALUE"""),"1737632836957")</f>
        <v>1737632836957</v>
      </c>
    </row>
    <row r="3615" spans="1:11" ht="12.45">
      <c r="A3615" s="2" t="str">
        <f ca="1">IFERROR(__xludf.DUMMYFUNCTION("""COMPUTED_VALUE"""),"1737632880565")</f>
        <v>1737632880565</v>
      </c>
      <c r="B3615" s="2"/>
      <c r="C3615" s="2" t="str">
        <v>0</v>
      </c>
      <c r="D3615" s="2"/>
      <c r="F3615" s="2" t="str">
        <v>0</v>
      </c>
      <c r="I3615" s="3" t="str">
        <f ca="1">IFERROR(__xludf.DUMMYFUNCTION("""COMPUTED_VALUE"""),"Đỗ Minh Ánh")</f>
        <v>Đỗ Minh Ánh</v>
      </c>
      <c r="J3615" s="3" t="str">
        <f ca="1">IFERROR(__xludf.DUMMYFUNCTION("""COMPUTED_VALUE"""),"0349548440")</f>
        <v>0349548440</v>
      </c>
      <c r="K3615" s="2" t="str">
        <f ca="1">IFERROR(__xludf.DUMMYFUNCTION("""COMPUTED_VALUE"""),"1737632880565")</f>
        <v>1737632880565</v>
      </c>
    </row>
    <row r="3616" spans="1:11" ht="12.45">
      <c r="A3616" s="2" t="str">
        <f ca="1">IFERROR(__xludf.DUMMYFUNCTION("""COMPUTED_VALUE"""),"1737632963280")</f>
        <v>1737632963280</v>
      </c>
      <c r="B3616" s="2"/>
      <c r="C3616" s="2" t="str">
        <v>0</v>
      </c>
      <c r="D3616" s="2"/>
      <c r="F3616" s="2" t="str">
        <v>0</v>
      </c>
      <c r="I3616" s="3" t="str">
        <f ca="1">IFERROR(__xludf.DUMMYFUNCTION("""COMPUTED_VALUE"""),"Đỗ Hoài Thương ")</f>
        <v xml:space="preserve">Đỗ Hoài Thương </v>
      </c>
      <c r="J3616" s="3" t="str">
        <f ca="1">IFERROR(__xludf.DUMMYFUNCTION("""COMPUTED_VALUE"""),"0975386195")</f>
        <v>0975386195</v>
      </c>
      <c r="K3616" s="2" t="str">
        <f ca="1">IFERROR(__xludf.DUMMYFUNCTION("""COMPUTED_VALUE"""),"1737632963280")</f>
        <v>1737632963280</v>
      </c>
    </row>
    <row r="3617" spans="1:11" ht="12.45">
      <c r="A3617" s="2" t="str">
        <f ca="1">IFERROR(__xludf.DUMMYFUNCTION("""COMPUTED_VALUE"""),"1737633024690")</f>
        <v>1737633024690</v>
      </c>
      <c r="B3617" s="2"/>
      <c r="C3617" s="2" t="str">
        <v>0</v>
      </c>
      <c r="D3617" s="2"/>
      <c r="F3617" s="2" t="str">
        <v>0</v>
      </c>
      <c r="I3617" s="3" t="str">
        <f ca="1">IFERROR(__xludf.DUMMYFUNCTION("""COMPUTED_VALUE"""),"Vũ Thị Kiều Trang")</f>
        <v>Vũ Thị Kiều Trang</v>
      </c>
      <c r="J3617" s="3" t="str">
        <f ca="1">IFERROR(__xludf.DUMMYFUNCTION("""COMPUTED_VALUE"""),"0394859578")</f>
        <v>0394859578</v>
      </c>
      <c r="K3617" s="2" t="str">
        <f ca="1">IFERROR(__xludf.DUMMYFUNCTION("""COMPUTED_VALUE"""),"1737633024690")</f>
        <v>1737633024690</v>
      </c>
    </row>
    <row r="3618" spans="1:11" ht="12.45">
      <c r="A3618" s="2" t="str">
        <f ca="1">IFERROR(__xludf.DUMMYFUNCTION("""COMPUTED_VALUE"""),"1737633080764")</f>
        <v>1737633080764</v>
      </c>
      <c r="B3618" s="2"/>
      <c r="C3618" s="2" t="str">
        <v>0</v>
      </c>
      <c r="D3618" s="2"/>
      <c r="F3618" s="2" t="str">
        <v>0</v>
      </c>
      <c r="I3618" s="3" t="str">
        <f ca="1">IFERROR(__xludf.DUMMYFUNCTION("""COMPUTED_VALUE"""),"Trần Thị Ngọc Châu")</f>
        <v>Trần Thị Ngọc Châu</v>
      </c>
      <c r="J3618" s="3" t="str">
        <f ca="1">IFERROR(__xludf.DUMMYFUNCTION("""COMPUTED_VALUE"""),"0563701284")</f>
        <v>0563701284</v>
      </c>
      <c r="K3618" s="2" t="str">
        <f ca="1">IFERROR(__xludf.DUMMYFUNCTION("""COMPUTED_VALUE"""),"1737633080764")</f>
        <v>1737633080764</v>
      </c>
    </row>
    <row r="3619" spans="1:11" ht="12.45">
      <c r="A3619" s="2" t="str">
        <f ca="1">IFERROR(__xludf.DUMMYFUNCTION("""COMPUTED_VALUE"""),"1737633130425")</f>
        <v>1737633130425</v>
      </c>
      <c r="B3619" s="2"/>
      <c r="C3619" s="2" t="str">
        <v>0</v>
      </c>
      <c r="D3619" s="2"/>
      <c r="F3619" s="2" t="str">
        <v>0</v>
      </c>
      <c r="I3619" s="3" t="str">
        <f ca="1">IFERROR(__xludf.DUMMYFUNCTION("""COMPUTED_VALUE"""),"Lò thị phương uyên ")</f>
        <v xml:space="preserve">Lò thị phương uyên </v>
      </c>
      <c r="J3619" s="3" t="str">
        <f ca="1">IFERROR(__xludf.DUMMYFUNCTION("""COMPUTED_VALUE"""),"0912840220")</f>
        <v>0912840220</v>
      </c>
      <c r="K3619" s="2" t="str">
        <f ca="1">IFERROR(__xludf.DUMMYFUNCTION("""COMPUTED_VALUE"""),"1737633130425")</f>
        <v>1737633130425</v>
      </c>
    </row>
    <row r="3620" spans="1:11" ht="12.45">
      <c r="A3620" s="2" t="str">
        <f ca="1">IFERROR(__xludf.DUMMYFUNCTION("""COMPUTED_VALUE"""),"1738004896951")</f>
        <v>1738004896951</v>
      </c>
      <c r="B3620" s="2"/>
      <c r="C3620" s="2" t="str">
        <v>0</v>
      </c>
      <c r="D3620" s="2"/>
      <c r="F3620" s="2" t="str">
        <v>0</v>
      </c>
      <c r="I3620" s="3" t="str">
        <f ca="1">IFERROR(__xludf.DUMMYFUNCTION("""COMPUTED_VALUE"""),"Võ Trúc Mai")</f>
        <v>Võ Trúc Mai</v>
      </c>
      <c r="J3620" s="3" t="str">
        <f ca="1">IFERROR(__xludf.DUMMYFUNCTION("""COMPUTED_VALUE"""),"0705953339")</f>
        <v>0705953339</v>
      </c>
      <c r="K3620" s="2" t="str">
        <f ca="1">IFERROR(__xludf.DUMMYFUNCTION("""COMPUTED_VALUE"""),"1738004896951")</f>
        <v>1738004896951</v>
      </c>
    </row>
    <row r="3621" spans="1:11" ht="12.45">
      <c r="A3621" s="2" t="str">
        <f ca="1">IFERROR(__xludf.DUMMYFUNCTION("""COMPUTED_VALUE"""),"1737633225178")</f>
        <v>1737633225178</v>
      </c>
      <c r="B3621" s="2"/>
      <c r="C3621" s="2" t="str">
        <v>0</v>
      </c>
      <c r="D3621" s="2"/>
      <c r="F3621" s="2" t="str">
        <v>0</v>
      </c>
      <c r="I3621" s="3" t="str">
        <f ca="1">IFERROR(__xludf.DUMMYFUNCTION("""COMPUTED_VALUE"""),"Vũ Ngọc Huyền ")</f>
        <v xml:space="preserve">Vũ Ngọc Huyền </v>
      </c>
      <c r="J3621" s="3" t="str">
        <f ca="1">IFERROR(__xludf.DUMMYFUNCTION("""COMPUTED_VALUE"""),"0918522704")</f>
        <v>0918522704</v>
      </c>
      <c r="K3621" s="2" t="str">
        <f ca="1">IFERROR(__xludf.DUMMYFUNCTION("""COMPUTED_VALUE"""),"1737633225178")</f>
        <v>1737633225178</v>
      </c>
    </row>
    <row r="3622" spans="1:11" ht="12.45">
      <c r="A3622" s="2" t="str">
        <f ca="1">IFERROR(__xludf.DUMMYFUNCTION("""COMPUTED_VALUE"""),"1737633265015")</f>
        <v>1737633265015</v>
      </c>
      <c r="B3622" s="2"/>
      <c r="C3622" s="2" t="str">
        <v>0</v>
      </c>
      <c r="D3622" s="2"/>
      <c r="F3622" s="2" t="str">
        <v>0</v>
      </c>
      <c r="I3622" s="3" t="str">
        <f ca="1">IFERROR(__xludf.DUMMYFUNCTION("""COMPUTED_VALUE"""),"Nguyễn Yến Nhi")</f>
        <v>Nguyễn Yến Nhi</v>
      </c>
      <c r="J3622" s="3" t="str">
        <f ca="1">IFERROR(__xludf.DUMMYFUNCTION("""COMPUTED_VALUE"""),"0856874516")</f>
        <v>0856874516</v>
      </c>
      <c r="K3622" s="2" t="str">
        <f ca="1">IFERROR(__xludf.DUMMYFUNCTION("""COMPUTED_VALUE"""),"1737633265015")</f>
        <v>1737633265015</v>
      </c>
    </row>
    <row r="3623" spans="1:11" ht="12.45">
      <c r="A3623" s="2" t="str">
        <f ca="1">IFERROR(__xludf.DUMMYFUNCTION("""COMPUTED_VALUE"""),"1737633312203")</f>
        <v>1737633312203</v>
      </c>
      <c r="B3623" s="2"/>
      <c r="C3623" s="2" t="str">
        <v>0</v>
      </c>
      <c r="D3623" s="2"/>
      <c r="F3623" s="2" t="str">
        <v>0</v>
      </c>
      <c r="I3623" s="3" t="str">
        <f ca="1">IFERROR(__xludf.DUMMYFUNCTION("""COMPUTED_VALUE"""),"Lê Ngọc Ly ")</f>
        <v xml:space="preserve">Lê Ngọc Ly </v>
      </c>
      <c r="J3623" s="3" t="str">
        <f ca="1">IFERROR(__xludf.DUMMYFUNCTION("""COMPUTED_VALUE"""),"0382518702")</f>
        <v>0382518702</v>
      </c>
      <c r="K3623" s="2" t="str">
        <f ca="1">IFERROR(__xludf.DUMMYFUNCTION("""COMPUTED_VALUE"""),"1737633312203")</f>
        <v>1737633312203</v>
      </c>
    </row>
    <row r="3624" spans="1:11" ht="12.45">
      <c r="A3624" s="2" t="str">
        <f ca="1">IFERROR(__xludf.DUMMYFUNCTION("""COMPUTED_VALUE"""),"1737633370034")</f>
        <v>1737633370034</v>
      </c>
      <c r="B3624" s="2"/>
      <c r="C3624" s="2" t="str">
        <v>0</v>
      </c>
      <c r="D3624" s="2"/>
      <c r="F3624" s="2" t="str">
        <v>0</v>
      </c>
      <c r="I3624" s="3" t="str">
        <f ca="1">IFERROR(__xludf.DUMMYFUNCTION("""COMPUTED_VALUE"""),"Phạm Khánh Linh")</f>
        <v>Phạm Khánh Linh</v>
      </c>
      <c r="J3624" s="3" t="str">
        <f ca="1">IFERROR(__xludf.DUMMYFUNCTION("""COMPUTED_VALUE"""),"0366290802")</f>
        <v>0366290802</v>
      </c>
      <c r="K3624" s="2" t="str">
        <f ca="1">IFERROR(__xludf.DUMMYFUNCTION("""COMPUTED_VALUE"""),"1737633370034")</f>
        <v>1737633370034</v>
      </c>
    </row>
    <row r="3625" spans="1:11" ht="12.45">
      <c r="A3625" s="2" t="str">
        <f ca="1">IFERROR(__xludf.DUMMYFUNCTION("""COMPUTED_VALUE"""),"1737633411659")</f>
        <v>1737633411659</v>
      </c>
      <c r="B3625" s="2"/>
      <c r="C3625" s="2" t="str">
        <v>0</v>
      </c>
      <c r="D3625" s="2"/>
      <c r="F3625" s="2" t="str">
        <v>0</v>
      </c>
      <c r="I3625" s="3" t="str">
        <f ca="1">IFERROR(__xludf.DUMMYFUNCTION("""COMPUTED_VALUE"""),"Nguyễn Ngọc Trang")</f>
        <v>Nguyễn Ngọc Trang</v>
      </c>
      <c r="J3625" s="3" t="str">
        <f ca="1">IFERROR(__xludf.DUMMYFUNCTION("""COMPUTED_VALUE"""),"0879154668")</f>
        <v>0879154668</v>
      </c>
      <c r="K3625" s="2" t="str">
        <f ca="1">IFERROR(__xludf.DUMMYFUNCTION("""COMPUTED_VALUE"""),"1737633411659")</f>
        <v>1737633411659</v>
      </c>
    </row>
    <row r="3626" spans="1:11" ht="12.45">
      <c r="A3626" s="2" t="str">
        <f ca="1">IFERROR(__xludf.DUMMYFUNCTION("""COMPUTED_VALUE"""),"1737633454622")</f>
        <v>1737633454622</v>
      </c>
      <c r="B3626" s="2"/>
      <c r="C3626" s="2" t="str">
        <v>0</v>
      </c>
      <c r="D3626" s="2"/>
      <c r="F3626" s="2" t="str">
        <v>0</v>
      </c>
      <c r="I3626" s="3" t="str">
        <f ca="1">IFERROR(__xludf.DUMMYFUNCTION("""COMPUTED_VALUE"""),"Trần Thục Minh")</f>
        <v>Trần Thục Minh</v>
      </c>
      <c r="J3626" s="3" t="str">
        <f ca="1">IFERROR(__xludf.DUMMYFUNCTION("""COMPUTED_VALUE"""),"0917320840")</f>
        <v>0917320840</v>
      </c>
      <c r="K3626" s="2" t="str">
        <f ca="1">IFERROR(__xludf.DUMMYFUNCTION("""COMPUTED_VALUE"""),"1737633454622")</f>
        <v>1737633454622</v>
      </c>
    </row>
    <row r="3627" spans="1:11" ht="12.45">
      <c r="A3627" s="2" t="str">
        <f ca="1">IFERROR(__xludf.DUMMYFUNCTION("""COMPUTED_VALUE"""),"1737633492858")</f>
        <v>1737633492858</v>
      </c>
      <c r="B3627" s="2"/>
      <c r="C3627" s="2" t="str">
        <v>0</v>
      </c>
      <c r="D3627" s="2"/>
      <c r="F3627" s="2" t="str">
        <v>0</v>
      </c>
      <c r="I3627" s="3" t="str">
        <f ca="1">IFERROR(__xludf.DUMMYFUNCTION("""COMPUTED_VALUE"""),"Nguyễn Ngọc Mai")</f>
        <v>Nguyễn Ngọc Mai</v>
      </c>
      <c r="J3627" s="3" t="str">
        <f ca="1">IFERROR(__xludf.DUMMYFUNCTION("""COMPUTED_VALUE"""),"0967302205")</f>
        <v>0967302205</v>
      </c>
      <c r="K3627" s="2" t="str">
        <f ca="1">IFERROR(__xludf.DUMMYFUNCTION("""COMPUTED_VALUE"""),"1737633492858")</f>
        <v>1737633492858</v>
      </c>
    </row>
    <row r="3628" spans="1:11" ht="12.45">
      <c r="A3628" s="2" t="str">
        <f ca="1">IFERROR(__xludf.DUMMYFUNCTION("""COMPUTED_VALUE"""),"1737633537023")</f>
        <v>1737633537023</v>
      </c>
      <c r="B3628" s="2"/>
      <c r="C3628" s="2" t="str">
        <v>0</v>
      </c>
      <c r="D3628" s="2"/>
      <c r="F3628" s="2" t="str">
        <v>0</v>
      </c>
      <c r="I3628" s="3" t="str">
        <f ca="1">IFERROR(__xludf.DUMMYFUNCTION("""COMPUTED_VALUE"""),"Triệu Thị Diệu Chi ")</f>
        <v xml:space="preserve">Triệu Thị Diệu Chi </v>
      </c>
      <c r="J3628" s="3" t="str">
        <f ca="1">IFERROR(__xludf.DUMMYFUNCTION("""COMPUTED_VALUE"""),"0375506818")</f>
        <v>0375506818</v>
      </c>
      <c r="K3628" s="2" t="str">
        <f ca="1">IFERROR(__xludf.DUMMYFUNCTION("""COMPUTED_VALUE"""),"1737633537023")</f>
        <v>1737633537023</v>
      </c>
    </row>
    <row r="3629" spans="1:11" ht="12.45">
      <c r="A3629" s="2" t="str">
        <f ca="1">IFERROR(__xludf.DUMMYFUNCTION("""COMPUTED_VALUE"""),"1737633574154")</f>
        <v>1737633574154</v>
      </c>
      <c r="B3629" s="2"/>
      <c r="C3629" s="2" t="str">
        <v>0</v>
      </c>
      <c r="D3629" s="2"/>
      <c r="F3629" s="2" t="str">
        <v>0</v>
      </c>
      <c r="I3629" s="3" t="str">
        <f ca="1">IFERROR(__xludf.DUMMYFUNCTION("""COMPUTED_VALUE"""),"Nguyễn Ánh Ngọc")</f>
        <v>Nguyễn Ánh Ngọc</v>
      </c>
      <c r="J3629" s="3" t="str">
        <f ca="1">IFERROR(__xludf.DUMMYFUNCTION("""COMPUTED_VALUE"""),"0929161007")</f>
        <v>0929161007</v>
      </c>
      <c r="K3629" s="2" t="str">
        <f ca="1">IFERROR(__xludf.DUMMYFUNCTION("""COMPUTED_VALUE"""),"1737633574154")</f>
        <v>1737633574154</v>
      </c>
    </row>
    <row r="3630" spans="1:11" ht="12.45">
      <c r="A3630" s="2" t="str">
        <f ca="1">IFERROR(__xludf.DUMMYFUNCTION("""COMPUTED_VALUE"""),"1737633609161")</f>
        <v>1737633609161</v>
      </c>
      <c r="B3630" s="2"/>
      <c r="C3630" s="2" t="str">
        <v>0</v>
      </c>
      <c r="D3630" s="2"/>
      <c r="F3630" s="2" t="str">
        <v>0</v>
      </c>
      <c r="I3630" s="3" t="str">
        <f ca="1">IFERROR(__xludf.DUMMYFUNCTION("""COMPUTED_VALUE"""),"Ngô Văn Duy")</f>
        <v>Ngô Văn Duy</v>
      </c>
      <c r="J3630" s="3" t="str">
        <f ca="1">IFERROR(__xludf.DUMMYFUNCTION("""COMPUTED_VALUE"""),"0342940129")</f>
        <v>0342940129</v>
      </c>
      <c r="K3630" s="2" t="str">
        <f ca="1">IFERROR(__xludf.DUMMYFUNCTION("""COMPUTED_VALUE"""),"1737633609161")</f>
        <v>1737633609161</v>
      </c>
    </row>
    <row r="3631" spans="1:11" ht="12.45">
      <c r="A3631" s="2" t="str">
        <f ca="1">IFERROR(__xludf.DUMMYFUNCTION("""COMPUTED_VALUE"""),"1737633661572")</f>
        <v>1737633661572</v>
      </c>
      <c r="B3631" s="2"/>
      <c r="C3631" s="2" t="str">
        <v>0</v>
      </c>
      <c r="D3631" s="2"/>
      <c r="F3631" s="2" t="str">
        <v>0</v>
      </c>
      <c r="I3631" s="3" t="str">
        <f ca="1">IFERROR(__xludf.DUMMYFUNCTION("""COMPUTED_VALUE"""),"Bùi Duy Khánh")</f>
        <v>Bùi Duy Khánh</v>
      </c>
      <c r="J3631" s="3" t="str">
        <f ca="1">IFERROR(__xludf.DUMMYFUNCTION("""COMPUTED_VALUE"""),"0383932280")</f>
        <v>0383932280</v>
      </c>
      <c r="K3631" s="2" t="str">
        <f ca="1">IFERROR(__xludf.DUMMYFUNCTION("""COMPUTED_VALUE"""),"1737633661572")</f>
        <v>1737633661572</v>
      </c>
    </row>
    <row r="3632" spans="1:11" ht="12.45">
      <c r="A3632" s="2" t="str">
        <f ca="1">IFERROR(__xludf.DUMMYFUNCTION("""COMPUTED_VALUE"""),"1737633709916")</f>
        <v>1737633709916</v>
      </c>
      <c r="B3632" s="2"/>
      <c r="C3632" s="2" t="str">
        <v>0</v>
      </c>
      <c r="D3632" s="2"/>
      <c r="F3632" s="2" t="str">
        <v>0</v>
      </c>
      <c r="I3632" s="3" t="str">
        <f ca="1">IFERROR(__xludf.DUMMYFUNCTION("""COMPUTED_VALUE"""),"Phù Thị Ngân")</f>
        <v>Phù Thị Ngân</v>
      </c>
      <c r="J3632" s="3" t="str">
        <f ca="1">IFERROR(__xludf.DUMMYFUNCTION("""COMPUTED_VALUE"""),"0837751092")</f>
        <v>0837751092</v>
      </c>
      <c r="K3632" s="2" t="str">
        <f ca="1">IFERROR(__xludf.DUMMYFUNCTION("""COMPUTED_VALUE"""),"1737633709916")</f>
        <v>1737633709916</v>
      </c>
    </row>
    <row r="3633" spans="1:11" ht="12.45">
      <c r="A3633" s="2" t="str">
        <f ca="1">IFERROR(__xludf.DUMMYFUNCTION("""COMPUTED_VALUE"""),"1737633753129")</f>
        <v>1737633753129</v>
      </c>
      <c r="B3633" s="2"/>
      <c r="C3633" s="2" t="str">
        <v>0</v>
      </c>
      <c r="D3633" s="2"/>
      <c r="F3633" s="2" t="str">
        <v>0</v>
      </c>
      <c r="I3633" s="3" t="str">
        <f ca="1">IFERROR(__xludf.DUMMYFUNCTION("""COMPUTED_VALUE"""),"Ngô Thị Tuyết Mai")</f>
        <v>Ngô Thị Tuyết Mai</v>
      </c>
      <c r="J3633" s="3" t="str">
        <f ca="1">IFERROR(__xludf.DUMMYFUNCTION("""COMPUTED_VALUE"""),"0971974156")</f>
        <v>0971974156</v>
      </c>
      <c r="K3633" s="2" t="str">
        <f ca="1">IFERROR(__xludf.DUMMYFUNCTION("""COMPUTED_VALUE"""),"1737633753129")</f>
        <v>1737633753129</v>
      </c>
    </row>
    <row r="3634" spans="1:11" ht="12.45">
      <c r="A3634" s="2" t="str">
        <f ca="1">IFERROR(__xludf.DUMMYFUNCTION("""COMPUTED_VALUE"""),"1737633802650")</f>
        <v>1737633802650</v>
      </c>
      <c r="B3634" s="2"/>
      <c r="C3634" s="2" t="str">
        <v>0</v>
      </c>
      <c r="D3634" s="2"/>
      <c r="F3634" s="2" t="str">
        <v>0</v>
      </c>
      <c r="I3634" s="3" t="str">
        <f ca="1">IFERROR(__xludf.DUMMYFUNCTION("""COMPUTED_VALUE"""),"Cao Minh Trang")</f>
        <v>Cao Minh Trang</v>
      </c>
      <c r="J3634" s="3" t="str">
        <f ca="1">IFERROR(__xludf.DUMMYFUNCTION("""COMPUTED_VALUE"""),"0949998969")</f>
        <v>0949998969</v>
      </c>
      <c r="K3634" s="2" t="str">
        <f ca="1">IFERROR(__xludf.DUMMYFUNCTION("""COMPUTED_VALUE"""),"1737633802650")</f>
        <v>1737633802650</v>
      </c>
    </row>
    <row r="3635" spans="1:11" ht="12.45">
      <c r="A3635" s="2" t="str">
        <f ca="1">IFERROR(__xludf.DUMMYFUNCTION("""COMPUTED_VALUE"""),"1737633838914")</f>
        <v>1737633838914</v>
      </c>
      <c r="B3635" s="2"/>
      <c r="C3635" s="2" t="str">
        <v>0</v>
      </c>
      <c r="D3635" s="2"/>
      <c r="F3635" s="2" t="str">
        <v>0</v>
      </c>
      <c r="I3635" s="3" t="str">
        <f ca="1">IFERROR(__xludf.DUMMYFUNCTION("""COMPUTED_VALUE"""),"Nguyễn Bảo Bình")</f>
        <v>Nguyễn Bảo Bình</v>
      </c>
      <c r="J3635" s="3" t="str">
        <f ca="1">IFERROR(__xludf.DUMMYFUNCTION("""COMPUTED_VALUE"""),"0779524257")</f>
        <v>0779524257</v>
      </c>
      <c r="K3635" s="2" t="str">
        <f ca="1">IFERROR(__xludf.DUMMYFUNCTION("""COMPUTED_VALUE"""),"1737633838914")</f>
        <v>1737633838914</v>
      </c>
    </row>
    <row r="3636" spans="1:11" ht="12.45">
      <c r="A3636" s="2" t="str">
        <f ca="1">IFERROR(__xludf.DUMMYFUNCTION("""COMPUTED_VALUE"""),"1737633879140")</f>
        <v>1737633879140</v>
      </c>
      <c r="B3636" s="2"/>
      <c r="C3636" s="2" t="str">
        <v>0</v>
      </c>
      <c r="D3636" s="2"/>
      <c r="F3636" s="2" t="str">
        <v>0</v>
      </c>
      <c r="I3636" s="3" t="str">
        <f ca="1">IFERROR(__xludf.DUMMYFUNCTION("""COMPUTED_VALUE"""),"Lê Quỳnh Anh")</f>
        <v>Lê Quỳnh Anh</v>
      </c>
      <c r="J3636" s="3" t="str">
        <f ca="1">IFERROR(__xludf.DUMMYFUNCTION("""COMPUTED_VALUE"""),"0974463976")</f>
        <v>0974463976</v>
      </c>
      <c r="K3636" s="2" t="str">
        <f ca="1">IFERROR(__xludf.DUMMYFUNCTION("""COMPUTED_VALUE"""),"1737633879140")</f>
        <v>1737633879140</v>
      </c>
    </row>
    <row r="3637" spans="1:11" ht="12.45">
      <c r="A3637" s="2" t="str">
        <f ca="1">IFERROR(__xludf.DUMMYFUNCTION("""COMPUTED_VALUE"""),"1737633916057")</f>
        <v>1737633916057</v>
      </c>
      <c r="B3637" s="2"/>
      <c r="C3637" s="2" t="str">
        <v>0</v>
      </c>
      <c r="D3637" s="2"/>
      <c r="F3637" s="2" t="str">
        <v>0</v>
      </c>
      <c r="I3637" s="3" t="str">
        <f ca="1">IFERROR(__xludf.DUMMYFUNCTION("""COMPUTED_VALUE"""),"Bùi Ngọc Lon")</f>
        <v>Bùi Ngọc Lon</v>
      </c>
      <c r="J3637" s="3" t="str">
        <f ca="1">IFERROR(__xludf.DUMMYFUNCTION("""COMPUTED_VALUE"""),"0364052038")</f>
        <v>0364052038</v>
      </c>
      <c r="K3637" s="2" t="str">
        <f ca="1">IFERROR(__xludf.DUMMYFUNCTION("""COMPUTED_VALUE"""),"1737633916057")</f>
        <v>1737633916057</v>
      </c>
    </row>
    <row r="3638" spans="1:11" ht="12.45">
      <c r="A3638" s="2" t="str">
        <f ca="1">IFERROR(__xludf.DUMMYFUNCTION("""COMPUTED_VALUE"""),"1737633965686")</f>
        <v>1737633965686</v>
      </c>
      <c r="B3638" s="2"/>
      <c r="C3638" s="2" t="str">
        <v>0</v>
      </c>
      <c r="D3638" s="2"/>
      <c r="F3638" s="2" t="str">
        <v>0</v>
      </c>
      <c r="I3638" s="3" t="str">
        <f ca="1">IFERROR(__xludf.DUMMYFUNCTION("""COMPUTED_VALUE"""),"Nguyễn Thị Nga")</f>
        <v>Nguyễn Thị Nga</v>
      </c>
      <c r="J3638" s="3" t="str">
        <f ca="1">IFERROR(__xludf.DUMMYFUNCTION("""COMPUTED_VALUE"""),"0356880307")</f>
        <v>0356880307</v>
      </c>
      <c r="K3638" s="2" t="str">
        <f ca="1">IFERROR(__xludf.DUMMYFUNCTION("""COMPUTED_VALUE"""),"1737633965686")</f>
        <v>1737633965686</v>
      </c>
    </row>
    <row r="3639" spans="1:11" ht="12.45">
      <c r="A3639" s="2" t="str">
        <f ca="1">IFERROR(__xludf.DUMMYFUNCTION("""COMPUTED_VALUE"""),"1737634002958")</f>
        <v>1737634002958</v>
      </c>
      <c r="B3639" s="2"/>
      <c r="C3639" s="2" t="str">
        <v>0</v>
      </c>
      <c r="D3639" s="2"/>
      <c r="F3639" s="2" t="str">
        <v>0</v>
      </c>
      <c r="I3639" s="3" t="str">
        <f ca="1">IFERROR(__xludf.DUMMYFUNCTION("""COMPUTED_VALUE"""),"Trần Hoài Thiên San")</f>
        <v>Trần Hoài Thiên San</v>
      </c>
      <c r="J3639" s="3" t="str">
        <f ca="1">IFERROR(__xludf.DUMMYFUNCTION("""COMPUTED_VALUE"""),"0911311690")</f>
        <v>0911311690</v>
      </c>
      <c r="K3639" s="2" t="str">
        <f ca="1">IFERROR(__xludf.DUMMYFUNCTION("""COMPUTED_VALUE"""),"1737634002958")</f>
        <v>1737634002958</v>
      </c>
    </row>
    <row r="3640" spans="1:11" ht="12.45">
      <c r="A3640" s="2" t="str">
        <f ca="1">IFERROR(__xludf.DUMMYFUNCTION("""COMPUTED_VALUE"""),"1737634041745")</f>
        <v>1737634041745</v>
      </c>
      <c r="B3640" s="2"/>
      <c r="C3640" s="2" t="str">
        <v>0</v>
      </c>
      <c r="D3640" s="2"/>
      <c r="F3640" s="2" t="str">
        <v>0</v>
      </c>
      <c r="I3640" s="3" t="str">
        <f ca="1">IFERROR(__xludf.DUMMYFUNCTION("""COMPUTED_VALUE"""),"hà như ngọc")</f>
        <v>hà như ngọc</v>
      </c>
      <c r="J3640" s="3" t="str">
        <f ca="1">IFERROR(__xludf.DUMMYFUNCTION("""COMPUTED_VALUE"""),"0392908601")</f>
        <v>0392908601</v>
      </c>
      <c r="K3640" s="2" t="str">
        <f ca="1">IFERROR(__xludf.DUMMYFUNCTION("""COMPUTED_VALUE"""),"1737634041745")</f>
        <v>1737634041745</v>
      </c>
    </row>
    <row r="3641" spans="1:11" ht="12.45">
      <c r="A3641" s="2" t="str">
        <f ca="1">IFERROR(__xludf.DUMMYFUNCTION("""COMPUTED_VALUE"""),"1737634091319")</f>
        <v>1737634091319</v>
      </c>
      <c r="B3641" s="2"/>
      <c r="C3641" s="2" t="str">
        <v>0</v>
      </c>
      <c r="D3641" s="2"/>
      <c r="F3641" s="2" t="str">
        <v>0</v>
      </c>
      <c r="I3641" s="3" t="str">
        <f ca="1">IFERROR(__xludf.DUMMYFUNCTION("""COMPUTED_VALUE"""),"Trần Hạ Khánh Hân")</f>
        <v>Trần Hạ Khánh Hân</v>
      </c>
      <c r="J3641" s="3" t="str">
        <f ca="1">IFERROR(__xludf.DUMMYFUNCTION("""COMPUTED_VALUE"""),"0866092134")</f>
        <v>0866092134</v>
      </c>
      <c r="K3641" s="2" t="str">
        <f ca="1">IFERROR(__xludf.DUMMYFUNCTION("""COMPUTED_VALUE"""),"1737634091319")</f>
        <v>1737634091319</v>
      </c>
    </row>
    <row r="3642" spans="1:11" ht="12.45">
      <c r="A3642" s="2" t="str">
        <f ca="1">IFERROR(__xludf.DUMMYFUNCTION("""COMPUTED_VALUE"""),"1737634131151")</f>
        <v>1737634131151</v>
      </c>
      <c r="B3642" s="2"/>
      <c r="C3642" s="2" t="str">
        <v>0</v>
      </c>
      <c r="D3642" s="2"/>
      <c r="F3642" s="2" t="str">
        <v>0</v>
      </c>
      <c r="I3642" s="3" t="str">
        <f ca="1">IFERROR(__xludf.DUMMYFUNCTION("""COMPUTED_VALUE"""),"Đinh Huyền Trang")</f>
        <v>Đinh Huyền Trang</v>
      </c>
      <c r="J3642" s="3" t="str">
        <f ca="1">IFERROR(__xludf.DUMMYFUNCTION("""COMPUTED_VALUE"""),"0888259561")</f>
        <v>0888259561</v>
      </c>
      <c r="K3642" s="2" t="str">
        <f ca="1">IFERROR(__xludf.DUMMYFUNCTION("""COMPUTED_VALUE"""),"1737634131151")</f>
        <v>1737634131151</v>
      </c>
    </row>
    <row r="3643" spans="1:11" ht="12.45">
      <c r="A3643" s="2" t="str">
        <f ca="1">IFERROR(__xludf.DUMMYFUNCTION("""COMPUTED_VALUE"""),"1737634168079")</f>
        <v>1737634168079</v>
      </c>
      <c r="B3643" s="2"/>
      <c r="C3643" s="2" t="str">
        <v>0</v>
      </c>
      <c r="D3643" s="2"/>
      <c r="F3643" s="2" t="str">
        <v>0</v>
      </c>
      <c r="I3643" s="3" t="str">
        <f ca="1">IFERROR(__xludf.DUMMYFUNCTION("""COMPUTED_VALUE"""),"Trần Bảo Ngân")</f>
        <v>Trần Bảo Ngân</v>
      </c>
      <c r="J3643" s="3" t="str">
        <f ca="1">IFERROR(__xludf.DUMMYFUNCTION("""COMPUTED_VALUE"""),"0812988817")</f>
        <v>0812988817</v>
      </c>
      <c r="K3643" s="2" t="str">
        <f ca="1">IFERROR(__xludf.DUMMYFUNCTION("""COMPUTED_VALUE"""),"1737634168079")</f>
        <v>1737634168079</v>
      </c>
    </row>
    <row r="3644" spans="1:11" ht="12.45">
      <c r="A3644" s="2" t="str">
        <f ca="1">IFERROR(__xludf.DUMMYFUNCTION("""COMPUTED_VALUE"""),"1737634207161")</f>
        <v>1737634207161</v>
      </c>
      <c r="B3644" s="2"/>
      <c r="C3644" s="2" t="str">
        <v>0</v>
      </c>
      <c r="D3644" s="2"/>
      <c r="F3644" s="2" t="str">
        <v>0</v>
      </c>
      <c r="I3644" s="3" t="str">
        <f ca="1">IFERROR(__xludf.DUMMYFUNCTION("""COMPUTED_VALUE"""),"Dương Ngọc Hà ")</f>
        <v xml:space="preserve">Dương Ngọc Hà </v>
      </c>
      <c r="J3644" s="3" t="str">
        <f ca="1">IFERROR(__xludf.DUMMYFUNCTION("""COMPUTED_VALUE"""),"0356988456")</f>
        <v>0356988456</v>
      </c>
      <c r="K3644" s="2" t="str">
        <f ca="1">IFERROR(__xludf.DUMMYFUNCTION("""COMPUTED_VALUE"""),"1737634207161")</f>
        <v>1737634207161</v>
      </c>
    </row>
    <row r="3645" spans="1:11" ht="12.45">
      <c r="A3645" s="2" t="str">
        <f ca="1">IFERROR(__xludf.DUMMYFUNCTION("""COMPUTED_VALUE"""),"1737634236562")</f>
        <v>1737634236562</v>
      </c>
      <c r="B3645" s="2"/>
      <c r="C3645" s="2" t="str">
        <v>0</v>
      </c>
      <c r="D3645" s="2"/>
      <c r="F3645" s="2" t="str">
        <v>0</v>
      </c>
      <c r="I3645" s="3" t="str">
        <f ca="1">IFERROR(__xludf.DUMMYFUNCTION("""COMPUTED_VALUE"""),"Nguyễn Kim Anh")</f>
        <v>Nguyễn Kim Anh</v>
      </c>
      <c r="J3645" s="3" t="str">
        <f ca="1">IFERROR(__xludf.DUMMYFUNCTION("""COMPUTED_VALUE"""),"0962276103")</f>
        <v>0962276103</v>
      </c>
      <c r="K3645" s="2" t="str">
        <f ca="1">IFERROR(__xludf.DUMMYFUNCTION("""COMPUTED_VALUE"""),"1737634236562")</f>
        <v>1737634236562</v>
      </c>
    </row>
    <row r="3646" spans="1:11" ht="12.45">
      <c r="A3646" s="2" t="str">
        <f ca="1">IFERROR(__xludf.DUMMYFUNCTION("""COMPUTED_VALUE"""),"1737634270700")</f>
        <v>1737634270700</v>
      </c>
      <c r="B3646" s="2"/>
      <c r="C3646" s="2" t="str">
        <v>0</v>
      </c>
      <c r="D3646" s="2"/>
      <c r="F3646" s="2" t="str">
        <v>0</v>
      </c>
      <c r="I3646" s="3" t="str">
        <f ca="1">IFERROR(__xludf.DUMMYFUNCTION("""COMPUTED_VALUE"""),"Tạ Thị Lan Anh")</f>
        <v>Tạ Thị Lan Anh</v>
      </c>
      <c r="J3646" s="2" t="str">
        <f ca="1">IFERROR(__xludf.DUMMYFUNCTION("""COMPUTED_VALUE"""),"08432760008")</f>
        <v>08432760008</v>
      </c>
      <c r="K3646" s="2" t="str">
        <f ca="1">IFERROR(__xludf.DUMMYFUNCTION("""COMPUTED_VALUE"""),"1737634270700")</f>
        <v>1737634270700</v>
      </c>
    </row>
    <row r="3647" spans="1:11" ht="12.45">
      <c r="A3647" s="2" t="str">
        <f ca="1">IFERROR(__xludf.DUMMYFUNCTION("""COMPUTED_VALUE"""),"1737634307687")</f>
        <v>1737634307687</v>
      </c>
      <c r="B3647" s="2"/>
      <c r="C3647" s="2" t="str">
        <v>0</v>
      </c>
      <c r="D3647" s="2"/>
      <c r="F3647" s="2" t="str">
        <v>0</v>
      </c>
      <c r="I3647" s="3" t="str">
        <f ca="1">IFERROR(__xludf.DUMMYFUNCTION("""COMPUTED_VALUE"""),"Tôn Nữ ÁI Hoà")</f>
        <v>Tôn Nữ ÁI Hoà</v>
      </c>
      <c r="J3647" s="3" t="str">
        <f ca="1">IFERROR(__xludf.DUMMYFUNCTION("""COMPUTED_VALUE"""),"0784236482")</f>
        <v>0784236482</v>
      </c>
      <c r="K3647" s="2" t="str">
        <f ca="1">IFERROR(__xludf.DUMMYFUNCTION("""COMPUTED_VALUE"""),"1737634307687")</f>
        <v>1737634307687</v>
      </c>
    </row>
    <row r="3648" spans="1:11" ht="12.45">
      <c r="A3648" s="2" t="str">
        <f ca="1">IFERROR(__xludf.DUMMYFUNCTION("""COMPUTED_VALUE"""),"1744768729020")</f>
        <v>1744768729020</v>
      </c>
      <c r="B3648" s="2"/>
      <c r="C3648" s="2" t="str">
        <v>0</v>
      </c>
      <c r="D3648" s="2"/>
      <c r="F3648" s="2" t="str">
        <v>0</v>
      </c>
      <c r="I3648" s="3" t="str">
        <f ca="1">IFERROR(__xludf.DUMMYFUNCTION("""COMPUTED_VALUE"""),"Nguyễn Huỳnh Bảo Nghi")</f>
        <v>Nguyễn Huỳnh Bảo Nghi</v>
      </c>
      <c r="J3648" s="3" t="str">
        <f ca="1">IFERROR(__xludf.DUMMYFUNCTION("""COMPUTED_VALUE"""),"0812021839")</f>
        <v>0812021839</v>
      </c>
      <c r="K3648" s="2" t="str">
        <f ca="1">IFERROR(__xludf.DUMMYFUNCTION("""COMPUTED_VALUE"""),"1744768729020")</f>
        <v>1744768729020</v>
      </c>
    </row>
    <row r="3649" spans="1:11" ht="12.45">
      <c r="A3649" s="2" t="str">
        <f ca="1">IFERROR(__xludf.DUMMYFUNCTION("""COMPUTED_VALUE"""),"1737634344280")</f>
        <v>1737634344280</v>
      </c>
      <c r="B3649" s="2"/>
      <c r="C3649" s="2" t="str">
        <v>0</v>
      </c>
      <c r="D3649" s="2"/>
      <c r="F3649" s="2" t="str">
        <v>0</v>
      </c>
      <c r="I3649" s="3" t="str">
        <f ca="1">IFERROR(__xludf.DUMMYFUNCTION("""COMPUTED_VALUE"""),"Cấn Trà My")</f>
        <v>Cấn Trà My</v>
      </c>
      <c r="J3649" s="3" t="str">
        <f ca="1">IFERROR(__xludf.DUMMYFUNCTION("""COMPUTED_VALUE"""),"0961266485")</f>
        <v>0961266485</v>
      </c>
      <c r="K3649" s="2" t="str">
        <f ca="1">IFERROR(__xludf.DUMMYFUNCTION("""COMPUTED_VALUE"""),"1737634344280")</f>
        <v>1737634344280</v>
      </c>
    </row>
    <row r="3650" spans="1:11" ht="12.45">
      <c r="A3650" s="2" t="str">
        <f ca="1">IFERROR(__xludf.DUMMYFUNCTION("""COMPUTED_VALUE"""),"1737634378001")</f>
        <v>1737634378001</v>
      </c>
      <c r="B3650" s="2"/>
      <c r="C3650" s="2" t="str">
        <v>0</v>
      </c>
      <c r="D3650" s="2"/>
      <c r="F3650" s="2" t="str">
        <v>0</v>
      </c>
      <c r="I3650" s="3" t="str">
        <f ca="1">IFERROR(__xludf.DUMMYFUNCTION("""COMPUTED_VALUE"""),"Trương Trần Tấn Lộc")</f>
        <v>Trương Trần Tấn Lộc</v>
      </c>
      <c r="J3650" s="3" t="str">
        <f ca="1">IFERROR(__xludf.DUMMYFUNCTION("""COMPUTED_VALUE"""),"0565459039")</f>
        <v>0565459039</v>
      </c>
      <c r="K3650" s="2" t="str">
        <f ca="1">IFERROR(__xludf.DUMMYFUNCTION("""COMPUTED_VALUE"""),"1737634378001")</f>
        <v>1737634378001</v>
      </c>
    </row>
    <row r="3651" spans="1:11" ht="12.45">
      <c r="A3651" s="2" t="str">
        <f ca="1">IFERROR(__xludf.DUMMYFUNCTION("""COMPUTED_VALUE"""),"1737634401581")</f>
        <v>1737634401581</v>
      </c>
      <c r="B3651" s="2"/>
      <c r="C3651" s="2" t="str">
        <v>0</v>
      </c>
      <c r="D3651" s="2"/>
      <c r="F3651" s="2" t="str">
        <v>0</v>
      </c>
      <c r="I3651" s="3" t="str">
        <f ca="1">IFERROR(__xludf.DUMMYFUNCTION("""COMPUTED_VALUE"""),"Cao Nguyễn Bảo Uyên")</f>
        <v>Cao Nguyễn Bảo Uyên</v>
      </c>
      <c r="J3651" s="3" t="str">
        <f ca="1">IFERROR(__xludf.DUMMYFUNCTION("""COMPUTED_VALUE"""),"0915898247")</f>
        <v>0915898247</v>
      </c>
      <c r="K3651" s="2" t="str">
        <f ca="1">IFERROR(__xludf.DUMMYFUNCTION("""COMPUTED_VALUE"""),"1737634401581")</f>
        <v>1737634401581</v>
      </c>
    </row>
    <row r="3652" spans="1:11" ht="12.45">
      <c r="A3652" s="2" t="str">
        <f ca="1">IFERROR(__xludf.DUMMYFUNCTION("""COMPUTED_VALUE"""),"1737634431074")</f>
        <v>1737634431074</v>
      </c>
      <c r="B3652" s="2"/>
      <c r="C3652" s="2" t="str">
        <v>0</v>
      </c>
      <c r="D3652" s="2"/>
      <c r="F3652" s="2" t="str">
        <v>0</v>
      </c>
      <c r="I3652" s="3" t="str">
        <f ca="1">IFERROR(__xludf.DUMMYFUNCTION("""COMPUTED_VALUE"""),"Đỗ Thị Diệu Linh ")</f>
        <v xml:space="preserve">Đỗ Thị Diệu Linh </v>
      </c>
      <c r="J3652" s="3" t="str">
        <f ca="1">IFERROR(__xludf.DUMMYFUNCTION("""COMPUTED_VALUE"""),"0396901264")</f>
        <v>0396901264</v>
      </c>
      <c r="K3652" s="2" t="str">
        <f ca="1">IFERROR(__xludf.DUMMYFUNCTION("""COMPUTED_VALUE"""),"1737634431074")</f>
        <v>1737634431074</v>
      </c>
    </row>
    <row r="3653" spans="1:11" ht="12.45">
      <c r="A3653" s="2" t="str">
        <f ca="1">IFERROR(__xludf.DUMMYFUNCTION("""COMPUTED_VALUE"""),"1744768752424")</f>
        <v>1744768752424</v>
      </c>
      <c r="B3653" s="2"/>
      <c r="C3653" s="2" t="str">
        <v>0</v>
      </c>
      <c r="D3653" s="2"/>
      <c r="F3653" s="2" t="str">
        <v>0</v>
      </c>
      <c r="I3653" s="3" t="str">
        <f ca="1">IFERROR(__xludf.DUMMYFUNCTION("""COMPUTED_VALUE"""),"Nguyễn Thị Mai Ngọc")</f>
        <v>Nguyễn Thị Mai Ngọc</v>
      </c>
      <c r="J3653" s="3" t="str">
        <f ca="1">IFERROR(__xludf.DUMMYFUNCTION("""COMPUTED_VALUE"""),"0868682181")</f>
        <v>0868682181</v>
      </c>
      <c r="K3653" s="2" t="str">
        <f ca="1">IFERROR(__xludf.DUMMYFUNCTION("""COMPUTED_VALUE"""),"1744768752424")</f>
        <v>1744768752424</v>
      </c>
    </row>
    <row r="3654" spans="1:11" ht="12.45">
      <c r="A3654" s="2" t="str">
        <f ca="1">IFERROR(__xludf.DUMMYFUNCTION("""COMPUTED_VALUE"""),"1737634458193")</f>
        <v>1737634458193</v>
      </c>
      <c r="B3654" s="2"/>
      <c r="C3654" s="2" t="str">
        <v>0</v>
      </c>
      <c r="D3654" s="2"/>
      <c r="F3654" s="2" t="str">
        <v>0</v>
      </c>
      <c r="I3654" s="3" t="str">
        <f ca="1">IFERROR(__xludf.DUMMYFUNCTION("""COMPUTED_VALUE"""),"Nguyễn Hồng Ánh Dương")</f>
        <v>Nguyễn Hồng Ánh Dương</v>
      </c>
      <c r="J3654" s="3" t="str">
        <f ca="1">IFERROR(__xludf.DUMMYFUNCTION("""COMPUTED_VALUE"""),"0938072287")</f>
        <v>0938072287</v>
      </c>
      <c r="K3654" s="2" t="str">
        <f ca="1">IFERROR(__xludf.DUMMYFUNCTION("""COMPUTED_VALUE"""),"1737634458193")</f>
        <v>1737634458193</v>
      </c>
    </row>
    <row r="3655" spans="1:11" ht="12.45">
      <c r="A3655" s="2" t="str">
        <f ca="1">IFERROR(__xludf.DUMMYFUNCTION("""COMPUTED_VALUE"""),"1737634486923")</f>
        <v>1737634486923</v>
      </c>
      <c r="B3655" s="2"/>
      <c r="C3655" s="2" t="str">
        <v>0</v>
      </c>
      <c r="D3655" s="2"/>
      <c r="F3655" s="2" t="str">
        <v>0</v>
      </c>
      <c r="I3655" s="3" t="str">
        <f ca="1">IFERROR(__xludf.DUMMYFUNCTION("""COMPUTED_VALUE"""),"Hoàng Hà Phương")</f>
        <v>Hoàng Hà Phương</v>
      </c>
      <c r="J3655" s="3" t="str">
        <f ca="1">IFERROR(__xludf.DUMMYFUNCTION("""COMPUTED_VALUE"""),"0973169272")</f>
        <v>0973169272</v>
      </c>
      <c r="K3655" s="2" t="str">
        <f ca="1">IFERROR(__xludf.DUMMYFUNCTION("""COMPUTED_VALUE"""),"1737634486923")</f>
        <v>1737634486923</v>
      </c>
    </row>
    <row r="3656" spans="1:11" ht="12.45">
      <c r="A3656" s="2" t="str">
        <f ca="1">IFERROR(__xludf.DUMMYFUNCTION("""COMPUTED_VALUE"""),"1737634517727")</f>
        <v>1737634517727</v>
      </c>
      <c r="B3656" s="2"/>
      <c r="C3656" s="2" t="str">
        <v>0</v>
      </c>
      <c r="D3656" s="2"/>
      <c r="F3656" s="2" t="str">
        <v>0</v>
      </c>
      <c r="I3656" s="3" t="str">
        <f ca="1">IFERROR(__xludf.DUMMYFUNCTION("""COMPUTED_VALUE"""),"Trần Quỳnh Trang")</f>
        <v>Trần Quỳnh Trang</v>
      </c>
      <c r="J3656" s="3" t="str">
        <f ca="1">IFERROR(__xludf.DUMMYFUNCTION("""COMPUTED_VALUE"""),"0354171622")</f>
        <v>0354171622</v>
      </c>
      <c r="K3656" s="2" t="str">
        <f ca="1">IFERROR(__xludf.DUMMYFUNCTION("""COMPUTED_VALUE"""),"1737634517727")</f>
        <v>1737634517727</v>
      </c>
    </row>
    <row r="3657" spans="1:11" ht="12.45">
      <c r="A3657" s="2" t="str">
        <f ca="1">IFERROR(__xludf.DUMMYFUNCTION("""COMPUTED_VALUE"""),"1737634546386")</f>
        <v>1737634546386</v>
      </c>
      <c r="B3657" s="2"/>
      <c r="C3657" s="2" t="str">
        <v>0</v>
      </c>
      <c r="D3657" s="2"/>
      <c r="F3657" s="2" t="str">
        <v>0</v>
      </c>
      <c r="I3657" s="3" t="str">
        <f ca="1">IFERROR(__xludf.DUMMYFUNCTION("""COMPUTED_VALUE"""),"Lý Mỹ Thiên Ý ")</f>
        <v xml:space="preserve">Lý Mỹ Thiên Ý </v>
      </c>
      <c r="J3657" s="3" t="str">
        <f ca="1">IFERROR(__xludf.DUMMYFUNCTION("""COMPUTED_VALUE"""),"0943438907")</f>
        <v>0943438907</v>
      </c>
      <c r="K3657" s="2" t="str">
        <f ca="1">IFERROR(__xludf.DUMMYFUNCTION("""COMPUTED_VALUE"""),"1737634546386")</f>
        <v>1737634546386</v>
      </c>
    </row>
    <row r="3658" spans="1:11" ht="12.45">
      <c r="A3658" s="2" t="str">
        <f ca="1">IFERROR(__xludf.DUMMYFUNCTION("""COMPUTED_VALUE"""),"1737634580886")</f>
        <v>1737634580886</v>
      </c>
      <c r="B3658" s="2"/>
      <c r="C3658" s="2" t="str">
        <v>0</v>
      </c>
      <c r="D3658" s="2"/>
      <c r="F3658" s="2" t="str">
        <v>0</v>
      </c>
      <c r="I3658" s="3" t="str">
        <f ca="1">IFERROR(__xludf.DUMMYFUNCTION("""COMPUTED_VALUE"""),"Nguyễn Ngọc Bảo Trâm")</f>
        <v>Nguyễn Ngọc Bảo Trâm</v>
      </c>
      <c r="J3658" s="3" t="str">
        <f ca="1">IFERROR(__xludf.DUMMYFUNCTION("""COMPUTED_VALUE"""),"0798427392")</f>
        <v>0798427392</v>
      </c>
      <c r="K3658" s="2" t="str">
        <f ca="1">IFERROR(__xludf.DUMMYFUNCTION("""COMPUTED_VALUE"""),"1737634580886")</f>
        <v>1737634580886</v>
      </c>
    </row>
    <row r="3659" spans="1:11" ht="12.45">
      <c r="A3659" s="2" t="str">
        <f ca="1">IFERROR(__xludf.DUMMYFUNCTION("""COMPUTED_VALUE"""),"1737634621509")</f>
        <v>1737634621509</v>
      </c>
      <c r="B3659" s="2"/>
      <c r="C3659" s="2" t="str">
        <v>0</v>
      </c>
      <c r="D3659" s="2"/>
      <c r="F3659" s="2" t="str">
        <v>0</v>
      </c>
      <c r="I3659" s="3" t="str">
        <f ca="1">IFERROR(__xludf.DUMMYFUNCTION("""COMPUTED_VALUE"""),"Trần Thuỳ Anh")</f>
        <v>Trần Thuỳ Anh</v>
      </c>
      <c r="J3659" s="3" t="str">
        <f ca="1">IFERROR(__xludf.DUMMYFUNCTION("""COMPUTED_VALUE"""),"0938575696")</f>
        <v>0938575696</v>
      </c>
      <c r="K3659" s="2" t="str">
        <f ca="1">IFERROR(__xludf.DUMMYFUNCTION("""COMPUTED_VALUE"""),"1737634621509")</f>
        <v>1737634621509</v>
      </c>
    </row>
    <row r="3660" spans="1:11" ht="12.45">
      <c r="A3660" s="2" t="str">
        <f ca="1">IFERROR(__xludf.DUMMYFUNCTION("""COMPUTED_VALUE"""),"1737634656801")</f>
        <v>1737634656801</v>
      </c>
      <c r="B3660" s="2"/>
      <c r="C3660" s="2" t="str">
        <v>0</v>
      </c>
      <c r="D3660" s="2"/>
      <c r="F3660" s="2" t="str">
        <v>0</v>
      </c>
      <c r="I3660" s="3" t="str">
        <f ca="1">IFERROR(__xludf.DUMMYFUNCTION("""COMPUTED_VALUE"""),"Hoàng Thanh Huyền")</f>
        <v>Hoàng Thanh Huyền</v>
      </c>
      <c r="J3660" s="3" t="str">
        <f ca="1">IFERROR(__xludf.DUMMYFUNCTION("""COMPUTED_VALUE"""),"0967089051")</f>
        <v>0967089051</v>
      </c>
      <c r="K3660" s="2" t="str">
        <f ca="1">IFERROR(__xludf.DUMMYFUNCTION("""COMPUTED_VALUE"""),"1737634656801")</f>
        <v>1737634656801</v>
      </c>
    </row>
    <row r="3661" spans="1:11" ht="12.45">
      <c r="A3661" s="2" t="str">
        <f ca="1">IFERROR(__xludf.DUMMYFUNCTION("""COMPUTED_VALUE"""),"1737634701519")</f>
        <v>1737634701519</v>
      </c>
      <c r="B3661" s="2"/>
      <c r="C3661" s="2" t="str">
        <v>0</v>
      </c>
      <c r="D3661" s="2"/>
      <c r="F3661" s="2" t="str">
        <v>0</v>
      </c>
      <c r="I3661" s="3" t="str">
        <f ca="1">IFERROR(__xludf.DUMMYFUNCTION("""COMPUTED_VALUE"""),"Chu mai hương")</f>
        <v>Chu mai hương</v>
      </c>
      <c r="J3661" s="3" t="str">
        <f ca="1">IFERROR(__xludf.DUMMYFUNCTION("""COMPUTED_VALUE"""),"0374201445")</f>
        <v>0374201445</v>
      </c>
      <c r="K3661" s="2" t="str">
        <f ca="1">IFERROR(__xludf.DUMMYFUNCTION("""COMPUTED_VALUE"""),"1737634701519")</f>
        <v>1737634701519</v>
      </c>
    </row>
    <row r="3662" spans="1:11" ht="12.45">
      <c r="A3662" s="2" t="str">
        <f ca="1">IFERROR(__xludf.DUMMYFUNCTION("""COMPUTED_VALUE"""),"1737634735510")</f>
        <v>1737634735510</v>
      </c>
      <c r="B3662" s="2"/>
      <c r="C3662" s="2" t="str">
        <v>0</v>
      </c>
      <c r="D3662" s="2"/>
      <c r="F3662" s="2" t="str">
        <v>0</v>
      </c>
      <c r="I3662" s="3" t="str">
        <f ca="1">IFERROR(__xludf.DUMMYFUNCTION("""COMPUTED_VALUE"""),"Phan Thuỳ Dương")</f>
        <v>Phan Thuỳ Dương</v>
      </c>
      <c r="J3662" s="3" t="str">
        <f ca="1">IFERROR(__xludf.DUMMYFUNCTION("""COMPUTED_VALUE"""),"0342075238")</f>
        <v>0342075238</v>
      </c>
      <c r="K3662" s="2" t="str">
        <f ca="1">IFERROR(__xludf.DUMMYFUNCTION("""COMPUTED_VALUE"""),"1737634735510")</f>
        <v>1737634735510</v>
      </c>
    </row>
    <row r="3663" spans="1:11" ht="12.45">
      <c r="A3663" s="2" t="str">
        <f ca="1">IFERROR(__xludf.DUMMYFUNCTION("""COMPUTED_VALUE"""),"1737634769870")</f>
        <v>1737634769870</v>
      </c>
      <c r="B3663" s="2"/>
      <c r="C3663" s="2" t="str">
        <v>0</v>
      </c>
      <c r="D3663" s="2"/>
      <c r="F3663" s="2" t="str">
        <v>0</v>
      </c>
      <c r="I3663" s="3" t="str">
        <f ca="1">IFERROR(__xludf.DUMMYFUNCTION("""COMPUTED_VALUE"""),"Lục Kim Huệ")</f>
        <v>Lục Kim Huệ</v>
      </c>
      <c r="J3663" s="3" t="str">
        <f ca="1">IFERROR(__xludf.DUMMYFUNCTION("""COMPUTED_VALUE"""),"0866150270")</f>
        <v>0866150270</v>
      </c>
      <c r="K3663" s="2" t="str">
        <f ca="1">IFERROR(__xludf.DUMMYFUNCTION("""COMPUTED_VALUE"""),"1737634769870")</f>
        <v>1737634769870</v>
      </c>
    </row>
    <row r="3664" spans="1:11" ht="12.45">
      <c r="A3664" s="2" t="str">
        <f ca="1">IFERROR(__xludf.DUMMYFUNCTION("""COMPUTED_VALUE"""),"1737634803242")</f>
        <v>1737634803242</v>
      </c>
      <c r="B3664" s="2"/>
      <c r="C3664" s="2" t="str">
        <v>0</v>
      </c>
      <c r="D3664" s="2"/>
      <c r="F3664" s="2" t="str">
        <v>0</v>
      </c>
      <c r="I3664" s="3" t="str">
        <f ca="1">IFERROR(__xludf.DUMMYFUNCTION("""COMPUTED_VALUE"""),"Trần Bảo Anh")</f>
        <v>Trần Bảo Anh</v>
      </c>
      <c r="J3664" s="3" t="str">
        <f ca="1">IFERROR(__xludf.DUMMYFUNCTION("""COMPUTED_VALUE"""),"0869731513")</f>
        <v>0869731513</v>
      </c>
      <c r="K3664" s="2" t="str">
        <f ca="1">IFERROR(__xludf.DUMMYFUNCTION("""COMPUTED_VALUE"""),"1737634803242")</f>
        <v>1737634803242</v>
      </c>
    </row>
    <row r="3665" spans="1:11" ht="12.45">
      <c r="A3665" s="2" t="str">
        <f ca="1">IFERROR(__xludf.DUMMYFUNCTION("""COMPUTED_VALUE"""),"1737634837065")</f>
        <v>1737634837065</v>
      </c>
      <c r="B3665" s="2"/>
      <c r="C3665" s="2" t="str">
        <v>0</v>
      </c>
      <c r="D3665" s="2"/>
      <c r="F3665" s="2" t="str">
        <v>0</v>
      </c>
      <c r="I3665" s="3" t="str">
        <f ca="1">IFERROR(__xludf.DUMMYFUNCTION("""COMPUTED_VALUE"""),"NGUYỄN PHƯƠNG THANH ")</f>
        <v xml:space="preserve">NGUYỄN PHƯƠNG THANH </v>
      </c>
      <c r="J3665" s="3" t="str">
        <f ca="1">IFERROR(__xludf.DUMMYFUNCTION("""COMPUTED_VALUE"""),"0337326210")</f>
        <v>0337326210</v>
      </c>
      <c r="K3665" s="2" t="str">
        <f ca="1">IFERROR(__xludf.DUMMYFUNCTION("""COMPUTED_VALUE"""),"1737634837065")</f>
        <v>1737634837065</v>
      </c>
    </row>
    <row r="3666" spans="1:11" ht="12.45">
      <c r="A3666" s="2" t="str">
        <f ca="1">IFERROR(__xludf.DUMMYFUNCTION("""COMPUTED_VALUE"""),"1737634869498")</f>
        <v>1737634869498</v>
      </c>
      <c r="B3666" s="2"/>
      <c r="C3666" s="2" t="str">
        <v>0</v>
      </c>
      <c r="D3666" s="2"/>
      <c r="F3666" s="2" t="str">
        <v>0</v>
      </c>
      <c r="I3666" s="3" t="str">
        <f ca="1">IFERROR(__xludf.DUMMYFUNCTION("""COMPUTED_VALUE"""),"Phạm Thành Long")</f>
        <v>Phạm Thành Long</v>
      </c>
      <c r="J3666" s="3" t="str">
        <f ca="1">IFERROR(__xludf.DUMMYFUNCTION("""COMPUTED_VALUE"""),"0832314934")</f>
        <v>0832314934</v>
      </c>
      <c r="K3666" s="2" t="str">
        <f ca="1">IFERROR(__xludf.DUMMYFUNCTION("""COMPUTED_VALUE"""),"1737634869498")</f>
        <v>1737634869498</v>
      </c>
    </row>
    <row r="3667" spans="1:11" ht="12.45">
      <c r="A3667" s="2" t="str">
        <f ca="1">IFERROR(__xludf.DUMMYFUNCTION("""COMPUTED_VALUE"""),"1737634910072")</f>
        <v>1737634910072</v>
      </c>
      <c r="B3667" s="2"/>
      <c r="C3667" s="2" t="str">
        <v>0</v>
      </c>
      <c r="D3667" s="2"/>
      <c r="F3667" s="2" t="str">
        <v>0</v>
      </c>
      <c r="I3667" s="3" t="str">
        <f ca="1">IFERROR(__xludf.DUMMYFUNCTION("""COMPUTED_VALUE"""),"Vũ Nguyễn Phương Anh")</f>
        <v>Vũ Nguyễn Phương Anh</v>
      </c>
      <c r="J3667" s="3" t="str">
        <f ca="1">IFERROR(__xludf.DUMMYFUNCTION("""COMPUTED_VALUE"""),"0969323757")</f>
        <v>0969323757</v>
      </c>
      <c r="K3667" s="2" t="str">
        <f ca="1">IFERROR(__xludf.DUMMYFUNCTION("""COMPUTED_VALUE"""),"1737634910072")</f>
        <v>1737634910072</v>
      </c>
    </row>
    <row r="3668" spans="1:11" ht="12.45">
      <c r="A3668" s="2" t="str">
        <f ca="1">IFERROR(__xludf.DUMMYFUNCTION("""COMPUTED_VALUE"""),"1737634946041")</f>
        <v>1737634946041</v>
      </c>
      <c r="B3668" s="2"/>
      <c r="C3668" s="2" t="str">
        <v>0</v>
      </c>
      <c r="D3668" s="2"/>
      <c r="F3668" s="2" t="str">
        <v>0</v>
      </c>
      <c r="I3668" s="3" t="str">
        <f ca="1">IFERROR(__xludf.DUMMYFUNCTION("""COMPUTED_VALUE"""),"Nguyễn khánh Huyền ")</f>
        <v xml:space="preserve">Nguyễn khánh Huyền </v>
      </c>
      <c r="J3668" s="3" t="str">
        <f ca="1">IFERROR(__xludf.DUMMYFUNCTION("""COMPUTED_VALUE"""),"0869312907")</f>
        <v>0869312907</v>
      </c>
      <c r="K3668" s="2" t="str">
        <f ca="1">IFERROR(__xludf.DUMMYFUNCTION("""COMPUTED_VALUE"""),"1737634946041")</f>
        <v>1737634946041</v>
      </c>
    </row>
    <row r="3669" spans="1:11" ht="12.45">
      <c r="A3669" s="2" t="str">
        <f ca="1">IFERROR(__xludf.DUMMYFUNCTION("""COMPUTED_VALUE"""),"1737634980830")</f>
        <v>1737634980830</v>
      </c>
      <c r="B3669" s="2"/>
      <c r="C3669" s="2" t="str">
        <v>0</v>
      </c>
      <c r="D3669" s="2"/>
      <c r="F3669" s="2" t="str">
        <v>0</v>
      </c>
      <c r="I3669" s="3" t="str">
        <f ca="1">IFERROR(__xludf.DUMMYFUNCTION("""COMPUTED_VALUE"""),"Nguyễn Thu Hà")</f>
        <v>Nguyễn Thu Hà</v>
      </c>
      <c r="J3669" s="3" t="str">
        <f ca="1">IFERROR(__xludf.DUMMYFUNCTION("""COMPUTED_VALUE"""),"0384216348")</f>
        <v>0384216348</v>
      </c>
      <c r="K3669" s="2" t="str">
        <f ca="1">IFERROR(__xludf.DUMMYFUNCTION("""COMPUTED_VALUE"""),"1737634980830")</f>
        <v>1737634980830</v>
      </c>
    </row>
    <row r="3670" spans="1:11" ht="12.45">
      <c r="A3670" s="2" t="str">
        <f ca="1">IFERROR(__xludf.DUMMYFUNCTION("""COMPUTED_VALUE"""),"1737635018120")</f>
        <v>1737635018120</v>
      </c>
      <c r="B3670" s="2"/>
      <c r="C3670" s="2" t="str">
        <v>0</v>
      </c>
      <c r="D3670" s="2"/>
      <c r="F3670" s="2" t="str">
        <v>0</v>
      </c>
      <c r="I3670" s="3" t="str">
        <f ca="1">IFERROR(__xludf.DUMMYFUNCTION("""COMPUTED_VALUE"""),"Lê Bùi Văn Dũng")</f>
        <v>Lê Bùi Văn Dũng</v>
      </c>
      <c r="J3670" s="3" t="str">
        <f ca="1">IFERROR(__xludf.DUMMYFUNCTION("""COMPUTED_VALUE"""),"0938890329")</f>
        <v>0938890329</v>
      </c>
      <c r="K3670" s="2" t="str">
        <f ca="1">IFERROR(__xludf.DUMMYFUNCTION("""COMPUTED_VALUE"""),"1737635018120")</f>
        <v>1737635018120</v>
      </c>
    </row>
    <row r="3671" spans="1:11" ht="12.45">
      <c r="A3671" s="2" t="str">
        <f ca="1">IFERROR(__xludf.DUMMYFUNCTION("""COMPUTED_VALUE"""),"1737635045765")</f>
        <v>1737635045765</v>
      </c>
      <c r="B3671" s="2"/>
      <c r="C3671" s="2" t="str">
        <v>0</v>
      </c>
      <c r="D3671" s="2"/>
      <c r="F3671" s="2" t="str">
        <v>0</v>
      </c>
      <c r="I3671" s="3" t="str">
        <f ca="1">IFERROR(__xludf.DUMMYFUNCTION("""COMPUTED_VALUE"""),"Nguyễn Quỳnh Phương")</f>
        <v>Nguyễn Quỳnh Phương</v>
      </c>
      <c r="J3671" s="3" t="str">
        <f ca="1">IFERROR(__xludf.DUMMYFUNCTION("""COMPUTED_VALUE"""),"0934942623")</f>
        <v>0934942623</v>
      </c>
      <c r="K3671" s="2" t="str">
        <f ca="1">IFERROR(__xludf.DUMMYFUNCTION("""COMPUTED_VALUE"""),"1737635045765")</f>
        <v>1737635045765</v>
      </c>
    </row>
    <row r="3672" spans="1:11" ht="12.45">
      <c r="A3672" s="2" t="str">
        <f ca="1">IFERROR(__xludf.DUMMYFUNCTION("""COMPUTED_VALUE"""),"1737635083316")</f>
        <v>1737635083316</v>
      </c>
      <c r="B3672" s="2"/>
      <c r="C3672" s="2" t="str">
        <v>0</v>
      </c>
      <c r="D3672" s="2"/>
      <c r="F3672" s="2" t="str">
        <v>0</v>
      </c>
      <c r="I3672" s="3" t="str">
        <f ca="1">IFERROR(__xludf.DUMMYFUNCTION("""COMPUTED_VALUE"""),"Nguyễn Huỳnh Bảo Trâm")</f>
        <v>Nguyễn Huỳnh Bảo Trâm</v>
      </c>
      <c r="J3672" s="3" t="str">
        <f ca="1">IFERROR(__xludf.DUMMYFUNCTION("""COMPUTED_VALUE"""),"0782780617")</f>
        <v>0782780617</v>
      </c>
      <c r="K3672" s="2" t="str">
        <f ca="1">IFERROR(__xludf.DUMMYFUNCTION("""COMPUTED_VALUE"""),"1737635083316")</f>
        <v>1737635083316</v>
      </c>
    </row>
    <row r="3673" spans="1:11" ht="12.45">
      <c r="A3673" s="2" t="str">
        <f ca="1">IFERROR(__xludf.DUMMYFUNCTION("""COMPUTED_VALUE"""),"1737635116398")</f>
        <v>1737635116398</v>
      </c>
      <c r="B3673" s="2"/>
      <c r="C3673" s="2" t="str">
        <v>0</v>
      </c>
      <c r="D3673" s="2"/>
      <c r="F3673" s="2" t="str">
        <v>0</v>
      </c>
      <c r="I3673" s="3" t="str">
        <f ca="1">IFERROR(__xludf.DUMMYFUNCTION("""COMPUTED_VALUE"""),"Trịnh Thị Thu Anh")</f>
        <v>Trịnh Thị Thu Anh</v>
      </c>
      <c r="J3673" s="3" t="str">
        <f ca="1">IFERROR(__xludf.DUMMYFUNCTION("""COMPUTED_VALUE"""),"0345834977")</f>
        <v>0345834977</v>
      </c>
      <c r="K3673" s="2" t="str">
        <f ca="1">IFERROR(__xludf.DUMMYFUNCTION("""COMPUTED_VALUE"""),"1737635116398")</f>
        <v>1737635116398</v>
      </c>
    </row>
    <row r="3674" spans="1:11" ht="12.45">
      <c r="A3674" s="2" t="str">
        <f ca="1">IFERROR(__xludf.DUMMYFUNCTION("""COMPUTED_VALUE"""),"1737635151410")</f>
        <v>1737635151410</v>
      </c>
      <c r="B3674" s="2"/>
      <c r="C3674" s="2" t="str">
        <v>0</v>
      </c>
      <c r="D3674" s="2"/>
      <c r="F3674" s="2" t="str">
        <v>0</v>
      </c>
      <c r="I3674" s="3" t="str">
        <f ca="1">IFERROR(__xludf.DUMMYFUNCTION("""COMPUTED_VALUE"""),"Cầm Phương Thảo")</f>
        <v>Cầm Phương Thảo</v>
      </c>
      <c r="J3674" s="3" t="str">
        <f ca="1">IFERROR(__xludf.DUMMYFUNCTION("""COMPUTED_VALUE"""),"0327931866")</f>
        <v>0327931866</v>
      </c>
      <c r="K3674" s="2" t="str">
        <f ca="1">IFERROR(__xludf.DUMMYFUNCTION("""COMPUTED_VALUE"""),"1737635151410")</f>
        <v>1737635151410</v>
      </c>
    </row>
    <row r="3675" spans="1:11" ht="12.45">
      <c r="A3675" s="2" t="str">
        <f ca="1">IFERROR(__xludf.DUMMYFUNCTION("""COMPUTED_VALUE"""),"1737635188464")</f>
        <v>1737635188464</v>
      </c>
      <c r="B3675" s="2"/>
      <c r="C3675" s="2" t="str">
        <v>0</v>
      </c>
      <c r="D3675" s="2"/>
      <c r="F3675" s="2" t="str">
        <v>0</v>
      </c>
      <c r="I3675" s="3" t="str">
        <f ca="1">IFERROR(__xludf.DUMMYFUNCTION("""COMPUTED_VALUE"""),"Nguyễn Thị Minh Phương")</f>
        <v>Nguyễn Thị Minh Phương</v>
      </c>
      <c r="J3675" s="3" t="str">
        <f ca="1">IFERROR(__xludf.DUMMYFUNCTION("""COMPUTED_VALUE"""),"0767068918")</f>
        <v>0767068918</v>
      </c>
      <c r="K3675" s="2" t="str">
        <f ca="1">IFERROR(__xludf.DUMMYFUNCTION("""COMPUTED_VALUE"""),"1737635188464")</f>
        <v>1737635188464</v>
      </c>
    </row>
    <row r="3676" spans="1:11" ht="12.45">
      <c r="A3676" s="2" t="str">
        <f ca="1">IFERROR(__xludf.DUMMYFUNCTION("""COMPUTED_VALUE"""),"1737635247285")</f>
        <v>1737635247285</v>
      </c>
      <c r="B3676" s="2"/>
      <c r="C3676" s="2" t="str">
        <v>0</v>
      </c>
      <c r="D3676" s="2"/>
      <c r="F3676" s="2" t="str">
        <v>0</v>
      </c>
      <c r="I3676" s="3" t="str">
        <f ca="1">IFERROR(__xludf.DUMMYFUNCTION("""COMPUTED_VALUE"""),"Đinh Tiến Đạt")</f>
        <v>Đinh Tiến Đạt</v>
      </c>
      <c r="J3676" s="3" t="str">
        <f ca="1">IFERROR(__xludf.DUMMYFUNCTION("""COMPUTED_VALUE"""),"0983111506")</f>
        <v>0983111506</v>
      </c>
      <c r="K3676" s="2" t="str">
        <f ca="1">IFERROR(__xludf.DUMMYFUNCTION("""COMPUTED_VALUE"""),"1737635247285")</f>
        <v>1737635247285</v>
      </c>
    </row>
    <row r="3677" spans="1:11" ht="12.45">
      <c r="A3677" s="2" t="str">
        <f ca="1">IFERROR(__xludf.DUMMYFUNCTION("""COMPUTED_VALUE"""),"1737635285959")</f>
        <v>1737635285959</v>
      </c>
      <c r="B3677" s="2"/>
      <c r="C3677" s="2" t="str">
        <v>0</v>
      </c>
      <c r="D3677" s="2"/>
      <c r="F3677" s="2" t="str">
        <v>0</v>
      </c>
      <c r="I3677" s="3" t="str">
        <f ca="1">IFERROR(__xludf.DUMMYFUNCTION("""COMPUTED_VALUE"""),"Nguyễn Thị Thanh Trúc")</f>
        <v>Nguyễn Thị Thanh Trúc</v>
      </c>
      <c r="J3677" s="3" t="str">
        <f ca="1">IFERROR(__xludf.DUMMYFUNCTION("""COMPUTED_VALUE"""),"0328849256")</f>
        <v>0328849256</v>
      </c>
      <c r="K3677" s="2" t="str">
        <f ca="1">IFERROR(__xludf.DUMMYFUNCTION("""COMPUTED_VALUE"""),"1737635285959")</f>
        <v>1737635285959</v>
      </c>
    </row>
    <row r="3678" spans="1:11" ht="12.45">
      <c r="A3678" s="2" t="str">
        <f ca="1">IFERROR(__xludf.DUMMYFUNCTION("""COMPUTED_VALUE"""),"1737635318747")</f>
        <v>1737635318747</v>
      </c>
      <c r="B3678" s="2"/>
      <c r="C3678" s="2" t="str">
        <v>0</v>
      </c>
      <c r="D3678" s="2"/>
      <c r="F3678" s="2" t="str">
        <v>0</v>
      </c>
      <c r="I3678" s="3" t="str">
        <f ca="1">IFERROR(__xludf.DUMMYFUNCTION("""COMPUTED_VALUE"""),"Trần Khánh Vân")</f>
        <v>Trần Khánh Vân</v>
      </c>
      <c r="J3678" s="3" t="str">
        <f ca="1">IFERROR(__xludf.DUMMYFUNCTION("""COMPUTED_VALUE"""),"0853273465")</f>
        <v>0853273465</v>
      </c>
      <c r="K3678" s="2" t="str">
        <f ca="1">IFERROR(__xludf.DUMMYFUNCTION("""COMPUTED_VALUE"""),"1737635318747")</f>
        <v>1737635318747</v>
      </c>
    </row>
    <row r="3679" spans="1:11" ht="12.45">
      <c r="A3679" s="2" t="str">
        <f ca="1">IFERROR(__xludf.DUMMYFUNCTION("""COMPUTED_VALUE"""),"1737635352231")</f>
        <v>1737635352231</v>
      </c>
      <c r="B3679" s="2"/>
      <c r="C3679" s="2" t="str">
        <v>0</v>
      </c>
      <c r="D3679" s="2"/>
      <c r="F3679" s="2" t="str">
        <v>0</v>
      </c>
      <c r="I3679" s="3" t="str">
        <f ca="1">IFERROR(__xludf.DUMMYFUNCTION("""COMPUTED_VALUE"""),"Nguyễn Nhật Quỳnh Anh ")</f>
        <v xml:space="preserve">Nguyễn Nhật Quỳnh Anh </v>
      </c>
      <c r="J3679" s="3" t="str">
        <f ca="1">IFERROR(__xludf.DUMMYFUNCTION("""COMPUTED_VALUE"""),"0865875829")</f>
        <v>0865875829</v>
      </c>
      <c r="K3679" s="2" t="str">
        <f ca="1">IFERROR(__xludf.DUMMYFUNCTION("""COMPUTED_VALUE"""),"1737635352231")</f>
        <v>1737635352231</v>
      </c>
    </row>
    <row r="3680" spans="1:11" ht="12.45">
      <c r="A3680" s="2" t="str">
        <f ca="1">IFERROR(__xludf.DUMMYFUNCTION("""COMPUTED_VALUE"""),"1737635379053")</f>
        <v>1737635379053</v>
      </c>
      <c r="B3680" s="2"/>
      <c r="C3680" s="2" t="str">
        <v>0</v>
      </c>
      <c r="D3680" s="2"/>
      <c r="F3680" s="2" t="str">
        <v>0</v>
      </c>
      <c r="I3680" s="3" t="str">
        <f ca="1">IFERROR(__xludf.DUMMYFUNCTION("""COMPUTED_VALUE"""),"Vũ Phương Dung ")</f>
        <v xml:space="preserve">Vũ Phương Dung </v>
      </c>
      <c r="J3680" s="3" t="str">
        <f ca="1">IFERROR(__xludf.DUMMYFUNCTION("""COMPUTED_VALUE"""),"0961935289")</f>
        <v>0961935289</v>
      </c>
      <c r="K3680" s="2" t="str">
        <f ca="1">IFERROR(__xludf.DUMMYFUNCTION("""COMPUTED_VALUE"""),"1737635379053")</f>
        <v>1737635379053</v>
      </c>
    </row>
    <row r="3681" spans="1:11" ht="12.45">
      <c r="A3681" s="2" t="str">
        <f ca="1">IFERROR(__xludf.DUMMYFUNCTION("""COMPUTED_VALUE"""),"1737635409173")</f>
        <v>1737635409173</v>
      </c>
      <c r="B3681" s="2"/>
      <c r="C3681" s="2" t="str">
        <v>0</v>
      </c>
      <c r="D3681" s="2"/>
      <c r="F3681" s="2" t="str">
        <v>0</v>
      </c>
      <c r="I3681" s="3" t="str">
        <f ca="1">IFERROR(__xludf.DUMMYFUNCTION("""COMPUTED_VALUE"""),"Sử Xuân Mai")</f>
        <v>Sử Xuân Mai</v>
      </c>
      <c r="J3681" s="3" t="str">
        <f ca="1">IFERROR(__xludf.DUMMYFUNCTION("""COMPUTED_VALUE"""),"0375859449")</f>
        <v>0375859449</v>
      </c>
      <c r="K3681" s="2" t="str">
        <f ca="1">IFERROR(__xludf.DUMMYFUNCTION("""COMPUTED_VALUE"""),"1737635409173")</f>
        <v>1737635409173</v>
      </c>
    </row>
    <row r="3682" spans="1:11" ht="12.45">
      <c r="A3682" s="2" t="str">
        <f ca="1">IFERROR(__xludf.DUMMYFUNCTION("""COMPUTED_VALUE"""),"1737635440274")</f>
        <v>1737635440274</v>
      </c>
      <c r="B3682" s="2"/>
      <c r="C3682" s="2" t="str">
        <v>0</v>
      </c>
      <c r="D3682" s="2"/>
      <c r="F3682" s="2" t="str">
        <v>0</v>
      </c>
      <c r="I3682" s="3" t="str">
        <f ca="1">IFERROR(__xludf.DUMMYFUNCTION("""COMPUTED_VALUE"""),"Nguyễn Minh Khôi")</f>
        <v>Nguyễn Minh Khôi</v>
      </c>
      <c r="J3682" s="3" t="str">
        <f ca="1">IFERROR(__xludf.DUMMYFUNCTION("""COMPUTED_VALUE"""),"0969386315")</f>
        <v>0969386315</v>
      </c>
      <c r="K3682" s="2" t="str">
        <f ca="1">IFERROR(__xludf.DUMMYFUNCTION("""COMPUTED_VALUE"""),"1737635440274")</f>
        <v>1737635440274</v>
      </c>
    </row>
    <row r="3683" spans="1:11" ht="12.45">
      <c r="A3683" s="2" t="str">
        <f ca="1">IFERROR(__xludf.DUMMYFUNCTION("""COMPUTED_VALUE"""),"1737635470442")</f>
        <v>1737635470442</v>
      </c>
      <c r="B3683" s="2"/>
      <c r="C3683" s="2" t="str">
        <v>0</v>
      </c>
      <c r="D3683" s="2"/>
      <c r="F3683" s="2" t="str">
        <v>0</v>
      </c>
      <c r="I3683" s="3" t="str">
        <f ca="1">IFERROR(__xludf.DUMMYFUNCTION("""COMPUTED_VALUE"""),"Nguyễn Minh Hiếu")</f>
        <v>Nguyễn Minh Hiếu</v>
      </c>
      <c r="J3683" s="3" t="str">
        <f ca="1">IFERROR(__xludf.DUMMYFUNCTION("""COMPUTED_VALUE"""),"0886048545")</f>
        <v>0886048545</v>
      </c>
      <c r="K3683" s="2" t="str">
        <f ca="1">IFERROR(__xludf.DUMMYFUNCTION("""COMPUTED_VALUE"""),"1737635470442")</f>
        <v>1737635470442</v>
      </c>
    </row>
    <row r="3684" spans="1:11" ht="12.45">
      <c r="A3684" s="2" t="str">
        <f ca="1">IFERROR(__xludf.DUMMYFUNCTION("""COMPUTED_VALUE"""),"1737635499129")</f>
        <v>1737635499129</v>
      </c>
      <c r="B3684" s="2"/>
      <c r="C3684" s="2" t="str">
        <v>0</v>
      </c>
      <c r="D3684" s="2"/>
      <c r="F3684" s="2" t="str">
        <v>0</v>
      </c>
      <c r="I3684" s="3" t="str">
        <f ca="1">IFERROR(__xludf.DUMMYFUNCTION("""COMPUTED_VALUE"""),"Vũ Thị Thu Huyền")</f>
        <v>Vũ Thị Thu Huyền</v>
      </c>
      <c r="J3684" s="3" t="str">
        <f ca="1">IFERROR(__xludf.DUMMYFUNCTION("""COMPUTED_VALUE"""),"0978280631")</f>
        <v>0978280631</v>
      </c>
      <c r="K3684" s="2" t="str">
        <f ca="1">IFERROR(__xludf.DUMMYFUNCTION("""COMPUTED_VALUE"""),"1737635499129")</f>
        <v>1737635499129</v>
      </c>
    </row>
    <row r="3685" spans="1:11" ht="12.45">
      <c r="A3685" s="2" t="str">
        <f ca="1">IFERROR(__xludf.DUMMYFUNCTION("""COMPUTED_VALUE"""),"1737635525015")</f>
        <v>1737635525015</v>
      </c>
      <c r="B3685" s="2"/>
      <c r="C3685" s="2" t="str">
        <v>0</v>
      </c>
      <c r="D3685" s="2"/>
      <c r="F3685" s="2" t="str">
        <v>0</v>
      </c>
      <c r="I3685" s="3" t="str">
        <f ca="1">IFERROR(__xludf.DUMMYFUNCTION("""COMPUTED_VALUE"""),"Phí Thị Hồng Tuyết ")</f>
        <v xml:space="preserve">Phí Thị Hồng Tuyết </v>
      </c>
      <c r="J3685" s="3" t="str">
        <f ca="1">IFERROR(__xludf.DUMMYFUNCTION("""COMPUTED_VALUE"""),"0862623497")</f>
        <v>0862623497</v>
      </c>
      <c r="K3685" s="2" t="str">
        <f ca="1">IFERROR(__xludf.DUMMYFUNCTION("""COMPUTED_VALUE"""),"1737635525015")</f>
        <v>1737635525015</v>
      </c>
    </row>
    <row r="3686" spans="1:11" ht="12.45">
      <c r="A3686" s="2" t="str">
        <f ca="1">IFERROR(__xludf.DUMMYFUNCTION("""COMPUTED_VALUE"""),"1737635553357")</f>
        <v>1737635553357</v>
      </c>
      <c r="B3686" s="2"/>
      <c r="C3686" s="2" t="str">
        <v>0</v>
      </c>
      <c r="D3686" s="2"/>
      <c r="F3686" s="2" t="str">
        <v>0</v>
      </c>
      <c r="I3686" s="3" t="str">
        <f ca="1">IFERROR(__xludf.DUMMYFUNCTION("""COMPUTED_VALUE"""),"Nguyễn Phương Anh")</f>
        <v>Nguyễn Phương Anh</v>
      </c>
      <c r="J3686" s="3" t="str">
        <f ca="1">IFERROR(__xludf.DUMMYFUNCTION("""COMPUTED_VALUE"""),"0782160107")</f>
        <v>0782160107</v>
      </c>
      <c r="K3686" s="2" t="str">
        <f ca="1">IFERROR(__xludf.DUMMYFUNCTION("""COMPUTED_VALUE"""),"1737635553357")</f>
        <v>1737635553357</v>
      </c>
    </row>
    <row r="3687" spans="1:11" ht="12.45">
      <c r="A3687" s="2" t="str">
        <f ca="1">IFERROR(__xludf.DUMMYFUNCTION("""COMPUTED_VALUE"""),"1738004206881")</f>
        <v>1738004206881</v>
      </c>
      <c r="B3687" s="2"/>
      <c r="C3687" s="2" t="str">
        <v>0</v>
      </c>
      <c r="D3687" s="2"/>
      <c r="F3687" s="2" t="str">
        <v>0</v>
      </c>
      <c r="I3687" s="3" t="str">
        <f ca="1">IFERROR(__xludf.DUMMYFUNCTION("""COMPUTED_VALUE"""),"Trần Thị minh Thư")</f>
        <v>Trần Thị minh Thư</v>
      </c>
      <c r="J3687" s="3" t="str">
        <f ca="1">IFERROR(__xludf.DUMMYFUNCTION("""COMPUTED_VALUE"""),"0396460427")</f>
        <v>0396460427</v>
      </c>
      <c r="K3687" s="2" t="str">
        <f ca="1">IFERROR(__xludf.DUMMYFUNCTION("""COMPUTED_VALUE"""),"1738004206881")</f>
        <v>1738004206881</v>
      </c>
    </row>
    <row r="3688" spans="1:11" ht="12.45">
      <c r="A3688" s="2" t="str">
        <f ca="1">IFERROR(__xludf.DUMMYFUNCTION("""COMPUTED_VALUE"""),"1738004288447")</f>
        <v>1738004288447</v>
      </c>
      <c r="B3688" s="2"/>
      <c r="C3688" s="2" t="str">
        <v>0</v>
      </c>
      <c r="D3688" s="2"/>
      <c r="F3688" s="2" t="str">
        <v>0</v>
      </c>
      <c r="I3688" s="3" t="str">
        <f ca="1">IFERROR(__xludf.DUMMYFUNCTION("""COMPUTED_VALUE"""),"Đỗ Phương Thúy ")</f>
        <v xml:space="preserve">Đỗ Phương Thúy </v>
      </c>
      <c r="J3688" s="3" t="str">
        <f ca="1">IFERROR(__xludf.DUMMYFUNCTION("""COMPUTED_VALUE"""),"0963035362")</f>
        <v>0963035362</v>
      </c>
      <c r="K3688" s="2" t="str">
        <f ca="1">IFERROR(__xludf.DUMMYFUNCTION("""COMPUTED_VALUE"""),"1738004288447")</f>
        <v>1738004288447</v>
      </c>
    </row>
    <row r="3689" spans="1:11" ht="12.45">
      <c r="A3689" s="2" t="str">
        <f ca="1">IFERROR(__xludf.DUMMYFUNCTION("""COMPUTED_VALUE"""),"1738004332387")</f>
        <v>1738004332387</v>
      </c>
      <c r="B3689" s="2"/>
      <c r="C3689" s="2" t="str">
        <v>0</v>
      </c>
      <c r="D3689" s="2"/>
      <c r="F3689" s="2" t="str">
        <v>0</v>
      </c>
      <c r="I3689" s="3" t="str">
        <f ca="1">IFERROR(__xludf.DUMMYFUNCTION("""COMPUTED_VALUE"""),"Trần Thị Gia Lợi ")</f>
        <v xml:space="preserve">Trần Thị Gia Lợi </v>
      </c>
      <c r="J3689" s="3" t="str">
        <f ca="1">IFERROR(__xludf.DUMMYFUNCTION("""COMPUTED_VALUE"""),"0903653453")</f>
        <v>0903653453</v>
      </c>
      <c r="K3689" s="2" t="str">
        <f ca="1">IFERROR(__xludf.DUMMYFUNCTION("""COMPUTED_VALUE"""),"1738004332387")</f>
        <v>1738004332387</v>
      </c>
    </row>
    <row r="3690" spans="1:11" ht="12.45">
      <c r="A3690" s="2" t="str">
        <f ca="1">IFERROR(__xludf.DUMMYFUNCTION("""COMPUTED_VALUE"""),"1738004364878")</f>
        <v>1738004364878</v>
      </c>
      <c r="B3690" s="2"/>
      <c r="C3690" s="2" t="str">
        <v>0</v>
      </c>
      <c r="D3690" s="2"/>
      <c r="F3690" s="2" t="str">
        <v>0</v>
      </c>
      <c r="I3690" s="3" t="str">
        <f ca="1">IFERROR(__xludf.DUMMYFUNCTION("""COMPUTED_VALUE"""),"Trần Thuý Hằng")</f>
        <v>Trần Thuý Hằng</v>
      </c>
      <c r="J3690" s="3" t="str">
        <f ca="1">IFERROR(__xludf.DUMMYFUNCTION("""COMPUTED_VALUE"""),"0936876849")</f>
        <v>0936876849</v>
      </c>
      <c r="K3690" s="2" t="str">
        <f ca="1">IFERROR(__xludf.DUMMYFUNCTION("""COMPUTED_VALUE"""),"1738004364878")</f>
        <v>1738004364878</v>
      </c>
    </row>
    <row r="3691" spans="1:11" ht="12.45">
      <c r="A3691" s="2" t="str">
        <f ca="1">IFERROR(__xludf.DUMMYFUNCTION("""COMPUTED_VALUE"""),"1738004393522")</f>
        <v>1738004393522</v>
      </c>
      <c r="B3691" s="2"/>
      <c r="C3691" s="2" t="str">
        <v>0</v>
      </c>
      <c r="D3691" s="2"/>
      <c r="F3691" s="2" t="str">
        <v>0</v>
      </c>
      <c r="I3691" s="3" t="str">
        <f ca="1">IFERROR(__xludf.DUMMYFUNCTION("""COMPUTED_VALUE"""),"NGUYỄN TRUNG KIÊN")</f>
        <v>NGUYỄN TRUNG KIÊN</v>
      </c>
      <c r="J3691" s="3" t="str">
        <f ca="1">IFERROR(__xludf.DUMMYFUNCTION("""COMPUTED_VALUE"""),"0783846466")</f>
        <v>0783846466</v>
      </c>
      <c r="K3691" s="2" t="str">
        <f ca="1">IFERROR(__xludf.DUMMYFUNCTION("""COMPUTED_VALUE"""),"1738004393522")</f>
        <v>1738004393522</v>
      </c>
    </row>
    <row r="3692" spans="1:11" ht="12.45">
      <c r="A3692" s="2" t="str">
        <f ca="1">IFERROR(__xludf.DUMMYFUNCTION("""COMPUTED_VALUE"""),"1738004440505")</f>
        <v>1738004440505</v>
      </c>
      <c r="B3692" s="2"/>
      <c r="C3692" s="2" t="str">
        <v>0</v>
      </c>
      <c r="D3692" s="2"/>
      <c r="F3692" s="2" t="str">
        <v>0</v>
      </c>
      <c r="I3692" s="3" t="str">
        <f ca="1">IFERROR(__xludf.DUMMYFUNCTION("""COMPUTED_VALUE"""),"Bùi Quang Vinh")</f>
        <v>Bùi Quang Vinh</v>
      </c>
      <c r="J3692" s="3" t="str">
        <f ca="1">IFERROR(__xludf.DUMMYFUNCTION("""COMPUTED_VALUE"""),"0862306223")</f>
        <v>0862306223</v>
      </c>
      <c r="K3692" s="2" t="str">
        <f ca="1">IFERROR(__xludf.DUMMYFUNCTION("""COMPUTED_VALUE"""),"1738004440505")</f>
        <v>1738004440505</v>
      </c>
    </row>
    <row r="3693" spans="1:11" ht="12.45">
      <c r="A3693" s="2" t="str">
        <f ca="1">IFERROR(__xludf.DUMMYFUNCTION("""COMPUTED_VALUE"""),"1738004475644")</f>
        <v>1738004475644</v>
      </c>
      <c r="B3693" s="2"/>
      <c r="C3693" s="2" t="str">
        <v>0</v>
      </c>
      <c r="D3693" s="2"/>
      <c r="F3693" s="2" t="str">
        <v>0</v>
      </c>
      <c r="I3693" s="3" t="str">
        <f ca="1">IFERROR(__xludf.DUMMYFUNCTION("""COMPUTED_VALUE"""),"Lại Nữ Xuân Quỳnh")</f>
        <v>Lại Nữ Xuân Quỳnh</v>
      </c>
      <c r="J3693" s="3" t="str">
        <f ca="1">IFERROR(__xludf.DUMMYFUNCTION("""COMPUTED_VALUE"""),"0912999946")</f>
        <v>0912999946</v>
      </c>
      <c r="K3693" s="2" t="str">
        <f ca="1">IFERROR(__xludf.DUMMYFUNCTION("""COMPUTED_VALUE"""),"1738004475644")</f>
        <v>1738004475644</v>
      </c>
    </row>
    <row r="3694" spans="1:11" ht="12.45">
      <c r="A3694" s="2" t="str">
        <f ca="1">IFERROR(__xludf.DUMMYFUNCTION("""COMPUTED_VALUE"""),"1738004504798")</f>
        <v>1738004504798</v>
      </c>
      <c r="B3694" s="2"/>
      <c r="C3694" s="2" t="str">
        <v>0</v>
      </c>
      <c r="D3694" s="2"/>
      <c r="F3694" s="2" t="str">
        <v>0</v>
      </c>
      <c r="I3694" s="3" t="str">
        <f ca="1">IFERROR(__xludf.DUMMYFUNCTION("""COMPUTED_VALUE"""),"Vũ Văn Phúc")</f>
        <v>Vũ Văn Phúc</v>
      </c>
      <c r="J3694" s="3" t="str">
        <f ca="1">IFERROR(__xludf.DUMMYFUNCTION("""COMPUTED_VALUE"""),"0969689040")</f>
        <v>0969689040</v>
      </c>
      <c r="K3694" s="2" t="str">
        <f ca="1">IFERROR(__xludf.DUMMYFUNCTION("""COMPUTED_VALUE"""),"1738004504798")</f>
        <v>1738004504798</v>
      </c>
    </row>
    <row r="3695" spans="1:11" ht="12.45">
      <c r="A3695" s="2" t="str">
        <f ca="1">IFERROR(__xludf.DUMMYFUNCTION("""COMPUTED_VALUE"""),"1738004536420")</f>
        <v>1738004536420</v>
      </c>
      <c r="B3695" s="2"/>
      <c r="C3695" s="2" t="str">
        <v>0</v>
      </c>
      <c r="D3695" s="2"/>
      <c r="F3695" s="2" t="str">
        <v>0</v>
      </c>
      <c r="I3695" s="3" t="str">
        <f ca="1">IFERROR(__xludf.DUMMYFUNCTION("""COMPUTED_VALUE"""),"Trần Thị Trang ")</f>
        <v xml:space="preserve">Trần Thị Trang </v>
      </c>
      <c r="J3695" s="3" t="str">
        <f ca="1">IFERROR(__xludf.DUMMYFUNCTION("""COMPUTED_VALUE"""),"0869410994")</f>
        <v>0869410994</v>
      </c>
      <c r="K3695" s="2" t="str">
        <f ca="1">IFERROR(__xludf.DUMMYFUNCTION("""COMPUTED_VALUE"""),"1738004536420")</f>
        <v>1738004536420</v>
      </c>
    </row>
    <row r="3696" spans="1:11" ht="12.45">
      <c r="A3696" s="2" t="str">
        <f ca="1">IFERROR(__xludf.DUMMYFUNCTION("""COMPUTED_VALUE"""),"1738004570887")</f>
        <v>1738004570887</v>
      </c>
      <c r="B3696" s="2"/>
      <c r="C3696" s="2" t="str">
        <v>0</v>
      </c>
      <c r="D3696" s="2"/>
      <c r="F3696" s="2" t="str">
        <v>0</v>
      </c>
      <c r="I3696" s="3" t="str">
        <f ca="1">IFERROR(__xludf.DUMMYFUNCTION("""COMPUTED_VALUE"""),"Nguyễn Quang Sáng")</f>
        <v>Nguyễn Quang Sáng</v>
      </c>
      <c r="J3696" s="3" t="str">
        <f ca="1">IFERROR(__xludf.DUMMYFUNCTION("""COMPUTED_VALUE"""),"0817790604")</f>
        <v>0817790604</v>
      </c>
      <c r="K3696" s="2" t="str">
        <f ca="1">IFERROR(__xludf.DUMMYFUNCTION("""COMPUTED_VALUE"""),"1738004570887")</f>
        <v>1738004570887</v>
      </c>
    </row>
    <row r="3697" spans="1:11" ht="12.45">
      <c r="A3697" s="2" t="str">
        <f ca="1">IFERROR(__xludf.DUMMYFUNCTION("""COMPUTED_VALUE"""),"1738004605913")</f>
        <v>1738004605913</v>
      </c>
      <c r="B3697" s="2"/>
      <c r="C3697" s="2" t="str">
        <v>0</v>
      </c>
      <c r="D3697" s="2"/>
      <c r="F3697" s="2" t="str">
        <v>0</v>
      </c>
      <c r="I3697" s="3" t="str">
        <f ca="1">IFERROR(__xludf.DUMMYFUNCTION("""COMPUTED_VALUE"""),"Bùi Khánh Ngọc")</f>
        <v>Bùi Khánh Ngọc</v>
      </c>
      <c r="J3697" s="3" t="str">
        <f ca="1">IFERROR(__xludf.DUMMYFUNCTION("""COMPUTED_VALUE"""),"0815089611")</f>
        <v>0815089611</v>
      </c>
      <c r="K3697" s="2" t="str">
        <f ca="1">IFERROR(__xludf.DUMMYFUNCTION("""COMPUTED_VALUE"""),"1738004605913")</f>
        <v>1738004605913</v>
      </c>
    </row>
    <row r="3698" spans="1:11" ht="12.45">
      <c r="A3698" s="2" t="str">
        <f ca="1">IFERROR(__xludf.DUMMYFUNCTION("""COMPUTED_VALUE"""),"1738004646284")</f>
        <v>1738004646284</v>
      </c>
      <c r="B3698" s="2"/>
      <c r="C3698" s="2" t="str">
        <v>0</v>
      </c>
      <c r="D3698" s="2"/>
      <c r="F3698" s="2" t="str">
        <v>0</v>
      </c>
      <c r="I3698" s="3" t="str">
        <f ca="1">IFERROR(__xludf.DUMMYFUNCTION("""COMPUTED_VALUE"""),"Lê Đỗ Thu Uyên ")</f>
        <v xml:space="preserve">Lê Đỗ Thu Uyên </v>
      </c>
      <c r="J3698" s="3" t="str">
        <f ca="1">IFERROR(__xludf.DUMMYFUNCTION("""COMPUTED_VALUE"""),"0325799018")</f>
        <v>0325799018</v>
      </c>
      <c r="K3698" s="2" t="str">
        <f ca="1">IFERROR(__xludf.DUMMYFUNCTION("""COMPUTED_VALUE"""),"1738004646284")</f>
        <v>1738004646284</v>
      </c>
    </row>
    <row r="3699" spans="1:11" ht="12.45">
      <c r="A3699" s="2" t="str">
        <f ca="1">IFERROR(__xludf.DUMMYFUNCTION("""COMPUTED_VALUE"""),"1744768787176")</f>
        <v>1744768787176</v>
      </c>
      <c r="B3699" s="2"/>
      <c r="C3699" s="2" t="str">
        <v>0</v>
      </c>
      <c r="D3699" s="2"/>
      <c r="F3699" s="2" t="str">
        <v>0</v>
      </c>
      <c r="I3699" s="3" t="str">
        <f ca="1">IFERROR(__xludf.DUMMYFUNCTION("""COMPUTED_VALUE"""),"Vũ Thị Hảo")</f>
        <v>Vũ Thị Hảo</v>
      </c>
      <c r="J3699" s="3" t="str">
        <f ca="1">IFERROR(__xludf.DUMMYFUNCTION("""COMPUTED_VALUE"""),"0353286401")</f>
        <v>0353286401</v>
      </c>
      <c r="K3699" s="2" t="str">
        <f ca="1">IFERROR(__xludf.DUMMYFUNCTION("""COMPUTED_VALUE"""),"1744768787176")</f>
        <v>1744768787176</v>
      </c>
    </row>
    <row r="3700" spans="1:11" ht="12.45">
      <c r="A3700" s="2" t="str">
        <f ca="1">IFERROR(__xludf.DUMMYFUNCTION("""COMPUTED_VALUE"""),"1738004694765")</f>
        <v>1738004694765</v>
      </c>
      <c r="B3700" s="2"/>
      <c r="C3700" s="2" t="str">
        <v>0</v>
      </c>
      <c r="D3700" s="2"/>
      <c r="F3700" s="2" t="str">
        <v>0</v>
      </c>
      <c r="I3700" s="3" t="str">
        <f ca="1">IFERROR(__xludf.DUMMYFUNCTION("""COMPUTED_VALUE"""),"Trần Mai Ly")</f>
        <v>Trần Mai Ly</v>
      </c>
      <c r="J3700" s="3" t="str">
        <f ca="1">IFERROR(__xludf.DUMMYFUNCTION("""COMPUTED_VALUE"""),"0329285977")</f>
        <v>0329285977</v>
      </c>
      <c r="K3700" s="2" t="str">
        <f ca="1">IFERROR(__xludf.DUMMYFUNCTION("""COMPUTED_VALUE"""),"1738004694765")</f>
        <v>1738004694765</v>
      </c>
    </row>
    <row r="3701" spans="1:11" ht="12.45">
      <c r="A3701" s="2" t="str">
        <f ca="1">IFERROR(__xludf.DUMMYFUNCTION("""COMPUTED_VALUE"""),"1744768814553")</f>
        <v>1744768814553</v>
      </c>
      <c r="B3701" s="2"/>
      <c r="C3701" s="2" t="str">
        <v>0</v>
      </c>
      <c r="D3701" s="2"/>
      <c r="F3701" s="2" t="str">
        <v>0</v>
      </c>
      <c r="I3701" s="3" t="str">
        <f ca="1">IFERROR(__xludf.DUMMYFUNCTION("""COMPUTED_VALUE"""),"Phạm Thảo Vy")</f>
        <v>Phạm Thảo Vy</v>
      </c>
      <c r="J3701" s="3" t="str">
        <f ca="1">IFERROR(__xludf.DUMMYFUNCTION("""COMPUTED_VALUE"""),"0396196333")</f>
        <v>0396196333</v>
      </c>
      <c r="K3701" s="2" t="str">
        <f ca="1">IFERROR(__xludf.DUMMYFUNCTION("""COMPUTED_VALUE"""),"1744768814553")</f>
        <v>1744768814553</v>
      </c>
    </row>
    <row r="3702" spans="1:11" ht="12.45">
      <c r="A3702" s="2" t="str">
        <f ca="1">IFERROR(__xludf.DUMMYFUNCTION("""COMPUTED_VALUE"""),"1744768851006")</f>
        <v>1744768851006</v>
      </c>
      <c r="B3702" s="2"/>
      <c r="C3702" s="2" t="str">
        <v>0</v>
      </c>
      <c r="D3702" s="2"/>
      <c r="F3702" s="2" t="str">
        <v>0</v>
      </c>
      <c r="I3702" s="3" t="str">
        <f ca="1">IFERROR(__xludf.DUMMYFUNCTION("""COMPUTED_VALUE"""),"Phạm Thị Kim Thanh")</f>
        <v>Phạm Thị Kim Thanh</v>
      </c>
      <c r="J3702" s="3" t="str">
        <f ca="1">IFERROR(__xludf.DUMMYFUNCTION("""COMPUTED_VALUE"""),"0828978393")</f>
        <v>0828978393</v>
      </c>
      <c r="K3702" s="2" t="str">
        <f ca="1">IFERROR(__xludf.DUMMYFUNCTION("""COMPUTED_VALUE"""),"1744768851006")</f>
        <v>1744768851006</v>
      </c>
    </row>
    <row r="3703" spans="1:11" ht="12.45">
      <c r="A3703" s="2" t="str">
        <f ca="1">IFERROR(__xludf.DUMMYFUNCTION("""COMPUTED_VALUE"""),"1738004735152")</f>
        <v>1738004735152</v>
      </c>
      <c r="B3703" s="2"/>
      <c r="C3703" s="2" t="str">
        <v>0</v>
      </c>
      <c r="D3703" s="2"/>
      <c r="F3703" s="2" t="str">
        <v>0</v>
      </c>
      <c r="I3703" s="3" t="str">
        <f ca="1">IFERROR(__xludf.DUMMYFUNCTION("""COMPUTED_VALUE"""),"Phạm Huyền Linh")</f>
        <v>Phạm Huyền Linh</v>
      </c>
      <c r="J3703" s="3" t="str">
        <f ca="1">IFERROR(__xludf.DUMMYFUNCTION("""COMPUTED_VALUE"""),"0942455699")</f>
        <v>0942455699</v>
      </c>
      <c r="K3703" s="2" t="str">
        <f ca="1">IFERROR(__xludf.DUMMYFUNCTION("""COMPUTED_VALUE"""),"1738004735152")</f>
        <v>1738004735152</v>
      </c>
    </row>
    <row r="3704" spans="1:11" ht="12.45">
      <c r="A3704" s="2" t="str">
        <f ca="1">IFERROR(__xludf.DUMMYFUNCTION("""COMPUTED_VALUE"""),"1738004787934")</f>
        <v>1738004787934</v>
      </c>
      <c r="B3704" s="2"/>
      <c r="C3704" s="2" t="str">
        <v>0</v>
      </c>
      <c r="D3704" s="2"/>
      <c r="F3704" s="2" t="str">
        <v>0</v>
      </c>
      <c r="I3704" s="3" t="str">
        <f ca="1">IFERROR(__xludf.DUMMYFUNCTION("""COMPUTED_VALUE"""),"Trương Bảo Ngọc ")</f>
        <v xml:space="preserve">Trương Bảo Ngọc </v>
      </c>
      <c r="J3704" s="3" t="str">
        <f ca="1">IFERROR(__xludf.DUMMYFUNCTION("""COMPUTED_VALUE"""),"0706760447")</f>
        <v>0706760447</v>
      </c>
      <c r="K3704" s="2" t="str">
        <f ca="1">IFERROR(__xludf.DUMMYFUNCTION("""COMPUTED_VALUE"""),"1738004787934")</f>
        <v>1738004787934</v>
      </c>
    </row>
    <row r="3705" spans="1:11" ht="12.45">
      <c r="A3705" s="2" t="str">
        <f ca="1">IFERROR(__xludf.DUMMYFUNCTION("""COMPUTED_VALUE"""),"1738004824738")</f>
        <v>1738004824738</v>
      </c>
      <c r="B3705" s="2"/>
      <c r="C3705" s="2" t="str">
        <v>0</v>
      </c>
      <c r="D3705" s="2"/>
      <c r="F3705" s="2" t="str">
        <v>0</v>
      </c>
      <c r="I3705" s="3" t="str">
        <f ca="1">IFERROR(__xludf.DUMMYFUNCTION("""COMPUTED_VALUE"""),"Võ Anh Hiếu")</f>
        <v>Võ Anh Hiếu</v>
      </c>
      <c r="J3705" s="3" t="str">
        <f ca="1">IFERROR(__xludf.DUMMYFUNCTION("""COMPUTED_VALUE"""),"0822719952")</f>
        <v>0822719952</v>
      </c>
      <c r="K3705" s="2" t="str">
        <f ca="1">IFERROR(__xludf.DUMMYFUNCTION("""COMPUTED_VALUE"""),"1738004824738")</f>
        <v>1738004824738</v>
      </c>
    </row>
    <row r="3706" spans="1:11" ht="12.45">
      <c r="A3706" s="2" t="str">
        <f ca="1">IFERROR(__xludf.DUMMYFUNCTION("""COMPUTED_VALUE"""),"1738004853681")</f>
        <v>1738004853681</v>
      </c>
      <c r="B3706" s="2"/>
      <c r="C3706" s="2" t="str">
        <v>0</v>
      </c>
      <c r="D3706" s="2"/>
      <c r="F3706" s="2" t="str">
        <v>0</v>
      </c>
      <c r="I3706" s="3" t="str">
        <f ca="1">IFERROR(__xludf.DUMMYFUNCTION("""COMPUTED_VALUE"""),"Bùi Hoàng Khánh Hà")</f>
        <v>Bùi Hoàng Khánh Hà</v>
      </c>
      <c r="J3706" s="3" t="str">
        <f ca="1">IFERROR(__xludf.DUMMYFUNCTION("""COMPUTED_VALUE"""),"0966995885")</f>
        <v>0966995885</v>
      </c>
      <c r="K3706" s="2" t="str">
        <f ca="1">IFERROR(__xludf.DUMMYFUNCTION("""COMPUTED_VALUE"""),"1738004853681")</f>
        <v>1738004853681</v>
      </c>
    </row>
    <row r="3707" spans="1:11" ht="12.45">
      <c r="A3707" s="2" t="str">
        <f ca="1">IFERROR(__xludf.DUMMYFUNCTION("""COMPUTED_VALUE"""),"1738004896951")</f>
        <v>1738004896951</v>
      </c>
      <c r="B3707" s="2"/>
      <c r="C3707" s="2" t="str">
        <v>0</v>
      </c>
      <c r="D3707" s="2"/>
      <c r="F3707" s="2" t="str">
        <v>0</v>
      </c>
      <c r="I3707" s="3" t="str">
        <f ca="1">IFERROR(__xludf.DUMMYFUNCTION("""COMPUTED_VALUE"""),"Nguyễn Ngọc Tâm ")</f>
        <v xml:space="preserve">Nguyễn Ngọc Tâm </v>
      </c>
      <c r="J3707" s="3" t="str">
        <f ca="1">IFERROR(__xludf.DUMMYFUNCTION("""COMPUTED_VALUE"""),"0886297098")</f>
        <v>0886297098</v>
      </c>
      <c r="K3707" s="2" t="str">
        <f ca="1">IFERROR(__xludf.DUMMYFUNCTION("""COMPUTED_VALUE"""),"1738004896951")</f>
        <v>1738004896951</v>
      </c>
    </row>
    <row r="3708" spans="1:11" ht="12.45">
      <c r="A3708" s="2" t="str">
        <f ca="1">IFERROR(__xludf.DUMMYFUNCTION("""COMPUTED_VALUE"""),"1738004937091")</f>
        <v>1738004937091</v>
      </c>
      <c r="B3708" s="2"/>
      <c r="C3708" s="2" t="str">
        <v>0</v>
      </c>
      <c r="D3708" s="2"/>
      <c r="F3708" s="2" t="str">
        <v>0</v>
      </c>
      <c r="I3708" s="3" t="str">
        <f ca="1">IFERROR(__xludf.DUMMYFUNCTION("""COMPUTED_VALUE"""),"Nguyễn Ngọc Mai Anh")</f>
        <v>Nguyễn Ngọc Mai Anh</v>
      </c>
      <c r="J3708" s="3" t="str">
        <f ca="1">IFERROR(__xludf.DUMMYFUNCTION("""COMPUTED_VALUE"""),"0382873680")</f>
        <v>0382873680</v>
      </c>
      <c r="K3708" s="2" t="str">
        <f ca="1">IFERROR(__xludf.DUMMYFUNCTION("""COMPUTED_VALUE"""),"1738004937091")</f>
        <v>1738004937091</v>
      </c>
    </row>
    <row r="3709" spans="1:11" ht="12.45">
      <c r="A3709" s="2" t="str">
        <f ca="1">IFERROR(__xludf.DUMMYFUNCTION("""COMPUTED_VALUE"""),"1738004962653")</f>
        <v>1738004962653</v>
      </c>
      <c r="B3709" s="2"/>
      <c r="C3709" s="2" t="str">
        <v>0</v>
      </c>
      <c r="D3709" s="2"/>
      <c r="F3709" s="2" t="str">
        <v>0</v>
      </c>
      <c r="I3709" s="3" t="str">
        <f ca="1">IFERROR(__xludf.DUMMYFUNCTION("""COMPUTED_VALUE"""),"Bùi Thăng Nguyệt Ánh")</f>
        <v>Bùi Thăng Nguyệt Ánh</v>
      </c>
      <c r="J3709" s="3" t="str">
        <f ca="1">IFERROR(__xludf.DUMMYFUNCTION("""COMPUTED_VALUE"""),"0966013707")</f>
        <v>0966013707</v>
      </c>
      <c r="K3709" s="2" t="str">
        <f ca="1">IFERROR(__xludf.DUMMYFUNCTION("""COMPUTED_VALUE"""),"1738004962653")</f>
        <v>1738004962653</v>
      </c>
    </row>
    <row r="3710" spans="1:11" ht="12.45">
      <c r="A3710" s="2" t="str">
        <f ca="1">IFERROR(__xludf.DUMMYFUNCTION("""COMPUTED_VALUE"""),"1738005009646")</f>
        <v>1738005009646</v>
      </c>
      <c r="B3710" s="2"/>
      <c r="C3710" s="2" t="str">
        <v>0</v>
      </c>
      <c r="D3710" s="2"/>
      <c r="F3710" s="2" t="str">
        <v>0</v>
      </c>
      <c r="I3710" s="3" t="str">
        <f ca="1">IFERROR(__xludf.DUMMYFUNCTION("""COMPUTED_VALUE"""),"Lương Thị Kim Liên ")</f>
        <v xml:space="preserve">Lương Thị Kim Liên </v>
      </c>
      <c r="J3710" s="3" t="str">
        <f ca="1">IFERROR(__xludf.DUMMYFUNCTION("""COMPUTED_VALUE"""),"0376996002")</f>
        <v>0376996002</v>
      </c>
      <c r="K3710" s="2" t="str">
        <f ca="1">IFERROR(__xludf.DUMMYFUNCTION("""COMPUTED_VALUE"""),"1738005009646")</f>
        <v>1738005009646</v>
      </c>
    </row>
    <row r="3711" spans="1:11" ht="12.45">
      <c r="A3711" s="2" t="str">
        <f ca="1">IFERROR(__xludf.DUMMYFUNCTION("""COMPUTED_VALUE"""),"1738005041850")</f>
        <v>1738005041850</v>
      </c>
      <c r="B3711" s="2"/>
      <c r="C3711" s="2" t="str">
        <v>0</v>
      </c>
      <c r="D3711" s="2"/>
      <c r="F3711" s="2" t="str">
        <v>0</v>
      </c>
      <c r="I3711" s="3" t="str">
        <f ca="1">IFERROR(__xludf.DUMMYFUNCTION("""COMPUTED_VALUE"""),"Lê Quang Nhật")</f>
        <v>Lê Quang Nhật</v>
      </c>
      <c r="J3711" s="3" t="str">
        <f ca="1">IFERROR(__xludf.DUMMYFUNCTION("""COMPUTED_VALUE"""),"0348277974")</f>
        <v>0348277974</v>
      </c>
      <c r="K3711" s="2" t="str">
        <f ca="1">IFERROR(__xludf.DUMMYFUNCTION("""COMPUTED_VALUE"""),"1738005041850")</f>
        <v>1738005041850</v>
      </c>
    </row>
    <row r="3712" spans="1:11" ht="12.45">
      <c r="A3712" s="2" t="str">
        <f ca="1">IFERROR(__xludf.DUMMYFUNCTION("""COMPUTED_VALUE"""),"1738005073622")</f>
        <v>1738005073622</v>
      </c>
      <c r="B3712" s="2"/>
      <c r="C3712" s="2" t="str">
        <v>0</v>
      </c>
      <c r="D3712" s="2"/>
      <c r="F3712" s="2" t="str">
        <v>0</v>
      </c>
      <c r="I3712" s="3" t="str">
        <f ca="1">IFERROR(__xludf.DUMMYFUNCTION("""COMPUTED_VALUE"""),"Nguyễn Phương Linh")</f>
        <v>Nguyễn Phương Linh</v>
      </c>
      <c r="J3712" s="3" t="str">
        <f ca="1">IFERROR(__xludf.DUMMYFUNCTION("""COMPUTED_VALUE"""),"0934036524")</f>
        <v>0934036524</v>
      </c>
      <c r="K3712" s="2" t="str">
        <f ca="1">IFERROR(__xludf.DUMMYFUNCTION("""COMPUTED_VALUE"""),"1738005073622")</f>
        <v>1738005073622</v>
      </c>
    </row>
    <row r="3713" spans="1:11" ht="12.45">
      <c r="A3713" s="2" t="str">
        <f ca="1">IFERROR(__xludf.DUMMYFUNCTION("""COMPUTED_VALUE"""),"1738005119859")</f>
        <v>1738005119859</v>
      </c>
      <c r="B3713" s="2"/>
      <c r="C3713" s="2" t="str">
        <v>0</v>
      </c>
      <c r="D3713" s="2"/>
      <c r="F3713" s="2" t="str">
        <v>0</v>
      </c>
      <c r="I3713" s="3" t="str">
        <f ca="1">IFERROR(__xludf.DUMMYFUNCTION("""COMPUTED_VALUE"""),"Dương Đỗ Hạnh Duyên")</f>
        <v>Dương Đỗ Hạnh Duyên</v>
      </c>
      <c r="J3713" s="3" t="str">
        <f ca="1">IFERROR(__xludf.DUMMYFUNCTION("""COMPUTED_VALUE"""),"0985625440")</f>
        <v>0985625440</v>
      </c>
      <c r="K3713" s="2" t="str">
        <f ca="1">IFERROR(__xludf.DUMMYFUNCTION("""COMPUTED_VALUE"""),"1738005119859")</f>
        <v>1738005119859</v>
      </c>
    </row>
    <row r="3714" spans="1:11" ht="12.45">
      <c r="A3714" s="2" t="str">
        <f ca="1">IFERROR(__xludf.DUMMYFUNCTION("""COMPUTED_VALUE"""),"1738005163965")</f>
        <v>1738005163965</v>
      </c>
      <c r="B3714" s="2"/>
      <c r="C3714" s="2" t="str">
        <v>0</v>
      </c>
      <c r="D3714" s="2"/>
      <c r="F3714" s="2" t="str">
        <v>0</v>
      </c>
      <c r="I3714" s="3" t="str">
        <f ca="1">IFERROR(__xludf.DUMMYFUNCTION("""COMPUTED_VALUE"""),"Vũ Hoàng Giang ")</f>
        <v xml:space="preserve">Vũ Hoàng Giang </v>
      </c>
      <c r="J3714" s="3" t="str">
        <f ca="1">IFERROR(__xludf.DUMMYFUNCTION("""COMPUTED_VALUE"""),"0932285109")</f>
        <v>0932285109</v>
      </c>
      <c r="K3714" s="2" t="str">
        <f ca="1">IFERROR(__xludf.DUMMYFUNCTION("""COMPUTED_VALUE"""),"1738005163965")</f>
        <v>1738005163965</v>
      </c>
    </row>
    <row r="3715" spans="1:11" ht="12.45">
      <c r="A3715" s="2" t="str">
        <f ca="1">IFERROR(__xludf.DUMMYFUNCTION("""COMPUTED_VALUE"""),"1738005207966")</f>
        <v>1738005207966</v>
      </c>
      <c r="B3715" s="2"/>
      <c r="C3715" s="2" t="str">
        <v>0</v>
      </c>
      <c r="D3715" s="2"/>
      <c r="F3715" s="2" t="str">
        <v>0</v>
      </c>
      <c r="I3715" s="3" t="str">
        <f ca="1">IFERROR(__xludf.DUMMYFUNCTION("""COMPUTED_VALUE"""),"Phạm Hồng Anh")</f>
        <v>Phạm Hồng Anh</v>
      </c>
      <c r="J3715" s="3" t="str">
        <f ca="1">IFERROR(__xludf.DUMMYFUNCTION("""COMPUTED_VALUE"""),"0354822089")</f>
        <v>0354822089</v>
      </c>
      <c r="K3715" s="2" t="str">
        <f ca="1">IFERROR(__xludf.DUMMYFUNCTION("""COMPUTED_VALUE"""),"1738005207966")</f>
        <v>1738005207966</v>
      </c>
    </row>
    <row r="3716" spans="1:11" ht="12.45">
      <c r="A3716" s="2" t="str">
        <f ca="1">IFERROR(__xludf.DUMMYFUNCTION("""COMPUTED_VALUE"""),"1738005259843")</f>
        <v>1738005259843</v>
      </c>
      <c r="B3716" s="2"/>
      <c r="C3716" s="2" t="str">
        <v>0</v>
      </c>
      <c r="D3716" s="2"/>
      <c r="F3716" s="2" t="str">
        <v>0</v>
      </c>
      <c r="I3716" s="3" t="str">
        <f ca="1">IFERROR(__xludf.DUMMYFUNCTION("""COMPUTED_VALUE"""),"Phạm Thị Mai Anh")</f>
        <v>Phạm Thị Mai Anh</v>
      </c>
      <c r="J3716" s="3" t="str">
        <f ca="1">IFERROR(__xludf.DUMMYFUNCTION("""COMPUTED_VALUE"""),"0818971780")</f>
        <v>0818971780</v>
      </c>
      <c r="K3716" s="2" t="str">
        <f ca="1">IFERROR(__xludf.DUMMYFUNCTION("""COMPUTED_VALUE"""),"1738005259843")</f>
        <v>1738005259843</v>
      </c>
    </row>
    <row r="3717" spans="1:11" ht="12.45">
      <c r="A3717" s="2" t="str">
        <f ca="1">IFERROR(__xludf.DUMMYFUNCTION("""COMPUTED_VALUE"""),"1738005289980")</f>
        <v>1738005289980</v>
      </c>
      <c r="B3717" s="2"/>
      <c r="C3717" s="2" t="str">
        <v>0</v>
      </c>
      <c r="D3717" s="2"/>
      <c r="F3717" s="2" t="str">
        <v>0</v>
      </c>
      <c r="I3717" s="3" t="str">
        <f ca="1">IFERROR(__xludf.DUMMYFUNCTION("""COMPUTED_VALUE"""),"Tạ Quang Quân")</f>
        <v>Tạ Quang Quân</v>
      </c>
      <c r="J3717" s="3" t="str">
        <f ca="1">IFERROR(__xludf.DUMMYFUNCTION("""COMPUTED_VALUE"""),"0976659695")</f>
        <v>0976659695</v>
      </c>
      <c r="K3717" s="2" t="str">
        <f ca="1">IFERROR(__xludf.DUMMYFUNCTION("""COMPUTED_VALUE"""),"1738005289980")</f>
        <v>1738005289980</v>
      </c>
    </row>
    <row r="3718" spans="1:11" ht="12.45">
      <c r="A3718" s="2" t="str">
        <f ca="1">IFERROR(__xludf.DUMMYFUNCTION("""COMPUTED_VALUE"""),"1738005322048")</f>
        <v>1738005322048</v>
      </c>
      <c r="B3718" s="2"/>
      <c r="C3718" s="2" t="str">
        <v>0</v>
      </c>
      <c r="D3718" s="2"/>
      <c r="F3718" s="2" t="str">
        <v>0</v>
      </c>
      <c r="I3718" s="3" t="str">
        <f ca="1">IFERROR(__xludf.DUMMYFUNCTION("""COMPUTED_VALUE"""),"Nguyễn Quỳnh Anh")</f>
        <v>Nguyễn Quỳnh Anh</v>
      </c>
      <c r="J3718" s="3" t="str">
        <f ca="1">IFERROR(__xludf.DUMMYFUNCTION("""COMPUTED_VALUE"""),"0858129771")</f>
        <v>0858129771</v>
      </c>
      <c r="K3718" s="2" t="str">
        <f ca="1">IFERROR(__xludf.DUMMYFUNCTION("""COMPUTED_VALUE"""),"1738005322048")</f>
        <v>1738005322048</v>
      </c>
    </row>
    <row r="3719" spans="1:11" ht="12.45">
      <c r="A3719" s="2" t="str">
        <f ca="1">IFERROR(__xludf.DUMMYFUNCTION("""COMPUTED_VALUE"""),"1738005365100")</f>
        <v>1738005365100</v>
      </c>
      <c r="B3719" s="2"/>
      <c r="C3719" s="2" t="str">
        <v>0</v>
      </c>
      <c r="D3719" s="2"/>
      <c r="F3719" s="2" t="str">
        <v>0</v>
      </c>
      <c r="I3719" s="3" t="str">
        <f ca="1">IFERROR(__xludf.DUMMYFUNCTION("""COMPUTED_VALUE"""),"Đỗ Vân Nhi")</f>
        <v>Đỗ Vân Nhi</v>
      </c>
      <c r="J3719" s="3" t="str">
        <f ca="1">IFERROR(__xludf.DUMMYFUNCTION("""COMPUTED_VALUE"""),"0398165581")</f>
        <v>0398165581</v>
      </c>
      <c r="K3719" s="2" t="str">
        <f ca="1">IFERROR(__xludf.DUMMYFUNCTION("""COMPUTED_VALUE"""),"1738005365100")</f>
        <v>1738005365100</v>
      </c>
    </row>
    <row r="3720" spans="1:11" ht="12.45">
      <c r="A3720" s="2" t="str">
        <f ca="1">IFERROR(__xludf.DUMMYFUNCTION("""COMPUTED_VALUE"""),"1738005398264")</f>
        <v>1738005398264</v>
      </c>
      <c r="B3720" s="2"/>
      <c r="C3720" s="2" t="str">
        <v>0</v>
      </c>
      <c r="D3720" s="2"/>
      <c r="F3720" s="2" t="str">
        <v>0</v>
      </c>
      <c r="I3720" s="3" t="str">
        <f ca="1">IFERROR(__xludf.DUMMYFUNCTION("""COMPUTED_VALUE"""),"Trương Trần Khánh Uyên")</f>
        <v>Trương Trần Khánh Uyên</v>
      </c>
      <c r="J3720" s="3" t="str">
        <f ca="1">IFERROR(__xludf.DUMMYFUNCTION("""COMPUTED_VALUE"""),"0345348079")</f>
        <v>0345348079</v>
      </c>
      <c r="K3720" s="2" t="str">
        <f ca="1">IFERROR(__xludf.DUMMYFUNCTION("""COMPUTED_VALUE"""),"1738005398264")</f>
        <v>1738005398264</v>
      </c>
    </row>
    <row r="3721" spans="1:11" ht="12.45">
      <c r="A3721" s="2" t="str">
        <f ca="1">IFERROR(__xludf.DUMMYFUNCTION("""COMPUTED_VALUE"""),"1738005443843")</f>
        <v>1738005443843</v>
      </c>
      <c r="B3721" s="2"/>
      <c r="C3721" s="2" t="str">
        <v>0</v>
      </c>
      <c r="D3721" s="2"/>
      <c r="F3721" s="2" t="str">
        <v>0</v>
      </c>
      <c r="I3721" s="3" t="str">
        <f ca="1">IFERROR(__xludf.DUMMYFUNCTION("""COMPUTED_VALUE"""),"Trịnh thị diễm quỳnh ")</f>
        <v xml:space="preserve">Trịnh thị diễm quỳnh </v>
      </c>
      <c r="J3721" s="3" t="str">
        <f ca="1">IFERROR(__xludf.DUMMYFUNCTION("""COMPUTED_VALUE"""),"0365642007")</f>
        <v>0365642007</v>
      </c>
      <c r="K3721" s="2" t="str">
        <f ca="1">IFERROR(__xludf.DUMMYFUNCTION("""COMPUTED_VALUE"""),"1738005443843")</f>
        <v>1738005443843</v>
      </c>
    </row>
    <row r="3722" spans="1:11" ht="12.45">
      <c r="A3722" s="2" t="str">
        <f ca="1">IFERROR(__xludf.DUMMYFUNCTION("""COMPUTED_VALUE"""),"1738005482370")</f>
        <v>1738005482370</v>
      </c>
      <c r="B3722" s="2"/>
      <c r="C3722" s="2" t="str">
        <v>0</v>
      </c>
      <c r="D3722" s="2"/>
      <c r="F3722" s="2" t="str">
        <v>0</v>
      </c>
      <c r="I3722" s="3" t="str">
        <f ca="1">IFERROR(__xludf.DUMMYFUNCTION("""COMPUTED_VALUE"""),"Võ Hoàng Hà Giang")</f>
        <v>Võ Hoàng Hà Giang</v>
      </c>
      <c r="J3722" s="3" t="str">
        <f ca="1">IFERROR(__xludf.DUMMYFUNCTION("""COMPUTED_VALUE"""),"0911043646")</f>
        <v>0911043646</v>
      </c>
      <c r="K3722" s="2" t="str">
        <f ca="1">IFERROR(__xludf.DUMMYFUNCTION("""COMPUTED_VALUE"""),"1738005482370")</f>
        <v>1738005482370</v>
      </c>
    </row>
    <row r="3723" spans="1:11" ht="12.45">
      <c r="A3723" s="2" t="str">
        <f ca="1">IFERROR(__xludf.DUMMYFUNCTION("""COMPUTED_VALUE"""),"1738005530777")</f>
        <v>1738005530777</v>
      </c>
      <c r="B3723" s="2"/>
      <c r="C3723" s="2" t="str">
        <v>0</v>
      </c>
      <c r="D3723" s="2"/>
      <c r="F3723" s="2" t="str">
        <v>0</v>
      </c>
      <c r="I3723" s="3" t="str">
        <f ca="1">IFERROR(__xludf.DUMMYFUNCTION("""COMPUTED_VALUE"""),"Đinh Thị Diệu My")</f>
        <v>Đinh Thị Diệu My</v>
      </c>
      <c r="J3723" s="3" t="str">
        <f ca="1">IFERROR(__xludf.DUMMYFUNCTION("""COMPUTED_VALUE"""),"0369933948")</f>
        <v>0369933948</v>
      </c>
      <c r="K3723" s="2" t="str">
        <f ca="1">IFERROR(__xludf.DUMMYFUNCTION("""COMPUTED_VALUE"""),"1738005530777")</f>
        <v>1738005530777</v>
      </c>
    </row>
    <row r="3724" spans="1:11" ht="12.45">
      <c r="A3724" s="2" t="str">
        <f ca="1">IFERROR(__xludf.DUMMYFUNCTION("""COMPUTED_VALUE"""),"1738005573218")</f>
        <v>1738005573218</v>
      </c>
      <c r="B3724" s="2"/>
      <c r="C3724" s="2" t="str">
        <v>0</v>
      </c>
      <c r="D3724" s="2"/>
      <c r="F3724" s="2" t="str">
        <v>0</v>
      </c>
      <c r="I3724" s="3" t="str">
        <f ca="1">IFERROR(__xludf.DUMMYFUNCTION("""COMPUTED_VALUE"""),"Bùi Tố Nghi")</f>
        <v>Bùi Tố Nghi</v>
      </c>
      <c r="J3724" s="3" t="str">
        <f ca="1">IFERROR(__xludf.DUMMYFUNCTION("""COMPUTED_VALUE"""),"0988043655")</f>
        <v>0988043655</v>
      </c>
      <c r="K3724" s="2" t="str">
        <f ca="1">IFERROR(__xludf.DUMMYFUNCTION("""COMPUTED_VALUE"""),"1738005573218")</f>
        <v>1738005573218</v>
      </c>
    </row>
    <row r="3725" spans="1:11" ht="12.45">
      <c r="A3725" s="2" t="str">
        <f ca="1">IFERROR(__xludf.DUMMYFUNCTION("""COMPUTED_VALUE"""),"1738005612840")</f>
        <v>1738005612840</v>
      </c>
      <c r="B3725" s="2"/>
      <c r="C3725" s="2" t="str">
        <v>0</v>
      </c>
      <c r="D3725" s="2"/>
      <c r="F3725" s="2" t="str">
        <v>0</v>
      </c>
      <c r="I3725" s="3" t="str">
        <f ca="1">IFERROR(__xludf.DUMMYFUNCTION("""COMPUTED_VALUE"""),"Phan Thị Hồng Nhung")</f>
        <v>Phan Thị Hồng Nhung</v>
      </c>
      <c r="J3725" s="3" t="str">
        <f ca="1">IFERROR(__xludf.DUMMYFUNCTION("""COMPUTED_VALUE"""),"0918697473")</f>
        <v>0918697473</v>
      </c>
      <c r="K3725" s="2" t="str">
        <f ca="1">IFERROR(__xludf.DUMMYFUNCTION("""COMPUTED_VALUE"""),"1738005612840")</f>
        <v>1738005612840</v>
      </c>
    </row>
    <row r="3726" spans="1:11" ht="12.45">
      <c r="A3726" s="2" t="str">
        <f ca="1">IFERROR(__xludf.DUMMYFUNCTION("""COMPUTED_VALUE"""),"1738005663261")</f>
        <v>1738005663261</v>
      </c>
      <c r="B3726" s="2"/>
      <c r="C3726" s="2" t="str">
        <v>0</v>
      </c>
      <c r="D3726" s="2"/>
      <c r="F3726" s="2" t="str">
        <v>0</v>
      </c>
      <c r="I3726" s="3" t="str">
        <f ca="1">IFERROR(__xludf.DUMMYFUNCTION("""COMPUTED_VALUE"""),"Nguyễn Thị Quỳnh Chi")</f>
        <v>Nguyễn Thị Quỳnh Chi</v>
      </c>
      <c r="J3726" s="3" t="str">
        <f ca="1">IFERROR(__xludf.DUMMYFUNCTION("""COMPUTED_VALUE"""),"0862663001")</f>
        <v>0862663001</v>
      </c>
      <c r="K3726" s="2" t="str">
        <f ca="1">IFERROR(__xludf.DUMMYFUNCTION("""COMPUTED_VALUE"""),"1738005663261")</f>
        <v>1738005663261</v>
      </c>
    </row>
    <row r="3727" spans="1:11" ht="12.45">
      <c r="A3727" s="2" t="str">
        <f ca="1">IFERROR(__xludf.DUMMYFUNCTION("""COMPUTED_VALUE"""),"1738005719438")</f>
        <v>1738005719438</v>
      </c>
      <c r="B3727" s="2"/>
      <c r="C3727" s="2" t="str">
        <v>0</v>
      </c>
      <c r="D3727" s="2"/>
      <c r="F3727" s="2" t="str">
        <v>0</v>
      </c>
      <c r="I3727" s="3" t="str">
        <f ca="1">IFERROR(__xludf.DUMMYFUNCTION("""COMPUTED_VALUE"""),"Trần Thị Diệu")</f>
        <v>Trần Thị Diệu</v>
      </c>
      <c r="J3727" s="3" t="str">
        <f ca="1">IFERROR(__xludf.DUMMYFUNCTION("""COMPUTED_VALUE"""),"0383858320")</f>
        <v>0383858320</v>
      </c>
      <c r="K3727" s="2" t="str">
        <f ca="1">IFERROR(__xludf.DUMMYFUNCTION("""COMPUTED_VALUE"""),"1738005719438")</f>
        <v>1738005719438</v>
      </c>
    </row>
    <row r="3728" spans="1:11" ht="12.45">
      <c r="A3728" s="2" t="str">
        <f ca="1">IFERROR(__xludf.DUMMYFUNCTION("""COMPUTED_VALUE"""),"1738005761144")</f>
        <v>1738005761144</v>
      </c>
      <c r="B3728" s="2"/>
      <c r="C3728" s="2" t="str">
        <v>0</v>
      </c>
      <c r="D3728" s="2"/>
      <c r="F3728" s="2" t="str">
        <v>0</v>
      </c>
      <c r="I3728" s="3" t="str">
        <f ca="1">IFERROR(__xludf.DUMMYFUNCTION("""COMPUTED_VALUE"""),"Lê Hữu Gia Huy")</f>
        <v>Lê Hữu Gia Huy</v>
      </c>
      <c r="J3728" s="3" t="str">
        <f ca="1">IFERROR(__xludf.DUMMYFUNCTION("""COMPUTED_VALUE"""),"0988261266")</f>
        <v>0988261266</v>
      </c>
      <c r="K3728" s="2" t="str">
        <f ca="1">IFERROR(__xludf.DUMMYFUNCTION("""COMPUTED_VALUE"""),"1738005761144")</f>
        <v>1738005761144</v>
      </c>
    </row>
    <row r="3729" spans="1:11" ht="12.45">
      <c r="A3729" s="2" t="str">
        <f ca="1">IFERROR(__xludf.DUMMYFUNCTION("""COMPUTED_VALUE"""),"1738005797918")</f>
        <v>1738005797918</v>
      </c>
      <c r="B3729" s="2"/>
      <c r="C3729" s="2" t="str">
        <v>0</v>
      </c>
      <c r="D3729" s="2"/>
      <c r="F3729" s="2" t="str">
        <v>0</v>
      </c>
      <c r="I3729" s="3" t="str">
        <f ca="1">IFERROR(__xludf.DUMMYFUNCTION("""COMPUTED_VALUE"""),"Phan Lê Cẩm Tú ")</f>
        <v xml:space="preserve">Phan Lê Cẩm Tú </v>
      </c>
      <c r="J3729" s="3" t="str">
        <f ca="1">IFERROR(__xludf.DUMMYFUNCTION("""COMPUTED_VALUE"""),"0393022246")</f>
        <v>0393022246</v>
      </c>
      <c r="K3729" s="2" t="str">
        <f ca="1">IFERROR(__xludf.DUMMYFUNCTION("""COMPUTED_VALUE"""),"1738005797918")</f>
        <v>1738005797918</v>
      </c>
    </row>
    <row r="3730" spans="1:11" ht="12.45">
      <c r="A3730" s="2" t="str">
        <f ca="1">IFERROR(__xludf.DUMMYFUNCTION("""COMPUTED_VALUE"""),"1738005823231")</f>
        <v>1738005823231</v>
      </c>
      <c r="B3730" s="2"/>
      <c r="C3730" s="2" t="str">
        <v>0</v>
      </c>
      <c r="D3730" s="2"/>
      <c r="F3730" s="2" t="str">
        <v>0</v>
      </c>
      <c r="I3730" s="3" t="str">
        <f ca="1">IFERROR(__xludf.DUMMYFUNCTION("""COMPUTED_VALUE"""),"Nguyễn Thị Yến Nhi")</f>
        <v>Nguyễn Thị Yến Nhi</v>
      </c>
      <c r="J3730" s="3" t="str">
        <f ca="1">IFERROR(__xludf.DUMMYFUNCTION("""COMPUTED_VALUE"""),"0988348471")</f>
        <v>0988348471</v>
      </c>
      <c r="K3730" s="2" t="str">
        <f ca="1">IFERROR(__xludf.DUMMYFUNCTION("""COMPUTED_VALUE"""),"1738005823231")</f>
        <v>1738005823231</v>
      </c>
    </row>
    <row r="3731" spans="1:11" ht="12.45">
      <c r="A3731" s="2" t="str">
        <f ca="1">IFERROR(__xludf.DUMMYFUNCTION("""COMPUTED_VALUE"""),"1738005843928")</f>
        <v>1738005843928</v>
      </c>
      <c r="B3731" s="2"/>
      <c r="C3731" s="2" t="str">
        <v>0</v>
      </c>
      <c r="D3731" s="2"/>
      <c r="F3731" s="2" t="str">
        <v>0</v>
      </c>
      <c r="I3731" s="3" t="str">
        <f ca="1">IFERROR(__xludf.DUMMYFUNCTION("""COMPUTED_VALUE"""),"Bùi Hồng Ngọc ")</f>
        <v xml:space="preserve">Bùi Hồng Ngọc </v>
      </c>
      <c r="J3731" s="3" t="str">
        <f ca="1">IFERROR(__xludf.DUMMYFUNCTION("""COMPUTED_VALUE"""),"0965394589")</f>
        <v>0965394589</v>
      </c>
      <c r="K3731" s="2" t="str">
        <f ca="1">IFERROR(__xludf.DUMMYFUNCTION("""COMPUTED_VALUE"""),"1738005843928")</f>
        <v>1738005843928</v>
      </c>
    </row>
    <row r="3732" spans="1:11" ht="12.45">
      <c r="A3732" s="2" t="str">
        <f ca="1">IFERROR(__xludf.DUMMYFUNCTION("""COMPUTED_VALUE"""),"1738005872672")</f>
        <v>1738005872672</v>
      </c>
      <c r="B3732" s="2"/>
      <c r="C3732" s="2" t="str">
        <v>0</v>
      </c>
      <c r="D3732" s="2"/>
      <c r="F3732" s="2" t="str">
        <v>0</v>
      </c>
      <c r="I3732" s="3" t="str">
        <f ca="1">IFERROR(__xludf.DUMMYFUNCTION("""COMPUTED_VALUE"""),"Nguyễn Thị Thu Huyền")</f>
        <v>Nguyễn Thị Thu Huyền</v>
      </c>
      <c r="J3732" s="3" t="str">
        <f ca="1">IFERROR(__xludf.DUMMYFUNCTION("""COMPUTED_VALUE"""),"0862846048")</f>
        <v>0862846048</v>
      </c>
      <c r="K3732" s="2" t="str">
        <f ca="1">IFERROR(__xludf.DUMMYFUNCTION("""COMPUTED_VALUE"""),"1738005872672")</f>
        <v>1738005872672</v>
      </c>
    </row>
    <row r="3733" spans="1:11" ht="12.45">
      <c r="A3733" s="2" t="str">
        <f ca="1">IFERROR(__xludf.DUMMYFUNCTION("""COMPUTED_VALUE"""),"1744768872060")</f>
        <v>1744768872060</v>
      </c>
      <c r="B3733" s="2"/>
      <c r="C3733" s="2" t="str">
        <v>0</v>
      </c>
      <c r="D3733" s="2"/>
      <c r="F3733" s="2" t="str">
        <v>0</v>
      </c>
      <c r="I3733" s="3" t="str">
        <f ca="1">IFERROR(__xludf.DUMMYFUNCTION("""COMPUTED_VALUE"""),"Phương Bảo Ngọc ")</f>
        <v xml:space="preserve">Phương Bảo Ngọc </v>
      </c>
      <c r="J3733" s="3" t="str">
        <f ca="1">IFERROR(__xludf.DUMMYFUNCTION("""COMPUTED_VALUE"""),"0982384788")</f>
        <v>0982384788</v>
      </c>
      <c r="K3733" s="2" t="str">
        <f ca="1">IFERROR(__xludf.DUMMYFUNCTION("""COMPUTED_VALUE"""),"1744768872060")</f>
        <v>1744768872060</v>
      </c>
    </row>
    <row r="3734" spans="1:11" ht="12.45">
      <c r="A3734" s="2" t="str">
        <f ca="1">IFERROR(__xludf.DUMMYFUNCTION("""COMPUTED_VALUE"""),"1738005904046")</f>
        <v>1738005904046</v>
      </c>
      <c r="B3734" s="2"/>
      <c r="C3734" s="2" t="str">
        <v>0</v>
      </c>
      <c r="D3734" s="2"/>
      <c r="F3734" s="2" t="str">
        <v>0</v>
      </c>
      <c r="I3734" s="3" t="str">
        <f ca="1">IFERROR(__xludf.DUMMYFUNCTION("""COMPUTED_VALUE"""),"Vũ Thanh Ngân")</f>
        <v>Vũ Thanh Ngân</v>
      </c>
      <c r="J3734" s="3" t="str">
        <f ca="1">IFERROR(__xludf.DUMMYFUNCTION("""COMPUTED_VALUE"""),"0982236065")</f>
        <v>0982236065</v>
      </c>
      <c r="K3734" s="2" t="str">
        <f ca="1">IFERROR(__xludf.DUMMYFUNCTION("""COMPUTED_VALUE"""),"1738005904046")</f>
        <v>1738005904046</v>
      </c>
    </row>
    <row r="3735" spans="1:11" ht="12.45">
      <c r="A3735" s="2" t="str">
        <f ca="1">IFERROR(__xludf.DUMMYFUNCTION("""COMPUTED_VALUE"""),"1738005938158")</f>
        <v>1738005938158</v>
      </c>
      <c r="B3735" s="2"/>
      <c r="C3735" s="2" t="str">
        <v>0</v>
      </c>
      <c r="D3735" s="2"/>
      <c r="F3735" s="2" t="str">
        <v>0</v>
      </c>
      <c r="I3735" s="3" t="str">
        <f ca="1">IFERROR(__xludf.DUMMYFUNCTION("""COMPUTED_VALUE"""),"Nguyễn đặng lâm phương ")</f>
        <v xml:space="preserve">Nguyễn đặng lâm phương </v>
      </c>
      <c r="J3735" s="2" t="str">
        <f ca="1">IFERROR(__xludf.DUMMYFUNCTION("""COMPUTED_VALUE"""),"08439917699")</f>
        <v>08439917699</v>
      </c>
      <c r="K3735" s="2" t="str">
        <f ca="1">IFERROR(__xludf.DUMMYFUNCTION("""COMPUTED_VALUE"""),"1738005938158")</f>
        <v>1738005938158</v>
      </c>
    </row>
    <row r="3736" spans="1:11" ht="12.45">
      <c r="A3736" s="2" t="str">
        <f ca="1">IFERROR(__xludf.DUMMYFUNCTION("""COMPUTED_VALUE"""),"1738005989269")</f>
        <v>1738005989269</v>
      </c>
      <c r="B3736" s="2"/>
      <c r="C3736" s="2" t="str">
        <v>0</v>
      </c>
      <c r="D3736" s="2"/>
      <c r="F3736" s="2" t="str">
        <v>0</v>
      </c>
      <c r="I3736" s="3" t="str">
        <f ca="1">IFERROR(__xludf.DUMMYFUNCTION("""COMPUTED_VALUE"""),"Phạm Hồng Phúc")</f>
        <v>Phạm Hồng Phúc</v>
      </c>
      <c r="J3736" s="3" t="str">
        <f ca="1">IFERROR(__xludf.DUMMYFUNCTION("""COMPUTED_VALUE"""),"0344112007")</f>
        <v>0344112007</v>
      </c>
      <c r="K3736" s="2" t="str">
        <f ca="1">IFERROR(__xludf.DUMMYFUNCTION("""COMPUTED_VALUE"""),"1738005989269")</f>
        <v>1738005989269</v>
      </c>
    </row>
    <row r="3737" spans="1:11" ht="12.45">
      <c r="A3737" s="2" t="str">
        <f ca="1">IFERROR(__xludf.DUMMYFUNCTION("""COMPUTED_VALUE"""),"1738006033773")</f>
        <v>1738006033773</v>
      </c>
      <c r="B3737" s="2"/>
      <c r="C3737" s="2" t="str">
        <v>0</v>
      </c>
      <c r="D3737" s="2"/>
      <c r="F3737" s="2" t="str">
        <v>0</v>
      </c>
      <c r="I3737" s="3" t="str">
        <f ca="1">IFERROR(__xludf.DUMMYFUNCTION("""COMPUTED_VALUE"""),"Vũ Thị Hiền Thảo")</f>
        <v>Vũ Thị Hiền Thảo</v>
      </c>
      <c r="J3737" s="3" t="str">
        <f ca="1">IFERROR(__xludf.DUMMYFUNCTION("""COMPUTED_VALUE"""),"0344315709")</f>
        <v>0344315709</v>
      </c>
      <c r="K3737" s="2" t="str">
        <f ca="1">IFERROR(__xludf.DUMMYFUNCTION("""COMPUTED_VALUE"""),"1738006033773")</f>
        <v>1738006033773</v>
      </c>
    </row>
    <row r="3738" spans="1:11" ht="12.45">
      <c r="A3738" s="2" t="str">
        <f ca="1">IFERROR(__xludf.DUMMYFUNCTION("""COMPUTED_VALUE"""),"1738006087320")</f>
        <v>1738006087320</v>
      </c>
      <c r="B3738" s="2"/>
      <c r="C3738" s="2" t="str">
        <v>0</v>
      </c>
      <c r="D3738" s="2"/>
      <c r="F3738" s="2" t="str">
        <v>0</v>
      </c>
      <c r="I3738" s="3" t="str">
        <f ca="1">IFERROR(__xludf.DUMMYFUNCTION("""COMPUTED_VALUE"""),"Ngô Gia Mẫn")</f>
        <v>Ngô Gia Mẫn</v>
      </c>
      <c r="J3738" s="3" t="str">
        <f ca="1">IFERROR(__xludf.DUMMYFUNCTION("""COMPUTED_VALUE"""),"0932050292")</f>
        <v>0932050292</v>
      </c>
      <c r="K3738" s="2" t="str">
        <f ca="1">IFERROR(__xludf.DUMMYFUNCTION("""COMPUTED_VALUE"""),"1738006087320")</f>
        <v>1738006087320</v>
      </c>
    </row>
    <row r="3739" spans="1:11" ht="12.45">
      <c r="A3739" s="2" t="str">
        <f ca="1">IFERROR(__xludf.DUMMYFUNCTION("""COMPUTED_VALUE"""),"1738006128141")</f>
        <v>1738006128141</v>
      </c>
      <c r="B3739" s="2"/>
      <c r="C3739" s="2" t="str">
        <v>0</v>
      </c>
      <c r="D3739" s="2"/>
      <c r="F3739" s="2" t="str">
        <v>0</v>
      </c>
      <c r="I3739" s="3" t="str">
        <f ca="1">IFERROR(__xludf.DUMMYFUNCTION("""COMPUTED_VALUE"""),"Nguyễn Thị Quỳnh Anh")</f>
        <v>Nguyễn Thị Quỳnh Anh</v>
      </c>
      <c r="J3739" s="3" t="str">
        <f ca="1">IFERROR(__xludf.DUMMYFUNCTION("""COMPUTED_VALUE"""),"0982550842")</f>
        <v>0982550842</v>
      </c>
      <c r="K3739" s="2" t="str">
        <f ca="1">IFERROR(__xludf.DUMMYFUNCTION("""COMPUTED_VALUE"""),"1738006128141")</f>
        <v>1738006128141</v>
      </c>
    </row>
    <row r="3740" spans="1:11" ht="12.45">
      <c r="A3740" s="2" t="str">
        <f ca="1">IFERROR(__xludf.DUMMYFUNCTION("""COMPUTED_VALUE"""),"1738006157264")</f>
        <v>1738006157264</v>
      </c>
      <c r="B3740" s="2"/>
      <c r="C3740" s="2" t="str">
        <v>0</v>
      </c>
      <c r="D3740" s="2"/>
      <c r="F3740" s="2" t="str">
        <v>0</v>
      </c>
      <c r="I3740" s="3" t="str">
        <f ca="1">IFERROR(__xludf.DUMMYFUNCTION("""COMPUTED_VALUE"""),"Nguyễn Đan Na")</f>
        <v>Nguyễn Đan Na</v>
      </c>
      <c r="J3740" s="3" t="str">
        <f ca="1">IFERROR(__xludf.DUMMYFUNCTION("""COMPUTED_VALUE"""),"0384189961")</f>
        <v>0384189961</v>
      </c>
      <c r="K3740" s="2" t="str">
        <f ca="1">IFERROR(__xludf.DUMMYFUNCTION("""COMPUTED_VALUE"""),"1738006157264")</f>
        <v>1738006157264</v>
      </c>
    </row>
    <row r="3741" spans="1:11" ht="12.45">
      <c r="A3741" s="2" t="str">
        <f ca="1">IFERROR(__xludf.DUMMYFUNCTION("""COMPUTED_VALUE"""),"1738006216966")</f>
        <v>1738006216966</v>
      </c>
      <c r="B3741" s="2"/>
      <c r="C3741" s="2" t="str">
        <v>0</v>
      </c>
      <c r="D3741" s="2"/>
      <c r="F3741" s="2" t="str">
        <v>0</v>
      </c>
      <c r="I3741" s="3" t="str">
        <f ca="1">IFERROR(__xludf.DUMMYFUNCTION("""COMPUTED_VALUE"""),"Nguyễn Quỳnh Anh ")</f>
        <v xml:space="preserve">Nguyễn Quỳnh Anh </v>
      </c>
      <c r="J3741" s="3" t="str">
        <f ca="1">IFERROR(__xludf.DUMMYFUNCTION("""COMPUTED_VALUE"""),"0367817682")</f>
        <v>0367817682</v>
      </c>
      <c r="K3741" s="2" t="str">
        <f ca="1">IFERROR(__xludf.DUMMYFUNCTION("""COMPUTED_VALUE"""),"1738006216966")</f>
        <v>1738006216966</v>
      </c>
    </row>
    <row r="3742" spans="1:11" ht="12.45">
      <c r="A3742" s="2" t="str">
        <f ca="1">IFERROR(__xludf.DUMMYFUNCTION("""COMPUTED_VALUE"""),"1738006258466")</f>
        <v>1738006258466</v>
      </c>
      <c r="B3742" s="2"/>
      <c r="C3742" s="2" t="str">
        <v>0</v>
      </c>
      <c r="D3742" s="2"/>
      <c r="F3742" s="2" t="str">
        <v>0</v>
      </c>
      <c r="I3742" s="3" t="str">
        <f ca="1">IFERROR(__xludf.DUMMYFUNCTION("""COMPUTED_VALUE"""),"Trần thu Hà")</f>
        <v>Trần thu Hà</v>
      </c>
      <c r="J3742" s="3" t="str">
        <f ca="1">IFERROR(__xludf.DUMMYFUNCTION("""COMPUTED_VALUE"""),"0869409917")</f>
        <v>0869409917</v>
      </c>
      <c r="K3742" s="2" t="str">
        <f ca="1">IFERROR(__xludf.DUMMYFUNCTION("""COMPUTED_VALUE"""),"1738006258466")</f>
        <v>1738006258466</v>
      </c>
    </row>
    <row r="3743" spans="1:11" ht="12.45">
      <c r="A3743" s="2" t="str">
        <f ca="1">IFERROR(__xludf.DUMMYFUNCTION("""COMPUTED_VALUE"""),"1738006286103")</f>
        <v>1738006286103</v>
      </c>
      <c r="B3743" s="2"/>
      <c r="C3743" s="2" t="str">
        <v>0</v>
      </c>
      <c r="D3743" s="2"/>
      <c r="F3743" s="2" t="str">
        <v>0</v>
      </c>
      <c r="I3743" s="3" t="str">
        <f ca="1">IFERROR(__xludf.DUMMYFUNCTION("""COMPUTED_VALUE"""),"Trần Thu Hiền")</f>
        <v>Trần Thu Hiền</v>
      </c>
      <c r="J3743" s="3" t="str">
        <f ca="1">IFERROR(__xludf.DUMMYFUNCTION("""COMPUTED_VALUE"""),"0855656118")</f>
        <v>0855656118</v>
      </c>
      <c r="K3743" s="2" t="str">
        <f ca="1">IFERROR(__xludf.DUMMYFUNCTION("""COMPUTED_VALUE"""),"1738006286103")</f>
        <v>1738006286103</v>
      </c>
    </row>
    <row r="3744" spans="1:11" ht="12.45">
      <c r="A3744" s="2" t="str">
        <f ca="1">IFERROR(__xludf.DUMMYFUNCTION("""COMPUTED_VALUE"""),"1738006324511")</f>
        <v>1738006324511</v>
      </c>
      <c r="B3744" s="2"/>
      <c r="C3744" s="2" t="str">
        <v>0</v>
      </c>
      <c r="D3744" s="2"/>
      <c r="F3744" s="2" t="str">
        <v>0</v>
      </c>
      <c r="I3744" s="3" t="str">
        <f ca="1">IFERROR(__xludf.DUMMYFUNCTION("""COMPUTED_VALUE"""),"Nguyễn Thị Mỹ Duyên ")</f>
        <v xml:space="preserve">Nguyễn Thị Mỹ Duyên </v>
      </c>
      <c r="J3744" s="3" t="str">
        <f ca="1">IFERROR(__xludf.DUMMYFUNCTION("""COMPUTED_VALUE"""),"0348118760")</f>
        <v>0348118760</v>
      </c>
      <c r="K3744" s="2" t="str">
        <f ca="1">IFERROR(__xludf.DUMMYFUNCTION("""COMPUTED_VALUE"""),"1738006324511")</f>
        <v>1738006324511</v>
      </c>
    </row>
    <row r="3745" spans="1:11" ht="12.45">
      <c r="A3745" s="2" t="str">
        <f ca="1">IFERROR(__xludf.DUMMYFUNCTION("""COMPUTED_VALUE"""),"1744768906061")</f>
        <v>1744768906061</v>
      </c>
      <c r="B3745" s="2"/>
      <c r="C3745" s="2" t="str">
        <v>0</v>
      </c>
      <c r="D3745" s="2"/>
      <c r="F3745" s="2" t="str">
        <v>0</v>
      </c>
      <c r="I3745" s="3" t="str">
        <f ca="1">IFERROR(__xludf.DUMMYFUNCTION("""COMPUTED_VALUE"""),"Thái Anh Thư")</f>
        <v>Thái Anh Thư</v>
      </c>
      <c r="J3745" s="3" t="str">
        <f ca="1">IFERROR(__xludf.DUMMYFUNCTION("""COMPUTED_VALUE"""),"0978991685")</f>
        <v>0978991685</v>
      </c>
      <c r="K3745" s="2" t="str">
        <f ca="1">IFERROR(__xludf.DUMMYFUNCTION("""COMPUTED_VALUE"""),"1744768906061")</f>
        <v>1744768906061</v>
      </c>
    </row>
    <row r="3746" spans="1:11" ht="12.45">
      <c r="A3746" s="2" t="str">
        <f ca="1">IFERROR(__xludf.DUMMYFUNCTION("""COMPUTED_VALUE"""),"1738006362915")</f>
        <v>1738006362915</v>
      </c>
      <c r="B3746" s="2"/>
      <c r="C3746" s="2" t="str">
        <v>0</v>
      </c>
      <c r="D3746" s="2"/>
      <c r="F3746" s="2" t="str">
        <v>0</v>
      </c>
      <c r="I3746" s="3" t="str">
        <f ca="1">IFERROR(__xludf.DUMMYFUNCTION("""COMPUTED_VALUE"""),"Cao Thanh Tâm ")</f>
        <v xml:space="preserve">Cao Thanh Tâm </v>
      </c>
      <c r="J3746" s="3" t="str">
        <f ca="1">IFERROR(__xludf.DUMMYFUNCTION("""COMPUTED_VALUE"""),"0867443566")</f>
        <v>0867443566</v>
      </c>
      <c r="K3746" s="2" t="str">
        <f ca="1">IFERROR(__xludf.DUMMYFUNCTION("""COMPUTED_VALUE"""),"1738006362915")</f>
        <v>1738006362915</v>
      </c>
    </row>
    <row r="3747" spans="1:11" ht="12.45">
      <c r="A3747" s="2" t="str">
        <f ca="1">IFERROR(__xludf.DUMMYFUNCTION("""COMPUTED_VALUE"""),"1738006388844")</f>
        <v>1738006388844</v>
      </c>
      <c r="B3747" s="2"/>
      <c r="C3747" s="2" t="str">
        <v>0</v>
      </c>
      <c r="D3747" s="2"/>
      <c r="F3747" s="2" t="str">
        <v>0</v>
      </c>
      <c r="I3747" s="3" t="str">
        <f ca="1">IFERROR(__xludf.DUMMYFUNCTION("""COMPUTED_VALUE"""),"Nguyễn Thị Phương Thảo")</f>
        <v>Nguyễn Thị Phương Thảo</v>
      </c>
      <c r="J3747" s="3" t="str">
        <f ca="1">IFERROR(__xludf.DUMMYFUNCTION("""COMPUTED_VALUE"""),"0397193088")</f>
        <v>0397193088</v>
      </c>
      <c r="K3747" s="2" t="str">
        <f ca="1">IFERROR(__xludf.DUMMYFUNCTION("""COMPUTED_VALUE"""),"1738006388844")</f>
        <v>1738006388844</v>
      </c>
    </row>
    <row r="3748" spans="1:11" ht="12.45">
      <c r="A3748" s="2" t="str">
        <f ca="1">IFERROR(__xludf.DUMMYFUNCTION("""COMPUTED_VALUE"""),"1738006431195")</f>
        <v>1738006431195</v>
      </c>
      <c r="B3748" s="2"/>
      <c r="C3748" s="2" t="str">
        <v>0</v>
      </c>
      <c r="D3748" s="2"/>
      <c r="F3748" s="2" t="str">
        <v>0</v>
      </c>
      <c r="I3748" s="3" t="str">
        <f ca="1">IFERROR(__xludf.DUMMYFUNCTION("""COMPUTED_VALUE"""),"Phạm Khánh Linh")</f>
        <v>Phạm Khánh Linh</v>
      </c>
      <c r="J3748" s="3" t="str">
        <f ca="1">IFERROR(__xludf.DUMMYFUNCTION("""COMPUTED_VALUE"""),"0376354089")</f>
        <v>0376354089</v>
      </c>
      <c r="K3748" s="2" t="str">
        <f ca="1">IFERROR(__xludf.DUMMYFUNCTION("""COMPUTED_VALUE"""),"1738006431195")</f>
        <v>1738006431195</v>
      </c>
    </row>
    <row r="3749" spans="1:11" ht="12.45">
      <c r="A3749" s="2" t="str">
        <f ca="1">IFERROR(__xludf.DUMMYFUNCTION("""COMPUTED_VALUE"""),"1738006476967")</f>
        <v>1738006476967</v>
      </c>
      <c r="B3749" s="2"/>
      <c r="C3749" s="2" t="str">
        <v>0</v>
      </c>
      <c r="D3749" s="2"/>
      <c r="F3749" s="2" t="str">
        <v>0</v>
      </c>
      <c r="I3749" s="3" t="str">
        <f ca="1">IFERROR(__xludf.DUMMYFUNCTION("""COMPUTED_VALUE"""),"Nguyễn Thanh Mai")</f>
        <v>Nguyễn Thanh Mai</v>
      </c>
      <c r="J3749" s="3" t="str">
        <f ca="1">IFERROR(__xludf.DUMMYFUNCTION("""COMPUTED_VALUE"""),"0969661329")</f>
        <v>0969661329</v>
      </c>
      <c r="K3749" s="2" t="str">
        <f ca="1">IFERROR(__xludf.DUMMYFUNCTION("""COMPUTED_VALUE"""),"1738006476967")</f>
        <v>1738006476967</v>
      </c>
    </row>
    <row r="3750" spans="1:11" ht="12.45">
      <c r="A3750" s="2" t="str">
        <f ca="1">IFERROR(__xludf.DUMMYFUNCTION("""COMPUTED_VALUE"""),"1738006528384")</f>
        <v>1738006528384</v>
      </c>
      <c r="B3750" s="2"/>
      <c r="C3750" s="2" t="str">
        <v>0</v>
      </c>
      <c r="D3750" s="2"/>
      <c r="F3750" s="2" t="str">
        <v>0</v>
      </c>
      <c r="I3750" s="3" t="str">
        <f ca="1">IFERROR(__xludf.DUMMYFUNCTION("""COMPUTED_VALUE"""),"Trần Khánh Linh")</f>
        <v>Trần Khánh Linh</v>
      </c>
      <c r="J3750" s="3" t="str">
        <f ca="1">IFERROR(__xludf.DUMMYFUNCTION("""COMPUTED_VALUE"""),"0329026525")</f>
        <v>0329026525</v>
      </c>
      <c r="K3750" s="2" t="str">
        <f ca="1">IFERROR(__xludf.DUMMYFUNCTION("""COMPUTED_VALUE"""),"1738006528384")</f>
        <v>1738006528384</v>
      </c>
    </row>
    <row r="3751" spans="1:11" ht="12.45">
      <c r="A3751" s="2" t="str">
        <f ca="1">IFERROR(__xludf.DUMMYFUNCTION("""COMPUTED_VALUE"""),"1738006560559")</f>
        <v>1738006560559</v>
      </c>
      <c r="B3751" s="2"/>
      <c r="C3751" s="2" t="str">
        <v>0</v>
      </c>
      <c r="D3751" s="2"/>
      <c r="F3751" s="2" t="str">
        <v>0</v>
      </c>
      <c r="I3751" s="3" t="str">
        <f ca="1">IFERROR(__xludf.DUMMYFUNCTION("""COMPUTED_VALUE"""),"Lê Nguyễn Thanh Huyền ")</f>
        <v xml:space="preserve">Lê Nguyễn Thanh Huyền </v>
      </c>
      <c r="J3751" s="3" t="str">
        <f ca="1">IFERROR(__xludf.DUMMYFUNCTION("""COMPUTED_VALUE"""),"0329097067")</f>
        <v>0329097067</v>
      </c>
      <c r="K3751" s="2" t="str">
        <f ca="1">IFERROR(__xludf.DUMMYFUNCTION("""COMPUTED_VALUE"""),"1738006560559")</f>
        <v>1738006560559</v>
      </c>
    </row>
    <row r="3752" spans="1:11" ht="12.45">
      <c r="A3752" s="2" t="str">
        <f ca="1">IFERROR(__xludf.DUMMYFUNCTION("""COMPUTED_VALUE"""),"1738006593864")</f>
        <v>1738006593864</v>
      </c>
      <c r="B3752" s="2"/>
      <c r="C3752" s="2" t="str">
        <v>0</v>
      </c>
      <c r="D3752" s="2"/>
      <c r="F3752" s="2" t="str">
        <v>0</v>
      </c>
      <c r="I3752" s="3" t="str">
        <f ca="1">IFERROR(__xludf.DUMMYFUNCTION("""COMPUTED_VALUE"""),"VĂN THỊ DIỆU HIỀN ")</f>
        <v xml:space="preserve">VĂN THỊ DIỆU HIỀN </v>
      </c>
      <c r="J3752" s="3" t="str">
        <f ca="1">IFERROR(__xludf.DUMMYFUNCTION("""COMPUTED_VALUE"""),"0336603758")</f>
        <v>0336603758</v>
      </c>
      <c r="K3752" s="2" t="str">
        <f ca="1">IFERROR(__xludf.DUMMYFUNCTION("""COMPUTED_VALUE"""),"1738006593864")</f>
        <v>1738006593864</v>
      </c>
    </row>
    <row r="3753" spans="1:11" ht="12.45">
      <c r="A3753" s="2" t="str">
        <f ca="1">IFERROR(__xludf.DUMMYFUNCTION("""COMPUTED_VALUE"""),"1738006632527")</f>
        <v>1738006632527</v>
      </c>
      <c r="B3753" s="2"/>
      <c r="C3753" s="2" t="str">
        <v>0</v>
      </c>
      <c r="D3753" s="2"/>
      <c r="F3753" s="2" t="str">
        <v>0</v>
      </c>
      <c r="I3753" s="3" t="str">
        <f ca="1">IFERROR(__xludf.DUMMYFUNCTION("""COMPUTED_VALUE"""),"Trần Triệu Vy")</f>
        <v>Trần Triệu Vy</v>
      </c>
      <c r="J3753" s="3" t="str">
        <f ca="1">IFERROR(__xludf.DUMMYFUNCTION("""COMPUTED_VALUE"""),"0862832697")</f>
        <v>0862832697</v>
      </c>
      <c r="K3753" s="2" t="str">
        <f ca="1">IFERROR(__xludf.DUMMYFUNCTION("""COMPUTED_VALUE"""),"1738006632527")</f>
        <v>1738006632527</v>
      </c>
    </row>
    <row r="3754" spans="1:11" ht="12.45">
      <c r="A3754" s="2" t="str">
        <f ca="1">IFERROR(__xludf.DUMMYFUNCTION("""COMPUTED_VALUE"""),"1738006672625")</f>
        <v>1738006672625</v>
      </c>
      <c r="B3754" s="2"/>
      <c r="C3754" s="2" t="str">
        <v>0</v>
      </c>
      <c r="D3754" s="2"/>
      <c r="F3754" s="2" t="str">
        <v>0</v>
      </c>
      <c r="I3754" s="3" t="str">
        <f ca="1">IFERROR(__xludf.DUMMYFUNCTION("""COMPUTED_VALUE"""),"Dương Mỹ Trinh")</f>
        <v>Dương Mỹ Trinh</v>
      </c>
      <c r="J3754" s="3" t="str">
        <f ca="1">IFERROR(__xludf.DUMMYFUNCTION("""COMPUTED_VALUE"""),"0869980742")</f>
        <v>0869980742</v>
      </c>
      <c r="K3754" s="2" t="str">
        <f ca="1">IFERROR(__xludf.DUMMYFUNCTION("""COMPUTED_VALUE"""),"1738006672625")</f>
        <v>1738006672625</v>
      </c>
    </row>
    <row r="3755" spans="1:11" ht="12.45">
      <c r="A3755" s="2" t="str">
        <f ca="1">IFERROR(__xludf.DUMMYFUNCTION("""COMPUTED_VALUE"""),"1738006716840")</f>
        <v>1738006716840</v>
      </c>
      <c r="B3755" s="2"/>
      <c r="C3755" s="2" t="str">
        <v>0</v>
      </c>
      <c r="D3755" s="2"/>
      <c r="F3755" s="2" t="str">
        <v>0</v>
      </c>
      <c r="I3755" s="3" t="str">
        <f ca="1">IFERROR(__xludf.DUMMYFUNCTION("""COMPUTED_VALUE"""),"Hầu Ánh Mai")</f>
        <v>Hầu Ánh Mai</v>
      </c>
      <c r="J3755" s="3" t="str">
        <f ca="1">IFERROR(__xludf.DUMMYFUNCTION("""COMPUTED_VALUE"""),"0876958859")</f>
        <v>0876958859</v>
      </c>
      <c r="K3755" s="2" t="str">
        <f ca="1">IFERROR(__xludf.DUMMYFUNCTION("""COMPUTED_VALUE"""),"1738006716840")</f>
        <v>1738006716840</v>
      </c>
    </row>
    <row r="3756" spans="1:11" ht="12.45">
      <c r="A3756" s="2" t="str">
        <f ca="1">IFERROR(__xludf.DUMMYFUNCTION("""COMPUTED_VALUE"""),"1738006757683")</f>
        <v>1738006757683</v>
      </c>
      <c r="B3756" s="2"/>
      <c r="C3756" s="2" t="str">
        <v>0</v>
      </c>
      <c r="D3756" s="2"/>
      <c r="F3756" s="2" t="str">
        <v>0</v>
      </c>
      <c r="I3756" s="3" t="str">
        <f ca="1">IFERROR(__xludf.DUMMYFUNCTION("""COMPUTED_VALUE"""),"Trịnh Thị Huyền Trang ")</f>
        <v xml:space="preserve">Trịnh Thị Huyền Trang </v>
      </c>
      <c r="J3756" s="3" t="str">
        <f ca="1">IFERROR(__xludf.DUMMYFUNCTION("""COMPUTED_VALUE"""),"0398357302")</f>
        <v>0398357302</v>
      </c>
      <c r="K3756" s="2" t="str">
        <f ca="1">IFERROR(__xludf.DUMMYFUNCTION("""COMPUTED_VALUE"""),"1738006757683")</f>
        <v>1738006757683</v>
      </c>
    </row>
    <row r="3757" spans="1:11" ht="12.45">
      <c r="A3757" s="2" t="str">
        <f ca="1">IFERROR(__xludf.DUMMYFUNCTION("""COMPUTED_VALUE"""),"1738006802903")</f>
        <v>1738006802903</v>
      </c>
      <c r="B3757" s="2"/>
      <c r="C3757" s="2" t="str">
        <v>0</v>
      </c>
      <c r="D3757" s="2"/>
      <c r="F3757" s="2" t="str">
        <v>0</v>
      </c>
      <c r="I3757" s="3" t="str">
        <f ca="1">IFERROR(__xludf.DUMMYFUNCTION("""COMPUTED_VALUE"""),"Lê Thanh Vân")</f>
        <v>Lê Thanh Vân</v>
      </c>
      <c r="J3757" s="3" t="str">
        <f ca="1">IFERROR(__xludf.DUMMYFUNCTION("""COMPUTED_VALUE"""),"0979872425")</f>
        <v>0979872425</v>
      </c>
      <c r="K3757" s="2" t="str">
        <f ca="1">IFERROR(__xludf.DUMMYFUNCTION("""COMPUTED_VALUE"""),"1738006802903")</f>
        <v>1738006802903</v>
      </c>
    </row>
    <row r="3758" spans="1:11" ht="12.45">
      <c r="A3758" s="2" t="str">
        <f ca="1">IFERROR(__xludf.DUMMYFUNCTION("""COMPUTED_VALUE"""),"1738006860879")</f>
        <v>1738006860879</v>
      </c>
      <c r="B3758" s="2"/>
      <c r="C3758" s="2" t="str">
        <v>0</v>
      </c>
      <c r="D3758" s="2"/>
      <c r="F3758" s="2" t="str">
        <v>0</v>
      </c>
      <c r="I3758" s="3" t="str">
        <f ca="1">IFERROR(__xludf.DUMMYFUNCTION("""COMPUTED_VALUE"""),"Dương Hoàng Phương Anh")</f>
        <v>Dương Hoàng Phương Anh</v>
      </c>
      <c r="J3758" s="3" t="str">
        <f ca="1">IFERROR(__xludf.DUMMYFUNCTION("""COMPUTED_VALUE"""),"0983633546")</f>
        <v>0983633546</v>
      </c>
      <c r="K3758" s="2" t="str">
        <f ca="1">IFERROR(__xludf.DUMMYFUNCTION("""COMPUTED_VALUE"""),"1738006860879")</f>
        <v>1738006860879</v>
      </c>
    </row>
    <row r="3759" spans="1:11" ht="12.45">
      <c r="A3759" s="2" t="str">
        <f ca="1">IFERROR(__xludf.DUMMYFUNCTION("""COMPUTED_VALUE"""),"1738006916029")</f>
        <v>1738006916029</v>
      </c>
      <c r="B3759" s="2"/>
      <c r="C3759" s="2" t="str">
        <v>0</v>
      </c>
      <c r="D3759" s="2"/>
      <c r="F3759" s="2" t="str">
        <v>0</v>
      </c>
      <c r="I3759" s="3" t="str">
        <f ca="1">IFERROR(__xludf.DUMMYFUNCTION("""COMPUTED_VALUE"""),"Đinh Thị Thúy Hằng")</f>
        <v>Đinh Thị Thúy Hằng</v>
      </c>
      <c r="J3759" s="3" t="str">
        <f ca="1">IFERROR(__xludf.DUMMYFUNCTION("""COMPUTED_VALUE"""),"0342259692")</f>
        <v>0342259692</v>
      </c>
      <c r="K3759" s="2" t="str">
        <f ca="1">IFERROR(__xludf.DUMMYFUNCTION("""COMPUTED_VALUE"""),"1738006916029")</f>
        <v>1738006916029</v>
      </c>
    </row>
    <row r="3760" spans="1:11" ht="12.45">
      <c r="A3760" s="2" t="str">
        <f ca="1">IFERROR(__xludf.DUMMYFUNCTION("""COMPUTED_VALUE"""),"1738006958300")</f>
        <v>1738006958300</v>
      </c>
      <c r="B3760" s="2"/>
      <c r="C3760" s="2" t="str">
        <v>0</v>
      </c>
      <c r="D3760" s="2"/>
      <c r="F3760" s="2" t="str">
        <v>0</v>
      </c>
      <c r="I3760" s="3" t="str">
        <f ca="1">IFERROR(__xludf.DUMMYFUNCTION("""COMPUTED_VALUE"""),"Đỗ Thị Hương Giang")</f>
        <v>Đỗ Thị Hương Giang</v>
      </c>
      <c r="J3760" s="3" t="str">
        <f ca="1">IFERROR(__xludf.DUMMYFUNCTION("""COMPUTED_VALUE"""),"0964021833")</f>
        <v>0964021833</v>
      </c>
      <c r="K3760" s="2" t="str">
        <f ca="1">IFERROR(__xludf.DUMMYFUNCTION("""COMPUTED_VALUE"""),"1738006958300")</f>
        <v>1738006958300</v>
      </c>
    </row>
    <row r="3761" spans="1:11" ht="12.45">
      <c r="A3761" s="2" t="str">
        <f ca="1">IFERROR(__xludf.DUMMYFUNCTION("""COMPUTED_VALUE"""),"1738007002257")</f>
        <v>1738007002257</v>
      </c>
      <c r="B3761" s="2"/>
      <c r="C3761" s="2" t="str">
        <v>0</v>
      </c>
      <c r="D3761" s="2"/>
      <c r="F3761" s="2" t="str">
        <v>0</v>
      </c>
      <c r="I3761" s="3" t="str">
        <f ca="1">IFERROR(__xludf.DUMMYFUNCTION("""COMPUTED_VALUE"""),"Vi Thị Lệ Quyên")</f>
        <v>Vi Thị Lệ Quyên</v>
      </c>
      <c r="J3761" s="3" t="str">
        <f ca="1">IFERROR(__xludf.DUMMYFUNCTION("""COMPUTED_VALUE"""),"0347398461")</f>
        <v>0347398461</v>
      </c>
      <c r="K3761" s="2" t="str">
        <f ca="1">IFERROR(__xludf.DUMMYFUNCTION("""COMPUTED_VALUE"""),"1738007002257")</f>
        <v>1738007002257</v>
      </c>
    </row>
    <row r="3762" spans="1:11" ht="12.45">
      <c r="A3762" s="2" t="str">
        <f ca="1">IFERROR(__xludf.DUMMYFUNCTION("""COMPUTED_VALUE"""),"1738007055138")</f>
        <v>1738007055138</v>
      </c>
      <c r="B3762" s="2"/>
      <c r="C3762" s="2" t="str">
        <v>0</v>
      </c>
      <c r="D3762" s="2"/>
      <c r="F3762" s="2" t="str">
        <v>0</v>
      </c>
      <c r="I3762" s="3" t="str">
        <f ca="1">IFERROR(__xludf.DUMMYFUNCTION("""COMPUTED_VALUE"""),"Nguyễn Thị Minh Thư")</f>
        <v>Nguyễn Thị Minh Thư</v>
      </c>
      <c r="J3762" s="3" t="str">
        <f ca="1">IFERROR(__xludf.DUMMYFUNCTION("""COMPUTED_VALUE"""),"0364519185")</f>
        <v>0364519185</v>
      </c>
      <c r="K3762" s="2" t="str">
        <f ca="1">IFERROR(__xludf.DUMMYFUNCTION("""COMPUTED_VALUE"""),"1738007055138")</f>
        <v>1738007055138</v>
      </c>
    </row>
    <row r="3763" spans="1:11" ht="12.45">
      <c r="A3763" s="2" t="str">
        <f ca="1">IFERROR(__xludf.DUMMYFUNCTION("""COMPUTED_VALUE"""),"1738007086661")</f>
        <v>1738007086661</v>
      </c>
      <c r="B3763" s="2"/>
      <c r="C3763" s="2" t="str">
        <v>0</v>
      </c>
      <c r="D3763" s="2"/>
      <c r="F3763" s="2" t="str">
        <v>0</v>
      </c>
      <c r="I3763" s="3" t="str">
        <f ca="1">IFERROR(__xludf.DUMMYFUNCTION("""COMPUTED_VALUE"""),"Nguyễn thị thùy linh ")</f>
        <v xml:space="preserve">Nguyễn thị thùy linh </v>
      </c>
      <c r="J3763" s="3" t="str">
        <f ca="1">IFERROR(__xludf.DUMMYFUNCTION("""COMPUTED_VALUE"""),"0963873142")</f>
        <v>0963873142</v>
      </c>
      <c r="K3763" s="2" t="str">
        <f ca="1">IFERROR(__xludf.DUMMYFUNCTION("""COMPUTED_VALUE"""),"1738007086661")</f>
        <v>1738007086661</v>
      </c>
    </row>
    <row r="3764" spans="1:11" ht="12.45">
      <c r="A3764" s="2" t="str">
        <f ca="1">IFERROR(__xludf.DUMMYFUNCTION("""COMPUTED_VALUE"""),"1738007121510")</f>
        <v>1738007121510</v>
      </c>
      <c r="B3764" s="2"/>
      <c r="C3764" s="2" t="str">
        <v>0</v>
      </c>
      <c r="D3764" s="2"/>
      <c r="F3764" s="2" t="str">
        <v>0</v>
      </c>
      <c r="I3764" s="3" t="str">
        <f ca="1">IFERROR(__xludf.DUMMYFUNCTION("""COMPUTED_VALUE"""),"Lê Công Nam Huân ")</f>
        <v xml:space="preserve">Lê Công Nam Huân </v>
      </c>
      <c r="J3764" s="3" t="str">
        <f ca="1">IFERROR(__xludf.DUMMYFUNCTION("""COMPUTED_VALUE"""),"0342919420")</f>
        <v>0342919420</v>
      </c>
      <c r="K3764" s="2" t="str">
        <f ca="1">IFERROR(__xludf.DUMMYFUNCTION("""COMPUTED_VALUE"""),"1738007121510")</f>
        <v>1738007121510</v>
      </c>
    </row>
    <row r="3765" spans="1:11" ht="12.45">
      <c r="A3765" s="2" t="str">
        <f ca="1">IFERROR(__xludf.DUMMYFUNCTION("""COMPUTED_VALUE"""),"1738007152975")</f>
        <v>1738007152975</v>
      </c>
      <c r="B3765" s="2"/>
      <c r="C3765" s="2" t="str">
        <v>0</v>
      </c>
      <c r="D3765" s="2"/>
      <c r="F3765" s="2" t="str">
        <v>0</v>
      </c>
      <c r="I3765" s="3" t="str">
        <f ca="1">IFERROR(__xludf.DUMMYFUNCTION("""COMPUTED_VALUE"""),"Nguyễn Quỳnh Trang")</f>
        <v>Nguyễn Quỳnh Trang</v>
      </c>
      <c r="J3765" s="3" t="str">
        <f ca="1">IFERROR(__xludf.DUMMYFUNCTION("""COMPUTED_VALUE"""),"0788380989")</f>
        <v>0788380989</v>
      </c>
      <c r="K3765" s="2" t="str">
        <f ca="1">IFERROR(__xludf.DUMMYFUNCTION("""COMPUTED_VALUE"""),"1738007152975")</f>
        <v>1738007152975</v>
      </c>
    </row>
    <row r="3766" spans="1:11" ht="12.45">
      <c r="A3766" s="2" t="str">
        <f ca="1">IFERROR(__xludf.DUMMYFUNCTION("""COMPUTED_VALUE"""),"1738007215228")</f>
        <v>1738007215228</v>
      </c>
      <c r="B3766" s="2"/>
      <c r="C3766" s="2" t="str">
        <v>0</v>
      </c>
      <c r="D3766" s="2"/>
      <c r="F3766" s="2" t="str">
        <v>0</v>
      </c>
      <c r="I3766" s="3" t="str">
        <f ca="1">IFERROR(__xludf.DUMMYFUNCTION("""COMPUTED_VALUE"""),"Lê Kiều Mỹ Duyên")</f>
        <v>Lê Kiều Mỹ Duyên</v>
      </c>
      <c r="J3766" s="3" t="str">
        <f ca="1">IFERROR(__xludf.DUMMYFUNCTION("""COMPUTED_VALUE"""),"0968323819")</f>
        <v>0968323819</v>
      </c>
      <c r="K3766" s="2" t="str">
        <f ca="1">IFERROR(__xludf.DUMMYFUNCTION("""COMPUTED_VALUE"""),"1738007215228")</f>
        <v>1738007215228</v>
      </c>
    </row>
    <row r="3767" spans="1:11" ht="12.45">
      <c r="A3767" s="2" t="str">
        <f ca="1">IFERROR(__xludf.DUMMYFUNCTION("""COMPUTED_VALUE"""),"1738007258855")</f>
        <v>1738007258855</v>
      </c>
      <c r="B3767" s="2"/>
      <c r="C3767" s="2" t="str">
        <v>0</v>
      </c>
      <c r="D3767" s="2"/>
      <c r="F3767" s="2" t="str">
        <v>0</v>
      </c>
      <c r="I3767" s="3" t="str">
        <f ca="1">IFERROR(__xludf.DUMMYFUNCTION("""COMPUTED_VALUE"""),"Đào Nguyên Ngân ")</f>
        <v xml:space="preserve">Đào Nguyên Ngân </v>
      </c>
      <c r="J3767" s="3" t="str">
        <f ca="1">IFERROR(__xludf.DUMMYFUNCTION("""COMPUTED_VALUE"""),"0362089773")</f>
        <v>0362089773</v>
      </c>
      <c r="K3767" s="2" t="str">
        <f ca="1">IFERROR(__xludf.DUMMYFUNCTION("""COMPUTED_VALUE"""),"1738007258855")</f>
        <v>1738007258855</v>
      </c>
    </row>
    <row r="3768" spans="1:11" ht="12.45">
      <c r="A3768" s="2" t="str">
        <f ca="1">IFERROR(__xludf.DUMMYFUNCTION("""COMPUTED_VALUE"""),"1738007306875")</f>
        <v>1738007306875</v>
      </c>
      <c r="B3768" s="2"/>
      <c r="C3768" s="2" t="str">
        <v>0</v>
      </c>
      <c r="D3768" s="2"/>
      <c r="F3768" s="2" t="str">
        <v>0</v>
      </c>
      <c r="I3768" s="3" t="str">
        <f ca="1">IFERROR(__xludf.DUMMYFUNCTION("""COMPUTED_VALUE"""),"Phan Thùy Trâm")</f>
        <v>Phan Thùy Trâm</v>
      </c>
      <c r="J3768" s="3" t="str">
        <f ca="1">IFERROR(__xludf.DUMMYFUNCTION("""COMPUTED_VALUE"""),"0384588349")</f>
        <v>0384588349</v>
      </c>
      <c r="K3768" s="2" t="str">
        <f ca="1">IFERROR(__xludf.DUMMYFUNCTION("""COMPUTED_VALUE"""),"1738007306875")</f>
        <v>1738007306875</v>
      </c>
    </row>
    <row r="3769" spans="1:11" ht="12.45">
      <c r="A3769" s="2" t="str">
        <f ca="1">IFERROR(__xludf.DUMMYFUNCTION("""COMPUTED_VALUE"""),"1738007340679")</f>
        <v>1738007340679</v>
      </c>
      <c r="B3769" s="2"/>
      <c r="C3769" s="2" t="str">
        <v>0</v>
      </c>
      <c r="D3769" s="2"/>
      <c r="F3769" s="2" t="str">
        <v>0</v>
      </c>
      <c r="I3769" s="3" t="str">
        <f ca="1">IFERROR(__xludf.DUMMYFUNCTION("""COMPUTED_VALUE"""),"HỒ LƯU BÍCH")</f>
        <v>HỒ LƯU BÍCH</v>
      </c>
      <c r="J3769" s="3" t="str">
        <f ca="1">IFERROR(__xludf.DUMMYFUNCTION("""COMPUTED_VALUE"""),"0834885707")</f>
        <v>0834885707</v>
      </c>
      <c r="K3769" s="2" t="str">
        <f ca="1">IFERROR(__xludf.DUMMYFUNCTION("""COMPUTED_VALUE"""),"1738007340679")</f>
        <v>1738007340679</v>
      </c>
    </row>
    <row r="3770" spans="1:11" ht="12.45">
      <c r="A3770" s="2" t="str">
        <f ca="1">IFERROR(__xludf.DUMMYFUNCTION("""COMPUTED_VALUE"""),"1738007383184")</f>
        <v>1738007383184</v>
      </c>
      <c r="B3770" s="2"/>
      <c r="C3770" s="2" t="str">
        <v>0</v>
      </c>
      <c r="D3770" s="2"/>
      <c r="F3770" s="2" t="str">
        <v>0</v>
      </c>
      <c r="I3770" s="3" t="str">
        <f ca="1">IFERROR(__xludf.DUMMYFUNCTION("""COMPUTED_VALUE"""),"Trần Thị Thanh Thuý")</f>
        <v>Trần Thị Thanh Thuý</v>
      </c>
      <c r="J3770" s="3" t="str">
        <f ca="1">IFERROR(__xludf.DUMMYFUNCTION("""COMPUTED_VALUE"""),"0367036996")</f>
        <v>0367036996</v>
      </c>
      <c r="K3770" s="2" t="str">
        <f ca="1">IFERROR(__xludf.DUMMYFUNCTION("""COMPUTED_VALUE"""),"1738007383184")</f>
        <v>1738007383184</v>
      </c>
    </row>
    <row r="3771" spans="1:11" ht="12.45">
      <c r="A3771" s="2" t="str">
        <f ca="1">IFERROR(__xludf.DUMMYFUNCTION("""COMPUTED_VALUE"""),"1738007424971")</f>
        <v>1738007424971</v>
      </c>
      <c r="B3771" s="2"/>
      <c r="C3771" s="2" t="str">
        <v>0</v>
      </c>
      <c r="D3771" s="2"/>
      <c r="F3771" s="2" t="str">
        <v>0</v>
      </c>
      <c r="I3771" s="3" t="str">
        <f ca="1">IFERROR(__xludf.DUMMYFUNCTION("""COMPUTED_VALUE"""),"Nguyễn Mai Anh")</f>
        <v>Nguyễn Mai Anh</v>
      </c>
      <c r="J3771" s="3" t="str">
        <f ca="1">IFERROR(__xludf.DUMMYFUNCTION("""COMPUTED_VALUE"""),"0788469616")</f>
        <v>0788469616</v>
      </c>
      <c r="K3771" s="2" t="str">
        <f ca="1">IFERROR(__xludf.DUMMYFUNCTION("""COMPUTED_VALUE"""),"1738007424971")</f>
        <v>1738007424971</v>
      </c>
    </row>
    <row r="3772" spans="1:11" ht="12.45">
      <c r="A3772" s="2" t="str">
        <f ca="1">IFERROR(__xludf.DUMMYFUNCTION("""COMPUTED_VALUE"""),"1738007454129")</f>
        <v>1738007454129</v>
      </c>
      <c r="B3772" s="2"/>
      <c r="C3772" s="2" t="str">
        <v>0</v>
      </c>
      <c r="D3772" s="2"/>
      <c r="F3772" s="2" t="str">
        <v>0</v>
      </c>
      <c r="I3772" s="3" t="str">
        <f ca="1">IFERROR(__xludf.DUMMYFUNCTION("""COMPUTED_VALUE"""),"Chử Minh Hiếu ")</f>
        <v xml:space="preserve">Chử Minh Hiếu </v>
      </c>
      <c r="J3772" s="3" t="str">
        <f ca="1">IFERROR(__xludf.DUMMYFUNCTION("""COMPUTED_VALUE"""),"0879056549")</f>
        <v>0879056549</v>
      </c>
      <c r="K3772" s="2" t="str">
        <f ca="1">IFERROR(__xludf.DUMMYFUNCTION("""COMPUTED_VALUE"""),"1738007454129")</f>
        <v>1738007454129</v>
      </c>
    </row>
    <row r="3773" spans="1:11" ht="12.45">
      <c r="A3773" s="2" t="str">
        <f ca="1">IFERROR(__xludf.DUMMYFUNCTION("""COMPUTED_VALUE"""),"1738007486861")</f>
        <v>1738007486861</v>
      </c>
      <c r="B3773" s="2"/>
      <c r="C3773" s="2" t="str">
        <v>0</v>
      </c>
      <c r="D3773" s="2"/>
      <c r="F3773" s="2" t="str">
        <v>0</v>
      </c>
      <c r="I3773" s="3" t="str">
        <f ca="1">IFERROR(__xludf.DUMMYFUNCTION("""COMPUTED_VALUE"""),"Lê Ngọc Như Băng")</f>
        <v>Lê Ngọc Như Băng</v>
      </c>
      <c r="J3773" s="3" t="str">
        <f ca="1">IFERROR(__xludf.DUMMYFUNCTION("""COMPUTED_VALUE"""),"0906848402")</f>
        <v>0906848402</v>
      </c>
      <c r="K3773" s="2" t="str">
        <f ca="1">IFERROR(__xludf.DUMMYFUNCTION("""COMPUTED_VALUE"""),"1738007486861")</f>
        <v>1738007486861</v>
      </c>
    </row>
    <row r="3774" spans="1:11" ht="12.45">
      <c r="A3774" s="2" t="str">
        <f ca="1">IFERROR(__xludf.DUMMYFUNCTION("""COMPUTED_VALUE"""),"1738007520742")</f>
        <v>1738007520742</v>
      </c>
      <c r="B3774" s="2"/>
      <c r="C3774" s="2" t="str">
        <v>0</v>
      </c>
      <c r="D3774" s="2"/>
      <c r="F3774" s="2" t="str">
        <v>0</v>
      </c>
      <c r="I3774" s="3" t="str">
        <f ca="1">IFERROR(__xludf.DUMMYFUNCTION("""COMPUTED_VALUE"""),"Nguyễn Hoàng Phương Thảo")</f>
        <v>Nguyễn Hoàng Phương Thảo</v>
      </c>
      <c r="J3774" s="3" t="str">
        <f ca="1">IFERROR(__xludf.DUMMYFUNCTION("""COMPUTED_VALUE"""),"0919388497")</f>
        <v>0919388497</v>
      </c>
      <c r="K3774" s="2" t="str">
        <f ca="1">IFERROR(__xludf.DUMMYFUNCTION("""COMPUTED_VALUE"""),"1738007520742")</f>
        <v>1738007520742</v>
      </c>
    </row>
    <row r="3775" spans="1:11" ht="12.45">
      <c r="A3775" s="2" t="str">
        <f ca="1">IFERROR(__xludf.DUMMYFUNCTION("""COMPUTED_VALUE"""),"1738007549380")</f>
        <v>1738007549380</v>
      </c>
      <c r="B3775" s="2"/>
      <c r="C3775" s="2" t="str">
        <v>0</v>
      </c>
      <c r="D3775" s="2"/>
      <c r="F3775" s="2" t="str">
        <v>0</v>
      </c>
      <c r="I3775" s="3" t="str">
        <f ca="1">IFERROR(__xludf.DUMMYFUNCTION("""COMPUTED_VALUE"""),"Bùi Thị Lan Hương")</f>
        <v>Bùi Thị Lan Hương</v>
      </c>
      <c r="J3775" s="3" t="str">
        <f ca="1">IFERROR(__xludf.DUMMYFUNCTION("""COMPUTED_VALUE"""),"0971077662")</f>
        <v>0971077662</v>
      </c>
      <c r="K3775" s="2" t="str">
        <f ca="1">IFERROR(__xludf.DUMMYFUNCTION("""COMPUTED_VALUE"""),"1738007549380")</f>
        <v>1738007549380</v>
      </c>
    </row>
    <row r="3776" spans="1:11" ht="12.45">
      <c r="A3776" s="2" t="str">
        <f ca="1">IFERROR(__xludf.DUMMYFUNCTION("""COMPUTED_VALUE"""),"1738007618938")</f>
        <v>1738007618938</v>
      </c>
      <c r="B3776" s="2"/>
      <c r="C3776" s="2" t="str">
        <v>0</v>
      </c>
      <c r="D3776" s="2"/>
      <c r="F3776" s="2" t="str">
        <v>0</v>
      </c>
      <c r="I3776" s="3" t="str">
        <f ca="1">IFERROR(__xludf.DUMMYFUNCTION("""COMPUTED_VALUE"""),"Huỳnh Thị Thúy Nhung")</f>
        <v>Huỳnh Thị Thúy Nhung</v>
      </c>
      <c r="J3776" s="3" t="str">
        <f ca="1">IFERROR(__xludf.DUMMYFUNCTION("""COMPUTED_VALUE"""),"0396985373")</f>
        <v>0396985373</v>
      </c>
      <c r="K3776" s="2" t="str">
        <f ca="1">IFERROR(__xludf.DUMMYFUNCTION("""COMPUTED_VALUE"""),"1738007618938")</f>
        <v>1738007618938</v>
      </c>
    </row>
    <row r="3777" spans="1:11" ht="12.45">
      <c r="A3777" s="2" t="str">
        <f ca="1">IFERROR(__xludf.DUMMYFUNCTION("""COMPUTED_VALUE"""),"1738007668670")</f>
        <v>1738007668670</v>
      </c>
      <c r="B3777" s="2"/>
      <c r="C3777" s="2" t="str">
        <v>0</v>
      </c>
      <c r="D3777" s="2"/>
      <c r="F3777" s="2" t="str">
        <v>0</v>
      </c>
      <c r="I3777" s="3" t="str">
        <f ca="1">IFERROR(__xludf.DUMMYFUNCTION("""COMPUTED_VALUE"""),"Phạm Trần Khả Băng")</f>
        <v>Phạm Trần Khả Băng</v>
      </c>
      <c r="J3777" s="3" t="str">
        <f ca="1">IFERROR(__xludf.DUMMYFUNCTION("""COMPUTED_VALUE"""),"0935931798")</f>
        <v>0935931798</v>
      </c>
      <c r="K3777" s="2" t="str">
        <f ca="1">IFERROR(__xludf.DUMMYFUNCTION("""COMPUTED_VALUE"""),"1738007668670")</f>
        <v>1738007668670</v>
      </c>
    </row>
    <row r="3778" spans="1:11" ht="12.45">
      <c r="A3778" s="2" t="str">
        <f ca="1">IFERROR(__xludf.DUMMYFUNCTION("""COMPUTED_VALUE"""),"1738007700723")</f>
        <v>1738007700723</v>
      </c>
      <c r="B3778" s="2"/>
      <c r="C3778" s="2" t="str">
        <v>0</v>
      </c>
      <c r="D3778" s="2"/>
      <c r="F3778" s="2" t="str">
        <v>0</v>
      </c>
      <c r="I3778" s="3" t="str">
        <f ca="1">IFERROR(__xludf.DUMMYFUNCTION("""COMPUTED_VALUE"""),"Hoàng Thị Hà Anh")</f>
        <v>Hoàng Thị Hà Anh</v>
      </c>
      <c r="J3778" s="3" t="str">
        <f ca="1">IFERROR(__xludf.DUMMYFUNCTION("""COMPUTED_VALUE"""),"0373901945")</f>
        <v>0373901945</v>
      </c>
      <c r="K3778" s="2" t="str">
        <f ca="1">IFERROR(__xludf.DUMMYFUNCTION("""COMPUTED_VALUE"""),"1738007700723")</f>
        <v>1738007700723</v>
      </c>
    </row>
    <row r="3779" spans="1:11" ht="12.45">
      <c r="A3779" s="2" t="str">
        <f ca="1">IFERROR(__xludf.DUMMYFUNCTION("""COMPUTED_VALUE"""),"1738007736797")</f>
        <v>1738007736797</v>
      </c>
      <c r="B3779" s="2"/>
      <c r="C3779" s="2" t="str">
        <v>0</v>
      </c>
      <c r="D3779" s="2"/>
      <c r="F3779" s="2" t="str">
        <v>0</v>
      </c>
      <c r="I3779" s="3" t="str">
        <f ca="1">IFERROR(__xludf.DUMMYFUNCTION("""COMPUTED_VALUE"""),"Phạm Kim Anh")</f>
        <v>Phạm Kim Anh</v>
      </c>
      <c r="J3779" s="3" t="str">
        <f ca="1">IFERROR(__xludf.DUMMYFUNCTION("""COMPUTED_VALUE"""),"0918927192")</f>
        <v>0918927192</v>
      </c>
      <c r="K3779" s="2" t="str">
        <f ca="1">IFERROR(__xludf.DUMMYFUNCTION("""COMPUTED_VALUE"""),"1738007736797")</f>
        <v>1738007736797</v>
      </c>
    </row>
    <row r="3780" spans="1:11" ht="12.45">
      <c r="A3780" s="2" t="str">
        <f ca="1">IFERROR(__xludf.DUMMYFUNCTION("""COMPUTED_VALUE"""),"1738007793987")</f>
        <v>1738007793987</v>
      </c>
      <c r="B3780" s="2"/>
      <c r="C3780" s="2" t="str">
        <v>0</v>
      </c>
      <c r="D3780" s="2"/>
      <c r="F3780" s="2" t="str">
        <v>0</v>
      </c>
      <c r="I3780" s="3" t="str">
        <f ca="1">IFERROR(__xludf.DUMMYFUNCTION("""COMPUTED_VALUE"""),"Đỗ Ngọc Ánh")</f>
        <v>Đỗ Ngọc Ánh</v>
      </c>
      <c r="J3780" s="3" t="str">
        <f ca="1">IFERROR(__xludf.DUMMYFUNCTION("""COMPUTED_VALUE"""),"0387426685")</f>
        <v>0387426685</v>
      </c>
      <c r="K3780" s="2" t="str">
        <f ca="1">IFERROR(__xludf.DUMMYFUNCTION("""COMPUTED_VALUE"""),"1738007793987")</f>
        <v>1738007793987</v>
      </c>
    </row>
    <row r="3781" spans="1:11" ht="12.45">
      <c r="A3781" s="2" t="str">
        <f ca="1">IFERROR(__xludf.DUMMYFUNCTION("""COMPUTED_VALUE"""),"1738007833435")</f>
        <v>1738007833435</v>
      </c>
      <c r="B3781" s="2"/>
      <c r="C3781" s="2" t="str">
        <v>0</v>
      </c>
      <c r="D3781" s="2"/>
      <c r="F3781" s="2" t="str">
        <v>0</v>
      </c>
      <c r="I3781" s="3" t="str">
        <f ca="1">IFERROR(__xludf.DUMMYFUNCTION("""COMPUTED_VALUE"""),"Trần Nguyệt Nhi")</f>
        <v>Trần Nguyệt Nhi</v>
      </c>
      <c r="J3781" s="3" t="str">
        <f ca="1">IFERROR(__xludf.DUMMYFUNCTION("""COMPUTED_VALUE"""),"0919742581")</f>
        <v>0919742581</v>
      </c>
      <c r="K3781" s="2" t="str">
        <f ca="1">IFERROR(__xludf.DUMMYFUNCTION("""COMPUTED_VALUE"""),"1738007833435")</f>
        <v>1738007833435</v>
      </c>
    </row>
    <row r="3782" spans="1:11" ht="12.45">
      <c r="A3782" s="2" t="str">
        <f ca="1">IFERROR(__xludf.DUMMYFUNCTION("""COMPUTED_VALUE"""),"1738007876291")</f>
        <v>1738007876291</v>
      </c>
      <c r="B3782" s="2"/>
      <c r="C3782" s="2" t="str">
        <v>0</v>
      </c>
      <c r="D3782" s="2"/>
      <c r="F3782" s="2" t="str">
        <v>0</v>
      </c>
      <c r="I3782" s="3" t="str">
        <f ca="1">IFERROR(__xludf.DUMMYFUNCTION("""COMPUTED_VALUE"""),"Nguyễn Thị Thúy")</f>
        <v>Nguyễn Thị Thúy</v>
      </c>
      <c r="J3782" s="3" t="str">
        <f ca="1">IFERROR(__xludf.DUMMYFUNCTION("""COMPUTED_VALUE"""),"0972490283")</f>
        <v>0972490283</v>
      </c>
      <c r="K3782" s="2" t="str">
        <f ca="1">IFERROR(__xludf.DUMMYFUNCTION("""COMPUTED_VALUE"""),"1738007876291")</f>
        <v>1738007876291</v>
      </c>
    </row>
    <row r="3783" spans="1:11" ht="12.45">
      <c r="A3783" s="2" t="str">
        <f ca="1">IFERROR(__xludf.DUMMYFUNCTION("""COMPUTED_VALUE"""),"1738007923660")</f>
        <v>1738007923660</v>
      </c>
      <c r="B3783" s="2"/>
      <c r="C3783" s="2" t="str">
        <v>0</v>
      </c>
      <c r="D3783" s="2"/>
      <c r="F3783" s="2" t="str">
        <v>0</v>
      </c>
      <c r="I3783" s="3" t="str">
        <f ca="1">IFERROR(__xludf.DUMMYFUNCTION("""COMPUTED_VALUE"""),"Nguyễn Diễm Quỳnh")</f>
        <v>Nguyễn Diễm Quỳnh</v>
      </c>
      <c r="J3783" s="3" t="str">
        <f ca="1">IFERROR(__xludf.DUMMYFUNCTION("""COMPUTED_VALUE"""),"0986683292")</f>
        <v>0986683292</v>
      </c>
      <c r="K3783" s="2" t="str">
        <f ca="1">IFERROR(__xludf.DUMMYFUNCTION("""COMPUTED_VALUE"""),"1738007923660")</f>
        <v>1738007923660</v>
      </c>
    </row>
    <row r="3784" spans="1:11" ht="12.45">
      <c r="A3784" s="2" t="str">
        <f ca="1">IFERROR(__xludf.DUMMYFUNCTION("""COMPUTED_VALUE"""),"1738007966808")</f>
        <v>1738007966808</v>
      </c>
      <c r="B3784" s="2"/>
      <c r="C3784" s="2" t="str">
        <v>0</v>
      </c>
      <c r="D3784" s="2"/>
      <c r="F3784" s="2" t="str">
        <v>0</v>
      </c>
      <c r="I3784" s="3" t="str">
        <f ca="1">IFERROR(__xludf.DUMMYFUNCTION("""COMPUTED_VALUE"""),"Minh Ngọc")</f>
        <v>Minh Ngọc</v>
      </c>
      <c r="J3784" s="3" t="str">
        <f ca="1">IFERROR(__xludf.DUMMYFUNCTION("""COMPUTED_VALUE"""),"0333768981")</f>
        <v>0333768981</v>
      </c>
      <c r="K3784" s="2" t="str">
        <f ca="1">IFERROR(__xludf.DUMMYFUNCTION("""COMPUTED_VALUE"""),"1738007966808")</f>
        <v>1738007966808</v>
      </c>
    </row>
    <row r="3785" spans="1:11" ht="12.45">
      <c r="A3785" s="2" t="str">
        <f ca="1">IFERROR(__xludf.DUMMYFUNCTION("""COMPUTED_VALUE"""),"1738008005753")</f>
        <v>1738008005753</v>
      </c>
      <c r="B3785" s="2"/>
      <c r="C3785" s="2" t="str">
        <v>0</v>
      </c>
      <c r="D3785" s="2"/>
      <c r="F3785" s="2" t="str">
        <v>0</v>
      </c>
      <c r="I3785" s="3" t="str">
        <f ca="1">IFERROR(__xludf.DUMMYFUNCTION("""COMPUTED_VALUE"""),"Nguyễn Trần Tú Chinh")</f>
        <v>Nguyễn Trần Tú Chinh</v>
      </c>
      <c r="J3785" s="3" t="str">
        <f ca="1">IFERROR(__xludf.DUMMYFUNCTION("""COMPUTED_VALUE"""),"0987257029")</f>
        <v>0987257029</v>
      </c>
      <c r="K3785" s="2" t="str">
        <f ca="1">IFERROR(__xludf.DUMMYFUNCTION("""COMPUTED_VALUE"""),"1738008005753")</f>
        <v>1738008005753</v>
      </c>
    </row>
    <row r="3786" spans="1:11" ht="12.45">
      <c r="A3786" s="2" t="str">
        <f ca="1">IFERROR(__xludf.DUMMYFUNCTION("""COMPUTED_VALUE"""),"1738008031819")</f>
        <v>1738008031819</v>
      </c>
      <c r="B3786" s="2"/>
      <c r="C3786" s="2" t="str">
        <v>0</v>
      </c>
      <c r="D3786" s="2"/>
      <c r="F3786" s="2" t="str">
        <v>0</v>
      </c>
      <c r="I3786" s="3" t="str">
        <f ca="1">IFERROR(__xludf.DUMMYFUNCTION("""COMPUTED_VALUE"""),"Nguyễn Quốc Bảo")</f>
        <v>Nguyễn Quốc Bảo</v>
      </c>
      <c r="J3786" s="3" t="str">
        <f ca="1">IFERROR(__xludf.DUMMYFUNCTION("""COMPUTED_VALUE"""),"0389973098")</f>
        <v>0389973098</v>
      </c>
      <c r="K3786" s="2" t="str">
        <f ca="1">IFERROR(__xludf.DUMMYFUNCTION("""COMPUTED_VALUE"""),"1738008031819")</f>
        <v>1738008031819</v>
      </c>
    </row>
    <row r="3787" spans="1:11" ht="12.45">
      <c r="A3787" s="2" t="str">
        <f ca="1">IFERROR(__xludf.DUMMYFUNCTION("""COMPUTED_VALUE"""),"1738008067176")</f>
        <v>1738008067176</v>
      </c>
      <c r="B3787" s="2"/>
      <c r="C3787" s="2" t="str">
        <v>0</v>
      </c>
      <c r="D3787" s="2"/>
      <c r="F3787" s="2" t="str">
        <v>0</v>
      </c>
      <c r="I3787" s="3" t="str">
        <f ca="1">IFERROR(__xludf.DUMMYFUNCTION("""COMPUTED_VALUE"""),"Lê Thị Tường Vy ")</f>
        <v xml:space="preserve">Lê Thị Tường Vy </v>
      </c>
      <c r="J3787" s="3" t="str">
        <f ca="1">IFERROR(__xludf.DUMMYFUNCTION("""COMPUTED_VALUE"""),"0349156140")</f>
        <v>0349156140</v>
      </c>
      <c r="K3787" s="2" t="str">
        <f ca="1">IFERROR(__xludf.DUMMYFUNCTION("""COMPUTED_VALUE"""),"1738008067176")</f>
        <v>1738008067176</v>
      </c>
    </row>
    <row r="3788" spans="1:11" ht="12.45">
      <c r="A3788" s="2" t="str">
        <f ca="1">IFERROR(__xludf.DUMMYFUNCTION("""COMPUTED_VALUE"""),"1738008112145")</f>
        <v>1738008112145</v>
      </c>
      <c r="B3788" s="2"/>
      <c r="C3788" s="2" t="str">
        <v>0</v>
      </c>
      <c r="D3788" s="2"/>
      <c r="F3788" s="2" t="str">
        <v>0</v>
      </c>
      <c r="I3788" s="3" t="str">
        <f ca="1">IFERROR(__xludf.DUMMYFUNCTION("""COMPUTED_VALUE"""),"Đào Hải Linh")</f>
        <v>Đào Hải Linh</v>
      </c>
      <c r="J3788" s="3" t="str">
        <f ca="1">IFERROR(__xludf.DUMMYFUNCTION("""COMPUTED_VALUE"""),"0369614837")</f>
        <v>0369614837</v>
      </c>
      <c r="K3788" s="2" t="str">
        <f ca="1">IFERROR(__xludf.DUMMYFUNCTION("""COMPUTED_VALUE"""),"1738008112145")</f>
        <v>1738008112145</v>
      </c>
    </row>
    <row r="3789" spans="1:11" ht="12.45">
      <c r="A3789" s="2" t="str">
        <f ca="1">IFERROR(__xludf.DUMMYFUNCTION("""COMPUTED_VALUE"""),"1738008156788")</f>
        <v>1738008156788</v>
      </c>
      <c r="B3789" s="2"/>
      <c r="C3789" s="2" t="str">
        <v>0</v>
      </c>
      <c r="D3789" s="2"/>
      <c r="F3789" s="2" t="str">
        <v>0</v>
      </c>
      <c r="I3789" s="3" t="str">
        <f ca="1">IFERROR(__xludf.DUMMYFUNCTION("""COMPUTED_VALUE"""),"Nguyễn Trần Minh")</f>
        <v>Nguyễn Trần Minh</v>
      </c>
      <c r="J3789" s="3" t="str">
        <f ca="1">IFERROR(__xludf.DUMMYFUNCTION("""COMPUTED_VALUE"""),"0865533970")</f>
        <v>0865533970</v>
      </c>
      <c r="K3789" s="2" t="str">
        <f ca="1">IFERROR(__xludf.DUMMYFUNCTION("""COMPUTED_VALUE"""),"1738008156788")</f>
        <v>1738008156788</v>
      </c>
    </row>
    <row r="3790" spans="1:11" ht="12.45">
      <c r="A3790" s="2" t="str">
        <f ca="1">IFERROR(__xludf.DUMMYFUNCTION("""COMPUTED_VALUE"""),"1744768960323")</f>
        <v>1744768960323</v>
      </c>
      <c r="B3790" s="2"/>
      <c r="C3790" s="2" t="str">
        <v>0</v>
      </c>
      <c r="D3790" s="2"/>
      <c r="F3790" s="2" t="str">
        <v>0</v>
      </c>
      <c r="I3790" s="3" t="str">
        <f ca="1">IFERROR(__xludf.DUMMYFUNCTION("""COMPUTED_VALUE"""),"Nguyễn Hữu Nam")</f>
        <v>Nguyễn Hữu Nam</v>
      </c>
      <c r="J3790" s="3" t="str">
        <f ca="1">IFERROR(__xludf.DUMMYFUNCTION("""COMPUTED_VALUE"""),"0389287368")</f>
        <v>0389287368</v>
      </c>
      <c r="K3790" s="2" t="str">
        <f ca="1">IFERROR(__xludf.DUMMYFUNCTION("""COMPUTED_VALUE"""),"1744768960323")</f>
        <v>1744768960323</v>
      </c>
    </row>
    <row r="3791" spans="1:11" ht="12.45">
      <c r="A3791" s="2" t="str">
        <f ca="1">IFERROR(__xludf.DUMMYFUNCTION("""COMPUTED_VALUE"""),"1744769005622")</f>
        <v>1744769005622</v>
      </c>
      <c r="B3791" s="2"/>
      <c r="C3791" s="2" t="str">
        <v>0</v>
      </c>
      <c r="D3791" s="2"/>
      <c r="F3791" s="2" t="str">
        <v>0</v>
      </c>
      <c r="I3791" s="3" t="str">
        <f ca="1">IFERROR(__xludf.DUMMYFUNCTION("""COMPUTED_VALUE"""),"Trần Minh An")</f>
        <v>Trần Minh An</v>
      </c>
      <c r="J3791" s="3" t="str">
        <f ca="1">IFERROR(__xludf.DUMMYFUNCTION("""COMPUTED_VALUE"""),"0967489177")</f>
        <v>0967489177</v>
      </c>
      <c r="K3791" s="2" t="str">
        <f ca="1">IFERROR(__xludf.DUMMYFUNCTION("""COMPUTED_VALUE"""),"1744769005622")</f>
        <v>1744769005622</v>
      </c>
    </row>
    <row r="3792" spans="1:11" ht="12.45">
      <c r="A3792" s="2" t="str">
        <f ca="1">IFERROR(__xludf.DUMMYFUNCTION("""COMPUTED_VALUE"""),"1738008186196")</f>
        <v>1738008186196</v>
      </c>
      <c r="B3792" s="2"/>
      <c r="C3792" s="2" t="str">
        <v>0</v>
      </c>
      <c r="D3792" s="2"/>
      <c r="F3792" s="2" t="str">
        <v>0</v>
      </c>
      <c r="I3792" s="3" t="str">
        <f ca="1">IFERROR(__xludf.DUMMYFUNCTION("""COMPUTED_VALUE"""),"Trần Thị Thảo Ly")</f>
        <v>Trần Thị Thảo Ly</v>
      </c>
      <c r="J3792" s="3" t="str">
        <f ca="1">IFERROR(__xludf.DUMMYFUNCTION("""COMPUTED_VALUE"""),"0396029880")</f>
        <v>0396029880</v>
      </c>
      <c r="K3792" s="2" t="str">
        <f ca="1">IFERROR(__xludf.DUMMYFUNCTION("""COMPUTED_VALUE"""),"1738008186196")</f>
        <v>1738008186196</v>
      </c>
    </row>
    <row r="3793" spans="1:11" ht="12.45">
      <c r="A3793" s="2" t="str">
        <f ca="1">IFERROR(__xludf.DUMMYFUNCTION("""COMPUTED_VALUE"""),"1738008211179")</f>
        <v>1738008211179</v>
      </c>
      <c r="B3793" s="2"/>
      <c r="C3793" s="2" t="str">
        <v>0</v>
      </c>
      <c r="D3793" s="2"/>
      <c r="F3793" s="2" t="str">
        <v>0</v>
      </c>
      <c r="I3793" s="3" t="str">
        <f ca="1">IFERROR(__xludf.DUMMYFUNCTION("""COMPUTED_VALUE"""),"Lê Phương Anh ")</f>
        <v xml:space="preserve">Lê Phương Anh </v>
      </c>
      <c r="J3793" s="3" t="str">
        <f ca="1">IFERROR(__xludf.DUMMYFUNCTION("""COMPUTED_VALUE"""),"0392064536")</f>
        <v>0392064536</v>
      </c>
      <c r="K3793" s="2" t="str">
        <f ca="1">IFERROR(__xludf.DUMMYFUNCTION("""COMPUTED_VALUE"""),"1738008211179")</f>
        <v>1738008211179</v>
      </c>
    </row>
    <row r="3794" spans="1:11" ht="12.45">
      <c r="A3794" s="2" t="str">
        <f ca="1">IFERROR(__xludf.DUMMYFUNCTION("""COMPUTED_VALUE"""),"1739282522639")</f>
        <v>1739282522639</v>
      </c>
      <c r="B3794" s="2"/>
      <c r="C3794" s="2" t="str">
        <v>0</v>
      </c>
      <c r="D3794" s="2"/>
      <c r="F3794" s="2" t="str">
        <v>0</v>
      </c>
      <c r="I3794" s="3" t="str">
        <f ca="1">IFERROR(__xludf.DUMMYFUNCTION("""COMPUTED_VALUE"""),"Dư Thị Lan Anh")</f>
        <v>Dư Thị Lan Anh</v>
      </c>
      <c r="J3794" s="3" t="str">
        <f ca="1">IFERROR(__xludf.DUMMYFUNCTION("""COMPUTED_VALUE"""),"0961748507")</f>
        <v>0961748507</v>
      </c>
      <c r="K3794" s="2" t="str">
        <f ca="1">IFERROR(__xludf.DUMMYFUNCTION("""COMPUTED_VALUE"""),"1739282522639")</f>
        <v>1739282522639</v>
      </c>
    </row>
    <row r="3795" spans="1:11" ht="12.45">
      <c r="A3795" s="2" t="str">
        <f ca="1">IFERROR(__xludf.DUMMYFUNCTION("""COMPUTED_VALUE"""),"1739282572022")</f>
        <v>1739282572022</v>
      </c>
      <c r="B3795" s="2"/>
      <c r="C3795" s="2" t="str">
        <v>0</v>
      </c>
      <c r="D3795" s="2"/>
      <c r="F3795" s="2" t="str">
        <v>0</v>
      </c>
      <c r="I3795" s="3" t="str">
        <f ca="1">IFERROR(__xludf.DUMMYFUNCTION("""COMPUTED_VALUE"""),"Trần Thị Mỹ Nhanh")</f>
        <v>Trần Thị Mỹ Nhanh</v>
      </c>
      <c r="J3795" s="3" t="str">
        <f ca="1">IFERROR(__xludf.DUMMYFUNCTION("""COMPUTED_VALUE"""),"0983654553")</f>
        <v>0983654553</v>
      </c>
      <c r="K3795" s="2" t="str">
        <f ca="1">IFERROR(__xludf.DUMMYFUNCTION("""COMPUTED_VALUE"""),"1739282572022")</f>
        <v>1739282572022</v>
      </c>
    </row>
    <row r="3796" spans="1:11" ht="12.45">
      <c r="A3796" s="2" t="str">
        <f ca="1">IFERROR(__xludf.DUMMYFUNCTION("""COMPUTED_VALUE"""),"1739282609795")</f>
        <v>1739282609795</v>
      </c>
      <c r="B3796" s="2"/>
      <c r="C3796" s="2" t="str">
        <v>0</v>
      </c>
      <c r="D3796" s="2"/>
      <c r="F3796" s="2" t="str">
        <v>0</v>
      </c>
      <c r="I3796" s="3" t="str">
        <f ca="1">IFERROR(__xludf.DUMMYFUNCTION("""COMPUTED_VALUE"""),"LÊ KHÁNH LINH ")</f>
        <v xml:space="preserve">LÊ KHÁNH LINH </v>
      </c>
      <c r="J3796" s="3" t="str">
        <f ca="1">IFERROR(__xludf.DUMMYFUNCTION("""COMPUTED_VALUE"""),"0869350268")</f>
        <v>0869350268</v>
      </c>
      <c r="K3796" s="2" t="str">
        <f ca="1">IFERROR(__xludf.DUMMYFUNCTION("""COMPUTED_VALUE"""),"1739282609795")</f>
        <v>1739282609795</v>
      </c>
    </row>
    <row r="3797" spans="1:11" ht="12.45">
      <c r="A3797" s="2" t="str">
        <f ca="1">IFERROR(__xludf.DUMMYFUNCTION("""COMPUTED_VALUE"""),"1739282658591")</f>
        <v>1739282658591</v>
      </c>
      <c r="B3797" s="2"/>
      <c r="C3797" s="2" t="str">
        <v>0</v>
      </c>
      <c r="D3797" s="2"/>
      <c r="F3797" s="2" t="str">
        <v>0</v>
      </c>
      <c r="I3797" s="3" t="str">
        <f ca="1">IFERROR(__xludf.DUMMYFUNCTION("""COMPUTED_VALUE"""),"Lê Thị Bích Phượng")</f>
        <v>Lê Thị Bích Phượng</v>
      </c>
      <c r="J3797" s="3" t="str">
        <f ca="1">IFERROR(__xludf.DUMMYFUNCTION("""COMPUTED_VALUE"""),"0399566938")</f>
        <v>0399566938</v>
      </c>
      <c r="K3797" s="2" t="str">
        <f ca="1">IFERROR(__xludf.DUMMYFUNCTION("""COMPUTED_VALUE"""),"1739282658591")</f>
        <v>1739282658591</v>
      </c>
    </row>
    <row r="3798" spans="1:11" ht="12.45">
      <c r="A3798" s="2" t="str">
        <f ca="1">IFERROR(__xludf.DUMMYFUNCTION("""COMPUTED_VALUE"""),"1739282689905")</f>
        <v>1739282689905</v>
      </c>
      <c r="B3798" s="2"/>
      <c r="C3798" s="2" t="str">
        <v>0</v>
      </c>
      <c r="D3798" s="2"/>
      <c r="F3798" s="2" t="str">
        <v>0</v>
      </c>
      <c r="I3798" s="3" t="str">
        <f ca="1">IFERROR(__xludf.DUMMYFUNCTION("""COMPUTED_VALUE"""),"Dương Bảo Thư")</f>
        <v>Dương Bảo Thư</v>
      </c>
      <c r="J3798" s="3" t="str">
        <f ca="1">IFERROR(__xludf.DUMMYFUNCTION("""COMPUTED_VALUE"""),"0868759599")</f>
        <v>0868759599</v>
      </c>
      <c r="K3798" s="2" t="str">
        <f ca="1">IFERROR(__xludf.DUMMYFUNCTION("""COMPUTED_VALUE"""),"1739282689905")</f>
        <v>1739282689905</v>
      </c>
    </row>
    <row r="3799" spans="1:11" ht="12.45">
      <c r="A3799" s="2" t="str">
        <f ca="1">IFERROR(__xludf.DUMMYFUNCTION("""COMPUTED_VALUE"""),"1739282725623")</f>
        <v>1739282725623</v>
      </c>
      <c r="B3799" s="2"/>
      <c r="C3799" s="2" t="str">
        <v>0</v>
      </c>
      <c r="D3799" s="2"/>
      <c r="F3799" s="2" t="str">
        <v>0</v>
      </c>
      <c r="I3799" s="3" t="str">
        <f ca="1">IFERROR(__xludf.DUMMYFUNCTION("""COMPUTED_VALUE"""),"Phạm Đình Huy")</f>
        <v>Phạm Đình Huy</v>
      </c>
      <c r="J3799" s="3" t="str">
        <f ca="1">IFERROR(__xludf.DUMMYFUNCTION("""COMPUTED_VALUE"""),"0345614180")</f>
        <v>0345614180</v>
      </c>
      <c r="K3799" s="2" t="str">
        <f ca="1">IFERROR(__xludf.DUMMYFUNCTION("""COMPUTED_VALUE"""),"1739282725623")</f>
        <v>1739282725623</v>
      </c>
    </row>
    <row r="3800" spans="1:11" ht="12.45">
      <c r="A3800" s="2" t="str">
        <f ca="1">IFERROR(__xludf.DUMMYFUNCTION("""COMPUTED_VALUE"""),"1739282754724")</f>
        <v>1739282754724</v>
      </c>
      <c r="B3800" s="2"/>
      <c r="C3800" s="2" t="str">
        <v>0</v>
      </c>
      <c r="D3800" s="2"/>
      <c r="F3800" s="2" t="str">
        <v>0</v>
      </c>
      <c r="I3800" s="3" t="str">
        <f ca="1">IFERROR(__xludf.DUMMYFUNCTION("""COMPUTED_VALUE"""),"Nguyễn Quỳnh Như ")</f>
        <v xml:space="preserve">Nguyễn Quỳnh Như </v>
      </c>
      <c r="J3800" s="3" t="str">
        <f ca="1">IFERROR(__xludf.DUMMYFUNCTION("""COMPUTED_VALUE"""),"0971472069")</f>
        <v>0971472069</v>
      </c>
      <c r="K3800" s="2" t="str">
        <f ca="1">IFERROR(__xludf.DUMMYFUNCTION("""COMPUTED_VALUE"""),"1739282754724")</f>
        <v>1739282754724</v>
      </c>
    </row>
    <row r="3801" spans="1:11" ht="12.45">
      <c r="A3801" s="2" t="str">
        <f ca="1">IFERROR(__xludf.DUMMYFUNCTION("""COMPUTED_VALUE"""),"1739282782692")</f>
        <v>1739282782692</v>
      </c>
      <c r="B3801" s="2"/>
      <c r="C3801" s="2" t="str">
        <v>0</v>
      </c>
      <c r="D3801" s="2"/>
      <c r="F3801" s="2" t="str">
        <v>0</v>
      </c>
      <c r="I3801" s="3" t="str">
        <f ca="1">IFERROR(__xludf.DUMMYFUNCTION("""COMPUTED_VALUE"""),"Lê Phương Thảo")</f>
        <v>Lê Phương Thảo</v>
      </c>
      <c r="J3801" s="3" t="str">
        <f ca="1">IFERROR(__xludf.DUMMYFUNCTION("""COMPUTED_VALUE"""),"0388533490")</f>
        <v>0388533490</v>
      </c>
      <c r="K3801" s="2" t="str">
        <f ca="1">IFERROR(__xludf.DUMMYFUNCTION("""COMPUTED_VALUE"""),"1739282782692")</f>
        <v>1739282782692</v>
      </c>
    </row>
    <row r="3802" spans="1:11" ht="12.45">
      <c r="A3802" s="2" t="str">
        <f ca="1">IFERROR(__xludf.DUMMYFUNCTION("""COMPUTED_VALUE"""),"1739282809722")</f>
        <v>1739282809722</v>
      </c>
      <c r="B3802" s="2"/>
      <c r="C3802" s="2" t="str">
        <v>0</v>
      </c>
      <c r="D3802" s="2"/>
      <c r="F3802" s="2" t="str">
        <v>0</v>
      </c>
      <c r="I3802" s="3" t="str">
        <f ca="1">IFERROR(__xludf.DUMMYFUNCTION("""COMPUTED_VALUE"""),"Nguyễn Thế Xuân Quỳnh")</f>
        <v>Nguyễn Thế Xuân Quỳnh</v>
      </c>
      <c r="J3802" s="3" t="str">
        <f ca="1">IFERROR(__xludf.DUMMYFUNCTION("""COMPUTED_VALUE"""),"0963482308")</f>
        <v>0963482308</v>
      </c>
      <c r="K3802" s="2" t="str">
        <f ca="1">IFERROR(__xludf.DUMMYFUNCTION("""COMPUTED_VALUE"""),"1739282809722")</f>
        <v>1739282809722</v>
      </c>
    </row>
    <row r="3803" spans="1:11" ht="12.45">
      <c r="A3803" s="2" t="str">
        <f ca="1">IFERROR(__xludf.DUMMYFUNCTION("""COMPUTED_VALUE"""),"1739282844725")</f>
        <v>1739282844725</v>
      </c>
      <c r="B3803" s="2"/>
      <c r="C3803" s="2" t="str">
        <v>0</v>
      </c>
      <c r="D3803" s="2"/>
      <c r="F3803" s="2" t="str">
        <v>0</v>
      </c>
      <c r="I3803" s="3" t="str">
        <f ca="1">IFERROR(__xludf.DUMMYFUNCTION("""COMPUTED_VALUE"""),"Lê Hà Nguyên ")</f>
        <v xml:space="preserve">Lê Hà Nguyên </v>
      </c>
      <c r="J3803" s="3" t="str">
        <f ca="1">IFERROR(__xludf.DUMMYFUNCTION("""COMPUTED_VALUE"""),"0582150817")</f>
        <v>0582150817</v>
      </c>
      <c r="K3803" s="2" t="str">
        <f ca="1">IFERROR(__xludf.DUMMYFUNCTION("""COMPUTED_VALUE"""),"1739282844725")</f>
        <v>1739282844725</v>
      </c>
    </row>
    <row r="3804" spans="1:11" ht="12.45">
      <c r="A3804" s="2" t="str">
        <f ca="1">IFERROR(__xludf.DUMMYFUNCTION("""COMPUTED_VALUE"""),"1739282870521")</f>
        <v>1739282870521</v>
      </c>
      <c r="B3804" s="2"/>
      <c r="C3804" s="2" t="str">
        <v>0</v>
      </c>
      <c r="D3804" s="2"/>
      <c r="F3804" s="2" t="str">
        <v>0</v>
      </c>
      <c r="I3804" s="3" t="str">
        <f ca="1">IFERROR(__xludf.DUMMYFUNCTION("""COMPUTED_VALUE"""),"Ngô Thị Hồng Thắm")</f>
        <v>Ngô Thị Hồng Thắm</v>
      </c>
      <c r="J3804" s="3" t="str">
        <f ca="1">IFERROR(__xludf.DUMMYFUNCTION("""COMPUTED_VALUE"""),"0328553706")</f>
        <v>0328553706</v>
      </c>
      <c r="K3804" s="2" t="str">
        <f ca="1">IFERROR(__xludf.DUMMYFUNCTION("""COMPUTED_VALUE"""),"1739282870521")</f>
        <v>1739282870521</v>
      </c>
    </row>
    <row r="3805" spans="1:11" ht="12.45">
      <c r="A3805" s="2" t="str">
        <f ca="1">IFERROR(__xludf.DUMMYFUNCTION("""COMPUTED_VALUE"""),"1739282899102")</f>
        <v>1739282899102</v>
      </c>
      <c r="B3805" s="2"/>
      <c r="C3805" s="2" t="str">
        <v>0</v>
      </c>
      <c r="D3805" s="2"/>
      <c r="F3805" s="2" t="str">
        <v>0</v>
      </c>
      <c r="I3805" s="3" t="str">
        <f ca="1">IFERROR(__xludf.DUMMYFUNCTION("""COMPUTED_VALUE"""),"Nguyễn Thị Ngọc Trâm ")</f>
        <v xml:space="preserve">Nguyễn Thị Ngọc Trâm </v>
      </c>
      <c r="J3805" s="3" t="str">
        <f ca="1">IFERROR(__xludf.DUMMYFUNCTION("""COMPUTED_VALUE"""),"0822456140")</f>
        <v>0822456140</v>
      </c>
      <c r="K3805" s="2" t="str">
        <f ca="1">IFERROR(__xludf.DUMMYFUNCTION("""COMPUTED_VALUE"""),"1739282899102")</f>
        <v>1739282899102</v>
      </c>
    </row>
    <row r="3806" spans="1:11" ht="12.45">
      <c r="A3806" s="2" t="str">
        <f ca="1">IFERROR(__xludf.DUMMYFUNCTION("""COMPUTED_VALUE"""),"1739282930258/ 1744805512114")</f>
        <v>1739282930258/ 1744805512114</v>
      </c>
      <c r="B3806" s="2"/>
      <c r="C3806" s="2" t="str">
        <v>0</v>
      </c>
      <c r="D3806" s="2"/>
      <c r="F3806" s="2" t="str">
        <v>0</v>
      </c>
      <c r="I3806" s="3" t="str">
        <f ca="1">IFERROR(__xludf.DUMMYFUNCTION("""COMPUTED_VALUE"""),"Võ Trần Nhật Tiên ")</f>
        <v xml:space="preserve">Võ Trần Nhật Tiên </v>
      </c>
      <c r="J3806" s="3" t="str">
        <f ca="1">IFERROR(__xludf.DUMMYFUNCTION("""COMPUTED_VALUE"""),"0369189545")</f>
        <v>0369189545</v>
      </c>
      <c r="K3806" s="2" t="str">
        <f ca="1">IFERROR(__xludf.DUMMYFUNCTION("""COMPUTED_VALUE"""),"1739282930258/ 1744805512114")</f>
        <v>1739282930258/ 1744805512114</v>
      </c>
    </row>
    <row r="3807" spans="1:11" ht="12.45">
      <c r="A3807" s="2" t="str">
        <f ca="1">IFERROR(__xludf.DUMMYFUNCTION("""COMPUTED_VALUE"""),"1739282961643")</f>
        <v>1739282961643</v>
      </c>
      <c r="B3807" s="2"/>
      <c r="C3807" s="2" t="str">
        <v>0</v>
      </c>
      <c r="D3807" s="2"/>
      <c r="F3807" s="2" t="str">
        <v>0</v>
      </c>
      <c r="I3807" s="3" t="str">
        <f ca="1">IFERROR(__xludf.DUMMYFUNCTION("""COMPUTED_VALUE"""),"Trần Thuỳ Linh")</f>
        <v>Trần Thuỳ Linh</v>
      </c>
      <c r="J3807" s="3" t="str">
        <f ca="1">IFERROR(__xludf.DUMMYFUNCTION("""COMPUTED_VALUE"""),"0943071222")</f>
        <v>0943071222</v>
      </c>
      <c r="K3807" s="2" t="str">
        <f ca="1">IFERROR(__xludf.DUMMYFUNCTION("""COMPUTED_VALUE"""),"1739282961643")</f>
        <v>1739282961643</v>
      </c>
    </row>
    <row r="3808" spans="1:11" ht="12.45">
      <c r="A3808" s="2" t="str">
        <f ca="1">IFERROR(__xludf.DUMMYFUNCTION("""COMPUTED_VALUE"""),"1739282989451")</f>
        <v>1739282989451</v>
      </c>
      <c r="B3808" s="2"/>
      <c r="C3808" s="2" t="str">
        <v>0</v>
      </c>
      <c r="D3808" s="2"/>
      <c r="F3808" s="2" t="str">
        <v>0</v>
      </c>
      <c r="I3808" s="3" t="str">
        <f ca="1">IFERROR(__xludf.DUMMYFUNCTION("""COMPUTED_VALUE"""),"Đào Thị Ánh")</f>
        <v>Đào Thị Ánh</v>
      </c>
      <c r="J3808" s="3" t="str">
        <f ca="1">IFERROR(__xludf.DUMMYFUNCTION("""COMPUTED_VALUE"""),"0375343680")</f>
        <v>0375343680</v>
      </c>
      <c r="K3808" s="2" t="str">
        <f ca="1">IFERROR(__xludf.DUMMYFUNCTION("""COMPUTED_VALUE"""),"1739282989451")</f>
        <v>1739282989451</v>
      </c>
    </row>
    <row r="3809" spans="1:11" ht="12.45">
      <c r="A3809" s="2" t="str">
        <f ca="1">IFERROR(__xludf.DUMMYFUNCTION("""COMPUTED_VALUE"""),"1739283018647")</f>
        <v>1739283018647</v>
      </c>
      <c r="B3809" s="2"/>
      <c r="C3809" s="2" t="str">
        <v>0</v>
      </c>
      <c r="D3809" s="2"/>
      <c r="F3809" s="2" t="str">
        <v>0</v>
      </c>
      <c r="I3809" s="3" t="str">
        <f ca="1">IFERROR(__xludf.DUMMYFUNCTION("""COMPUTED_VALUE"""),"Đoàn Thị Khánh An ")</f>
        <v xml:space="preserve">Đoàn Thị Khánh An </v>
      </c>
      <c r="J3809" s="3" t="str">
        <f ca="1">IFERROR(__xludf.DUMMYFUNCTION("""COMPUTED_VALUE"""),"0365945801")</f>
        <v>0365945801</v>
      </c>
      <c r="K3809" s="2" t="str">
        <f ca="1">IFERROR(__xludf.DUMMYFUNCTION("""COMPUTED_VALUE"""),"1739283018647")</f>
        <v>1739283018647</v>
      </c>
    </row>
    <row r="3810" spans="1:11" ht="12.45">
      <c r="A3810" s="2" t="str">
        <f ca="1">IFERROR(__xludf.DUMMYFUNCTION("""COMPUTED_VALUE"""),"1739283042791")</f>
        <v>1739283042791</v>
      </c>
      <c r="B3810" s="2"/>
      <c r="C3810" s="2" t="str">
        <v>0</v>
      </c>
      <c r="D3810" s="2"/>
      <c r="F3810" s="2" t="str">
        <v>0</v>
      </c>
      <c r="I3810" s="3" t="str">
        <f ca="1">IFERROR(__xludf.DUMMYFUNCTION("""COMPUTED_VALUE"""),"Vũ Khánh Hà")</f>
        <v>Vũ Khánh Hà</v>
      </c>
      <c r="J3810" s="3" t="str">
        <f ca="1">IFERROR(__xludf.DUMMYFUNCTION("""COMPUTED_VALUE"""),"0364626088")</f>
        <v>0364626088</v>
      </c>
      <c r="K3810" s="2" t="str">
        <f ca="1">IFERROR(__xludf.DUMMYFUNCTION("""COMPUTED_VALUE"""),"1739283042791")</f>
        <v>1739283042791</v>
      </c>
    </row>
    <row r="3811" spans="1:11" ht="12.45">
      <c r="A3811" s="2" t="str">
        <f ca="1">IFERROR(__xludf.DUMMYFUNCTION("""COMPUTED_VALUE"""),"1739283079991")</f>
        <v>1739283079991</v>
      </c>
      <c r="B3811" s="2"/>
      <c r="C3811" s="2" t="str">
        <v>0</v>
      </c>
      <c r="D3811" s="2"/>
      <c r="F3811" s="2" t="str">
        <v>0</v>
      </c>
      <c r="I3811" s="3" t="str">
        <f ca="1">IFERROR(__xludf.DUMMYFUNCTION("""COMPUTED_VALUE"""),"Lê Thị Kim Xuân")</f>
        <v>Lê Thị Kim Xuân</v>
      </c>
      <c r="J3811" s="3" t="str">
        <f ca="1">IFERROR(__xludf.DUMMYFUNCTION("""COMPUTED_VALUE"""),"0329151704")</f>
        <v>0329151704</v>
      </c>
      <c r="K3811" s="2" t="str">
        <f ca="1">IFERROR(__xludf.DUMMYFUNCTION("""COMPUTED_VALUE"""),"1739283079991")</f>
        <v>1739283079991</v>
      </c>
    </row>
    <row r="3812" spans="1:11" ht="12.45">
      <c r="A3812" s="2" t="str">
        <f ca="1">IFERROR(__xludf.DUMMYFUNCTION("""COMPUTED_VALUE"""),"1739283106229")</f>
        <v>1739283106229</v>
      </c>
      <c r="B3812" s="2"/>
      <c r="C3812" s="2" t="str">
        <v>0</v>
      </c>
      <c r="D3812" s="2"/>
      <c r="F3812" s="2" t="str">
        <v>0</v>
      </c>
      <c r="I3812" s="3" t="str">
        <f ca="1">IFERROR(__xludf.DUMMYFUNCTION("""COMPUTED_VALUE"""),"Nguyễn Đức Hạnh")</f>
        <v>Nguyễn Đức Hạnh</v>
      </c>
      <c r="J3812" s="3" t="str">
        <f ca="1">IFERROR(__xludf.DUMMYFUNCTION("""COMPUTED_VALUE"""),"0967937319")</f>
        <v>0967937319</v>
      </c>
      <c r="K3812" s="2" t="str">
        <f ca="1">IFERROR(__xludf.DUMMYFUNCTION("""COMPUTED_VALUE"""),"1739283106229")</f>
        <v>1739283106229</v>
      </c>
    </row>
    <row r="3813" spans="1:11" ht="12.45">
      <c r="A3813" s="2" t="str">
        <f ca="1">IFERROR(__xludf.DUMMYFUNCTION("""COMPUTED_VALUE"""),"1739283130132")</f>
        <v>1739283130132</v>
      </c>
      <c r="B3813" s="2"/>
      <c r="C3813" s="2" t="str">
        <v>0</v>
      </c>
      <c r="D3813" s="2"/>
      <c r="F3813" s="2" t="str">
        <v>0</v>
      </c>
      <c r="I3813" s="3" t="str">
        <f ca="1">IFERROR(__xludf.DUMMYFUNCTION("""COMPUTED_VALUE"""),"Nguyễn Hương Giang ")</f>
        <v xml:space="preserve">Nguyễn Hương Giang </v>
      </c>
      <c r="J3813" s="3" t="str">
        <f ca="1">IFERROR(__xludf.DUMMYFUNCTION("""COMPUTED_VALUE"""),"0971665609")</f>
        <v>0971665609</v>
      </c>
      <c r="K3813" s="2" t="str">
        <f ca="1">IFERROR(__xludf.DUMMYFUNCTION("""COMPUTED_VALUE"""),"1739283130132")</f>
        <v>1739283130132</v>
      </c>
    </row>
    <row r="3814" spans="1:11" ht="12.45">
      <c r="A3814" s="2" t="str">
        <f ca="1">IFERROR(__xludf.DUMMYFUNCTION("""COMPUTED_VALUE"""),"1739283160969")</f>
        <v>1739283160969</v>
      </c>
      <c r="B3814" s="2"/>
      <c r="C3814" s="2" t="str">
        <v>0</v>
      </c>
      <c r="D3814" s="2"/>
      <c r="F3814" s="2" t="str">
        <v>0</v>
      </c>
      <c r="I3814" s="3" t="str">
        <f ca="1">IFERROR(__xludf.DUMMYFUNCTION("""COMPUTED_VALUE"""),"HÀ VŨ YẾN NHI")</f>
        <v>HÀ VŨ YẾN NHI</v>
      </c>
      <c r="J3814" s="3" t="str">
        <f ca="1">IFERROR(__xludf.DUMMYFUNCTION("""COMPUTED_VALUE"""),"0869343886")</f>
        <v>0869343886</v>
      </c>
      <c r="K3814" s="2" t="str">
        <f ca="1">IFERROR(__xludf.DUMMYFUNCTION("""COMPUTED_VALUE"""),"1739283160969")</f>
        <v>1739283160969</v>
      </c>
    </row>
    <row r="3815" spans="1:11" ht="12.45">
      <c r="A3815" s="2" t="str">
        <f ca="1">IFERROR(__xludf.DUMMYFUNCTION("""COMPUTED_VALUE"""),"1739283187195")</f>
        <v>1739283187195</v>
      </c>
      <c r="B3815" s="2"/>
      <c r="C3815" s="2" t="str">
        <v>0</v>
      </c>
      <c r="D3815" s="2"/>
      <c r="F3815" s="2" t="str">
        <v>0</v>
      </c>
      <c r="I3815" s="3" t="str">
        <f ca="1">IFERROR(__xludf.DUMMYFUNCTION("""COMPUTED_VALUE"""),"Đỗ Lan Phương ")</f>
        <v xml:space="preserve">Đỗ Lan Phương </v>
      </c>
      <c r="J3815" s="3" t="str">
        <f ca="1">IFERROR(__xludf.DUMMYFUNCTION("""COMPUTED_VALUE"""),"0336462007")</f>
        <v>0336462007</v>
      </c>
      <c r="K3815" s="2" t="str">
        <f ca="1">IFERROR(__xludf.DUMMYFUNCTION("""COMPUTED_VALUE"""),"1739283187195")</f>
        <v>1739283187195</v>
      </c>
    </row>
    <row r="3816" spans="1:11" ht="12.45">
      <c r="A3816" s="2" t="str">
        <f ca="1">IFERROR(__xludf.DUMMYFUNCTION("""COMPUTED_VALUE"""),"1739283216277")</f>
        <v>1739283216277</v>
      </c>
      <c r="B3816" s="2"/>
      <c r="C3816" s="2" t="str">
        <v>0</v>
      </c>
      <c r="D3816" s="2"/>
      <c r="F3816" s="2" t="str">
        <v>0</v>
      </c>
      <c r="I3816" s="3" t="str">
        <f ca="1">IFERROR(__xludf.DUMMYFUNCTION("""COMPUTED_VALUE"""),"Trương Nguyễn Hoài Ngọc ")</f>
        <v xml:space="preserve">Trương Nguyễn Hoài Ngọc </v>
      </c>
      <c r="J3816" s="3" t="str">
        <f ca="1">IFERROR(__xludf.DUMMYFUNCTION("""COMPUTED_VALUE"""),"0394440584")</f>
        <v>0394440584</v>
      </c>
      <c r="K3816" s="2" t="str">
        <f ca="1">IFERROR(__xludf.DUMMYFUNCTION("""COMPUTED_VALUE"""),"1739283216277")</f>
        <v>1739283216277</v>
      </c>
    </row>
    <row r="3817" spans="1:11" ht="12.45">
      <c r="A3817" s="2" t="str">
        <f ca="1">IFERROR(__xludf.DUMMYFUNCTION("""COMPUTED_VALUE"""),"1739283250664")</f>
        <v>1739283250664</v>
      </c>
      <c r="B3817" s="2"/>
      <c r="C3817" s="2" t="str">
        <v>0</v>
      </c>
      <c r="D3817" s="2"/>
      <c r="F3817" s="2" t="str">
        <v>0</v>
      </c>
      <c r="I3817" s="3" t="str">
        <f ca="1">IFERROR(__xludf.DUMMYFUNCTION("""COMPUTED_VALUE"""),"Trần Thùy Linh ")</f>
        <v xml:space="preserve">Trần Thùy Linh </v>
      </c>
      <c r="J3817" s="3" t="str">
        <f ca="1">IFERROR(__xludf.DUMMYFUNCTION("""COMPUTED_VALUE"""),"0869497206")</f>
        <v>0869497206</v>
      </c>
      <c r="K3817" s="2" t="str">
        <f ca="1">IFERROR(__xludf.DUMMYFUNCTION("""COMPUTED_VALUE"""),"1739283250664")</f>
        <v>1739283250664</v>
      </c>
    </row>
    <row r="3818" spans="1:11" ht="12.45">
      <c r="A3818" s="2" t="str">
        <f ca="1">IFERROR(__xludf.DUMMYFUNCTION("""COMPUTED_VALUE"""),"1744769037998")</f>
        <v>1744769037998</v>
      </c>
      <c r="B3818" s="2"/>
      <c r="C3818" s="2" t="str">
        <v>0</v>
      </c>
      <c r="D3818" s="2"/>
      <c r="F3818" s="2" t="str">
        <v>0</v>
      </c>
      <c r="I3818" s="3" t="str">
        <f ca="1">IFERROR(__xludf.DUMMYFUNCTION("""COMPUTED_VALUE"""),"Dương Thị Bảo Ngọc")</f>
        <v>Dương Thị Bảo Ngọc</v>
      </c>
      <c r="J3818" s="3" t="str">
        <f ca="1">IFERROR(__xludf.DUMMYFUNCTION("""COMPUTED_VALUE"""),"0988781837")</f>
        <v>0988781837</v>
      </c>
      <c r="K3818" s="2" t="str">
        <f ca="1">IFERROR(__xludf.DUMMYFUNCTION("""COMPUTED_VALUE"""),"1744769037998")</f>
        <v>1744769037998</v>
      </c>
    </row>
    <row r="3819" spans="1:11" ht="12.45">
      <c r="A3819" s="2" t="str">
        <f ca="1">IFERROR(__xludf.DUMMYFUNCTION("""COMPUTED_VALUE"""),"1739283286602")</f>
        <v>1739283286602</v>
      </c>
      <c r="B3819" s="2"/>
      <c r="C3819" s="2" t="str">
        <v>0</v>
      </c>
      <c r="D3819" s="2"/>
      <c r="F3819" s="2" t="str">
        <v>0</v>
      </c>
      <c r="I3819" s="3" t="str">
        <f ca="1">IFERROR(__xludf.DUMMYFUNCTION("""COMPUTED_VALUE"""),"Lê Cẩm Quỳnh ")</f>
        <v xml:space="preserve">Lê Cẩm Quỳnh </v>
      </c>
      <c r="J3819" s="3" t="str">
        <f ca="1">IFERROR(__xludf.DUMMYFUNCTION("""COMPUTED_VALUE"""),"0906781826")</f>
        <v>0906781826</v>
      </c>
      <c r="K3819" s="2" t="str">
        <f ca="1">IFERROR(__xludf.DUMMYFUNCTION("""COMPUTED_VALUE"""),"1739283286602")</f>
        <v>1739283286602</v>
      </c>
    </row>
    <row r="3820" spans="1:11" ht="12.45">
      <c r="A3820" s="2" t="str">
        <f ca="1">IFERROR(__xludf.DUMMYFUNCTION("""COMPUTED_VALUE"""),"1739283340324")</f>
        <v>1739283340324</v>
      </c>
      <c r="B3820" s="2"/>
      <c r="C3820" s="2" t="str">
        <v>0</v>
      </c>
      <c r="D3820" s="2"/>
      <c r="F3820" s="2" t="str">
        <v>0</v>
      </c>
      <c r="I3820" s="3" t="str">
        <f ca="1">IFERROR(__xludf.DUMMYFUNCTION("""COMPUTED_VALUE"""),"Nguyễn Gia Hân")</f>
        <v>Nguyễn Gia Hân</v>
      </c>
      <c r="J3820" s="3" t="str">
        <f ca="1">IFERROR(__xludf.DUMMYFUNCTION("""COMPUTED_VALUE"""),"0764896028")</f>
        <v>0764896028</v>
      </c>
      <c r="K3820" s="2" t="str">
        <f ca="1">IFERROR(__xludf.DUMMYFUNCTION("""COMPUTED_VALUE"""),"1739283340324")</f>
        <v>1739283340324</v>
      </c>
    </row>
    <row r="3821" spans="1:11" ht="12.45">
      <c r="A3821" s="2" t="str">
        <f ca="1">IFERROR(__xludf.DUMMYFUNCTION("""COMPUTED_VALUE"""),"1739283382405")</f>
        <v>1739283382405</v>
      </c>
      <c r="B3821" s="2"/>
      <c r="C3821" s="2" t="str">
        <v>0</v>
      </c>
      <c r="D3821" s="2"/>
      <c r="F3821" s="2" t="str">
        <v>0</v>
      </c>
      <c r="I3821" s="3" t="str">
        <f ca="1">IFERROR(__xludf.DUMMYFUNCTION("""COMPUTED_VALUE"""),"Hà Quỳnh Như ")</f>
        <v xml:space="preserve">Hà Quỳnh Như </v>
      </c>
      <c r="J3821" s="3" t="str">
        <f ca="1">IFERROR(__xludf.DUMMYFUNCTION("""COMPUTED_VALUE"""),"0328162259")</f>
        <v>0328162259</v>
      </c>
      <c r="K3821" s="2" t="str">
        <f ca="1">IFERROR(__xludf.DUMMYFUNCTION("""COMPUTED_VALUE"""),"1739283382405")</f>
        <v>1739283382405</v>
      </c>
    </row>
    <row r="3822" spans="1:11" ht="12.45">
      <c r="A3822" s="2" t="str">
        <f ca="1">IFERROR(__xludf.DUMMYFUNCTION("""COMPUTED_VALUE"""),"1739283419678")</f>
        <v>1739283419678</v>
      </c>
      <c r="B3822" s="2"/>
      <c r="C3822" s="2" t="str">
        <v>0</v>
      </c>
      <c r="D3822" s="2"/>
      <c r="F3822" s="2" t="str">
        <v>0</v>
      </c>
      <c r="I3822" s="3" t="str">
        <f ca="1">IFERROR(__xludf.DUMMYFUNCTION("""COMPUTED_VALUE"""),"Huỳnh công viên")</f>
        <v>Huỳnh công viên</v>
      </c>
      <c r="J3822" s="3" t="str">
        <f ca="1">IFERROR(__xludf.DUMMYFUNCTION("""COMPUTED_VALUE"""),"0333203738")</f>
        <v>0333203738</v>
      </c>
      <c r="K3822" s="2" t="str">
        <f ca="1">IFERROR(__xludf.DUMMYFUNCTION("""COMPUTED_VALUE"""),"1739283419678")</f>
        <v>1739283419678</v>
      </c>
    </row>
    <row r="3823" spans="1:11" ht="12.45">
      <c r="A3823" s="2" t="str">
        <f ca="1">IFERROR(__xludf.DUMMYFUNCTION("""COMPUTED_VALUE"""),"1739283452618")</f>
        <v>1739283452618</v>
      </c>
      <c r="B3823" s="2"/>
      <c r="C3823" s="2" t="str">
        <v>0</v>
      </c>
      <c r="D3823" s="2"/>
      <c r="F3823" s="2" t="str">
        <v>0</v>
      </c>
      <c r="I3823" s="3" t="str">
        <f ca="1">IFERROR(__xludf.DUMMYFUNCTION("""COMPUTED_VALUE"""),"Hà Thu Huyền ")</f>
        <v xml:space="preserve">Hà Thu Huyền </v>
      </c>
      <c r="J3823" s="3" t="str">
        <f ca="1">IFERROR(__xludf.DUMMYFUNCTION("""COMPUTED_VALUE"""),"0971878467")</f>
        <v>0971878467</v>
      </c>
      <c r="K3823" s="2" t="str">
        <f ca="1">IFERROR(__xludf.DUMMYFUNCTION("""COMPUTED_VALUE"""),"1739283452618")</f>
        <v>1739283452618</v>
      </c>
    </row>
    <row r="3824" spans="1:11" ht="12.45">
      <c r="A3824" s="2" t="str">
        <f ca="1">IFERROR(__xludf.DUMMYFUNCTION("""COMPUTED_VALUE"""),"1739283479308")</f>
        <v>1739283479308</v>
      </c>
      <c r="B3824" s="2"/>
      <c r="C3824" s="2" t="str">
        <v>0</v>
      </c>
      <c r="D3824" s="2"/>
      <c r="F3824" s="2" t="str">
        <v>0</v>
      </c>
      <c r="I3824" s="3" t="str">
        <f ca="1">IFERROR(__xludf.DUMMYFUNCTION("""COMPUTED_VALUE"""),"Đinh Hà My")</f>
        <v>Đinh Hà My</v>
      </c>
      <c r="J3824" s="3" t="str">
        <f ca="1">IFERROR(__xludf.DUMMYFUNCTION("""COMPUTED_VALUE"""),"0868148723")</f>
        <v>0868148723</v>
      </c>
      <c r="K3824" s="2" t="str">
        <f ca="1">IFERROR(__xludf.DUMMYFUNCTION("""COMPUTED_VALUE"""),"1739283479308")</f>
        <v>1739283479308</v>
      </c>
    </row>
    <row r="3825" spans="1:11" ht="12.45">
      <c r="A3825" s="2" t="str">
        <f ca="1">IFERROR(__xludf.DUMMYFUNCTION("""COMPUTED_VALUE"""),"1739283503729")</f>
        <v>1739283503729</v>
      </c>
      <c r="B3825" s="2"/>
      <c r="C3825" s="2" t="str">
        <v>0</v>
      </c>
      <c r="D3825" s="2"/>
      <c r="F3825" s="2" t="str">
        <v>0</v>
      </c>
      <c r="I3825" s="3" t="str">
        <f ca="1">IFERROR(__xludf.DUMMYFUNCTION("""COMPUTED_VALUE"""),"Nguyễn Thị Hạnh")</f>
        <v>Nguyễn Thị Hạnh</v>
      </c>
      <c r="J3825" s="3" t="str">
        <f ca="1">IFERROR(__xludf.DUMMYFUNCTION("""COMPUTED_VALUE"""),"0396461506")</f>
        <v>0396461506</v>
      </c>
      <c r="K3825" s="2" t="str">
        <f ca="1">IFERROR(__xludf.DUMMYFUNCTION("""COMPUTED_VALUE"""),"1739283503729")</f>
        <v>1739283503729</v>
      </c>
    </row>
    <row r="3826" spans="1:11" ht="12.45">
      <c r="A3826" s="2" t="str">
        <f ca="1">IFERROR(__xludf.DUMMYFUNCTION("""COMPUTED_VALUE"""),"1739283534862")</f>
        <v>1739283534862</v>
      </c>
      <c r="B3826" s="2"/>
      <c r="C3826" s="2" t="str">
        <v>0</v>
      </c>
      <c r="D3826" s="2"/>
      <c r="F3826" s="2" t="str">
        <v>0</v>
      </c>
      <c r="I3826" s="3" t="str">
        <f ca="1">IFERROR(__xludf.DUMMYFUNCTION("""COMPUTED_VALUE"""),"Dương Thị Ngọc Điệp")</f>
        <v>Dương Thị Ngọc Điệp</v>
      </c>
      <c r="J3826" s="3" t="str">
        <f ca="1">IFERROR(__xludf.DUMMYFUNCTION("""COMPUTED_VALUE"""),"0822390873")</f>
        <v>0822390873</v>
      </c>
      <c r="K3826" s="2" t="str">
        <f ca="1">IFERROR(__xludf.DUMMYFUNCTION("""COMPUTED_VALUE"""),"1739283534862")</f>
        <v>1739283534862</v>
      </c>
    </row>
    <row r="3827" spans="1:11" ht="12.45">
      <c r="A3827" s="2" t="str">
        <f ca="1">IFERROR(__xludf.DUMMYFUNCTION("""COMPUTED_VALUE"""),"1739283566433")</f>
        <v>1739283566433</v>
      </c>
      <c r="B3827" s="2"/>
      <c r="C3827" s="2" t="str">
        <v>0</v>
      </c>
      <c r="D3827" s="2"/>
      <c r="F3827" s="2" t="str">
        <v>0</v>
      </c>
      <c r="I3827" s="3" t="str">
        <f ca="1">IFERROR(__xludf.DUMMYFUNCTION("""COMPUTED_VALUE"""),"Phan Nguyễn Kim Yến ")</f>
        <v xml:space="preserve">Phan Nguyễn Kim Yến </v>
      </c>
      <c r="J3827" s="3" t="str">
        <f ca="1">IFERROR(__xludf.DUMMYFUNCTION("""COMPUTED_VALUE"""),"0528715991")</f>
        <v>0528715991</v>
      </c>
      <c r="K3827" s="2" t="str">
        <f ca="1">IFERROR(__xludf.DUMMYFUNCTION("""COMPUTED_VALUE"""),"1739283566433")</f>
        <v>1739283566433</v>
      </c>
    </row>
    <row r="3828" spans="1:11" ht="12.45">
      <c r="A3828" s="2" t="str">
        <f ca="1">IFERROR(__xludf.DUMMYFUNCTION("""COMPUTED_VALUE"""),"1739283595323")</f>
        <v>1739283595323</v>
      </c>
      <c r="B3828" s="2"/>
      <c r="C3828" s="2" t="str">
        <v>0</v>
      </c>
      <c r="D3828" s="2"/>
      <c r="F3828" s="2" t="str">
        <v>0</v>
      </c>
      <c r="I3828" s="3" t="str">
        <f ca="1">IFERROR(__xludf.DUMMYFUNCTION("""COMPUTED_VALUE"""),"Nguyễn Cẩm Tú")</f>
        <v>Nguyễn Cẩm Tú</v>
      </c>
      <c r="J3828" s="3" t="str">
        <f ca="1">IFERROR(__xludf.DUMMYFUNCTION("""COMPUTED_VALUE"""),"0378355924")</f>
        <v>0378355924</v>
      </c>
      <c r="K3828" s="2" t="str">
        <f ca="1">IFERROR(__xludf.DUMMYFUNCTION("""COMPUTED_VALUE"""),"1739283595323")</f>
        <v>1739283595323</v>
      </c>
    </row>
    <row r="3829" spans="1:11" ht="12.45">
      <c r="A3829" s="2" t="str">
        <f ca="1">IFERROR(__xludf.DUMMYFUNCTION("""COMPUTED_VALUE"""),"1739283628304")</f>
        <v>1739283628304</v>
      </c>
      <c r="B3829" s="2"/>
      <c r="C3829" s="2" t="str">
        <v>0</v>
      </c>
      <c r="D3829" s="2"/>
      <c r="F3829" s="2" t="str">
        <v>0</v>
      </c>
      <c r="I3829" s="3" t="str">
        <f ca="1">IFERROR(__xludf.DUMMYFUNCTION("""COMPUTED_VALUE"""),"Hoàng Minh Ánh")</f>
        <v>Hoàng Minh Ánh</v>
      </c>
      <c r="J3829" s="3" t="str">
        <f ca="1">IFERROR(__xludf.DUMMYFUNCTION("""COMPUTED_VALUE"""),"0817482585")</f>
        <v>0817482585</v>
      </c>
      <c r="K3829" s="2" t="str">
        <f ca="1">IFERROR(__xludf.DUMMYFUNCTION("""COMPUTED_VALUE"""),"1739283628304")</f>
        <v>1739283628304</v>
      </c>
    </row>
    <row r="3830" spans="1:11" ht="12.45">
      <c r="A3830" s="2" t="str">
        <f ca="1">IFERROR(__xludf.DUMMYFUNCTION("""COMPUTED_VALUE"""),"1739283654467")</f>
        <v>1739283654467</v>
      </c>
      <c r="B3830" s="2"/>
      <c r="C3830" s="2" t="str">
        <v>0</v>
      </c>
      <c r="D3830" s="2"/>
      <c r="F3830" s="2" t="str">
        <v>0</v>
      </c>
      <c r="I3830" s="3" t="str">
        <f ca="1">IFERROR(__xludf.DUMMYFUNCTION("""COMPUTED_VALUE"""),"Nguyễn Nhật Linh")</f>
        <v>Nguyễn Nhật Linh</v>
      </c>
      <c r="J3830" s="3" t="str">
        <f ca="1">IFERROR(__xludf.DUMMYFUNCTION("""COMPUTED_VALUE"""),"0366581150")</f>
        <v>0366581150</v>
      </c>
      <c r="K3830" s="2" t="str">
        <f ca="1">IFERROR(__xludf.DUMMYFUNCTION("""COMPUTED_VALUE"""),"1739283654467")</f>
        <v>1739283654467</v>
      </c>
    </row>
    <row r="3831" spans="1:11" ht="12.45">
      <c r="A3831" s="2" t="str">
        <f ca="1">IFERROR(__xludf.DUMMYFUNCTION("""COMPUTED_VALUE"""),"1739283682998")</f>
        <v>1739283682998</v>
      </c>
      <c r="B3831" s="2"/>
      <c r="C3831" s="2" t="str">
        <v>0</v>
      </c>
      <c r="D3831" s="2"/>
      <c r="F3831" s="2" t="str">
        <v>0</v>
      </c>
      <c r="I3831" s="3" t="str">
        <f ca="1">IFERROR(__xludf.DUMMYFUNCTION("""COMPUTED_VALUE"""),"Lê Bảo Châu")</f>
        <v>Lê Bảo Châu</v>
      </c>
      <c r="J3831" s="3" t="str">
        <f ca="1">IFERROR(__xludf.DUMMYFUNCTION("""COMPUTED_VALUE"""),"0862386233")</f>
        <v>0862386233</v>
      </c>
      <c r="K3831" s="2" t="str">
        <f ca="1">IFERROR(__xludf.DUMMYFUNCTION("""COMPUTED_VALUE"""),"1739283682998")</f>
        <v>1739283682998</v>
      </c>
    </row>
    <row r="3832" spans="1:11" ht="12.45">
      <c r="A3832" s="2" t="str">
        <f ca="1">IFERROR(__xludf.DUMMYFUNCTION("""COMPUTED_VALUE"""),"1739283712144")</f>
        <v>1739283712144</v>
      </c>
      <c r="B3832" s="2"/>
      <c r="C3832" s="2" t="str">
        <v>0</v>
      </c>
      <c r="D3832" s="2"/>
      <c r="F3832" s="2" t="str">
        <v>0</v>
      </c>
      <c r="I3832" s="3" t="str">
        <f ca="1">IFERROR(__xludf.DUMMYFUNCTION("""COMPUTED_VALUE"""),"Tô Ngọc Huyền")</f>
        <v>Tô Ngọc Huyền</v>
      </c>
      <c r="J3832" s="3" t="str">
        <f ca="1">IFERROR(__xludf.DUMMYFUNCTION("""COMPUTED_VALUE"""),"0326320355")</f>
        <v>0326320355</v>
      </c>
      <c r="K3832" s="2" t="str">
        <f ca="1">IFERROR(__xludf.DUMMYFUNCTION("""COMPUTED_VALUE"""),"1739283712144")</f>
        <v>1739283712144</v>
      </c>
    </row>
    <row r="3833" spans="1:11" ht="12.45">
      <c r="A3833" s="2" t="str">
        <f ca="1">IFERROR(__xludf.DUMMYFUNCTION("""COMPUTED_VALUE"""),"1739283741690")</f>
        <v>1739283741690</v>
      </c>
      <c r="B3833" s="2"/>
      <c r="C3833" s="2" t="str">
        <v>0</v>
      </c>
      <c r="D3833" s="2"/>
      <c r="F3833" s="2" t="str">
        <v>0</v>
      </c>
      <c r="I3833" s="3" t="str">
        <f ca="1">IFERROR(__xludf.DUMMYFUNCTION("""COMPUTED_VALUE"""),"Trần Phương Linh ")</f>
        <v xml:space="preserve">Trần Phương Linh </v>
      </c>
      <c r="J3833" s="3" t="str">
        <f ca="1">IFERROR(__xludf.DUMMYFUNCTION("""COMPUTED_VALUE"""),"0969003062")</f>
        <v>0969003062</v>
      </c>
      <c r="K3833" s="2" t="str">
        <f ca="1">IFERROR(__xludf.DUMMYFUNCTION("""COMPUTED_VALUE"""),"1739283741690")</f>
        <v>1739283741690</v>
      </c>
    </row>
    <row r="3834" spans="1:11" ht="12.45">
      <c r="A3834" s="2" t="str">
        <f ca="1">IFERROR(__xludf.DUMMYFUNCTION("""COMPUTED_VALUE"""),"1739283771383")</f>
        <v>1739283771383</v>
      </c>
      <c r="B3834" s="2"/>
      <c r="C3834" s="2" t="str">
        <v>0</v>
      </c>
      <c r="D3834" s="2"/>
      <c r="F3834" s="2" t="str">
        <v>0</v>
      </c>
      <c r="I3834" s="3" t="str">
        <f ca="1">IFERROR(__xludf.DUMMYFUNCTION("""COMPUTED_VALUE"""),"Nguyễn Thu Thuỷ")</f>
        <v>Nguyễn Thu Thuỷ</v>
      </c>
      <c r="J3834" s="3" t="str">
        <f ca="1">IFERROR(__xludf.DUMMYFUNCTION("""COMPUTED_VALUE"""),"0336088389")</f>
        <v>0336088389</v>
      </c>
      <c r="K3834" s="2" t="str">
        <f ca="1">IFERROR(__xludf.DUMMYFUNCTION("""COMPUTED_VALUE"""),"1739283771383")</f>
        <v>1739283771383</v>
      </c>
    </row>
    <row r="3835" spans="1:11" ht="12.45">
      <c r="A3835" s="2" t="str">
        <f ca="1">IFERROR(__xludf.DUMMYFUNCTION("""COMPUTED_VALUE"""),"1739283804931")</f>
        <v>1739283804931</v>
      </c>
      <c r="B3835" s="2"/>
      <c r="C3835" s="2" t="str">
        <v>0</v>
      </c>
      <c r="D3835" s="2"/>
      <c r="F3835" s="2" t="str">
        <v>0</v>
      </c>
      <c r="I3835" s="3" t="str">
        <f ca="1">IFERROR(__xludf.DUMMYFUNCTION("""COMPUTED_VALUE"""),"Nguyễn Thị Hà Ngân")</f>
        <v>Nguyễn Thị Hà Ngân</v>
      </c>
      <c r="J3835" s="3" t="str">
        <f ca="1">IFERROR(__xludf.DUMMYFUNCTION("""COMPUTED_VALUE"""),"0394151312")</f>
        <v>0394151312</v>
      </c>
      <c r="K3835" s="2" t="str">
        <f ca="1">IFERROR(__xludf.DUMMYFUNCTION("""COMPUTED_VALUE"""),"1739283804931")</f>
        <v>1739283804931</v>
      </c>
    </row>
    <row r="3836" spans="1:11" ht="12.45">
      <c r="A3836" s="2" t="str">
        <f ca="1">IFERROR(__xludf.DUMMYFUNCTION("""COMPUTED_VALUE"""),"1739283836090")</f>
        <v>1739283836090</v>
      </c>
      <c r="B3836" s="2"/>
      <c r="C3836" s="2" t="str">
        <v>0</v>
      </c>
      <c r="D3836" s="2"/>
      <c r="F3836" s="2" t="str">
        <v>0</v>
      </c>
      <c r="I3836" s="3" t="str">
        <f ca="1">IFERROR(__xludf.DUMMYFUNCTION("""COMPUTED_VALUE"""),"Lường Thanh Thư")</f>
        <v>Lường Thanh Thư</v>
      </c>
      <c r="J3836" s="3" t="str">
        <f ca="1">IFERROR(__xludf.DUMMYFUNCTION("""COMPUTED_VALUE"""),"0963297548")</f>
        <v>0963297548</v>
      </c>
      <c r="K3836" s="2" t="str">
        <f ca="1">IFERROR(__xludf.DUMMYFUNCTION("""COMPUTED_VALUE"""),"1739283836090")</f>
        <v>1739283836090</v>
      </c>
    </row>
    <row r="3837" spans="1:11" ht="12.45">
      <c r="A3837" s="2" t="str">
        <f ca="1">IFERROR(__xludf.DUMMYFUNCTION("""COMPUTED_VALUE"""),"1739283868652")</f>
        <v>1739283868652</v>
      </c>
      <c r="B3837" s="2"/>
      <c r="C3837" s="2" t="str">
        <v>0</v>
      </c>
      <c r="D3837" s="2"/>
      <c r="F3837" s="2" t="str">
        <v>0</v>
      </c>
      <c r="I3837" s="3" t="str">
        <f ca="1">IFERROR(__xludf.DUMMYFUNCTION("""COMPUTED_VALUE"""),"Nguyễn Thị Thanh Bình")</f>
        <v>Nguyễn Thị Thanh Bình</v>
      </c>
      <c r="J3837" s="3" t="str">
        <f ca="1">IFERROR(__xludf.DUMMYFUNCTION("""COMPUTED_VALUE"""),"0868045502")</f>
        <v>0868045502</v>
      </c>
      <c r="K3837" s="2" t="str">
        <f ca="1">IFERROR(__xludf.DUMMYFUNCTION("""COMPUTED_VALUE"""),"1739283868652")</f>
        <v>1739283868652</v>
      </c>
    </row>
    <row r="3838" spans="1:11" ht="12.45">
      <c r="A3838" s="2" t="str">
        <f ca="1">IFERROR(__xludf.DUMMYFUNCTION("""COMPUTED_VALUE"""),"1739283896638")</f>
        <v>1739283896638</v>
      </c>
      <c r="B3838" s="2"/>
      <c r="C3838" s="2" t="str">
        <v>0</v>
      </c>
      <c r="D3838" s="2"/>
      <c r="F3838" s="2" t="str">
        <v>0</v>
      </c>
      <c r="I3838" s="3" t="str">
        <f ca="1">IFERROR(__xludf.DUMMYFUNCTION("""COMPUTED_VALUE"""),"Nguyễn Thị Minh Thư ")</f>
        <v xml:space="preserve">Nguyễn Thị Minh Thư </v>
      </c>
      <c r="J3838" s="3" t="str">
        <f ca="1">IFERROR(__xludf.DUMMYFUNCTION("""COMPUTED_VALUE"""),"0772239239")</f>
        <v>0772239239</v>
      </c>
      <c r="K3838" s="2" t="str">
        <f ca="1">IFERROR(__xludf.DUMMYFUNCTION("""COMPUTED_VALUE"""),"1739283896638")</f>
        <v>1739283896638</v>
      </c>
    </row>
    <row r="3839" spans="1:11" ht="12.45">
      <c r="A3839" s="2" t="str">
        <f ca="1">IFERROR(__xludf.DUMMYFUNCTION("""COMPUTED_VALUE"""),"1739283927281")</f>
        <v>1739283927281</v>
      </c>
      <c r="B3839" s="2"/>
      <c r="C3839" s="2" t="str">
        <v>0</v>
      </c>
      <c r="D3839" s="2"/>
      <c r="F3839" s="2" t="str">
        <v>0</v>
      </c>
      <c r="I3839" s="3" t="str">
        <f ca="1">IFERROR(__xludf.DUMMYFUNCTION("""COMPUTED_VALUE"""),"Nguyễn Thùy Linh")</f>
        <v>Nguyễn Thùy Linh</v>
      </c>
      <c r="J3839" s="3" t="str">
        <f ca="1">IFERROR(__xludf.DUMMYFUNCTION("""COMPUTED_VALUE"""),"0345681365")</f>
        <v>0345681365</v>
      </c>
      <c r="K3839" s="2" t="str">
        <f ca="1">IFERROR(__xludf.DUMMYFUNCTION("""COMPUTED_VALUE"""),"1739283927281")</f>
        <v>1739283927281</v>
      </c>
    </row>
    <row r="3840" spans="1:11" ht="12.45">
      <c r="A3840" s="2" t="str">
        <f ca="1">IFERROR(__xludf.DUMMYFUNCTION("""COMPUTED_VALUE"""),"1739283962818")</f>
        <v>1739283962818</v>
      </c>
      <c r="B3840" s="2"/>
      <c r="C3840" s="2" t="str">
        <v>0</v>
      </c>
      <c r="D3840" s="2"/>
      <c r="F3840" s="2" t="str">
        <v>0</v>
      </c>
      <c r="I3840" s="3" t="str">
        <f ca="1">IFERROR(__xludf.DUMMYFUNCTION("""COMPUTED_VALUE"""),"Đào Thị Ngọc Ánh")</f>
        <v>Đào Thị Ngọc Ánh</v>
      </c>
      <c r="J3840" s="3" t="str">
        <f ca="1">IFERROR(__xludf.DUMMYFUNCTION("""COMPUTED_VALUE"""),"0343510316")</f>
        <v>0343510316</v>
      </c>
      <c r="K3840" s="2" t="str">
        <f ca="1">IFERROR(__xludf.DUMMYFUNCTION("""COMPUTED_VALUE"""),"1739283962818")</f>
        <v>1739283962818</v>
      </c>
    </row>
    <row r="3841" spans="1:11" ht="12.45">
      <c r="A3841" s="2" t="str">
        <f ca="1">IFERROR(__xludf.DUMMYFUNCTION("""COMPUTED_VALUE"""),"1739283997731")</f>
        <v>1739283997731</v>
      </c>
      <c r="B3841" s="2"/>
      <c r="C3841" s="2" t="str">
        <v>0</v>
      </c>
      <c r="D3841" s="2"/>
      <c r="F3841" s="2" t="str">
        <v>0</v>
      </c>
      <c r="I3841" s="3" t="str">
        <f ca="1">IFERROR(__xludf.DUMMYFUNCTION("""COMPUTED_VALUE"""),"Lê Yến Nhi")</f>
        <v>Lê Yến Nhi</v>
      </c>
      <c r="J3841" s="3" t="str">
        <f ca="1">IFERROR(__xludf.DUMMYFUNCTION("""COMPUTED_VALUE"""),"0389887223")</f>
        <v>0389887223</v>
      </c>
      <c r="K3841" s="2" t="str">
        <f ca="1">IFERROR(__xludf.DUMMYFUNCTION("""COMPUTED_VALUE"""),"1739283997731")</f>
        <v>1739283997731</v>
      </c>
    </row>
    <row r="3842" spans="1:11" ht="12.45">
      <c r="A3842" s="2" t="str">
        <f ca="1">IFERROR(__xludf.DUMMYFUNCTION("""COMPUTED_VALUE"""),"1739284029014")</f>
        <v>1739284029014</v>
      </c>
      <c r="B3842" s="2"/>
      <c r="C3842" s="2" t="str">
        <v>0</v>
      </c>
      <c r="D3842" s="2"/>
      <c r="F3842" s="2" t="str">
        <v>0</v>
      </c>
      <c r="I3842" s="3" t="str">
        <f ca="1">IFERROR(__xludf.DUMMYFUNCTION("""COMPUTED_VALUE"""),"Nguyễn Bình Dương")</f>
        <v>Nguyễn Bình Dương</v>
      </c>
      <c r="J3842" s="3" t="str">
        <f ca="1">IFERROR(__xludf.DUMMYFUNCTION("""COMPUTED_VALUE"""),"0337086625")</f>
        <v>0337086625</v>
      </c>
      <c r="K3842" s="2" t="str">
        <f ca="1">IFERROR(__xludf.DUMMYFUNCTION("""COMPUTED_VALUE"""),"1739284029014")</f>
        <v>1739284029014</v>
      </c>
    </row>
    <row r="3843" spans="1:11" ht="12.45">
      <c r="A3843" s="2" t="str">
        <f ca="1">IFERROR(__xludf.DUMMYFUNCTION("""COMPUTED_VALUE"""),"1739284061527")</f>
        <v>1739284061527</v>
      </c>
      <c r="B3843" s="2"/>
      <c r="C3843" s="2" t="str">
        <v>0</v>
      </c>
      <c r="D3843" s="2"/>
      <c r="F3843" s="2" t="str">
        <v>0</v>
      </c>
      <c r="I3843" s="3" t="str">
        <f ca="1">IFERROR(__xludf.DUMMYFUNCTION("""COMPUTED_VALUE"""),"Ngô Minh Thư")</f>
        <v>Ngô Minh Thư</v>
      </c>
      <c r="J3843" s="3" t="str">
        <f ca="1">IFERROR(__xludf.DUMMYFUNCTION("""COMPUTED_VALUE"""),"0979933438")</f>
        <v>0979933438</v>
      </c>
      <c r="K3843" s="2" t="str">
        <f ca="1">IFERROR(__xludf.DUMMYFUNCTION("""COMPUTED_VALUE"""),"1739284061527")</f>
        <v>1739284061527</v>
      </c>
    </row>
    <row r="3844" spans="1:11" ht="12.45">
      <c r="A3844" s="2" t="str">
        <f ca="1">IFERROR(__xludf.DUMMYFUNCTION("""COMPUTED_VALUE"""),"1739284094502")</f>
        <v>1739284094502</v>
      </c>
      <c r="B3844" s="2"/>
      <c r="C3844" s="2" t="str">
        <v>0</v>
      </c>
      <c r="D3844" s="2"/>
      <c r="F3844" s="2" t="str">
        <v>0</v>
      </c>
      <c r="I3844" s="3" t="str">
        <f ca="1">IFERROR(__xludf.DUMMYFUNCTION("""COMPUTED_VALUE"""),"Đỗ Khánh Ly")</f>
        <v>Đỗ Khánh Ly</v>
      </c>
      <c r="J3844" s="3" t="str">
        <f ca="1">IFERROR(__xludf.DUMMYFUNCTION("""COMPUTED_VALUE"""),"0866643882")</f>
        <v>0866643882</v>
      </c>
      <c r="K3844" s="2" t="str">
        <f ca="1">IFERROR(__xludf.DUMMYFUNCTION("""COMPUTED_VALUE"""),"1739284094502")</f>
        <v>1739284094502</v>
      </c>
    </row>
    <row r="3845" spans="1:11" ht="12.45">
      <c r="A3845" s="2" t="str">
        <f ca="1">IFERROR(__xludf.DUMMYFUNCTION("""COMPUTED_VALUE"""),"1739284135143")</f>
        <v>1739284135143</v>
      </c>
      <c r="B3845" s="2"/>
      <c r="C3845" s="2" t="str">
        <v>0</v>
      </c>
      <c r="D3845" s="2"/>
      <c r="F3845" s="2" t="str">
        <v>0</v>
      </c>
      <c r="I3845" s="3" t="str">
        <f ca="1">IFERROR(__xludf.DUMMYFUNCTION("""COMPUTED_VALUE"""),"Trần Thu Phương ")</f>
        <v xml:space="preserve">Trần Thu Phương </v>
      </c>
      <c r="J3845" s="3" t="str">
        <f ca="1">IFERROR(__xludf.DUMMYFUNCTION("""COMPUTED_VALUE"""),"0948524636")</f>
        <v>0948524636</v>
      </c>
      <c r="K3845" s="2" t="str">
        <f ca="1">IFERROR(__xludf.DUMMYFUNCTION("""COMPUTED_VALUE"""),"1739284135143")</f>
        <v>1739284135143</v>
      </c>
    </row>
    <row r="3846" spans="1:11" ht="12.45">
      <c r="A3846" s="2" t="str">
        <f ca="1">IFERROR(__xludf.DUMMYFUNCTION("""COMPUTED_VALUE"""),"1739284166671")</f>
        <v>1739284166671</v>
      </c>
      <c r="B3846" s="2"/>
      <c r="C3846" s="2" t="str">
        <v>0</v>
      </c>
      <c r="D3846" s="2"/>
      <c r="F3846" s="2" t="str">
        <v>0</v>
      </c>
      <c r="I3846" s="3" t="str">
        <f ca="1">IFERROR(__xludf.DUMMYFUNCTION("""COMPUTED_VALUE"""),"Nguyễn Ngọc Anh Thư ")</f>
        <v xml:space="preserve">Nguyễn Ngọc Anh Thư </v>
      </c>
      <c r="J3846" s="3" t="str">
        <f ca="1">IFERROR(__xludf.DUMMYFUNCTION("""COMPUTED_VALUE"""),"0375219630")</f>
        <v>0375219630</v>
      </c>
      <c r="K3846" s="2" t="str">
        <f ca="1">IFERROR(__xludf.DUMMYFUNCTION("""COMPUTED_VALUE"""),"1739284166671")</f>
        <v>1739284166671</v>
      </c>
    </row>
    <row r="3847" spans="1:11" ht="12.45">
      <c r="A3847" s="2" t="str">
        <f ca="1">IFERROR(__xludf.DUMMYFUNCTION("""COMPUTED_VALUE"""),"1739284200553")</f>
        <v>1739284200553</v>
      </c>
      <c r="B3847" s="2"/>
      <c r="C3847" s="2" t="str">
        <v>0</v>
      </c>
      <c r="D3847" s="2"/>
      <c r="F3847" s="2" t="str">
        <v>0</v>
      </c>
      <c r="I3847" s="3" t="str">
        <f ca="1">IFERROR(__xludf.DUMMYFUNCTION("""COMPUTED_VALUE"""),"Nguyễn Quang Minh ")</f>
        <v xml:space="preserve">Nguyễn Quang Minh </v>
      </c>
      <c r="J3847" s="3" t="str">
        <f ca="1">IFERROR(__xludf.DUMMYFUNCTION("""COMPUTED_VALUE"""),"0862975574")</f>
        <v>0862975574</v>
      </c>
      <c r="K3847" s="2" t="str">
        <f ca="1">IFERROR(__xludf.DUMMYFUNCTION("""COMPUTED_VALUE"""),"1739284200553")</f>
        <v>1739284200553</v>
      </c>
    </row>
    <row r="3848" spans="1:11" ht="12.45">
      <c r="A3848" s="2" t="str">
        <f ca="1">IFERROR(__xludf.DUMMYFUNCTION("""COMPUTED_VALUE"""),"1739284230977")</f>
        <v>1739284230977</v>
      </c>
      <c r="B3848" s="2"/>
      <c r="C3848" s="2" t="str">
        <v>0</v>
      </c>
      <c r="D3848" s="2"/>
      <c r="F3848" s="2" t="str">
        <v>0</v>
      </c>
      <c r="I3848" s="3" t="str">
        <f ca="1">IFERROR(__xludf.DUMMYFUNCTION("""COMPUTED_VALUE"""),"Tô Nguyễn Thu Trang ")</f>
        <v xml:space="preserve">Tô Nguyễn Thu Trang </v>
      </c>
      <c r="J3848" s="3" t="str">
        <f ca="1">IFERROR(__xludf.DUMMYFUNCTION("""COMPUTED_VALUE"""),"0932191483")</f>
        <v>0932191483</v>
      </c>
      <c r="K3848" s="2" t="str">
        <f ca="1">IFERROR(__xludf.DUMMYFUNCTION("""COMPUTED_VALUE"""),"1739284230977")</f>
        <v>1739284230977</v>
      </c>
    </row>
    <row r="3849" spans="1:11" ht="12.45">
      <c r="A3849" s="2" t="str">
        <f ca="1">IFERROR(__xludf.DUMMYFUNCTION("""COMPUTED_VALUE"""),"1739284261994")</f>
        <v>1739284261994</v>
      </c>
      <c r="B3849" s="2"/>
      <c r="C3849" s="2" t="str">
        <v>0</v>
      </c>
      <c r="D3849" s="2"/>
      <c r="F3849" s="2" t="str">
        <v>0</v>
      </c>
      <c r="I3849" s="3" t="str">
        <f ca="1">IFERROR(__xludf.DUMMYFUNCTION("""COMPUTED_VALUE"""),"Đặng Minh Châu")</f>
        <v>Đặng Minh Châu</v>
      </c>
      <c r="J3849" s="3" t="str">
        <f ca="1">IFERROR(__xludf.DUMMYFUNCTION("""COMPUTED_VALUE"""),"0393991206")</f>
        <v>0393991206</v>
      </c>
      <c r="K3849" s="2" t="str">
        <f ca="1">IFERROR(__xludf.DUMMYFUNCTION("""COMPUTED_VALUE"""),"1739284261994")</f>
        <v>1739284261994</v>
      </c>
    </row>
    <row r="3850" spans="1:11" ht="12.45">
      <c r="A3850" s="2" t="str">
        <f ca="1">IFERROR(__xludf.DUMMYFUNCTION("""COMPUTED_VALUE"""),"1739284298035")</f>
        <v>1739284298035</v>
      </c>
      <c r="B3850" s="2"/>
      <c r="C3850" s="2" t="str">
        <v>0</v>
      </c>
      <c r="D3850" s="2"/>
      <c r="F3850" s="2" t="str">
        <v>0</v>
      </c>
      <c r="I3850" s="3" t="str">
        <f ca="1">IFERROR(__xludf.DUMMYFUNCTION("""COMPUTED_VALUE"""),"Nguyễn Quỳnh Trang")</f>
        <v>Nguyễn Quỳnh Trang</v>
      </c>
      <c r="J3850" s="3" t="str">
        <f ca="1">IFERROR(__xludf.DUMMYFUNCTION("""COMPUTED_VALUE"""),"0962154353")</f>
        <v>0962154353</v>
      </c>
      <c r="K3850" s="2" t="str">
        <f ca="1">IFERROR(__xludf.DUMMYFUNCTION("""COMPUTED_VALUE"""),"1739284298035")</f>
        <v>1739284298035</v>
      </c>
    </row>
    <row r="3851" spans="1:11" ht="12.45">
      <c r="A3851" s="2" t="str">
        <f ca="1">IFERROR(__xludf.DUMMYFUNCTION("""COMPUTED_VALUE"""),"1739284329848")</f>
        <v>1739284329848</v>
      </c>
      <c r="B3851" s="2"/>
      <c r="C3851" s="2" t="str">
        <v>0</v>
      </c>
      <c r="D3851" s="2"/>
      <c r="F3851" s="2" t="str">
        <v>0</v>
      </c>
      <c r="I3851" s="3" t="str">
        <f ca="1">IFERROR(__xludf.DUMMYFUNCTION("""COMPUTED_VALUE"""),"Trần Thị Thanh Thủy ")</f>
        <v xml:space="preserve">Trần Thị Thanh Thủy </v>
      </c>
      <c r="J3851" s="3" t="str">
        <f ca="1">IFERROR(__xludf.DUMMYFUNCTION("""COMPUTED_VALUE"""),"0917969382")</f>
        <v>0917969382</v>
      </c>
      <c r="K3851" s="2" t="str">
        <f ca="1">IFERROR(__xludf.DUMMYFUNCTION("""COMPUTED_VALUE"""),"1739284329848")</f>
        <v>1739284329848</v>
      </c>
    </row>
    <row r="3852" spans="1:11" ht="12.45">
      <c r="A3852" s="2" t="str">
        <f ca="1">IFERROR(__xludf.DUMMYFUNCTION("""COMPUTED_VALUE"""),"1739284358806")</f>
        <v>1739284358806</v>
      </c>
      <c r="B3852" s="2"/>
      <c r="C3852" s="2" t="str">
        <v>0</v>
      </c>
      <c r="D3852" s="2"/>
      <c r="F3852" s="2" t="str">
        <v>0</v>
      </c>
      <c r="I3852" s="3" t="str">
        <f ca="1">IFERROR(__xludf.DUMMYFUNCTION("""COMPUTED_VALUE"""),"Bùi Thị Hà Linh ")</f>
        <v xml:space="preserve">Bùi Thị Hà Linh </v>
      </c>
      <c r="J3852" s="3" t="str">
        <f ca="1">IFERROR(__xludf.DUMMYFUNCTION("""COMPUTED_VALUE"""),"0368460542")</f>
        <v>0368460542</v>
      </c>
      <c r="K3852" s="2" t="str">
        <f ca="1">IFERROR(__xludf.DUMMYFUNCTION("""COMPUTED_VALUE"""),"1739284358806")</f>
        <v>1739284358806</v>
      </c>
    </row>
    <row r="3853" spans="1:11" ht="12.45">
      <c r="A3853" s="2" t="str">
        <f ca="1">IFERROR(__xludf.DUMMYFUNCTION("""COMPUTED_VALUE"""),"1739284387128")</f>
        <v>1739284387128</v>
      </c>
      <c r="B3853" s="2"/>
      <c r="C3853" s="2" t="str">
        <v>0</v>
      </c>
      <c r="D3853" s="2"/>
      <c r="F3853" s="2" t="str">
        <v>0</v>
      </c>
      <c r="I3853" s="3" t="str">
        <f ca="1">IFERROR(__xludf.DUMMYFUNCTION("""COMPUTED_VALUE"""),"Nguyễn Thị Thương")</f>
        <v>Nguyễn Thị Thương</v>
      </c>
      <c r="J3853" s="3" t="str">
        <f ca="1">IFERROR(__xludf.DUMMYFUNCTION("""COMPUTED_VALUE"""),"0366247645")</f>
        <v>0366247645</v>
      </c>
      <c r="K3853" s="2" t="str">
        <f ca="1">IFERROR(__xludf.DUMMYFUNCTION("""COMPUTED_VALUE"""),"1739284387128")</f>
        <v>1739284387128</v>
      </c>
    </row>
    <row r="3854" spans="1:11" ht="12.45">
      <c r="A3854" s="2" t="str">
        <f ca="1">IFERROR(__xludf.DUMMYFUNCTION("""COMPUTED_VALUE"""),"1744769087646")</f>
        <v>1744769087646</v>
      </c>
      <c r="B3854" s="2"/>
      <c r="C3854" s="2" t="str">
        <v>0</v>
      </c>
      <c r="D3854" s="2"/>
      <c r="F3854" s="2" t="str">
        <v>0</v>
      </c>
      <c r="I3854" s="3" t="str">
        <f ca="1">IFERROR(__xludf.DUMMYFUNCTION("""COMPUTED_VALUE"""),"Nguyễn Ngọc Trâm")</f>
        <v>Nguyễn Ngọc Trâm</v>
      </c>
      <c r="J3854" s="3" t="str">
        <f ca="1">IFERROR(__xludf.DUMMYFUNCTION("""COMPUTED_VALUE"""),"0328385766")</f>
        <v>0328385766</v>
      </c>
      <c r="K3854" s="2" t="str">
        <f ca="1">IFERROR(__xludf.DUMMYFUNCTION("""COMPUTED_VALUE"""),"1744769087646")</f>
        <v>1744769087646</v>
      </c>
    </row>
    <row r="3855" spans="1:11" ht="12.45">
      <c r="A3855" s="2" t="str">
        <f ca="1">IFERROR(__xludf.DUMMYFUNCTION("""COMPUTED_VALUE"""),"1739284417982")</f>
        <v>1739284417982</v>
      </c>
      <c r="B3855" s="2"/>
      <c r="C3855" s="2" t="str">
        <v>0</v>
      </c>
      <c r="D3855" s="2"/>
      <c r="F3855" s="2" t="str">
        <v>0</v>
      </c>
      <c r="I3855" s="3" t="str">
        <f ca="1">IFERROR(__xludf.DUMMYFUNCTION("""COMPUTED_VALUE"""),"Nguyễn Thúy Ái ")</f>
        <v xml:space="preserve">Nguyễn Thúy Ái </v>
      </c>
      <c r="J3855" s="3" t="str">
        <f ca="1">IFERROR(__xludf.DUMMYFUNCTION("""COMPUTED_VALUE"""),"0812305697")</f>
        <v>0812305697</v>
      </c>
      <c r="K3855" s="2" t="str">
        <f ca="1">IFERROR(__xludf.DUMMYFUNCTION("""COMPUTED_VALUE"""),"1739284417982")</f>
        <v>1739284417982</v>
      </c>
    </row>
    <row r="3856" spans="1:11" ht="12.45">
      <c r="A3856" s="2" t="str">
        <f ca="1">IFERROR(__xludf.DUMMYFUNCTION("""COMPUTED_VALUE"""),"1739284446800")</f>
        <v>1739284446800</v>
      </c>
      <c r="B3856" s="2"/>
      <c r="C3856" s="2" t="str">
        <v>0</v>
      </c>
      <c r="D3856" s="2"/>
      <c r="F3856" s="2" t="str">
        <v>0</v>
      </c>
      <c r="I3856" s="3" t="str">
        <f ca="1">IFERROR(__xludf.DUMMYFUNCTION("""COMPUTED_VALUE"""),"Phí Mai Trang")</f>
        <v>Phí Mai Trang</v>
      </c>
      <c r="J3856" s="3" t="str">
        <f ca="1">IFERROR(__xludf.DUMMYFUNCTION("""COMPUTED_VALUE"""),"0904009075")</f>
        <v>0904009075</v>
      </c>
      <c r="K3856" s="2" t="str">
        <f ca="1">IFERROR(__xludf.DUMMYFUNCTION("""COMPUTED_VALUE"""),"1739284446800")</f>
        <v>1739284446800</v>
      </c>
    </row>
    <row r="3857" spans="1:11" ht="12.45">
      <c r="A3857" s="2" t="str">
        <f ca="1">IFERROR(__xludf.DUMMYFUNCTION("""COMPUTED_VALUE"""),"1739284478198")</f>
        <v>1739284478198</v>
      </c>
      <c r="B3857" s="2"/>
      <c r="C3857" s="2" t="str">
        <v>0</v>
      </c>
      <c r="D3857" s="2"/>
      <c r="F3857" s="2" t="str">
        <v>0</v>
      </c>
      <c r="I3857" s="3" t="str">
        <f ca="1">IFERROR(__xludf.DUMMYFUNCTION("""COMPUTED_VALUE"""),"Lê Ngọc Diệu Linh")</f>
        <v>Lê Ngọc Diệu Linh</v>
      </c>
      <c r="J3857" s="3" t="str">
        <f ca="1">IFERROR(__xludf.DUMMYFUNCTION("""COMPUTED_VALUE"""),"0355888407")</f>
        <v>0355888407</v>
      </c>
      <c r="K3857" s="2" t="str">
        <f ca="1">IFERROR(__xludf.DUMMYFUNCTION("""COMPUTED_VALUE"""),"1739284478198")</f>
        <v>1739284478198</v>
      </c>
    </row>
    <row r="3858" spans="1:11" ht="12.45">
      <c r="A3858" s="2" t="str">
        <f ca="1">IFERROR(__xludf.DUMMYFUNCTION("""COMPUTED_VALUE"""),"1739284501950")</f>
        <v>1739284501950</v>
      </c>
      <c r="B3858" s="2"/>
      <c r="C3858" s="2" t="str">
        <v>0</v>
      </c>
      <c r="D3858" s="2"/>
      <c r="F3858" s="2" t="str">
        <v>0</v>
      </c>
      <c r="I3858" s="3" t="str">
        <f ca="1">IFERROR(__xludf.DUMMYFUNCTION("""COMPUTED_VALUE"""),"Đào Khánh Ly")</f>
        <v>Đào Khánh Ly</v>
      </c>
      <c r="J3858" s="3" t="str">
        <f ca="1">IFERROR(__xludf.DUMMYFUNCTION("""COMPUTED_VALUE"""),"0397169620")</f>
        <v>0397169620</v>
      </c>
      <c r="K3858" s="2" t="str">
        <f ca="1">IFERROR(__xludf.DUMMYFUNCTION("""COMPUTED_VALUE"""),"1739284501950")</f>
        <v>1739284501950</v>
      </c>
    </row>
    <row r="3859" spans="1:11" ht="12.45">
      <c r="A3859" s="2" t="str">
        <f ca="1">IFERROR(__xludf.DUMMYFUNCTION("""COMPUTED_VALUE"""),"1739284532527")</f>
        <v>1739284532527</v>
      </c>
      <c r="B3859" s="2"/>
      <c r="C3859" s="2" t="str">
        <v>0</v>
      </c>
      <c r="D3859" s="2"/>
      <c r="F3859" s="2" t="str">
        <v>0</v>
      </c>
      <c r="I3859" s="3" t="str">
        <f ca="1">IFERROR(__xludf.DUMMYFUNCTION("""COMPUTED_VALUE"""),"Nguyễn Thị Hoa ")</f>
        <v xml:space="preserve">Nguyễn Thị Hoa </v>
      </c>
      <c r="J3859" s="3" t="str">
        <f ca="1">IFERROR(__xludf.DUMMYFUNCTION("""COMPUTED_VALUE"""),"0961526157")</f>
        <v>0961526157</v>
      </c>
      <c r="K3859" s="2" t="str">
        <f ca="1">IFERROR(__xludf.DUMMYFUNCTION("""COMPUTED_VALUE"""),"1739284532527")</f>
        <v>1739284532527</v>
      </c>
    </row>
    <row r="3860" spans="1:11" ht="12.45">
      <c r="A3860" s="2" t="str">
        <f ca="1">IFERROR(__xludf.DUMMYFUNCTION("""COMPUTED_VALUE"""),"1739284560771")</f>
        <v>1739284560771</v>
      </c>
      <c r="B3860" s="2"/>
      <c r="C3860" s="2" t="str">
        <v>0</v>
      </c>
      <c r="D3860" s="2"/>
      <c r="F3860" s="2" t="str">
        <v>0</v>
      </c>
      <c r="I3860" s="3" t="str">
        <f ca="1">IFERROR(__xludf.DUMMYFUNCTION("""COMPUTED_VALUE"""),"Vũ Trúc Quỳnh Nhi ")</f>
        <v xml:space="preserve">Vũ Trúc Quỳnh Nhi </v>
      </c>
      <c r="J3860" s="3" t="str">
        <f ca="1">IFERROR(__xludf.DUMMYFUNCTION("""COMPUTED_VALUE"""),"0367120026")</f>
        <v>0367120026</v>
      </c>
      <c r="K3860" s="2" t="str">
        <f ca="1">IFERROR(__xludf.DUMMYFUNCTION("""COMPUTED_VALUE"""),"1739284560771")</f>
        <v>1739284560771</v>
      </c>
    </row>
    <row r="3861" spans="1:11" ht="12.45">
      <c r="A3861" s="2" t="str">
        <f ca="1">IFERROR(__xludf.DUMMYFUNCTION("""COMPUTED_VALUE"""),"1744769128027")</f>
        <v>1744769128027</v>
      </c>
      <c r="B3861" s="2"/>
      <c r="C3861" s="2" t="str">
        <v>0</v>
      </c>
      <c r="D3861" s="2"/>
      <c r="F3861" s="2" t="str">
        <v>0</v>
      </c>
      <c r="I3861" s="3" t="str">
        <f ca="1">IFERROR(__xludf.DUMMYFUNCTION("""COMPUTED_VALUE"""),"Nguyễn Thị Thu Trà ")</f>
        <v xml:space="preserve">Nguyễn Thị Thu Trà </v>
      </c>
      <c r="J3861" s="3" t="str">
        <f ca="1">IFERROR(__xludf.DUMMYFUNCTION("""COMPUTED_VALUE"""),"0865279020")</f>
        <v>0865279020</v>
      </c>
      <c r="K3861" s="2" t="str">
        <f ca="1">IFERROR(__xludf.DUMMYFUNCTION("""COMPUTED_VALUE"""),"1744769128027")</f>
        <v>1744769128027</v>
      </c>
    </row>
    <row r="3862" spans="1:11" ht="12.45">
      <c r="A3862" s="2" t="str">
        <f ca="1">IFERROR(__xludf.DUMMYFUNCTION("""COMPUTED_VALUE"""),"1739284596845")</f>
        <v>1739284596845</v>
      </c>
      <c r="B3862" s="2"/>
      <c r="C3862" s="2" t="str">
        <v>0</v>
      </c>
      <c r="D3862" s="2"/>
      <c r="F3862" s="2" t="str">
        <v>0</v>
      </c>
      <c r="I3862" s="3" t="str">
        <f ca="1">IFERROR(__xludf.DUMMYFUNCTION("""COMPUTED_VALUE"""),"Nguyễn Thanh Ngà")</f>
        <v>Nguyễn Thanh Ngà</v>
      </c>
      <c r="J3862" s="3" t="str">
        <f ca="1">IFERROR(__xludf.DUMMYFUNCTION("""COMPUTED_VALUE"""),"0338447998")</f>
        <v>0338447998</v>
      </c>
      <c r="K3862" s="2" t="str">
        <f ca="1">IFERROR(__xludf.DUMMYFUNCTION("""COMPUTED_VALUE"""),"1739284596845")</f>
        <v>1739284596845</v>
      </c>
    </row>
    <row r="3863" spans="1:11" ht="12.45">
      <c r="A3863" s="2" t="str">
        <f ca="1">IFERROR(__xludf.DUMMYFUNCTION("""COMPUTED_VALUE"""),"1739284629745")</f>
        <v>1739284629745</v>
      </c>
      <c r="B3863" s="2"/>
      <c r="C3863" s="2" t="str">
        <v>0</v>
      </c>
      <c r="D3863" s="2"/>
      <c r="F3863" s="2" t="str">
        <v>0</v>
      </c>
      <c r="I3863" s="3" t="str">
        <f ca="1">IFERROR(__xludf.DUMMYFUNCTION("""COMPUTED_VALUE"""),"Hồ Khánh Linh")</f>
        <v>Hồ Khánh Linh</v>
      </c>
      <c r="J3863" s="3" t="str">
        <f ca="1">IFERROR(__xludf.DUMMYFUNCTION("""COMPUTED_VALUE"""),"0986556168")</f>
        <v>0986556168</v>
      </c>
      <c r="K3863" s="2" t="str">
        <f ca="1">IFERROR(__xludf.DUMMYFUNCTION("""COMPUTED_VALUE"""),"1739284629745")</f>
        <v>1739284629745</v>
      </c>
    </row>
    <row r="3864" spans="1:11" ht="12.45">
      <c r="A3864" s="2" t="str">
        <f ca="1">IFERROR(__xludf.DUMMYFUNCTION("""COMPUTED_VALUE"""),"1744769164039")</f>
        <v>1744769164039</v>
      </c>
      <c r="B3864" s="2"/>
      <c r="C3864" s="2" t="str">
        <v>0</v>
      </c>
      <c r="D3864" s="2"/>
      <c r="F3864" s="2" t="str">
        <v>0</v>
      </c>
      <c r="I3864" s="3" t="str">
        <f ca="1">IFERROR(__xludf.DUMMYFUNCTION("""COMPUTED_VALUE"""),"Trần Ngọc Hà")</f>
        <v>Trần Ngọc Hà</v>
      </c>
      <c r="J3864" s="3" t="str">
        <f ca="1">IFERROR(__xludf.DUMMYFUNCTION("""COMPUTED_VALUE"""),"0398413062")</f>
        <v>0398413062</v>
      </c>
      <c r="K3864" s="2" t="str">
        <f ca="1">IFERROR(__xludf.DUMMYFUNCTION("""COMPUTED_VALUE"""),"1744769164039")</f>
        <v>1744769164039</v>
      </c>
    </row>
    <row r="3865" spans="1:11" ht="12.45">
      <c r="A3865" s="2" t="str">
        <f ca="1">IFERROR(__xludf.DUMMYFUNCTION("""COMPUTED_VALUE"""),"1744769190329")</f>
        <v>1744769190329</v>
      </c>
      <c r="B3865" s="2"/>
      <c r="C3865" s="2" t="str">
        <v>0</v>
      </c>
      <c r="D3865" s="2"/>
      <c r="F3865" s="2" t="str">
        <v>0</v>
      </c>
      <c r="I3865" s="3" t="str">
        <f ca="1">IFERROR(__xludf.DUMMYFUNCTION("""COMPUTED_VALUE"""),"Dương Minh Hà")</f>
        <v>Dương Minh Hà</v>
      </c>
      <c r="J3865" s="3" t="str">
        <f ca="1">IFERROR(__xludf.DUMMYFUNCTION("""COMPUTED_VALUE"""),"0384402768")</f>
        <v>0384402768</v>
      </c>
      <c r="K3865" s="2" t="str">
        <f ca="1">IFERROR(__xludf.DUMMYFUNCTION("""COMPUTED_VALUE"""),"1744769190329")</f>
        <v>1744769190329</v>
      </c>
    </row>
    <row r="3866" spans="1:11" ht="12.45">
      <c r="A3866" s="2" t="str">
        <f ca="1">IFERROR(__xludf.DUMMYFUNCTION("""COMPUTED_VALUE"""),"1744769218185")</f>
        <v>1744769218185</v>
      </c>
      <c r="B3866" s="2"/>
      <c r="C3866" s="2" t="str">
        <v>0</v>
      </c>
      <c r="D3866" s="2"/>
      <c r="F3866" s="2" t="str">
        <v>0</v>
      </c>
      <c r="I3866" s="3" t="str">
        <f ca="1">IFERROR(__xludf.DUMMYFUNCTION("""COMPUTED_VALUE"""),"Nguyễn Ngọc Mai Nga ")</f>
        <v xml:space="preserve">Nguyễn Ngọc Mai Nga </v>
      </c>
      <c r="J3866" s="3" t="str">
        <f ca="1">IFERROR(__xludf.DUMMYFUNCTION("""COMPUTED_VALUE"""),"0983249736")</f>
        <v>0983249736</v>
      </c>
      <c r="K3866" s="2" t="str">
        <f ca="1">IFERROR(__xludf.DUMMYFUNCTION("""COMPUTED_VALUE"""),"1744769218185")</f>
        <v>1744769218185</v>
      </c>
    </row>
    <row r="3867" spans="1:11" ht="12.45">
      <c r="A3867" s="2" t="str">
        <f ca="1">IFERROR(__xludf.DUMMYFUNCTION("""COMPUTED_VALUE"""),"1739284658374")</f>
        <v>1739284658374</v>
      </c>
      <c r="B3867" s="2"/>
      <c r="C3867" s="2" t="str">
        <v>0</v>
      </c>
      <c r="D3867" s="2"/>
      <c r="F3867" s="2" t="str">
        <v>0</v>
      </c>
      <c r="I3867" s="3" t="str">
        <f ca="1">IFERROR(__xludf.DUMMYFUNCTION("""COMPUTED_VALUE"""),"Trần Thị Tú Quyên")</f>
        <v>Trần Thị Tú Quyên</v>
      </c>
      <c r="J3867" s="3" t="str">
        <f ca="1">IFERROR(__xludf.DUMMYFUNCTION("""COMPUTED_VALUE"""),"0817083890")</f>
        <v>0817083890</v>
      </c>
      <c r="K3867" s="2" t="str">
        <f ca="1">IFERROR(__xludf.DUMMYFUNCTION("""COMPUTED_VALUE"""),"1739284658374")</f>
        <v>1739284658374</v>
      </c>
    </row>
    <row r="3868" spans="1:11" ht="12.45">
      <c r="A3868" s="2" t="str">
        <f ca="1">IFERROR(__xludf.DUMMYFUNCTION("""COMPUTED_VALUE"""),"1739284684092")</f>
        <v>1739284684092</v>
      </c>
      <c r="B3868" s="2"/>
      <c r="C3868" s="2" t="str">
        <v>0</v>
      </c>
      <c r="D3868" s="2"/>
      <c r="F3868" s="2" t="str">
        <v>0</v>
      </c>
      <c r="I3868" s="3" t="str">
        <f ca="1">IFERROR(__xludf.DUMMYFUNCTION("""COMPUTED_VALUE"""),"Trịnh Thị Thanh Bình")</f>
        <v>Trịnh Thị Thanh Bình</v>
      </c>
      <c r="J3868" s="3" t="str">
        <f ca="1">IFERROR(__xludf.DUMMYFUNCTION("""COMPUTED_VALUE"""),"0962978360")</f>
        <v>0962978360</v>
      </c>
      <c r="K3868" s="2" t="str">
        <f ca="1">IFERROR(__xludf.DUMMYFUNCTION("""COMPUTED_VALUE"""),"1739284684092")</f>
        <v>1739284684092</v>
      </c>
    </row>
    <row r="3869" spans="1:11" ht="12.45">
      <c r="A3869" s="2" t="str">
        <f ca="1">IFERROR(__xludf.DUMMYFUNCTION("""COMPUTED_VALUE"""),"1739284715740")</f>
        <v>1739284715740</v>
      </c>
      <c r="B3869" s="2"/>
      <c r="C3869" s="2" t="str">
        <v>0</v>
      </c>
      <c r="D3869" s="2"/>
      <c r="F3869" s="2" t="str">
        <v>0</v>
      </c>
      <c r="I3869" s="3" t="str">
        <f ca="1">IFERROR(__xludf.DUMMYFUNCTION("""COMPUTED_VALUE"""),"Dương Ngọc Huỳnh")</f>
        <v>Dương Ngọc Huỳnh</v>
      </c>
      <c r="J3869" s="3" t="str">
        <f ca="1">IFERROR(__xludf.DUMMYFUNCTION("""COMPUTED_VALUE"""),"0815488225")</f>
        <v>0815488225</v>
      </c>
      <c r="K3869" s="2" t="str">
        <f ca="1">IFERROR(__xludf.DUMMYFUNCTION("""COMPUTED_VALUE"""),"1739284715740")</f>
        <v>1739284715740</v>
      </c>
    </row>
    <row r="3870" spans="1:11" ht="12.45">
      <c r="A3870" s="2" t="str">
        <f ca="1">IFERROR(__xludf.DUMMYFUNCTION("""COMPUTED_VALUE"""),"1739284761901")</f>
        <v>1739284761901</v>
      </c>
      <c r="B3870" s="2"/>
      <c r="C3870" s="2" t="str">
        <v>0</v>
      </c>
      <c r="D3870" s="2"/>
      <c r="F3870" s="2" t="str">
        <v>0</v>
      </c>
      <c r="I3870" s="3" t="str">
        <f ca="1">IFERROR(__xludf.DUMMYFUNCTION("""COMPUTED_VALUE"""),"Trịnh Ngọc Yến")</f>
        <v>Trịnh Ngọc Yến</v>
      </c>
      <c r="J3870" s="3" t="str">
        <f ca="1">IFERROR(__xludf.DUMMYFUNCTION("""COMPUTED_VALUE"""),"0816481521")</f>
        <v>0816481521</v>
      </c>
      <c r="K3870" s="2" t="str">
        <f ca="1">IFERROR(__xludf.DUMMYFUNCTION("""COMPUTED_VALUE"""),"1739284761901")</f>
        <v>1739284761901</v>
      </c>
    </row>
    <row r="3871" spans="1:11" ht="12.45">
      <c r="A3871" s="2" t="str">
        <f ca="1">IFERROR(__xludf.DUMMYFUNCTION("""COMPUTED_VALUE"""),"1739284804156")</f>
        <v>1739284804156</v>
      </c>
      <c r="B3871" s="2"/>
      <c r="C3871" s="2" t="str">
        <v>0</v>
      </c>
      <c r="D3871" s="2"/>
      <c r="F3871" s="2" t="str">
        <v>0</v>
      </c>
      <c r="I3871" s="3" t="str">
        <f ca="1">IFERROR(__xludf.DUMMYFUNCTION("""COMPUTED_VALUE"""),"Mai Thị Mai Linh")</f>
        <v>Mai Thị Mai Linh</v>
      </c>
      <c r="J3871" s="3" t="str">
        <f ca="1">IFERROR(__xludf.DUMMYFUNCTION("""COMPUTED_VALUE"""),"0392339012")</f>
        <v>0392339012</v>
      </c>
      <c r="K3871" s="2" t="str">
        <f ca="1">IFERROR(__xludf.DUMMYFUNCTION("""COMPUTED_VALUE"""),"1739284804156")</f>
        <v>1739284804156</v>
      </c>
    </row>
    <row r="3872" spans="1:11" ht="12.45">
      <c r="A3872" s="2" t="str">
        <f ca="1">IFERROR(__xludf.DUMMYFUNCTION("""COMPUTED_VALUE"""),"1739284836505")</f>
        <v>1739284836505</v>
      </c>
      <c r="B3872" s="2"/>
      <c r="C3872" s="2" t="str">
        <v>0</v>
      </c>
      <c r="D3872" s="2"/>
      <c r="F3872" s="2" t="str">
        <v>0</v>
      </c>
      <c r="I3872" s="3" t="str">
        <f ca="1">IFERROR(__xludf.DUMMYFUNCTION("""COMPUTED_VALUE"""),"Hồ Thanh Thảo")</f>
        <v>Hồ Thanh Thảo</v>
      </c>
      <c r="J3872" s="3" t="str">
        <f ca="1">IFERROR(__xludf.DUMMYFUNCTION("""COMPUTED_VALUE"""),"0945407045")</f>
        <v>0945407045</v>
      </c>
      <c r="K3872" s="2" t="str">
        <f ca="1">IFERROR(__xludf.DUMMYFUNCTION("""COMPUTED_VALUE"""),"1739284836505")</f>
        <v>1739284836505</v>
      </c>
    </row>
    <row r="3873" spans="1:11" ht="12.45">
      <c r="A3873" s="2" t="str">
        <f ca="1">IFERROR(__xludf.DUMMYFUNCTION("""COMPUTED_VALUE"""),"1739284866070")</f>
        <v>1739284866070</v>
      </c>
      <c r="B3873" s="2"/>
      <c r="C3873" s="2" t="str">
        <v>0</v>
      </c>
      <c r="D3873" s="2"/>
      <c r="F3873" s="2" t="str">
        <v>0</v>
      </c>
      <c r="I3873" s="3" t="str">
        <f ca="1">IFERROR(__xludf.DUMMYFUNCTION("""COMPUTED_VALUE"""),"Hà Hoài Anh")</f>
        <v>Hà Hoài Anh</v>
      </c>
      <c r="J3873" s="3" t="str">
        <f ca="1">IFERROR(__xludf.DUMMYFUNCTION("""COMPUTED_VALUE"""),"0822795545")</f>
        <v>0822795545</v>
      </c>
      <c r="K3873" s="2" t="str">
        <f ca="1">IFERROR(__xludf.DUMMYFUNCTION("""COMPUTED_VALUE"""),"1739284866070")</f>
        <v>1739284866070</v>
      </c>
    </row>
    <row r="3874" spans="1:11" ht="12.45">
      <c r="A3874" s="2" t="str">
        <f ca="1">IFERROR(__xludf.DUMMYFUNCTION("""COMPUTED_VALUE"""),"1739284897017")</f>
        <v>1739284897017</v>
      </c>
      <c r="B3874" s="2"/>
      <c r="C3874" s="2" t="str">
        <v>0</v>
      </c>
      <c r="D3874" s="2"/>
      <c r="F3874" s="2" t="str">
        <v>0</v>
      </c>
      <c r="I3874" s="3" t="str">
        <f ca="1">IFERROR(__xludf.DUMMYFUNCTION("""COMPUTED_VALUE"""),"Vũ Quỳnh Mai ")</f>
        <v xml:space="preserve">Vũ Quỳnh Mai </v>
      </c>
      <c r="J3874" s="3" t="str">
        <f ca="1">IFERROR(__xludf.DUMMYFUNCTION("""COMPUTED_VALUE"""),"0833184725")</f>
        <v>0833184725</v>
      </c>
      <c r="K3874" s="2" t="str">
        <f ca="1">IFERROR(__xludf.DUMMYFUNCTION("""COMPUTED_VALUE"""),"1739284897017")</f>
        <v>1739284897017</v>
      </c>
    </row>
    <row r="3875" spans="1:11" ht="12.45">
      <c r="A3875" s="2" t="str">
        <f ca="1">IFERROR(__xludf.DUMMYFUNCTION("""COMPUTED_VALUE"""),"1739284932980")</f>
        <v>1739284932980</v>
      </c>
      <c r="B3875" s="2"/>
      <c r="C3875" s="2" t="str">
        <v>0</v>
      </c>
      <c r="D3875" s="2"/>
      <c r="F3875" s="2" t="str">
        <v>0</v>
      </c>
      <c r="I3875" s="3" t="str">
        <f ca="1">IFERROR(__xludf.DUMMYFUNCTION("""COMPUTED_VALUE"""),"Bùi Thanh Vân ")</f>
        <v xml:space="preserve">Bùi Thanh Vân </v>
      </c>
      <c r="J3875" s="3" t="str">
        <f ca="1">IFERROR(__xludf.DUMMYFUNCTION("""COMPUTED_VALUE"""),"0345801503")</f>
        <v>0345801503</v>
      </c>
      <c r="K3875" s="2" t="str">
        <f ca="1">IFERROR(__xludf.DUMMYFUNCTION("""COMPUTED_VALUE"""),"1739284932980")</f>
        <v>1739284932980</v>
      </c>
    </row>
    <row r="3876" spans="1:11" ht="12.45">
      <c r="A3876" s="2" t="str">
        <f ca="1">IFERROR(__xludf.DUMMYFUNCTION("""COMPUTED_VALUE"""),"1739284966435")</f>
        <v>1739284966435</v>
      </c>
      <c r="B3876" s="2"/>
      <c r="C3876" s="2" t="str">
        <v>0</v>
      </c>
      <c r="D3876" s="2"/>
      <c r="F3876" s="2" t="str">
        <v>0</v>
      </c>
      <c r="I3876" s="3" t="str">
        <f ca="1">IFERROR(__xludf.DUMMYFUNCTION("""COMPUTED_VALUE"""),"Đinh Thuỳ Linh")</f>
        <v>Đinh Thuỳ Linh</v>
      </c>
      <c r="J3876" s="3" t="str">
        <f ca="1">IFERROR(__xludf.DUMMYFUNCTION("""COMPUTED_VALUE"""),"0975519096")</f>
        <v>0975519096</v>
      </c>
      <c r="K3876" s="2" t="str">
        <f ca="1">IFERROR(__xludf.DUMMYFUNCTION("""COMPUTED_VALUE"""),"1739284966435")</f>
        <v>1739284966435</v>
      </c>
    </row>
    <row r="3877" spans="1:11" ht="12.45">
      <c r="A3877" s="2" t="str">
        <f ca="1">IFERROR(__xludf.DUMMYFUNCTION("""COMPUTED_VALUE"""),"1739285001781")</f>
        <v>1739285001781</v>
      </c>
      <c r="B3877" s="2"/>
      <c r="C3877" s="2" t="str">
        <v>0</v>
      </c>
      <c r="D3877" s="2"/>
      <c r="F3877" s="2" t="str">
        <v>0</v>
      </c>
      <c r="I3877" s="3" t="str">
        <f ca="1">IFERROR(__xludf.DUMMYFUNCTION("""COMPUTED_VALUE"""),"Hoàng Thu Hà")</f>
        <v>Hoàng Thu Hà</v>
      </c>
      <c r="J3877" s="3" t="str">
        <f ca="1">IFERROR(__xludf.DUMMYFUNCTION("""COMPUTED_VALUE"""),"0397391931")</f>
        <v>0397391931</v>
      </c>
      <c r="K3877" s="2" t="str">
        <f ca="1">IFERROR(__xludf.DUMMYFUNCTION("""COMPUTED_VALUE"""),"1739285001781")</f>
        <v>1739285001781</v>
      </c>
    </row>
    <row r="3878" spans="1:11" ht="12.45">
      <c r="A3878" s="2" t="str">
        <f ca="1">IFERROR(__xludf.DUMMYFUNCTION("""COMPUTED_VALUE"""),"1739285038632")</f>
        <v>1739285038632</v>
      </c>
      <c r="B3878" s="2"/>
      <c r="C3878" s="2" t="str">
        <v>0</v>
      </c>
      <c r="D3878" s="2"/>
      <c r="F3878" s="2" t="str">
        <v>0</v>
      </c>
      <c r="I3878" s="3" t="str">
        <f ca="1">IFERROR(__xludf.DUMMYFUNCTION("""COMPUTED_VALUE"""),"Phạm Thị Minh Diệu ")</f>
        <v xml:space="preserve">Phạm Thị Minh Diệu </v>
      </c>
      <c r="J3878" s="3" t="str">
        <f ca="1">IFERROR(__xludf.DUMMYFUNCTION("""COMPUTED_VALUE"""),"0336875383")</f>
        <v>0336875383</v>
      </c>
      <c r="K3878" s="2" t="str">
        <f ca="1">IFERROR(__xludf.DUMMYFUNCTION("""COMPUTED_VALUE"""),"1739285038632")</f>
        <v>1739285038632</v>
      </c>
    </row>
    <row r="3879" spans="1:11" ht="12.45">
      <c r="A3879" s="2" t="str">
        <f ca="1">IFERROR(__xludf.DUMMYFUNCTION("""COMPUTED_VALUE"""),"1739285072972")</f>
        <v>1739285072972</v>
      </c>
      <c r="B3879" s="2"/>
      <c r="C3879" s="2" t="str">
        <v>0</v>
      </c>
      <c r="D3879" s="2"/>
      <c r="F3879" s="2" t="str">
        <v>0</v>
      </c>
      <c r="I3879" s="3" t="str">
        <f ca="1">IFERROR(__xludf.DUMMYFUNCTION("""COMPUTED_VALUE"""),"Nguyễn Phương Thảo")</f>
        <v>Nguyễn Phương Thảo</v>
      </c>
      <c r="J3879" s="3" t="str">
        <f ca="1">IFERROR(__xludf.DUMMYFUNCTION("""COMPUTED_VALUE"""),"0823324686")</f>
        <v>0823324686</v>
      </c>
      <c r="K3879" s="2" t="str">
        <f ca="1">IFERROR(__xludf.DUMMYFUNCTION("""COMPUTED_VALUE"""),"1739285072972")</f>
        <v>1739285072972</v>
      </c>
    </row>
    <row r="3880" spans="1:11" ht="12.45">
      <c r="A3880" s="2" t="str">
        <f ca="1">IFERROR(__xludf.DUMMYFUNCTION("""COMPUTED_VALUE"""),"1744769258349")</f>
        <v>1744769258349</v>
      </c>
      <c r="B3880" s="2"/>
      <c r="C3880" s="2" t="str">
        <v>0</v>
      </c>
      <c r="D3880" s="2"/>
      <c r="F3880" s="2" t="str">
        <v>0</v>
      </c>
      <c r="I3880" s="3" t="str">
        <f ca="1">IFERROR(__xludf.DUMMYFUNCTION("""COMPUTED_VALUE"""),"Nguyễn Thị Phương Thảo")</f>
        <v>Nguyễn Thị Phương Thảo</v>
      </c>
      <c r="J3880" s="3" t="str">
        <f ca="1">IFERROR(__xludf.DUMMYFUNCTION("""COMPUTED_VALUE"""),"0377594226")</f>
        <v>0377594226</v>
      </c>
      <c r="K3880" s="2" t="str">
        <f ca="1">IFERROR(__xludf.DUMMYFUNCTION("""COMPUTED_VALUE"""),"1744769258349")</f>
        <v>1744769258349</v>
      </c>
    </row>
    <row r="3881" spans="1:11" ht="12.45">
      <c r="A3881" s="2" t="str">
        <f ca="1">IFERROR(__xludf.DUMMYFUNCTION("""COMPUTED_VALUE"""),"1739285110289")</f>
        <v>1739285110289</v>
      </c>
      <c r="B3881" s="2"/>
      <c r="C3881" s="2" t="str">
        <v>0</v>
      </c>
      <c r="D3881" s="2"/>
      <c r="F3881" s="2" t="str">
        <v>0</v>
      </c>
      <c r="I3881" s="3" t="str">
        <f ca="1">IFERROR(__xludf.DUMMYFUNCTION("""COMPUTED_VALUE"""),"Trần Hoàng Đoan Trang")</f>
        <v>Trần Hoàng Đoan Trang</v>
      </c>
      <c r="J3881" s="3" t="str">
        <f ca="1">IFERROR(__xludf.DUMMYFUNCTION("""COMPUTED_VALUE"""),"0966679388")</f>
        <v>0966679388</v>
      </c>
      <c r="K3881" s="2" t="str">
        <f ca="1">IFERROR(__xludf.DUMMYFUNCTION("""COMPUTED_VALUE"""),"1739285110289")</f>
        <v>1739285110289</v>
      </c>
    </row>
    <row r="3882" spans="1:11" ht="12.45">
      <c r="A3882" s="2" t="str">
        <f ca="1">IFERROR(__xludf.DUMMYFUNCTION("""COMPUTED_VALUE"""),"1739285135342")</f>
        <v>1739285135342</v>
      </c>
      <c r="B3882" s="2"/>
      <c r="C3882" s="2" t="str">
        <v>0</v>
      </c>
      <c r="D3882" s="2"/>
      <c r="F3882" s="2" t="str">
        <v>0</v>
      </c>
      <c r="I3882" s="3" t="str">
        <f ca="1">IFERROR(__xludf.DUMMYFUNCTION("""COMPUTED_VALUE"""),"Nguyễn Thị Kim Oanh")</f>
        <v>Nguyễn Thị Kim Oanh</v>
      </c>
      <c r="J3882" s="3" t="str">
        <f ca="1">IFERROR(__xludf.DUMMYFUNCTION("""COMPUTED_VALUE"""),"0968358917")</f>
        <v>0968358917</v>
      </c>
      <c r="K3882" s="2" t="str">
        <f ca="1">IFERROR(__xludf.DUMMYFUNCTION("""COMPUTED_VALUE"""),"1739285135342")</f>
        <v>1739285135342</v>
      </c>
    </row>
    <row r="3883" spans="1:11" ht="12.45">
      <c r="A3883" s="2" t="str">
        <f ca="1">IFERROR(__xludf.DUMMYFUNCTION("""COMPUTED_VALUE"""),"1739285171822")</f>
        <v>1739285171822</v>
      </c>
      <c r="B3883" s="2"/>
      <c r="C3883" s="2" t="str">
        <v>0</v>
      </c>
      <c r="D3883" s="2"/>
      <c r="F3883" s="2" t="str">
        <v>0</v>
      </c>
      <c r="I3883" s="3" t="str">
        <f ca="1">IFERROR(__xludf.DUMMYFUNCTION("""COMPUTED_VALUE"""),"Sỹ Lan anh ")</f>
        <v xml:space="preserve">Sỹ Lan anh </v>
      </c>
      <c r="J3883" s="3" t="str">
        <f ca="1">IFERROR(__xludf.DUMMYFUNCTION("""COMPUTED_VALUE"""),"0345852202")</f>
        <v>0345852202</v>
      </c>
      <c r="K3883" s="2" t="str">
        <f ca="1">IFERROR(__xludf.DUMMYFUNCTION("""COMPUTED_VALUE"""),"1739285171822")</f>
        <v>1739285171822</v>
      </c>
    </row>
    <row r="3884" spans="1:11" ht="12.45">
      <c r="A3884" s="2" t="str">
        <f ca="1">IFERROR(__xludf.DUMMYFUNCTION("""COMPUTED_VALUE"""),"1739285207050")</f>
        <v>1739285207050</v>
      </c>
      <c r="B3884" s="2"/>
      <c r="C3884" s="2" t="str">
        <v>0</v>
      </c>
      <c r="D3884" s="2"/>
      <c r="F3884" s="2" t="str">
        <v>0</v>
      </c>
      <c r="I3884" s="3" t="str">
        <f ca="1">IFERROR(__xludf.DUMMYFUNCTION("""COMPUTED_VALUE"""),"Nguyễn Thị Quỳnh Trang")</f>
        <v>Nguyễn Thị Quỳnh Trang</v>
      </c>
      <c r="J3884" s="3" t="str">
        <f ca="1">IFERROR(__xludf.DUMMYFUNCTION("""COMPUTED_VALUE"""),"0862126877")</f>
        <v>0862126877</v>
      </c>
      <c r="K3884" s="2" t="str">
        <f ca="1">IFERROR(__xludf.DUMMYFUNCTION("""COMPUTED_VALUE"""),"1739285207050")</f>
        <v>1739285207050</v>
      </c>
    </row>
    <row r="3885" spans="1:11" ht="12.45">
      <c r="A3885" s="2" t="str">
        <f ca="1">IFERROR(__xludf.DUMMYFUNCTION("""COMPUTED_VALUE"""),"1739285263299")</f>
        <v>1739285263299</v>
      </c>
      <c r="B3885" s="2"/>
      <c r="C3885" s="2" t="str">
        <v>0</v>
      </c>
      <c r="D3885" s="2"/>
      <c r="F3885" s="2" t="str">
        <v>0</v>
      </c>
      <c r="I3885" s="3" t="str">
        <f ca="1">IFERROR(__xludf.DUMMYFUNCTION("""COMPUTED_VALUE"""),"PHAN THÀNH AN")</f>
        <v>PHAN THÀNH AN</v>
      </c>
      <c r="J3885" s="3" t="str">
        <f ca="1">IFERROR(__xludf.DUMMYFUNCTION("""COMPUTED_VALUE"""),"0385536635")</f>
        <v>0385536635</v>
      </c>
      <c r="K3885" s="2" t="str">
        <f ca="1">IFERROR(__xludf.DUMMYFUNCTION("""COMPUTED_VALUE"""),"1739285263299")</f>
        <v>1739285263299</v>
      </c>
    </row>
    <row r="3886" spans="1:11" ht="12.45">
      <c r="A3886" s="2" t="str">
        <f ca="1">IFERROR(__xludf.DUMMYFUNCTION("""COMPUTED_VALUE"""),"1739285304417")</f>
        <v>1739285304417</v>
      </c>
      <c r="B3886" s="2"/>
      <c r="C3886" s="2" t="str">
        <v>0</v>
      </c>
      <c r="D3886" s="2"/>
      <c r="F3886" s="2" t="str">
        <v>0</v>
      </c>
      <c r="I3886" s="3" t="str">
        <f ca="1">IFERROR(__xludf.DUMMYFUNCTION("""COMPUTED_VALUE"""),"Đặng Trần Linh")</f>
        <v>Đặng Trần Linh</v>
      </c>
      <c r="J3886" s="3" t="str">
        <f ca="1">IFERROR(__xludf.DUMMYFUNCTION("""COMPUTED_VALUE"""),"0387199929")</f>
        <v>0387199929</v>
      </c>
      <c r="K3886" s="2" t="str">
        <f ca="1">IFERROR(__xludf.DUMMYFUNCTION("""COMPUTED_VALUE"""),"1739285304417")</f>
        <v>1739285304417</v>
      </c>
    </row>
    <row r="3887" spans="1:11" ht="12.45">
      <c r="A3887" s="2" t="str">
        <f ca="1">IFERROR(__xludf.DUMMYFUNCTION("""COMPUTED_VALUE"""),"1739285350631")</f>
        <v>1739285350631</v>
      </c>
      <c r="B3887" s="2"/>
      <c r="C3887" s="2" t="str">
        <v>0</v>
      </c>
      <c r="D3887" s="2"/>
      <c r="F3887" s="2" t="str">
        <v>0</v>
      </c>
      <c r="I3887" s="3" t="str">
        <f ca="1">IFERROR(__xludf.DUMMYFUNCTION("""COMPUTED_VALUE"""),"Nguyễn Thu Trang")</f>
        <v>Nguyễn Thu Trang</v>
      </c>
      <c r="J3887" s="3" t="str">
        <f ca="1">IFERROR(__xludf.DUMMYFUNCTION("""COMPUTED_VALUE"""),"0825973955")</f>
        <v>0825973955</v>
      </c>
      <c r="K3887" s="2" t="str">
        <f ca="1">IFERROR(__xludf.DUMMYFUNCTION("""COMPUTED_VALUE"""),"1739285350631")</f>
        <v>1739285350631</v>
      </c>
    </row>
    <row r="3888" spans="1:11" ht="12.45">
      <c r="A3888" s="2" t="str">
        <f ca="1">IFERROR(__xludf.DUMMYFUNCTION("""COMPUTED_VALUE"""),"1739285381892")</f>
        <v>1739285381892</v>
      </c>
      <c r="B3888" s="2"/>
      <c r="C3888" s="2" t="str">
        <v>0</v>
      </c>
      <c r="D3888" s="2"/>
      <c r="F3888" s="2" t="str">
        <v>0</v>
      </c>
      <c r="I3888" s="3" t="str">
        <f ca="1">IFERROR(__xludf.DUMMYFUNCTION("""COMPUTED_VALUE"""),"nguyeenc ngọc anh thư")</f>
        <v>nguyeenc ngọc anh thư</v>
      </c>
      <c r="J3888" s="3" t="str">
        <f ca="1">IFERROR(__xludf.DUMMYFUNCTION("""COMPUTED_VALUE"""),"0345896019")</f>
        <v>0345896019</v>
      </c>
      <c r="K3888" s="2" t="str">
        <f ca="1">IFERROR(__xludf.DUMMYFUNCTION("""COMPUTED_VALUE"""),"1739285381892")</f>
        <v>1739285381892</v>
      </c>
    </row>
    <row r="3889" spans="1:11" ht="12.45">
      <c r="A3889" s="2" t="str">
        <f ca="1">IFERROR(__xludf.DUMMYFUNCTION("""COMPUTED_VALUE"""),"1739285423720")</f>
        <v>1739285423720</v>
      </c>
      <c r="B3889" s="2"/>
      <c r="C3889" s="2" t="str">
        <v>0</v>
      </c>
      <c r="D3889" s="2"/>
      <c r="F3889" s="2" t="str">
        <v>0</v>
      </c>
      <c r="I3889" s="3" t="str">
        <f ca="1">IFERROR(__xludf.DUMMYFUNCTION("""COMPUTED_VALUE"""),"Bùi Thị Thu Trang")</f>
        <v>Bùi Thị Thu Trang</v>
      </c>
      <c r="J3889" s="3" t="str">
        <f ca="1">IFERROR(__xludf.DUMMYFUNCTION("""COMPUTED_VALUE"""),"0346511471")</f>
        <v>0346511471</v>
      </c>
      <c r="K3889" s="2" t="str">
        <f ca="1">IFERROR(__xludf.DUMMYFUNCTION("""COMPUTED_VALUE"""),"1739285423720")</f>
        <v>1739285423720</v>
      </c>
    </row>
    <row r="3890" spans="1:11" ht="12.45">
      <c r="A3890" s="2" t="str">
        <f ca="1">IFERROR(__xludf.DUMMYFUNCTION("""COMPUTED_VALUE"""),"1739285460885")</f>
        <v>1739285460885</v>
      </c>
      <c r="B3890" s="2"/>
      <c r="C3890" s="2" t="str">
        <v>0</v>
      </c>
      <c r="D3890" s="2"/>
      <c r="F3890" s="2" t="str">
        <v>0</v>
      </c>
      <c r="I3890" s="3" t="str">
        <f ca="1">IFERROR(__xludf.DUMMYFUNCTION("""COMPUTED_VALUE"""),"Lê Tịnh Thảo Nhi")</f>
        <v>Lê Tịnh Thảo Nhi</v>
      </c>
      <c r="J3890" s="3" t="str">
        <f ca="1">IFERROR(__xludf.DUMMYFUNCTION("""COMPUTED_VALUE"""),"0852005248")</f>
        <v>0852005248</v>
      </c>
      <c r="K3890" s="2" t="str">
        <f ca="1">IFERROR(__xludf.DUMMYFUNCTION("""COMPUTED_VALUE"""),"1739285460885")</f>
        <v>1739285460885</v>
      </c>
    </row>
    <row r="3891" spans="1:11" ht="12.45">
      <c r="A3891" s="2" t="str">
        <f ca="1">IFERROR(__xludf.DUMMYFUNCTION("""COMPUTED_VALUE"""),"1744769283513")</f>
        <v>1744769283513</v>
      </c>
      <c r="B3891" s="2"/>
      <c r="C3891" s="2" t="str">
        <v>0</v>
      </c>
      <c r="D3891" s="2"/>
      <c r="F3891" s="2" t="str">
        <v>0</v>
      </c>
      <c r="I3891" s="3" t="str">
        <f ca="1">IFERROR(__xludf.DUMMYFUNCTION("""COMPUTED_VALUE"""),"Đinh Huyền Trân")</f>
        <v>Đinh Huyền Trân</v>
      </c>
      <c r="J3891" s="3" t="str">
        <f ca="1">IFERROR(__xludf.DUMMYFUNCTION("""COMPUTED_VALUE"""),"0383442594")</f>
        <v>0383442594</v>
      </c>
      <c r="K3891" s="2" t="str">
        <f ca="1">IFERROR(__xludf.DUMMYFUNCTION("""COMPUTED_VALUE"""),"1744769283513")</f>
        <v>1744769283513</v>
      </c>
    </row>
    <row r="3892" spans="1:11" ht="12.45">
      <c r="A3892" s="2" t="str">
        <f ca="1">IFERROR(__xludf.DUMMYFUNCTION("""COMPUTED_VALUE"""),"1739285519632")</f>
        <v>1739285519632</v>
      </c>
      <c r="B3892" s="2"/>
      <c r="C3892" s="2" t="str">
        <v>0</v>
      </c>
      <c r="D3892" s="2"/>
      <c r="F3892" s="2" t="str">
        <v>0</v>
      </c>
      <c r="I3892" s="3" t="str">
        <f ca="1">IFERROR(__xludf.DUMMYFUNCTION("""COMPUTED_VALUE"""),"Dương Thanh Huyền")</f>
        <v>Dương Thanh Huyền</v>
      </c>
      <c r="J3892" s="3" t="str">
        <f ca="1">IFERROR(__xludf.DUMMYFUNCTION("""COMPUTED_VALUE"""),"0343278471")</f>
        <v>0343278471</v>
      </c>
      <c r="K3892" s="2" t="str">
        <f ca="1">IFERROR(__xludf.DUMMYFUNCTION("""COMPUTED_VALUE"""),"1739285519632")</f>
        <v>1739285519632</v>
      </c>
    </row>
    <row r="3893" spans="1:11" ht="12.45">
      <c r="A3893" s="2" t="str">
        <f ca="1">IFERROR(__xludf.DUMMYFUNCTION("""COMPUTED_VALUE"""),"1739285554832")</f>
        <v>1739285554832</v>
      </c>
      <c r="B3893" s="2"/>
      <c r="C3893" s="2" t="str">
        <v>0</v>
      </c>
      <c r="D3893" s="2"/>
      <c r="F3893" s="2" t="str">
        <v>0</v>
      </c>
      <c r="I3893" s="3" t="str">
        <f ca="1">IFERROR(__xludf.DUMMYFUNCTION("""COMPUTED_VALUE"""),"Đoàn Thị Tố Linh ")</f>
        <v xml:space="preserve">Đoàn Thị Tố Linh </v>
      </c>
      <c r="J3893" s="3" t="str">
        <f ca="1">IFERROR(__xludf.DUMMYFUNCTION("""COMPUTED_VALUE"""),"0965258858")</f>
        <v>0965258858</v>
      </c>
      <c r="K3893" s="2" t="str">
        <f ca="1">IFERROR(__xludf.DUMMYFUNCTION("""COMPUTED_VALUE"""),"1739285554832")</f>
        <v>1739285554832</v>
      </c>
    </row>
    <row r="3894" spans="1:11" ht="12.45">
      <c r="A3894" s="2" t="str">
        <f ca="1">IFERROR(__xludf.DUMMYFUNCTION("""COMPUTED_VALUE"""),"1739285587557")</f>
        <v>1739285587557</v>
      </c>
      <c r="B3894" s="2"/>
      <c r="C3894" s="2" t="str">
        <v>0</v>
      </c>
      <c r="D3894" s="2"/>
      <c r="F3894" s="2" t="str">
        <v>0</v>
      </c>
      <c r="I3894" s="3" t="str">
        <f ca="1">IFERROR(__xludf.DUMMYFUNCTION("""COMPUTED_VALUE"""),"Nguyễn Phương Dung")</f>
        <v>Nguyễn Phương Dung</v>
      </c>
      <c r="J3894" s="2" t="str">
        <f ca="1">IFERROR(__xludf.DUMMYFUNCTION("""COMPUTED_VALUE"""),"0815890509")</f>
        <v>0815890509</v>
      </c>
      <c r="K3894" s="2" t="str">
        <f ca="1">IFERROR(__xludf.DUMMYFUNCTION("""COMPUTED_VALUE"""),"1739285587557")</f>
        <v>1739285587557</v>
      </c>
    </row>
    <row r="3895" spans="1:11" ht="12.45">
      <c r="A3895" s="2" t="str">
        <f ca="1">IFERROR(__xludf.DUMMYFUNCTION("""COMPUTED_VALUE"""),"1744769317975")</f>
        <v>1744769317975</v>
      </c>
      <c r="B3895" s="2"/>
      <c r="C3895" s="2" t="str">
        <v>0</v>
      </c>
      <c r="D3895" s="2"/>
      <c r="F3895" s="2" t="str">
        <v>0</v>
      </c>
      <c r="I3895" s="3" t="str">
        <f ca="1">IFERROR(__xludf.DUMMYFUNCTION("""COMPUTED_VALUE"""),"phạm trương thanh hải ")</f>
        <v xml:space="preserve">phạm trương thanh hải </v>
      </c>
      <c r="J3895" s="3" t="str">
        <f ca="1">IFERROR(__xludf.DUMMYFUNCTION("""COMPUTED_VALUE"""),"0886530777")</f>
        <v>0886530777</v>
      </c>
      <c r="K3895" s="2" t="str">
        <f ca="1">IFERROR(__xludf.DUMMYFUNCTION("""COMPUTED_VALUE"""),"1744769317975")</f>
        <v>1744769317975</v>
      </c>
    </row>
    <row r="3896" spans="1:11" ht="12.45">
      <c r="A3896" s="2" t="str">
        <f ca="1">IFERROR(__xludf.DUMMYFUNCTION("""COMPUTED_VALUE"""),"1739285618942")</f>
        <v>1739285618942</v>
      </c>
      <c r="B3896" s="2"/>
      <c r="C3896" s="2" t="str">
        <v>0</v>
      </c>
      <c r="D3896" s="2"/>
      <c r="F3896" s="2" t="str">
        <v>0</v>
      </c>
      <c r="I3896" s="3" t="str">
        <f ca="1">IFERROR(__xludf.DUMMYFUNCTION("""COMPUTED_VALUE"""),"Đặng Phương Thảo")</f>
        <v>Đặng Phương Thảo</v>
      </c>
      <c r="J3896" s="3" t="str">
        <f ca="1">IFERROR(__xludf.DUMMYFUNCTION("""COMPUTED_VALUE"""),"0978502838")</f>
        <v>0978502838</v>
      </c>
      <c r="K3896" s="2" t="str">
        <f ca="1">IFERROR(__xludf.DUMMYFUNCTION("""COMPUTED_VALUE"""),"1739285618942")</f>
        <v>1739285618942</v>
      </c>
    </row>
    <row r="3897" spans="1:11" ht="12.45">
      <c r="A3897" s="2" t="str">
        <f ca="1">IFERROR(__xludf.DUMMYFUNCTION("""COMPUTED_VALUE"""),"1739285643698")</f>
        <v>1739285643698</v>
      </c>
      <c r="B3897" s="2"/>
      <c r="C3897" s="2" t="str">
        <v>0</v>
      </c>
      <c r="D3897" s="2"/>
      <c r="F3897" s="2" t="str">
        <v>0</v>
      </c>
      <c r="I3897" s="3" t="str">
        <f ca="1">IFERROR(__xludf.DUMMYFUNCTION("""COMPUTED_VALUE"""),"Nguyễn Quỳnh Chi ")</f>
        <v xml:space="preserve">Nguyễn Quỳnh Chi </v>
      </c>
      <c r="J3897" s="3" t="str">
        <f ca="1">IFERROR(__xludf.DUMMYFUNCTION("""COMPUTED_VALUE"""),"0336882195")</f>
        <v>0336882195</v>
      </c>
      <c r="K3897" s="2" t="str">
        <f ca="1">IFERROR(__xludf.DUMMYFUNCTION("""COMPUTED_VALUE"""),"1739285643698")</f>
        <v>1739285643698</v>
      </c>
    </row>
    <row r="3898" spans="1:11" ht="12.45">
      <c r="A3898" s="2" t="str">
        <f ca="1">IFERROR(__xludf.DUMMYFUNCTION("""COMPUTED_VALUE"""),"1739285668664")</f>
        <v>1739285668664</v>
      </c>
      <c r="B3898" s="2"/>
      <c r="C3898" s="2" t="str">
        <v>0</v>
      </c>
      <c r="D3898" s="2"/>
      <c r="F3898" s="2" t="str">
        <v>0</v>
      </c>
      <c r="I3898" s="3" t="str">
        <f ca="1">IFERROR(__xludf.DUMMYFUNCTION("""COMPUTED_VALUE"""),"Khuất Khánh Linh")</f>
        <v>Khuất Khánh Linh</v>
      </c>
      <c r="J3898" s="3" t="str">
        <f ca="1">IFERROR(__xludf.DUMMYFUNCTION("""COMPUTED_VALUE"""),"0375073648")</f>
        <v>0375073648</v>
      </c>
      <c r="K3898" s="2" t="str">
        <f ca="1">IFERROR(__xludf.DUMMYFUNCTION("""COMPUTED_VALUE"""),"1739285668664")</f>
        <v>1739285668664</v>
      </c>
    </row>
    <row r="3899" spans="1:11" ht="12.45">
      <c r="A3899" s="2" t="str">
        <f ca="1">IFERROR(__xludf.DUMMYFUNCTION("""COMPUTED_VALUE"""),"1739285707699")</f>
        <v>1739285707699</v>
      </c>
      <c r="B3899" s="2"/>
      <c r="C3899" s="2" t="str">
        <v>0</v>
      </c>
      <c r="D3899" s="2"/>
      <c r="F3899" s="2" t="str">
        <v>0</v>
      </c>
      <c r="I3899" s="3" t="str">
        <f ca="1">IFERROR(__xludf.DUMMYFUNCTION("""COMPUTED_VALUE"""),"Nguyễn Thanh Trúc")</f>
        <v>Nguyễn Thanh Trúc</v>
      </c>
      <c r="J3899" s="3" t="str">
        <f ca="1">IFERROR(__xludf.DUMMYFUNCTION("""COMPUTED_VALUE"""),"0862562220")</f>
        <v>0862562220</v>
      </c>
      <c r="K3899" s="2" t="str">
        <f ca="1">IFERROR(__xludf.DUMMYFUNCTION("""COMPUTED_VALUE"""),"1739285707699")</f>
        <v>1739285707699</v>
      </c>
    </row>
    <row r="3900" spans="1:11" ht="12.45">
      <c r="A3900" s="2" t="str">
        <f ca="1">IFERROR(__xludf.DUMMYFUNCTION("""COMPUTED_VALUE"""),"1739285748677")</f>
        <v>1739285748677</v>
      </c>
      <c r="B3900" s="2"/>
      <c r="C3900" s="2" t="str">
        <v>0</v>
      </c>
      <c r="D3900" s="2"/>
      <c r="F3900" s="2" t="str">
        <v>0</v>
      </c>
      <c r="I3900" s="3" t="str">
        <f ca="1">IFERROR(__xludf.DUMMYFUNCTION("""COMPUTED_VALUE"""),"Trần Thị Mỹ Hạnh")</f>
        <v>Trần Thị Mỹ Hạnh</v>
      </c>
      <c r="J3900" s="3" t="str">
        <f ca="1">IFERROR(__xludf.DUMMYFUNCTION("""COMPUTED_VALUE"""),"0868275133")</f>
        <v>0868275133</v>
      </c>
      <c r="K3900" s="2" t="str">
        <f ca="1">IFERROR(__xludf.DUMMYFUNCTION("""COMPUTED_VALUE"""),"1739285748677")</f>
        <v>1739285748677</v>
      </c>
    </row>
    <row r="3901" spans="1:11" ht="12.45">
      <c r="A3901" s="2" t="str">
        <f ca="1">IFERROR(__xludf.DUMMYFUNCTION("""COMPUTED_VALUE"""),"1739285782652")</f>
        <v>1739285782652</v>
      </c>
      <c r="B3901" s="2"/>
      <c r="C3901" s="2" t="str">
        <v>0</v>
      </c>
      <c r="D3901" s="2"/>
      <c r="F3901" s="2" t="str">
        <v>0</v>
      </c>
      <c r="I3901" s="3" t="str">
        <f ca="1">IFERROR(__xludf.DUMMYFUNCTION("""COMPUTED_VALUE"""),"Nguyễn Thùy Dương")</f>
        <v>Nguyễn Thùy Dương</v>
      </c>
      <c r="J3901" s="3" t="str">
        <f ca="1">IFERROR(__xludf.DUMMYFUNCTION("""COMPUTED_VALUE"""),"0328631288")</f>
        <v>0328631288</v>
      </c>
      <c r="K3901" s="2" t="str">
        <f ca="1">IFERROR(__xludf.DUMMYFUNCTION("""COMPUTED_VALUE"""),"1739285782652")</f>
        <v>1739285782652</v>
      </c>
    </row>
    <row r="3902" spans="1:11" ht="12.45">
      <c r="A3902" s="2" t="str">
        <f ca="1">IFERROR(__xludf.DUMMYFUNCTION("""COMPUTED_VALUE"""),"1739285490423")</f>
        <v>1739285490423</v>
      </c>
      <c r="B3902" s="2"/>
      <c r="C3902" s="2" t="str">
        <v>0</v>
      </c>
      <c r="D3902" s="2"/>
      <c r="F3902" s="2" t="str">
        <v>0</v>
      </c>
      <c r="I3902" s="3" t="str">
        <f ca="1">IFERROR(__xludf.DUMMYFUNCTION("""COMPUTED_VALUE"""),"Nguyễn Thị Mai Anh")</f>
        <v>Nguyễn Thị Mai Anh</v>
      </c>
      <c r="J3902" s="3" t="str">
        <f ca="1">IFERROR(__xludf.DUMMYFUNCTION("""COMPUTED_VALUE"""),"0965542761")</f>
        <v>0965542761</v>
      </c>
      <c r="K3902" s="2" t="str">
        <f ca="1">IFERROR(__xludf.DUMMYFUNCTION("""COMPUTED_VALUE"""),"1739285490423")</f>
        <v>1739285490423</v>
      </c>
    </row>
    <row r="3903" spans="1:11" ht="12.45">
      <c r="A3903" s="2" t="str">
        <f ca="1">IFERROR(__xludf.DUMMYFUNCTION("""COMPUTED_VALUE"""),"1739547078591")</f>
        <v>1739547078591</v>
      </c>
      <c r="B3903" s="2"/>
      <c r="C3903" s="2" t="str">
        <v>0</v>
      </c>
      <c r="D3903" s="2"/>
      <c r="F3903" s="2" t="str">
        <v>0</v>
      </c>
      <c r="I3903" s="3" t="str">
        <f ca="1">IFERROR(__xludf.DUMMYFUNCTION("""COMPUTED_VALUE"""),"Lê Vũ Thanh Quang")</f>
        <v>Lê Vũ Thanh Quang</v>
      </c>
      <c r="J3903" s="3" t="str">
        <f ca="1">IFERROR(__xludf.DUMMYFUNCTION("""COMPUTED_VALUE"""),"0867227911")</f>
        <v>0867227911</v>
      </c>
      <c r="K3903" s="2" t="str">
        <f ca="1">IFERROR(__xludf.DUMMYFUNCTION("""COMPUTED_VALUE"""),"1739547078591")</f>
        <v>1739547078591</v>
      </c>
    </row>
    <row r="3904" spans="1:11" ht="12.45">
      <c r="A3904" s="2" t="str">
        <f ca="1">IFERROR(__xludf.DUMMYFUNCTION("""COMPUTED_VALUE"""),"1739547136674")</f>
        <v>1739547136674</v>
      </c>
      <c r="B3904" s="2"/>
      <c r="C3904" s="2" t="str">
        <v>0</v>
      </c>
      <c r="D3904" s="2"/>
      <c r="F3904" s="2" t="str">
        <v>0</v>
      </c>
      <c r="I3904" s="3" t="str">
        <f ca="1">IFERROR(__xludf.DUMMYFUNCTION("""COMPUTED_VALUE"""),"Trần Mạnh Tuấn")</f>
        <v>Trần Mạnh Tuấn</v>
      </c>
      <c r="J3904" s="3" t="str">
        <f ca="1">IFERROR(__xludf.DUMMYFUNCTION("""COMPUTED_VALUE"""),"0869123659")</f>
        <v>0869123659</v>
      </c>
      <c r="K3904" s="2" t="str">
        <f ca="1">IFERROR(__xludf.DUMMYFUNCTION("""COMPUTED_VALUE"""),"1739547136674")</f>
        <v>1739547136674</v>
      </c>
    </row>
    <row r="3905" spans="1:11" ht="12.45">
      <c r="A3905" s="2" t="str">
        <f ca="1">IFERROR(__xludf.DUMMYFUNCTION("""COMPUTED_VALUE"""),"1739547187285")</f>
        <v>1739547187285</v>
      </c>
      <c r="B3905" s="2"/>
      <c r="C3905" s="2" t="str">
        <v>0</v>
      </c>
      <c r="D3905" s="2"/>
      <c r="F3905" s="2" t="str">
        <v>0</v>
      </c>
      <c r="I3905" s="3" t="str">
        <f ca="1">IFERROR(__xludf.DUMMYFUNCTION("""COMPUTED_VALUE"""),"Đinh Thị Thu Hồng ")</f>
        <v xml:space="preserve">Đinh Thị Thu Hồng </v>
      </c>
      <c r="J3905" s="3" t="str">
        <f ca="1">IFERROR(__xludf.DUMMYFUNCTION("""COMPUTED_VALUE"""),"0963618512")</f>
        <v>0963618512</v>
      </c>
      <c r="K3905" s="2" t="str">
        <f ca="1">IFERROR(__xludf.DUMMYFUNCTION("""COMPUTED_VALUE"""),"1739547187285")</f>
        <v>1739547187285</v>
      </c>
    </row>
    <row r="3906" spans="1:11" ht="12.45">
      <c r="A3906" s="2" t="str">
        <f ca="1">IFERROR(__xludf.DUMMYFUNCTION("""COMPUTED_VALUE"""),"1739547232735")</f>
        <v>1739547232735</v>
      </c>
      <c r="B3906" s="2"/>
      <c r="C3906" s="2" t="str">
        <v>0</v>
      </c>
      <c r="D3906" s="2"/>
      <c r="F3906" s="2" t="str">
        <v>0</v>
      </c>
      <c r="I3906" s="3" t="str">
        <f ca="1">IFERROR(__xludf.DUMMYFUNCTION("""COMPUTED_VALUE"""),"Bạch Tường Vy")</f>
        <v>Bạch Tường Vy</v>
      </c>
      <c r="J3906" s="3" t="str">
        <f ca="1">IFERROR(__xludf.DUMMYFUNCTION("""COMPUTED_VALUE"""),"0372797884")</f>
        <v>0372797884</v>
      </c>
      <c r="K3906" s="2" t="str">
        <f ca="1">IFERROR(__xludf.DUMMYFUNCTION("""COMPUTED_VALUE"""),"1739547232735")</f>
        <v>1739547232735</v>
      </c>
    </row>
    <row r="3907" spans="1:11" ht="12.45">
      <c r="A3907" s="2" t="str">
        <f ca="1">IFERROR(__xludf.DUMMYFUNCTION("""COMPUTED_VALUE"""),"1739547271527")</f>
        <v>1739547271527</v>
      </c>
      <c r="B3907" s="2"/>
      <c r="C3907" s="2" t="str">
        <v>0</v>
      </c>
      <c r="D3907" s="2"/>
      <c r="F3907" s="2" t="str">
        <v>0</v>
      </c>
      <c r="I3907" s="3" t="str">
        <f ca="1">IFERROR(__xludf.DUMMYFUNCTION("""COMPUTED_VALUE"""),"Đỗ Minh Thái ")</f>
        <v xml:space="preserve">Đỗ Minh Thái </v>
      </c>
      <c r="J3907" s="3" t="str">
        <f ca="1">IFERROR(__xludf.DUMMYFUNCTION("""COMPUTED_VALUE"""),"0388163585")</f>
        <v>0388163585</v>
      </c>
      <c r="K3907" s="2" t="str">
        <f ca="1">IFERROR(__xludf.DUMMYFUNCTION("""COMPUTED_VALUE"""),"1739547271527")</f>
        <v>1739547271527</v>
      </c>
    </row>
    <row r="3908" spans="1:11" ht="12.45">
      <c r="A3908" s="2" t="str">
        <f ca="1">IFERROR(__xludf.DUMMYFUNCTION("""COMPUTED_VALUE"""),"1744769344703")</f>
        <v>1744769344703</v>
      </c>
      <c r="B3908" s="2"/>
      <c r="C3908" s="2" t="str">
        <v>0</v>
      </c>
      <c r="D3908" s="2"/>
      <c r="F3908" s="2" t="str">
        <v>0</v>
      </c>
      <c r="I3908" s="3" t="str">
        <f ca="1">IFERROR(__xludf.DUMMYFUNCTION("""COMPUTED_VALUE"""),"Kim Ngọc Khả Ái")</f>
        <v>Kim Ngọc Khả Ái</v>
      </c>
      <c r="J3908" s="3" t="str">
        <f ca="1">IFERROR(__xludf.DUMMYFUNCTION("""COMPUTED_VALUE"""),"0976280307")</f>
        <v>0976280307</v>
      </c>
      <c r="K3908" s="2" t="str">
        <f ca="1">IFERROR(__xludf.DUMMYFUNCTION("""COMPUTED_VALUE"""),"1744769344703")</f>
        <v>1744769344703</v>
      </c>
    </row>
    <row r="3909" spans="1:11" ht="12.45">
      <c r="A3909" s="2" t="str">
        <f ca="1">IFERROR(__xludf.DUMMYFUNCTION("""COMPUTED_VALUE"""),"1739547302037")</f>
        <v>1739547302037</v>
      </c>
      <c r="B3909" s="2"/>
      <c r="C3909" s="2" t="str">
        <v>0</v>
      </c>
      <c r="D3909" s="2"/>
      <c r="F3909" s="2" t="str">
        <v>0</v>
      </c>
      <c r="I3909" s="3" t="str">
        <f ca="1">IFERROR(__xludf.DUMMYFUNCTION("""COMPUTED_VALUE"""),"Châu Thị Ngọc Thảo")</f>
        <v>Châu Thị Ngọc Thảo</v>
      </c>
      <c r="J3909" s="3" t="str">
        <f ca="1">IFERROR(__xludf.DUMMYFUNCTION("""COMPUTED_VALUE"""),"0359460141")</f>
        <v>0359460141</v>
      </c>
      <c r="K3909" s="2" t="str">
        <f ca="1">IFERROR(__xludf.DUMMYFUNCTION("""COMPUTED_VALUE"""),"1739547302037")</f>
        <v>1739547302037</v>
      </c>
    </row>
    <row r="3910" spans="1:11" ht="12.45">
      <c r="A3910" s="2" t="str">
        <f ca="1">IFERROR(__xludf.DUMMYFUNCTION("""COMPUTED_VALUE"""),"1739547331419")</f>
        <v>1739547331419</v>
      </c>
      <c r="B3910" s="2"/>
      <c r="C3910" s="2" t="str">
        <v>0</v>
      </c>
      <c r="D3910" s="2"/>
      <c r="F3910" s="2" t="str">
        <v>0</v>
      </c>
      <c r="I3910" s="3" t="str">
        <f ca="1">IFERROR(__xludf.DUMMYFUNCTION("""COMPUTED_VALUE"""),"Trần Minh Châu")</f>
        <v>Trần Minh Châu</v>
      </c>
      <c r="J3910" s="3" t="str">
        <f ca="1">IFERROR(__xludf.DUMMYFUNCTION("""COMPUTED_VALUE"""),"0936205246")</f>
        <v>0936205246</v>
      </c>
      <c r="K3910" s="2" t="str">
        <f ca="1">IFERROR(__xludf.DUMMYFUNCTION("""COMPUTED_VALUE"""),"1739547331419")</f>
        <v>1739547331419</v>
      </c>
    </row>
    <row r="3911" spans="1:11" ht="12.45">
      <c r="A3911" s="2" t="str">
        <f ca="1">IFERROR(__xludf.DUMMYFUNCTION("""COMPUTED_VALUE"""),"1739547354732")</f>
        <v>1739547354732</v>
      </c>
      <c r="B3911" s="2"/>
      <c r="C3911" s="2" t="str">
        <v>0</v>
      </c>
      <c r="D3911" s="2"/>
      <c r="F3911" s="2" t="str">
        <v>0</v>
      </c>
      <c r="I3911" s="3" t="str">
        <f ca="1">IFERROR(__xludf.DUMMYFUNCTION("""COMPUTED_VALUE"""),"Lê Thị Minh Anh")</f>
        <v>Lê Thị Minh Anh</v>
      </c>
      <c r="J3911" s="3" t="str">
        <f ca="1">IFERROR(__xludf.DUMMYFUNCTION("""COMPUTED_VALUE"""),"0355499429")</f>
        <v>0355499429</v>
      </c>
      <c r="K3911" s="2" t="str">
        <f ca="1">IFERROR(__xludf.DUMMYFUNCTION("""COMPUTED_VALUE"""),"1739547354732")</f>
        <v>1739547354732</v>
      </c>
    </row>
    <row r="3912" spans="1:11" ht="12.45">
      <c r="A3912" s="2" t="str">
        <f ca="1">IFERROR(__xludf.DUMMYFUNCTION("""COMPUTED_VALUE"""),"1744769378276")</f>
        <v>1744769378276</v>
      </c>
      <c r="B3912" s="2"/>
      <c r="C3912" s="2" t="str">
        <v>0</v>
      </c>
      <c r="D3912" s="2"/>
      <c r="F3912" s="2" t="str">
        <v>0</v>
      </c>
      <c r="I3912" s="3" t="str">
        <f ca="1">IFERROR(__xludf.DUMMYFUNCTION("""COMPUTED_VALUE"""),"LÊ NGUYỄN KHÁNH VY")</f>
        <v>LÊ NGUYỄN KHÁNH VY</v>
      </c>
      <c r="J3912" s="3" t="str">
        <f ca="1">IFERROR(__xludf.DUMMYFUNCTION("""COMPUTED_VALUE"""),"0946528248")</f>
        <v>0946528248</v>
      </c>
      <c r="K3912" s="2" t="str">
        <f ca="1">IFERROR(__xludf.DUMMYFUNCTION("""COMPUTED_VALUE"""),"1744769378276")</f>
        <v>1744769378276</v>
      </c>
    </row>
    <row r="3913" spans="1:11" ht="12.45">
      <c r="A3913" s="2" t="str">
        <f ca="1">IFERROR(__xludf.DUMMYFUNCTION("""COMPUTED_VALUE"""),"1739547389027")</f>
        <v>1739547389027</v>
      </c>
      <c r="B3913" s="2"/>
      <c r="C3913" s="2" t="str">
        <v>0</v>
      </c>
      <c r="D3913" s="2"/>
      <c r="F3913" s="2" t="str">
        <v>0</v>
      </c>
      <c r="I3913" s="3" t="str">
        <f ca="1">IFERROR(__xludf.DUMMYFUNCTION("""COMPUTED_VALUE"""),"Ngô Nguyễn Bảo Ngọc")</f>
        <v>Ngô Nguyễn Bảo Ngọc</v>
      </c>
      <c r="J3913" s="3" t="str">
        <f ca="1">IFERROR(__xludf.DUMMYFUNCTION("""COMPUTED_VALUE"""),"0565895585")</f>
        <v>0565895585</v>
      </c>
      <c r="K3913" s="2" t="str">
        <f ca="1">IFERROR(__xludf.DUMMYFUNCTION("""COMPUTED_VALUE"""),"1739547389027")</f>
        <v>1739547389027</v>
      </c>
    </row>
    <row r="3914" spans="1:11" ht="12.45">
      <c r="A3914" s="2" t="str">
        <f ca="1">IFERROR(__xludf.DUMMYFUNCTION("""COMPUTED_VALUE"""),"1739547418467")</f>
        <v>1739547418467</v>
      </c>
      <c r="B3914" s="2"/>
      <c r="C3914" s="2" t="str">
        <v>0</v>
      </c>
      <c r="D3914" s="2"/>
      <c r="F3914" s="2" t="str">
        <v>0</v>
      </c>
      <c r="I3914" s="3" t="str">
        <f ca="1">IFERROR(__xludf.DUMMYFUNCTION("""COMPUTED_VALUE"""),"Nguyễn Phùng Song Xinh")</f>
        <v>Nguyễn Phùng Song Xinh</v>
      </c>
      <c r="J3914" s="3" t="str">
        <f ca="1">IFERROR(__xludf.DUMMYFUNCTION("""COMPUTED_VALUE"""),"0337921525")</f>
        <v>0337921525</v>
      </c>
      <c r="K3914" s="2" t="str">
        <f ca="1">IFERROR(__xludf.DUMMYFUNCTION("""COMPUTED_VALUE"""),"1739547418467")</f>
        <v>1739547418467</v>
      </c>
    </row>
    <row r="3915" spans="1:11" ht="12.45">
      <c r="A3915" s="2" t="str">
        <f ca="1">IFERROR(__xludf.DUMMYFUNCTION("""COMPUTED_VALUE"""),"1739547446261")</f>
        <v>1739547446261</v>
      </c>
      <c r="B3915" s="2"/>
      <c r="C3915" s="2" t="str">
        <v>0</v>
      </c>
      <c r="D3915" s="2"/>
      <c r="F3915" s="2" t="str">
        <v>0</v>
      </c>
      <c r="I3915" s="3" t="str">
        <f ca="1">IFERROR(__xludf.DUMMYFUNCTION("""COMPUTED_VALUE"""),"Nguyễn Trà My")</f>
        <v>Nguyễn Trà My</v>
      </c>
      <c r="J3915" s="3" t="str">
        <f ca="1">IFERROR(__xludf.DUMMYFUNCTION("""COMPUTED_VALUE"""),"0968974948")</f>
        <v>0968974948</v>
      </c>
      <c r="K3915" s="2" t="str">
        <f ca="1">IFERROR(__xludf.DUMMYFUNCTION("""COMPUTED_VALUE"""),"1739547446261")</f>
        <v>1739547446261</v>
      </c>
    </row>
    <row r="3916" spans="1:11" ht="12.45">
      <c r="A3916" s="2" t="str">
        <f ca="1">IFERROR(__xludf.DUMMYFUNCTION("""COMPUTED_VALUE"""),"1739547478870")</f>
        <v>1739547478870</v>
      </c>
      <c r="B3916" s="2"/>
      <c r="C3916" s="2" t="str">
        <v>0</v>
      </c>
      <c r="D3916" s="2"/>
      <c r="F3916" s="2" t="str">
        <v>0</v>
      </c>
      <c r="I3916" s="3" t="str">
        <f ca="1">IFERROR(__xludf.DUMMYFUNCTION("""COMPUTED_VALUE"""),"Trịnh Minh Ngọc")</f>
        <v>Trịnh Minh Ngọc</v>
      </c>
      <c r="J3916" s="3" t="str">
        <f ca="1">IFERROR(__xludf.DUMMYFUNCTION("""COMPUTED_VALUE"""),"0396675499")</f>
        <v>0396675499</v>
      </c>
      <c r="K3916" s="2" t="str">
        <f ca="1">IFERROR(__xludf.DUMMYFUNCTION("""COMPUTED_VALUE"""),"1739547478870")</f>
        <v>1739547478870</v>
      </c>
    </row>
    <row r="3917" spans="1:11" ht="12.45">
      <c r="A3917" s="2" t="str">
        <f ca="1">IFERROR(__xludf.DUMMYFUNCTION("""COMPUTED_VALUE"""),"1744769426443")</f>
        <v>1744769426443</v>
      </c>
      <c r="B3917" s="2"/>
      <c r="C3917" s="2" t="str">
        <v>0</v>
      </c>
      <c r="D3917" s="2"/>
      <c r="F3917" s="2" t="str">
        <v>0</v>
      </c>
      <c r="I3917" s="3" t="str">
        <f ca="1">IFERROR(__xludf.DUMMYFUNCTION("""COMPUTED_VALUE"""),"Vũ Hà Trang")</f>
        <v>Vũ Hà Trang</v>
      </c>
      <c r="J3917" s="3" t="str">
        <f ca="1">IFERROR(__xludf.DUMMYFUNCTION("""COMPUTED_VALUE"""),"0816100807")</f>
        <v>0816100807</v>
      </c>
      <c r="K3917" s="2" t="str">
        <f ca="1">IFERROR(__xludf.DUMMYFUNCTION("""COMPUTED_VALUE"""),"1744769426443")</f>
        <v>1744769426443</v>
      </c>
    </row>
    <row r="3918" spans="1:11" ht="12.45">
      <c r="A3918" s="2" t="str">
        <f ca="1">IFERROR(__xludf.DUMMYFUNCTION("""COMPUTED_VALUE"""),"1744769455175")</f>
        <v>1744769455175</v>
      </c>
      <c r="B3918" s="2"/>
      <c r="C3918" s="2" t="str">
        <v>0</v>
      </c>
      <c r="D3918" s="2"/>
      <c r="F3918" s="2" t="str">
        <v>0</v>
      </c>
      <c r="I3918" s="3" t="str">
        <f ca="1">IFERROR(__xludf.DUMMYFUNCTION("""COMPUTED_VALUE"""),"Lương Trần Thùy Linh ")</f>
        <v xml:space="preserve">Lương Trần Thùy Linh </v>
      </c>
      <c r="J3918" s="3" t="str">
        <f ca="1">IFERROR(__xludf.DUMMYFUNCTION("""COMPUTED_VALUE"""),"0372852168")</f>
        <v>0372852168</v>
      </c>
      <c r="K3918" s="2" t="str">
        <f ca="1">IFERROR(__xludf.DUMMYFUNCTION("""COMPUTED_VALUE"""),"1744769455175")</f>
        <v>1744769455175</v>
      </c>
    </row>
    <row r="3919" spans="1:11" ht="12.45">
      <c r="A3919" s="2" t="str">
        <f ca="1">IFERROR(__xludf.DUMMYFUNCTION("""COMPUTED_VALUE"""),"1739547508058")</f>
        <v>1739547508058</v>
      </c>
      <c r="B3919" s="2"/>
      <c r="C3919" s="2" t="str">
        <v>0</v>
      </c>
      <c r="D3919" s="2"/>
      <c r="F3919" s="2" t="str">
        <v>0</v>
      </c>
      <c r="I3919" s="3" t="str">
        <f ca="1">IFERROR(__xludf.DUMMYFUNCTION("""COMPUTED_VALUE"""),"Nguyễn Thị Ngọc Lan ")</f>
        <v xml:space="preserve">Nguyễn Thị Ngọc Lan </v>
      </c>
      <c r="J3919" s="3" t="str">
        <f ca="1">IFERROR(__xludf.DUMMYFUNCTION("""COMPUTED_VALUE"""),"0347712615")</f>
        <v>0347712615</v>
      </c>
      <c r="K3919" s="2" t="str">
        <f ca="1">IFERROR(__xludf.DUMMYFUNCTION("""COMPUTED_VALUE"""),"1739547508058")</f>
        <v>1739547508058</v>
      </c>
    </row>
    <row r="3920" spans="1:11" ht="12.45">
      <c r="A3920" s="2" t="str">
        <f ca="1">IFERROR(__xludf.DUMMYFUNCTION("""COMPUTED_VALUE"""),"1739547537967")</f>
        <v>1739547537967</v>
      </c>
      <c r="B3920" s="2"/>
      <c r="C3920" s="2" t="str">
        <v>0</v>
      </c>
      <c r="D3920" s="2"/>
      <c r="F3920" s="2" t="str">
        <v>0</v>
      </c>
      <c r="I3920" s="3" t="str">
        <f ca="1">IFERROR(__xludf.DUMMYFUNCTION("""COMPUTED_VALUE"""),"Nguyễn Duy Việt Thuỷ")</f>
        <v>Nguyễn Duy Việt Thuỷ</v>
      </c>
      <c r="J3920" s="3" t="str">
        <f ca="1">IFERROR(__xludf.DUMMYFUNCTION("""COMPUTED_VALUE"""),"0354169378")</f>
        <v>0354169378</v>
      </c>
      <c r="K3920" s="2" t="str">
        <f ca="1">IFERROR(__xludf.DUMMYFUNCTION("""COMPUTED_VALUE"""),"1739547537967")</f>
        <v>1739547537967</v>
      </c>
    </row>
    <row r="3921" spans="1:11" ht="12.45">
      <c r="A3921" s="2" t="str">
        <f ca="1">IFERROR(__xludf.DUMMYFUNCTION("""COMPUTED_VALUE"""),"1739547562580")</f>
        <v>1739547562580</v>
      </c>
      <c r="B3921" s="2"/>
      <c r="C3921" s="2" t="str">
        <v>0</v>
      </c>
      <c r="D3921" s="2"/>
      <c r="F3921" s="2" t="str">
        <v>0</v>
      </c>
      <c r="I3921" s="3" t="str">
        <f ca="1">IFERROR(__xludf.DUMMYFUNCTION("""COMPUTED_VALUE"""),"Lê Thị Anh Thư")</f>
        <v>Lê Thị Anh Thư</v>
      </c>
      <c r="J3921" s="3" t="str">
        <f ca="1">IFERROR(__xludf.DUMMYFUNCTION("""COMPUTED_VALUE"""),"0329871807")</f>
        <v>0329871807</v>
      </c>
      <c r="K3921" s="2" t="str">
        <f ca="1">IFERROR(__xludf.DUMMYFUNCTION("""COMPUTED_VALUE"""),"1739547562580")</f>
        <v>1739547562580</v>
      </c>
    </row>
    <row r="3922" spans="1:11" ht="12.45">
      <c r="A3922" s="2" t="str">
        <f ca="1">IFERROR(__xludf.DUMMYFUNCTION("""COMPUTED_VALUE"""),"1739547602581")</f>
        <v>1739547602581</v>
      </c>
      <c r="B3922" s="2"/>
      <c r="C3922" s="2" t="str">
        <v>0</v>
      </c>
      <c r="D3922" s="2"/>
      <c r="F3922" s="2" t="str">
        <v>0</v>
      </c>
      <c r="I3922" s="3" t="str">
        <f ca="1">IFERROR(__xludf.DUMMYFUNCTION("""COMPUTED_VALUE"""),"Nguyễn Ngọc Trúc Lam")</f>
        <v>Nguyễn Ngọc Trúc Lam</v>
      </c>
      <c r="J3922" s="3" t="str">
        <f ca="1">IFERROR(__xludf.DUMMYFUNCTION("""COMPUTED_VALUE"""),"0384413677")</f>
        <v>0384413677</v>
      </c>
      <c r="K3922" s="2" t="str">
        <f ca="1">IFERROR(__xludf.DUMMYFUNCTION("""COMPUTED_VALUE"""),"1739547602581")</f>
        <v>1739547602581</v>
      </c>
    </row>
    <row r="3923" spans="1:11" ht="12.45">
      <c r="A3923" s="2" t="str">
        <f ca="1">IFERROR(__xludf.DUMMYFUNCTION("""COMPUTED_VALUE"""),"1739547631273")</f>
        <v>1739547631273</v>
      </c>
      <c r="B3923" s="2"/>
      <c r="C3923" s="2" t="str">
        <v>0</v>
      </c>
      <c r="D3923" s="2"/>
      <c r="F3923" s="2" t="str">
        <v>0</v>
      </c>
      <c r="I3923" s="3" t="str">
        <f ca="1">IFERROR(__xludf.DUMMYFUNCTION("""COMPUTED_VALUE"""),"Nguyễn Thị Vân Anh")</f>
        <v>Nguyễn Thị Vân Anh</v>
      </c>
      <c r="J3923" s="3" t="str">
        <f ca="1">IFERROR(__xludf.DUMMYFUNCTION("""COMPUTED_VALUE"""),"0388762035")</f>
        <v>0388762035</v>
      </c>
      <c r="K3923" s="2" t="str">
        <f ca="1">IFERROR(__xludf.DUMMYFUNCTION("""COMPUTED_VALUE"""),"1739547631273")</f>
        <v>1739547631273</v>
      </c>
    </row>
    <row r="3924" spans="1:11" ht="12.45">
      <c r="A3924" s="2" t="str">
        <f ca="1">IFERROR(__xludf.DUMMYFUNCTION("""COMPUTED_VALUE"""),"1739547663305")</f>
        <v>1739547663305</v>
      </c>
      <c r="B3924" s="2"/>
      <c r="C3924" s="2" t="str">
        <v>0</v>
      </c>
      <c r="D3924" s="2"/>
      <c r="F3924" s="2" t="str">
        <v>0</v>
      </c>
      <c r="I3924" s="3" t="str">
        <f ca="1">IFERROR(__xludf.DUMMYFUNCTION("""COMPUTED_VALUE"""),"Nguyễn Trần Thảo Vy")</f>
        <v>Nguyễn Trần Thảo Vy</v>
      </c>
      <c r="J3924" s="3" t="str">
        <f ca="1">IFERROR(__xludf.DUMMYFUNCTION("""COMPUTED_VALUE"""),"0968842527")</f>
        <v>0968842527</v>
      </c>
      <c r="K3924" s="2" t="str">
        <f ca="1">IFERROR(__xludf.DUMMYFUNCTION("""COMPUTED_VALUE"""),"1739547663305")</f>
        <v>1739547663305</v>
      </c>
    </row>
    <row r="3925" spans="1:11" ht="12.45">
      <c r="A3925" s="2" t="str">
        <f ca="1">IFERROR(__xludf.DUMMYFUNCTION("""COMPUTED_VALUE"""),"1744769479382")</f>
        <v>1744769479382</v>
      </c>
      <c r="B3925" s="2"/>
      <c r="C3925" s="2" t="str">
        <v>0</v>
      </c>
      <c r="D3925" s="2"/>
      <c r="F3925" s="2" t="str">
        <v>0</v>
      </c>
      <c r="I3925" s="3" t="str">
        <f ca="1">IFERROR(__xludf.DUMMYFUNCTION("""COMPUTED_VALUE"""),"Mai Yến Trang")</f>
        <v>Mai Yến Trang</v>
      </c>
      <c r="J3925" s="3" t="str">
        <f ca="1">IFERROR(__xludf.DUMMYFUNCTION("""COMPUTED_VALUE"""),"0968842528")</f>
        <v>0968842528</v>
      </c>
      <c r="K3925" s="2" t="str">
        <f ca="1">IFERROR(__xludf.DUMMYFUNCTION("""COMPUTED_VALUE"""),"1744769479382")</f>
        <v>1744769479382</v>
      </c>
    </row>
    <row r="3926" spans="1:11" ht="12.45">
      <c r="A3926" s="2" t="str">
        <f ca="1">IFERROR(__xludf.DUMMYFUNCTION("""COMPUTED_VALUE"""),"1739547691833")</f>
        <v>1739547691833</v>
      </c>
      <c r="B3926" s="2"/>
      <c r="C3926" s="2" t="str">
        <v>0</v>
      </c>
      <c r="D3926" s="2"/>
      <c r="F3926" s="2" t="str">
        <v>0</v>
      </c>
      <c r="I3926" s="3" t="str">
        <f ca="1">IFERROR(__xludf.DUMMYFUNCTION("""COMPUTED_VALUE""")," Trần Kim Ngân")</f>
        <v xml:space="preserve"> Trần Kim Ngân</v>
      </c>
      <c r="J3926" s="3" t="str">
        <f ca="1">IFERROR(__xludf.DUMMYFUNCTION("""COMPUTED_VALUE"""),"0947313215")</f>
        <v>0947313215</v>
      </c>
      <c r="K3926" s="2" t="str">
        <f ca="1">IFERROR(__xludf.DUMMYFUNCTION("""COMPUTED_VALUE"""),"1739547691833")</f>
        <v>1739547691833</v>
      </c>
    </row>
    <row r="3927" spans="1:11" ht="12.45">
      <c r="A3927" s="2" t="str">
        <f ca="1">IFERROR(__xludf.DUMMYFUNCTION("""COMPUTED_VALUE"""),"1739547738463")</f>
        <v>1739547738463</v>
      </c>
      <c r="B3927" s="2"/>
      <c r="C3927" s="2" t="str">
        <v>0</v>
      </c>
      <c r="D3927" s="2"/>
      <c r="F3927" s="2" t="str">
        <v>0</v>
      </c>
      <c r="I3927" s="3" t="str">
        <f ca="1">IFERROR(__xludf.DUMMYFUNCTION("""COMPUTED_VALUE"""),"Lê Hải Linh")</f>
        <v>Lê Hải Linh</v>
      </c>
      <c r="J3927" s="3" t="str">
        <f ca="1">IFERROR(__xludf.DUMMYFUNCTION("""COMPUTED_VALUE"""),"0868252716")</f>
        <v>0868252716</v>
      </c>
      <c r="K3927" s="2" t="str">
        <f ca="1">IFERROR(__xludf.DUMMYFUNCTION("""COMPUTED_VALUE"""),"1739547738463")</f>
        <v>1739547738463</v>
      </c>
    </row>
    <row r="3928" spans="1:11" ht="12.45">
      <c r="A3928" s="2" t="str">
        <f ca="1">IFERROR(__xludf.DUMMYFUNCTION("""COMPUTED_VALUE"""),"1739547770668")</f>
        <v>1739547770668</v>
      </c>
      <c r="B3928" s="2"/>
      <c r="C3928" s="2" t="str">
        <v>0</v>
      </c>
      <c r="D3928" s="2"/>
      <c r="F3928" s="2" t="str">
        <v>0</v>
      </c>
      <c r="I3928" s="3" t="str">
        <f ca="1">IFERROR(__xludf.DUMMYFUNCTION("""COMPUTED_VALUE"""),"Phạm Thị Phương Mai")</f>
        <v>Phạm Thị Phương Mai</v>
      </c>
      <c r="J3928" s="3" t="str">
        <f ca="1">IFERROR(__xludf.DUMMYFUNCTION("""COMPUTED_VALUE"""),"0962010642")</f>
        <v>0962010642</v>
      </c>
      <c r="K3928" s="2" t="str">
        <f ca="1">IFERROR(__xludf.DUMMYFUNCTION("""COMPUTED_VALUE"""),"1739547770668")</f>
        <v>1739547770668</v>
      </c>
    </row>
    <row r="3929" spans="1:11" ht="12.45">
      <c r="A3929" s="2" t="str">
        <f ca="1">IFERROR(__xludf.DUMMYFUNCTION("""COMPUTED_VALUE"""),"1739547803499")</f>
        <v>1739547803499</v>
      </c>
      <c r="B3929" s="2"/>
      <c r="C3929" s="2" t="str">
        <v>0</v>
      </c>
      <c r="D3929" s="2"/>
      <c r="F3929" s="2" t="str">
        <v>0</v>
      </c>
      <c r="I3929" s="3" t="str">
        <f ca="1">IFERROR(__xludf.DUMMYFUNCTION("""COMPUTED_VALUE"""),"Nguyễn Phương Oanh")</f>
        <v>Nguyễn Phương Oanh</v>
      </c>
      <c r="J3929" s="3" t="str">
        <f ca="1">IFERROR(__xludf.DUMMYFUNCTION("""COMPUTED_VALUE"""),"0979110269")</f>
        <v>0979110269</v>
      </c>
      <c r="K3929" s="2" t="str">
        <f ca="1">IFERROR(__xludf.DUMMYFUNCTION("""COMPUTED_VALUE"""),"1739547803499")</f>
        <v>1739547803499</v>
      </c>
    </row>
    <row r="3930" spans="1:11" ht="12.45">
      <c r="A3930" s="2" t="str">
        <f ca="1">IFERROR(__xludf.DUMMYFUNCTION("""COMPUTED_VALUE"""),"1739547837988")</f>
        <v>1739547837988</v>
      </c>
      <c r="B3930" s="2"/>
      <c r="C3930" s="2" t="str">
        <v>0</v>
      </c>
      <c r="D3930" s="2"/>
      <c r="F3930" s="2" t="str">
        <v>0</v>
      </c>
      <c r="I3930" s="3" t="str">
        <f ca="1">IFERROR(__xludf.DUMMYFUNCTION("""COMPUTED_VALUE"""),"Quàng Việt Dũng ")</f>
        <v xml:space="preserve">Quàng Việt Dũng </v>
      </c>
      <c r="J3930" s="3" t="str">
        <f ca="1">IFERROR(__xludf.DUMMYFUNCTION("""COMPUTED_VALUE"""),"0357908689")</f>
        <v>0357908689</v>
      </c>
      <c r="K3930" s="2" t="str">
        <f ca="1">IFERROR(__xludf.DUMMYFUNCTION("""COMPUTED_VALUE"""),"1739547837988")</f>
        <v>1739547837988</v>
      </c>
    </row>
    <row r="3931" spans="1:11" ht="12.45">
      <c r="A3931" s="2" t="str">
        <f ca="1">IFERROR(__xludf.DUMMYFUNCTION("""COMPUTED_VALUE"""),"1739547879012")</f>
        <v>1739547879012</v>
      </c>
      <c r="B3931" s="2"/>
      <c r="C3931" s="2" t="str">
        <v>0</v>
      </c>
      <c r="D3931" s="2"/>
      <c r="F3931" s="2" t="str">
        <v>0</v>
      </c>
      <c r="I3931" s="3" t="str">
        <f ca="1">IFERROR(__xludf.DUMMYFUNCTION("""COMPUTED_VALUE"""),"Ngô Hoàng Nhi")</f>
        <v>Ngô Hoàng Nhi</v>
      </c>
      <c r="J3931" s="3" t="str">
        <f ca="1">IFERROR(__xludf.DUMMYFUNCTION("""COMPUTED_VALUE"""),"0896201514")</f>
        <v>0896201514</v>
      </c>
      <c r="K3931" s="2" t="str">
        <f ca="1">IFERROR(__xludf.DUMMYFUNCTION("""COMPUTED_VALUE"""),"1739547879012")</f>
        <v>1739547879012</v>
      </c>
    </row>
    <row r="3932" spans="1:11" ht="12.45">
      <c r="A3932" s="2" t="str">
        <f ca="1">IFERROR(__xludf.DUMMYFUNCTION("""COMPUTED_VALUE"""),"1739547906005")</f>
        <v>1739547906005</v>
      </c>
      <c r="B3932" s="2"/>
      <c r="C3932" s="2" t="str">
        <v>0</v>
      </c>
      <c r="D3932" s="2"/>
      <c r="F3932" s="2" t="str">
        <v>0</v>
      </c>
      <c r="I3932" s="3" t="str">
        <f ca="1">IFERROR(__xludf.DUMMYFUNCTION("""COMPUTED_VALUE"""),"Lê Ngọc Lan Anh")</f>
        <v>Lê Ngọc Lan Anh</v>
      </c>
      <c r="J3932" s="3" t="str">
        <f ca="1">IFERROR(__xludf.DUMMYFUNCTION("""COMPUTED_VALUE"""),"0706958639")</f>
        <v>0706958639</v>
      </c>
      <c r="K3932" s="2" t="str">
        <f ca="1">IFERROR(__xludf.DUMMYFUNCTION("""COMPUTED_VALUE"""),"1739547906005")</f>
        <v>1739547906005</v>
      </c>
    </row>
    <row r="3933" spans="1:11" ht="12.45">
      <c r="A3933" s="2" t="str">
        <f ca="1">IFERROR(__xludf.DUMMYFUNCTION("""COMPUTED_VALUE"""),"1744769524964")</f>
        <v>1744769524964</v>
      </c>
      <c r="B3933" s="2"/>
      <c r="C3933" s="2" t="str">
        <v>0</v>
      </c>
      <c r="D3933" s="2"/>
      <c r="F3933" s="2" t="str">
        <v>0</v>
      </c>
      <c r="I3933" s="3" t="str">
        <f ca="1">IFERROR(__xludf.DUMMYFUNCTION("""COMPUTED_VALUE"""),"Trần Thị Kim Yến")</f>
        <v>Trần Thị Kim Yến</v>
      </c>
      <c r="J3933" s="3" t="str">
        <f ca="1">IFERROR(__xludf.DUMMYFUNCTION("""COMPUTED_VALUE"""),"0786003114")</f>
        <v>0786003114</v>
      </c>
      <c r="K3933" s="2" t="str">
        <f ca="1">IFERROR(__xludf.DUMMYFUNCTION("""COMPUTED_VALUE"""),"1744769524964")</f>
        <v>1744769524964</v>
      </c>
    </row>
    <row r="3934" spans="1:11" ht="12.45">
      <c r="A3934" s="2" t="str">
        <f ca="1">IFERROR(__xludf.DUMMYFUNCTION("""COMPUTED_VALUE"""),"1739547936977")</f>
        <v>1739547936977</v>
      </c>
      <c r="B3934" s="2"/>
      <c r="C3934" s="2" t="str">
        <v>0</v>
      </c>
      <c r="D3934" s="2"/>
      <c r="F3934" s="2" t="str">
        <v>0</v>
      </c>
      <c r="I3934" s="3" t="str">
        <f ca="1">IFERROR(__xludf.DUMMYFUNCTION("""COMPUTED_VALUE"""),"Nguyễn Hoàng Phương Thanh")</f>
        <v>Nguyễn Hoàng Phương Thanh</v>
      </c>
      <c r="J3934" s="3" t="str">
        <f ca="1">IFERROR(__xludf.DUMMYFUNCTION("""COMPUTED_VALUE"""),"0382680034")</f>
        <v>0382680034</v>
      </c>
      <c r="K3934" s="2" t="str">
        <f ca="1">IFERROR(__xludf.DUMMYFUNCTION("""COMPUTED_VALUE"""),"1739547936977")</f>
        <v>1739547936977</v>
      </c>
    </row>
    <row r="3935" spans="1:11" ht="12.45">
      <c r="A3935" s="2" t="str">
        <f ca="1">IFERROR(__xludf.DUMMYFUNCTION("""COMPUTED_VALUE"""),"1739547970003")</f>
        <v>1739547970003</v>
      </c>
      <c r="B3935" s="2"/>
      <c r="C3935" s="2" t="str">
        <v>0</v>
      </c>
      <c r="D3935" s="2"/>
      <c r="F3935" s="2" t="str">
        <v>0</v>
      </c>
      <c r="I3935" s="3" t="str">
        <f ca="1">IFERROR(__xludf.DUMMYFUNCTION("""COMPUTED_VALUE"""),"Nguyễn Bích Ngọc")</f>
        <v>Nguyễn Bích Ngọc</v>
      </c>
      <c r="J3935" s="3" t="str">
        <f ca="1">IFERROR(__xludf.DUMMYFUNCTION("""COMPUTED_VALUE"""),"0968048718")</f>
        <v>0968048718</v>
      </c>
      <c r="K3935" s="2" t="str">
        <f ca="1">IFERROR(__xludf.DUMMYFUNCTION("""COMPUTED_VALUE"""),"1739547970003")</f>
        <v>1739547970003</v>
      </c>
    </row>
    <row r="3936" spans="1:11" ht="12.45">
      <c r="A3936" s="2" t="str">
        <f ca="1">IFERROR(__xludf.DUMMYFUNCTION("""COMPUTED_VALUE"""),"1739548003913")</f>
        <v>1739548003913</v>
      </c>
      <c r="B3936" s="2"/>
      <c r="C3936" s="2" t="str">
        <v>0</v>
      </c>
      <c r="D3936" s="2"/>
      <c r="F3936" s="2" t="str">
        <v>0</v>
      </c>
      <c r="I3936" s="3" t="str">
        <f ca="1">IFERROR(__xludf.DUMMYFUNCTION("""COMPUTED_VALUE"""),"Trần Kiều Dâu")</f>
        <v>Trần Kiều Dâu</v>
      </c>
      <c r="J3936" s="3" t="str">
        <f ca="1">IFERROR(__xludf.DUMMYFUNCTION("""COMPUTED_VALUE"""),"0983322513")</f>
        <v>0983322513</v>
      </c>
      <c r="K3936" s="2" t="str">
        <f ca="1">IFERROR(__xludf.DUMMYFUNCTION("""COMPUTED_VALUE"""),"1739548003913")</f>
        <v>1739548003913</v>
      </c>
    </row>
    <row r="3937" spans="1:11" ht="12.45">
      <c r="A3937" s="2" t="str">
        <f ca="1">IFERROR(__xludf.DUMMYFUNCTION("""COMPUTED_VALUE"""),"1739548040173")</f>
        <v>1739548040173</v>
      </c>
      <c r="B3937" s="2"/>
      <c r="C3937" s="2" t="str">
        <v>0</v>
      </c>
      <c r="D3937" s="2"/>
      <c r="F3937" s="2" t="str">
        <v>0</v>
      </c>
      <c r="I3937" s="3" t="str">
        <f ca="1">IFERROR(__xludf.DUMMYFUNCTION("""COMPUTED_VALUE"""),"Nguyễn Thành Trung")</f>
        <v>Nguyễn Thành Trung</v>
      </c>
      <c r="J3937" s="3" t="str">
        <f ca="1">IFERROR(__xludf.DUMMYFUNCTION("""COMPUTED_VALUE"""),"0948062467")</f>
        <v>0948062467</v>
      </c>
      <c r="K3937" s="2" t="str">
        <f ca="1">IFERROR(__xludf.DUMMYFUNCTION("""COMPUTED_VALUE"""),"1739548040173")</f>
        <v>1739548040173</v>
      </c>
    </row>
    <row r="3938" spans="1:11" ht="12.45">
      <c r="A3938" s="2" t="str">
        <f ca="1">IFERROR(__xludf.DUMMYFUNCTION("""COMPUTED_VALUE"""),"1739548081103")</f>
        <v>1739548081103</v>
      </c>
      <c r="B3938" s="2"/>
      <c r="C3938" s="2" t="str">
        <v>0</v>
      </c>
      <c r="D3938" s="2"/>
      <c r="F3938" s="2" t="str">
        <v>0</v>
      </c>
      <c r="I3938" s="3" t="str">
        <f ca="1">IFERROR(__xludf.DUMMYFUNCTION("""COMPUTED_VALUE"""),"Phạm Minh Châu")</f>
        <v>Phạm Minh Châu</v>
      </c>
      <c r="J3938" s="3" t="str">
        <f ca="1">IFERROR(__xludf.DUMMYFUNCTION("""COMPUTED_VALUE"""),"0867172384")</f>
        <v>0867172384</v>
      </c>
      <c r="K3938" s="2" t="str">
        <f ca="1">IFERROR(__xludf.DUMMYFUNCTION("""COMPUTED_VALUE"""),"1739548081103")</f>
        <v>1739548081103</v>
      </c>
    </row>
    <row r="3939" spans="1:11" ht="12.45">
      <c r="A3939" s="2" t="str">
        <f ca="1">IFERROR(__xludf.DUMMYFUNCTION("""COMPUTED_VALUE"""),"1739548117728")</f>
        <v>1739548117728</v>
      </c>
      <c r="B3939" s="2"/>
      <c r="C3939" s="2" t="str">
        <v>0</v>
      </c>
      <c r="D3939" s="2"/>
      <c r="F3939" s="2" t="str">
        <v>0</v>
      </c>
      <c r="I3939" s="3" t="str">
        <f ca="1">IFERROR(__xludf.DUMMYFUNCTION("""COMPUTED_VALUE"""),"Lê Thị Phương Trang")</f>
        <v>Lê Thị Phương Trang</v>
      </c>
      <c r="J3939" s="3" t="str">
        <f ca="1">IFERROR(__xludf.DUMMYFUNCTION("""COMPUTED_VALUE"""),"0982576744")</f>
        <v>0982576744</v>
      </c>
      <c r="K3939" s="2" t="str">
        <f ca="1">IFERROR(__xludf.DUMMYFUNCTION("""COMPUTED_VALUE"""),"1739548117728")</f>
        <v>1739548117728</v>
      </c>
    </row>
    <row r="3940" spans="1:11" ht="12.45">
      <c r="A3940" s="2" t="str">
        <f ca="1">IFERROR(__xludf.DUMMYFUNCTION("""COMPUTED_VALUE"""),"1739548152416")</f>
        <v>1739548152416</v>
      </c>
      <c r="B3940" s="2"/>
      <c r="C3940" s="2" t="str">
        <v>0</v>
      </c>
      <c r="D3940" s="2"/>
      <c r="F3940" s="2" t="str">
        <v>0</v>
      </c>
      <c r="I3940" s="3" t="str">
        <f ca="1">IFERROR(__xludf.DUMMYFUNCTION("""COMPUTED_VALUE"""),"Nguyễn Thị Minh Khuê")</f>
        <v>Nguyễn Thị Minh Khuê</v>
      </c>
      <c r="J3940" s="3" t="str">
        <f ca="1">IFERROR(__xludf.DUMMYFUNCTION("""COMPUTED_VALUE"""),"0979627556")</f>
        <v>0979627556</v>
      </c>
      <c r="K3940" s="2" t="str">
        <f ca="1">IFERROR(__xludf.DUMMYFUNCTION("""COMPUTED_VALUE"""),"1739548152416")</f>
        <v>1739548152416</v>
      </c>
    </row>
    <row r="3941" spans="1:11" ht="12.45">
      <c r="A3941" s="2" t="str">
        <f ca="1">IFERROR(__xludf.DUMMYFUNCTION("""COMPUTED_VALUE"""),"1744769566606")</f>
        <v>1744769566606</v>
      </c>
      <c r="B3941" s="2"/>
      <c r="C3941" s="2" t="str">
        <v>0</v>
      </c>
      <c r="D3941" s="2"/>
      <c r="F3941" s="2" t="str">
        <v>0</v>
      </c>
      <c r="I3941" s="3" t="str">
        <f ca="1">IFERROR(__xludf.DUMMYFUNCTION("""COMPUTED_VALUE"""),"Nguyễn Thu Hoài")</f>
        <v>Nguyễn Thu Hoài</v>
      </c>
      <c r="J3941" s="3" t="str">
        <f ca="1">IFERROR(__xludf.DUMMYFUNCTION("""COMPUTED_VALUE"""),"0886874007")</f>
        <v>0886874007</v>
      </c>
      <c r="K3941" s="2" t="str">
        <f ca="1">IFERROR(__xludf.DUMMYFUNCTION("""COMPUTED_VALUE"""),"1744769566606")</f>
        <v>1744769566606</v>
      </c>
    </row>
    <row r="3942" spans="1:11" ht="12.45">
      <c r="A3942" s="2" t="str">
        <f ca="1">IFERROR(__xludf.DUMMYFUNCTION("""COMPUTED_VALUE"""),"1744769606507")</f>
        <v>1744769606507</v>
      </c>
      <c r="B3942" s="2"/>
      <c r="C3942" s="2" t="str">
        <v>0</v>
      </c>
      <c r="D3942" s="2"/>
      <c r="F3942" s="2" t="str">
        <v>0</v>
      </c>
      <c r="I3942" s="3" t="str">
        <f ca="1">IFERROR(__xludf.DUMMYFUNCTION("""COMPUTED_VALUE"""),"Nguyễn Thanh Trúc")</f>
        <v>Nguyễn Thanh Trúc</v>
      </c>
      <c r="J3942" s="3" t="str">
        <f ca="1">IFERROR(__xludf.DUMMYFUNCTION("""COMPUTED_VALUE"""),"0975593338")</f>
        <v>0975593338</v>
      </c>
      <c r="K3942" s="2" t="str">
        <f ca="1">IFERROR(__xludf.DUMMYFUNCTION("""COMPUTED_VALUE"""),"1744769606507")</f>
        <v>1744769606507</v>
      </c>
    </row>
    <row r="3943" spans="1:11" ht="12.45">
      <c r="A3943" s="2" t="str">
        <f ca="1">IFERROR(__xludf.DUMMYFUNCTION("""COMPUTED_VALUE"""),"1739548200753")</f>
        <v>1739548200753</v>
      </c>
      <c r="B3943" s="2"/>
      <c r="C3943" s="2" t="str">
        <v>0</v>
      </c>
      <c r="D3943" s="2"/>
      <c r="F3943" s="2" t="str">
        <v>0</v>
      </c>
      <c r="I3943" s="3" t="str">
        <f ca="1">IFERROR(__xludf.DUMMYFUNCTION("""COMPUTED_VALUE"""),"Ngô thị quỳnh phương ")</f>
        <v xml:space="preserve">Ngô thị quỳnh phương </v>
      </c>
      <c r="J3943" s="3" t="str">
        <f ca="1">IFERROR(__xludf.DUMMYFUNCTION("""COMPUTED_VALUE"""),"0374109688")</f>
        <v>0374109688</v>
      </c>
      <c r="K3943" s="2" t="str">
        <f ca="1">IFERROR(__xludf.DUMMYFUNCTION("""COMPUTED_VALUE"""),"1739548200753")</f>
        <v>1739548200753</v>
      </c>
    </row>
    <row r="3944" spans="1:11" ht="12.45">
      <c r="A3944" s="2" t="str">
        <f ca="1">IFERROR(__xludf.DUMMYFUNCTION("""COMPUTED_VALUE"""),"1739548232441")</f>
        <v>1739548232441</v>
      </c>
      <c r="B3944" s="2"/>
      <c r="C3944" s="2" t="str">
        <v>0</v>
      </c>
      <c r="D3944" s="2"/>
      <c r="F3944" s="2" t="str">
        <v>0</v>
      </c>
      <c r="I3944" s="3" t="str">
        <f ca="1">IFERROR(__xludf.DUMMYFUNCTION("""COMPUTED_VALUE"""),"Hà Vy")</f>
        <v>Hà Vy</v>
      </c>
      <c r="J3944" s="3" t="str">
        <f ca="1">IFERROR(__xludf.DUMMYFUNCTION("""COMPUTED_VALUE"""),"0914585818")</f>
        <v>0914585818</v>
      </c>
      <c r="K3944" s="2" t="str">
        <f ca="1">IFERROR(__xludf.DUMMYFUNCTION("""COMPUTED_VALUE"""),"1739548232441")</f>
        <v>1739548232441</v>
      </c>
    </row>
    <row r="3945" spans="1:11" ht="12.45">
      <c r="A3945" s="2" t="str">
        <f ca="1">IFERROR(__xludf.DUMMYFUNCTION("""COMPUTED_VALUE"""),"1739548261155")</f>
        <v>1739548261155</v>
      </c>
      <c r="B3945" s="2"/>
      <c r="C3945" s="2" t="str">
        <v>0</v>
      </c>
      <c r="D3945" s="2"/>
      <c r="F3945" s="2" t="str">
        <v>0</v>
      </c>
      <c r="I3945" s="3" t="str">
        <f ca="1">IFERROR(__xludf.DUMMYFUNCTION("""COMPUTED_VALUE"""),"Đỗ Thị Anh Thơ")</f>
        <v>Đỗ Thị Anh Thơ</v>
      </c>
      <c r="J3945" s="3" t="str">
        <f ca="1">IFERROR(__xludf.DUMMYFUNCTION("""COMPUTED_VALUE"""),"0855762758")</f>
        <v>0855762758</v>
      </c>
      <c r="K3945" s="2" t="str">
        <f ca="1">IFERROR(__xludf.DUMMYFUNCTION("""COMPUTED_VALUE"""),"1739548261155")</f>
        <v>1739548261155</v>
      </c>
    </row>
    <row r="3946" spans="1:11" ht="12.45">
      <c r="A3946" s="2" t="str">
        <f ca="1">IFERROR(__xludf.DUMMYFUNCTION("""COMPUTED_VALUE"""),"1739548313024")</f>
        <v>1739548313024</v>
      </c>
      <c r="B3946" s="2"/>
      <c r="C3946" s="2" t="str">
        <v>0</v>
      </c>
      <c r="D3946" s="2"/>
      <c r="F3946" s="2" t="str">
        <v>0</v>
      </c>
      <c r="I3946" s="3" t="str">
        <f ca="1">IFERROR(__xludf.DUMMYFUNCTION("""COMPUTED_VALUE"""),"Nguyễn Thị Ngọc Anh")</f>
        <v>Nguyễn Thị Ngọc Anh</v>
      </c>
      <c r="J3946" s="3" t="str">
        <f ca="1">IFERROR(__xludf.DUMMYFUNCTION("""COMPUTED_VALUE"""),"0915095240")</f>
        <v>0915095240</v>
      </c>
      <c r="K3946" s="2" t="str">
        <f ca="1">IFERROR(__xludf.DUMMYFUNCTION("""COMPUTED_VALUE"""),"1739548313024")</f>
        <v>1739548313024</v>
      </c>
    </row>
    <row r="3947" spans="1:11" ht="12.45">
      <c r="A3947" s="2" t="str">
        <f ca="1">IFERROR(__xludf.DUMMYFUNCTION("""COMPUTED_VALUE"""),"1739548348966")</f>
        <v>1739548348966</v>
      </c>
      <c r="B3947" s="2"/>
      <c r="C3947" s="2" t="str">
        <v>0</v>
      </c>
      <c r="D3947" s="2"/>
      <c r="F3947" s="2" t="str">
        <v>0</v>
      </c>
      <c r="I3947" s="3" t="str">
        <f ca="1">IFERROR(__xludf.DUMMYFUNCTION("""COMPUTED_VALUE"""),"Hoàng Bảo Uyên")</f>
        <v>Hoàng Bảo Uyên</v>
      </c>
      <c r="J3947" s="3" t="str">
        <f ca="1">IFERROR(__xludf.DUMMYFUNCTION("""COMPUTED_VALUE"""),"0372902768")</f>
        <v>0372902768</v>
      </c>
      <c r="K3947" s="2" t="str">
        <f ca="1">IFERROR(__xludf.DUMMYFUNCTION("""COMPUTED_VALUE"""),"1739548348966")</f>
        <v>1739548348966</v>
      </c>
    </row>
    <row r="3948" spans="1:11" ht="12.45">
      <c r="A3948" s="2" t="str">
        <f ca="1">IFERROR(__xludf.DUMMYFUNCTION("""COMPUTED_VALUE"""),"1739548384587")</f>
        <v>1739548384587</v>
      </c>
      <c r="B3948" s="2"/>
      <c r="C3948" s="2" t="str">
        <v>0</v>
      </c>
      <c r="D3948" s="2"/>
      <c r="F3948" s="2" t="str">
        <v>0</v>
      </c>
      <c r="I3948" s="3" t="str">
        <f ca="1">IFERROR(__xludf.DUMMYFUNCTION("""COMPUTED_VALUE"""),"Trần Ánh Nhi")</f>
        <v>Trần Ánh Nhi</v>
      </c>
      <c r="J3948" s="3" t="str">
        <f ca="1">IFERROR(__xludf.DUMMYFUNCTION("""COMPUTED_VALUE"""),"0384502079")</f>
        <v>0384502079</v>
      </c>
      <c r="K3948" s="2" t="str">
        <f ca="1">IFERROR(__xludf.DUMMYFUNCTION("""COMPUTED_VALUE"""),"1739548384587")</f>
        <v>1739548384587</v>
      </c>
    </row>
    <row r="3949" spans="1:11" ht="12.45">
      <c r="A3949" s="2" t="str">
        <f ca="1">IFERROR(__xludf.DUMMYFUNCTION("""COMPUTED_VALUE"""),"1739548413211")</f>
        <v>1739548413211</v>
      </c>
      <c r="B3949" s="2"/>
      <c r="C3949" s="2" t="str">
        <v>0</v>
      </c>
      <c r="D3949" s="2"/>
      <c r="F3949" s="2" t="str">
        <v>0</v>
      </c>
      <c r="I3949" s="3" t="str">
        <f ca="1">IFERROR(__xludf.DUMMYFUNCTION("""COMPUTED_VALUE"""),"Lâm Bảo Trân")</f>
        <v>Lâm Bảo Trân</v>
      </c>
      <c r="J3949" s="3" t="str">
        <f ca="1">IFERROR(__xludf.DUMMYFUNCTION("""COMPUTED_VALUE"""),"0944946605")</f>
        <v>0944946605</v>
      </c>
      <c r="K3949" s="2" t="str">
        <f ca="1">IFERROR(__xludf.DUMMYFUNCTION("""COMPUTED_VALUE"""),"1739548413211")</f>
        <v>1739548413211</v>
      </c>
    </row>
    <row r="3950" spans="1:11" ht="12.45">
      <c r="A3950" s="2" t="str">
        <f ca="1">IFERROR(__xludf.DUMMYFUNCTION("""COMPUTED_VALUE"""),"1739548454713")</f>
        <v>1739548454713</v>
      </c>
      <c r="B3950" s="2"/>
      <c r="C3950" s="2" t="str">
        <v>0</v>
      </c>
      <c r="D3950" s="2"/>
      <c r="F3950" s="2" t="str">
        <v>0</v>
      </c>
      <c r="I3950" s="3" t="str">
        <f ca="1">IFERROR(__xludf.DUMMYFUNCTION("""COMPUTED_VALUE"""),"Huỳnh Bảo Ngọc")</f>
        <v>Huỳnh Bảo Ngọc</v>
      </c>
      <c r="J3950" s="3" t="str">
        <f ca="1">IFERROR(__xludf.DUMMYFUNCTION("""COMPUTED_VALUE"""),"0934850148")</f>
        <v>0934850148</v>
      </c>
      <c r="K3950" s="2" t="str">
        <f ca="1">IFERROR(__xludf.DUMMYFUNCTION("""COMPUTED_VALUE"""),"1739548454713")</f>
        <v>1739548454713</v>
      </c>
    </row>
    <row r="3951" spans="1:11" ht="12.45">
      <c r="A3951" s="2" t="str">
        <f ca="1">IFERROR(__xludf.DUMMYFUNCTION("""COMPUTED_VALUE"""),"1744769665450")</f>
        <v>1744769665450</v>
      </c>
      <c r="B3951" s="2"/>
      <c r="C3951" s="2" t="str">
        <v>0</v>
      </c>
      <c r="D3951" s="2"/>
      <c r="F3951" s="2" t="str">
        <v>0</v>
      </c>
      <c r="I3951" s="3" t="str">
        <f ca="1">IFERROR(__xludf.DUMMYFUNCTION("""COMPUTED_VALUE"""),"Trần Kim Chi")</f>
        <v>Trần Kim Chi</v>
      </c>
      <c r="J3951" s="3" t="str">
        <f ca="1">IFERROR(__xludf.DUMMYFUNCTION("""COMPUTED_VALUE"""),"0833955559")</f>
        <v>0833955559</v>
      </c>
      <c r="K3951" s="2" t="str">
        <f ca="1">IFERROR(__xludf.DUMMYFUNCTION("""COMPUTED_VALUE"""),"1744769665450")</f>
        <v>1744769665450</v>
      </c>
    </row>
    <row r="3952" spans="1:11" ht="12.45">
      <c r="A3952" s="2" t="str">
        <f ca="1">IFERROR(__xludf.DUMMYFUNCTION("""COMPUTED_VALUE"""),"1739548491368")</f>
        <v>1739548491368</v>
      </c>
      <c r="B3952" s="2"/>
      <c r="C3952" s="2" t="str">
        <v>0</v>
      </c>
      <c r="D3952" s="2"/>
      <c r="F3952" s="2" t="str">
        <v>0</v>
      </c>
      <c r="I3952" s="3" t="str">
        <f ca="1">IFERROR(__xludf.DUMMYFUNCTION("""COMPUTED_VALUE"""),"Lưu Thảo Nghi")</f>
        <v>Lưu Thảo Nghi</v>
      </c>
      <c r="J3952" s="3" t="str">
        <f ca="1">IFERROR(__xludf.DUMMYFUNCTION("""COMPUTED_VALUE"""),"0326948571")</f>
        <v>0326948571</v>
      </c>
      <c r="K3952" s="2" t="str">
        <f ca="1">IFERROR(__xludf.DUMMYFUNCTION("""COMPUTED_VALUE"""),"1739548491368")</f>
        <v>1739548491368</v>
      </c>
    </row>
    <row r="3953" spans="1:11" ht="12.45">
      <c r="A3953" s="2" t="str">
        <f ca="1">IFERROR(__xludf.DUMMYFUNCTION("""COMPUTED_VALUE"""),"1739548528349")</f>
        <v>1739548528349</v>
      </c>
      <c r="B3953" s="2"/>
      <c r="C3953" s="2" t="str">
        <v>0</v>
      </c>
      <c r="D3953" s="2"/>
      <c r="F3953" s="2" t="str">
        <v>0</v>
      </c>
      <c r="I3953" s="3" t="str">
        <f ca="1">IFERROR(__xludf.DUMMYFUNCTION("""COMPUTED_VALUE"""),"Lê Trần Phương Linh")</f>
        <v>Lê Trần Phương Linh</v>
      </c>
      <c r="J3953" s="3" t="str">
        <f ca="1">IFERROR(__xludf.DUMMYFUNCTION("""COMPUTED_VALUE"""),"0943330797")</f>
        <v>0943330797</v>
      </c>
      <c r="K3953" s="2" t="str">
        <f ca="1">IFERROR(__xludf.DUMMYFUNCTION("""COMPUTED_VALUE"""),"1739548528349")</f>
        <v>1739548528349</v>
      </c>
    </row>
    <row r="3954" spans="1:11" ht="12.45">
      <c r="A3954" s="2" t="str">
        <f ca="1">IFERROR(__xludf.DUMMYFUNCTION("""COMPUTED_VALUE"""),"1739548559247")</f>
        <v>1739548559247</v>
      </c>
      <c r="B3954" s="2"/>
      <c r="C3954" s="2" t="str">
        <v>0</v>
      </c>
      <c r="D3954" s="2"/>
      <c r="F3954" s="2" t="str">
        <v>0</v>
      </c>
      <c r="I3954" s="3" t="str">
        <f ca="1">IFERROR(__xludf.DUMMYFUNCTION("""COMPUTED_VALUE"""),"Nguyễn Hoàng Lan ")</f>
        <v xml:space="preserve">Nguyễn Hoàng Lan </v>
      </c>
      <c r="J3954" s="3" t="str">
        <f ca="1">IFERROR(__xludf.DUMMYFUNCTION("""COMPUTED_VALUE"""),"0813664642")</f>
        <v>0813664642</v>
      </c>
      <c r="K3954" s="2" t="str">
        <f ca="1">IFERROR(__xludf.DUMMYFUNCTION("""COMPUTED_VALUE"""),"1739548559247")</f>
        <v>1739548559247</v>
      </c>
    </row>
    <row r="3955" spans="1:11" ht="12.45">
      <c r="A3955" s="2" t="str">
        <f ca="1">IFERROR(__xludf.DUMMYFUNCTION("""COMPUTED_VALUE"""),"1744769703893")</f>
        <v>1744769703893</v>
      </c>
      <c r="B3955" s="2"/>
      <c r="C3955" s="2" t="str">
        <v>0</v>
      </c>
      <c r="D3955" s="2"/>
      <c r="F3955" s="2" t="str">
        <v>0</v>
      </c>
      <c r="I3955" s="3" t="str">
        <f ca="1">IFERROR(__xludf.DUMMYFUNCTION("""COMPUTED_VALUE"""),"Phạm Hồ Minh Thư")</f>
        <v>Phạm Hồ Minh Thư</v>
      </c>
      <c r="J3955" s="3" t="str">
        <f ca="1">IFERROR(__xludf.DUMMYFUNCTION("""COMPUTED_VALUE"""),"0812207266")</f>
        <v>0812207266</v>
      </c>
      <c r="K3955" s="2" t="str">
        <f ca="1">IFERROR(__xludf.DUMMYFUNCTION("""COMPUTED_VALUE"""),"1744769703893")</f>
        <v>1744769703893</v>
      </c>
    </row>
    <row r="3956" spans="1:11" ht="12.45">
      <c r="A3956" s="2" t="str">
        <f ca="1">IFERROR(__xludf.DUMMYFUNCTION("""COMPUTED_VALUE"""),"1739548588578")</f>
        <v>1739548588578</v>
      </c>
      <c r="B3956" s="2"/>
      <c r="C3956" s="2" t="str">
        <v>0</v>
      </c>
      <c r="D3956" s="2"/>
      <c r="F3956" s="2" t="str">
        <v>0</v>
      </c>
      <c r="I3956" s="3" t="str">
        <f ca="1">IFERROR(__xludf.DUMMYFUNCTION("""COMPUTED_VALUE"""),"Lê Trần Hồng Phúc")</f>
        <v>Lê Trần Hồng Phúc</v>
      </c>
      <c r="J3956" s="3" t="str">
        <f ca="1">IFERROR(__xludf.DUMMYFUNCTION("""COMPUTED_VALUE"""),"0707982327")</f>
        <v>0707982327</v>
      </c>
      <c r="K3956" s="2" t="str">
        <f ca="1">IFERROR(__xludf.DUMMYFUNCTION("""COMPUTED_VALUE"""),"1739548588578")</f>
        <v>1739548588578</v>
      </c>
    </row>
    <row r="3957" spans="1:11" ht="12.45">
      <c r="A3957" s="2" t="str">
        <f ca="1">IFERROR(__xludf.DUMMYFUNCTION("""COMPUTED_VALUE"""),"1739548620362")</f>
        <v>1739548620362</v>
      </c>
      <c r="B3957" s="2"/>
      <c r="C3957" s="2" t="str">
        <v>0</v>
      </c>
      <c r="D3957" s="2"/>
      <c r="F3957" s="2" t="str">
        <v>0</v>
      </c>
      <c r="I3957" s="3" t="str">
        <f ca="1">IFERROR(__xludf.DUMMYFUNCTION("""COMPUTED_VALUE"""),"Nguyễn Thị Mai Hương")</f>
        <v>Nguyễn Thị Mai Hương</v>
      </c>
      <c r="J3957" s="3" t="str">
        <f ca="1">IFERROR(__xludf.DUMMYFUNCTION("""COMPUTED_VALUE"""),"0332721960")</f>
        <v>0332721960</v>
      </c>
      <c r="K3957" s="2" t="str">
        <f ca="1">IFERROR(__xludf.DUMMYFUNCTION("""COMPUTED_VALUE"""),"1739548620362")</f>
        <v>1739548620362</v>
      </c>
    </row>
    <row r="3958" spans="1:11" ht="12.45">
      <c r="A3958" s="2" t="str">
        <f ca="1">IFERROR(__xludf.DUMMYFUNCTION("""COMPUTED_VALUE"""),"1739548650021")</f>
        <v>1739548650021</v>
      </c>
      <c r="B3958" s="2"/>
      <c r="C3958" s="2" t="str">
        <v>0</v>
      </c>
      <c r="D3958" s="2"/>
      <c r="F3958" s="2" t="str">
        <v>0</v>
      </c>
      <c r="I3958" s="3" t="str">
        <f ca="1">IFERROR(__xludf.DUMMYFUNCTION("""COMPUTED_VALUE"""),"Trương minh thảo nhi ")</f>
        <v xml:space="preserve">Trương minh thảo nhi </v>
      </c>
      <c r="J3958" s="3" t="str">
        <f ca="1">IFERROR(__xludf.DUMMYFUNCTION("""COMPUTED_VALUE"""),"0931994818")</f>
        <v>0931994818</v>
      </c>
      <c r="K3958" s="2" t="str">
        <f ca="1">IFERROR(__xludf.DUMMYFUNCTION("""COMPUTED_VALUE"""),"1739548650021")</f>
        <v>1739548650021</v>
      </c>
    </row>
    <row r="3959" spans="1:11" ht="12.45">
      <c r="A3959" s="2" t="str">
        <f ca="1">IFERROR(__xludf.DUMMYFUNCTION("""COMPUTED_VALUE"""),"1744769762452")</f>
        <v>1744769762452</v>
      </c>
      <c r="B3959" s="2"/>
      <c r="C3959" s="2" t="str">
        <v>0</v>
      </c>
      <c r="D3959" s="2"/>
      <c r="F3959" s="2" t="str">
        <v>0</v>
      </c>
      <c r="I3959" s="3" t="str">
        <f ca="1">IFERROR(__xludf.DUMMYFUNCTION("""COMPUTED_VALUE"""),"Chu Thị Tâm Như")</f>
        <v>Chu Thị Tâm Như</v>
      </c>
      <c r="J3959" s="3" t="str">
        <f ca="1">IFERROR(__xludf.DUMMYFUNCTION("""COMPUTED_VALUE"""),"0349023908")</f>
        <v>0349023908</v>
      </c>
      <c r="K3959" s="2" t="str">
        <f ca="1">IFERROR(__xludf.DUMMYFUNCTION("""COMPUTED_VALUE"""),"1744769762452")</f>
        <v>1744769762452</v>
      </c>
    </row>
    <row r="3960" spans="1:11" ht="12.45">
      <c r="A3960" s="2" t="str">
        <f ca="1">IFERROR(__xludf.DUMMYFUNCTION("""COMPUTED_VALUE"""),"1739548680038")</f>
        <v>1739548680038</v>
      </c>
      <c r="B3960" s="2"/>
      <c r="C3960" s="2" t="str">
        <v>0</v>
      </c>
      <c r="D3960" s="2"/>
      <c r="F3960" s="2" t="str">
        <v>0</v>
      </c>
      <c r="I3960" s="3" t="str">
        <f ca="1">IFERROR(__xludf.DUMMYFUNCTION("""COMPUTED_VALUE"""),"TRỊNH HỒNG NHUNG")</f>
        <v>TRỊNH HỒNG NHUNG</v>
      </c>
      <c r="J3960" s="3" t="str">
        <f ca="1">IFERROR(__xludf.DUMMYFUNCTION("""COMPUTED_VALUE"""),"0332747223")</f>
        <v>0332747223</v>
      </c>
      <c r="K3960" s="2" t="str">
        <f ca="1">IFERROR(__xludf.DUMMYFUNCTION("""COMPUTED_VALUE"""),"1739548680038")</f>
        <v>1739548680038</v>
      </c>
    </row>
    <row r="3961" spans="1:11" ht="12.45">
      <c r="A3961" s="2" t="str">
        <f ca="1">IFERROR(__xludf.DUMMYFUNCTION("""COMPUTED_VALUE"""),"1739548714598")</f>
        <v>1739548714598</v>
      </c>
      <c r="B3961" s="2"/>
      <c r="C3961" s="2" t="str">
        <v>0</v>
      </c>
      <c r="D3961" s="2"/>
      <c r="F3961" s="2" t="str">
        <v>0</v>
      </c>
      <c r="I3961" s="3" t="str">
        <f ca="1">IFERROR(__xludf.DUMMYFUNCTION("""COMPUTED_VALUE"""),"Linh Thị Diệu")</f>
        <v>Linh Thị Diệu</v>
      </c>
      <c r="J3961" s="3" t="str">
        <f ca="1">IFERROR(__xludf.DUMMYFUNCTION("""COMPUTED_VALUE"""),"0984406188")</f>
        <v>0984406188</v>
      </c>
      <c r="K3961" s="2" t="str">
        <f ca="1">IFERROR(__xludf.DUMMYFUNCTION("""COMPUTED_VALUE"""),"1739548714598")</f>
        <v>1739548714598</v>
      </c>
    </row>
    <row r="3962" spans="1:11" ht="12.45">
      <c r="A3962" s="2" t="str">
        <f ca="1">IFERROR(__xludf.DUMMYFUNCTION("""COMPUTED_VALUE"""),"1739548744576")</f>
        <v>1739548744576</v>
      </c>
      <c r="B3962" s="2"/>
      <c r="C3962" s="2" t="str">
        <v>0</v>
      </c>
      <c r="D3962" s="2"/>
      <c r="F3962" s="2" t="str">
        <v>0</v>
      </c>
      <c r="I3962" s="3" t="str">
        <f ca="1">IFERROR(__xludf.DUMMYFUNCTION("""COMPUTED_VALUE"""),"Phạm Bá Hoàng Phúc")</f>
        <v>Phạm Bá Hoàng Phúc</v>
      </c>
      <c r="J3962" s="3" t="str">
        <f ca="1">IFERROR(__xludf.DUMMYFUNCTION("""COMPUTED_VALUE"""),"0914028464")</f>
        <v>0914028464</v>
      </c>
      <c r="K3962" s="2" t="str">
        <f ca="1">IFERROR(__xludf.DUMMYFUNCTION("""COMPUTED_VALUE"""),"1739548744576")</f>
        <v>1739548744576</v>
      </c>
    </row>
    <row r="3963" spans="1:11" ht="12.45">
      <c r="A3963" s="2" t="str">
        <f ca="1">IFERROR(__xludf.DUMMYFUNCTION("""COMPUTED_VALUE"""),"1739548777931")</f>
        <v>1739548777931</v>
      </c>
      <c r="B3963" s="2"/>
      <c r="C3963" s="2" t="str">
        <v>0</v>
      </c>
      <c r="D3963" s="2"/>
      <c r="F3963" s="2" t="str">
        <v>0</v>
      </c>
      <c r="I3963" s="3" t="str">
        <f ca="1">IFERROR(__xludf.DUMMYFUNCTION("""COMPUTED_VALUE"""),"Nguyễn Lê Minh Thi")</f>
        <v>Nguyễn Lê Minh Thi</v>
      </c>
      <c r="J3963" s="3" t="str">
        <f ca="1">IFERROR(__xludf.DUMMYFUNCTION("""COMPUTED_VALUE"""),"0888925753")</f>
        <v>0888925753</v>
      </c>
      <c r="K3963" s="2" t="str">
        <f ca="1">IFERROR(__xludf.DUMMYFUNCTION("""COMPUTED_VALUE"""),"1739548777931")</f>
        <v>1739548777931</v>
      </c>
    </row>
    <row r="3964" spans="1:11" ht="12.45">
      <c r="A3964" s="2" t="str">
        <f ca="1">IFERROR(__xludf.DUMMYFUNCTION("""COMPUTED_VALUE"""),"1739548821922")</f>
        <v>1739548821922</v>
      </c>
      <c r="B3964" s="2"/>
      <c r="C3964" s="2" t="str">
        <v>0</v>
      </c>
      <c r="D3964" s="2"/>
      <c r="F3964" s="2" t="str">
        <v>0</v>
      </c>
      <c r="I3964" s="3" t="str">
        <f ca="1">IFERROR(__xludf.DUMMYFUNCTION("""COMPUTED_VALUE"""),"Trịnh Khánh Ly ")</f>
        <v xml:space="preserve">Trịnh Khánh Ly </v>
      </c>
      <c r="J3964" s="3" t="str">
        <f ca="1">IFERROR(__xludf.DUMMYFUNCTION("""COMPUTED_VALUE"""),"0328967814")</f>
        <v>0328967814</v>
      </c>
      <c r="K3964" s="2" t="str">
        <f ca="1">IFERROR(__xludf.DUMMYFUNCTION("""COMPUTED_VALUE"""),"1739548821922")</f>
        <v>1739548821922</v>
      </c>
    </row>
    <row r="3965" spans="1:11" ht="12.45">
      <c r="A3965" s="2" t="str">
        <f ca="1">IFERROR(__xludf.DUMMYFUNCTION("""COMPUTED_VALUE"""),"1739548852947")</f>
        <v>1739548852947</v>
      </c>
      <c r="B3965" s="2"/>
      <c r="C3965" s="2" t="str">
        <v>0</v>
      </c>
      <c r="D3965" s="2"/>
      <c r="F3965" s="2" t="str">
        <v>0</v>
      </c>
      <c r="I3965" s="3" t="str">
        <f ca="1">IFERROR(__xludf.DUMMYFUNCTION("""COMPUTED_VALUE"""),"Phùng Hoàng Thảo Nguyên")</f>
        <v>Phùng Hoàng Thảo Nguyên</v>
      </c>
      <c r="J3965" s="3" t="str">
        <f ca="1">IFERROR(__xludf.DUMMYFUNCTION("""COMPUTED_VALUE"""),"0348242350")</f>
        <v>0348242350</v>
      </c>
      <c r="K3965" s="2" t="str">
        <f ca="1">IFERROR(__xludf.DUMMYFUNCTION("""COMPUTED_VALUE"""),"1739548852947")</f>
        <v>1739548852947</v>
      </c>
    </row>
    <row r="3966" spans="1:11" ht="12.45">
      <c r="A3966" s="2" t="str">
        <f ca="1">IFERROR(__xludf.DUMMYFUNCTION("""COMPUTED_VALUE"""),"1739548888244")</f>
        <v>1739548888244</v>
      </c>
      <c r="B3966" s="2"/>
      <c r="C3966" s="2" t="str">
        <v>0</v>
      </c>
      <c r="D3966" s="2"/>
      <c r="F3966" s="2" t="str">
        <v>0</v>
      </c>
      <c r="I3966" s="3" t="str">
        <f ca="1">IFERROR(__xludf.DUMMYFUNCTION("""COMPUTED_VALUE"""),"Ngũ thị Quỳnh như ")</f>
        <v xml:space="preserve">Ngũ thị Quỳnh như </v>
      </c>
      <c r="J3966" s="3" t="str">
        <f ca="1">IFERROR(__xludf.DUMMYFUNCTION("""COMPUTED_VALUE"""),"0353081667")</f>
        <v>0353081667</v>
      </c>
      <c r="K3966" s="2" t="str">
        <f ca="1">IFERROR(__xludf.DUMMYFUNCTION("""COMPUTED_VALUE"""),"1739548888244")</f>
        <v>1739548888244</v>
      </c>
    </row>
    <row r="3967" spans="1:11" ht="12.45">
      <c r="A3967" s="2" t="str">
        <f ca="1">IFERROR(__xludf.DUMMYFUNCTION("""COMPUTED_VALUE"""),"1739548930398")</f>
        <v>1739548930398</v>
      </c>
      <c r="B3967" s="2"/>
      <c r="C3967" s="2" t="str">
        <v>0</v>
      </c>
      <c r="D3967" s="2"/>
      <c r="F3967" s="2" t="str">
        <v>0</v>
      </c>
      <c r="I3967" s="3" t="str">
        <f ca="1">IFERROR(__xludf.DUMMYFUNCTION("""COMPUTED_VALUE"""),"Nguyễn Quỳnh Trang")</f>
        <v>Nguyễn Quỳnh Trang</v>
      </c>
      <c r="J3967" s="3" t="str">
        <f ca="1">IFERROR(__xludf.DUMMYFUNCTION("""COMPUTED_VALUE"""),"0965646876")</f>
        <v>0965646876</v>
      </c>
      <c r="K3967" s="2" t="str">
        <f ca="1">IFERROR(__xludf.DUMMYFUNCTION("""COMPUTED_VALUE"""),"1739548930398")</f>
        <v>1739548930398</v>
      </c>
    </row>
    <row r="3968" spans="1:11" ht="12.45">
      <c r="A3968" s="2" t="str">
        <f ca="1">IFERROR(__xludf.DUMMYFUNCTION("""COMPUTED_VALUE"""),"1739548962916")</f>
        <v>1739548962916</v>
      </c>
      <c r="B3968" s="2"/>
      <c r="C3968" s="2" t="str">
        <v>0</v>
      </c>
      <c r="D3968" s="2"/>
      <c r="F3968" s="2" t="str">
        <v>0</v>
      </c>
      <c r="I3968" s="3" t="str">
        <f ca="1">IFERROR(__xludf.DUMMYFUNCTION("""COMPUTED_VALUE"""),"Vũ Ngọc Yến Nhi ")</f>
        <v xml:space="preserve">Vũ Ngọc Yến Nhi </v>
      </c>
      <c r="J3968" s="3" t="str">
        <f ca="1">IFERROR(__xludf.DUMMYFUNCTION("""COMPUTED_VALUE"""),"0385586901")</f>
        <v>0385586901</v>
      </c>
      <c r="K3968" s="2" t="str">
        <f ca="1">IFERROR(__xludf.DUMMYFUNCTION("""COMPUTED_VALUE"""),"1739548962916")</f>
        <v>1739548962916</v>
      </c>
    </row>
    <row r="3969" spans="1:11" ht="12.45">
      <c r="A3969" s="2" t="str">
        <f ca="1">IFERROR(__xludf.DUMMYFUNCTION("""COMPUTED_VALUE"""),"1739548990097")</f>
        <v>1739548990097</v>
      </c>
      <c r="B3969" s="2"/>
      <c r="C3969" s="2" t="str">
        <v>0</v>
      </c>
      <c r="D3969" s="2"/>
      <c r="F3969" s="2" t="str">
        <v>0</v>
      </c>
      <c r="I3969" s="3" t="str">
        <f ca="1">IFERROR(__xludf.DUMMYFUNCTION("""COMPUTED_VALUE"""),"Vũ Đức Mạnh")</f>
        <v>Vũ Đức Mạnh</v>
      </c>
      <c r="J3969" s="3" t="str">
        <f ca="1">IFERROR(__xludf.DUMMYFUNCTION("""COMPUTED_VALUE"""),"0336234048")</f>
        <v>0336234048</v>
      </c>
      <c r="K3969" s="2" t="str">
        <f ca="1">IFERROR(__xludf.DUMMYFUNCTION("""COMPUTED_VALUE"""),"1739548990097")</f>
        <v>1739548990097</v>
      </c>
    </row>
    <row r="3970" spans="1:11" ht="12.45">
      <c r="A3970" s="2" t="str">
        <f ca="1">IFERROR(__xludf.DUMMYFUNCTION("""COMPUTED_VALUE"""),"1739549023514")</f>
        <v>1739549023514</v>
      </c>
      <c r="B3970" s="2"/>
      <c r="C3970" s="2" t="str">
        <v>0</v>
      </c>
      <c r="D3970" s="2"/>
      <c r="F3970" s="2" t="str">
        <v>0</v>
      </c>
      <c r="I3970" s="3" t="str">
        <f ca="1">IFERROR(__xludf.DUMMYFUNCTION("""COMPUTED_VALUE"""),"Trần Thị Kim Anh ")</f>
        <v xml:space="preserve">Trần Thị Kim Anh </v>
      </c>
      <c r="J3970" s="3" t="str">
        <f ca="1">IFERROR(__xludf.DUMMYFUNCTION("""COMPUTED_VALUE"""),"0979508176")</f>
        <v>0979508176</v>
      </c>
      <c r="K3970" s="2" t="str">
        <f ca="1">IFERROR(__xludf.DUMMYFUNCTION("""COMPUTED_VALUE"""),"1739549023514")</f>
        <v>1739549023514</v>
      </c>
    </row>
    <row r="3971" spans="1:11" ht="12.45">
      <c r="A3971" s="2" t="str">
        <f ca="1">IFERROR(__xludf.DUMMYFUNCTION("""COMPUTED_VALUE"""),"1739549057729")</f>
        <v>1739549057729</v>
      </c>
      <c r="B3971" s="2"/>
      <c r="C3971" s="2" t="str">
        <v>0</v>
      </c>
      <c r="D3971" s="2"/>
      <c r="F3971" s="2" t="str">
        <v>0</v>
      </c>
      <c r="I3971" s="3" t="str">
        <f ca="1">IFERROR(__xludf.DUMMYFUNCTION("""COMPUTED_VALUE"""),"Nguyễn Văn Đạt")</f>
        <v>Nguyễn Văn Đạt</v>
      </c>
      <c r="J3971" s="3" t="str">
        <f ca="1">IFERROR(__xludf.DUMMYFUNCTION("""COMPUTED_VALUE"""),"0338083294")</f>
        <v>0338083294</v>
      </c>
      <c r="K3971" s="2" t="str">
        <f ca="1">IFERROR(__xludf.DUMMYFUNCTION("""COMPUTED_VALUE"""),"1739549057729")</f>
        <v>1739549057729</v>
      </c>
    </row>
    <row r="3972" spans="1:11" ht="12.45">
      <c r="A3972" s="2" t="str">
        <f ca="1">IFERROR(__xludf.DUMMYFUNCTION("""COMPUTED_VALUE"""),"1739549093290")</f>
        <v>1739549093290</v>
      </c>
      <c r="B3972" s="2"/>
      <c r="C3972" s="2" t="str">
        <v>0</v>
      </c>
      <c r="D3972" s="2"/>
      <c r="F3972" s="2" t="str">
        <v>0</v>
      </c>
      <c r="I3972" s="3" t="str">
        <f ca="1">IFERROR(__xludf.DUMMYFUNCTION("""COMPUTED_VALUE"""),"Phan nguyển khánh linh")</f>
        <v>Phan nguyển khánh linh</v>
      </c>
      <c r="J3972" s="3" t="str">
        <f ca="1">IFERROR(__xludf.DUMMYFUNCTION("""COMPUTED_VALUE"""),"0888520799")</f>
        <v>0888520799</v>
      </c>
      <c r="K3972" s="2" t="str">
        <f ca="1">IFERROR(__xludf.DUMMYFUNCTION("""COMPUTED_VALUE"""),"1739549093290")</f>
        <v>1739549093290</v>
      </c>
    </row>
    <row r="3973" spans="1:11" ht="12.45">
      <c r="A3973" s="2" t="str">
        <f ca="1">IFERROR(__xludf.DUMMYFUNCTION("""COMPUTED_VALUE"""),"1739549125242")</f>
        <v>1739549125242</v>
      </c>
      <c r="B3973" s="2"/>
      <c r="C3973" s="2" t="str">
        <v>0</v>
      </c>
      <c r="D3973" s="2"/>
      <c r="F3973" s="2" t="str">
        <v>0</v>
      </c>
      <c r="I3973" s="3" t="str">
        <f ca="1">IFERROR(__xludf.DUMMYFUNCTION("""COMPUTED_VALUE"""),"Nguyễn Khánh Ly")</f>
        <v>Nguyễn Khánh Ly</v>
      </c>
      <c r="J3973" s="3" t="str">
        <f ca="1">IFERROR(__xludf.DUMMYFUNCTION("""COMPUTED_VALUE"""),"0332392341")</f>
        <v>0332392341</v>
      </c>
      <c r="K3973" s="2" t="str">
        <f ca="1">IFERROR(__xludf.DUMMYFUNCTION("""COMPUTED_VALUE"""),"1739549125242")</f>
        <v>1739549125242</v>
      </c>
    </row>
    <row r="3974" spans="1:11" ht="12.45">
      <c r="A3974" s="2" t="str">
        <f ca="1">IFERROR(__xludf.DUMMYFUNCTION("""COMPUTED_VALUE"""),"1739549156397")</f>
        <v>1739549156397</v>
      </c>
      <c r="B3974" s="2"/>
      <c r="C3974" s="2" t="str">
        <v>0</v>
      </c>
      <c r="D3974" s="2"/>
      <c r="F3974" s="2" t="str">
        <v>0</v>
      </c>
      <c r="I3974" s="3" t="str">
        <f ca="1">IFERROR(__xludf.DUMMYFUNCTION("""COMPUTED_VALUE"""),"Nguyễn Kim Ngân")</f>
        <v>Nguyễn Kim Ngân</v>
      </c>
      <c r="J3974" s="3" t="str">
        <f ca="1">IFERROR(__xludf.DUMMYFUNCTION("""COMPUTED_VALUE"""),"0327481252")</f>
        <v>0327481252</v>
      </c>
      <c r="K3974" s="2" t="str">
        <f ca="1">IFERROR(__xludf.DUMMYFUNCTION("""COMPUTED_VALUE"""),"1739549156397")</f>
        <v>1739549156397</v>
      </c>
    </row>
    <row r="3975" spans="1:11" ht="12.45">
      <c r="A3975" s="2" t="str">
        <f ca="1">IFERROR(__xludf.DUMMYFUNCTION("""COMPUTED_VALUE"""),"1744769816053")</f>
        <v>1744769816053</v>
      </c>
      <c r="B3975" s="2"/>
      <c r="C3975" s="2" t="str">
        <v>0</v>
      </c>
      <c r="D3975" s="2"/>
      <c r="F3975" s="2" t="str">
        <v>0</v>
      </c>
      <c r="I3975" s="3" t="str">
        <f ca="1">IFERROR(__xludf.DUMMYFUNCTION("""COMPUTED_VALUE"""),"Hà Phan Thanh Hương")</f>
        <v>Hà Phan Thanh Hương</v>
      </c>
      <c r="J3975" s="3" t="str">
        <f ca="1">IFERROR(__xludf.DUMMYFUNCTION("""COMPUTED_VALUE"""),"0348088366")</f>
        <v>0348088366</v>
      </c>
      <c r="K3975" s="2" t="str">
        <f ca="1">IFERROR(__xludf.DUMMYFUNCTION("""COMPUTED_VALUE"""),"1744769816053")</f>
        <v>1744769816053</v>
      </c>
    </row>
    <row r="3976" spans="1:11" ht="12.45">
      <c r="A3976" s="2" t="str">
        <f ca="1">IFERROR(__xludf.DUMMYFUNCTION("""COMPUTED_VALUE"""),"1739549192902")</f>
        <v>1739549192902</v>
      </c>
      <c r="B3976" s="2"/>
      <c r="C3976" s="2" t="str">
        <v>0</v>
      </c>
      <c r="D3976" s="2"/>
      <c r="F3976" s="2" t="str">
        <v>0</v>
      </c>
      <c r="I3976" s="3" t="str">
        <f ca="1">IFERROR(__xludf.DUMMYFUNCTION("""COMPUTED_VALUE"""),"Nguyễn Thị Quỳnh Anh")</f>
        <v>Nguyễn Thị Quỳnh Anh</v>
      </c>
      <c r="J3976" s="3" t="str">
        <f ca="1">IFERROR(__xludf.DUMMYFUNCTION("""COMPUTED_VALUE"""),"0979399981")</f>
        <v>0979399981</v>
      </c>
      <c r="K3976" s="2" t="str">
        <f ca="1">IFERROR(__xludf.DUMMYFUNCTION("""COMPUTED_VALUE"""),"1739549192902")</f>
        <v>1739549192902</v>
      </c>
    </row>
    <row r="3977" spans="1:11" ht="12.45">
      <c r="A3977" s="2" t="str">
        <f ca="1">IFERROR(__xludf.DUMMYFUNCTION("""COMPUTED_VALUE"""),"1744769856831")</f>
        <v>1744769856831</v>
      </c>
      <c r="B3977" s="2"/>
      <c r="C3977" s="2" t="str">
        <v>0</v>
      </c>
      <c r="D3977" s="2"/>
      <c r="F3977" s="2" t="str">
        <v>0</v>
      </c>
      <c r="I3977" s="3" t="str">
        <f ca="1">IFERROR(__xludf.DUMMYFUNCTION("""COMPUTED_VALUE"""),"Lê Thị Linh Quy")</f>
        <v>Lê Thị Linh Quy</v>
      </c>
      <c r="J3977" s="3" t="str">
        <f ca="1">IFERROR(__xludf.DUMMYFUNCTION("""COMPUTED_VALUE"""),"0343106140")</f>
        <v>0343106140</v>
      </c>
      <c r="K3977" s="2" t="str">
        <f ca="1">IFERROR(__xludf.DUMMYFUNCTION("""COMPUTED_VALUE"""),"1744769856831")</f>
        <v>1744769856831</v>
      </c>
    </row>
    <row r="3978" spans="1:11" ht="12.45">
      <c r="A3978" s="2" t="str">
        <f ca="1">IFERROR(__xludf.DUMMYFUNCTION("""COMPUTED_VALUE"""),"1739549231231")</f>
        <v>1739549231231</v>
      </c>
      <c r="B3978" s="2"/>
      <c r="C3978" s="2" t="str">
        <v>0</v>
      </c>
      <c r="D3978" s="2"/>
      <c r="F3978" s="2" t="str">
        <v>0</v>
      </c>
      <c r="I3978" s="3" t="str">
        <f ca="1">IFERROR(__xludf.DUMMYFUNCTION("""COMPUTED_VALUE"""),"Phạm Thị Ngọc Khánh")</f>
        <v>Phạm Thị Ngọc Khánh</v>
      </c>
      <c r="J3978" s="3" t="str">
        <f ca="1">IFERROR(__xludf.DUMMYFUNCTION("""COMPUTED_VALUE"""),"0362948556")</f>
        <v>0362948556</v>
      </c>
      <c r="K3978" s="2" t="str">
        <f ca="1">IFERROR(__xludf.DUMMYFUNCTION("""COMPUTED_VALUE"""),"1739549231231")</f>
        <v>1739549231231</v>
      </c>
    </row>
    <row r="3979" spans="1:11" ht="12.45">
      <c r="A3979" s="2" t="str">
        <f ca="1">IFERROR(__xludf.DUMMYFUNCTION("""COMPUTED_VALUE"""),"1739549268597")</f>
        <v>1739549268597</v>
      </c>
      <c r="B3979" s="2"/>
      <c r="C3979" s="2" t="str">
        <v>0</v>
      </c>
      <c r="D3979" s="2"/>
      <c r="F3979" s="2" t="str">
        <v>0</v>
      </c>
      <c r="I3979" s="3" t="str">
        <f ca="1">IFERROR(__xludf.DUMMYFUNCTION("""COMPUTED_VALUE"""),"Nguyễn Hoàng Hiệp")</f>
        <v>Nguyễn Hoàng Hiệp</v>
      </c>
      <c r="J3979" s="3" t="str">
        <f ca="1">IFERROR(__xludf.DUMMYFUNCTION("""COMPUTED_VALUE"""),"0978618762")</f>
        <v>0978618762</v>
      </c>
      <c r="K3979" s="2" t="str">
        <f ca="1">IFERROR(__xludf.DUMMYFUNCTION("""COMPUTED_VALUE"""),"1739549268597")</f>
        <v>1739549268597</v>
      </c>
    </row>
    <row r="3980" spans="1:11" ht="12.45">
      <c r="A3980" s="2" t="str">
        <f ca="1">IFERROR(__xludf.DUMMYFUNCTION("""COMPUTED_VALUE"""),"1744769896092")</f>
        <v>1744769896092</v>
      </c>
      <c r="B3980" s="2"/>
      <c r="C3980" s="2" t="str">
        <v>0</v>
      </c>
      <c r="D3980" s="2"/>
      <c r="F3980" s="2" t="str">
        <v>0</v>
      </c>
      <c r="I3980" s="3" t="str">
        <f ca="1">IFERROR(__xludf.DUMMYFUNCTION("""COMPUTED_VALUE"""),"Nguyễn Công Lý ")</f>
        <v xml:space="preserve">Nguyễn Công Lý </v>
      </c>
      <c r="J3980" s="3" t="str">
        <f ca="1">IFERROR(__xludf.DUMMYFUNCTION("""COMPUTED_VALUE"""),"0937487857")</f>
        <v>0937487857</v>
      </c>
      <c r="K3980" s="2" t="str">
        <f ca="1">IFERROR(__xludf.DUMMYFUNCTION("""COMPUTED_VALUE"""),"1744769896092")</f>
        <v>1744769896092</v>
      </c>
    </row>
    <row r="3981" spans="1:11" ht="12.45">
      <c r="A3981" s="2" t="str">
        <f ca="1">IFERROR(__xludf.DUMMYFUNCTION("""COMPUTED_VALUE"""),"1744769935139")</f>
        <v>1744769935139</v>
      </c>
      <c r="B3981" s="2"/>
      <c r="C3981" s="2" t="str">
        <v>0</v>
      </c>
      <c r="D3981" s="2"/>
      <c r="F3981" s="2" t="str">
        <v>0</v>
      </c>
      <c r="I3981" s="3" t="str">
        <f ca="1">IFERROR(__xludf.DUMMYFUNCTION("""COMPUTED_VALUE"""),"Ngô Trần Bảo Uyên ")</f>
        <v xml:space="preserve">Ngô Trần Bảo Uyên </v>
      </c>
      <c r="J3981" s="3" t="str">
        <f ca="1">IFERROR(__xludf.DUMMYFUNCTION("""COMPUTED_VALUE"""),"0935752294")</f>
        <v>0935752294</v>
      </c>
      <c r="K3981" s="2" t="str">
        <f ca="1">IFERROR(__xludf.DUMMYFUNCTION("""COMPUTED_VALUE"""),"1744769935139")</f>
        <v>1744769935139</v>
      </c>
    </row>
    <row r="3982" spans="1:11" ht="12.45">
      <c r="A3982" s="2" t="str">
        <f ca="1">IFERROR(__xludf.DUMMYFUNCTION("""COMPUTED_VALUE"""),"1739549308243")</f>
        <v>1739549308243</v>
      </c>
      <c r="B3982" s="2"/>
      <c r="C3982" s="2" t="str">
        <v>0</v>
      </c>
      <c r="D3982" s="2"/>
      <c r="F3982" s="2" t="str">
        <v>0</v>
      </c>
      <c r="I3982" s="3" t="str">
        <f ca="1">IFERROR(__xludf.DUMMYFUNCTION("""COMPUTED_VALUE"""),"Đàm Thuỳ Linh")</f>
        <v>Đàm Thuỳ Linh</v>
      </c>
      <c r="J3982" s="3" t="str">
        <f ca="1">IFERROR(__xludf.DUMMYFUNCTION("""COMPUTED_VALUE"""),"0397059666")</f>
        <v>0397059666</v>
      </c>
      <c r="K3982" s="2" t="str">
        <f ca="1">IFERROR(__xludf.DUMMYFUNCTION("""COMPUTED_VALUE"""),"1739549308243")</f>
        <v>1739549308243</v>
      </c>
    </row>
    <row r="3983" spans="1:11" ht="12.45">
      <c r="A3983" s="2" t="str">
        <f ca="1">IFERROR(__xludf.DUMMYFUNCTION("""COMPUTED_VALUE"""),"1739549337831")</f>
        <v>1739549337831</v>
      </c>
      <c r="B3983" s="2"/>
      <c r="C3983" s="2" t="str">
        <v>0</v>
      </c>
      <c r="D3983" s="2"/>
      <c r="F3983" s="2" t="str">
        <v>0</v>
      </c>
      <c r="I3983" s="3" t="str">
        <f ca="1">IFERROR(__xludf.DUMMYFUNCTION("""COMPUTED_VALUE"""),"Trần Huyền Trâm")</f>
        <v>Trần Huyền Trâm</v>
      </c>
      <c r="J3983" s="3" t="str">
        <f ca="1">IFERROR(__xludf.DUMMYFUNCTION("""COMPUTED_VALUE"""),"0822200111")</f>
        <v>0822200111</v>
      </c>
      <c r="K3983" s="2" t="str">
        <f ca="1">IFERROR(__xludf.DUMMYFUNCTION("""COMPUTED_VALUE"""),"1739549337831")</f>
        <v>1739549337831</v>
      </c>
    </row>
    <row r="3984" spans="1:11" ht="12.45">
      <c r="A3984" s="2" t="str">
        <f ca="1">IFERROR(__xludf.DUMMYFUNCTION("""COMPUTED_VALUE"""),"1739549373399")</f>
        <v>1739549373399</v>
      </c>
      <c r="B3984" s="2"/>
      <c r="C3984" s="2" t="str">
        <v>0</v>
      </c>
      <c r="D3984" s="2"/>
      <c r="F3984" s="2" t="str">
        <v>0</v>
      </c>
      <c r="I3984" s="3" t="str">
        <f ca="1">IFERROR(__xludf.DUMMYFUNCTION("""COMPUTED_VALUE"""),"Nguyễn Thị Thanh Huyền")</f>
        <v>Nguyễn Thị Thanh Huyền</v>
      </c>
      <c r="J3984" s="3" t="str">
        <f ca="1">IFERROR(__xludf.DUMMYFUNCTION("""COMPUTED_VALUE"""),"0399092507")</f>
        <v>0399092507</v>
      </c>
      <c r="K3984" s="2" t="str">
        <f ca="1">IFERROR(__xludf.DUMMYFUNCTION("""COMPUTED_VALUE"""),"1739549373399")</f>
        <v>1739549373399</v>
      </c>
    </row>
    <row r="3985" spans="1:11" ht="12.45">
      <c r="A3985" s="2" t="str">
        <f ca="1">IFERROR(__xludf.DUMMYFUNCTION("""COMPUTED_VALUE"""),"1739549421795")</f>
        <v>1739549421795</v>
      </c>
      <c r="B3985" s="2"/>
      <c r="C3985" s="2" t="str">
        <v>0</v>
      </c>
      <c r="D3985" s="2"/>
      <c r="F3985" s="2" t="str">
        <v>0</v>
      </c>
      <c r="I3985" s="3" t="str">
        <f ca="1">IFERROR(__xludf.DUMMYFUNCTION("""COMPUTED_VALUE"""),"Hà Nguyễn Khánh Ly ")</f>
        <v xml:space="preserve">Hà Nguyễn Khánh Ly </v>
      </c>
      <c r="J3985" s="3" t="str">
        <f ca="1">IFERROR(__xludf.DUMMYFUNCTION("""COMPUTED_VALUE"""),"0819692389")</f>
        <v>0819692389</v>
      </c>
      <c r="K3985" s="2" t="str">
        <f ca="1">IFERROR(__xludf.DUMMYFUNCTION("""COMPUTED_VALUE"""),"1739549421795")</f>
        <v>1739549421795</v>
      </c>
    </row>
    <row r="3986" spans="1:11" ht="12.45">
      <c r="A3986" s="2" t="str">
        <f ca="1">IFERROR(__xludf.DUMMYFUNCTION("""COMPUTED_VALUE"""),"1739549458106")</f>
        <v>1739549458106</v>
      </c>
      <c r="B3986" s="2"/>
      <c r="C3986" s="2" t="str">
        <v>0</v>
      </c>
      <c r="D3986" s="2"/>
      <c r="F3986" s="2" t="str">
        <v>0</v>
      </c>
      <c r="I3986" s="3" t="str">
        <f ca="1">IFERROR(__xludf.DUMMYFUNCTION("""COMPUTED_VALUE"""),"Phan Anh Quân")</f>
        <v>Phan Anh Quân</v>
      </c>
      <c r="J3986" s="3" t="str">
        <f ca="1">IFERROR(__xludf.DUMMYFUNCTION("""COMPUTED_VALUE"""),"0943505909")</f>
        <v>0943505909</v>
      </c>
      <c r="K3986" s="2" t="str">
        <f ca="1">IFERROR(__xludf.DUMMYFUNCTION("""COMPUTED_VALUE"""),"1739549458106")</f>
        <v>1739549458106</v>
      </c>
    </row>
    <row r="3987" spans="1:11" ht="12.45">
      <c r="A3987" s="2" t="str">
        <f ca="1">IFERROR(__xludf.DUMMYFUNCTION("""COMPUTED_VALUE"""),"1744769965917")</f>
        <v>1744769965917</v>
      </c>
      <c r="B3987" s="2"/>
      <c r="C3987" s="2" t="str">
        <v>0</v>
      </c>
      <c r="D3987" s="2"/>
      <c r="F3987" s="2" t="str">
        <v>0</v>
      </c>
      <c r="I3987" s="3" t="str">
        <f ca="1">IFERROR(__xludf.DUMMYFUNCTION("""COMPUTED_VALUE"""),"Trần Hà Trang")</f>
        <v>Trần Hà Trang</v>
      </c>
      <c r="J3987" s="3" t="str">
        <f ca="1">IFERROR(__xludf.DUMMYFUNCTION("""COMPUTED_VALUE"""),"0919530128")</f>
        <v>0919530128</v>
      </c>
      <c r="K3987" s="2" t="str">
        <f ca="1">IFERROR(__xludf.DUMMYFUNCTION("""COMPUTED_VALUE"""),"1744769965917")</f>
        <v>1744769965917</v>
      </c>
    </row>
    <row r="3988" spans="1:11" ht="12.45">
      <c r="A3988" s="2" t="str">
        <f ca="1">IFERROR(__xludf.DUMMYFUNCTION("""COMPUTED_VALUE"""),"1739549494554")</f>
        <v>1739549494554</v>
      </c>
      <c r="B3988" s="2"/>
      <c r="C3988" s="2" t="str">
        <v>0</v>
      </c>
      <c r="D3988" s="2"/>
      <c r="F3988" s="2" t="str">
        <v>0</v>
      </c>
      <c r="I3988" s="3" t="str">
        <f ca="1">IFERROR(__xludf.DUMMYFUNCTION("""COMPUTED_VALUE"""),"Đinh Bích Anh")</f>
        <v>Đinh Bích Anh</v>
      </c>
      <c r="J3988" s="3" t="str">
        <f ca="1">IFERROR(__xludf.DUMMYFUNCTION("""COMPUTED_VALUE"""),"0383747264")</f>
        <v>0383747264</v>
      </c>
      <c r="K3988" s="2" t="str">
        <f ca="1">IFERROR(__xludf.DUMMYFUNCTION("""COMPUTED_VALUE"""),"1739549494554")</f>
        <v>1739549494554</v>
      </c>
    </row>
    <row r="3989" spans="1:11" ht="12.45">
      <c r="A3989" s="2" t="str">
        <f ca="1">IFERROR(__xludf.DUMMYFUNCTION("""COMPUTED_VALUE"""),"1739549526422")</f>
        <v>1739549526422</v>
      </c>
      <c r="B3989" s="2"/>
      <c r="C3989" s="2" t="str">
        <v>0</v>
      </c>
      <c r="D3989" s="2"/>
      <c r="F3989" s="2" t="str">
        <v>0</v>
      </c>
      <c r="I3989" s="3" t="str">
        <f ca="1">IFERROR(__xludf.DUMMYFUNCTION("""COMPUTED_VALUE"""),"Phan Thạch Thuỷ Ngọc")</f>
        <v>Phan Thạch Thuỷ Ngọc</v>
      </c>
      <c r="J3989" s="3" t="str">
        <f ca="1">IFERROR(__xludf.DUMMYFUNCTION("""COMPUTED_VALUE"""),"0329747503")</f>
        <v>0329747503</v>
      </c>
      <c r="K3989" s="2" t="str">
        <f ca="1">IFERROR(__xludf.DUMMYFUNCTION("""COMPUTED_VALUE"""),"1739549526422")</f>
        <v>1739549526422</v>
      </c>
    </row>
    <row r="3990" spans="1:11" ht="12.45">
      <c r="A3990" s="2" t="str">
        <f ca="1">IFERROR(__xludf.DUMMYFUNCTION("""COMPUTED_VALUE"""),"1744769993702")</f>
        <v>1744769993702</v>
      </c>
      <c r="B3990" s="2"/>
      <c r="C3990" s="2" t="str">
        <v>0</v>
      </c>
      <c r="D3990" s="2"/>
      <c r="F3990" s="2" t="str">
        <v>0</v>
      </c>
      <c r="I3990" s="3" t="str">
        <f ca="1">IFERROR(__xludf.DUMMYFUNCTION("""COMPUTED_VALUE"""),"Nguyễn Thị Minh Tuệ")</f>
        <v>Nguyễn Thị Minh Tuệ</v>
      </c>
      <c r="J3990" s="3" t="str">
        <f ca="1">IFERROR(__xludf.DUMMYFUNCTION("""COMPUTED_VALUE"""),"0342327583")</f>
        <v>0342327583</v>
      </c>
      <c r="K3990" s="2" t="str">
        <f ca="1">IFERROR(__xludf.DUMMYFUNCTION("""COMPUTED_VALUE"""),"1744769993702")</f>
        <v>1744769993702</v>
      </c>
    </row>
    <row r="3991" spans="1:11" ht="12.45">
      <c r="A3991" s="2" t="str">
        <f ca="1">IFERROR(__xludf.DUMMYFUNCTION("""COMPUTED_VALUE"""),"1744770022494")</f>
        <v>1744770022494</v>
      </c>
      <c r="B3991" s="2"/>
      <c r="C3991" s="2" t="str">
        <v>0</v>
      </c>
      <c r="D3991" s="2"/>
      <c r="F3991" s="2" t="str">
        <v>0</v>
      </c>
      <c r="I3991" s="3" t="str">
        <f ca="1">IFERROR(__xludf.DUMMYFUNCTION("""COMPUTED_VALUE"""),"nguyễn ngọc yến nhi")</f>
        <v>nguyễn ngọc yến nhi</v>
      </c>
      <c r="J3991" s="3" t="str">
        <f ca="1">IFERROR(__xludf.DUMMYFUNCTION("""COMPUTED_VALUE"""),"0909982727")</f>
        <v>0909982727</v>
      </c>
      <c r="K3991" s="2" t="str">
        <f ca="1">IFERROR(__xludf.DUMMYFUNCTION("""COMPUTED_VALUE"""),"1744770022494")</f>
        <v>1744770022494</v>
      </c>
    </row>
    <row r="3992" spans="1:11" ht="12.45">
      <c r="A3992" s="2" t="str">
        <f ca="1">IFERROR(__xludf.DUMMYFUNCTION("""COMPUTED_VALUE"""),"1739549555757")</f>
        <v>1739549555757</v>
      </c>
      <c r="B3992" s="2"/>
      <c r="C3992" s="2" t="str">
        <v>0</v>
      </c>
      <c r="D3992" s="2"/>
      <c r="F3992" s="2" t="str">
        <v>0</v>
      </c>
      <c r="I3992" s="3" t="str">
        <f ca="1">IFERROR(__xludf.DUMMYFUNCTION("""COMPUTED_VALUE"""),"Quàng Quỳnh Chi")</f>
        <v>Quàng Quỳnh Chi</v>
      </c>
      <c r="J3992" s="3" t="str">
        <f ca="1">IFERROR(__xludf.DUMMYFUNCTION("""COMPUTED_VALUE"""),"0343579060")</f>
        <v>0343579060</v>
      </c>
      <c r="K3992" s="2" t="str">
        <f ca="1">IFERROR(__xludf.DUMMYFUNCTION("""COMPUTED_VALUE"""),"1739549555757")</f>
        <v>1739549555757</v>
      </c>
    </row>
    <row r="3993" spans="1:11" ht="12.45">
      <c r="A3993" s="2" t="str">
        <f ca="1">IFERROR(__xludf.DUMMYFUNCTION("""COMPUTED_VALUE"""),"1739549591768")</f>
        <v>1739549591768</v>
      </c>
      <c r="B3993" s="2"/>
      <c r="C3993" s="2" t="str">
        <v>0</v>
      </c>
      <c r="D3993" s="2"/>
      <c r="F3993" s="2" t="str">
        <v>0</v>
      </c>
      <c r="I3993" s="3" t="str">
        <f ca="1">IFERROR(__xludf.DUMMYFUNCTION("""COMPUTED_VALUE"""),"Lê Thị Thanh Thảo ")</f>
        <v xml:space="preserve">Lê Thị Thanh Thảo </v>
      </c>
      <c r="J3993" s="3" t="str">
        <f ca="1">IFERROR(__xludf.DUMMYFUNCTION("""COMPUTED_VALUE"""),"0962156855")</f>
        <v>0962156855</v>
      </c>
      <c r="K3993" s="2" t="str">
        <f ca="1">IFERROR(__xludf.DUMMYFUNCTION("""COMPUTED_VALUE"""),"1739549591768")</f>
        <v>1739549591768</v>
      </c>
    </row>
    <row r="3994" spans="1:11" ht="12.45">
      <c r="A3994" s="2" t="str">
        <f ca="1">IFERROR(__xludf.DUMMYFUNCTION("""COMPUTED_VALUE"""),"1739549624373")</f>
        <v>1739549624373</v>
      </c>
      <c r="B3994" s="2"/>
      <c r="C3994" s="2" t="str">
        <v>0</v>
      </c>
      <c r="D3994" s="2"/>
      <c r="F3994" s="2" t="str">
        <v>0</v>
      </c>
      <c r="I3994" s="3" t="str">
        <f ca="1">IFERROR(__xludf.DUMMYFUNCTION("""COMPUTED_VALUE"""),"Nguyễn Ngọc Sa Ly")</f>
        <v>Nguyễn Ngọc Sa Ly</v>
      </c>
      <c r="J3994" s="3" t="str">
        <f ca="1">IFERROR(__xludf.DUMMYFUNCTION("""COMPUTED_VALUE"""),"0367592397")</f>
        <v>0367592397</v>
      </c>
      <c r="K3994" s="2" t="str">
        <f ca="1">IFERROR(__xludf.DUMMYFUNCTION("""COMPUTED_VALUE"""),"1739549624373")</f>
        <v>1739549624373</v>
      </c>
    </row>
    <row r="3995" spans="1:11" ht="12.45">
      <c r="A3995" s="2" t="str">
        <f ca="1">IFERROR(__xludf.DUMMYFUNCTION("""COMPUTED_VALUE"""),"1739549664958")</f>
        <v>1739549664958</v>
      </c>
      <c r="B3995" s="2"/>
      <c r="C3995" s="2" t="str">
        <v>0</v>
      </c>
      <c r="D3995" s="2"/>
      <c r="F3995" s="2" t="str">
        <v>0</v>
      </c>
      <c r="I3995" s="3" t="str">
        <f ca="1">IFERROR(__xludf.DUMMYFUNCTION("""COMPUTED_VALUE"""),"Trần Quốc Hùng")</f>
        <v>Trần Quốc Hùng</v>
      </c>
      <c r="J3995" s="3" t="str">
        <f ca="1">IFERROR(__xludf.DUMMYFUNCTION("""COMPUTED_VALUE"""),"0357455057")</f>
        <v>0357455057</v>
      </c>
      <c r="K3995" s="2" t="str">
        <f ca="1">IFERROR(__xludf.DUMMYFUNCTION("""COMPUTED_VALUE"""),"1739549664958")</f>
        <v>1739549664958</v>
      </c>
    </row>
    <row r="3996" spans="1:11" ht="12.45">
      <c r="A3996" s="2" t="str">
        <f ca="1">IFERROR(__xludf.DUMMYFUNCTION("""COMPUTED_VALUE"""),"1739549701267")</f>
        <v>1739549701267</v>
      </c>
      <c r="B3996" s="2"/>
      <c r="C3996" s="2" t="str">
        <v>0</v>
      </c>
      <c r="D3996" s="2"/>
      <c r="F3996" s="2" t="str">
        <v>0</v>
      </c>
      <c r="I3996" s="3" t="str">
        <f ca="1">IFERROR(__xludf.DUMMYFUNCTION("""COMPUTED_VALUE"""),"Nguyễn Hồng Bảo Ngọc")</f>
        <v>Nguyễn Hồng Bảo Ngọc</v>
      </c>
      <c r="J3996" s="3" t="str">
        <f ca="1">IFERROR(__xludf.DUMMYFUNCTION("""COMPUTED_VALUE"""),"0946397272")</f>
        <v>0946397272</v>
      </c>
      <c r="K3996" s="2" t="str">
        <f ca="1">IFERROR(__xludf.DUMMYFUNCTION("""COMPUTED_VALUE"""),"1739549701267")</f>
        <v>1739549701267</v>
      </c>
    </row>
    <row r="3997" spans="1:11" ht="12.45">
      <c r="A3997" s="2" t="str">
        <f ca="1">IFERROR(__xludf.DUMMYFUNCTION("""COMPUTED_VALUE"""),"1739549736236")</f>
        <v>1739549736236</v>
      </c>
      <c r="B3997" s="2"/>
      <c r="C3997" s="2" t="str">
        <v>0</v>
      </c>
      <c r="D3997" s="2"/>
      <c r="F3997" s="2" t="str">
        <v>0</v>
      </c>
      <c r="I3997" s="3" t="str">
        <f ca="1">IFERROR(__xludf.DUMMYFUNCTION("""COMPUTED_VALUE"""),"Phạm Nguyễn Minh Khánh")</f>
        <v>Phạm Nguyễn Minh Khánh</v>
      </c>
      <c r="J3997" s="3" t="str">
        <f ca="1">IFERROR(__xludf.DUMMYFUNCTION("""COMPUTED_VALUE"""),"0396641485")</f>
        <v>0396641485</v>
      </c>
      <c r="K3997" s="2" t="str">
        <f ca="1">IFERROR(__xludf.DUMMYFUNCTION("""COMPUTED_VALUE"""),"1739549736236")</f>
        <v>1739549736236</v>
      </c>
    </row>
    <row r="3998" spans="1:11" ht="12.45">
      <c r="A3998" s="2" t="str">
        <f ca="1">IFERROR(__xludf.DUMMYFUNCTION("""COMPUTED_VALUE"""),"1739549787906")</f>
        <v>1739549787906</v>
      </c>
      <c r="B3998" s="2"/>
      <c r="C3998" s="2" t="str">
        <v>0</v>
      </c>
      <c r="D3998" s="2"/>
      <c r="F3998" s="2" t="str">
        <v>0</v>
      </c>
      <c r="I3998" s="3" t="str">
        <f ca="1">IFERROR(__xludf.DUMMYFUNCTION("""COMPUTED_VALUE"""),"Võ Ngọc Như Ý")</f>
        <v>Võ Ngọc Như Ý</v>
      </c>
      <c r="J3998" s="3" t="str">
        <f ca="1">IFERROR(__xludf.DUMMYFUNCTION("""COMPUTED_VALUE"""),"0905382999")</f>
        <v>0905382999</v>
      </c>
      <c r="K3998" s="2" t="str">
        <f ca="1">IFERROR(__xludf.DUMMYFUNCTION("""COMPUTED_VALUE"""),"1739549787906")</f>
        <v>1739549787906</v>
      </c>
    </row>
    <row r="3999" spans="1:11" ht="12.45">
      <c r="A3999" s="2" t="str">
        <f ca="1">IFERROR(__xludf.DUMMYFUNCTION("""COMPUTED_VALUE"""),"1739549824324")</f>
        <v>1739549824324</v>
      </c>
      <c r="B3999" s="2"/>
      <c r="C3999" s="2" t="str">
        <v>0</v>
      </c>
      <c r="D3999" s="2"/>
      <c r="F3999" s="2" t="str">
        <v>0</v>
      </c>
      <c r="I3999" s="3" t="str">
        <f ca="1">IFERROR(__xludf.DUMMYFUNCTION("""COMPUTED_VALUE"""),"Lý Quỳnh Anh")</f>
        <v>Lý Quỳnh Anh</v>
      </c>
      <c r="J3999" s="3" t="str">
        <f ca="1">IFERROR(__xludf.DUMMYFUNCTION("""COMPUTED_VALUE"""),"0796102250")</f>
        <v>0796102250</v>
      </c>
      <c r="K3999" s="2" t="str">
        <f ca="1">IFERROR(__xludf.DUMMYFUNCTION("""COMPUTED_VALUE"""),"1739549824324")</f>
        <v>1739549824324</v>
      </c>
    </row>
    <row r="4000" spans="1:11" ht="12.45">
      <c r="A4000" s="2" t="str">
        <f ca="1">IFERROR(__xludf.DUMMYFUNCTION("""COMPUTED_VALUE"""),"1744770061381")</f>
        <v>1744770061381</v>
      </c>
      <c r="B4000" s="2"/>
      <c r="C4000" s="2" t="str">
        <v>0</v>
      </c>
      <c r="D4000" s="2"/>
      <c r="F4000" s="2" t="str">
        <v>0</v>
      </c>
      <c r="I4000" s="3" t="str">
        <f ca="1">IFERROR(__xludf.DUMMYFUNCTION("""COMPUTED_VALUE"""),"Nguyễn gia hân")</f>
        <v>Nguyễn gia hân</v>
      </c>
      <c r="J4000" s="3" t="str">
        <f ca="1">IFERROR(__xludf.DUMMYFUNCTION("""COMPUTED_VALUE"""),"0984513732")</f>
        <v>0984513732</v>
      </c>
      <c r="K4000" s="2" t="str">
        <f ca="1">IFERROR(__xludf.DUMMYFUNCTION("""COMPUTED_VALUE"""),"1744770061381")</f>
        <v>1744770061381</v>
      </c>
    </row>
    <row r="4001" spans="1:11" ht="12.45">
      <c r="A4001" s="2" t="str">
        <f ca="1">IFERROR(__xludf.DUMMYFUNCTION("""COMPUTED_VALUE"""),"1739549847855")</f>
        <v>1739549847855</v>
      </c>
      <c r="B4001" s="2"/>
      <c r="C4001" s="2" t="str">
        <v>0</v>
      </c>
      <c r="D4001" s="2"/>
      <c r="F4001" s="2" t="str">
        <v>0</v>
      </c>
      <c r="I4001" s="3" t="str">
        <f ca="1">IFERROR(__xludf.DUMMYFUNCTION("""COMPUTED_VALUE"""),"vũ ngân anh")</f>
        <v>vũ ngân anh</v>
      </c>
      <c r="J4001" s="3" t="str">
        <f ca="1">IFERROR(__xludf.DUMMYFUNCTION("""COMPUTED_VALUE"""),"0862991097")</f>
        <v>0862991097</v>
      </c>
      <c r="K4001" s="2" t="str">
        <f ca="1">IFERROR(__xludf.DUMMYFUNCTION("""COMPUTED_VALUE"""),"1739549847855")</f>
        <v>1739549847855</v>
      </c>
    </row>
    <row r="4002" spans="1:11" ht="12.45">
      <c r="A4002" s="2" t="str">
        <f ca="1">IFERROR(__xludf.DUMMYFUNCTION("""COMPUTED_VALUE"""),"1744770085764")</f>
        <v>1744770085764</v>
      </c>
      <c r="B4002" s="2"/>
      <c r="C4002" s="2" t="str">
        <v>0</v>
      </c>
      <c r="D4002" s="2"/>
      <c r="F4002" s="2" t="str">
        <v>0</v>
      </c>
      <c r="I4002" s="3" t="str">
        <f ca="1">IFERROR(__xludf.DUMMYFUNCTION("""COMPUTED_VALUE"""),"Trương Bảo Hà ")</f>
        <v xml:space="preserve">Trương Bảo Hà </v>
      </c>
      <c r="J4002" s="3" t="str">
        <f ca="1">IFERROR(__xludf.DUMMYFUNCTION("""COMPUTED_VALUE"""),"0866027563")</f>
        <v>0866027563</v>
      </c>
      <c r="K4002" s="2" t="str">
        <f ca="1">IFERROR(__xludf.DUMMYFUNCTION("""COMPUTED_VALUE"""),"1744770085764")</f>
        <v>1744770085764</v>
      </c>
    </row>
    <row r="4003" spans="1:11" ht="12.45">
      <c r="A4003" s="2" t="str">
        <f ca="1">IFERROR(__xludf.DUMMYFUNCTION("""COMPUTED_VALUE"""),"1739549883092")</f>
        <v>1739549883092</v>
      </c>
      <c r="B4003" s="2"/>
      <c r="C4003" s="2" t="str">
        <v>0</v>
      </c>
      <c r="D4003" s="2"/>
      <c r="F4003" s="2" t="str">
        <v>0</v>
      </c>
      <c r="I4003" s="3" t="str">
        <f ca="1">IFERROR(__xludf.DUMMYFUNCTION("""COMPUTED_VALUE"""),"Nguyễn Phạm Hoàng Kim Ngân ")</f>
        <v xml:space="preserve">Nguyễn Phạm Hoàng Kim Ngân </v>
      </c>
      <c r="J4003" s="3" t="str">
        <f ca="1">IFERROR(__xludf.DUMMYFUNCTION("""COMPUTED_VALUE"""),"0962310118")</f>
        <v>0962310118</v>
      </c>
      <c r="K4003" s="2" t="str">
        <f ca="1">IFERROR(__xludf.DUMMYFUNCTION("""COMPUTED_VALUE"""),"1739549883092")</f>
        <v>1739549883092</v>
      </c>
    </row>
    <row r="4004" spans="1:11" ht="12.45">
      <c r="A4004" s="2" t="str">
        <f ca="1">IFERROR(__xludf.DUMMYFUNCTION("""COMPUTED_VALUE"""),"1739549922077")</f>
        <v>1739549922077</v>
      </c>
      <c r="B4004" s="2"/>
      <c r="C4004" s="2" t="str">
        <v>0</v>
      </c>
      <c r="D4004" s="2"/>
      <c r="F4004" s="2" t="str">
        <v>0</v>
      </c>
      <c r="I4004" s="3" t="str">
        <f ca="1">IFERROR(__xludf.DUMMYFUNCTION("""COMPUTED_VALUE"""),"Lương Thị Minh Anh")</f>
        <v>Lương Thị Minh Anh</v>
      </c>
      <c r="J4004" s="3" t="str">
        <f ca="1">IFERROR(__xludf.DUMMYFUNCTION("""COMPUTED_VALUE"""),"0333686320")</f>
        <v>0333686320</v>
      </c>
      <c r="K4004" s="2" t="str">
        <f ca="1">IFERROR(__xludf.DUMMYFUNCTION("""COMPUTED_VALUE"""),"1739549922077")</f>
        <v>1739549922077</v>
      </c>
    </row>
    <row r="4005" spans="1:11" ht="12.45">
      <c r="A4005" s="2" t="str">
        <f ca="1">IFERROR(__xludf.DUMMYFUNCTION("""COMPUTED_VALUE"""),"1739549955406")</f>
        <v>1739549955406</v>
      </c>
      <c r="B4005" s="2"/>
      <c r="C4005" s="2" t="str">
        <v>0</v>
      </c>
      <c r="D4005" s="2"/>
      <c r="F4005" s="2" t="str">
        <v>0</v>
      </c>
      <c r="I4005" s="3" t="str">
        <f ca="1">IFERROR(__xludf.DUMMYFUNCTION("""COMPUTED_VALUE"""),"Nguyễn Minh Anh")</f>
        <v>Nguyễn Minh Anh</v>
      </c>
      <c r="J4005" s="3" t="str">
        <f ca="1">IFERROR(__xludf.DUMMYFUNCTION("""COMPUTED_VALUE"""),"0818366007")</f>
        <v>0818366007</v>
      </c>
      <c r="K4005" s="2" t="str">
        <f ca="1">IFERROR(__xludf.DUMMYFUNCTION("""COMPUTED_VALUE"""),"1739549955406")</f>
        <v>1739549955406</v>
      </c>
    </row>
    <row r="4006" spans="1:11" ht="12.45">
      <c r="A4006" s="2" t="str">
        <f ca="1">IFERROR(__xludf.DUMMYFUNCTION("""COMPUTED_VALUE"""),"1739549990330")</f>
        <v>1739549990330</v>
      </c>
      <c r="B4006" s="2"/>
      <c r="C4006" s="2" t="str">
        <v>0</v>
      </c>
      <c r="D4006" s="2"/>
      <c r="F4006" s="2" t="str">
        <v>0</v>
      </c>
      <c r="I4006" s="3" t="str">
        <f ca="1">IFERROR(__xludf.DUMMYFUNCTION("""COMPUTED_VALUE"""),"NGUYỄN THỊ ÁNH")</f>
        <v>NGUYỄN THỊ ÁNH</v>
      </c>
      <c r="J4006" s="3" t="str">
        <f ca="1">IFERROR(__xludf.DUMMYFUNCTION("""COMPUTED_VALUE"""),"0705845115")</f>
        <v>0705845115</v>
      </c>
      <c r="K4006" s="2" t="str">
        <f ca="1">IFERROR(__xludf.DUMMYFUNCTION("""COMPUTED_VALUE"""),"1739549990330")</f>
        <v>1739549990330</v>
      </c>
    </row>
    <row r="4007" spans="1:11" ht="12.45">
      <c r="A4007" s="2" t="str">
        <f ca="1">IFERROR(__xludf.DUMMYFUNCTION("""COMPUTED_VALUE"""),"1739550029676")</f>
        <v>1739550029676</v>
      </c>
      <c r="B4007" s="2"/>
      <c r="C4007" s="2" t="str">
        <v>0</v>
      </c>
      <c r="D4007" s="2"/>
      <c r="F4007" s="2" t="str">
        <v>0</v>
      </c>
      <c r="I4007" s="3" t="str">
        <f ca="1">IFERROR(__xludf.DUMMYFUNCTION("""COMPUTED_VALUE"""),"Trương Tú Nhi ")</f>
        <v xml:space="preserve">Trương Tú Nhi </v>
      </c>
      <c r="J4007" s="3" t="str">
        <f ca="1">IFERROR(__xludf.DUMMYFUNCTION("""COMPUTED_VALUE"""),"0377152107")</f>
        <v>0377152107</v>
      </c>
      <c r="K4007" s="2" t="str">
        <f ca="1">IFERROR(__xludf.DUMMYFUNCTION("""COMPUTED_VALUE"""),"1739550029676")</f>
        <v>1739550029676</v>
      </c>
    </row>
    <row r="4008" spans="1:11" ht="12.45">
      <c r="A4008" s="2" t="str">
        <f ca="1">IFERROR(__xludf.DUMMYFUNCTION("""COMPUTED_VALUE"""),"1739550060463")</f>
        <v>1739550060463</v>
      </c>
      <c r="B4008" s="2"/>
      <c r="C4008" s="2" t="str">
        <v>0</v>
      </c>
      <c r="D4008" s="2"/>
      <c r="F4008" s="2" t="str">
        <v>0</v>
      </c>
      <c r="I4008" s="3" t="str">
        <f ca="1">IFERROR(__xludf.DUMMYFUNCTION("""COMPUTED_VALUE"""),"Nguyễn Thị Thùy Trang")</f>
        <v>Nguyễn Thị Thùy Trang</v>
      </c>
      <c r="J4008" s="3" t="str">
        <f ca="1">IFERROR(__xludf.DUMMYFUNCTION("""COMPUTED_VALUE"""),"0916622326")</f>
        <v>0916622326</v>
      </c>
      <c r="K4008" s="2" t="str">
        <f ca="1">IFERROR(__xludf.DUMMYFUNCTION("""COMPUTED_VALUE"""),"1739550060463")</f>
        <v>1739550060463</v>
      </c>
    </row>
    <row r="4009" spans="1:11" ht="12.45">
      <c r="A4009" s="2" t="str">
        <f ca="1">IFERROR(__xludf.DUMMYFUNCTION("""COMPUTED_VALUE"""),"1739550091871")</f>
        <v>1739550091871</v>
      </c>
      <c r="B4009" s="2"/>
      <c r="C4009" s="2" t="str">
        <v>0</v>
      </c>
      <c r="D4009" s="2"/>
      <c r="F4009" s="2" t="str">
        <v>0</v>
      </c>
      <c r="I4009" s="3" t="str">
        <f ca="1">IFERROR(__xludf.DUMMYFUNCTION("""COMPUTED_VALUE"""),"Nguyễn Lê Thuỷ Ngọc")</f>
        <v>Nguyễn Lê Thuỷ Ngọc</v>
      </c>
      <c r="J4009" s="3" t="str">
        <f ca="1">IFERROR(__xludf.DUMMYFUNCTION("""COMPUTED_VALUE"""),"0862585160")</f>
        <v>0862585160</v>
      </c>
      <c r="K4009" s="2" t="str">
        <f ca="1">IFERROR(__xludf.DUMMYFUNCTION("""COMPUTED_VALUE"""),"1739550091871")</f>
        <v>1739550091871</v>
      </c>
    </row>
    <row r="4010" spans="1:11" ht="12.45">
      <c r="A4010" s="2" t="str">
        <f ca="1">IFERROR(__xludf.DUMMYFUNCTION("""COMPUTED_VALUE"""),"1739550120438")</f>
        <v>1739550120438</v>
      </c>
      <c r="B4010" s="2"/>
      <c r="C4010" s="2" t="str">
        <v>0</v>
      </c>
      <c r="D4010" s="2"/>
      <c r="F4010" s="2" t="str">
        <v>0</v>
      </c>
      <c r="I4010" s="3" t="str">
        <f ca="1">IFERROR(__xludf.DUMMYFUNCTION("""COMPUTED_VALUE"""),"Nguyễn Hà Vi")</f>
        <v>Nguyễn Hà Vi</v>
      </c>
      <c r="J4010" s="3" t="str">
        <f ca="1">IFERROR(__xludf.DUMMYFUNCTION("""COMPUTED_VALUE"""),"0398928233")</f>
        <v>0398928233</v>
      </c>
      <c r="K4010" s="2" t="str">
        <f ca="1">IFERROR(__xludf.DUMMYFUNCTION("""COMPUTED_VALUE"""),"1739550120438")</f>
        <v>1739550120438</v>
      </c>
    </row>
    <row r="4011" spans="1:11" ht="12.45">
      <c r="A4011" s="2" t="str">
        <f ca="1">IFERROR(__xludf.DUMMYFUNCTION("""COMPUTED_VALUE"""),"1739550147738")</f>
        <v>1739550147738</v>
      </c>
      <c r="B4011" s="2"/>
      <c r="C4011" s="2" t="str">
        <v>0</v>
      </c>
      <c r="D4011" s="2"/>
      <c r="F4011" s="2" t="str">
        <v>0</v>
      </c>
      <c r="I4011" s="3" t="str">
        <f ca="1">IFERROR(__xludf.DUMMYFUNCTION("""COMPUTED_VALUE"""),"Đặng thị ngọc uyên")</f>
        <v>Đặng thị ngọc uyên</v>
      </c>
      <c r="J4011" s="3" t="str">
        <f ca="1">IFERROR(__xludf.DUMMYFUNCTION("""COMPUTED_VALUE"""),"0388607468")</f>
        <v>0388607468</v>
      </c>
      <c r="K4011" s="2" t="str">
        <f ca="1">IFERROR(__xludf.DUMMYFUNCTION("""COMPUTED_VALUE"""),"1739550147738")</f>
        <v>1739550147738</v>
      </c>
    </row>
    <row r="4012" spans="1:11" ht="12.45">
      <c r="A4012" s="2" t="str">
        <f ca="1">IFERROR(__xludf.DUMMYFUNCTION("""COMPUTED_VALUE"""),"1739550193131")</f>
        <v>1739550193131</v>
      </c>
      <c r="B4012" s="2"/>
      <c r="C4012" s="2" t="str">
        <v>0</v>
      </c>
      <c r="D4012" s="2"/>
      <c r="F4012" s="2" t="str">
        <v>0</v>
      </c>
      <c r="I4012" s="3" t="str">
        <f ca="1">IFERROR(__xludf.DUMMYFUNCTION("""COMPUTED_VALUE"""),"Lê Ngọc Xuân Mơ")</f>
        <v>Lê Ngọc Xuân Mơ</v>
      </c>
      <c r="J4012" s="3" t="str">
        <f ca="1">IFERROR(__xludf.DUMMYFUNCTION("""COMPUTED_VALUE"""),"0964148869")</f>
        <v>0964148869</v>
      </c>
      <c r="K4012" s="2" t="str">
        <f ca="1">IFERROR(__xludf.DUMMYFUNCTION("""COMPUTED_VALUE"""),"1739550193131")</f>
        <v>1739550193131</v>
      </c>
    </row>
    <row r="4013" spans="1:11" ht="12.45">
      <c r="A4013" s="2" t="str">
        <f ca="1">IFERROR(__xludf.DUMMYFUNCTION("""COMPUTED_VALUE"""),"1739550227886")</f>
        <v>1739550227886</v>
      </c>
      <c r="B4013" s="2"/>
      <c r="C4013" s="2" t="str">
        <v>0</v>
      </c>
      <c r="D4013" s="2"/>
      <c r="F4013" s="2" t="str">
        <v>0</v>
      </c>
      <c r="I4013" s="3" t="str">
        <f ca="1">IFERROR(__xludf.DUMMYFUNCTION("""COMPUTED_VALUE"""),"Phan Thị Hiền Thảo")</f>
        <v>Phan Thị Hiền Thảo</v>
      </c>
      <c r="J4013" s="3" t="str">
        <f ca="1">IFERROR(__xludf.DUMMYFUNCTION("""COMPUTED_VALUE"""),"0374873639")</f>
        <v>0374873639</v>
      </c>
      <c r="K4013" s="2" t="str">
        <f ca="1">IFERROR(__xludf.DUMMYFUNCTION("""COMPUTED_VALUE"""),"1739550227886")</f>
        <v>1739550227886</v>
      </c>
    </row>
    <row r="4014" spans="1:11" ht="12.45">
      <c r="A4014" s="2" t="str">
        <f ca="1">IFERROR(__xludf.DUMMYFUNCTION("""COMPUTED_VALUE"""),"1744770115544")</f>
        <v>1744770115544</v>
      </c>
      <c r="B4014" s="2"/>
      <c r="C4014" s="2" t="str">
        <v>0</v>
      </c>
      <c r="D4014" s="2"/>
      <c r="F4014" s="2" t="str">
        <v>0</v>
      </c>
      <c r="I4014" s="3" t="str">
        <f ca="1">IFERROR(__xludf.DUMMYFUNCTION("""COMPUTED_VALUE"""),"Lượng Thị Hồng Nhiên ")</f>
        <v xml:space="preserve">Lượng Thị Hồng Nhiên </v>
      </c>
      <c r="J4014" s="3" t="str">
        <f ca="1">IFERROR(__xludf.DUMMYFUNCTION("""COMPUTED_VALUE"""),"0974358611")</f>
        <v>0974358611</v>
      </c>
      <c r="K4014" s="2" t="str">
        <f ca="1">IFERROR(__xludf.DUMMYFUNCTION("""COMPUTED_VALUE"""),"1744770115544")</f>
        <v>1744770115544</v>
      </c>
    </row>
    <row r="4015" spans="1:11" ht="12.45">
      <c r="A4015" s="2" t="str">
        <f ca="1">IFERROR(__xludf.DUMMYFUNCTION("""COMPUTED_VALUE"""),"1739550258233")</f>
        <v>1739550258233</v>
      </c>
      <c r="B4015" s="2"/>
      <c r="C4015" s="2" t="str">
        <v>0</v>
      </c>
      <c r="D4015" s="2"/>
      <c r="F4015" s="2" t="str">
        <v>0</v>
      </c>
      <c r="I4015" s="3" t="str">
        <f ca="1">IFERROR(__xludf.DUMMYFUNCTION("""COMPUTED_VALUE"""),"Soái Thị Minh Huyền ")</f>
        <v xml:space="preserve">Soái Thị Minh Huyền </v>
      </c>
      <c r="J4015" s="3" t="str">
        <f ca="1">IFERROR(__xludf.DUMMYFUNCTION("""COMPUTED_VALUE"""),"0363987207")</f>
        <v>0363987207</v>
      </c>
      <c r="K4015" s="2" t="str">
        <f ca="1">IFERROR(__xludf.DUMMYFUNCTION("""COMPUTED_VALUE"""),"1739550258233")</f>
        <v>1739550258233</v>
      </c>
    </row>
    <row r="4016" spans="1:11" ht="12.45">
      <c r="A4016" s="2" t="str">
        <f ca="1">IFERROR(__xludf.DUMMYFUNCTION("""COMPUTED_VALUE"""),"1739550299074")</f>
        <v>1739550299074</v>
      </c>
      <c r="B4016" s="2"/>
      <c r="C4016" s="2" t="str">
        <v>0</v>
      </c>
      <c r="D4016" s="2"/>
      <c r="F4016" s="2" t="str">
        <v>0</v>
      </c>
      <c r="I4016" s="3" t="str">
        <f ca="1">IFERROR(__xludf.DUMMYFUNCTION("""COMPUTED_VALUE"""),"Trương Ngọc Mỹ Hoa")</f>
        <v>Trương Ngọc Mỹ Hoa</v>
      </c>
      <c r="J4016" s="3" t="str">
        <f ca="1">IFERROR(__xludf.DUMMYFUNCTION("""COMPUTED_VALUE"""),"0945007562")</f>
        <v>0945007562</v>
      </c>
      <c r="K4016" s="2" t="str">
        <f ca="1">IFERROR(__xludf.DUMMYFUNCTION("""COMPUTED_VALUE"""),"1739550299074")</f>
        <v>1739550299074</v>
      </c>
    </row>
    <row r="4017" spans="1:11" ht="12.45">
      <c r="A4017" s="2" t="str">
        <f ca="1">IFERROR(__xludf.DUMMYFUNCTION("""COMPUTED_VALUE"""),"1748266286671")</f>
        <v>1748266286671</v>
      </c>
      <c r="B4017" s="2"/>
      <c r="C4017" s="2" t="str">
        <v>0</v>
      </c>
      <c r="D4017" s="2"/>
      <c r="F4017" s="2" t="str">
        <v>0</v>
      </c>
      <c r="I4017" s="3" t="str">
        <f ca="1">IFERROR(__xludf.DUMMYFUNCTION("""COMPUTED_VALUE"""),"Trần trung khánh toàn")</f>
        <v>Trần trung khánh toàn</v>
      </c>
      <c r="J4017" s="3" t="str">
        <f ca="1">IFERROR(__xludf.DUMMYFUNCTION("""COMPUTED_VALUE"""),"0374041740")</f>
        <v>0374041740</v>
      </c>
      <c r="K4017" s="2" t="str">
        <f ca="1">IFERROR(__xludf.DUMMYFUNCTION("""COMPUTED_VALUE"""),"1748266286671")</f>
        <v>1748266286671</v>
      </c>
    </row>
    <row r="4018" spans="1:11" ht="12.45">
      <c r="A4018" s="2" t="str">
        <f ca="1">IFERROR(__xludf.DUMMYFUNCTION("""COMPUTED_VALUE"""),"1739550363762")</f>
        <v>1739550363762</v>
      </c>
      <c r="B4018" s="2"/>
      <c r="C4018" s="2" t="str">
        <v>0</v>
      </c>
      <c r="D4018" s="2"/>
      <c r="F4018" s="2" t="str">
        <v>0</v>
      </c>
      <c r="I4018" s="3" t="str">
        <f ca="1">IFERROR(__xludf.DUMMYFUNCTION("""COMPUTED_VALUE"""),"LƯU KHÁNH HUYỀN")</f>
        <v>LƯU KHÁNH HUYỀN</v>
      </c>
      <c r="J4018" s="3" t="str">
        <f ca="1">IFERROR(__xludf.DUMMYFUNCTION("""COMPUTED_VALUE"""),"0914382088")</f>
        <v>0914382088</v>
      </c>
      <c r="K4018" s="2" t="str">
        <f ca="1">IFERROR(__xludf.DUMMYFUNCTION("""COMPUTED_VALUE"""),"1739550363762")</f>
        <v>1739550363762</v>
      </c>
    </row>
    <row r="4019" spans="1:11" ht="12.45">
      <c r="A4019" s="2" t="str">
        <f ca="1">IFERROR(__xludf.DUMMYFUNCTION("""COMPUTED_VALUE"""),"1739550402869")</f>
        <v>1739550402869</v>
      </c>
      <c r="B4019" s="2"/>
      <c r="C4019" s="2" t="str">
        <v>0</v>
      </c>
      <c r="D4019" s="2"/>
      <c r="F4019" s="2" t="str">
        <v>0</v>
      </c>
      <c r="I4019" s="3" t="str">
        <f ca="1">IFERROR(__xludf.DUMMYFUNCTION("""COMPUTED_VALUE"""),"Nguyễn Thị Như Nguyệt")</f>
        <v>Nguyễn Thị Như Nguyệt</v>
      </c>
      <c r="J4019" s="3" t="str">
        <f ca="1">IFERROR(__xludf.DUMMYFUNCTION("""COMPUTED_VALUE"""),"0867635056")</f>
        <v>0867635056</v>
      </c>
      <c r="K4019" s="2" t="str">
        <f ca="1">IFERROR(__xludf.DUMMYFUNCTION("""COMPUTED_VALUE"""),"1739550402869")</f>
        <v>1739550402869</v>
      </c>
    </row>
    <row r="4020" spans="1:11" ht="12.45">
      <c r="A4020" s="2" t="str">
        <f ca="1">IFERROR(__xludf.DUMMYFUNCTION("""COMPUTED_VALUE"""),"1739550438799")</f>
        <v>1739550438799</v>
      </c>
      <c r="B4020" s="2"/>
      <c r="C4020" s="2" t="str">
        <v>0</v>
      </c>
      <c r="D4020" s="2"/>
      <c r="F4020" s="2" t="str">
        <v>0</v>
      </c>
      <c r="I4020" s="3" t="str">
        <f ca="1">IFERROR(__xludf.DUMMYFUNCTION("""COMPUTED_VALUE"""),"Nguyễn Thiên Bắc")</f>
        <v>Nguyễn Thiên Bắc</v>
      </c>
      <c r="J4020" s="3" t="str">
        <f ca="1">IFERROR(__xludf.DUMMYFUNCTION("""COMPUTED_VALUE"""),"0342761933")</f>
        <v>0342761933</v>
      </c>
      <c r="K4020" s="2" t="str">
        <f ca="1">IFERROR(__xludf.DUMMYFUNCTION("""COMPUTED_VALUE"""),"1739550438799")</f>
        <v>1739550438799</v>
      </c>
    </row>
    <row r="4021" spans="1:11" ht="12.45">
      <c r="A4021" s="2" t="str">
        <f ca="1">IFERROR(__xludf.DUMMYFUNCTION("""COMPUTED_VALUE"""),"1739550477008")</f>
        <v>1739550477008</v>
      </c>
      <c r="B4021" s="2"/>
      <c r="C4021" s="2" t="str">
        <v>0</v>
      </c>
      <c r="D4021" s="2"/>
      <c r="F4021" s="2" t="str">
        <v>0</v>
      </c>
      <c r="I4021" s="3" t="str">
        <f ca="1">IFERROR(__xludf.DUMMYFUNCTION("""COMPUTED_VALUE"""),"Lê Thanh Hương")</f>
        <v>Lê Thanh Hương</v>
      </c>
      <c r="J4021" s="3" t="str">
        <f ca="1">IFERROR(__xludf.DUMMYFUNCTION("""COMPUTED_VALUE"""),"0352509917")</f>
        <v>0352509917</v>
      </c>
      <c r="K4021" s="2" t="str">
        <f ca="1">IFERROR(__xludf.DUMMYFUNCTION("""COMPUTED_VALUE"""),"1739550477008")</f>
        <v>1739550477008</v>
      </c>
    </row>
    <row r="4022" spans="1:11" ht="12.45">
      <c r="A4022" s="2" t="str">
        <f ca="1">IFERROR(__xludf.DUMMYFUNCTION("""COMPUTED_VALUE"""),"1739550507222")</f>
        <v>1739550507222</v>
      </c>
      <c r="B4022" s="2"/>
      <c r="C4022" s="2" t="str">
        <v>0</v>
      </c>
      <c r="D4022" s="2"/>
      <c r="F4022" s="2" t="str">
        <v>0</v>
      </c>
      <c r="I4022" s="3" t="str">
        <f ca="1">IFERROR(__xludf.DUMMYFUNCTION("""COMPUTED_VALUE"""),"Bàn Thị Hà Vi")</f>
        <v>Bàn Thị Hà Vi</v>
      </c>
      <c r="J4022" s="3" t="str">
        <f ca="1">IFERROR(__xludf.DUMMYFUNCTION("""COMPUTED_VALUE"""),"0817617506")</f>
        <v>0817617506</v>
      </c>
      <c r="K4022" s="2" t="str">
        <f ca="1">IFERROR(__xludf.DUMMYFUNCTION("""COMPUTED_VALUE"""),"1739550507222")</f>
        <v>1739550507222</v>
      </c>
    </row>
    <row r="4023" spans="1:11" ht="12.45">
      <c r="A4023" s="2" t="str">
        <f ca="1">IFERROR(__xludf.DUMMYFUNCTION("""COMPUTED_VALUE"""),"1739550537063")</f>
        <v>1739550537063</v>
      </c>
      <c r="B4023" s="2"/>
      <c r="C4023" s="2" t="str">
        <v>0</v>
      </c>
      <c r="D4023" s="2"/>
      <c r="F4023" s="2" t="str">
        <v>0</v>
      </c>
      <c r="I4023" s="3" t="str">
        <f ca="1">IFERROR(__xludf.DUMMYFUNCTION("""COMPUTED_VALUE"""),"Trần Ngọc Xuân Mai")</f>
        <v>Trần Ngọc Xuân Mai</v>
      </c>
      <c r="J4023" s="3" t="str">
        <f ca="1">IFERROR(__xludf.DUMMYFUNCTION("""COMPUTED_VALUE"""),"0707909639")</f>
        <v>0707909639</v>
      </c>
      <c r="K4023" s="2" t="str">
        <f ca="1">IFERROR(__xludf.DUMMYFUNCTION("""COMPUTED_VALUE"""),"1739550537063")</f>
        <v>1739550537063</v>
      </c>
    </row>
    <row r="4024" spans="1:11" ht="12.45">
      <c r="A4024" s="2" t="str">
        <f ca="1">IFERROR(__xludf.DUMMYFUNCTION("""COMPUTED_VALUE"""),"1744770154817")</f>
        <v>1744770154817</v>
      </c>
      <c r="B4024" s="2"/>
      <c r="C4024" s="2" t="str">
        <v>0</v>
      </c>
      <c r="D4024" s="2"/>
      <c r="F4024" s="2" t="str">
        <v>0</v>
      </c>
      <c r="I4024" s="3" t="str">
        <f ca="1">IFERROR(__xludf.DUMMYFUNCTION("""COMPUTED_VALUE"""),"Hoàng Quỳnh Anh")</f>
        <v>Hoàng Quỳnh Anh</v>
      </c>
      <c r="J4024" s="3" t="str">
        <f ca="1">IFERROR(__xludf.DUMMYFUNCTION("""COMPUTED_VALUE"""),"0392164284")</f>
        <v>0392164284</v>
      </c>
      <c r="K4024" s="2" t="str">
        <f ca="1">IFERROR(__xludf.DUMMYFUNCTION("""COMPUTED_VALUE"""),"1744770154817")</f>
        <v>1744770154817</v>
      </c>
    </row>
    <row r="4025" spans="1:11" ht="12.45">
      <c r="A4025" s="2" t="str">
        <f ca="1">IFERROR(__xludf.DUMMYFUNCTION("""COMPUTED_VALUE"""),"1744770185106")</f>
        <v>1744770185106</v>
      </c>
      <c r="B4025" s="2"/>
      <c r="C4025" s="2" t="str">
        <v>0</v>
      </c>
      <c r="D4025" s="2"/>
      <c r="F4025" s="2" t="str">
        <v>0</v>
      </c>
      <c r="I4025" s="3" t="str">
        <f ca="1">IFERROR(__xludf.DUMMYFUNCTION("""COMPUTED_VALUE"""),"Nguyễn Thiên Thương")</f>
        <v>Nguyễn Thiên Thương</v>
      </c>
      <c r="J4025" s="3" t="str">
        <f ca="1">IFERROR(__xludf.DUMMYFUNCTION("""COMPUTED_VALUE"""),"0389420903")</f>
        <v>0389420903</v>
      </c>
      <c r="K4025" s="2" t="str">
        <f ca="1">IFERROR(__xludf.DUMMYFUNCTION("""COMPUTED_VALUE"""),"1744770185106")</f>
        <v>1744770185106</v>
      </c>
    </row>
    <row r="4026" spans="1:11" ht="12.45">
      <c r="A4026" s="2" t="str">
        <f ca="1">IFERROR(__xludf.DUMMYFUNCTION("""COMPUTED_VALUE"""),"1744770211980")</f>
        <v>1744770211980</v>
      </c>
      <c r="B4026" s="2"/>
      <c r="C4026" s="2" t="str">
        <v>0</v>
      </c>
      <c r="D4026" s="2"/>
      <c r="F4026" s="2" t="str">
        <v>0</v>
      </c>
      <c r="I4026" s="3" t="str">
        <f ca="1">IFERROR(__xludf.DUMMYFUNCTION("""COMPUTED_VALUE"""),"Nguyễn Ngọc Yến Phương")</f>
        <v>Nguyễn Ngọc Yến Phương</v>
      </c>
      <c r="J4026" s="3" t="str">
        <f ca="1">IFERROR(__xludf.DUMMYFUNCTION("""COMPUTED_VALUE"""),"0905750954")</f>
        <v>0905750954</v>
      </c>
      <c r="K4026" s="2" t="str">
        <f ca="1">IFERROR(__xludf.DUMMYFUNCTION("""COMPUTED_VALUE"""),"1744770211980")</f>
        <v>1744770211980</v>
      </c>
    </row>
    <row r="4027" spans="1:11" ht="12.45">
      <c r="A4027" s="2" t="str">
        <f ca="1">IFERROR(__xludf.DUMMYFUNCTION("""COMPUTED_VALUE"""),"1744770236784")</f>
        <v>1744770236784</v>
      </c>
      <c r="B4027" s="2"/>
      <c r="C4027" s="2" t="str">
        <v>0</v>
      </c>
      <c r="D4027" s="2"/>
      <c r="F4027" s="2" t="str">
        <v>0</v>
      </c>
      <c r="I4027" s="3" t="str">
        <f ca="1">IFERROR(__xludf.DUMMYFUNCTION("""COMPUTED_VALUE"""),"Nguyễn Khánh Ngọc")</f>
        <v>Nguyễn Khánh Ngọc</v>
      </c>
      <c r="J4027" s="3" t="str">
        <f ca="1">IFERROR(__xludf.DUMMYFUNCTION("""COMPUTED_VALUE"""),"0912547938")</f>
        <v>0912547938</v>
      </c>
      <c r="K4027" s="2" t="str">
        <f ca="1">IFERROR(__xludf.DUMMYFUNCTION("""COMPUTED_VALUE"""),"1744770236784")</f>
        <v>1744770236784</v>
      </c>
    </row>
    <row r="4028" spans="1:11" ht="12.45">
      <c r="A4028" s="2" t="str">
        <f ca="1">IFERROR(__xludf.DUMMYFUNCTION("""COMPUTED_VALUE"""),"1744770265251")</f>
        <v>1744770265251</v>
      </c>
      <c r="B4028" s="2"/>
      <c r="C4028" s="2" t="str">
        <v>0</v>
      </c>
      <c r="D4028" s="2"/>
      <c r="F4028" s="2" t="str">
        <v>0</v>
      </c>
      <c r="I4028" s="3" t="str">
        <f ca="1">IFERROR(__xludf.DUMMYFUNCTION("""COMPUTED_VALUE"""),"Phạm Thị Mai Liên ")</f>
        <v xml:space="preserve">Phạm Thị Mai Liên </v>
      </c>
      <c r="J4028" s="3" t="str">
        <f ca="1">IFERROR(__xludf.DUMMYFUNCTION("""COMPUTED_VALUE"""),"0903140093")</f>
        <v>0903140093</v>
      </c>
      <c r="K4028" s="2" t="str">
        <f ca="1">IFERROR(__xludf.DUMMYFUNCTION("""COMPUTED_VALUE"""),"1744770265251")</f>
        <v>1744770265251</v>
      </c>
    </row>
    <row r="4029" spans="1:11" ht="12.45">
      <c r="A4029" s="2" t="str">
        <f ca="1">IFERROR(__xludf.DUMMYFUNCTION("""COMPUTED_VALUE"""),"1744770293477")</f>
        <v>1744770293477</v>
      </c>
      <c r="B4029" s="2"/>
      <c r="C4029" s="2" t="str">
        <v>0</v>
      </c>
      <c r="D4029" s="2"/>
      <c r="F4029" s="2" t="str">
        <v>0</v>
      </c>
      <c r="I4029" s="3" t="str">
        <f ca="1">IFERROR(__xludf.DUMMYFUNCTION("""COMPUTED_VALUE"""),"Lê Việt Anh")</f>
        <v>Lê Việt Anh</v>
      </c>
      <c r="J4029" s="3" t="str">
        <f ca="1">IFERROR(__xludf.DUMMYFUNCTION("""COMPUTED_VALUE"""),"0862107015")</f>
        <v>0862107015</v>
      </c>
      <c r="K4029" s="2" t="str">
        <f ca="1">IFERROR(__xludf.DUMMYFUNCTION("""COMPUTED_VALUE"""),"1744770293477")</f>
        <v>1744770293477</v>
      </c>
    </row>
    <row r="4030" spans="1:11" ht="12.45">
      <c r="A4030" s="2" t="str">
        <f ca="1">IFERROR(__xludf.DUMMYFUNCTION("""COMPUTED_VALUE"""),"1744770319545")</f>
        <v>1744770319545</v>
      </c>
      <c r="B4030" s="2"/>
      <c r="C4030" s="2" t="str">
        <v>0</v>
      </c>
      <c r="D4030" s="2"/>
      <c r="F4030" s="2" t="str">
        <v>0</v>
      </c>
      <c r="I4030" s="3" t="str">
        <f ca="1">IFERROR(__xludf.DUMMYFUNCTION("""COMPUTED_VALUE"""),"Nguyễn Anh Thư")</f>
        <v>Nguyễn Anh Thư</v>
      </c>
      <c r="J4030" s="3" t="str">
        <f ca="1">IFERROR(__xludf.DUMMYFUNCTION("""COMPUTED_VALUE"""),"0974248236")</f>
        <v>0974248236</v>
      </c>
      <c r="K4030" s="2" t="str">
        <f ca="1">IFERROR(__xludf.DUMMYFUNCTION("""COMPUTED_VALUE"""),"1744770319545")</f>
        <v>1744770319545</v>
      </c>
    </row>
    <row r="4031" spans="1:11" ht="12.45">
      <c r="A4031" s="2" t="str">
        <f ca="1">IFERROR(__xludf.DUMMYFUNCTION("""COMPUTED_VALUE"""),"1744770352875")</f>
        <v>1744770352875</v>
      </c>
      <c r="B4031" s="2"/>
      <c r="C4031" s="2" t="str">
        <v>0</v>
      </c>
      <c r="D4031" s="2"/>
      <c r="F4031" s="2" t="str">
        <v>0</v>
      </c>
      <c r="I4031" s="3" t="str">
        <f ca="1">IFERROR(__xludf.DUMMYFUNCTION("""COMPUTED_VALUE"""),"Nguyễn Mai Hằng")</f>
        <v>Nguyễn Mai Hằng</v>
      </c>
      <c r="J4031" s="3" t="str">
        <f ca="1">IFERROR(__xludf.DUMMYFUNCTION("""COMPUTED_VALUE"""),"0762107322")</f>
        <v>0762107322</v>
      </c>
      <c r="K4031" s="2" t="str">
        <f ca="1">IFERROR(__xludf.DUMMYFUNCTION("""COMPUTED_VALUE"""),"1744770352875")</f>
        <v>1744770352875</v>
      </c>
    </row>
    <row r="4032" spans="1:11" ht="12.45">
      <c r="A4032" s="2" t="str">
        <f ca="1">IFERROR(__xludf.DUMMYFUNCTION("""COMPUTED_VALUE"""),"1744770384676")</f>
        <v>1744770384676</v>
      </c>
      <c r="B4032" s="2"/>
      <c r="C4032" s="2" t="str">
        <v>0</v>
      </c>
      <c r="D4032" s="2"/>
      <c r="F4032" s="2" t="str">
        <v>0</v>
      </c>
      <c r="I4032" s="3" t="str">
        <f ca="1">IFERROR(__xludf.DUMMYFUNCTION("""COMPUTED_VALUE"""),"Nguyễn Thị Thuỳ Dương")</f>
        <v>Nguyễn Thị Thuỳ Dương</v>
      </c>
      <c r="J4032" s="3" t="str">
        <f ca="1">IFERROR(__xludf.DUMMYFUNCTION("""COMPUTED_VALUE"""),"0965367682")</f>
        <v>0965367682</v>
      </c>
      <c r="K4032" s="2" t="str">
        <f ca="1">IFERROR(__xludf.DUMMYFUNCTION("""COMPUTED_VALUE"""),"1744770384676")</f>
        <v>1744770384676</v>
      </c>
    </row>
    <row r="4033" spans="1:11" ht="12.45">
      <c r="A4033" s="2" t="str">
        <f ca="1">IFERROR(__xludf.DUMMYFUNCTION("""COMPUTED_VALUE"""),"1744770420842")</f>
        <v>1744770420842</v>
      </c>
      <c r="B4033" s="2"/>
      <c r="C4033" s="2" t="str">
        <v>0</v>
      </c>
      <c r="D4033" s="2"/>
      <c r="F4033" s="2" t="str">
        <v>0</v>
      </c>
      <c r="I4033" s="3" t="str">
        <f ca="1">IFERROR(__xludf.DUMMYFUNCTION("""COMPUTED_VALUE"""),"Trần Thảo Ngân")</f>
        <v>Trần Thảo Ngân</v>
      </c>
      <c r="J4033" s="3" t="str">
        <f ca="1">IFERROR(__xludf.DUMMYFUNCTION("""COMPUTED_VALUE"""),"0911418945")</f>
        <v>0911418945</v>
      </c>
      <c r="K4033" s="2" t="str">
        <f ca="1">IFERROR(__xludf.DUMMYFUNCTION("""COMPUTED_VALUE"""),"1744770420842")</f>
        <v>1744770420842</v>
      </c>
    </row>
    <row r="4034" spans="1:11" ht="12.45">
      <c r="A4034" s="2" t="str">
        <f ca="1">IFERROR(__xludf.DUMMYFUNCTION("""COMPUTED_VALUE"""),"1744770454504")</f>
        <v>1744770454504</v>
      </c>
      <c r="B4034" s="2"/>
      <c r="C4034" s="2" t="str">
        <v>0</v>
      </c>
      <c r="D4034" s="2"/>
      <c r="F4034" s="2" t="str">
        <v>0</v>
      </c>
      <c r="I4034" s="3" t="str">
        <f ca="1">IFERROR(__xludf.DUMMYFUNCTION("""COMPUTED_VALUE"""),"Đỗ Minh Huệ")</f>
        <v>Đỗ Minh Huệ</v>
      </c>
      <c r="J4034" s="3" t="str">
        <f ca="1">IFERROR(__xludf.DUMMYFUNCTION("""COMPUTED_VALUE"""),"8437426979")</f>
        <v>8437426979</v>
      </c>
      <c r="K4034" s="2" t="str">
        <f ca="1">IFERROR(__xludf.DUMMYFUNCTION("""COMPUTED_VALUE"""),"1744770454504")</f>
        <v>1744770454504</v>
      </c>
    </row>
    <row r="4035" spans="1:11" ht="12.45">
      <c r="A4035" s="2" t="str">
        <f ca="1">IFERROR(__xludf.DUMMYFUNCTION("""COMPUTED_VALUE"""),"1744770485271")</f>
        <v>1744770485271</v>
      </c>
      <c r="B4035" s="2"/>
      <c r="C4035" s="2" t="str">
        <v>0</v>
      </c>
      <c r="D4035" s="2"/>
      <c r="F4035" s="2" t="str">
        <v>0</v>
      </c>
      <c r="I4035" s="3" t="str">
        <f ca="1">IFERROR(__xludf.DUMMYFUNCTION("""COMPUTED_VALUE"""),"Đào xuân nam")</f>
        <v>Đào xuân nam</v>
      </c>
      <c r="J4035" s="3" t="str">
        <f ca="1">IFERROR(__xludf.DUMMYFUNCTION("""COMPUTED_VALUE"""),"0382837896")</f>
        <v>0382837896</v>
      </c>
      <c r="K4035" s="2" t="str">
        <f ca="1">IFERROR(__xludf.DUMMYFUNCTION("""COMPUTED_VALUE"""),"1744770485271")</f>
        <v>1744770485271</v>
      </c>
    </row>
    <row r="4036" spans="1:11" ht="12.45">
      <c r="A4036" s="2" t="str">
        <f ca="1">IFERROR(__xludf.DUMMYFUNCTION("""COMPUTED_VALUE"""),"1744770516218")</f>
        <v>1744770516218</v>
      </c>
      <c r="B4036" s="2"/>
      <c r="C4036" s="2" t="str">
        <v>0</v>
      </c>
      <c r="D4036" s="2"/>
      <c r="F4036" s="2" t="str">
        <v>0</v>
      </c>
      <c r="I4036" s="3" t="str">
        <f ca="1">IFERROR(__xludf.DUMMYFUNCTION("""COMPUTED_VALUE"""),"Lê Khánh Chi")</f>
        <v>Lê Khánh Chi</v>
      </c>
      <c r="J4036" s="3" t="str">
        <f ca="1">IFERROR(__xludf.DUMMYFUNCTION("""COMPUTED_VALUE"""),"0814976956")</f>
        <v>0814976956</v>
      </c>
      <c r="K4036" s="2" t="str">
        <f ca="1">IFERROR(__xludf.DUMMYFUNCTION("""COMPUTED_VALUE"""),"1744770516218")</f>
        <v>1744770516218</v>
      </c>
    </row>
    <row r="4037" spans="1:11" ht="12.45">
      <c r="A4037" s="2" t="str">
        <f ca="1">IFERROR(__xludf.DUMMYFUNCTION("""COMPUTED_VALUE"""),"1744770553847")</f>
        <v>1744770553847</v>
      </c>
      <c r="B4037" s="2"/>
      <c r="C4037" s="2" t="str">
        <v>0</v>
      </c>
      <c r="D4037" s="2"/>
      <c r="F4037" s="2" t="str">
        <v>0</v>
      </c>
      <c r="I4037" s="3" t="str">
        <f ca="1">IFERROR(__xludf.DUMMYFUNCTION("""COMPUTED_VALUE"""),"Chu Toàn Quân")</f>
        <v>Chu Toàn Quân</v>
      </c>
      <c r="J4037" s="3" t="str">
        <f ca="1">IFERROR(__xludf.DUMMYFUNCTION("""COMPUTED_VALUE"""),"0971699094")</f>
        <v>0971699094</v>
      </c>
      <c r="K4037" s="2" t="str">
        <f ca="1">IFERROR(__xludf.DUMMYFUNCTION("""COMPUTED_VALUE"""),"1744770553847")</f>
        <v>1744770553847</v>
      </c>
    </row>
    <row r="4038" spans="1:11" ht="12.45">
      <c r="A4038" s="2" t="str">
        <f ca="1">IFERROR(__xludf.DUMMYFUNCTION("""COMPUTED_VALUE"""),"1744770612495")</f>
        <v>1744770612495</v>
      </c>
      <c r="B4038" s="2"/>
      <c r="C4038" s="2" t="str">
        <v>0</v>
      </c>
      <c r="D4038" s="2"/>
      <c r="F4038" s="2" t="str">
        <v>0</v>
      </c>
      <c r="I4038" s="3" t="str">
        <f ca="1">IFERROR(__xludf.DUMMYFUNCTION("""COMPUTED_VALUE"""),"Trần Thu Hà")</f>
        <v>Trần Thu Hà</v>
      </c>
      <c r="J4038" s="3" t="str">
        <f ca="1">IFERROR(__xludf.DUMMYFUNCTION("""COMPUTED_VALUE"""),"0869198606")</f>
        <v>0869198606</v>
      </c>
      <c r="K4038" s="2" t="str">
        <f ca="1">IFERROR(__xludf.DUMMYFUNCTION("""COMPUTED_VALUE"""),"1744770612495")</f>
        <v>1744770612495</v>
      </c>
    </row>
    <row r="4039" spans="1:11" ht="12.45">
      <c r="A4039" s="2" t="str">
        <f ca="1">IFERROR(__xludf.DUMMYFUNCTION("""COMPUTED_VALUE"""),"1744770651005")</f>
        <v>1744770651005</v>
      </c>
      <c r="B4039" s="2"/>
      <c r="C4039" s="2" t="str">
        <v>0</v>
      </c>
      <c r="D4039" s="2"/>
      <c r="F4039" s="2" t="str">
        <v>0</v>
      </c>
      <c r="I4039" s="3" t="str">
        <f ca="1">IFERROR(__xludf.DUMMYFUNCTION("""COMPUTED_VALUE"""),"Mai Quỳnh My")</f>
        <v>Mai Quỳnh My</v>
      </c>
      <c r="J4039" s="3" t="str">
        <f ca="1">IFERROR(__xludf.DUMMYFUNCTION("""COMPUTED_VALUE"""),"0334723284")</f>
        <v>0334723284</v>
      </c>
      <c r="K4039" s="2" t="str">
        <f ca="1">IFERROR(__xludf.DUMMYFUNCTION("""COMPUTED_VALUE"""),"1744770651005")</f>
        <v>1744770651005</v>
      </c>
    </row>
    <row r="4040" spans="1:11" ht="12.45">
      <c r="A4040" s="2" t="str">
        <f ca="1">IFERROR(__xludf.DUMMYFUNCTION("""COMPUTED_VALUE"""),"1744770673509")</f>
        <v>1744770673509</v>
      </c>
      <c r="B4040" s="2"/>
      <c r="C4040" s="2" t="str">
        <v>0</v>
      </c>
      <c r="D4040" s="2"/>
      <c r="F4040" s="2" t="str">
        <v>0</v>
      </c>
      <c r="I4040" s="3" t="str">
        <f ca="1">IFERROR(__xludf.DUMMYFUNCTION("""COMPUTED_VALUE"""),"Nguyễn Thái Bảo Linh")</f>
        <v>Nguyễn Thái Bảo Linh</v>
      </c>
      <c r="J4040" s="3" t="str">
        <f ca="1">IFERROR(__xludf.DUMMYFUNCTION("""COMPUTED_VALUE"""),"0986033395")</f>
        <v>0986033395</v>
      </c>
      <c r="K4040" s="2" t="str">
        <f ca="1">IFERROR(__xludf.DUMMYFUNCTION("""COMPUTED_VALUE"""),"1744770673509")</f>
        <v>1744770673509</v>
      </c>
    </row>
    <row r="4041" spans="1:11" ht="12.45">
      <c r="A4041" s="2" t="str">
        <f ca="1">IFERROR(__xludf.DUMMYFUNCTION("""COMPUTED_VALUE"""),"1744770836350")</f>
        <v>1744770836350</v>
      </c>
      <c r="B4041" s="2"/>
      <c r="C4041" s="2" t="str">
        <v>0</v>
      </c>
      <c r="D4041" s="2"/>
      <c r="F4041" s="2" t="str">
        <v>0</v>
      </c>
      <c r="I4041" s="3" t="str">
        <f ca="1">IFERROR(__xludf.DUMMYFUNCTION("""COMPUTED_VALUE"""),"Phạm Phương Anh")</f>
        <v>Phạm Phương Anh</v>
      </c>
      <c r="J4041" s="3" t="str">
        <f ca="1">IFERROR(__xludf.DUMMYFUNCTION("""COMPUTED_VALUE"""),"0336969515")</f>
        <v>0336969515</v>
      </c>
      <c r="K4041" s="2" t="str">
        <f ca="1">IFERROR(__xludf.DUMMYFUNCTION("""COMPUTED_VALUE"""),"1744770836350")</f>
        <v>1744770836350</v>
      </c>
    </row>
    <row r="4042" spans="1:11" ht="12.45">
      <c r="A4042" s="2" t="str">
        <f ca="1">IFERROR(__xludf.DUMMYFUNCTION("""COMPUTED_VALUE"""),"1744770747528")</f>
        <v>1744770747528</v>
      </c>
      <c r="B4042" s="2"/>
      <c r="C4042" s="2" t="str">
        <v>0</v>
      </c>
      <c r="D4042" s="2"/>
      <c r="F4042" s="2" t="str">
        <v>0</v>
      </c>
      <c r="I4042" s="3" t="str">
        <f ca="1">IFERROR(__xludf.DUMMYFUNCTION("""COMPUTED_VALUE"""),"Vũ Ngọc Quỳnh Trâm")</f>
        <v>Vũ Ngọc Quỳnh Trâm</v>
      </c>
      <c r="J4042" s="3" t="str">
        <f ca="1">IFERROR(__xludf.DUMMYFUNCTION("""COMPUTED_VALUE"""),"0327950212")</f>
        <v>0327950212</v>
      </c>
      <c r="K4042" s="2" t="str">
        <f ca="1">IFERROR(__xludf.DUMMYFUNCTION("""COMPUTED_VALUE"""),"1744770747528")</f>
        <v>1744770747528</v>
      </c>
    </row>
    <row r="4043" spans="1:11" ht="12.45">
      <c r="A4043" s="2" t="str">
        <f ca="1">IFERROR(__xludf.DUMMYFUNCTION("""COMPUTED_VALUE"""),"1744770776881")</f>
        <v>1744770776881</v>
      </c>
      <c r="B4043" s="2"/>
      <c r="C4043" s="2" t="str">
        <v>0</v>
      </c>
      <c r="D4043" s="2"/>
      <c r="F4043" s="2" t="str">
        <v>0</v>
      </c>
      <c r="I4043" s="3" t="str">
        <f ca="1">IFERROR(__xludf.DUMMYFUNCTION("""COMPUTED_VALUE"""),"Trần Kiều Anh")</f>
        <v>Trần Kiều Anh</v>
      </c>
      <c r="J4043" s="3" t="str">
        <f ca="1">IFERROR(__xludf.DUMMYFUNCTION("""COMPUTED_VALUE"""),"0943351585")</f>
        <v>0943351585</v>
      </c>
      <c r="K4043" s="2" t="str">
        <f ca="1">IFERROR(__xludf.DUMMYFUNCTION("""COMPUTED_VALUE"""),"1744770776881")</f>
        <v>1744770776881</v>
      </c>
    </row>
    <row r="4044" spans="1:11" ht="12.45">
      <c r="A4044" s="2" t="str">
        <f ca="1">IFERROR(__xludf.DUMMYFUNCTION("""COMPUTED_VALUE"""),"1744770808058")</f>
        <v>1744770808058</v>
      </c>
      <c r="B4044" s="2"/>
      <c r="C4044" s="2" t="str">
        <v>0</v>
      </c>
      <c r="D4044" s="2"/>
      <c r="F4044" s="2" t="str">
        <v>0</v>
      </c>
      <c r="I4044" s="3" t="str">
        <f ca="1">IFERROR(__xludf.DUMMYFUNCTION("""COMPUTED_VALUE"""),"Trần Phúc Anh Thư")</f>
        <v>Trần Phúc Anh Thư</v>
      </c>
      <c r="J4044" s="3" t="str">
        <f ca="1">IFERROR(__xludf.DUMMYFUNCTION("""COMPUTED_VALUE"""),"0708263361")</f>
        <v>0708263361</v>
      </c>
      <c r="K4044" s="2" t="str">
        <f ca="1">IFERROR(__xludf.DUMMYFUNCTION("""COMPUTED_VALUE"""),"1744770808058")</f>
        <v>1744770808058</v>
      </c>
    </row>
    <row r="4045" spans="1:11" ht="12.45">
      <c r="A4045" s="2" t="str">
        <f ca="1">IFERROR(__xludf.DUMMYFUNCTION("""COMPUTED_VALUE"""),"1744770709776")</f>
        <v>1744770709776</v>
      </c>
      <c r="B4045" s="2"/>
      <c r="C4045" s="2" t="str">
        <v>0</v>
      </c>
      <c r="D4045" s="2"/>
      <c r="F4045" s="2" t="str">
        <v>0</v>
      </c>
      <c r="I4045" s="3" t="str">
        <f ca="1">IFERROR(__xludf.DUMMYFUNCTION("""COMPUTED_VALUE"""),"Vũ Thị Phương Anh")</f>
        <v>Vũ Thị Phương Anh</v>
      </c>
      <c r="J4045" s="3" t="str">
        <f ca="1">IFERROR(__xludf.DUMMYFUNCTION("""COMPUTED_VALUE"""),"0346528685")</f>
        <v>0346528685</v>
      </c>
      <c r="K4045" s="2" t="str">
        <f ca="1">IFERROR(__xludf.DUMMYFUNCTION("""COMPUTED_VALUE"""),"1744770709776")</f>
        <v>1744770709776</v>
      </c>
    </row>
    <row r="4046" spans="1:11" ht="12.45">
      <c r="A4046" s="2" t="str">
        <f ca="1">IFERROR(__xludf.DUMMYFUNCTION("""COMPUTED_VALUE"""),"1744770867789")</f>
        <v>1744770867789</v>
      </c>
      <c r="B4046" s="2"/>
      <c r="C4046" s="2" t="str">
        <v>0</v>
      </c>
      <c r="D4046" s="2"/>
      <c r="F4046" s="2" t="str">
        <v>0</v>
      </c>
      <c r="I4046" s="3" t="str">
        <f ca="1">IFERROR(__xludf.DUMMYFUNCTION("""COMPUTED_VALUE"""),"Võ Lê Gia Hân")</f>
        <v>Võ Lê Gia Hân</v>
      </c>
      <c r="J4046" s="3" t="str">
        <f ca="1">IFERROR(__xludf.DUMMYFUNCTION("""COMPUTED_VALUE"""),"0842171107")</f>
        <v>0842171107</v>
      </c>
      <c r="K4046" s="2" t="str">
        <f ca="1">IFERROR(__xludf.DUMMYFUNCTION("""COMPUTED_VALUE"""),"1744770867789")</f>
        <v>1744770867789</v>
      </c>
    </row>
    <row r="4047" spans="1:11" ht="12.45">
      <c r="A4047" s="2" t="str">
        <f ca="1">IFERROR(__xludf.DUMMYFUNCTION("""COMPUTED_VALUE"""),"1744770897237")</f>
        <v>1744770897237</v>
      </c>
      <c r="B4047" s="2"/>
      <c r="C4047" s="2" t="str">
        <v>0</v>
      </c>
      <c r="D4047" s="2"/>
      <c r="F4047" s="2" t="str">
        <v>0</v>
      </c>
      <c r="I4047" s="3" t="str">
        <f ca="1">IFERROR(__xludf.DUMMYFUNCTION("""COMPUTED_VALUE"""),"Hồ Nguyễn Đông Nghi ")</f>
        <v xml:space="preserve">Hồ Nguyễn Đông Nghi </v>
      </c>
      <c r="J4047" s="3" t="str">
        <f ca="1">IFERROR(__xludf.DUMMYFUNCTION("""COMPUTED_VALUE"""),"0774026278")</f>
        <v>0774026278</v>
      </c>
      <c r="K4047" s="2" t="str">
        <f ca="1">IFERROR(__xludf.DUMMYFUNCTION("""COMPUTED_VALUE"""),"1744770897237")</f>
        <v>1744770897237</v>
      </c>
    </row>
    <row r="4048" spans="1:11" ht="12.45">
      <c r="A4048" s="2" t="str">
        <f ca="1">IFERROR(__xludf.DUMMYFUNCTION("""COMPUTED_VALUE"""),"1744770941755")</f>
        <v>1744770941755</v>
      </c>
      <c r="B4048" s="2"/>
      <c r="C4048" s="2" t="str">
        <v>0</v>
      </c>
      <c r="D4048" s="2"/>
      <c r="F4048" s="2" t="str">
        <v>0</v>
      </c>
      <c r="I4048" s="3" t="str">
        <f ca="1">IFERROR(__xludf.DUMMYFUNCTION("""COMPUTED_VALUE"""),"Võ Quỳnh Như")</f>
        <v>Võ Quỳnh Như</v>
      </c>
      <c r="J4048" s="3" t="str">
        <f ca="1">IFERROR(__xludf.DUMMYFUNCTION("""COMPUTED_VALUE"""),"0825751107")</f>
        <v>0825751107</v>
      </c>
      <c r="K4048" s="2" t="str">
        <f ca="1">IFERROR(__xludf.DUMMYFUNCTION("""COMPUTED_VALUE"""),"1744770941755")</f>
        <v>1744770941755</v>
      </c>
    </row>
    <row r="4049" spans="1:11" ht="12.45">
      <c r="A4049" s="2" t="str">
        <f ca="1">IFERROR(__xludf.DUMMYFUNCTION("""COMPUTED_VALUE"""),"1744770976106")</f>
        <v>1744770976106</v>
      </c>
      <c r="B4049" s="2"/>
      <c r="C4049" s="2" t="str">
        <v>0</v>
      </c>
      <c r="D4049" s="2"/>
      <c r="F4049" s="2" t="str">
        <v>0</v>
      </c>
      <c r="I4049" s="3" t="str">
        <f ca="1">IFERROR(__xludf.DUMMYFUNCTION("""COMPUTED_VALUE"""),"Nguyễn Thụy Đan Thư")</f>
        <v>Nguyễn Thụy Đan Thư</v>
      </c>
      <c r="J4049" s="3" t="str">
        <f ca="1">IFERROR(__xludf.DUMMYFUNCTION("""COMPUTED_VALUE"""),"0904622097")</f>
        <v>0904622097</v>
      </c>
      <c r="K4049" s="2" t="str">
        <f ca="1">IFERROR(__xludf.DUMMYFUNCTION("""COMPUTED_VALUE"""),"1744770976106")</f>
        <v>1744770976106</v>
      </c>
    </row>
    <row r="4050" spans="1:11" ht="12.45">
      <c r="A4050" s="2" t="str">
        <f ca="1">IFERROR(__xludf.DUMMYFUNCTION("""COMPUTED_VALUE"""),"1744771001365")</f>
        <v>1744771001365</v>
      </c>
      <c r="B4050" s="2"/>
      <c r="C4050" s="2" t="str">
        <v>0</v>
      </c>
      <c r="D4050" s="2"/>
      <c r="F4050" s="2" t="str">
        <v>0</v>
      </c>
      <c r="I4050" s="3" t="str">
        <f ca="1">IFERROR(__xludf.DUMMYFUNCTION("""COMPUTED_VALUE"""),"Trịnh Thị Phương Anh ")</f>
        <v xml:space="preserve">Trịnh Thị Phương Anh </v>
      </c>
      <c r="J4050" s="3" t="str">
        <f ca="1">IFERROR(__xludf.DUMMYFUNCTION("""COMPUTED_VALUE"""),"0333052007")</f>
        <v>0333052007</v>
      </c>
      <c r="K4050" s="2" t="str">
        <f ca="1">IFERROR(__xludf.DUMMYFUNCTION("""COMPUTED_VALUE"""),"1744771001365")</f>
        <v>1744771001365</v>
      </c>
    </row>
    <row r="4051" spans="1:11" ht="12.45">
      <c r="A4051" s="2" t="str">
        <f ca="1">IFERROR(__xludf.DUMMYFUNCTION("""COMPUTED_VALUE"""),"1744771029495")</f>
        <v>1744771029495</v>
      </c>
      <c r="B4051" s="2"/>
      <c r="C4051" s="2" t="str">
        <v>0</v>
      </c>
      <c r="D4051" s="2"/>
      <c r="F4051" s="2" t="str">
        <v>0</v>
      </c>
      <c r="I4051" s="3" t="str">
        <f ca="1">IFERROR(__xludf.DUMMYFUNCTION("""COMPUTED_VALUE"""),"Trần Phương Mai")</f>
        <v>Trần Phương Mai</v>
      </c>
      <c r="J4051" s="3" t="str">
        <f ca="1">IFERROR(__xludf.DUMMYFUNCTION("""COMPUTED_VALUE"""),"0968751477")</f>
        <v>0968751477</v>
      </c>
      <c r="K4051" s="2" t="str">
        <f ca="1">IFERROR(__xludf.DUMMYFUNCTION("""COMPUTED_VALUE"""),"1744771029495")</f>
        <v>1744771029495</v>
      </c>
    </row>
    <row r="4052" spans="1:11" ht="12.45">
      <c r="A4052" s="2" t="str">
        <f ca="1">IFERROR(__xludf.DUMMYFUNCTION("""COMPUTED_VALUE"""),"1744771059066")</f>
        <v>1744771059066</v>
      </c>
      <c r="B4052" s="2"/>
      <c r="C4052" s="2" t="str">
        <v>0</v>
      </c>
      <c r="D4052" s="2"/>
      <c r="F4052" s="2" t="str">
        <v>0</v>
      </c>
      <c r="I4052" s="3" t="str">
        <f ca="1">IFERROR(__xludf.DUMMYFUNCTION("""COMPUTED_VALUE"""),"Dương Văn Đạt ")</f>
        <v xml:space="preserve">Dương Văn Đạt </v>
      </c>
      <c r="J4052" s="3" t="str">
        <f ca="1">IFERROR(__xludf.DUMMYFUNCTION("""COMPUTED_VALUE"""),"0337422527")</f>
        <v>0337422527</v>
      </c>
      <c r="K4052" s="2" t="str">
        <f ca="1">IFERROR(__xludf.DUMMYFUNCTION("""COMPUTED_VALUE"""),"1744771059066")</f>
        <v>1744771059066</v>
      </c>
    </row>
    <row r="4053" spans="1:11" ht="12.45">
      <c r="A4053" s="2" t="str">
        <f ca="1">IFERROR(__xludf.DUMMYFUNCTION("""COMPUTED_VALUE"""),"1744771085830")</f>
        <v>1744771085830</v>
      </c>
      <c r="B4053" s="2"/>
      <c r="C4053" s="2" t="str">
        <v>0</v>
      </c>
      <c r="D4053" s="2"/>
      <c r="F4053" s="2" t="str">
        <v>0</v>
      </c>
      <c r="I4053" s="3" t="str">
        <f ca="1">IFERROR(__xludf.DUMMYFUNCTION("""COMPUTED_VALUE"""),"Đỗ Mai Uyên Nhi")</f>
        <v>Đỗ Mai Uyên Nhi</v>
      </c>
      <c r="J4053" s="3" t="str">
        <f ca="1">IFERROR(__xludf.DUMMYFUNCTION("""COMPUTED_VALUE"""),"0385388047")</f>
        <v>0385388047</v>
      </c>
      <c r="K4053" s="2" t="str">
        <f ca="1">IFERROR(__xludf.DUMMYFUNCTION("""COMPUTED_VALUE"""),"1744771085830")</f>
        <v>1744771085830</v>
      </c>
    </row>
    <row r="4054" spans="1:11" ht="12.45">
      <c r="A4054" s="2" t="str">
        <f ca="1">IFERROR(__xludf.DUMMYFUNCTION("""COMPUTED_VALUE"""),"1744771128975")</f>
        <v>1744771128975</v>
      </c>
      <c r="B4054" s="2"/>
      <c r="C4054" s="2" t="str">
        <v>0</v>
      </c>
      <c r="D4054" s="2"/>
      <c r="F4054" s="2" t="str">
        <v>0</v>
      </c>
      <c r="I4054" s="3" t="str">
        <f ca="1">IFERROR(__xludf.DUMMYFUNCTION("""COMPUTED_VALUE"""),"Nguyễn Hoàng Linh Giang ")</f>
        <v xml:space="preserve">Nguyễn Hoàng Linh Giang </v>
      </c>
      <c r="J4054" s="3" t="str">
        <f ca="1">IFERROR(__xludf.DUMMYFUNCTION("""COMPUTED_VALUE"""),"0399417990")</f>
        <v>0399417990</v>
      </c>
      <c r="K4054" s="2" t="str">
        <f ca="1">IFERROR(__xludf.DUMMYFUNCTION("""COMPUTED_VALUE"""),"1744771128975")</f>
        <v>1744771128975</v>
      </c>
    </row>
    <row r="4055" spans="1:11" ht="12.45">
      <c r="A4055" s="2" t="str">
        <f ca="1">IFERROR(__xludf.DUMMYFUNCTION("""COMPUTED_VALUE"""),"1744771155311")</f>
        <v>1744771155311</v>
      </c>
      <c r="B4055" s="2"/>
      <c r="C4055" s="2" t="str">
        <v>0</v>
      </c>
      <c r="D4055" s="2"/>
      <c r="F4055" s="2" t="str">
        <v>0</v>
      </c>
      <c r="I4055" s="3" t="str">
        <f ca="1">IFERROR(__xludf.DUMMYFUNCTION("""COMPUTED_VALUE"""),"Nguyễn Bảo Gia Hân")</f>
        <v>Nguyễn Bảo Gia Hân</v>
      </c>
      <c r="J4055" s="3" t="str">
        <f ca="1">IFERROR(__xludf.DUMMYFUNCTION("""COMPUTED_VALUE"""),"0942949810")</f>
        <v>0942949810</v>
      </c>
      <c r="K4055" s="2" t="str">
        <f ca="1">IFERROR(__xludf.DUMMYFUNCTION("""COMPUTED_VALUE"""),"1744771155311")</f>
        <v>1744771155311</v>
      </c>
    </row>
    <row r="4056" spans="1:11" ht="12.45">
      <c r="A4056" s="2" t="str">
        <f ca="1">IFERROR(__xludf.DUMMYFUNCTION("""COMPUTED_VALUE"""),"1744771178602")</f>
        <v>1744771178602</v>
      </c>
      <c r="B4056" s="2"/>
      <c r="C4056" s="2" t="str">
        <v>0</v>
      </c>
      <c r="D4056" s="2"/>
      <c r="F4056" s="2" t="str">
        <v>0</v>
      </c>
      <c r="I4056" s="3" t="str">
        <f ca="1">IFERROR(__xludf.DUMMYFUNCTION("""COMPUTED_VALUE"""),"Phạm Hải Ngân")</f>
        <v>Phạm Hải Ngân</v>
      </c>
      <c r="J4056" s="3" t="str">
        <f ca="1">IFERROR(__xludf.DUMMYFUNCTION("""COMPUTED_VALUE"""),"0388385737")</f>
        <v>0388385737</v>
      </c>
      <c r="K4056" s="2" t="str">
        <f ca="1">IFERROR(__xludf.DUMMYFUNCTION("""COMPUTED_VALUE"""),"1744771178602")</f>
        <v>1744771178602</v>
      </c>
    </row>
    <row r="4057" spans="1:11" ht="12.45">
      <c r="A4057" s="2" t="str">
        <f ca="1">IFERROR(__xludf.DUMMYFUNCTION("""COMPUTED_VALUE"""),"1744771224753")</f>
        <v>1744771224753</v>
      </c>
      <c r="B4057" s="2"/>
      <c r="C4057" s="2" t="str">
        <v>0</v>
      </c>
      <c r="D4057" s="2"/>
      <c r="F4057" s="2" t="str">
        <v>0</v>
      </c>
      <c r="I4057" s="3" t="str">
        <f ca="1">IFERROR(__xludf.DUMMYFUNCTION("""COMPUTED_VALUE"""),"Hoàng Nguyễn Phương Anh ")</f>
        <v xml:space="preserve">Hoàng Nguyễn Phương Anh </v>
      </c>
      <c r="J4057" s="3" t="str">
        <f ca="1">IFERROR(__xludf.DUMMYFUNCTION("""COMPUTED_VALUE"""),"0327460368")</f>
        <v>0327460368</v>
      </c>
      <c r="K4057" s="2" t="str">
        <f ca="1">IFERROR(__xludf.DUMMYFUNCTION("""COMPUTED_VALUE"""),"1744771224753")</f>
        <v>1744771224753</v>
      </c>
    </row>
    <row r="4058" spans="1:11" ht="12.45">
      <c r="A4058" s="2" t="str">
        <f ca="1">IFERROR(__xludf.DUMMYFUNCTION("""COMPUTED_VALUE"""),"1744771258053")</f>
        <v>1744771258053</v>
      </c>
      <c r="B4058" s="2"/>
      <c r="C4058" s="2" t="str">
        <v>0</v>
      </c>
      <c r="D4058" s="2"/>
      <c r="F4058" s="2" t="str">
        <v>0</v>
      </c>
      <c r="I4058" s="3" t="str">
        <f ca="1">IFERROR(__xludf.DUMMYFUNCTION("""COMPUTED_VALUE"""),"Nguyễn Thị Huế ")</f>
        <v xml:space="preserve">Nguyễn Thị Huế </v>
      </c>
      <c r="J4058" s="3" t="str">
        <f ca="1">IFERROR(__xludf.DUMMYFUNCTION("""COMPUTED_VALUE"""),"0868204582")</f>
        <v>0868204582</v>
      </c>
      <c r="K4058" s="2" t="str">
        <f ca="1">IFERROR(__xludf.DUMMYFUNCTION("""COMPUTED_VALUE"""),"1744771258053")</f>
        <v>1744771258053</v>
      </c>
    </row>
    <row r="4059" spans="1:11" ht="12.45">
      <c r="A4059" s="2" t="str">
        <f ca="1">IFERROR(__xludf.DUMMYFUNCTION("""COMPUTED_VALUE"""),"1744771290272")</f>
        <v>1744771290272</v>
      </c>
      <c r="B4059" s="2"/>
      <c r="C4059" s="2" t="str">
        <v>0</v>
      </c>
      <c r="D4059" s="2"/>
      <c r="F4059" s="2" t="str">
        <v>0</v>
      </c>
      <c r="I4059" s="3" t="str">
        <f ca="1">IFERROR(__xludf.DUMMYFUNCTION("""COMPUTED_VALUE"""),"Nguyễn Quỳnh Anh")</f>
        <v>Nguyễn Quỳnh Anh</v>
      </c>
      <c r="J4059" s="3" t="str">
        <f ca="1">IFERROR(__xludf.DUMMYFUNCTION("""COMPUTED_VALUE"""),"0923316508")</f>
        <v>0923316508</v>
      </c>
      <c r="K4059" s="2" t="str">
        <f ca="1">IFERROR(__xludf.DUMMYFUNCTION("""COMPUTED_VALUE"""),"1744771290272")</f>
        <v>1744771290272</v>
      </c>
    </row>
    <row r="4060" spans="1:11" ht="12.45">
      <c r="A4060" s="2" t="str">
        <f ca="1">IFERROR(__xludf.DUMMYFUNCTION("""COMPUTED_VALUE"""),"1744771328977")</f>
        <v>1744771328977</v>
      </c>
      <c r="B4060" s="2"/>
      <c r="C4060" s="2" t="str">
        <v>0</v>
      </c>
      <c r="D4060" s="2"/>
      <c r="F4060" s="2" t="str">
        <v>0</v>
      </c>
      <c r="I4060" s="3" t="str">
        <f ca="1">IFERROR(__xludf.DUMMYFUNCTION("""COMPUTED_VALUE"""),"Vũ Thị Minh Phương")</f>
        <v>Vũ Thị Minh Phương</v>
      </c>
      <c r="J4060" s="3" t="str">
        <f ca="1">IFERROR(__xludf.DUMMYFUNCTION("""COMPUTED_VALUE"""),"0976559045")</f>
        <v>0976559045</v>
      </c>
      <c r="K4060" s="2" t="str">
        <f ca="1">IFERROR(__xludf.DUMMYFUNCTION("""COMPUTED_VALUE"""),"1744771328977")</f>
        <v>1744771328977</v>
      </c>
    </row>
    <row r="4061" spans="1:11" ht="12.45">
      <c r="A4061" s="2" t="str">
        <f ca="1">IFERROR(__xludf.DUMMYFUNCTION("""COMPUTED_VALUE"""),"1744771357060")</f>
        <v>1744771357060</v>
      </c>
      <c r="B4061" s="2"/>
      <c r="C4061" s="2" t="str">
        <v>0</v>
      </c>
      <c r="D4061" s="2"/>
      <c r="F4061" s="2" t="str">
        <v>0</v>
      </c>
      <c r="I4061" s="3" t="str">
        <f ca="1">IFERROR(__xludf.DUMMYFUNCTION("""COMPUTED_VALUE"""),"Lê Anh Quân")</f>
        <v>Lê Anh Quân</v>
      </c>
      <c r="J4061" s="3" t="str">
        <f ca="1">IFERROR(__xludf.DUMMYFUNCTION("""COMPUTED_VALUE"""),"0366500566")</f>
        <v>0366500566</v>
      </c>
      <c r="K4061" s="2" t="str">
        <f ca="1">IFERROR(__xludf.DUMMYFUNCTION("""COMPUTED_VALUE"""),"1744771357060")</f>
        <v>1744771357060</v>
      </c>
    </row>
    <row r="4062" spans="1:11" ht="12.45">
      <c r="A4062" s="2" t="str">
        <f ca="1">IFERROR(__xludf.DUMMYFUNCTION("""COMPUTED_VALUE"""),"1744771393076")</f>
        <v>1744771393076</v>
      </c>
      <c r="B4062" s="2"/>
      <c r="C4062" s="2" t="str">
        <v>0</v>
      </c>
      <c r="D4062" s="2"/>
      <c r="F4062" s="2" t="str">
        <v>0</v>
      </c>
      <c r="I4062" s="3" t="str">
        <f ca="1">IFERROR(__xludf.DUMMYFUNCTION("""COMPUTED_VALUE"""),"Nguyễn Trần Phương Anh")</f>
        <v>Nguyễn Trần Phương Anh</v>
      </c>
      <c r="J4062" s="2" t="str">
        <f ca="1">IFERROR(__xludf.DUMMYFUNCTION("""COMPUTED_VALUE"""),"0827023557")</f>
        <v>0827023557</v>
      </c>
      <c r="K4062" s="2" t="str">
        <f ca="1">IFERROR(__xludf.DUMMYFUNCTION("""COMPUTED_VALUE"""),"1744771393076")</f>
        <v>1744771393076</v>
      </c>
    </row>
    <row r="4063" spans="1:11" ht="12.45">
      <c r="A4063" s="2" t="str">
        <f ca="1">IFERROR(__xludf.DUMMYFUNCTION("""COMPUTED_VALUE"""),"1744771424124")</f>
        <v>1744771424124</v>
      </c>
      <c r="B4063" s="2"/>
      <c r="C4063" s="2" t="str">
        <v>0</v>
      </c>
      <c r="D4063" s="2"/>
      <c r="F4063" s="2" t="str">
        <v>0</v>
      </c>
      <c r="I4063" s="3" t="str">
        <f ca="1">IFERROR(__xludf.DUMMYFUNCTION("""COMPUTED_VALUE"""),"Nguyễn Thu An")</f>
        <v>Nguyễn Thu An</v>
      </c>
      <c r="J4063" s="3" t="str">
        <f ca="1">IFERROR(__xludf.DUMMYFUNCTION("""COMPUTED_VALUE"""),"0567212213")</f>
        <v>0567212213</v>
      </c>
      <c r="K4063" s="2" t="str">
        <f ca="1">IFERROR(__xludf.DUMMYFUNCTION("""COMPUTED_VALUE"""),"1744771424124")</f>
        <v>1744771424124</v>
      </c>
    </row>
    <row r="4064" spans="1:11" ht="12.45">
      <c r="A4064" s="2" t="str">
        <f ca="1">IFERROR(__xludf.DUMMYFUNCTION("""COMPUTED_VALUE"""),"1744771449355")</f>
        <v>1744771449355</v>
      </c>
      <c r="B4064" s="2"/>
      <c r="C4064" s="2" t="str">
        <v>0</v>
      </c>
      <c r="D4064" s="2"/>
      <c r="F4064" s="2" t="str">
        <v>0</v>
      </c>
      <c r="I4064" s="3" t="str">
        <f ca="1">IFERROR(__xludf.DUMMYFUNCTION("""COMPUTED_VALUE"""),"Chu Khánh Ly")</f>
        <v>Chu Khánh Ly</v>
      </c>
      <c r="J4064" s="3" t="str">
        <f ca="1">IFERROR(__xludf.DUMMYFUNCTION("""COMPUTED_VALUE"""),"0862706754")</f>
        <v>0862706754</v>
      </c>
      <c r="K4064" s="2" t="str">
        <f ca="1">IFERROR(__xludf.DUMMYFUNCTION("""COMPUTED_VALUE"""),"1744771449355")</f>
        <v>1744771449355</v>
      </c>
    </row>
    <row r="4065" spans="1:11" ht="12.45">
      <c r="A4065" s="2" t="str">
        <f ca="1">IFERROR(__xludf.DUMMYFUNCTION("""COMPUTED_VALUE"""),"1744771476246")</f>
        <v>1744771476246</v>
      </c>
      <c r="B4065" s="2"/>
      <c r="C4065" s="2" t="str">
        <v>0</v>
      </c>
      <c r="D4065" s="2"/>
      <c r="F4065" s="2" t="str">
        <v>0</v>
      </c>
      <c r="I4065" s="3" t="str">
        <f ca="1">IFERROR(__xludf.DUMMYFUNCTION("""COMPUTED_VALUE"""),"Đặng Bích Ngọc ")</f>
        <v xml:space="preserve">Đặng Bích Ngọc </v>
      </c>
      <c r="J4065" s="3" t="str">
        <f ca="1">IFERROR(__xludf.DUMMYFUNCTION("""COMPUTED_VALUE"""),"0919255750")</f>
        <v>0919255750</v>
      </c>
      <c r="K4065" s="2" t="str">
        <f ca="1">IFERROR(__xludf.DUMMYFUNCTION("""COMPUTED_VALUE"""),"1744771476246")</f>
        <v>1744771476246</v>
      </c>
    </row>
    <row r="4066" spans="1:11" ht="12.45">
      <c r="A4066" s="2" t="str">
        <f ca="1">IFERROR(__xludf.DUMMYFUNCTION("""COMPUTED_VALUE"""),"1744771502566")</f>
        <v>1744771502566</v>
      </c>
      <c r="B4066" s="2"/>
      <c r="C4066" s="2" t="str">
        <v>0</v>
      </c>
      <c r="D4066" s="2"/>
      <c r="F4066" s="2" t="str">
        <v>0</v>
      </c>
      <c r="I4066" s="3" t="str">
        <f ca="1">IFERROR(__xludf.DUMMYFUNCTION("""COMPUTED_VALUE"""),"Đỗ Khánh Dương")</f>
        <v>Đỗ Khánh Dương</v>
      </c>
      <c r="J4066" s="3" t="str">
        <f ca="1">IFERROR(__xludf.DUMMYFUNCTION("""COMPUTED_VALUE"""),"0374826625")</f>
        <v>0374826625</v>
      </c>
      <c r="K4066" s="2" t="str">
        <f ca="1">IFERROR(__xludf.DUMMYFUNCTION("""COMPUTED_VALUE"""),"1744771502566")</f>
        <v>1744771502566</v>
      </c>
    </row>
    <row r="4067" spans="1:11" ht="12.45">
      <c r="A4067" s="2" t="str">
        <f ca="1">IFERROR(__xludf.DUMMYFUNCTION("""COMPUTED_VALUE"""),"1744771536488")</f>
        <v>1744771536488</v>
      </c>
      <c r="B4067" s="2"/>
      <c r="C4067" s="2" t="str">
        <v>0</v>
      </c>
      <c r="D4067" s="2"/>
      <c r="F4067" s="2" t="str">
        <v>0</v>
      </c>
      <c r="I4067" s="3" t="str">
        <f ca="1">IFERROR(__xludf.DUMMYFUNCTION("""COMPUTED_VALUE"""),"Nguyễn Hồ Như Quỳnh")</f>
        <v>Nguyễn Hồ Như Quỳnh</v>
      </c>
      <c r="J4067" s="3" t="str">
        <f ca="1">IFERROR(__xludf.DUMMYFUNCTION("""COMPUTED_VALUE"""),"0868969979")</f>
        <v>0868969979</v>
      </c>
      <c r="K4067" s="2" t="str">
        <f ca="1">IFERROR(__xludf.DUMMYFUNCTION("""COMPUTED_VALUE"""),"1744771536488")</f>
        <v>1744771536488</v>
      </c>
    </row>
    <row r="4068" spans="1:11" ht="12.45">
      <c r="A4068" s="2" t="str">
        <f ca="1">IFERROR(__xludf.DUMMYFUNCTION("""COMPUTED_VALUE"""),"1744771555336")</f>
        <v>1744771555336</v>
      </c>
      <c r="B4068" s="2"/>
      <c r="C4068" s="2" t="str">
        <v>0</v>
      </c>
      <c r="D4068" s="2"/>
      <c r="F4068" s="2" t="str">
        <v>0</v>
      </c>
      <c r="I4068" s="3" t="str">
        <f ca="1">IFERROR(__xludf.DUMMYFUNCTION("""COMPUTED_VALUE"""),"Nguyễn Ngọc Diệp")</f>
        <v>Nguyễn Ngọc Diệp</v>
      </c>
      <c r="J4068" s="3" t="str">
        <f ca="1">IFERROR(__xludf.DUMMYFUNCTION("""COMPUTED_VALUE"""),"0822577125")</f>
        <v>0822577125</v>
      </c>
      <c r="K4068" s="2" t="str">
        <f ca="1">IFERROR(__xludf.DUMMYFUNCTION("""COMPUTED_VALUE"""),"1744771555336")</f>
        <v>1744771555336</v>
      </c>
    </row>
    <row r="4069" spans="1:11" ht="12.45">
      <c r="A4069" s="2" t="str">
        <f ca="1">IFERROR(__xludf.DUMMYFUNCTION("""COMPUTED_VALUE"""),"1744771582381")</f>
        <v>1744771582381</v>
      </c>
      <c r="B4069" s="2"/>
      <c r="C4069" s="2" t="str">
        <v>0</v>
      </c>
      <c r="D4069" s="2"/>
      <c r="F4069" s="2" t="str">
        <v>0</v>
      </c>
      <c r="I4069" s="3" t="str">
        <f ca="1">IFERROR(__xludf.DUMMYFUNCTION("""COMPUTED_VALUE"""),"Lê Gia Bảo ")</f>
        <v xml:space="preserve">Lê Gia Bảo </v>
      </c>
      <c r="J4069" s="3" t="str">
        <f ca="1">IFERROR(__xludf.DUMMYFUNCTION("""COMPUTED_VALUE"""),"0946347257")</f>
        <v>0946347257</v>
      </c>
      <c r="K4069" s="2" t="str">
        <f ca="1">IFERROR(__xludf.DUMMYFUNCTION("""COMPUTED_VALUE"""),"1744771582381")</f>
        <v>1744771582381</v>
      </c>
    </row>
    <row r="4070" spans="1:11" ht="12.45">
      <c r="A4070" s="2" t="str">
        <f ca="1">IFERROR(__xludf.DUMMYFUNCTION("""COMPUTED_VALUE"""),"1744771609209")</f>
        <v>1744771609209</v>
      </c>
      <c r="B4070" s="2"/>
      <c r="C4070" s="2" t="str">
        <v>0</v>
      </c>
      <c r="D4070" s="2"/>
      <c r="F4070" s="2" t="str">
        <v>0</v>
      </c>
      <c r="I4070" s="3" t="str">
        <f ca="1">IFERROR(__xludf.DUMMYFUNCTION("""COMPUTED_VALUE"""),"Nguyễn thị thúy vi")</f>
        <v>Nguyễn thị thúy vi</v>
      </c>
      <c r="J4070" s="3" t="str">
        <f ca="1">IFERROR(__xludf.DUMMYFUNCTION("""COMPUTED_VALUE"""),"0356644726")</f>
        <v>0356644726</v>
      </c>
      <c r="K4070" s="2" t="str">
        <f ca="1">IFERROR(__xludf.DUMMYFUNCTION("""COMPUTED_VALUE"""),"1744771609209")</f>
        <v>1744771609209</v>
      </c>
    </row>
    <row r="4071" spans="1:11" ht="12.45">
      <c r="A4071" s="2" t="str">
        <f ca="1">IFERROR(__xludf.DUMMYFUNCTION("""COMPUTED_VALUE"""),"1744771634884")</f>
        <v>1744771634884</v>
      </c>
      <c r="B4071" s="2"/>
      <c r="C4071" s="2" t="str">
        <v>0</v>
      </c>
      <c r="D4071" s="2"/>
      <c r="F4071" s="2" t="str">
        <v>0</v>
      </c>
      <c r="I4071" s="3" t="str">
        <f ca="1">IFERROR(__xludf.DUMMYFUNCTION("""COMPUTED_VALUE"""),"Nguyễn Thị Kiều Vy ")</f>
        <v xml:space="preserve">Nguyễn Thị Kiều Vy </v>
      </c>
      <c r="J4071" s="3" t="str">
        <f ca="1">IFERROR(__xludf.DUMMYFUNCTION("""COMPUTED_VALUE"""),"0328606267")</f>
        <v>0328606267</v>
      </c>
      <c r="K4071" s="2" t="str">
        <f ca="1">IFERROR(__xludf.DUMMYFUNCTION("""COMPUTED_VALUE"""),"1744771634884")</f>
        <v>1744771634884</v>
      </c>
    </row>
    <row r="4072" spans="1:11" ht="12.45">
      <c r="A4072" s="2" t="str">
        <f ca="1">IFERROR(__xludf.DUMMYFUNCTION("""COMPUTED_VALUE"""),"1744771664292")</f>
        <v>1744771664292</v>
      </c>
      <c r="B4072" s="2"/>
      <c r="C4072" s="2" t="str">
        <v>0</v>
      </c>
      <c r="D4072" s="2"/>
      <c r="F4072" s="2" t="str">
        <v>0</v>
      </c>
      <c r="I4072" s="3" t="str">
        <f ca="1">IFERROR(__xludf.DUMMYFUNCTION("""COMPUTED_VALUE"""),"Trần Thị Kim Phượng ")</f>
        <v xml:space="preserve">Trần Thị Kim Phượng </v>
      </c>
      <c r="J4072" s="3" t="str">
        <f ca="1">IFERROR(__xludf.DUMMYFUNCTION("""COMPUTED_VALUE"""),"0369040924")</f>
        <v>0369040924</v>
      </c>
      <c r="K4072" s="2" t="str">
        <f ca="1">IFERROR(__xludf.DUMMYFUNCTION("""COMPUTED_VALUE"""),"1744771664292")</f>
        <v>1744771664292</v>
      </c>
    </row>
    <row r="4073" spans="1:11" ht="12.45">
      <c r="A4073" s="2" t="str">
        <f ca="1">IFERROR(__xludf.DUMMYFUNCTION("""COMPUTED_VALUE"""),"1744771704458")</f>
        <v>1744771704458</v>
      </c>
      <c r="B4073" s="2"/>
      <c r="C4073" s="2" t="str">
        <v>0</v>
      </c>
      <c r="D4073" s="2"/>
      <c r="F4073" s="2" t="str">
        <v>0</v>
      </c>
      <c r="I4073" s="3" t="str">
        <f ca="1">IFERROR(__xludf.DUMMYFUNCTION("""COMPUTED_VALUE"""),"Nguyễn Ngọc Hân")</f>
        <v>Nguyễn Ngọc Hân</v>
      </c>
      <c r="J4073" s="3" t="str">
        <f ca="1">IFERROR(__xludf.DUMMYFUNCTION("""COMPUTED_VALUE"""),"0925959956")</f>
        <v>0925959956</v>
      </c>
      <c r="K4073" s="2" t="str">
        <f ca="1">IFERROR(__xludf.DUMMYFUNCTION("""COMPUTED_VALUE"""),"1744771704458")</f>
        <v>1744771704458</v>
      </c>
    </row>
    <row r="4074" spans="1:11" ht="12.45">
      <c r="A4074" s="2" t="str">
        <f ca="1">IFERROR(__xludf.DUMMYFUNCTION("""COMPUTED_VALUE"""),"1744771743955")</f>
        <v>1744771743955</v>
      </c>
      <c r="B4074" s="2"/>
      <c r="C4074" s="2" t="str">
        <v>0</v>
      </c>
      <c r="D4074" s="2"/>
      <c r="F4074" s="2" t="str">
        <v>0</v>
      </c>
      <c r="I4074" s="3" t="str">
        <f ca="1">IFERROR(__xludf.DUMMYFUNCTION("""COMPUTED_VALUE"""),"Nguyễn Thị Huỳnh Như")</f>
        <v>Nguyễn Thị Huỳnh Như</v>
      </c>
      <c r="J4074" s="3" t="str">
        <f ca="1">IFERROR(__xludf.DUMMYFUNCTION("""COMPUTED_VALUE"""),"0353369267")</f>
        <v>0353369267</v>
      </c>
      <c r="K4074" s="2" t="str">
        <f ca="1">IFERROR(__xludf.DUMMYFUNCTION("""COMPUTED_VALUE"""),"1744771743955")</f>
        <v>1744771743955</v>
      </c>
    </row>
    <row r="4075" spans="1:11" ht="12.45">
      <c r="A4075" s="2" t="str">
        <f ca="1">IFERROR(__xludf.DUMMYFUNCTION("""COMPUTED_VALUE"""),"1745238029548")</f>
        <v>1745238029548</v>
      </c>
      <c r="B4075" s="2"/>
      <c r="C4075" s="2" t="str">
        <v>0</v>
      </c>
      <c r="D4075" s="2"/>
      <c r="F4075" s="2" t="str">
        <v>0</v>
      </c>
      <c r="I4075" s="3" t="str">
        <f ca="1">IFERROR(__xludf.DUMMYFUNCTION("""COMPUTED_VALUE"""),"Lê Huỳnh Diễm Kiều")</f>
        <v>Lê Huỳnh Diễm Kiều</v>
      </c>
      <c r="J4075" s="3" t="str">
        <f ca="1">IFERROR(__xludf.DUMMYFUNCTION("""COMPUTED_VALUE"""),"0944041785")</f>
        <v>0944041785</v>
      </c>
      <c r="K4075" s="2" t="str">
        <f ca="1">IFERROR(__xludf.DUMMYFUNCTION("""COMPUTED_VALUE"""),"1745238029548")</f>
        <v>1745238029548</v>
      </c>
    </row>
    <row r="4076" spans="1:11" ht="12.45">
      <c r="A4076" s="2" t="str">
        <f ca="1">IFERROR(__xludf.DUMMYFUNCTION("""COMPUTED_VALUE"""),"1745238066947")</f>
        <v>1745238066947</v>
      </c>
      <c r="B4076" s="2"/>
      <c r="C4076" s="2" t="str">
        <v>0</v>
      </c>
      <c r="D4076" s="2"/>
      <c r="F4076" s="2" t="str">
        <v>0</v>
      </c>
      <c r="I4076" s="3" t="str">
        <f ca="1">IFERROR(__xludf.DUMMYFUNCTION("""COMPUTED_VALUE"""),"Nguyễn Thúy Hằng ")</f>
        <v xml:space="preserve">Nguyễn Thúy Hằng </v>
      </c>
      <c r="J4076" s="3" t="str">
        <f ca="1">IFERROR(__xludf.DUMMYFUNCTION("""COMPUTED_VALUE"""),"0376466184")</f>
        <v>0376466184</v>
      </c>
      <c r="K4076" s="2" t="str">
        <f ca="1">IFERROR(__xludf.DUMMYFUNCTION("""COMPUTED_VALUE"""),"1745238066947")</f>
        <v>1745238066947</v>
      </c>
    </row>
    <row r="4077" spans="1:11" ht="12.45">
      <c r="A4077" s="2" t="str">
        <f ca="1">IFERROR(__xludf.DUMMYFUNCTION("""COMPUTED_VALUE"""),"1745238102004")</f>
        <v>1745238102004</v>
      </c>
      <c r="B4077" s="2"/>
      <c r="C4077" s="2" t="str">
        <v>0</v>
      </c>
      <c r="D4077" s="2"/>
      <c r="F4077" s="2" t="str">
        <v>0</v>
      </c>
      <c r="I4077" s="3" t="str">
        <f ca="1">IFERROR(__xludf.DUMMYFUNCTION("""COMPUTED_VALUE"""),"Trịnh Phương Thảo ")</f>
        <v xml:space="preserve">Trịnh Phương Thảo </v>
      </c>
      <c r="J4077" s="3" t="str">
        <f ca="1">IFERROR(__xludf.DUMMYFUNCTION("""COMPUTED_VALUE"""),"0326955066")</f>
        <v>0326955066</v>
      </c>
      <c r="K4077" s="2" t="str">
        <f ca="1">IFERROR(__xludf.DUMMYFUNCTION("""COMPUTED_VALUE"""),"1745238102004")</f>
        <v>1745238102004</v>
      </c>
    </row>
    <row r="4078" spans="1:11" ht="12.45">
      <c r="A4078" s="2" t="str">
        <f ca="1">IFERROR(__xludf.DUMMYFUNCTION("""COMPUTED_VALUE"""),"1745238135226")</f>
        <v>1745238135226</v>
      </c>
      <c r="B4078" s="2"/>
      <c r="C4078" s="2" t="str">
        <v>0</v>
      </c>
      <c r="D4078" s="2"/>
      <c r="F4078" s="2" t="str">
        <v>0</v>
      </c>
      <c r="I4078" s="3" t="str">
        <f ca="1">IFERROR(__xludf.DUMMYFUNCTION("""COMPUTED_VALUE"""),"Đặng Hữu Hưng")</f>
        <v>Đặng Hữu Hưng</v>
      </c>
      <c r="J4078" s="3" t="str">
        <f ca="1">IFERROR(__xludf.DUMMYFUNCTION("""COMPUTED_VALUE"""),"0918796520")</f>
        <v>0918796520</v>
      </c>
      <c r="K4078" s="2" t="str">
        <f ca="1">IFERROR(__xludf.DUMMYFUNCTION("""COMPUTED_VALUE"""),"1745238135226")</f>
        <v>1745238135226</v>
      </c>
    </row>
    <row r="4079" spans="1:11" ht="12.45">
      <c r="A4079" s="2" t="str">
        <f ca="1">IFERROR(__xludf.DUMMYFUNCTION("""COMPUTED_VALUE"""),"1745238162526")</f>
        <v>1745238162526</v>
      </c>
      <c r="B4079" s="2"/>
      <c r="C4079" s="2" t="str">
        <v>0</v>
      </c>
      <c r="D4079" s="2"/>
      <c r="F4079" s="2" t="str">
        <v>0</v>
      </c>
      <c r="I4079" s="3" t="str">
        <f ca="1">IFERROR(__xludf.DUMMYFUNCTION("""COMPUTED_VALUE"""),"Lê Ngọc Như Quỳnh ")</f>
        <v xml:space="preserve">Lê Ngọc Như Quỳnh </v>
      </c>
      <c r="J4079" s="3" t="str">
        <f ca="1">IFERROR(__xludf.DUMMYFUNCTION("""COMPUTED_VALUE"""),"0933103723")</f>
        <v>0933103723</v>
      </c>
      <c r="K4079" s="2" t="str">
        <f ca="1">IFERROR(__xludf.DUMMYFUNCTION("""COMPUTED_VALUE"""),"1745238162526")</f>
        <v>1745238162526</v>
      </c>
    </row>
    <row r="4080" spans="1:11" ht="12.45">
      <c r="A4080" s="2">
        <f ca="1">IFERROR(__xludf.DUMMYFUNCTION("""COMPUTED_VALUE"""),1761758175105)</f>
        <v>1761758175105</v>
      </c>
      <c r="B4080" s="2"/>
      <c r="C4080" s="2" t="str">
        <v>0</v>
      </c>
      <c r="D4080" s="2"/>
      <c r="F4080" s="2" t="str">
        <v>0</v>
      </c>
      <c r="I4080" s="3" t="str">
        <f ca="1">IFERROR(__xludf.DUMMYFUNCTION("""COMPUTED_VALUE"""),"Hà Thị Thanh Ngân ")</f>
        <v xml:space="preserve">Hà Thị Thanh Ngân </v>
      </c>
      <c r="J4080" s="3" t="str">
        <f ca="1">IFERROR(__xludf.DUMMYFUNCTION("""COMPUTED_VALUE"""),"0329934944")</f>
        <v>0329934944</v>
      </c>
      <c r="K4080" s="2">
        <f ca="1">IFERROR(__xludf.DUMMYFUNCTION("""COMPUTED_VALUE"""),1761758175105)</f>
        <v>1761758175105</v>
      </c>
    </row>
    <row r="4081" spans="1:11" ht="12.45">
      <c r="A4081" s="2">
        <f ca="1">IFERROR(__xludf.DUMMYFUNCTION("""COMPUTED_VALUE"""),1761758175105)</f>
        <v>1761758175105</v>
      </c>
      <c r="B4081" s="2"/>
      <c r="C4081" s="2" t="str">
        <v>0</v>
      </c>
      <c r="D4081" s="2"/>
      <c r="F4081" s="2" t="str">
        <v>0</v>
      </c>
      <c r="I4081" s="3" t="str">
        <f ca="1">IFERROR(__xludf.DUMMYFUNCTION("""COMPUTED_VALUE"""),"Nguyễn Thu Hương")</f>
        <v>Nguyễn Thu Hương</v>
      </c>
      <c r="J4081" s="3" t="str">
        <f ca="1">IFERROR(__xludf.DUMMYFUNCTION("""COMPUTED_VALUE"""),"0865433255")</f>
        <v>0865433255</v>
      </c>
      <c r="K4081" s="2">
        <f ca="1">IFERROR(__xludf.DUMMYFUNCTION("""COMPUTED_VALUE"""),1761758175105)</f>
        <v>1761758175105</v>
      </c>
    </row>
    <row r="4082" spans="1:11" ht="12.45">
      <c r="A4082" s="2" t="str">
        <f ca="1">IFERROR(__xludf.DUMMYFUNCTION("""COMPUTED_VALUE"""),"1745238188046")</f>
        <v>1745238188046</v>
      </c>
      <c r="B4082" s="2"/>
      <c r="C4082" s="2" t="str">
        <v>0</v>
      </c>
      <c r="D4082" s="2"/>
      <c r="F4082" s="2" t="str">
        <v>0</v>
      </c>
      <c r="I4082" s="3" t="str">
        <f ca="1">IFERROR(__xludf.DUMMYFUNCTION("""COMPUTED_VALUE"""),"Nguyễn Hồng Đào")</f>
        <v>Nguyễn Hồng Đào</v>
      </c>
      <c r="J4082" s="3" t="str">
        <f ca="1">IFERROR(__xludf.DUMMYFUNCTION("""COMPUTED_VALUE"""),"0387711725")</f>
        <v>0387711725</v>
      </c>
      <c r="K4082" s="2" t="str">
        <f ca="1">IFERROR(__xludf.DUMMYFUNCTION("""COMPUTED_VALUE"""),"1745238188046")</f>
        <v>1745238188046</v>
      </c>
    </row>
    <row r="4083" spans="1:11" ht="12.45">
      <c r="A4083" s="2" t="str">
        <f ca="1">IFERROR(__xludf.DUMMYFUNCTION("""COMPUTED_VALUE"""),"1745238218271")</f>
        <v>1745238218271</v>
      </c>
      <c r="B4083" s="2"/>
      <c r="C4083" s="2" t="str">
        <v>0</v>
      </c>
      <c r="D4083" s="2"/>
      <c r="F4083" s="2" t="str">
        <v>0</v>
      </c>
      <c r="I4083" s="3" t="str">
        <f ca="1">IFERROR(__xludf.DUMMYFUNCTION("""COMPUTED_VALUE"""),"Nguyễn Quỳnh Như")</f>
        <v>Nguyễn Quỳnh Như</v>
      </c>
      <c r="J4083" s="3" t="str">
        <f ca="1">IFERROR(__xludf.DUMMYFUNCTION("""COMPUTED_VALUE"""),"0339798649")</f>
        <v>0339798649</v>
      </c>
      <c r="K4083" s="2" t="str">
        <f ca="1">IFERROR(__xludf.DUMMYFUNCTION("""COMPUTED_VALUE"""),"1745238218271")</f>
        <v>1745238218271</v>
      </c>
    </row>
    <row r="4084" spans="1:11" ht="12.45">
      <c r="A4084" s="2" t="str">
        <f ca="1">IFERROR(__xludf.DUMMYFUNCTION("""COMPUTED_VALUE"""),"1745238247882")</f>
        <v>1745238247882</v>
      </c>
      <c r="B4084" s="2"/>
      <c r="C4084" s="2" t="str">
        <v>0</v>
      </c>
      <c r="D4084" s="2"/>
      <c r="F4084" s="2" t="str">
        <v>0</v>
      </c>
      <c r="I4084" s="3" t="str">
        <f ca="1">IFERROR(__xludf.DUMMYFUNCTION("""COMPUTED_VALUE"""),"Phạm Minh Anh")</f>
        <v>Phạm Minh Anh</v>
      </c>
      <c r="J4084" s="3" t="str">
        <f ca="1">IFERROR(__xludf.DUMMYFUNCTION("""COMPUTED_VALUE"""),"0372481136")</f>
        <v>0372481136</v>
      </c>
      <c r="K4084" s="2" t="str">
        <f ca="1">IFERROR(__xludf.DUMMYFUNCTION("""COMPUTED_VALUE"""),"1745238247882")</f>
        <v>1745238247882</v>
      </c>
    </row>
    <row r="4085" spans="1:11" ht="12.45">
      <c r="A4085" s="2" t="str">
        <f ca="1">IFERROR(__xludf.DUMMYFUNCTION("""COMPUTED_VALUE"""),"1745238288581")</f>
        <v>1745238288581</v>
      </c>
      <c r="B4085" s="2"/>
      <c r="C4085" s="2" t="str">
        <v>0</v>
      </c>
      <c r="D4085" s="2"/>
      <c r="F4085" s="2" t="str">
        <v>0</v>
      </c>
      <c r="I4085" s="3" t="str">
        <f ca="1">IFERROR(__xludf.DUMMYFUNCTION("""COMPUTED_VALUE"""),"Trịnh Huyền Anh")</f>
        <v>Trịnh Huyền Anh</v>
      </c>
      <c r="J4085" s="3" t="str">
        <f ca="1">IFERROR(__xludf.DUMMYFUNCTION("""COMPUTED_VALUE"""),"0332539310")</f>
        <v>0332539310</v>
      </c>
      <c r="K4085" s="2" t="str">
        <f ca="1">IFERROR(__xludf.DUMMYFUNCTION("""COMPUTED_VALUE"""),"1745238288581")</f>
        <v>1745238288581</v>
      </c>
    </row>
    <row r="4086" spans="1:11" ht="12.45">
      <c r="A4086" s="2" t="str">
        <f ca="1">IFERROR(__xludf.DUMMYFUNCTION("""COMPUTED_VALUE"""),"1745238320035")</f>
        <v>1745238320035</v>
      </c>
      <c r="B4086" s="2"/>
      <c r="C4086" s="2" t="str">
        <v>0</v>
      </c>
      <c r="D4086" s="2"/>
      <c r="F4086" s="2" t="str">
        <v>0</v>
      </c>
      <c r="I4086" s="3" t="str">
        <f ca="1">IFERROR(__xludf.DUMMYFUNCTION("""COMPUTED_VALUE"""),"DIỆP THI MẪN")</f>
        <v>DIỆP THI MẪN</v>
      </c>
      <c r="J4086" s="3" t="str">
        <f ca="1">IFERROR(__xludf.DUMMYFUNCTION("""COMPUTED_VALUE"""),"0904485849")</f>
        <v>0904485849</v>
      </c>
      <c r="K4086" s="2" t="str">
        <f ca="1">IFERROR(__xludf.DUMMYFUNCTION("""COMPUTED_VALUE"""),"1745238320035")</f>
        <v>1745238320035</v>
      </c>
    </row>
    <row r="4087" spans="1:11" ht="12.45">
      <c r="A4087" s="2" t="str">
        <f ca="1">IFERROR(__xludf.DUMMYFUNCTION("""COMPUTED_VALUE"""),"1745238351354")</f>
        <v>1745238351354</v>
      </c>
      <c r="B4087" s="2"/>
      <c r="C4087" s="2" t="str">
        <v>0</v>
      </c>
      <c r="D4087" s="2"/>
      <c r="F4087" s="2" t="str">
        <v>0</v>
      </c>
      <c r="I4087" s="3" t="str">
        <f ca="1">IFERROR(__xludf.DUMMYFUNCTION("""COMPUTED_VALUE"""),"Nguyễn Thị Quỳnh Phương")</f>
        <v>Nguyễn Thị Quỳnh Phương</v>
      </c>
      <c r="J4087" s="3" t="str">
        <f ca="1">IFERROR(__xludf.DUMMYFUNCTION("""COMPUTED_VALUE"""),"0979527407")</f>
        <v>0979527407</v>
      </c>
      <c r="K4087" s="2" t="str">
        <f ca="1">IFERROR(__xludf.DUMMYFUNCTION("""COMPUTED_VALUE"""),"1745238351354")</f>
        <v>1745238351354</v>
      </c>
    </row>
    <row r="4088" spans="1:11" ht="12.45">
      <c r="A4088" s="2" t="str">
        <f ca="1">IFERROR(__xludf.DUMMYFUNCTION("""COMPUTED_VALUE"""),"1745238383496")</f>
        <v>1745238383496</v>
      </c>
      <c r="B4088" s="2"/>
      <c r="C4088" s="2" t="str">
        <v>0</v>
      </c>
      <c r="D4088" s="2"/>
      <c r="F4088" s="2" t="str">
        <v>0</v>
      </c>
      <c r="I4088" s="3" t="str">
        <f ca="1">IFERROR(__xludf.DUMMYFUNCTION("""COMPUTED_VALUE"""),"Hoàng Lê Khánh Ly ")</f>
        <v xml:space="preserve">Hoàng Lê Khánh Ly </v>
      </c>
      <c r="J4088" s="3" t="str">
        <f ca="1">IFERROR(__xludf.DUMMYFUNCTION("""COMPUTED_VALUE"""),"0905239378")</f>
        <v>0905239378</v>
      </c>
      <c r="K4088" s="2" t="str">
        <f ca="1">IFERROR(__xludf.DUMMYFUNCTION("""COMPUTED_VALUE"""),"1745238383496")</f>
        <v>1745238383496</v>
      </c>
    </row>
    <row r="4089" spans="1:11" ht="12.45">
      <c r="A4089" s="2" t="str">
        <f ca="1">IFERROR(__xludf.DUMMYFUNCTION("""COMPUTED_VALUE"""),"1745238418811")</f>
        <v>1745238418811</v>
      </c>
      <c r="B4089" s="2"/>
      <c r="C4089" s="2" t="str">
        <v>0</v>
      </c>
      <c r="D4089" s="2"/>
      <c r="F4089" s="2" t="str">
        <v>0</v>
      </c>
      <c r="I4089" s="3" t="str">
        <f ca="1">IFERROR(__xludf.DUMMYFUNCTION("""COMPUTED_VALUE"""),"Hà Ngọc Ánh")</f>
        <v>Hà Ngọc Ánh</v>
      </c>
      <c r="J4089" s="3" t="str">
        <f ca="1">IFERROR(__xludf.DUMMYFUNCTION("""COMPUTED_VALUE"""),"0373782989")</f>
        <v>0373782989</v>
      </c>
      <c r="K4089" s="2" t="str">
        <f ca="1">IFERROR(__xludf.DUMMYFUNCTION("""COMPUTED_VALUE"""),"1745238418811")</f>
        <v>1745238418811</v>
      </c>
    </row>
    <row r="4090" spans="1:11" ht="12.45">
      <c r="A4090" s="2" t="str">
        <f ca="1">IFERROR(__xludf.DUMMYFUNCTION("""COMPUTED_VALUE"""),"1745238445497")</f>
        <v>1745238445497</v>
      </c>
      <c r="B4090" s="2"/>
      <c r="C4090" s="2" t="str">
        <v>0</v>
      </c>
      <c r="D4090" s="2"/>
      <c r="F4090" s="2" t="str">
        <v>0</v>
      </c>
      <c r="I4090" s="3" t="str">
        <f ca="1">IFERROR(__xludf.DUMMYFUNCTION("""COMPUTED_VALUE"""),"Nguyễn Cao Nghĩa")</f>
        <v>Nguyễn Cao Nghĩa</v>
      </c>
      <c r="J4090" s="3" t="str">
        <f ca="1">IFERROR(__xludf.DUMMYFUNCTION("""COMPUTED_VALUE"""),"0377806207")</f>
        <v>0377806207</v>
      </c>
      <c r="K4090" s="2" t="str">
        <f ca="1">IFERROR(__xludf.DUMMYFUNCTION("""COMPUTED_VALUE"""),"1745238445497")</f>
        <v>1745238445497</v>
      </c>
    </row>
    <row r="4091" spans="1:11" ht="12.45">
      <c r="A4091" s="2" t="str">
        <f ca="1">IFERROR(__xludf.DUMMYFUNCTION("""COMPUTED_VALUE"""),"1745238471684")</f>
        <v>1745238471684</v>
      </c>
      <c r="B4091" s="2"/>
      <c r="C4091" s="2" t="str">
        <v>0</v>
      </c>
      <c r="D4091" s="2"/>
      <c r="F4091" s="2" t="str">
        <v>0</v>
      </c>
      <c r="I4091" s="3" t="str">
        <f ca="1">IFERROR(__xludf.DUMMYFUNCTION("""COMPUTED_VALUE"""),"Nguyễn Khánh Linh")</f>
        <v>Nguyễn Khánh Linh</v>
      </c>
      <c r="J4091" s="3" t="str">
        <f ca="1">IFERROR(__xludf.DUMMYFUNCTION("""COMPUTED_VALUE"""),"0386588007")</f>
        <v>0386588007</v>
      </c>
      <c r="K4091" s="2" t="str">
        <f ca="1">IFERROR(__xludf.DUMMYFUNCTION("""COMPUTED_VALUE"""),"1745238471684")</f>
        <v>1745238471684</v>
      </c>
    </row>
    <row r="4092" spans="1:11" ht="12.45">
      <c r="A4092" s="2" t="str">
        <f ca="1">IFERROR(__xludf.DUMMYFUNCTION("""COMPUTED_VALUE"""),"1745238511434")</f>
        <v>1745238511434</v>
      </c>
      <c r="B4092" s="2"/>
      <c r="C4092" s="2" t="str">
        <v>0</v>
      </c>
      <c r="D4092" s="2"/>
      <c r="F4092" s="2" t="str">
        <v>0</v>
      </c>
      <c r="I4092" s="3" t="str">
        <f ca="1">IFERROR(__xludf.DUMMYFUNCTION("""COMPUTED_VALUE"""),"Đào Hữu Tuyến")</f>
        <v>Đào Hữu Tuyến</v>
      </c>
      <c r="J4092" s="3" t="str">
        <f ca="1">IFERROR(__xludf.DUMMYFUNCTION("""COMPUTED_VALUE"""),"0385841107")</f>
        <v>0385841107</v>
      </c>
      <c r="K4092" s="2" t="str">
        <f ca="1">IFERROR(__xludf.DUMMYFUNCTION("""COMPUTED_VALUE"""),"1745238511434")</f>
        <v>1745238511434</v>
      </c>
    </row>
    <row r="4093" spans="1:11" ht="12.45">
      <c r="A4093" s="2" t="str">
        <f ca="1">IFERROR(__xludf.DUMMYFUNCTION("""COMPUTED_VALUE"""),"1745238538911")</f>
        <v>1745238538911</v>
      </c>
      <c r="B4093" s="2"/>
      <c r="C4093" s="2" t="str">
        <v>0</v>
      </c>
      <c r="D4093" s="2"/>
      <c r="F4093" s="2" t="str">
        <v>0</v>
      </c>
      <c r="I4093" s="3" t="str">
        <f ca="1">IFERROR(__xludf.DUMMYFUNCTION("""COMPUTED_VALUE"""),"Bùi Thị Ngọc Anh")</f>
        <v>Bùi Thị Ngọc Anh</v>
      </c>
      <c r="J4093" s="3" t="str">
        <f ca="1">IFERROR(__xludf.DUMMYFUNCTION("""COMPUTED_VALUE"""),"0799288889")</f>
        <v>0799288889</v>
      </c>
      <c r="K4093" s="2" t="str">
        <f ca="1">IFERROR(__xludf.DUMMYFUNCTION("""COMPUTED_VALUE"""),"1745238538911")</f>
        <v>1745238538911</v>
      </c>
    </row>
    <row r="4094" spans="1:11" ht="12.45">
      <c r="A4094" s="2" t="str">
        <f ca="1">IFERROR(__xludf.DUMMYFUNCTION("""COMPUTED_VALUE"""),"1745238572586")</f>
        <v>1745238572586</v>
      </c>
      <c r="B4094" s="2"/>
      <c r="C4094" s="2" t="str">
        <v>0</v>
      </c>
      <c r="D4094" s="2"/>
      <c r="F4094" s="2" t="str">
        <v>0</v>
      </c>
      <c r="I4094" s="3" t="str">
        <f ca="1">IFERROR(__xludf.DUMMYFUNCTION("""COMPUTED_VALUE"""),"trịnh ngọc bảo châu")</f>
        <v>trịnh ngọc bảo châu</v>
      </c>
      <c r="J4094" s="3" t="str">
        <f ca="1">IFERROR(__xludf.DUMMYFUNCTION("""COMPUTED_VALUE"""),"0944476326")</f>
        <v>0944476326</v>
      </c>
      <c r="K4094" s="2" t="str">
        <f ca="1">IFERROR(__xludf.DUMMYFUNCTION("""COMPUTED_VALUE"""),"1745238572586")</f>
        <v>1745238572586</v>
      </c>
    </row>
    <row r="4095" spans="1:11" ht="12.45">
      <c r="A4095" s="2" t="str">
        <f ca="1">IFERROR(__xludf.DUMMYFUNCTION("""COMPUTED_VALUE"""),"1745238603822")</f>
        <v>1745238603822</v>
      </c>
      <c r="B4095" s="2"/>
      <c r="C4095" s="2" t="str">
        <v>0</v>
      </c>
      <c r="D4095" s="2"/>
      <c r="F4095" s="2" t="str">
        <v>0</v>
      </c>
      <c r="I4095" s="3" t="str">
        <f ca="1">IFERROR(__xludf.DUMMYFUNCTION("""COMPUTED_VALUE"""),"Nguyễn Kim Ngân")</f>
        <v>Nguyễn Kim Ngân</v>
      </c>
      <c r="J4095" s="3" t="str">
        <f ca="1">IFERROR(__xludf.DUMMYFUNCTION("""COMPUTED_VALUE"""),"0968609933")</f>
        <v>0968609933</v>
      </c>
      <c r="K4095" s="2" t="str">
        <f ca="1">IFERROR(__xludf.DUMMYFUNCTION("""COMPUTED_VALUE"""),"1745238603822")</f>
        <v>1745238603822</v>
      </c>
    </row>
    <row r="4096" spans="1:11" ht="12.45">
      <c r="A4096" s="2" t="str">
        <f ca="1">IFERROR(__xludf.DUMMYFUNCTION("""COMPUTED_VALUE"""),"1745238631124")</f>
        <v>1745238631124</v>
      </c>
      <c r="B4096" s="2"/>
      <c r="C4096" s="2" t="str">
        <v>0</v>
      </c>
      <c r="D4096" s="2"/>
      <c r="F4096" s="2" t="str">
        <v>0</v>
      </c>
      <c r="I4096" s="3" t="str">
        <f ca="1">IFERROR(__xludf.DUMMYFUNCTION("""COMPUTED_VALUE"""),"Trịnh Mỹ Nghi")</f>
        <v>Trịnh Mỹ Nghi</v>
      </c>
      <c r="J4096" s="3" t="str">
        <f ca="1">IFERROR(__xludf.DUMMYFUNCTION("""COMPUTED_VALUE"""),"0792974879")</f>
        <v>0792974879</v>
      </c>
      <c r="K4096" s="2" t="str">
        <f ca="1">IFERROR(__xludf.DUMMYFUNCTION("""COMPUTED_VALUE"""),"1745238631124")</f>
        <v>1745238631124</v>
      </c>
    </row>
    <row r="4097" spans="1:11" ht="12.45">
      <c r="A4097" s="2" t="str">
        <f ca="1">IFERROR(__xludf.DUMMYFUNCTION("""COMPUTED_VALUE"""),"1745238663951")</f>
        <v>1745238663951</v>
      </c>
      <c r="B4097" s="2"/>
      <c r="C4097" s="2" t="str">
        <v>0</v>
      </c>
      <c r="D4097" s="2"/>
      <c r="F4097" s="2" t="str">
        <v>0</v>
      </c>
      <c r="I4097" s="3" t="str">
        <f ca="1">IFERROR(__xludf.DUMMYFUNCTION("""COMPUTED_VALUE"""),"Trương hữu triết")</f>
        <v>Trương hữu triết</v>
      </c>
      <c r="J4097" s="3" t="str">
        <f ca="1">IFERROR(__xludf.DUMMYFUNCTION("""COMPUTED_VALUE"""),"0972926977")</f>
        <v>0972926977</v>
      </c>
      <c r="K4097" s="2" t="str">
        <f ca="1">IFERROR(__xludf.DUMMYFUNCTION("""COMPUTED_VALUE"""),"1745238663951")</f>
        <v>1745238663951</v>
      </c>
    </row>
    <row r="4098" spans="1:11" ht="12.45">
      <c r="A4098" s="2" t="str">
        <f ca="1">IFERROR(__xludf.DUMMYFUNCTION("""COMPUTED_VALUE"""),"1745238689435")</f>
        <v>1745238689435</v>
      </c>
      <c r="B4098" s="2"/>
      <c r="C4098" s="2" t="str">
        <v>0</v>
      </c>
      <c r="D4098" s="2"/>
      <c r="F4098" s="2" t="str">
        <v>0</v>
      </c>
      <c r="I4098" s="3" t="str">
        <f ca="1">IFERROR(__xludf.DUMMYFUNCTION("""COMPUTED_VALUE"""),"Nguyễn Tuệ Minh")</f>
        <v>Nguyễn Tuệ Minh</v>
      </c>
      <c r="J4098" s="3" t="str">
        <f ca="1">IFERROR(__xludf.DUMMYFUNCTION("""COMPUTED_VALUE"""),"0356991639")</f>
        <v>0356991639</v>
      </c>
      <c r="K4098" s="2" t="str">
        <f ca="1">IFERROR(__xludf.DUMMYFUNCTION("""COMPUTED_VALUE"""),"1745238689435")</f>
        <v>1745238689435</v>
      </c>
    </row>
    <row r="4099" spans="1:11" ht="12.45">
      <c r="A4099" s="2" t="str">
        <f ca="1">IFERROR(__xludf.DUMMYFUNCTION("""COMPUTED_VALUE"""),"1745238716077")</f>
        <v>1745238716077</v>
      </c>
      <c r="B4099" s="2"/>
      <c r="C4099" s="2" t="str">
        <v>0</v>
      </c>
      <c r="D4099" s="2"/>
      <c r="F4099" s="2" t="str">
        <v>0</v>
      </c>
      <c r="I4099" s="3" t="str">
        <f ca="1">IFERROR(__xludf.DUMMYFUNCTION("""COMPUTED_VALUE"""),"Trần Bảo Ngân")</f>
        <v>Trần Bảo Ngân</v>
      </c>
      <c r="J4099" s="3" t="str">
        <f ca="1">IFERROR(__xludf.DUMMYFUNCTION("""COMPUTED_VALUE"""),"0869293807")</f>
        <v>0869293807</v>
      </c>
      <c r="K4099" s="2" t="str">
        <f ca="1">IFERROR(__xludf.DUMMYFUNCTION("""COMPUTED_VALUE"""),"1745238716077")</f>
        <v>1745238716077</v>
      </c>
    </row>
    <row r="4100" spans="1:11" ht="12.45">
      <c r="A4100" s="2" t="str">
        <f ca="1">IFERROR(__xludf.DUMMYFUNCTION("""COMPUTED_VALUE"""),"1745238750854")</f>
        <v>1745238750854</v>
      </c>
      <c r="B4100" s="2"/>
      <c r="C4100" s="2" t="str">
        <v>0</v>
      </c>
      <c r="D4100" s="2"/>
      <c r="F4100" s="2" t="str">
        <v>0</v>
      </c>
      <c r="I4100" s="3" t="str">
        <f ca="1">IFERROR(__xludf.DUMMYFUNCTION("""COMPUTED_VALUE"""),"Trần Tố Uyên")</f>
        <v>Trần Tố Uyên</v>
      </c>
      <c r="J4100" s="3" t="str">
        <f ca="1">IFERROR(__xludf.DUMMYFUNCTION("""COMPUTED_VALUE"""),"0961939265")</f>
        <v>0961939265</v>
      </c>
      <c r="K4100" s="2" t="str">
        <f ca="1">IFERROR(__xludf.DUMMYFUNCTION("""COMPUTED_VALUE"""),"1745238750854")</f>
        <v>1745238750854</v>
      </c>
    </row>
    <row r="4101" spans="1:11" ht="12.45">
      <c r="A4101" s="2" t="str">
        <f ca="1">IFERROR(__xludf.DUMMYFUNCTION("""COMPUTED_VALUE"""),"1745238785605")</f>
        <v>1745238785605</v>
      </c>
      <c r="B4101" s="2"/>
      <c r="C4101" s="2" t="str">
        <v>0</v>
      </c>
      <c r="D4101" s="2"/>
      <c r="F4101" s="2" t="str">
        <v>0</v>
      </c>
      <c r="I4101" s="3" t="str">
        <f ca="1">IFERROR(__xludf.DUMMYFUNCTION("""COMPUTED_VALUE"""),"Trần Nguyễn Như Ý")</f>
        <v>Trần Nguyễn Như Ý</v>
      </c>
      <c r="J4101" s="3" t="str">
        <f ca="1">IFERROR(__xludf.DUMMYFUNCTION("""COMPUTED_VALUE"""),"0837526725")</f>
        <v>0837526725</v>
      </c>
      <c r="K4101" s="2" t="str">
        <f ca="1">IFERROR(__xludf.DUMMYFUNCTION("""COMPUTED_VALUE"""),"1745238785605")</f>
        <v>1745238785605</v>
      </c>
    </row>
    <row r="4102" spans="1:11" ht="12.45">
      <c r="A4102" s="2" t="str">
        <f ca="1">IFERROR(__xludf.DUMMYFUNCTION("""COMPUTED_VALUE"""),"1745238819325")</f>
        <v>1745238819325</v>
      </c>
      <c r="B4102" s="2"/>
      <c r="C4102" s="2" t="str">
        <v>0</v>
      </c>
      <c r="D4102" s="2"/>
      <c r="F4102" s="2" t="str">
        <v>0</v>
      </c>
      <c r="I4102" s="3" t="str">
        <f ca="1">IFERROR(__xludf.DUMMYFUNCTION("""COMPUTED_VALUE"""),"Đỗ Lê Quốc Huy")</f>
        <v>Đỗ Lê Quốc Huy</v>
      </c>
      <c r="J4102" s="2" t="str">
        <f ca="1">IFERROR(__xludf.DUMMYFUNCTION("""COMPUTED_VALUE"""),"0326805872")</f>
        <v>0326805872</v>
      </c>
      <c r="K4102" s="2" t="str">
        <f ca="1">IFERROR(__xludf.DUMMYFUNCTION("""COMPUTED_VALUE"""),"1745238819325")</f>
        <v>1745238819325</v>
      </c>
    </row>
    <row r="4103" spans="1:11" ht="12.45">
      <c r="A4103" s="2" t="str">
        <f ca="1">IFERROR(__xludf.DUMMYFUNCTION("""COMPUTED_VALUE"""),"1745238850117")</f>
        <v>1745238850117</v>
      </c>
      <c r="B4103" s="2"/>
      <c r="C4103" s="2" t="str">
        <v>0</v>
      </c>
      <c r="D4103" s="2"/>
      <c r="F4103" s="2" t="str">
        <v>0</v>
      </c>
      <c r="I4103" s="3" t="str">
        <f ca="1">IFERROR(__xludf.DUMMYFUNCTION("""COMPUTED_VALUE"""),"Nguyễn Văn Hiếu")</f>
        <v>Nguyễn Văn Hiếu</v>
      </c>
      <c r="J4103" s="3" t="str">
        <f ca="1">IFERROR(__xludf.DUMMYFUNCTION("""COMPUTED_VALUE"""),"0855442505")</f>
        <v>0855442505</v>
      </c>
      <c r="K4103" s="2" t="str">
        <f ca="1">IFERROR(__xludf.DUMMYFUNCTION("""COMPUTED_VALUE"""),"1745238850117")</f>
        <v>1745238850117</v>
      </c>
    </row>
    <row r="4104" spans="1:11" ht="12.45">
      <c r="A4104" s="2" t="str">
        <f ca="1">IFERROR(__xludf.DUMMYFUNCTION("""COMPUTED_VALUE"""),"1745238874770")</f>
        <v>1745238874770</v>
      </c>
      <c r="B4104" s="2"/>
      <c r="C4104" s="2" t="str">
        <v>0</v>
      </c>
      <c r="D4104" s="2"/>
      <c r="F4104" s="2" t="str">
        <v>0</v>
      </c>
      <c r="I4104" s="3" t="str">
        <f ca="1">IFERROR(__xludf.DUMMYFUNCTION("""COMPUTED_VALUE"""),"Nguyễn Ngọc Vi Thư ")</f>
        <v xml:space="preserve">Nguyễn Ngọc Vi Thư </v>
      </c>
      <c r="J4104" s="3" t="str">
        <f ca="1">IFERROR(__xludf.DUMMYFUNCTION("""COMPUTED_VALUE"""),"0869321330")</f>
        <v>0869321330</v>
      </c>
      <c r="K4104" s="2" t="str">
        <f ca="1">IFERROR(__xludf.DUMMYFUNCTION("""COMPUTED_VALUE"""),"1745238874770")</f>
        <v>1745238874770</v>
      </c>
    </row>
    <row r="4105" spans="1:11" ht="12.45">
      <c r="A4105" s="2" t="str">
        <f ca="1">IFERROR(__xludf.DUMMYFUNCTION("""COMPUTED_VALUE"""),"1745238905726")</f>
        <v>1745238905726</v>
      </c>
      <c r="B4105" s="2"/>
      <c r="C4105" s="2" t="str">
        <v>0</v>
      </c>
      <c r="D4105" s="2"/>
      <c r="F4105" s="2" t="str">
        <v>0</v>
      </c>
      <c r="I4105" s="3" t="str">
        <f ca="1">IFERROR(__xludf.DUMMYFUNCTION("""COMPUTED_VALUE"""),"Lê Thị Linh Đan")</f>
        <v>Lê Thị Linh Đan</v>
      </c>
      <c r="J4105" s="3" t="str">
        <f ca="1">IFERROR(__xludf.DUMMYFUNCTION("""COMPUTED_VALUE"""),"0384711462")</f>
        <v>0384711462</v>
      </c>
      <c r="K4105" s="2" t="str">
        <f ca="1">IFERROR(__xludf.DUMMYFUNCTION("""COMPUTED_VALUE"""),"1745238905726")</f>
        <v>1745238905726</v>
      </c>
    </row>
    <row r="4106" spans="1:11" ht="12.45">
      <c r="A4106" s="2" t="str">
        <f ca="1">IFERROR(__xludf.DUMMYFUNCTION("""COMPUTED_VALUE"""),"1745238937374")</f>
        <v>1745238937374</v>
      </c>
      <c r="B4106" s="2"/>
      <c r="C4106" s="2" t="str">
        <v>0</v>
      </c>
      <c r="D4106" s="2"/>
      <c r="F4106" s="2" t="str">
        <v>0</v>
      </c>
      <c r="I4106" s="3" t="str">
        <f ca="1">IFERROR(__xludf.DUMMYFUNCTION("""COMPUTED_VALUE"""),"Phạm Thế Sơn")</f>
        <v>Phạm Thế Sơn</v>
      </c>
      <c r="J4106" s="3" t="str">
        <f ca="1">IFERROR(__xludf.DUMMYFUNCTION("""COMPUTED_VALUE"""),"0986397168")</f>
        <v>0986397168</v>
      </c>
      <c r="K4106" s="2" t="str">
        <f ca="1">IFERROR(__xludf.DUMMYFUNCTION("""COMPUTED_VALUE"""),"1745238937374")</f>
        <v>1745238937374</v>
      </c>
    </row>
    <row r="4107" spans="1:11" ht="12.45">
      <c r="A4107" s="2" t="str">
        <f ca="1">IFERROR(__xludf.DUMMYFUNCTION("""COMPUTED_VALUE"""),"1745238971767")</f>
        <v>1745238971767</v>
      </c>
      <c r="B4107" s="2"/>
      <c r="C4107" s="2" t="str">
        <v>0</v>
      </c>
      <c r="D4107" s="2"/>
      <c r="F4107" s="2" t="str">
        <v>0</v>
      </c>
      <c r="I4107" s="3" t="str">
        <f ca="1">IFERROR(__xludf.DUMMYFUNCTION("""COMPUTED_VALUE"""),"Trương Quỳnh Duyên")</f>
        <v>Trương Quỳnh Duyên</v>
      </c>
      <c r="J4107" s="3" t="str">
        <f ca="1">IFERROR(__xludf.DUMMYFUNCTION("""COMPUTED_VALUE"""),"0879238090")</f>
        <v>0879238090</v>
      </c>
      <c r="K4107" s="2" t="str">
        <f ca="1">IFERROR(__xludf.DUMMYFUNCTION("""COMPUTED_VALUE"""),"1745238971767")</f>
        <v>1745238971767</v>
      </c>
    </row>
    <row r="4108" spans="1:11" ht="12.45">
      <c r="A4108" s="2" t="str">
        <f ca="1">IFERROR(__xludf.DUMMYFUNCTION("""COMPUTED_VALUE"""),"1745239005261")</f>
        <v>1745239005261</v>
      </c>
      <c r="B4108" s="2"/>
      <c r="C4108" s="2" t="str">
        <v>0</v>
      </c>
      <c r="D4108" s="2"/>
      <c r="F4108" s="2" t="str">
        <v>0</v>
      </c>
      <c r="I4108" s="3" t="str">
        <f ca="1">IFERROR(__xludf.DUMMYFUNCTION("""COMPUTED_VALUE"""),"Nguyễn Ngọc Anh")</f>
        <v>Nguyễn Ngọc Anh</v>
      </c>
      <c r="J4108" s="3" t="str">
        <f ca="1">IFERROR(__xludf.DUMMYFUNCTION("""COMPUTED_VALUE"""),"0862638807")</f>
        <v>0862638807</v>
      </c>
      <c r="K4108" s="2" t="str">
        <f ca="1">IFERROR(__xludf.DUMMYFUNCTION("""COMPUTED_VALUE"""),"1745239005261")</f>
        <v>1745239005261</v>
      </c>
    </row>
    <row r="4109" spans="1:11" ht="12.45">
      <c r="A4109" s="2" t="str">
        <f ca="1">IFERROR(__xludf.DUMMYFUNCTION("""COMPUTED_VALUE"""),"1745239032853")</f>
        <v>1745239032853</v>
      </c>
      <c r="B4109" s="2"/>
      <c r="C4109" s="2" t="str">
        <v>0</v>
      </c>
      <c r="D4109" s="2"/>
      <c r="F4109" s="2" t="str">
        <v>0</v>
      </c>
      <c r="I4109" s="3" t="str">
        <f ca="1">IFERROR(__xludf.DUMMYFUNCTION("""COMPUTED_VALUE"""),"Lê Quỳnh Anh")</f>
        <v>Lê Quỳnh Anh</v>
      </c>
      <c r="J4109" s="3" t="str">
        <f ca="1">IFERROR(__xludf.DUMMYFUNCTION("""COMPUTED_VALUE"""),"0865119193")</f>
        <v>0865119193</v>
      </c>
      <c r="K4109" s="2" t="str">
        <f ca="1">IFERROR(__xludf.DUMMYFUNCTION("""COMPUTED_VALUE"""),"1745239032853")</f>
        <v>1745239032853</v>
      </c>
    </row>
    <row r="4110" spans="1:11" ht="12.45">
      <c r="A4110" s="2" t="str">
        <f ca="1">IFERROR(__xludf.DUMMYFUNCTION("""COMPUTED_VALUE"""),"1745239063779")</f>
        <v>1745239063779</v>
      </c>
      <c r="B4110" s="2"/>
      <c r="C4110" s="2" t="str">
        <v>0</v>
      </c>
      <c r="D4110" s="2"/>
      <c r="F4110" s="2" t="str">
        <v>0</v>
      </c>
      <c r="I4110" s="3" t="str">
        <f ca="1">IFERROR(__xludf.DUMMYFUNCTION("""COMPUTED_VALUE"""),"Lâm Quang Huy")</f>
        <v>Lâm Quang Huy</v>
      </c>
      <c r="J4110" s="3" t="str">
        <f ca="1">IFERROR(__xludf.DUMMYFUNCTION("""COMPUTED_VALUE"""),"0866723706")</f>
        <v>0866723706</v>
      </c>
      <c r="K4110" s="2" t="str">
        <f ca="1">IFERROR(__xludf.DUMMYFUNCTION("""COMPUTED_VALUE"""),"1745239063779")</f>
        <v>1745239063779</v>
      </c>
    </row>
    <row r="4111" spans="1:11" ht="12.45">
      <c r="A4111" s="2" t="str">
        <f ca="1">IFERROR(__xludf.DUMMYFUNCTION("""COMPUTED_VALUE"""),"1745239091499")</f>
        <v>1745239091499</v>
      </c>
      <c r="B4111" s="2"/>
      <c r="C4111" s="2" t="str">
        <v>0</v>
      </c>
      <c r="D4111" s="2"/>
      <c r="F4111" s="2" t="str">
        <v>0</v>
      </c>
      <c r="I4111" s="3" t="str">
        <f ca="1">IFERROR(__xludf.DUMMYFUNCTION("""COMPUTED_VALUE"""),"Phan Như Thy")</f>
        <v>Phan Như Thy</v>
      </c>
      <c r="J4111" s="3" t="str">
        <f ca="1">IFERROR(__xludf.DUMMYFUNCTION("""COMPUTED_VALUE"""),"0947094279")</f>
        <v>0947094279</v>
      </c>
      <c r="K4111" s="2" t="str">
        <f ca="1">IFERROR(__xludf.DUMMYFUNCTION("""COMPUTED_VALUE"""),"1745239091499")</f>
        <v>1745239091499</v>
      </c>
    </row>
    <row r="4112" spans="1:11" ht="12.45">
      <c r="A4112" s="2" t="str">
        <f ca="1">IFERROR(__xludf.DUMMYFUNCTION("""COMPUTED_VALUE"""),"1745239126850")</f>
        <v>1745239126850</v>
      </c>
      <c r="B4112" s="2"/>
      <c r="C4112" s="2" t="str">
        <v>0</v>
      </c>
      <c r="D4112" s="2"/>
      <c r="F4112" s="2" t="str">
        <v>0</v>
      </c>
      <c r="I4112" s="3" t="str">
        <f ca="1">IFERROR(__xludf.DUMMYFUNCTION("""COMPUTED_VALUE"""),"Đặng Thị Kiều Ngân ")</f>
        <v xml:space="preserve">Đặng Thị Kiều Ngân </v>
      </c>
      <c r="J4112" s="3" t="str">
        <f ca="1">IFERROR(__xludf.DUMMYFUNCTION("""COMPUTED_VALUE"""),"0785401892")</f>
        <v>0785401892</v>
      </c>
      <c r="K4112" s="2" t="str">
        <f ca="1">IFERROR(__xludf.DUMMYFUNCTION("""COMPUTED_VALUE"""),"1745239126850")</f>
        <v>1745239126850</v>
      </c>
    </row>
    <row r="4113" spans="1:11" ht="12.45">
      <c r="A4113" s="2" t="str">
        <f ca="1">IFERROR(__xludf.DUMMYFUNCTION("""COMPUTED_VALUE"""),"1745239157367")</f>
        <v>1745239157367</v>
      </c>
      <c r="B4113" s="2"/>
      <c r="C4113" s="2" t="str">
        <v>0</v>
      </c>
      <c r="D4113" s="2"/>
      <c r="F4113" s="2" t="str">
        <v>0</v>
      </c>
      <c r="I4113" s="3" t="str">
        <f ca="1">IFERROR(__xludf.DUMMYFUNCTION("""COMPUTED_VALUE"""),"Đặng Quỳnh Anh ")</f>
        <v xml:space="preserve">Đặng Quỳnh Anh </v>
      </c>
      <c r="J4113" s="3" t="str">
        <f ca="1">IFERROR(__xludf.DUMMYFUNCTION("""COMPUTED_VALUE"""),"0364494675")</f>
        <v>0364494675</v>
      </c>
      <c r="K4113" s="2" t="str">
        <f ca="1">IFERROR(__xludf.DUMMYFUNCTION("""COMPUTED_VALUE"""),"1745239157367")</f>
        <v>1745239157367</v>
      </c>
    </row>
    <row r="4114" spans="1:11" ht="12.45">
      <c r="A4114" s="2" t="str">
        <f ca="1">IFERROR(__xludf.DUMMYFUNCTION("""COMPUTED_VALUE"""),"1745239186687")</f>
        <v>1745239186687</v>
      </c>
      <c r="B4114" s="2"/>
      <c r="C4114" s="2" t="str">
        <v>0</v>
      </c>
      <c r="D4114" s="2"/>
      <c r="F4114" s="2" t="str">
        <v>0</v>
      </c>
      <c r="I4114" s="3" t="str">
        <f ca="1">IFERROR(__xludf.DUMMYFUNCTION("""COMPUTED_VALUE"""),"Trần Thị Thương")</f>
        <v>Trần Thị Thương</v>
      </c>
      <c r="J4114" s="3" t="str">
        <f ca="1">IFERROR(__xludf.DUMMYFUNCTION("""COMPUTED_VALUE"""),"0368413127")</f>
        <v>0368413127</v>
      </c>
      <c r="K4114" s="2" t="str">
        <f ca="1">IFERROR(__xludf.DUMMYFUNCTION("""COMPUTED_VALUE"""),"1745239186687")</f>
        <v>1745239186687</v>
      </c>
    </row>
    <row r="4115" spans="1:11" ht="12.45">
      <c r="A4115" s="2" t="str">
        <f ca="1">IFERROR(__xludf.DUMMYFUNCTION("""COMPUTED_VALUE"""),"1745239217659")</f>
        <v>1745239217659</v>
      </c>
      <c r="B4115" s="2"/>
      <c r="C4115" s="2" t="str">
        <v>0</v>
      </c>
      <c r="D4115" s="2"/>
      <c r="F4115" s="2" t="str">
        <v>0</v>
      </c>
      <c r="I4115" s="3" t="str">
        <f ca="1">IFERROR(__xludf.DUMMYFUNCTION("""COMPUTED_VALUE"""),"Trần Linh Chi")</f>
        <v>Trần Linh Chi</v>
      </c>
      <c r="J4115" s="3" t="str">
        <f ca="1">IFERROR(__xludf.DUMMYFUNCTION("""COMPUTED_VALUE"""),"0368522672")</f>
        <v>0368522672</v>
      </c>
      <c r="K4115" s="2" t="str">
        <f ca="1">IFERROR(__xludf.DUMMYFUNCTION("""COMPUTED_VALUE"""),"1745239217659")</f>
        <v>1745239217659</v>
      </c>
    </row>
    <row r="4116" spans="1:11" ht="12.45">
      <c r="A4116" s="2" t="str">
        <f ca="1">IFERROR(__xludf.DUMMYFUNCTION("""COMPUTED_VALUE"""),"1745239252757")</f>
        <v>1745239252757</v>
      </c>
      <c r="B4116" s="2"/>
      <c r="C4116" s="2" t="str">
        <v>0</v>
      </c>
      <c r="D4116" s="2"/>
      <c r="F4116" s="2" t="str">
        <v>0</v>
      </c>
      <c r="I4116" s="3" t="str">
        <f ca="1">IFERROR(__xludf.DUMMYFUNCTION("""COMPUTED_VALUE"""),"Tạ Trịnh Hiếu Thảo")</f>
        <v>Tạ Trịnh Hiếu Thảo</v>
      </c>
      <c r="J4116" s="3" t="str">
        <f ca="1">IFERROR(__xludf.DUMMYFUNCTION("""COMPUTED_VALUE"""),"0913137477")</f>
        <v>0913137477</v>
      </c>
      <c r="K4116" s="2" t="str">
        <f ca="1">IFERROR(__xludf.DUMMYFUNCTION("""COMPUTED_VALUE"""),"1745239252757")</f>
        <v>1745239252757</v>
      </c>
    </row>
    <row r="4117" spans="1:11" ht="12.45">
      <c r="A4117" s="2" t="str">
        <f ca="1">IFERROR(__xludf.DUMMYFUNCTION("""COMPUTED_VALUE"""),"1745239287825")</f>
        <v>1745239287825</v>
      </c>
      <c r="B4117" s="2"/>
      <c r="C4117" s="2" t="str">
        <v>0</v>
      </c>
      <c r="D4117" s="2"/>
      <c r="F4117" s="2" t="str">
        <v>0</v>
      </c>
      <c r="I4117" s="3" t="str">
        <f ca="1">IFERROR(__xludf.DUMMYFUNCTION("""COMPUTED_VALUE"""),"Lê Mai Trang")</f>
        <v>Lê Mai Trang</v>
      </c>
      <c r="J4117" s="3" t="str">
        <f ca="1">IFERROR(__xludf.DUMMYFUNCTION("""COMPUTED_VALUE"""),"0912391107")</f>
        <v>0912391107</v>
      </c>
      <c r="K4117" s="2" t="str">
        <f ca="1">IFERROR(__xludf.DUMMYFUNCTION("""COMPUTED_VALUE"""),"1745239287825")</f>
        <v>1745239287825</v>
      </c>
    </row>
    <row r="4118" spans="1:11" ht="12.45">
      <c r="A4118" s="2" t="str">
        <f ca="1">IFERROR(__xludf.DUMMYFUNCTION("""COMPUTED_VALUE"""),"1745239310194")</f>
        <v>1745239310194</v>
      </c>
      <c r="B4118" s="2"/>
      <c r="C4118" s="2" t="str">
        <v>0</v>
      </c>
      <c r="D4118" s="2"/>
      <c r="F4118" s="2" t="str">
        <v>0</v>
      </c>
      <c r="I4118" s="3" t="str">
        <f ca="1">IFERROR(__xludf.DUMMYFUNCTION("""COMPUTED_VALUE"""),"Nguyễn Thị Huyền Diệu ")</f>
        <v xml:space="preserve">Nguyễn Thị Huyền Diệu </v>
      </c>
      <c r="J4118" s="3" t="str">
        <f ca="1">IFERROR(__xludf.DUMMYFUNCTION("""COMPUTED_VALUE"""),"0397762007")</f>
        <v>0397762007</v>
      </c>
      <c r="K4118" s="2" t="str">
        <f ca="1">IFERROR(__xludf.DUMMYFUNCTION("""COMPUTED_VALUE"""),"1745239310194")</f>
        <v>1745239310194</v>
      </c>
    </row>
    <row r="4119" spans="1:11" ht="12.45">
      <c r="A4119" s="2" t="str">
        <f ca="1">IFERROR(__xludf.DUMMYFUNCTION("""COMPUTED_VALUE"""),"1745239338727")</f>
        <v>1745239338727</v>
      </c>
      <c r="B4119" s="2"/>
      <c r="C4119" s="2" t="str">
        <v>0</v>
      </c>
      <c r="D4119" s="2"/>
      <c r="F4119" s="2" t="str">
        <v>0</v>
      </c>
      <c r="I4119" s="3" t="str">
        <f ca="1">IFERROR(__xludf.DUMMYFUNCTION("""COMPUTED_VALUE"""),"Nguyễn Hà My")</f>
        <v>Nguyễn Hà My</v>
      </c>
      <c r="J4119" s="3" t="str">
        <f ca="1">IFERROR(__xludf.DUMMYFUNCTION("""COMPUTED_VALUE"""),"0914257710")</f>
        <v>0914257710</v>
      </c>
      <c r="K4119" s="2" t="str">
        <f ca="1">IFERROR(__xludf.DUMMYFUNCTION("""COMPUTED_VALUE"""),"1745239338727")</f>
        <v>1745239338727</v>
      </c>
    </row>
    <row r="4120" spans="1:11" ht="12.45">
      <c r="A4120" s="2" t="str">
        <f ca="1">IFERROR(__xludf.DUMMYFUNCTION("""COMPUTED_VALUE"""),"1745239359832")</f>
        <v>1745239359832</v>
      </c>
      <c r="B4120" s="2"/>
      <c r="C4120" s="2" t="str">
        <v>0</v>
      </c>
      <c r="D4120" s="2"/>
      <c r="F4120" s="2" t="str">
        <v>0</v>
      </c>
      <c r="I4120" s="3" t="str">
        <f ca="1">IFERROR(__xludf.DUMMYFUNCTION("""COMPUTED_VALUE"""),"Võ Thị Như Huyền")</f>
        <v>Võ Thị Như Huyền</v>
      </c>
      <c r="J4120" s="3" t="str">
        <f ca="1">IFERROR(__xludf.DUMMYFUNCTION("""COMPUTED_VALUE"""),"0336607011")</f>
        <v>0336607011</v>
      </c>
      <c r="K4120" s="2" t="str">
        <f ca="1">IFERROR(__xludf.DUMMYFUNCTION("""COMPUTED_VALUE"""),"1745239359832")</f>
        <v>1745239359832</v>
      </c>
    </row>
    <row r="4121" spans="1:11" ht="12.45">
      <c r="A4121" s="2" t="str">
        <f ca="1">IFERROR(__xludf.DUMMYFUNCTION("""COMPUTED_VALUE"""),"1745239394868")</f>
        <v>1745239394868</v>
      </c>
      <c r="B4121" s="2"/>
      <c r="C4121" s="2" t="str">
        <v>0</v>
      </c>
      <c r="D4121" s="2"/>
      <c r="F4121" s="2" t="str">
        <v>0</v>
      </c>
      <c r="I4121" s="3" t="str">
        <f ca="1">IFERROR(__xludf.DUMMYFUNCTION("""COMPUTED_VALUE"""),"Trần Bảo Thy ")</f>
        <v xml:space="preserve">Trần Bảo Thy </v>
      </c>
      <c r="J4121" s="3" t="str">
        <f ca="1">IFERROR(__xludf.DUMMYFUNCTION("""COMPUTED_VALUE"""),"0354235661")</f>
        <v>0354235661</v>
      </c>
      <c r="K4121" s="2" t="str">
        <f ca="1">IFERROR(__xludf.DUMMYFUNCTION("""COMPUTED_VALUE"""),"1745239394868")</f>
        <v>1745239394868</v>
      </c>
    </row>
    <row r="4122" spans="1:11" ht="12.45">
      <c r="A4122" s="2" t="str">
        <f ca="1">IFERROR(__xludf.DUMMYFUNCTION("""COMPUTED_VALUE"""),"1745239440257")</f>
        <v>1745239440257</v>
      </c>
      <c r="B4122" s="2"/>
      <c r="C4122" s="2" t="str">
        <v>0</v>
      </c>
      <c r="D4122" s="2"/>
      <c r="F4122" s="2" t="str">
        <v>0</v>
      </c>
      <c r="I4122" s="3" t="str">
        <f ca="1">IFERROR(__xludf.DUMMYFUNCTION("""COMPUTED_VALUE"""),"CHU THỊ QUỲNH NHƯ")</f>
        <v>CHU THỊ QUỲNH NHƯ</v>
      </c>
      <c r="J4122" s="3" t="str">
        <f ca="1">IFERROR(__xludf.DUMMYFUNCTION("""COMPUTED_VALUE"""),"0352859007")</f>
        <v>0352859007</v>
      </c>
      <c r="K4122" s="2" t="str">
        <f ca="1">IFERROR(__xludf.DUMMYFUNCTION("""COMPUTED_VALUE"""),"1745239440257")</f>
        <v>1745239440257</v>
      </c>
    </row>
    <row r="4123" spans="1:11" ht="12.45">
      <c r="A4123" s="2" t="str">
        <f ca="1">IFERROR(__xludf.DUMMYFUNCTION("""COMPUTED_VALUE"""),"1745239472151")</f>
        <v>1745239472151</v>
      </c>
      <c r="B4123" s="2"/>
      <c r="C4123" s="2" t="str">
        <v>0</v>
      </c>
      <c r="D4123" s="2"/>
      <c r="F4123" s="2" t="str">
        <v>0</v>
      </c>
      <c r="I4123" s="3" t="str">
        <f ca="1">IFERROR(__xludf.DUMMYFUNCTION("""COMPUTED_VALUE"""),"Chu Minh Thu")</f>
        <v>Chu Minh Thu</v>
      </c>
      <c r="J4123" s="3" t="str">
        <f ca="1">IFERROR(__xludf.DUMMYFUNCTION("""COMPUTED_VALUE"""),"0822438576")</f>
        <v>0822438576</v>
      </c>
      <c r="K4123" s="2" t="str">
        <f ca="1">IFERROR(__xludf.DUMMYFUNCTION("""COMPUTED_VALUE"""),"1745239472151")</f>
        <v>1745239472151</v>
      </c>
    </row>
    <row r="4124" spans="1:11" ht="12.45">
      <c r="A4124" s="2" t="str">
        <f ca="1">IFERROR(__xludf.DUMMYFUNCTION("""COMPUTED_VALUE"""),"1745239499832")</f>
        <v>1745239499832</v>
      </c>
      <c r="B4124" s="2"/>
      <c r="C4124" s="2" t="str">
        <v>0</v>
      </c>
      <c r="D4124" s="2"/>
      <c r="F4124" s="2" t="str">
        <v>0</v>
      </c>
      <c r="I4124" s="3" t="str">
        <f ca="1">IFERROR(__xludf.DUMMYFUNCTION("""COMPUTED_VALUE"""),"Nguyễn Ngọc Ánh")</f>
        <v>Nguyễn Ngọc Ánh</v>
      </c>
      <c r="J4124" s="3" t="str">
        <f ca="1">IFERROR(__xludf.DUMMYFUNCTION("""COMPUTED_VALUE"""),"0352890488")</f>
        <v>0352890488</v>
      </c>
      <c r="K4124" s="2" t="str">
        <f ca="1">IFERROR(__xludf.DUMMYFUNCTION("""COMPUTED_VALUE"""),"1745239499832")</f>
        <v>1745239499832</v>
      </c>
    </row>
    <row r="4125" spans="1:11" ht="12.45">
      <c r="A4125" s="2" t="str">
        <f ca="1">IFERROR(__xludf.DUMMYFUNCTION("""COMPUTED_VALUE"""),"1745239526882")</f>
        <v>1745239526882</v>
      </c>
      <c r="B4125" s="2"/>
      <c r="C4125" s="2" t="str">
        <v>0</v>
      </c>
      <c r="D4125" s="2"/>
      <c r="F4125" s="2" t="str">
        <v>0</v>
      </c>
      <c r="I4125" s="3" t="str">
        <f ca="1">IFERROR(__xludf.DUMMYFUNCTION("""COMPUTED_VALUE"""),"Mai Nhật Trường")</f>
        <v>Mai Nhật Trường</v>
      </c>
      <c r="J4125" s="3" t="str">
        <f ca="1">IFERROR(__xludf.DUMMYFUNCTION("""COMPUTED_VALUE"""),"0862776117")</f>
        <v>0862776117</v>
      </c>
      <c r="K4125" s="2" t="str">
        <f ca="1">IFERROR(__xludf.DUMMYFUNCTION("""COMPUTED_VALUE"""),"1745239526882")</f>
        <v>1745239526882</v>
      </c>
    </row>
    <row r="4126" spans="1:11" ht="12.45">
      <c r="A4126" s="2" t="str">
        <f ca="1">IFERROR(__xludf.DUMMYFUNCTION("""COMPUTED_VALUE"""),"1745239561016")</f>
        <v>1745239561016</v>
      </c>
      <c r="B4126" s="2"/>
      <c r="C4126" s="2" t="str">
        <v>0</v>
      </c>
      <c r="D4126" s="2"/>
      <c r="F4126" s="2" t="str">
        <v>0</v>
      </c>
      <c r="I4126" s="3" t="str">
        <f ca="1">IFERROR(__xludf.DUMMYFUNCTION("""COMPUTED_VALUE"""),"Nguyễn Thị Ngọc Na")</f>
        <v>Nguyễn Thị Ngọc Na</v>
      </c>
      <c r="J4126" s="3" t="str">
        <f ca="1">IFERROR(__xludf.DUMMYFUNCTION("""COMPUTED_VALUE"""),"0327305734")</f>
        <v>0327305734</v>
      </c>
      <c r="K4126" s="2" t="str">
        <f ca="1">IFERROR(__xludf.DUMMYFUNCTION("""COMPUTED_VALUE"""),"1745239561016")</f>
        <v>1745239561016</v>
      </c>
    </row>
    <row r="4127" spans="1:11" ht="12.45">
      <c r="A4127" s="2" t="str">
        <f ca="1">IFERROR(__xludf.DUMMYFUNCTION("""COMPUTED_VALUE"""),"1745239590000")</f>
        <v>1745239590000</v>
      </c>
      <c r="B4127" s="2"/>
      <c r="C4127" s="2" t="str">
        <v>0</v>
      </c>
      <c r="D4127" s="2"/>
      <c r="F4127" s="2" t="str">
        <v>0</v>
      </c>
      <c r="I4127" s="3" t="str">
        <f ca="1">IFERROR(__xludf.DUMMYFUNCTION("""COMPUTED_VALUE"""),"Vũ Mai Chi")</f>
        <v>Vũ Mai Chi</v>
      </c>
      <c r="J4127" s="3" t="str">
        <f ca="1">IFERROR(__xludf.DUMMYFUNCTION("""COMPUTED_VALUE"""),"0914989851")</f>
        <v>0914989851</v>
      </c>
      <c r="K4127" s="2" t="str">
        <f ca="1">IFERROR(__xludf.DUMMYFUNCTION("""COMPUTED_VALUE"""),"1745239590000")</f>
        <v>1745239590000</v>
      </c>
    </row>
    <row r="4128" spans="1:11" ht="12.45">
      <c r="A4128" s="2" t="str">
        <f ca="1">IFERROR(__xludf.DUMMYFUNCTION("""COMPUTED_VALUE"""),"1745239621334")</f>
        <v>1745239621334</v>
      </c>
      <c r="B4128" s="2"/>
      <c r="C4128" s="2" t="str">
        <v>0</v>
      </c>
      <c r="D4128" s="2"/>
      <c r="F4128" s="2" t="str">
        <v>0</v>
      </c>
      <c r="I4128" s="3" t="str">
        <f ca="1">IFERROR(__xludf.DUMMYFUNCTION("""COMPUTED_VALUE"""),"Võ Thanh Ngọc")</f>
        <v>Võ Thanh Ngọc</v>
      </c>
      <c r="J4128" s="3" t="str">
        <f ca="1">IFERROR(__xludf.DUMMYFUNCTION("""COMPUTED_VALUE"""),"0943102062")</f>
        <v>0943102062</v>
      </c>
      <c r="K4128" s="2" t="str">
        <f ca="1">IFERROR(__xludf.DUMMYFUNCTION("""COMPUTED_VALUE"""),"1745239621334")</f>
        <v>1745239621334</v>
      </c>
    </row>
    <row r="4129" spans="1:11" ht="12.45">
      <c r="A4129" s="2" t="str">
        <f ca="1">IFERROR(__xludf.DUMMYFUNCTION("""COMPUTED_VALUE"""),"1745239648947")</f>
        <v>1745239648947</v>
      </c>
      <c r="B4129" s="2"/>
      <c r="C4129" s="2" t="str">
        <v>0</v>
      </c>
      <c r="D4129" s="2"/>
      <c r="F4129" s="2" t="str">
        <v>0</v>
      </c>
      <c r="I4129" s="3" t="str">
        <f ca="1">IFERROR(__xludf.DUMMYFUNCTION("""COMPUTED_VALUE"""),"trần song cẩm ly")</f>
        <v>trần song cẩm ly</v>
      </c>
      <c r="J4129" s="3" t="str">
        <f ca="1">IFERROR(__xludf.DUMMYFUNCTION("""COMPUTED_VALUE"""),"0843642289")</f>
        <v>0843642289</v>
      </c>
      <c r="K4129" s="2" t="str">
        <f ca="1">IFERROR(__xludf.DUMMYFUNCTION("""COMPUTED_VALUE"""),"1745239648947")</f>
        <v>1745239648947</v>
      </c>
    </row>
    <row r="4130" spans="1:11" ht="12.45">
      <c r="A4130" s="2" t="str">
        <f ca="1">IFERROR(__xludf.DUMMYFUNCTION("""COMPUTED_VALUE"""),"1745239674950")</f>
        <v>1745239674950</v>
      </c>
      <c r="B4130" s="2"/>
      <c r="C4130" s="2" t="str">
        <v>0</v>
      </c>
      <c r="D4130" s="2"/>
      <c r="F4130" s="2" t="str">
        <v>0</v>
      </c>
      <c r="I4130" s="3" t="str">
        <f ca="1">IFERROR(__xludf.DUMMYFUNCTION("""COMPUTED_VALUE"""),"VI TUYẾT NHI")</f>
        <v>VI TUYẾT NHI</v>
      </c>
      <c r="J4130" s="3" t="str">
        <f ca="1">IFERROR(__xludf.DUMMYFUNCTION("""COMPUTED_VALUE"""),"0978855305")</f>
        <v>0978855305</v>
      </c>
      <c r="K4130" s="2" t="str">
        <f ca="1">IFERROR(__xludf.DUMMYFUNCTION("""COMPUTED_VALUE"""),"1745239674950")</f>
        <v>1745239674950</v>
      </c>
    </row>
    <row r="4131" spans="1:11" ht="12.45">
      <c r="A4131" s="2" t="str">
        <f ca="1">IFERROR(__xludf.DUMMYFUNCTION("""COMPUTED_VALUE"""),"1745239702732")</f>
        <v>1745239702732</v>
      </c>
      <c r="B4131" s="2"/>
      <c r="C4131" s="2" t="str">
        <v>0</v>
      </c>
      <c r="D4131" s="2"/>
      <c r="F4131" s="2" t="str">
        <v>0</v>
      </c>
      <c r="I4131" s="3" t="str">
        <f ca="1">IFERROR(__xludf.DUMMYFUNCTION("""COMPUTED_VALUE"""),"Nguyễn Thùy Linh ")</f>
        <v xml:space="preserve">Nguyễn Thùy Linh </v>
      </c>
      <c r="J4131" s="2">
        <f ca="1">IFERROR(__xludf.DUMMYFUNCTION("""COMPUTED_VALUE"""),8486811769)</f>
        <v>8486811769</v>
      </c>
      <c r="K4131" s="2" t="str">
        <f ca="1">IFERROR(__xludf.DUMMYFUNCTION("""COMPUTED_VALUE"""),"1745239702732")</f>
        <v>1745239702732</v>
      </c>
    </row>
    <row r="4132" spans="1:11" ht="12.45">
      <c r="A4132" s="2" t="str">
        <f ca="1">IFERROR(__xludf.DUMMYFUNCTION("""COMPUTED_VALUE"""),"1745239729758")</f>
        <v>1745239729758</v>
      </c>
      <c r="B4132" s="2"/>
      <c r="C4132" s="2" t="str">
        <v>0</v>
      </c>
      <c r="D4132" s="2"/>
      <c r="F4132" s="2" t="str">
        <v>0</v>
      </c>
      <c r="I4132" s="3" t="str">
        <f ca="1">IFERROR(__xludf.DUMMYFUNCTION("""COMPUTED_VALUE"""),"Trần Ngọc Hoàng Anh")</f>
        <v>Trần Ngọc Hoàng Anh</v>
      </c>
      <c r="J4132" s="3" t="str">
        <f ca="1">IFERROR(__xludf.DUMMYFUNCTION("""COMPUTED_VALUE"""),"0782171858")</f>
        <v>0782171858</v>
      </c>
      <c r="K4132" s="2" t="str">
        <f ca="1">IFERROR(__xludf.DUMMYFUNCTION("""COMPUTED_VALUE"""),"1745239729758")</f>
        <v>1745239729758</v>
      </c>
    </row>
    <row r="4133" spans="1:11" ht="12.45">
      <c r="A4133" s="2" t="str">
        <f ca="1">IFERROR(__xludf.DUMMYFUNCTION("""COMPUTED_VALUE"""),"1745239760727")</f>
        <v>1745239760727</v>
      </c>
      <c r="B4133" s="2"/>
      <c r="C4133" s="2" t="str">
        <v>0</v>
      </c>
      <c r="D4133" s="2"/>
      <c r="F4133" s="2" t="str">
        <v>0</v>
      </c>
      <c r="I4133" s="3" t="str">
        <f ca="1">IFERROR(__xludf.DUMMYFUNCTION("""COMPUTED_VALUE"""),"Hoàng Thuỳ Dung")</f>
        <v>Hoàng Thuỳ Dung</v>
      </c>
      <c r="J4133" s="3" t="str">
        <f ca="1">IFERROR(__xludf.DUMMYFUNCTION("""COMPUTED_VALUE"""),"0865722348")</f>
        <v>0865722348</v>
      </c>
      <c r="K4133" s="2" t="str">
        <f ca="1">IFERROR(__xludf.DUMMYFUNCTION("""COMPUTED_VALUE"""),"1745239760727")</f>
        <v>1745239760727</v>
      </c>
    </row>
    <row r="4134" spans="1:11" ht="12.45">
      <c r="A4134" s="2" t="str">
        <f ca="1">IFERROR(__xludf.DUMMYFUNCTION("""COMPUTED_VALUE"""),"1745239786285")</f>
        <v>1745239786285</v>
      </c>
      <c r="B4134" s="2"/>
      <c r="C4134" s="2" t="str">
        <v>0</v>
      </c>
      <c r="D4134" s="2"/>
      <c r="F4134" s="2" t="str">
        <v>0</v>
      </c>
      <c r="I4134" s="3" t="str">
        <f ca="1">IFERROR(__xludf.DUMMYFUNCTION("""COMPUTED_VALUE"""),"Đỗ Quỳnh Hương")</f>
        <v>Đỗ Quỳnh Hương</v>
      </c>
      <c r="J4134" s="3" t="str">
        <f ca="1">IFERROR(__xludf.DUMMYFUNCTION("""COMPUTED_VALUE"""),"0379851562")</f>
        <v>0379851562</v>
      </c>
      <c r="K4134" s="2" t="str">
        <f ca="1">IFERROR(__xludf.DUMMYFUNCTION("""COMPUTED_VALUE"""),"1745239786285")</f>
        <v>1745239786285</v>
      </c>
    </row>
    <row r="4135" spans="1:11" ht="12.45">
      <c r="A4135" s="2" t="str">
        <f ca="1">IFERROR(__xludf.DUMMYFUNCTION("""COMPUTED_VALUE"""),"1745239810272")</f>
        <v>1745239810272</v>
      </c>
      <c r="B4135" s="2"/>
      <c r="C4135" s="2" t="str">
        <v>0</v>
      </c>
      <c r="D4135" s="2"/>
      <c r="F4135" s="2" t="str">
        <v>0</v>
      </c>
      <c r="I4135" s="3" t="str">
        <f ca="1">IFERROR(__xludf.DUMMYFUNCTION("""COMPUTED_VALUE"""),"Nguyễn Đông Nghi ")</f>
        <v xml:space="preserve">Nguyễn Đông Nghi </v>
      </c>
      <c r="J4135" s="3" t="str">
        <f ca="1">IFERROR(__xludf.DUMMYFUNCTION("""COMPUTED_VALUE"""),"0972394240")</f>
        <v>0972394240</v>
      </c>
      <c r="K4135" s="2" t="str">
        <f ca="1">IFERROR(__xludf.DUMMYFUNCTION("""COMPUTED_VALUE"""),"1745239810272")</f>
        <v>1745239810272</v>
      </c>
    </row>
    <row r="4136" spans="1:11" ht="12.45">
      <c r="A4136" s="2" t="str">
        <f ca="1">IFERROR(__xludf.DUMMYFUNCTION("""COMPUTED_VALUE"""),"1745239833433")</f>
        <v>1745239833433</v>
      </c>
      <c r="B4136" s="2"/>
      <c r="C4136" s="2" t="str">
        <v>0</v>
      </c>
      <c r="D4136" s="2"/>
      <c r="F4136" s="2" t="str">
        <v>0</v>
      </c>
      <c r="I4136" s="3" t="str">
        <f ca="1">IFERROR(__xludf.DUMMYFUNCTION("""COMPUTED_VALUE"""),"Phạm Ngọc Thiên Thư")</f>
        <v>Phạm Ngọc Thiên Thư</v>
      </c>
      <c r="J4136" s="3" t="str">
        <f ca="1">IFERROR(__xludf.DUMMYFUNCTION("""COMPUTED_VALUE"""),"0941486337")</f>
        <v>0941486337</v>
      </c>
      <c r="K4136" s="2" t="str">
        <f ca="1">IFERROR(__xludf.DUMMYFUNCTION("""COMPUTED_VALUE"""),"1745239833433")</f>
        <v>1745239833433</v>
      </c>
    </row>
    <row r="4137" spans="1:11" ht="12.45">
      <c r="A4137" s="2" t="str">
        <f ca="1">IFERROR(__xludf.DUMMYFUNCTION("""COMPUTED_VALUE"""),"1745239857405")</f>
        <v>1745239857405</v>
      </c>
      <c r="B4137" s="2"/>
      <c r="C4137" s="2" t="str">
        <v>0</v>
      </c>
      <c r="D4137" s="2"/>
      <c r="F4137" s="2" t="str">
        <v>0</v>
      </c>
      <c r="I4137" s="3" t="str">
        <f ca="1">IFERROR(__xludf.DUMMYFUNCTION("""COMPUTED_VALUE"""),"Hoàng Thị Tuyết Mai")</f>
        <v>Hoàng Thị Tuyết Mai</v>
      </c>
      <c r="J4137" s="3" t="str">
        <f ca="1">IFERROR(__xludf.DUMMYFUNCTION("""COMPUTED_VALUE"""),"0332985387")</f>
        <v>0332985387</v>
      </c>
      <c r="K4137" s="2" t="str">
        <f ca="1">IFERROR(__xludf.DUMMYFUNCTION("""COMPUTED_VALUE"""),"1745239857405")</f>
        <v>1745239857405</v>
      </c>
    </row>
    <row r="4138" spans="1:11" ht="12.45">
      <c r="A4138" s="2" t="str">
        <f ca="1">IFERROR(__xludf.DUMMYFUNCTION("""COMPUTED_VALUE"""),"1745239878428")</f>
        <v>1745239878428</v>
      </c>
      <c r="B4138" s="2"/>
      <c r="C4138" s="2" t="str">
        <v>0</v>
      </c>
      <c r="D4138" s="2"/>
      <c r="F4138" s="2" t="str">
        <v>0</v>
      </c>
      <c r="I4138" s="3" t="str">
        <f ca="1">IFERROR(__xludf.DUMMYFUNCTION("""COMPUTED_VALUE"""),"Nguyễn Thu Hiền")</f>
        <v>Nguyễn Thu Hiền</v>
      </c>
      <c r="J4138" s="3" t="str">
        <f ca="1">IFERROR(__xludf.DUMMYFUNCTION("""COMPUTED_VALUE"""),"0358751683")</f>
        <v>0358751683</v>
      </c>
      <c r="K4138" s="2" t="str">
        <f ca="1">IFERROR(__xludf.DUMMYFUNCTION("""COMPUTED_VALUE"""),"1745239878428")</f>
        <v>1745239878428</v>
      </c>
    </row>
    <row r="4139" spans="1:11" ht="12.45">
      <c r="A4139" s="2" t="str">
        <f ca="1">IFERROR(__xludf.DUMMYFUNCTION("""COMPUTED_VALUE"""),"1745239903940")</f>
        <v>1745239903940</v>
      </c>
      <c r="B4139" s="2"/>
      <c r="C4139" s="2" t="str">
        <v>0</v>
      </c>
      <c r="D4139" s="2"/>
      <c r="F4139" s="2" t="str">
        <v>0</v>
      </c>
      <c r="I4139" s="3" t="str">
        <f ca="1">IFERROR(__xludf.DUMMYFUNCTION("""COMPUTED_VALUE"""),"Trương Thị Phương Thu")</f>
        <v>Trương Thị Phương Thu</v>
      </c>
      <c r="J4139" s="3" t="str">
        <f ca="1">IFERROR(__xludf.DUMMYFUNCTION("""COMPUTED_VALUE"""),"0327915369")</f>
        <v>0327915369</v>
      </c>
      <c r="K4139" s="2" t="str">
        <f ca="1">IFERROR(__xludf.DUMMYFUNCTION("""COMPUTED_VALUE"""),"1745239903940")</f>
        <v>1745239903940</v>
      </c>
    </row>
    <row r="4140" spans="1:11" ht="12.45">
      <c r="A4140" s="2" t="str">
        <f ca="1">IFERROR(__xludf.DUMMYFUNCTION("""COMPUTED_VALUE"""),"1745239933112")</f>
        <v>1745239933112</v>
      </c>
      <c r="B4140" s="2"/>
      <c r="C4140" s="2" t="str">
        <v>0</v>
      </c>
      <c r="D4140" s="2"/>
      <c r="F4140" s="2" t="str">
        <v>0</v>
      </c>
      <c r="I4140" s="3" t="str">
        <f ca="1">IFERROR(__xludf.DUMMYFUNCTION("""COMPUTED_VALUE"""),"Ma Thu Hà")</f>
        <v>Ma Thu Hà</v>
      </c>
      <c r="J4140" s="3" t="str">
        <f ca="1">IFERROR(__xludf.DUMMYFUNCTION("""COMPUTED_VALUE"""),"0964031605")</f>
        <v>0964031605</v>
      </c>
      <c r="K4140" s="2" t="str">
        <f ca="1">IFERROR(__xludf.DUMMYFUNCTION("""COMPUTED_VALUE"""),"1745239933112")</f>
        <v>1745239933112</v>
      </c>
    </row>
    <row r="4141" spans="1:11" ht="12.45">
      <c r="A4141" s="2" t="str">
        <f ca="1">IFERROR(__xludf.DUMMYFUNCTION("""COMPUTED_VALUE"""),"1745239962577")</f>
        <v>1745239962577</v>
      </c>
      <c r="B4141" s="2"/>
      <c r="C4141" s="2" t="str">
        <v>0</v>
      </c>
      <c r="D4141" s="2"/>
      <c r="F4141" s="2" t="str">
        <v>0</v>
      </c>
      <c r="I4141" s="3" t="str">
        <f ca="1">IFERROR(__xludf.DUMMYFUNCTION("""COMPUTED_VALUE"""),"Đặng Thu Hà ")</f>
        <v xml:space="preserve">Đặng Thu Hà </v>
      </c>
      <c r="J4141" s="3" t="str">
        <f ca="1">IFERROR(__xludf.DUMMYFUNCTION("""COMPUTED_VALUE"""),"0823750886")</f>
        <v>0823750886</v>
      </c>
      <c r="K4141" s="2" t="str">
        <f ca="1">IFERROR(__xludf.DUMMYFUNCTION("""COMPUTED_VALUE"""),"1745239962577")</f>
        <v>1745239962577</v>
      </c>
    </row>
    <row r="4142" spans="1:11" ht="12.45">
      <c r="A4142" s="2" t="str">
        <f ca="1">IFERROR(__xludf.DUMMYFUNCTION("""COMPUTED_VALUE"""),"1745239989330")</f>
        <v>1745239989330</v>
      </c>
      <c r="B4142" s="2"/>
      <c r="C4142" s="2" t="str">
        <v>0</v>
      </c>
      <c r="D4142" s="2"/>
      <c r="F4142" s="2" t="str">
        <v>0</v>
      </c>
      <c r="I4142" s="3" t="str">
        <f ca="1">IFERROR(__xludf.DUMMYFUNCTION("""COMPUTED_VALUE"""),"Đặng Thị Ngọc Ánh")</f>
        <v>Đặng Thị Ngọc Ánh</v>
      </c>
      <c r="J4142" s="3" t="str">
        <f ca="1">IFERROR(__xludf.DUMMYFUNCTION("""COMPUTED_VALUE"""),"0945677288")</f>
        <v>0945677288</v>
      </c>
      <c r="K4142" s="2" t="str">
        <f ca="1">IFERROR(__xludf.DUMMYFUNCTION("""COMPUTED_VALUE"""),"1745239989330")</f>
        <v>1745239989330</v>
      </c>
    </row>
    <row r="4143" spans="1:11" ht="12.45">
      <c r="A4143" s="2" t="str">
        <f ca="1">IFERROR(__xludf.DUMMYFUNCTION("""COMPUTED_VALUE"""),"1745240028691")</f>
        <v>1745240028691</v>
      </c>
      <c r="B4143" s="2"/>
      <c r="C4143" s="2" t="str">
        <v>0</v>
      </c>
      <c r="D4143" s="2"/>
      <c r="F4143" s="2" t="str">
        <v>0</v>
      </c>
      <c r="I4143" s="3" t="str">
        <f ca="1">IFERROR(__xludf.DUMMYFUNCTION("""COMPUTED_VALUE"""),"Ty Phương Thuỳ")</f>
        <v>Ty Phương Thuỳ</v>
      </c>
      <c r="J4143" s="3" t="str">
        <f ca="1">IFERROR(__xludf.DUMMYFUNCTION("""COMPUTED_VALUE"""),"0889455007")</f>
        <v>0889455007</v>
      </c>
      <c r="K4143" s="2" t="str">
        <f ca="1">IFERROR(__xludf.DUMMYFUNCTION("""COMPUTED_VALUE"""),"1745240028691")</f>
        <v>1745240028691</v>
      </c>
    </row>
    <row r="4144" spans="1:11" ht="12.45">
      <c r="A4144" s="2" t="str">
        <f ca="1">IFERROR(__xludf.DUMMYFUNCTION("""COMPUTED_VALUE"""),"1745240062175")</f>
        <v>1745240062175</v>
      </c>
      <c r="B4144" s="2"/>
      <c r="C4144" s="2" t="str">
        <v>0</v>
      </c>
      <c r="D4144" s="2"/>
      <c r="F4144" s="2" t="str">
        <v>0</v>
      </c>
      <c r="I4144" s="3" t="str">
        <f ca="1">IFERROR(__xludf.DUMMYFUNCTION("""COMPUTED_VALUE"""),"Nguyễn Trần Hà Anh")</f>
        <v>Nguyễn Trần Hà Anh</v>
      </c>
      <c r="J4144" s="3" t="str">
        <f ca="1">IFERROR(__xludf.DUMMYFUNCTION("""COMPUTED_VALUE"""),"0985794350")</f>
        <v>0985794350</v>
      </c>
      <c r="K4144" s="2" t="str">
        <f ca="1">IFERROR(__xludf.DUMMYFUNCTION("""COMPUTED_VALUE"""),"1745240062175")</f>
        <v>1745240062175</v>
      </c>
    </row>
    <row r="4145" spans="1:11" ht="12.45">
      <c r="A4145" s="2" t="str">
        <f ca="1">IFERROR(__xludf.DUMMYFUNCTION("""COMPUTED_VALUE"""),"1745240100724")</f>
        <v>1745240100724</v>
      </c>
      <c r="B4145" s="2"/>
      <c r="C4145" s="2" t="str">
        <v>0</v>
      </c>
      <c r="D4145" s="2"/>
      <c r="F4145" s="2" t="str">
        <v>0</v>
      </c>
      <c r="I4145" s="3" t="str">
        <f ca="1">IFERROR(__xludf.DUMMYFUNCTION("""COMPUTED_VALUE"""),"Dương Thảo Uyên ")</f>
        <v xml:space="preserve">Dương Thảo Uyên </v>
      </c>
      <c r="J4145" s="3" t="str">
        <f ca="1">IFERROR(__xludf.DUMMYFUNCTION("""COMPUTED_VALUE"""),"0785365785")</f>
        <v>0785365785</v>
      </c>
      <c r="K4145" s="2" t="str">
        <f ca="1">IFERROR(__xludf.DUMMYFUNCTION("""COMPUTED_VALUE"""),"1745240100724")</f>
        <v>1745240100724</v>
      </c>
    </row>
    <row r="4146" spans="1:11" ht="12.45">
      <c r="A4146" s="2">
        <f ca="1">IFERROR(__xludf.DUMMYFUNCTION("""COMPUTED_VALUE"""),1745240139279)</f>
        <v>1745240139279</v>
      </c>
      <c r="B4146" s="2"/>
      <c r="C4146" s="2" t="str">
        <v>0</v>
      </c>
      <c r="D4146" s="2"/>
      <c r="F4146" s="2" t="str">
        <v>0</v>
      </c>
      <c r="I4146" s="3" t="str">
        <f ca="1">IFERROR(__xludf.DUMMYFUNCTION("""COMPUTED_VALUE"""),"Cao Việt Huy ")</f>
        <v xml:space="preserve">Cao Việt Huy </v>
      </c>
      <c r="J4146" s="3" t="str">
        <f ca="1">IFERROR(__xludf.DUMMYFUNCTION("""COMPUTED_VALUE"""),"0325601092")</f>
        <v>0325601092</v>
      </c>
      <c r="K4146" s="2">
        <f ca="1">IFERROR(__xludf.DUMMYFUNCTION("""COMPUTED_VALUE"""),1745240139279)</f>
        <v>1745240139279</v>
      </c>
    </row>
    <row r="4147" spans="1:11" ht="12.45">
      <c r="A4147" s="2" t="str">
        <f ca="1">IFERROR(__xludf.DUMMYFUNCTION("""COMPUTED_VALUE"""),"1745240169925")</f>
        <v>1745240169925</v>
      </c>
      <c r="B4147" s="2"/>
      <c r="C4147" s="2" t="str">
        <v>0</v>
      </c>
      <c r="D4147" s="2"/>
      <c r="F4147" s="2" t="str">
        <v>0</v>
      </c>
      <c r="I4147" s="3" t="str">
        <f ca="1">IFERROR(__xludf.DUMMYFUNCTION("""COMPUTED_VALUE"""),"Phạm Thị Trang")</f>
        <v>Phạm Thị Trang</v>
      </c>
      <c r="J4147" s="3" t="str">
        <f ca="1">IFERROR(__xludf.DUMMYFUNCTION("""COMPUTED_VALUE"""),"0338364531")</f>
        <v>0338364531</v>
      </c>
      <c r="K4147" s="2" t="str">
        <f ca="1">IFERROR(__xludf.DUMMYFUNCTION("""COMPUTED_VALUE"""),"1745240169925")</f>
        <v>1745240169925</v>
      </c>
    </row>
    <row r="4148" spans="1:11" ht="12.45">
      <c r="A4148" s="2" t="str">
        <f ca="1">IFERROR(__xludf.DUMMYFUNCTION("""COMPUTED_VALUE"""),"1745240198543")</f>
        <v>1745240198543</v>
      </c>
      <c r="B4148" s="2"/>
      <c r="C4148" s="2" t="str">
        <v>0</v>
      </c>
      <c r="D4148" s="2"/>
      <c r="F4148" s="2" t="str">
        <v>0</v>
      </c>
      <c r="I4148" s="3" t="str">
        <f ca="1">IFERROR(__xludf.DUMMYFUNCTION("""COMPUTED_VALUE"""),"Trần Thị Phương Thanh")</f>
        <v>Trần Thị Phương Thanh</v>
      </c>
      <c r="J4148" s="3" t="str">
        <f ca="1">IFERROR(__xludf.DUMMYFUNCTION("""COMPUTED_VALUE"""),"0974925796")</f>
        <v>0974925796</v>
      </c>
      <c r="K4148" s="2" t="str">
        <f ca="1">IFERROR(__xludf.DUMMYFUNCTION("""COMPUTED_VALUE"""),"1745240198543")</f>
        <v>1745240198543</v>
      </c>
    </row>
    <row r="4149" spans="1:11" ht="12.45">
      <c r="A4149" s="2" t="str">
        <f ca="1">IFERROR(__xludf.DUMMYFUNCTION("""COMPUTED_VALUE"""),"1745240222514")</f>
        <v>1745240222514</v>
      </c>
      <c r="B4149" s="2"/>
      <c r="C4149" s="2" t="str">
        <v>0</v>
      </c>
      <c r="D4149" s="2"/>
      <c r="F4149" s="2" t="str">
        <v>0</v>
      </c>
      <c r="I4149" s="3" t="str">
        <f ca="1">IFERROR(__xludf.DUMMYFUNCTION("""COMPUTED_VALUE"""),"Phạm Thị Huyền Anh")</f>
        <v>Phạm Thị Huyền Anh</v>
      </c>
      <c r="J4149" s="3" t="str">
        <f ca="1">IFERROR(__xludf.DUMMYFUNCTION("""COMPUTED_VALUE"""),"0392119107")</f>
        <v>0392119107</v>
      </c>
      <c r="K4149" s="2" t="str">
        <f ca="1">IFERROR(__xludf.DUMMYFUNCTION("""COMPUTED_VALUE"""),"1745240222514")</f>
        <v>1745240222514</v>
      </c>
    </row>
    <row r="4150" spans="1:11" ht="12.45">
      <c r="A4150" s="2" t="str">
        <f ca="1">IFERROR(__xludf.DUMMYFUNCTION("""COMPUTED_VALUE"""),"1745240247022")</f>
        <v>1745240247022</v>
      </c>
      <c r="B4150" s="2"/>
      <c r="C4150" s="2" t="str">
        <v>0</v>
      </c>
      <c r="D4150" s="2"/>
      <c r="F4150" s="2" t="str">
        <v>0</v>
      </c>
      <c r="I4150" s="3" t="str">
        <f ca="1">IFERROR(__xludf.DUMMYFUNCTION("""COMPUTED_VALUE"""),"Nguyễn thị phương thảo")</f>
        <v>Nguyễn thị phương thảo</v>
      </c>
      <c r="J4150" s="3" t="str">
        <f ca="1">IFERROR(__xludf.DUMMYFUNCTION("""COMPUTED_VALUE"""),"0395960004")</f>
        <v>0395960004</v>
      </c>
      <c r="K4150" s="2" t="str">
        <f ca="1">IFERROR(__xludf.DUMMYFUNCTION("""COMPUTED_VALUE"""),"1745240247022")</f>
        <v>1745240247022</v>
      </c>
    </row>
    <row r="4151" spans="1:11" ht="12.45">
      <c r="A4151" s="2" t="str">
        <f ca="1">IFERROR(__xludf.DUMMYFUNCTION("""COMPUTED_VALUE"""),"1745240273964")</f>
        <v>1745240273964</v>
      </c>
      <c r="B4151" s="2"/>
      <c r="C4151" s="2" t="str">
        <v>0</v>
      </c>
      <c r="D4151" s="2"/>
      <c r="F4151" s="2" t="str">
        <v>0</v>
      </c>
      <c r="I4151" s="3" t="str">
        <f ca="1">IFERROR(__xludf.DUMMYFUNCTION("""COMPUTED_VALUE"""),"Trần thị phương linh")</f>
        <v>Trần thị phương linh</v>
      </c>
      <c r="J4151" s="3" t="str">
        <f ca="1">IFERROR(__xludf.DUMMYFUNCTION("""COMPUTED_VALUE"""),"0393452898")</f>
        <v>0393452898</v>
      </c>
      <c r="K4151" s="2" t="str">
        <f ca="1">IFERROR(__xludf.DUMMYFUNCTION("""COMPUTED_VALUE"""),"1745240273964")</f>
        <v>1745240273964</v>
      </c>
    </row>
    <row r="4152" spans="1:11" ht="12.45">
      <c r="A4152" s="2" t="str">
        <f ca="1">IFERROR(__xludf.DUMMYFUNCTION("""COMPUTED_VALUE"""),"1745240309942")</f>
        <v>1745240309942</v>
      </c>
      <c r="B4152" s="2"/>
      <c r="C4152" s="2" t="str">
        <v>0</v>
      </c>
      <c r="D4152" s="2"/>
      <c r="F4152" s="2" t="str">
        <v>0</v>
      </c>
      <c r="I4152" s="3" t="str">
        <f ca="1">IFERROR(__xludf.DUMMYFUNCTION("""COMPUTED_VALUE"""),"Ngô Thị Mỹ Dung")</f>
        <v>Ngô Thị Mỹ Dung</v>
      </c>
      <c r="J4152" s="3" t="str">
        <f ca="1">IFERROR(__xludf.DUMMYFUNCTION("""COMPUTED_VALUE"""),"0935727125")</f>
        <v>0935727125</v>
      </c>
      <c r="K4152" s="2" t="str">
        <f ca="1">IFERROR(__xludf.DUMMYFUNCTION("""COMPUTED_VALUE"""),"1745240309942")</f>
        <v>1745240309942</v>
      </c>
    </row>
    <row r="4153" spans="1:11" ht="12.45">
      <c r="A4153" s="2" t="str">
        <f ca="1">IFERROR(__xludf.DUMMYFUNCTION("""COMPUTED_VALUE"""),"1745240339876")</f>
        <v>1745240339876</v>
      </c>
      <c r="B4153" s="2"/>
      <c r="C4153" s="2" t="str">
        <v>0</v>
      </c>
      <c r="D4153" s="2"/>
      <c r="F4153" s="2" t="str">
        <v>0</v>
      </c>
      <c r="I4153" s="3" t="str">
        <f ca="1">IFERROR(__xludf.DUMMYFUNCTION("""COMPUTED_VALUE"""),"Võ thị thanh ngân")</f>
        <v>Võ thị thanh ngân</v>
      </c>
      <c r="J4153" s="3" t="str">
        <f ca="1">IFERROR(__xludf.DUMMYFUNCTION("""COMPUTED_VALUE"""),"0348845214")</f>
        <v>0348845214</v>
      </c>
      <c r="K4153" s="2" t="str">
        <f ca="1">IFERROR(__xludf.DUMMYFUNCTION("""COMPUTED_VALUE"""),"1745240339876")</f>
        <v>1745240339876</v>
      </c>
    </row>
    <row r="4154" spans="1:11" ht="12.45">
      <c r="A4154" s="2" t="str">
        <f ca="1">IFERROR(__xludf.DUMMYFUNCTION("""COMPUTED_VALUE"""),"1745240369172")</f>
        <v>1745240369172</v>
      </c>
      <c r="B4154" s="2"/>
      <c r="C4154" s="2" t="str">
        <v>0</v>
      </c>
      <c r="D4154" s="2"/>
      <c r="F4154" s="2" t="str">
        <v>0</v>
      </c>
      <c r="I4154" s="3" t="str">
        <f ca="1">IFERROR(__xludf.DUMMYFUNCTION("""COMPUTED_VALUE"""),"Lê Hoàng Anh Thư")</f>
        <v>Lê Hoàng Anh Thư</v>
      </c>
      <c r="J4154" s="3" t="str">
        <f ca="1">IFERROR(__xludf.DUMMYFUNCTION("""COMPUTED_VALUE"""),"0889641416")</f>
        <v>0889641416</v>
      </c>
      <c r="K4154" s="2" t="str">
        <f ca="1">IFERROR(__xludf.DUMMYFUNCTION("""COMPUTED_VALUE"""),"1745240369172")</f>
        <v>1745240369172</v>
      </c>
    </row>
    <row r="4155" spans="1:11" ht="12.45">
      <c r="A4155" s="2" t="str">
        <f ca="1">IFERROR(__xludf.DUMMYFUNCTION("""COMPUTED_VALUE"""),"1745240392330")</f>
        <v>1745240392330</v>
      </c>
      <c r="B4155" s="2"/>
      <c r="C4155" s="2" t="str">
        <v>0</v>
      </c>
      <c r="D4155" s="2"/>
      <c r="F4155" s="2" t="str">
        <v>0</v>
      </c>
      <c r="I4155" s="3" t="str">
        <f ca="1">IFERROR(__xludf.DUMMYFUNCTION("""COMPUTED_VALUE"""),"Vũ Thị Ngân ")</f>
        <v xml:space="preserve">Vũ Thị Ngân </v>
      </c>
      <c r="J4155" s="3" t="str">
        <f ca="1">IFERROR(__xludf.DUMMYFUNCTION("""COMPUTED_VALUE"""),"0985850637")</f>
        <v>0985850637</v>
      </c>
      <c r="K4155" s="2" t="str">
        <f ca="1">IFERROR(__xludf.DUMMYFUNCTION("""COMPUTED_VALUE"""),"1745240392330")</f>
        <v>1745240392330</v>
      </c>
    </row>
    <row r="4156" spans="1:11" ht="12.45">
      <c r="A4156" s="2" t="str">
        <f ca="1">IFERROR(__xludf.DUMMYFUNCTION("""COMPUTED_VALUE"""),"1745240423126")</f>
        <v>1745240423126</v>
      </c>
      <c r="B4156" s="2"/>
      <c r="C4156" s="2" t="str">
        <v>0</v>
      </c>
      <c r="D4156" s="2"/>
      <c r="F4156" s="2" t="str">
        <v>0</v>
      </c>
      <c r="I4156" s="3" t="str">
        <f ca="1">IFERROR(__xludf.DUMMYFUNCTION("""COMPUTED_VALUE"""),"Nguyễn Tường Linh ")</f>
        <v xml:space="preserve">Nguyễn Tường Linh </v>
      </c>
      <c r="J4156" s="3" t="str">
        <f ca="1">IFERROR(__xludf.DUMMYFUNCTION("""COMPUTED_VALUE"""),"0918584684")</f>
        <v>0918584684</v>
      </c>
      <c r="K4156" s="2" t="str">
        <f ca="1">IFERROR(__xludf.DUMMYFUNCTION("""COMPUTED_VALUE"""),"1745240423126")</f>
        <v>1745240423126</v>
      </c>
    </row>
    <row r="4157" spans="1:11" ht="12.45">
      <c r="A4157" s="2" t="str">
        <f ca="1">IFERROR(__xludf.DUMMYFUNCTION("""COMPUTED_VALUE"""),"1745240456637")</f>
        <v>1745240456637</v>
      </c>
      <c r="B4157" s="2"/>
      <c r="C4157" s="2" t="str">
        <v>0</v>
      </c>
      <c r="D4157" s="2"/>
      <c r="F4157" s="2" t="str">
        <v>0</v>
      </c>
      <c r="I4157" s="3" t="str">
        <f ca="1">IFERROR(__xludf.DUMMYFUNCTION("""COMPUTED_VALUE"""),"Hoàng Thị Ngọc Diên ")</f>
        <v xml:space="preserve">Hoàng Thị Ngọc Diên </v>
      </c>
      <c r="J4157" s="3" t="str">
        <f ca="1">IFERROR(__xludf.DUMMYFUNCTION("""COMPUTED_VALUE"""),"0393235091")</f>
        <v>0393235091</v>
      </c>
      <c r="K4157" s="2" t="str">
        <f ca="1">IFERROR(__xludf.DUMMYFUNCTION("""COMPUTED_VALUE"""),"1745240456637")</f>
        <v>1745240456637</v>
      </c>
    </row>
    <row r="4158" spans="1:11" ht="12.45">
      <c r="A4158" s="2" t="str">
        <f ca="1">IFERROR(__xludf.DUMMYFUNCTION("""COMPUTED_VALUE"""),"1745240487519")</f>
        <v>1745240487519</v>
      </c>
      <c r="B4158" s="2"/>
      <c r="C4158" s="2" t="str">
        <v>0</v>
      </c>
      <c r="D4158" s="2"/>
      <c r="F4158" s="2" t="str">
        <v>0</v>
      </c>
      <c r="I4158" s="3" t="str">
        <f ca="1">IFERROR(__xludf.DUMMYFUNCTION("""COMPUTED_VALUE"""),"Ngô Thị Hồng")</f>
        <v>Ngô Thị Hồng</v>
      </c>
      <c r="J4158" s="3" t="str">
        <f ca="1">IFERROR(__xludf.DUMMYFUNCTION("""COMPUTED_VALUE"""),"0825505125")</f>
        <v>0825505125</v>
      </c>
      <c r="K4158" s="2" t="str">
        <f ca="1">IFERROR(__xludf.DUMMYFUNCTION("""COMPUTED_VALUE"""),"1745240487519")</f>
        <v>1745240487519</v>
      </c>
    </row>
    <row r="4159" spans="1:11" ht="12.45">
      <c r="A4159" s="2" t="str">
        <f ca="1">IFERROR(__xludf.DUMMYFUNCTION("""COMPUTED_VALUE"""),"1745240529303")</f>
        <v>1745240529303</v>
      </c>
      <c r="B4159" s="2"/>
      <c r="C4159" s="2" t="str">
        <v>0</v>
      </c>
      <c r="D4159" s="2"/>
      <c r="F4159" s="2" t="str">
        <v>0</v>
      </c>
      <c r="I4159" s="3" t="str">
        <f ca="1">IFERROR(__xludf.DUMMYFUNCTION("""COMPUTED_VALUE"""),"Nguyễn Thị Phương Thảo")</f>
        <v>Nguyễn Thị Phương Thảo</v>
      </c>
      <c r="J4159" s="3" t="str">
        <f ca="1">IFERROR(__xludf.DUMMYFUNCTION("""COMPUTED_VALUE"""),"0902091817")</f>
        <v>0902091817</v>
      </c>
      <c r="K4159" s="2" t="str">
        <f ca="1">IFERROR(__xludf.DUMMYFUNCTION("""COMPUTED_VALUE"""),"1745240529303")</f>
        <v>1745240529303</v>
      </c>
    </row>
    <row r="4160" spans="1:11" ht="12.45">
      <c r="A4160" s="2" t="str">
        <f ca="1">IFERROR(__xludf.DUMMYFUNCTION("""COMPUTED_VALUE"""),"1745240553415")</f>
        <v>1745240553415</v>
      </c>
      <c r="B4160" s="2"/>
      <c r="C4160" s="2" t="str">
        <v>0</v>
      </c>
      <c r="D4160" s="2"/>
      <c r="F4160" s="2" t="str">
        <v>0</v>
      </c>
      <c r="I4160" s="3" t="str">
        <f ca="1">IFERROR(__xludf.DUMMYFUNCTION("""COMPUTED_VALUE"""),"Nguyễn Hồng Hân")</f>
        <v>Nguyễn Hồng Hân</v>
      </c>
      <c r="J4160" s="3" t="str">
        <f ca="1">IFERROR(__xludf.DUMMYFUNCTION("""COMPUTED_VALUE"""),"0843180407")</f>
        <v>0843180407</v>
      </c>
      <c r="K4160" s="2" t="str">
        <f ca="1">IFERROR(__xludf.DUMMYFUNCTION("""COMPUTED_VALUE"""),"1745240553415")</f>
        <v>1745240553415</v>
      </c>
    </row>
    <row r="4161" spans="1:11" ht="12.45">
      <c r="A4161" s="2" t="str">
        <f ca="1">IFERROR(__xludf.DUMMYFUNCTION("""COMPUTED_VALUE"""),"1745240571363")</f>
        <v>1745240571363</v>
      </c>
      <c r="B4161" s="2"/>
      <c r="C4161" s="2" t="str">
        <v>0</v>
      </c>
      <c r="D4161" s="2"/>
      <c r="F4161" s="2" t="str">
        <v>0</v>
      </c>
      <c r="I4161" s="3" t="str">
        <f ca="1">IFERROR(__xludf.DUMMYFUNCTION("""COMPUTED_VALUE"""),"Phạm Huyền Trang ")</f>
        <v xml:space="preserve">Phạm Huyền Trang </v>
      </c>
      <c r="J4161" s="3" t="str">
        <f ca="1">IFERROR(__xludf.DUMMYFUNCTION("""COMPUTED_VALUE"""),"0936222558")</f>
        <v>0936222558</v>
      </c>
      <c r="K4161" s="2" t="str">
        <f ca="1">IFERROR(__xludf.DUMMYFUNCTION("""COMPUTED_VALUE"""),"1745240571363")</f>
        <v>1745240571363</v>
      </c>
    </row>
    <row r="4162" spans="1:11" ht="12.45">
      <c r="A4162" s="2" t="str">
        <f ca="1">IFERROR(__xludf.DUMMYFUNCTION("""COMPUTED_VALUE"""),"1745240602945")</f>
        <v>1745240602945</v>
      </c>
      <c r="B4162" s="2"/>
      <c r="C4162" s="2" t="str">
        <v>0</v>
      </c>
      <c r="D4162" s="2"/>
      <c r="F4162" s="2" t="str">
        <v>0</v>
      </c>
      <c r="I4162" s="3" t="str">
        <f ca="1">IFERROR(__xludf.DUMMYFUNCTION("""COMPUTED_VALUE"""),"Nguyễn Minh Thu")</f>
        <v>Nguyễn Minh Thu</v>
      </c>
      <c r="J4162" s="3" t="str">
        <f ca="1">IFERROR(__xludf.DUMMYFUNCTION("""COMPUTED_VALUE"""),"0886757983")</f>
        <v>0886757983</v>
      </c>
      <c r="K4162" s="2" t="str">
        <f ca="1">IFERROR(__xludf.DUMMYFUNCTION("""COMPUTED_VALUE"""),"1745240602945")</f>
        <v>1745240602945</v>
      </c>
    </row>
    <row r="4163" spans="1:11" ht="12.45">
      <c r="A4163" s="2" t="str">
        <f ca="1">IFERROR(__xludf.DUMMYFUNCTION("""COMPUTED_VALUE"""),"1745240638876")</f>
        <v>1745240638876</v>
      </c>
      <c r="B4163" s="2"/>
      <c r="C4163" s="2" t="str">
        <v>0</v>
      </c>
      <c r="D4163" s="2"/>
      <c r="F4163" s="2" t="str">
        <v>0</v>
      </c>
      <c r="I4163" s="3" t="str">
        <f ca="1">IFERROR(__xludf.DUMMYFUNCTION("""COMPUTED_VALUE"""),"Vi Thị Thu")</f>
        <v>Vi Thị Thu</v>
      </c>
      <c r="J4163" s="3" t="str">
        <f ca="1">IFERROR(__xludf.DUMMYFUNCTION("""COMPUTED_VALUE"""),"0344293252")</f>
        <v>0344293252</v>
      </c>
      <c r="K4163" s="2" t="str">
        <f ca="1">IFERROR(__xludf.DUMMYFUNCTION("""COMPUTED_VALUE"""),"1745240638876")</f>
        <v>1745240638876</v>
      </c>
    </row>
    <row r="4164" spans="1:11" ht="12.45">
      <c r="A4164" s="2" t="str">
        <f ca="1">IFERROR(__xludf.DUMMYFUNCTION("""COMPUTED_VALUE"""),"1745240667566")</f>
        <v>1745240667566</v>
      </c>
      <c r="B4164" s="2"/>
      <c r="C4164" s="2" t="str">
        <v>0</v>
      </c>
      <c r="D4164" s="2"/>
      <c r="F4164" s="2" t="str">
        <v>0</v>
      </c>
      <c r="I4164" s="3" t="str">
        <f ca="1">IFERROR(__xludf.DUMMYFUNCTION("""COMPUTED_VALUE"""),"Mã Khánh Đô")</f>
        <v>Mã Khánh Đô</v>
      </c>
      <c r="J4164" s="3" t="str">
        <f ca="1">IFERROR(__xludf.DUMMYFUNCTION("""COMPUTED_VALUE"""),"0902893904")</f>
        <v>0902893904</v>
      </c>
      <c r="K4164" s="2" t="str">
        <f ca="1">IFERROR(__xludf.DUMMYFUNCTION("""COMPUTED_VALUE"""),"1745240667566")</f>
        <v>1745240667566</v>
      </c>
    </row>
    <row r="4165" spans="1:11" ht="12.45">
      <c r="A4165" s="2" t="str">
        <f ca="1">IFERROR(__xludf.DUMMYFUNCTION("""COMPUTED_VALUE"""),"1745240691228")</f>
        <v>1745240691228</v>
      </c>
      <c r="B4165" s="2"/>
      <c r="C4165" s="2" t="str">
        <v>0</v>
      </c>
      <c r="D4165" s="2"/>
      <c r="F4165" s="2" t="str">
        <v>0</v>
      </c>
      <c r="I4165" s="3" t="str">
        <f ca="1">IFERROR(__xludf.DUMMYFUNCTION("""COMPUTED_VALUE"""),"Dương Thị Khánh Linh ")</f>
        <v xml:space="preserve">Dương Thị Khánh Linh </v>
      </c>
      <c r="J4165" s="3" t="str">
        <f ca="1">IFERROR(__xludf.DUMMYFUNCTION("""COMPUTED_VALUE"""),"0356568036")</f>
        <v>0356568036</v>
      </c>
      <c r="K4165" s="2" t="str">
        <f ca="1">IFERROR(__xludf.DUMMYFUNCTION("""COMPUTED_VALUE"""),"1745240691228")</f>
        <v>1745240691228</v>
      </c>
    </row>
    <row r="4166" spans="1:11" ht="12.45">
      <c r="A4166" s="2" t="str">
        <f ca="1">IFERROR(__xludf.DUMMYFUNCTION("""COMPUTED_VALUE"""),"1745240717791")</f>
        <v>1745240717791</v>
      </c>
      <c r="B4166" s="2"/>
      <c r="C4166" s="2" t="str">
        <v>0</v>
      </c>
      <c r="D4166" s="2"/>
      <c r="F4166" s="2" t="str">
        <v>0</v>
      </c>
      <c r="I4166" s="3" t="str">
        <f ca="1">IFERROR(__xludf.DUMMYFUNCTION("""COMPUTED_VALUE"""),"Nguyễn Phương Thảo")</f>
        <v>Nguyễn Phương Thảo</v>
      </c>
      <c r="J4166" s="3" t="str">
        <f ca="1">IFERROR(__xludf.DUMMYFUNCTION("""COMPUTED_VALUE"""),"0974510558")</f>
        <v>0974510558</v>
      </c>
      <c r="K4166" s="2" t="str">
        <f ca="1">IFERROR(__xludf.DUMMYFUNCTION("""COMPUTED_VALUE"""),"1745240717791")</f>
        <v>1745240717791</v>
      </c>
    </row>
    <row r="4167" spans="1:11" ht="12.45">
      <c r="A4167" s="2" t="str">
        <f ca="1">IFERROR(__xludf.DUMMYFUNCTION("""COMPUTED_VALUE"""),"1745240737112")</f>
        <v>1745240737112</v>
      </c>
      <c r="B4167" s="2"/>
      <c r="C4167" s="2" t="str">
        <v>0</v>
      </c>
      <c r="D4167" s="2"/>
      <c r="F4167" s="2" t="str">
        <v>0</v>
      </c>
      <c r="I4167" s="3" t="str">
        <f ca="1">IFERROR(__xludf.DUMMYFUNCTION("""COMPUTED_VALUE"""),"Nguyễn Ngọc Bảo Trân")</f>
        <v>Nguyễn Ngọc Bảo Trân</v>
      </c>
      <c r="J4167" s="3" t="str">
        <f ca="1">IFERROR(__xludf.DUMMYFUNCTION("""COMPUTED_VALUE"""),"0348975507")</f>
        <v>0348975507</v>
      </c>
      <c r="K4167" s="2" t="str">
        <f ca="1">IFERROR(__xludf.DUMMYFUNCTION("""COMPUTED_VALUE"""),"1745240737112")</f>
        <v>1745240737112</v>
      </c>
    </row>
    <row r="4168" spans="1:11" ht="12.45">
      <c r="A4168" s="2" t="str">
        <f ca="1">IFERROR(__xludf.DUMMYFUNCTION("""COMPUTED_VALUE"""),"1745240766962")</f>
        <v>1745240766962</v>
      </c>
      <c r="B4168" s="2"/>
      <c r="C4168" s="2" t="str">
        <v>0</v>
      </c>
      <c r="D4168" s="2"/>
      <c r="F4168" s="2" t="str">
        <v>0</v>
      </c>
      <c r="I4168" s="3" t="str">
        <f ca="1">IFERROR(__xludf.DUMMYFUNCTION("""COMPUTED_VALUE"""),"Đỗ Tấn Đạt")</f>
        <v>Đỗ Tấn Đạt</v>
      </c>
      <c r="J4168" s="3" t="str">
        <f ca="1">IFERROR(__xludf.DUMMYFUNCTION("""COMPUTED_VALUE"""),"0384209372")</f>
        <v>0384209372</v>
      </c>
      <c r="K4168" s="2" t="str">
        <f ca="1">IFERROR(__xludf.DUMMYFUNCTION("""COMPUTED_VALUE"""),"1745240766962")</f>
        <v>1745240766962</v>
      </c>
    </row>
    <row r="4169" spans="1:11" ht="12.45">
      <c r="A4169" s="2" t="str">
        <f ca="1">IFERROR(__xludf.DUMMYFUNCTION("""COMPUTED_VALUE"""),"1745240792510")</f>
        <v>1745240792510</v>
      </c>
      <c r="B4169" s="2"/>
      <c r="C4169" s="2" t="str">
        <v>0</v>
      </c>
      <c r="D4169" s="2"/>
      <c r="F4169" s="2" t="str">
        <v>0</v>
      </c>
      <c r="I4169" s="3" t="str">
        <f ca="1">IFERROR(__xludf.DUMMYFUNCTION("""COMPUTED_VALUE"""),"Phạm Tuấn Vũ")</f>
        <v>Phạm Tuấn Vũ</v>
      </c>
      <c r="J4169" s="3" t="str">
        <f ca="1">IFERROR(__xludf.DUMMYFUNCTION("""COMPUTED_VALUE"""),"0926048623")</f>
        <v>0926048623</v>
      </c>
      <c r="K4169" s="2" t="str">
        <f ca="1">IFERROR(__xludf.DUMMYFUNCTION("""COMPUTED_VALUE"""),"1745240792510")</f>
        <v>1745240792510</v>
      </c>
    </row>
    <row r="4170" spans="1:11" ht="12.45">
      <c r="A4170" s="2" t="str">
        <f ca="1">IFERROR(__xludf.DUMMYFUNCTION("""COMPUTED_VALUE"""),"1745240816190")</f>
        <v>1745240816190</v>
      </c>
      <c r="B4170" s="2"/>
      <c r="C4170" s="2" t="str">
        <v>0</v>
      </c>
      <c r="D4170" s="2"/>
      <c r="F4170" s="2" t="str">
        <v>0</v>
      </c>
      <c r="I4170" s="3" t="str">
        <f ca="1">IFERROR(__xludf.DUMMYFUNCTION("""COMPUTED_VALUE"""),"Hà Thương ")</f>
        <v xml:space="preserve">Hà Thương </v>
      </c>
      <c r="J4170" s="3" t="str">
        <f ca="1">IFERROR(__xludf.DUMMYFUNCTION("""COMPUTED_VALUE"""),"0906782884")</f>
        <v>0906782884</v>
      </c>
      <c r="K4170" s="2" t="str">
        <f ca="1">IFERROR(__xludf.DUMMYFUNCTION("""COMPUTED_VALUE"""),"1745240816190")</f>
        <v>1745240816190</v>
      </c>
    </row>
    <row r="4171" spans="1:11" ht="12.45">
      <c r="A4171" s="2" t="str">
        <f ca="1">IFERROR(__xludf.DUMMYFUNCTION("""COMPUTED_VALUE"""),"1745240854850")</f>
        <v>1745240854850</v>
      </c>
      <c r="B4171" s="2"/>
      <c r="C4171" s="2" t="str">
        <v>0</v>
      </c>
      <c r="D4171" s="2"/>
      <c r="F4171" s="2" t="str">
        <v>0</v>
      </c>
      <c r="I4171" s="3" t="str">
        <f ca="1">IFERROR(__xludf.DUMMYFUNCTION("""COMPUTED_VALUE"""),"Phạm Trần Tú Anh")</f>
        <v>Phạm Trần Tú Anh</v>
      </c>
      <c r="J4171" s="3" t="str">
        <f ca="1">IFERROR(__xludf.DUMMYFUNCTION("""COMPUTED_VALUE"""),"0528678242")</f>
        <v>0528678242</v>
      </c>
      <c r="K4171" s="2" t="str">
        <f ca="1">IFERROR(__xludf.DUMMYFUNCTION("""COMPUTED_VALUE"""),"1745240854850")</f>
        <v>1745240854850</v>
      </c>
    </row>
    <row r="4172" spans="1:11" ht="12.45">
      <c r="A4172" s="2" t="str">
        <f ca="1">IFERROR(__xludf.DUMMYFUNCTION("""COMPUTED_VALUE"""),"1745240887539")</f>
        <v>1745240887539</v>
      </c>
      <c r="B4172" s="2"/>
      <c r="C4172" s="2" t="str">
        <v>0</v>
      </c>
      <c r="D4172" s="2"/>
      <c r="F4172" s="2" t="str">
        <v>0</v>
      </c>
      <c r="I4172" s="3" t="str">
        <f ca="1">IFERROR(__xludf.DUMMYFUNCTION("""COMPUTED_VALUE"""),"NGUYỄN HOÀNG THẢO VÂN")</f>
        <v>NGUYỄN HOÀNG THẢO VÂN</v>
      </c>
      <c r="J4172" s="3" t="str">
        <f ca="1">IFERROR(__xludf.DUMMYFUNCTION("""COMPUTED_VALUE"""),"0339195191")</f>
        <v>0339195191</v>
      </c>
      <c r="K4172" s="2" t="str">
        <f ca="1">IFERROR(__xludf.DUMMYFUNCTION("""COMPUTED_VALUE"""),"1745240887539")</f>
        <v>1745240887539</v>
      </c>
    </row>
    <row r="4173" spans="1:11" ht="12.45">
      <c r="A4173" s="2" t="str">
        <f ca="1">IFERROR(__xludf.DUMMYFUNCTION("""COMPUTED_VALUE"""),"1745240916872")</f>
        <v>1745240916872</v>
      </c>
      <c r="B4173" s="2"/>
      <c r="C4173" s="2" t="str">
        <v>0</v>
      </c>
      <c r="D4173" s="2"/>
      <c r="F4173" s="2" t="str">
        <v>0</v>
      </c>
      <c r="I4173" s="3" t="str">
        <f ca="1">IFERROR(__xludf.DUMMYFUNCTION("""COMPUTED_VALUE"""),"Nguyễn chí kiên")</f>
        <v>Nguyễn chí kiên</v>
      </c>
      <c r="J4173" s="3" t="str">
        <f ca="1">IFERROR(__xludf.DUMMYFUNCTION("""COMPUTED_VALUE"""),"0822344616")</f>
        <v>0822344616</v>
      </c>
      <c r="K4173" s="2" t="str">
        <f ca="1">IFERROR(__xludf.DUMMYFUNCTION("""COMPUTED_VALUE"""),"1745240916872")</f>
        <v>1745240916872</v>
      </c>
    </row>
    <row r="4174" spans="1:11" ht="12.45">
      <c r="A4174" s="2" t="str">
        <f ca="1">IFERROR(__xludf.DUMMYFUNCTION("""COMPUTED_VALUE"""),"1745240946782")</f>
        <v>1745240946782</v>
      </c>
      <c r="B4174" s="2"/>
      <c r="C4174" s="2" t="str">
        <v>0</v>
      </c>
      <c r="D4174" s="2"/>
      <c r="F4174" s="2" t="str">
        <v>0</v>
      </c>
      <c r="I4174" s="3" t="str">
        <f ca="1">IFERROR(__xludf.DUMMYFUNCTION("""COMPUTED_VALUE"""),"Trịnh phương thanh ")</f>
        <v xml:space="preserve">Trịnh phương thanh </v>
      </c>
      <c r="J4174" s="3" t="str">
        <f ca="1">IFERROR(__xludf.DUMMYFUNCTION("""COMPUTED_VALUE"""),"0383423829")</f>
        <v>0383423829</v>
      </c>
      <c r="K4174" s="2" t="str">
        <f ca="1">IFERROR(__xludf.DUMMYFUNCTION("""COMPUTED_VALUE"""),"1745240946782")</f>
        <v>1745240946782</v>
      </c>
    </row>
    <row r="4175" spans="1:11" ht="12.45">
      <c r="A4175" s="2" t="str">
        <f ca="1">IFERROR(__xludf.DUMMYFUNCTION("""COMPUTED_VALUE"""),"1745240977772")</f>
        <v>1745240977772</v>
      </c>
      <c r="B4175" s="2"/>
      <c r="C4175" s="2" t="str">
        <v>0</v>
      </c>
      <c r="D4175" s="2"/>
      <c r="F4175" s="2" t="str">
        <v>0</v>
      </c>
      <c r="I4175" s="3" t="str">
        <f ca="1">IFERROR(__xludf.DUMMYFUNCTION("""COMPUTED_VALUE"""),"Bùi Thị Thu Thanh ")</f>
        <v xml:space="preserve">Bùi Thị Thu Thanh </v>
      </c>
      <c r="J4175" s="3" t="str">
        <f ca="1">IFERROR(__xludf.DUMMYFUNCTION("""COMPUTED_VALUE"""),"0948498522")</f>
        <v>0948498522</v>
      </c>
      <c r="K4175" s="2" t="str">
        <f ca="1">IFERROR(__xludf.DUMMYFUNCTION("""COMPUTED_VALUE"""),"1745240977772")</f>
        <v>1745240977772</v>
      </c>
    </row>
    <row r="4176" spans="1:11" ht="12.45">
      <c r="A4176" s="2" t="str">
        <f ca="1">IFERROR(__xludf.DUMMYFUNCTION("""COMPUTED_VALUE"""),"1745241001517")</f>
        <v>1745241001517</v>
      </c>
      <c r="B4176" s="2"/>
      <c r="C4176" s="2" t="str">
        <v>0</v>
      </c>
      <c r="D4176" s="2"/>
      <c r="F4176" s="2" t="str">
        <v>0</v>
      </c>
      <c r="I4176" s="3" t="str">
        <f ca="1">IFERROR(__xludf.DUMMYFUNCTION("""COMPUTED_VALUE"""),"Nguyễn Ngọc Phương Anh")</f>
        <v>Nguyễn Ngọc Phương Anh</v>
      </c>
      <c r="J4176" s="3" t="str">
        <f ca="1">IFERROR(__xludf.DUMMYFUNCTION("""COMPUTED_VALUE"""),"0815129777")</f>
        <v>0815129777</v>
      </c>
      <c r="K4176" s="2" t="str">
        <f ca="1">IFERROR(__xludf.DUMMYFUNCTION("""COMPUTED_VALUE"""),"1745241001517")</f>
        <v>1745241001517</v>
      </c>
    </row>
    <row r="4177" spans="1:11" ht="12.45">
      <c r="A4177" s="2" t="str">
        <f ca="1">IFERROR(__xludf.DUMMYFUNCTION("""COMPUTED_VALUE"""),"1745660385548")</f>
        <v>1745660385548</v>
      </c>
      <c r="B4177" s="2"/>
      <c r="C4177" s="2" t="str">
        <v>0</v>
      </c>
      <c r="D4177" s="2"/>
      <c r="F4177" s="2" t="str">
        <v>0</v>
      </c>
      <c r="I4177" s="3" t="str">
        <f ca="1">IFERROR(__xludf.DUMMYFUNCTION("""COMPUTED_VALUE"""),"Lê Khánh Ly")</f>
        <v>Lê Khánh Ly</v>
      </c>
      <c r="J4177" s="3" t="str">
        <f ca="1">IFERROR(__xludf.DUMMYFUNCTION("""COMPUTED_VALUE"""),"0965749934")</f>
        <v>0965749934</v>
      </c>
      <c r="K4177" s="2" t="str">
        <f ca="1">IFERROR(__xludf.DUMMYFUNCTION("""COMPUTED_VALUE"""),"1745660385548")</f>
        <v>1745660385548</v>
      </c>
    </row>
    <row r="4178" spans="1:11" ht="12.45">
      <c r="A4178" s="2" t="str">
        <f ca="1">IFERROR(__xludf.DUMMYFUNCTION("""COMPUTED_VALUE"""),"1745660427080")</f>
        <v>1745660427080</v>
      </c>
      <c r="B4178" s="2"/>
      <c r="C4178" s="2" t="str">
        <v>0</v>
      </c>
      <c r="D4178" s="2"/>
      <c r="F4178" s="2" t="str">
        <v>0</v>
      </c>
      <c r="I4178" s="3" t="str">
        <f ca="1">IFERROR(__xludf.DUMMYFUNCTION("""COMPUTED_VALUE"""),"Doãn Ngọc Oanh")</f>
        <v>Doãn Ngọc Oanh</v>
      </c>
      <c r="J4178" s="3" t="str">
        <f ca="1">IFERROR(__xludf.DUMMYFUNCTION("""COMPUTED_VALUE"""),"0337595069")</f>
        <v>0337595069</v>
      </c>
      <c r="K4178" s="2" t="str">
        <f ca="1">IFERROR(__xludf.DUMMYFUNCTION("""COMPUTED_VALUE"""),"1745660427080")</f>
        <v>1745660427080</v>
      </c>
    </row>
    <row r="4179" spans="1:11" ht="12.45">
      <c r="A4179" s="2" t="str">
        <f ca="1">IFERROR(__xludf.DUMMYFUNCTION("""COMPUTED_VALUE"""),"1745660459170")</f>
        <v>1745660459170</v>
      </c>
      <c r="B4179" s="2"/>
      <c r="C4179" s="2" t="str">
        <v>0</v>
      </c>
      <c r="D4179" s="2"/>
      <c r="F4179" s="2" t="str">
        <v>0</v>
      </c>
      <c r="I4179" s="3" t="str">
        <f ca="1">IFERROR(__xludf.DUMMYFUNCTION("""COMPUTED_VALUE"""),"Võ Đức Nghĩa")</f>
        <v>Võ Đức Nghĩa</v>
      </c>
      <c r="J4179" s="3" t="str">
        <f ca="1">IFERROR(__xludf.DUMMYFUNCTION("""COMPUTED_VALUE"""),"0866346745")</f>
        <v>0866346745</v>
      </c>
      <c r="K4179" s="2" t="str">
        <f ca="1">IFERROR(__xludf.DUMMYFUNCTION("""COMPUTED_VALUE"""),"1745660459170")</f>
        <v>1745660459170</v>
      </c>
    </row>
    <row r="4180" spans="1:11" ht="12.45">
      <c r="A4180" s="2" t="str">
        <f ca="1">IFERROR(__xludf.DUMMYFUNCTION("""COMPUTED_VALUE"""),"1745660483399")</f>
        <v>1745660483399</v>
      </c>
      <c r="B4180" s="2"/>
      <c r="C4180" s="2" t="str">
        <v>0</v>
      </c>
      <c r="D4180" s="2"/>
      <c r="F4180" s="2" t="str">
        <v>0</v>
      </c>
      <c r="I4180" s="3" t="str">
        <f ca="1">IFERROR(__xludf.DUMMYFUNCTION("""COMPUTED_VALUE"""),"Bùi Đình Nguyên")</f>
        <v>Bùi Đình Nguyên</v>
      </c>
      <c r="J4180" s="3" t="str">
        <f ca="1">IFERROR(__xludf.DUMMYFUNCTION("""COMPUTED_VALUE"""),"0986278962")</f>
        <v>0986278962</v>
      </c>
      <c r="K4180" s="2" t="str">
        <f ca="1">IFERROR(__xludf.DUMMYFUNCTION("""COMPUTED_VALUE"""),"1745660483399")</f>
        <v>1745660483399</v>
      </c>
    </row>
    <row r="4181" spans="1:11" ht="12.45">
      <c r="A4181" s="2" t="str">
        <f ca="1">IFERROR(__xludf.DUMMYFUNCTION("""COMPUTED_VALUE"""),"1745660512975")</f>
        <v>1745660512975</v>
      </c>
      <c r="B4181" s="2"/>
      <c r="C4181" s="2" t="str">
        <v>0</v>
      </c>
      <c r="D4181" s="2"/>
      <c r="F4181" s="2" t="str">
        <v>0</v>
      </c>
      <c r="I4181" s="3" t="str">
        <f ca="1">IFERROR(__xludf.DUMMYFUNCTION("""COMPUTED_VALUE"""),"Phạm Thị Mỹ")</f>
        <v>Phạm Thị Mỹ</v>
      </c>
      <c r="J4181" s="3" t="str">
        <f ca="1">IFERROR(__xludf.DUMMYFUNCTION("""COMPUTED_VALUE"""),"0348982655")</f>
        <v>0348982655</v>
      </c>
      <c r="K4181" s="2" t="str">
        <f ca="1">IFERROR(__xludf.DUMMYFUNCTION("""COMPUTED_VALUE"""),"1745660512975")</f>
        <v>1745660512975</v>
      </c>
    </row>
    <row r="4182" spans="1:11" ht="12.45">
      <c r="A4182" s="2" t="str">
        <f ca="1">IFERROR(__xludf.DUMMYFUNCTION("""COMPUTED_VALUE"""),"1745660540601")</f>
        <v>1745660540601</v>
      </c>
      <c r="B4182" s="2"/>
      <c r="C4182" s="2" t="str">
        <v>0</v>
      </c>
      <c r="D4182" s="2"/>
      <c r="F4182" s="2" t="str">
        <v>0</v>
      </c>
      <c r="I4182" s="3" t="str">
        <f ca="1">IFERROR(__xludf.DUMMYFUNCTION("""COMPUTED_VALUE"""),"Phạm Thị Kim Chi")</f>
        <v>Phạm Thị Kim Chi</v>
      </c>
      <c r="J4182" s="3" t="str">
        <f ca="1">IFERROR(__xludf.DUMMYFUNCTION("""COMPUTED_VALUE"""),"0329923844")</f>
        <v>0329923844</v>
      </c>
      <c r="K4182" s="2" t="str">
        <f ca="1">IFERROR(__xludf.DUMMYFUNCTION("""COMPUTED_VALUE"""),"1745660540601")</f>
        <v>1745660540601</v>
      </c>
    </row>
    <row r="4183" spans="1:11" ht="12.45">
      <c r="A4183" s="2" t="str">
        <f ca="1">IFERROR(__xludf.DUMMYFUNCTION("""COMPUTED_VALUE"""),"1745660574944")</f>
        <v>1745660574944</v>
      </c>
      <c r="B4183" s="2"/>
      <c r="C4183" s="2" t="str">
        <v>0</v>
      </c>
      <c r="D4183" s="2"/>
      <c r="F4183" s="2" t="str">
        <v>0</v>
      </c>
      <c r="I4183" s="3" t="str">
        <f ca="1">IFERROR(__xludf.DUMMYFUNCTION("""COMPUTED_VALUE"""),"Trần Thị Nga ")</f>
        <v xml:space="preserve">Trần Thị Nga </v>
      </c>
      <c r="J4183" s="3" t="str">
        <f ca="1">IFERROR(__xludf.DUMMYFUNCTION("""COMPUTED_VALUE"""),"0338569946")</f>
        <v>0338569946</v>
      </c>
      <c r="K4183" s="2" t="str">
        <f ca="1">IFERROR(__xludf.DUMMYFUNCTION("""COMPUTED_VALUE"""),"1745660574944")</f>
        <v>1745660574944</v>
      </c>
    </row>
    <row r="4184" spans="1:11" ht="12.45">
      <c r="A4184" s="2" t="str">
        <f ca="1">IFERROR(__xludf.DUMMYFUNCTION("""COMPUTED_VALUE"""),"1745660603034")</f>
        <v>1745660603034</v>
      </c>
      <c r="B4184" s="2"/>
      <c r="C4184" s="2" t="str">
        <v>0</v>
      </c>
      <c r="D4184" s="2"/>
      <c r="F4184" s="2" t="str">
        <v>0</v>
      </c>
      <c r="I4184" s="3" t="str">
        <f ca="1">IFERROR(__xludf.DUMMYFUNCTION("""COMPUTED_VALUE"""),"Nguyễn Bảo Hân")</f>
        <v>Nguyễn Bảo Hân</v>
      </c>
      <c r="J4184" s="3" t="str">
        <f ca="1">IFERROR(__xludf.DUMMYFUNCTION("""COMPUTED_VALUE"""),"0931973570")</f>
        <v>0931973570</v>
      </c>
      <c r="K4184" s="2" t="str">
        <f ca="1">IFERROR(__xludf.DUMMYFUNCTION("""COMPUTED_VALUE"""),"1745660603034")</f>
        <v>1745660603034</v>
      </c>
    </row>
    <row r="4185" spans="1:11" ht="12.45">
      <c r="A4185" s="2" t="str">
        <f ca="1">IFERROR(__xludf.DUMMYFUNCTION("""COMPUTED_VALUE"""),"1745660645104")</f>
        <v>1745660645104</v>
      </c>
      <c r="B4185" s="2"/>
      <c r="C4185" s="2" t="str">
        <v>0</v>
      </c>
      <c r="D4185" s="2"/>
      <c r="F4185" s="2" t="str">
        <v>0</v>
      </c>
      <c r="I4185" s="3" t="str">
        <f ca="1">IFERROR(__xludf.DUMMYFUNCTION("""COMPUTED_VALUE"""),"Nguyễn Thảo Minh")</f>
        <v>Nguyễn Thảo Minh</v>
      </c>
      <c r="J4185" s="3" t="str">
        <f ca="1">IFERROR(__xludf.DUMMYFUNCTION("""COMPUTED_VALUE"""),"0985609655")</f>
        <v>0985609655</v>
      </c>
      <c r="K4185" s="2" t="str">
        <f ca="1">IFERROR(__xludf.DUMMYFUNCTION("""COMPUTED_VALUE"""),"1745660645104")</f>
        <v>1745660645104</v>
      </c>
    </row>
    <row r="4186" spans="1:11" ht="12.45">
      <c r="A4186" s="2" t="str">
        <f ca="1">IFERROR(__xludf.DUMMYFUNCTION("""COMPUTED_VALUE"""),"1745660666692")</f>
        <v>1745660666692</v>
      </c>
      <c r="B4186" s="2"/>
      <c r="C4186" s="2" t="str">
        <v>0</v>
      </c>
      <c r="D4186" s="2"/>
      <c r="F4186" s="2" t="str">
        <v>0</v>
      </c>
      <c r="I4186" s="3" t="str">
        <f ca="1">IFERROR(__xludf.DUMMYFUNCTION("""COMPUTED_VALUE"""),"Phùng Bảo Trang")</f>
        <v>Phùng Bảo Trang</v>
      </c>
      <c r="J4186" s="3" t="str">
        <f ca="1">IFERROR(__xludf.DUMMYFUNCTION("""COMPUTED_VALUE"""),"0965728598")</f>
        <v>0965728598</v>
      </c>
      <c r="K4186" s="2" t="str">
        <f ca="1">IFERROR(__xludf.DUMMYFUNCTION("""COMPUTED_VALUE"""),"1745660666692")</f>
        <v>1745660666692</v>
      </c>
    </row>
    <row r="4187" spans="1:11" ht="12.45">
      <c r="A4187" s="2" t="str">
        <f ca="1">IFERROR(__xludf.DUMMYFUNCTION("""COMPUTED_VALUE"""),"1745660695675")</f>
        <v>1745660695675</v>
      </c>
      <c r="B4187" s="2"/>
      <c r="C4187" s="2" t="str">
        <v>0</v>
      </c>
      <c r="D4187" s="2"/>
      <c r="F4187" s="2" t="str">
        <v>0</v>
      </c>
      <c r="I4187" s="3" t="str">
        <f ca="1">IFERROR(__xludf.DUMMYFUNCTION("""COMPUTED_VALUE"""),"Nguyễn Phương Thảo")</f>
        <v>Nguyễn Phương Thảo</v>
      </c>
      <c r="J4187" s="3" t="str">
        <f ca="1">IFERROR(__xludf.DUMMYFUNCTION("""COMPUTED_VALUE"""),"0867022007")</f>
        <v>0867022007</v>
      </c>
      <c r="K4187" s="2" t="str">
        <f ca="1">IFERROR(__xludf.DUMMYFUNCTION("""COMPUTED_VALUE"""),"1745660695675")</f>
        <v>1745660695675</v>
      </c>
    </row>
    <row r="4188" spans="1:11" ht="12.45">
      <c r="A4188" s="2" t="str">
        <f ca="1">IFERROR(__xludf.DUMMYFUNCTION("""COMPUTED_VALUE"""),"1745660734587")</f>
        <v>1745660734587</v>
      </c>
      <c r="B4188" s="2"/>
      <c r="C4188" s="2" t="str">
        <v>0</v>
      </c>
      <c r="D4188" s="2"/>
      <c r="F4188" s="2" t="str">
        <v>0</v>
      </c>
      <c r="I4188" s="3" t="str">
        <f ca="1">IFERROR(__xludf.DUMMYFUNCTION("""COMPUTED_VALUE"""),"Đặng Tuệ Minh ")</f>
        <v xml:space="preserve">Đặng Tuệ Minh </v>
      </c>
      <c r="J4188" s="3" t="str">
        <f ca="1">IFERROR(__xludf.DUMMYFUNCTION("""COMPUTED_VALUE"""),"0974717878")</f>
        <v>0974717878</v>
      </c>
      <c r="K4188" s="2" t="str">
        <f ca="1">IFERROR(__xludf.DUMMYFUNCTION("""COMPUTED_VALUE"""),"1745660734587")</f>
        <v>1745660734587</v>
      </c>
    </row>
    <row r="4189" spans="1:11" ht="12.45">
      <c r="A4189" s="2" t="str">
        <f ca="1">IFERROR(__xludf.DUMMYFUNCTION("""COMPUTED_VALUE"""),"1745660759835")</f>
        <v>1745660759835</v>
      </c>
      <c r="B4189" s="2"/>
      <c r="C4189" s="2" t="str">
        <v>0</v>
      </c>
      <c r="D4189" s="2"/>
      <c r="F4189" s="2" t="str">
        <v>0</v>
      </c>
      <c r="I4189" s="3" t="str">
        <f ca="1">IFERROR(__xludf.DUMMYFUNCTION("""COMPUTED_VALUE"""),"Hoàng Duy Đạt")</f>
        <v>Hoàng Duy Đạt</v>
      </c>
      <c r="J4189" s="3" t="str">
        <f ca="1">IFERROR(__xludf.DUMMYFUNCTION("""COMPUTED_VALUE"""),"0346554513")</f>
        <v>0346554513</v>
      </c>
      <c r="K4189" s="2" t="str">
        <f ca="1">IFERROR(__xludf.DUMMYFUNCTION("""COMPUTED_VALUE"""),"1745660759835")</f>
        <v>1745660759835</v>
      </c>
    </row>
    <row r="4190" spans="1:11" ht="12.45">
      <c r="A4190" s="2" t="str">
        <f ca="1">IFERROR(__xludf.DUMMYFUNCTION("""COMPUTED_VALUE"""),"1745660801638")</f>
        <v>1745660801638</v>
      </c>
      <c r="B4190" s="2"/>
      <c r="C4190" s="2" t="str">
        <v>0</v>
      </c>
      <c r="D4190" s="2"/>
      <c r="F4190" s="2" t="str">
        <v>0</v>
      </c>
      <c r="I4190" s="3" t="str">
        <f ca="1">IFERROR(__xludf.DUMMYFUNCTION("""COMPUTED_VALUE"""),"Dương Huyền Trang ")</f>
        <v xml:space="preserve">Dương Huyền Trang </v>
      </c>
      <c r="J4190" s="3" t="str">
        <f ca="1">IFERROR(__xludf.DUMMYFUNCTION("""COMPUTED_VALUE"""),"0382859561")</f>
        <v>0382859561</v>
      </c>
      <c r="K4190" s="2" t="str">
        <f ca="1">IFERROR(__xludf.DUMMYFUNCTION("""COMPUTED_VALUE"""),"1745660801638")</f>
        <v>1745660801638</v>
      </c>
    </row>
    <row r="4191" spans="1:11" ht="12.45">
      <c r="A4191" s="2" t="str">
        <f ca="1">IFERROR(__xludf.DUMMYFUNCTION("""COMPUTED_VALUE"""),"1745660836954")</f>
        <v>1745660836954</v>
      </c>
      <c r="B4191" s="2"/>
      <c r="C4191" s="2" t="str">
        <v>0</v>
      </c>
      <c r="D4191" s="2"/>
      <c r="F4191" s="2" t="str">
        <v>0</v>
      </c>
      <c r="I4191" s="3" t="str">
        <f ca="1">IFERROR(__xludf.DUMMYFUNCTION("""COMPUTED_VALUE"""),"Trần Nguyễn Khánh Hà")</f>
        <v>Trần Nguyễn Khánh Hà</v>
      </c>
      <c r="J4191" s="3" t="str">
        <f ca="1">IFERROR(__xludf.DUMMYFUNCTION("""COMPUTED_VALUE"""),"0945769109")</f>
        <v>0945769109</v>
      </c>
      <c r="K4191" s="2" t="str">
        <f ca="1">IFERROR(__xludf.DUMMYFUNCTION("""COMPUTED_VALUE"""),"1745660836954")</f>
        <v>1745660836954</v>
      </c>
    </row>
    <row r="4192" spans="1:11" ht="12.45">
      <c r="A4192" s="2" t="str">
        <f ca="1">IFERROR(__xludf.DUMMYFUNCTION("""COMPUTED_VALUE"""),"1745660867256")</f>
        <v>1745660867256</v>
      </c>
      <c r="B4192" s="2"/>
      <c r="C4192" s="2" t="str">
        <v>0</v>
      </c>
      <c r="D4192" s="2"/>
      <c r="F4192" s="2" t="str">
        <v>0</v>
      </c>
      <c r="I4192" s="3" t="str">
        <f ca="1">IFERROR(__xludf.DUMMYFUNCTION("""COMPUTED_VALUE"""),"Nguyễn Phương Linh")</f>
        <v>Nguyễn Phương Linh</v>
      </c>
      <c r="J4192" s="3" t="str">
        <f ca="1">IFERROR(__xludf.DUMMYFUNCTION("""COMPUTED_VALUE"""),"0936374229")</f>
        <v>0936374229</v>
      </c>
      <c r="K4192" s="2" t="str">
        <f ca="1">IFERROR(__xludf.DUMMYFUNCTION("""COMPUTED_VALUE"""),"1745660867256")</f>
        <v>1745660867256</v>
      </c>
    </row>
    <row r="4193" spans="1:11" ht="12.45">
      <c r="A4193" s="2" t="str">
        <f ca="1">IFERROR(__xludf.DUMMYFUNCTION("""COMPUTED_VALUE"""),"1745660890510")</f>
        <v>1745660890510</v>
      </c>
      <c r="B4193" s="2"/>
      <c r="C4193" s="2" t="str">
        <v>0</v>
      </c>
      <c r="D4193" s="2"/>
      <c r="F4193" s="2" t="str">
        <v>0</v>
      </c>
      <c r="I4193" s="3" t="str">
        <f ca="1">IFERROR(__xludf.DUMMYFUNCTION("""COMPUTED_VALUE"""),"Phùng Thị Như Quỳnh")</f>
        <v>Phùng Thị Như Quỳnh</v>
      </c>
      <c r="J4193" s="3" t="str">
        <f ca="1">IFERROR(__xludf.DUMMYFUNCTION("""COMPUTED_VALUE"""),"0357802007")</f>
        <v>0357802007</v>
      </c>
      <c r="K4193" s="2" t="str">
        <f ca="1">IFERROR(__xludf.DUMMYFUNCTION("""COMPUTED_VALUE"""),"1745660890510")</f>
        <v>1745660890510</v>
      </c>
    </row>
    <row r="4194" spans="1:11" ht="12.45">
      <c r="A4194" s="2" t="str">
        <f ca="1">IFERROR(__xludf.DUMMYFUNCTION("""COMPUTED_VALUE"""),"1745660915473")</f>
        <v>1745660915473</v>
      </c>
      <c r="B4194" s="2"/>
      <c r="C4194" s="2" t="str">
        <v>0</v>
      </c>
      <c r="D4194" s="2"/>
      <c r="F4194" s="2" t="str">
        <v>0</v>
      </c>
      <c r="I4194" s="3" t="str">
        <f ca="1">IFERROR(__xludf.DUMMYFUNCTION("""COMPUTED_VALUE"""),"Đỗ Mai")</f>
        <v>Đỗ Mai</v>
      </c>
      <c r="J4194" s="3" t="str">
        <f ca="1">IFERROR(__xludf.DUMMYFUNCTION("""COMPUTED_VALUE"""),"0978496158")</f>
        <v>0978496158</v>
      </c>
      <c r="K4194" s="2" t="str">
        <f ca="1">IFERROR(__xludf.DUMMYFUNCTION("""COMPUTED_VALUE"""),"1745660915473")</f>
        <v>1745660915473</v>
      </c>
    </row>
    <row r="4195" spans="1:11" ht="12.45">
      <c r="A4195" s="2" t="str">
        <f ca="1">IFERROR(__xludf.DUMMYFUNCTION("""COMPUTED_VALUE"""),"1745660943716")</f>
        <v>1745660943716</v>
      </c>
      <c r="B4195" s="2"/>
      <c r="C4195" s="2" t="str">
        <v>0</v>
      </c>
      <c r="D4195" s="2"/>
      <c r="F4195" s="2" t="str">
        <v>0</v>
      </c>
      <c r="I4195" s="3" t="str">
        <f ca="1">IFERROR(__xludf.DUMMYFUNCTION("""COMPUTED_VALUE"""),"Hoàng Mai Thuỳ Trang")</f>
        <v>Hoàng Mai Thuỳ Trang</v>
      </c>
      <c r="J4195" s="3" t="str">
        <f ca="1">IFERROR(__xludf.DUMMYFUNCTION("""COMPUTED_VALUE"""),"0858258196")</f>
        <v>0858258196</v>
      </c>
      <c r="K4195" s="2" t="str">
        <f ca="1">IFERROR(__xludf.DUMMYFUNCTION("""COMPUTED_VALUE"""),"1745660943716")</f>
        <v>1745660943716</v>
      </c>
    </row>
    <row r="4196" spans="1:11" ht="12.45">
      <c r="A4196" s="2" t="str">
        <f ca="1">IFERROR(__xludf.DUMMYFUNCTION("""COMPUTED_VALUE"""),"1745660974945")</f>
        <v>1745660974945</v>
      </c>
      <c r="B4196" s="2"/>
      <c r="C4196" s="2" t="str">
        <v>0</v>
      </c>
      <c r="D4196" s="2"/>
      <c r="F4196" s="2" t="str">
        <v>0</v>
      </c>
      <c r="I4196" s="3" t="str">
        <f ca="1">IFERROR(__xludf.DUMMYFUNCTION("""COMPUTED_VALUE"""),"Đinh Nguyễn Ngọc Huyền")</f>
        <v>Đinh Nguyễn Ngọc Huyền</v>
      </c>
      <c r="J4196" s="3" t="str">
        <f ca="1">IFERROR(__xludf.DUMMYFUNCTION("""COMPUTED_VALUE"""),"0378256107")</f>
        <v>0378256107</v>
      </c>
      <c r="K4196" s="2" t="str">
        <f ca="1">IFERROR(__xludf.DUMMYFUNCTION("""COMPUTED_VALUE"""),"1745660974945")</f>
        <v>1745660974945</v>
      </c>
    </row>
    <row r="4197" spans="1:11" ht="12.45">
      <c r="A4197" s="2" t="str">
        <f ca="1">IFERROR(__xludf.DUMMYFUNCTION("""COMPUTED_VALUE"""),"1745661002434")</f>
        <v>1745661002434</v>
      </c>
      <c r="B4197" s="2"/>
      <c r="C4197" s="2" t="str">
        <v>0</v>
      </c>
      <c r="D4197" s="2"/>
      <c r="F4197" s="2" t="str">
        <v>0</v>
      </c>
      <c r="I4197" s="3" t="str">
        <f ca="1">IFERROR(__xludf.DUMMYFUNCTION("""COMPUTED_VALUE"""),"Phạm Khôi Nguyên")</f>
        <v>Phạm Khôi Nguyên</v>
      </c>
      <c r="J4197" s="3" t="str">
        <f ca="1">IFERROR(__xludf.DUMMYFUNCTION("""COMPUTED_VALUE"""),"0812073272")</f>
        <v>0812073272</v>
      </c>
      <c r="K4197" s="2" t="str">
        <f ca="1">IFERROR(__xludf.DUMMYFUNCTION("""COMPUTED_VALUE"""),"1745661002434")</f>
        <v>1745661002434</v>
      </c>
    </row>
    <row r="4198" spans="1:11" ht="12.45">
      <c r="A4198" s="2" t="str">
        <f ca="1">IFERROR(__xludf.DUMMYFUNCTION("""COMPUTED_VALUE"""),"1745661030284")</f>
        <v>1745661030284</v>
      </c>
      <c r="B4198" s="2"/>
      <c r="C4198" s="2" t="str">
        <v>0</v>
      </c>
      <c r="D4198" s="2"/>
      <c r="F4198" s="2" t="str">
        <v>0</v>
      </c>
      <c r="I4198" s="3" t="str">
        <f ca="1">IFERROR(__xludf.DUMMYFUNCTION("""COMPUTED_VALUE"""),"Phạm Thị Cẩm Quyên")</f>
        <v>Phạm Thị Cẩm Quyên</v>
      </c>
      <c r="J4198" s="3" t="str">
        <f ca="1">IFERROR(__xludf.DUMMYFUNCTION("""COMPUTED_VALUE"""),"0338068782")</f>
        <v>0338068782</v>
      </c>
      <c r="K4198" s="2" t="str">
        <f ca="1">IFERROR(__xludf.DUMMYFUNCTION("""COMPUTED_VALUE"""),"1745661030284")</f>
        <v>1745661030284</v>
      </c>
    </row>
    <row r="4199" spans="1:11" ht="12.45">
      <c r="A4199" s="2" t="str">
        <f ca="1">IFERROR(__xludf.DUMMYFUNCTION("""COMPUTED_VALUE"""),"1745661051099")</f>
        <v>1745661051099</v>
      </c>
      <c r="B4199" s="2"/>
      <c r="C4199" s="2" t="str">
        <v>0</v>
      </c>
      <c r="D4199" s="2"/>
      <c r="F4199" s="2" t="str">
        <v>0</v>
      </c>
      <c r="I4199" s="3" t="str">
        <f ca="1">IFERROR(__xludf.DUMMYFUNCTION("""COMPUTED_VALUE"""),"Hà Minh Hạnh")</f>
        <v>Hà Minh Hạnh</v>
      </c>
      <c r="J4199" s="3" t="str">
        <f ca="1">IFERROR(__xludf.DUMMYFUNCTION("""COMPUTED_VALUE"""),"0862553196")</f>
        <v>0862553196</v>
      </c>
      <c r="K4199" s="2" t="str">
        <f ca="1">IFERROR(__xludf.DUMMYFUNCTION("""COMPUTED_VALUE"""),"1745661051099")</f>
        <v>1745661051099</v>
      </c>
    </row>
    <row r="4200" spans="1:11" ht="12.45">
      <c r="A4200" s="2" t="str">
        <f ca="1">IFERROR(__xludf.DUMMYFUNCTION("""COMPUTED_VALUE"""),"1745661077191")</f>
        <v>1745661077191</v>
      </c>
      <c r="B4200" s="2"/>
      <c r="C4200" s="2" t="str">
        <v>0</v>
      </c>
      <c r="D4200" s="2"/>
      <c r="F4200" s="2" t="str">
        <v>0</v>
      </c>
      <c r="I4200" s="3" t="str">
        <f ca="1">IFERROR(__xludf.DUMMYFUNCTION("""COMPUTED_VALUE"""),"Nguyễn Trang Nhung")</f>
        <v>Nguyễn Trang Nhung</v>
      </c>
      <c r="J4200" s="3" t="str">
        <f ca="1">IFERROR(__xludf.DUMMYFUNCTION("""COMPUTED_VALUE"""),"0967372007")</f>
        <v>0967372007</v>
      </c>
      <c r="K4200" s="2" t="str">
        <f ca="1">IFERROR(__xludf.DUMMYFUNCTION("""COMPUTED_VALUE"""),"1745661077191")</f>
        <v>1745661077191</v>
      </c>
    </row>
    <row r="4201" spans="1:11" ht="12.45">
      <c r="A4201" s="2" t="str">
        <f ca="1">IFERROR(__xludf.DUMMYFUNCTION("""COMPUTED_VALUE"""),"1745661094582")</f>
        <v>1745661094582</v>
      </c>
      <c r="B4201" s="2"/>
      <c r="C4201" s="2" t="str">
        <v>0</v>
      </c>
      <c r="D4201" s="2"/>
      <c r="F4201" s="2" t="str">
        <v>0</v>
      </c>
      <c r="I4201" s="3" t="str">
        <f ca="1">IFERROR(__xludf.DUMMYFUNCTION("""COMPUTED_VALUE"""),"Lê Minh Thu ")</f>
        <v xml:space="preserve">Lê Minh Thu </v>
      </c>
      <c r="J4201" s="3" t="str">
        <f ca="1">IFERROR(__xludf.DUMMYFUNCTION("""COMPUTED_VALUE"""),"0836349007")</f>
        <v>0836349007</v>
      </c>
      <c r="K4201" s="2" t="str">
        <f ca="1">IFERROR(__xludf.DUMMYFUNCTION("""COMPUTED_VALUE"""),"1745661094582")</f>
        <v>1745661094582</v>
      </c>
    </row>
    <row r="4202" spans="1:11" ht="12.45">
      <c r="A4202" s="2" t="str">
        <f ca="1">IFERROR(__xludf.DUMMYFUNCTION("""COMPUTED_VALUE"""),"1745661121090")</f>
        <v>1745661121090</v>
      </c>
      <c r="B4202" s="2"/>
      <c r="C4202" s="2" t="str">
        <v>0</v>
      </c>
      <c r="D4202" s="2"/>
      <c r="F4202" s="2" t="str">
        <v>0</v>
      </c>
      <c r="I4202" s="3" t="str">
        <f ca="1">IFERROR(__xludf.DUMMYFUNCTION("""COMPUTED_VALUE"""),"Trần Mai Anh ")</f>
        <v xml:space="preserve">Trần Mai Anh </v>
      </c>
      <c r="J4202" s="3" t="str">
        <f ca="1">IFERROR(__xludf.DUMMYFUNCTION("""COMPUTED_VALUE"""),"0912924072")</f>
        <v>0912924072</v>
      </c>
      <c r="K4202" s="2" t="str">
        <f ca="1">IFERROR(__xludf.DUMMYFUNCTION("""COMPUTED_VALUE"""),"1745661121090")</f>
        <v>1745661121090</v>
      </c>
    </row>
    <row r="4203" spans="1:11" ht="12.45">
      <c r="A4203" s="2" t="str">
        <f ca="1">IFERROR(__xludf.DUMMYFUNCTION("""COMPUTED_VALUE"""),"1745661145969")</f>
        <v>1745661145969</v>
      </c>
      <c r="B4203" s="2"/>
      <c r="C4203" s="2" t="str">
        <v>0</v>
      </c>
      <c r="D4203" s="2"/>
      <c r="F4203" s="2" t="str">
        <v>0</v>
      </c>
      <c r="I4203" s="3" t="str">
        <f ca="1">IFERROR(__xludf.DUMMYFUNCTION("""COMPUTED_VALUE"""),"Ngô Quỳnh Chi")</f>
        <v>Ngô Quỳnh Chi</v>
      </c>
      <c r="J4203" s="3" t="str">
        <f ca="1">IFERROR(__xludf.DUMMYFUNCTION("""COMPUTED_VALUE"""),"0947927357")</f>
        <v>0947927357</v>
      </c>
      <c r="K4203" s="2" t="str">
        <f ca="1">IFERROR(__xludf.DUMMYFUNCTION("""COMPUTED_VALUE"""),"1745661145969")</f>
        <v>1745661145969</v>
      </c>
    </row>
    <row r="4204" spans="1:11" ht="12.45">
      <c r="A4204" s="2" t="str">
        <f ca="1">IFERROR(__xludf.DUMMYFUNCTION("""COMPUTED_VALUE"""),"1745661167392")</f>
        <v>1745661167392</v>
      </c>
      <c r="B4204" s="2"/>
      <c r="C4204" s="2" t="str">
        <v>0</v>
      </c>
      <c r="D4204" s="2"/>
      <c r="F4204" s="2" t="str">
        <v>0</v>
      </c>
      <c r="I4204" s="3" t="str">
        <f ca="1">IFERROR(__xludf.DUMMYFUNCTION("""COMPUTED_VALUE"""),"Phạm Ngọc Liên")</f>
        <v>Phạm Ngọc Liên</v>
      </c>
      <c r="J4204" s="3" t="str">
        <f ca="1">IFERROR(__xludf.DUMMYFUNCTION("""COMPUTED_VALUE"""),"0378931704")</f>
        <v>0378931704</v>
      </c>
      <c r="K4204" s="2" t="str">
        <f ca="1">IFERROR(__xludf.DUMMYFUNCTION("""COMPUTED_VALUE"""),"1745661167392")</f>
        <v>1745661167392</v>
      </c>
    </row>
    <row r="4205" spans="1:11" ht="12.45">
      <c r="A4205" s="2" t="str">
        <f ca="1">IFERROR(__xludf.DUMMYFUNCTION("""COMPUTED_VALUE"""),"1745661194243")</f>
        <v>1745661194243</v>
      </c>
      <c r="B4205" s="2"/>
      <c r="C4205" s="2" t="str">
        <v>0</v>
      </c>
      <c r="D4205" s="2"/>
      <c r="F4205" s="2" t="str">
        <v>0</v>
      </c>
      <c r="I4205" s="3" t="str">
        <f ca="1">IFERROR(__xludf.DUMMYFUNCTION("""COMPUTED_VALUE"""),"Nguyễn Hiền Vi ")</f>
        <v xml:space="preserve">Nguyễn Hiền Vi </v>
      </c>
      <c r="J4205" s="3" t="str">
        <f ca="1">IFERROR(__xludf.DUMMYFUNCTION("""COMPUTED_VALUE"""),"0395438007")</f>
        <v>0395438007</v>
      </c>
      <c r="K4205" s="2" t="str">
        <f ca="1">IFERROR(__xludf.DUMMYFUNCTION("""COMPUTED_VALUE"""),"1745661194243")</f>
        <v>1745661194243</v>
      </c>
    </row>
    <row r="4206" spans="1:11" ht="12.45">
      <c r="A4206" s="2" t="str">
        <f ca="1">IFERROR(__xludf.DUMMYFUNCTION("""COMPUTED_VALUE"""),"1745661227042")</f>
        <v>1745661227042</v>
      </c>
      <c r="B4206" s="2"/>
      <c r="C4206" s="2" t="str">
        <v>0</v>
      </c>
      <c r="D4206" s="2"/>
      <c r="F4206" s="2" t="str">
        <v>0</v>
      </c>
      <c r="I4206" s="3" t="str">
        <f ca="1">IFERROR(__xludf.DUMMYFUNCTION("""COMPUTED_VALUE"""),"Đinh Thanh Thư")</f>
        <v>Đinh Thanh Thư</v>
      </c>
      <c r="J4206" s="3" t="str">
        <f ca="1">IFERROR(__xludf.DUMMYFUNCTION("""COMPUTED_VALUE"""),"0986549245")</f>
        <v>0986549245</v>
      </c>
      <c r="K4206" s="2" t="str">
        <f ca="1">IFERROR(__xludf.DUMMYFUNCTION("""COMPUTED_VALUE"""),"1745661227042")</f>
        <v>1745661227042</v>
      </c>
    </row>
    <row r="4207" spans="1:11" ht="12.45">
      <c r="A4207" s="2" t="str">
        <f ca="1">IFERROR(__xludf.DUMMYFUNCTION("""COMPUTED_VALUE"""),"1745661255417")</f>
        <v>1745661255417</v>
      </c>
      <c r="B4207" s="2"/>
      <c r="C4207" s="2" t="str">
        <v>0</v>
      </c>
      <c r="D4207" s="2"/>
      <c r="F4207" s="2" t="str">
        <v>0</v>
      </c>
      <c r="I4207" s="3" t="str">
        <f ca="1">IFERROR(__xludf.DUMMYFUNCTION("""COMPUTED_VALUE"""),"Đỗ Phương Linh")</f>
        <v>Đỗ Phương Linh</v>
      </c>
      <c r="J4207" s="3" t="str">
        <f ca="1">IFERROR(__xludf.DUMMYFUNCTION("""COMPUTED_VALUE"""),"0856956222")</f>
        <v>0856956222</v>
      </c>
      <c r="K4207" s="2" t="str">
        <f ca="1">IFERROR(__xludf.DUMMYFUNCTION("""COMPUTED_VALUE"""),"1745661255417")</f>
        <v>1745661255417</v>
      </c>
    </row>
    <row r="4208" spans="1:11" ht="12.45">
      <c r="A4208" s="2" t="str">
        <f ca="1">IFERROR(__xludf.DUMMYFUNCTION("""COMPUTED_VALUE"""),"1745661284128")</f>
        <v>1745661284128</v>
      </c>
      <c r="B4208" s="2"/>
      <c r="C4208" s="2" t="str">
        <v>0</v>
      </c>
      <c r="D4208" s="2"/>
      <c r="F4208" s="2" t="str">
        <v>0</v>
      </c>
      <c r="I4208" s="3" t="str">
        <f ca="1">IFERROR(__xludf.DUMMYFUNCTION("""COMPUTED_VALUE"""),"Nguyễn Thị Thục Anh")</f>
        <v>Nguyễn Thị Thục Anh</v>
      </c>
      <c r="J4208" s="3" t="str">
        <f ca="1">IFERROR(__xludf.DUMMYFUNCTION("""COMPUTED_VALUE"""),"0334701889")</f>
        <v>0334701889</v>
      </c>
      <c r="K4208" s="2" t="str">
        <f ca="1">IFERROR(__xludf.DUMMYFUNCTION("""COMPUTED_VALUE"""),"1745661284128")</f>
        <v>1745661284128</v>
      </c>
    </row>
    <row r="4209" spans="1:11" ht="12.45">
      <c r="A4209" s="2" t="str">
        <f ca="1">IFERROR(__xludf.DUMMYFUNCTION("""COMPUTED_VALUE"""),"1745661310174")</f>
        <v>1745661310174</v>
      </c>
      <c r="B4209" s="2"/>
      <c r="C4209" s="2" t="str">
        <v>0</v>
      </c>
      <c r="D4209" s="2"/>
      <c r="F4209" s="2" t="str">
        <v>0</v>
      </c>
      <c r="I4209" s="3" t="str">
        <f ca="1">IFERROR(__xludf.DUMMYFUNCTION("""COMPUTED_VALUE"""),"Nguyễn Hoàng Hoài Tâm")</f>
        <v>Nguyễn Hoàng Hoài Tâm</v>
      </c>
      <c r="J4209" s="3" t="str">
        <f ca="1">IFERROR(__xludf.DUMMYFUNCTION("""COMPUTED_VALUE"""),"0918763760")</f>
        <v>0918763760</v>
      </c>
      <c r="K4209" s="2" t="str">
        <f ca="1">IFERROR(__xludf.DUMMYFUNCTION("""COMPUTED_VALUE"""),"1745661310174")</f>
        <v>1745661310174</v>
      </c>
    </row>
    <row r="4210" spans="1:11" ht="12.45">
      <c r="A4210" s="2" t="str">
        <f ca="1">IFERROR(__xludf.DUMMYFUNCTION("""COMPUTED_VALUE"""),"1745661346385")</f>
        <v>1745661346385</v>
      </c>
      <c r="B4210" s="2"/>
      <c r="C4210" s="2" t="str">
        <v>0</v>
      </c>
      <c r="D4210" s="2"/>
      <c r="F4210" s="2" t="str">
        <v>0</v>
      </c>
      <c r="I4210" s="3" t="str">
        <f ca="1">IFERROR(__xludf.DUMMYFUNCTION("""COMPUTED_VALUE"""),"Đỗ Tiến Thành Nam")</f>
        <v>Đỗ Tiến Thành Nam</v>
      </c>
      <c r="J4210" s="3" t="str">
        <f ca="1">IFERROR(__xludf.DUMMYFUNCTION("""COMPUTED_VALUE"""),"0328207318")</f>
        <v>0328207318</v>
      </c>
      <c r="K4210" s="2" t="str">
        <f ca="1">IFERROR(__xludf.DUMMYFUNCTION("""COMPUTED_VALUE"""),"1745661346385")</f>
        <v>1745661346385</v>
      </c>
    </row>
    <row r="4211" spans="1:11" ht="12.45">
      <c r="A4211" s="2" t="str">
        <f ca="1">IFERROR(__xludf.DUMMYFUNCTION("""COMPUTED_VALUE"""),"1745661380332")</f>
        <v>1745661380332</v>
      </c>
      <c r="B4211" s="2"/>
      <c r="C4211" s="2" t="str">
        <v>0</v>
      </c>
      <c r="D4211" s="2"/>
      <c r="F4211" s="2" t="str">
        <v>0</v>
      </c>
      <c r="I4211" s="3" t="str">
        <f ca="1">IFERROR(__xludf.DUMMYFUNCTION("""COMPUTED_VALUE"""),"Trần Nguyễn Thanh Mai")</f>
        <v>Trần Nguyễn Thanh Mai</v>
      </c>
      <c r="J4211" s="3" t="str">
        <f ca="1">IFERROR(__xludf.DUMMYFUNCTION("""COMPUTED_VALUE"""),"0848952292")</f>
        <v>0848952292</v>
      </c>
      <c r="K4211" s="2" t="str">
        <f ca="1">IFERROR(__xludf.DUMMYFUNCTION("""COMPUTED_VALUE"""),"1745661380332")</f>
        <v>1745661380332</v>
      </c>
    </row>
    <row r="4212" spans="1:11" ht="12.45">
      <c r="A4212" s="2" t="str">
        <f ca="1">IFERROR(__xludf.DUMMYFUNCTION("""COMPUTED_VALUE"""),"1745661402829")</f>
        <v>1745661402829</v>
      </c>
      <c r="B4212" s="2"/>
      <c r="C4212" s="2" t="str">
        <v>0</v>
      </c>
      <c r="D4212" s="2"/>
      <c r="F4212" s="2" t="str">
        <v>0</v>
      </c>
      <c r="I4212" s="3" t="str">
        <f ca="1">IFERROR(__xludf.DUMMYFUNCTION("""COMPUTED_VALUE"""),"Trần Thị Diệu Linh ")</f>
        <v xml:space="preserve">Trần Thị Diệu Linh </v>
      </c>
      <c r="J4212" s="3" t="str">
        <f ca="1">IFERROR(__xludf.DUMMYFUNCTION("""COMPUTED_VALUE"""),"0862969314")</f>
        <v>0862969314</v>
      </c>
      <c r="K4212" s="2" t="str">
        <f ca="1">IFERROR(__xludf.DUMMYFUNCTION("""COMPUTED_VALUE"""),"1745661402829")</f>
        <v>1745661402829</v>
      </c>
    </row>
    <row r="4213" spans="1:11" ht="12.45">
      <c r="A4213" s="2" t="str">
        <f ca="1">IFERROR(__xludf.DUMMYFUNCTION("""COMPUTED_VALUE"""),"1745661433158")</f>
        <v>1745661433158</v>
      </c>
      <c r="B4213" s="2"/>
      <c r="C4213" s="2" t="str">
        <v>0</v>
      </c>
      <c r="D4213" s="2"/>
      <c r="F4213" s="2" t="str">
        <v>0</v>
      </c>
      <c r="I4213" s="3" t="str">
        <f ca="1">IFERROR(__xludf.DUMMYFUNCTION("""COMPUTED_VALUE"""),"Huỳnh Thị Hồng Trâm")</f>
        <v>Huỳnh Thị Hồng Trâm</v>
      </c>
      <c r="J4213" s="3" t="str">
        <f ca="1">IFERROR(__xludf.DUMMYFUNCTION("""COMPUTED_VALUE"""),"0367045925")</f>
        <v>0367045925</v>
      </c>
      <c r="K4213" s="2" t="str">
        <f ca="1">IFERROR(__xludf.DUMMYFUNCTION("""COMPUTED_VALUE"""),"1745661433158")</f>
        <v>1745661433158</v>
      </c>
    </row>
    <row r="4214" spans="1:11" ht="12.45">
      <c r="A4214" s="2" t="str">
        <f ca="1">IFERROR(__xludf.DUMMYFUNCTION("""COMPUTED_VALUE"""),"1745661464928")</f>
        <v>1745661464928</v>
      </c>
      <c r="B4214" s="2"/>
      <c r="C4214" s="2" t="str">
        <v>0</v>
      </c>
      <c r="D4214" s="2"/>
      <c r="F4214" s="2" t="str">
        <v>0</v>
      </c>
      <c r="I4214" s="3" t="str">
        <f ca="1">IFERROR(__xludf.DUMMYFUNCTION("""COMPUTED_VALUE"""),"Nguyễn Đan Nhi")</f>
        <v>Nguyễn Đan Nhi</v>
      </c>
      <c r="J4214" s="3" t="str">
        <f ca="1">IFERROR(__xludf.DUMMYFUNCTION("""COMPUTED_VALUE"""),"0826777027")</f>
        <v>0826777027</v>
      </c>
      <c r="K4214" s="2" t="str">
        <f ca="1">IFERROR(__xludf.DUMMYFUNCTION("""COMPUTED_VALUE"""),"1745661464928")</f>
        <v>1745661464928</v>
      </c>
    </row>
    <row r="4215" spans="1:11" ht="12.45">
      <c r="A4215" s="2" t="str">
        <f ca="1">IFERROR(__xludf.DUMMYFUNCTION("""COMPUTED_VALUE"""),"1745661498251")</f>
        <v>1745661498251</v>
      </c>
      <c r="B4215" s="2"/>
      <c r="C4215" s="2" t="str">
        <v>0</v>
      </c>
      <c r="D4215" s="2"/>
      <c r="F4215" s="2" t="str">
        <v>0</v>
      </c>
      <c r="I4215" s="3" t="str">
        <f ca="1">IFERROR(__xludf.DUMMYFUNCTION("""COMPUTED_VALUE"""),"Huỳnh Nhựt Thành")</f>
        <v>Huỳnh Nhựt Thành</v>
      </c>
      <c r="J4215" s="3" t="str">
        <f ca="1">IFERROR(__xludf.DUMMYFUNCTION("""COMPUTED_VALUE"""),"0779882800")</f>
        <v>0779882800</v>
      </c>
      <c r="K4215" s="2" t="str">
        <f ca="1">IFERROR(__xludf.DUMMYFUNCTION("""COMPUTED_VALUE"""),"1745661498251")</f>
        <v>1745661498251</v>
      </c>
    </row>
    <row r="4216" spans="1:11" ht="12.45">
      <c r="A4216" s="2" t="str">
        <f ca="1">IFERROR(__xludf.DUMMYFUNCTION("""COMPUTED_VALUE"""),"1759176512293")</f>
        <v>1759176512293</v>
      </c>
      <c r="B4216" s="2"/>
      <c r="C4216" s="2" t="str">
        <v>0</v>
      </c>
      <c r="D4216" s="2"/>
      <c r="F4216" s="2" t="str">
        <v>0</v>
      </c>
      <c r="I4216" s="3" t="str">
        <f ca="1">IFERROR(__xludf.DUMMYFUNCTION("""COMPUTED_VALUE"""),"ĐỖ PHẠM NHƯ QUỲNH")</f>
        <v>ĐỖ PHẠM NHƯ QUỲNH</v>
      </c>
      <c r="J4216" s="3" t="str">
        <f ca="1">IFERROR(__xludf.DUMMYFUNCTION("""COMPUTED_VALUE"""),"0384169496")</f>
        <v>0384169496</v>
      </c>
      <c r="K4216" s="2" t="str">
        <f ca="1">IFERROR(__xludf.DUMMYFUNCTION("""COMPUTED_VALUE"""),"1759176512293")</f>
        <v>1759176512293</v>
      </c>
    </row>
    <row r="4217" spans="1:11" ht="12.45">
      <c r="A4217" s="2" t="str">
        <f ca="1">IFERROR(__xludf.DUMMYFUNCTION("""COMPUTED_VALUE"""),"1759176551674")</f>
        <v>1759176551674</v>
      </c>
      <c r="B4217" s="2"/>
      <c r="C4217" s="2" t="str">
        <v>0</v>
      </c>
      <c r="D4217" s="2"/>
      <c r="F4217" s="2" t="str">
        <v>0</v>
      </c>
      <c r="I4217" s="3" t="str">
        <f ca="1">IFERROR(__xludf.DUMMYFUNCTION("""COMPUTED_VALUE"""),"Phạm Thị Phượng")</f>
        <v>Phạm Thị Phượng</v>
      </c>
      <c r="J4217" s="3" t="str">
        <f ca="1">IFERROR(__xludf.DUMMYFUNCTION("""COMPUTED_VALUE"""),"0373529407")</f>
        <v>0373529407</v>
      </c>
      <c r="K4217" s="2" t="str">
        <f ca="1">IFERROR(__xludf.DUMMYFUNCTION("""COMPUTED_VALUE"""),"1759176551674")</f>
        <v>1759176551674</v>
      </c>
    </row>
    <row r="4218" spans="1:11" ht="12.45">
      <c r="A4218" s="2" t="str">
        <f ca="1">IFERROR(__xludf.DUMMYFUNCTION("""COMPUTED_VALUE"""),"1745661524817")</f>
        <v>1745661524817</v>
      </c>
      <c r="B4218" s="2"/>
      <c r="C4218" s="2" t="str">
        <v>0</v>
      </c>
      <c r="D4218" s="2"/>
      <c r="F4218" s="2" t="str">
        <v>0</v>
      </c>
      <c r="I4218" s="3" t="str">
        <f ca="1">IFERROR(__xludf.DUMMYFUNCTION("""COMPUTED_VALUE"""),"Nguyễn Thị Phương Thuý")</f>
        <v>Nguyễn Thị Phương Thuý</v>
      </c>
      <c r="J4218" s="3" t="str">
        <f ca="1">IFERROR(__xludf.DUMMYFUNCTION("""COMPUTED_VALUE"""),"0948031756")</f>
        <v>0948031756</v>
      </c>
      <c r="K4218" s="2" t="str">
        <f ca="1">IFERROR(__xludf.DUMMYFUNCTION("""COMPUTED_VALUE"""),"1745661524817")</f>
        <v>1745661524817</v>
      </c>
    </row>
    <row r="4219" spans="1:11" ht="12.45">
      <c r="A4219" s="2" t="str">
        <f ca="1">IFERROR(__xludf.DUMMYFUNCTION("""COMPUTED_VALUE"""),"1745661555705")</f>
        <v>1745661555705</v>
      </c>
      <c r="B4219" s="2"/>
      <c r="C4219" s="2" t="str">
        <v>0</v>
      </c>
      <c r="D4219" s="2"/>
      <c r="F4219" s="2" t="str">
        <v>0</v>
      </c>
      <c r="I4219" s="3" t="str">
        <f ca="1">IFERROR(__xludf.DUMMYFUNCTION("""COMPUTED_VALUE"""),"Lê Thị Thu Trang")</f>
        <v>Lê Thị Thu Trang</v>
      </c>
      <c r="J4219" s="3" t="str">
        <f ca="1">IFERROR(__xludf.DUMMYFUNCTION("""COMPUTED_VALUE"""),"0932482400")</f>
        <v>0932482400</v>
      </c>
      <c r="K4219" s="2" t="str">
        <f ca="1">IFERROR(__xludf.DUMMYFUNCTION("""COMPUTED_VALUE"""),"1745661555705")</f>
        <v>1745661555705</v>
      </c>
    </row>
    <row r="4220" spans="1:11" ht="12.45">
      <c r="A4220" s="2" t="str">
        <f ca="1">IFERROR(__xludf.DUMMYFUNCTION("""COMPUTED_VALUE"""),"1745661593849")</f>
        <v>1745661593849</v>
      </c>
      <c r="B4220" s="2"/>
      <c r="C4220" s="2" t="str">
        <v>0</v>
      </c>
      <c r="D4220" s="2"/>
      <c r="F4220" s="2" t="str">
        <v>0</v>
      </c>
      <c r="I4220" s="3" t="str">
        <f ca="1">IFERROR(__xludf.DUMMYFUNCTION("""COMPUTED_VALUE"""),"Nguyễn Thị Minh Thư")</f>
        <v>Nguyễn Thị Minh Thư</v>
      </c>
      <c r="J4220" s="3" t="str">
        <f ca="1">IFERROR(__xludf.DUMMYFUNCTION("""COMPUTED_VALUE"""),"0937147319")</f>
        <v>0937147319</v>
      </c>
      <c r="K4220" s="2" t="str">
        <f ca="1">IFERROR(__xludf.DUMMYFUNCTION("""COMPUTED_VALUE"""),"1745661593849")</f>
        <v>1745661593849</v>
      </c>
    </row>
    <row r="4221" spans="1:11" ht="12.45">
      <c r="A4221" s="2" t="str">
        <f ca="1">IFERROR(__xludf.DUMMYFUNCTION("""COMPUTED_VALUE"""),"1745661621770")</f>
        <v>1745661621770</v>
      </c>
      <c r="B4221" s="2"/>
      <c r="C4221" s="2" t="str">
        <v>0</v>
      </c>
      <c r="D4221" s="2"/>
      <c r="F4221" s="2" t="str">
        <v>0</v>
      </c>
      <c r="I4221" s="3" t="str">
        <f ca="1">IFERROR(__xludf.DUMMYFUNCTION("""COMPUTED_VALUE"""),"Sa Hoàng Huyền Trân")</f>
        <v>Sa Hoàng Huyền Trân</v>
      </c>
      <c r="J4221" s="3" t="str">
        <f ca="1">IFERROR(__xludf.DUMMYFUNCTION("""COMPUTED_VALUE"""),"0327401205")</f>
        <v>0327401205</v>
      </c>
      <c r="K4221" s="2" t="str">
        <f ca="1">IFERROR(__xludf.DUMMYFUNCTION("""COMPUTED_VALUE"""),"1745661621770")</f>
        <v>1745661621770</v>
      </c>
    </row>
    <row r="4222" spans="1:11" ht="12.45">
      <c r="A4222" s="2" t="str">
        <f ca="1">IFERROR(__xludf.DUMMYFUNCTION("""COMPUTED_VALUE"""),"1745661648074")</f>
        <v>1745661648074</v>
      </c>
      <c r="B4222" s="2"/>
      <c r="C4222" s="2" t="str">
        <v>0</v>
      </c>
      <c r="D4222" s="2"/>
      <c r="F4222" s="2" t="str">
        <v>0</v>
      </c>
      <c r="I4222" s="3" t="str">
        <f ca="1">IFERROR(__xludf.DUMMYFUNCTION("""COMPUTED_VALUE"""),"Nguyễn lê duyên hiền")</f>
        <v>Nguyễn lê duyên hiền</v>
      </c>
      <c r="J4222" s="3" t="str">
        <f ca="1">IFERROR(__xludf.DUMMYFUNCTION("""COMPUTED_VALUE"""),"0792123559")</f>
        <v>0792123559</v>
      </c>
      <c r="K4222" s="2" t="str">
        <f ca="1">IFERROR(__xludf.DUMMYFUNCTION("""COMPUTED_VALUE"""),"1745661648074")</f>
        <v>1745661648074</v>
      </c>
    </row>
    <row r="4223" spans="1:11" ht="12.45">
      <c r="A4223" s="2" t="str">
        <f ca="1">IFERROR(__xludf.DUMMYFUNCTION("""COMPUTED_VALUE"""),"1745661671114")</f>
        <v>1745661671114</v>
      </c>
      <c r="B4223" s="2"/>
      <c r="C4223" s="2" t="str">
        <v>0</v>
      </c>
      <c r="D4223" s="2"/>
      <c r="F4223" s="2" t="str">
        <v>0</v>
      </c>
      <c r="I4223" s="3" t="str">
        <f ca="1">IFERROR(__xludf.DUMMYFUNCTION("""COMPUTED_VALUE"""),"Phạm Thị Minh")</f>
        <v>Phạm Thị Minh</v>
      </c>
      <c r="J4223" s="3" t="str">
        <f ca="1">IFERROR(__xludf.DUMMYFUNCTION("""COMPUTED_VALUE"""),"0357162447")</f>
        <v>0357162447</v>
      </c>
      <c r="K4223" s="2" t="str">
        <f ca="1">IFERROR(__xludf.DUMMYFUNCTION("""COMPUTED_VALUE"""),"1745661671114")</f>
        <v>1745661671114</v>
      </c>
    </row>
    <row r="4224" spans="1:11" ht="12.45">
      <c r="A4224" s="2" t="str">
        <f ca="1">IFERROR(__xludf.DUMMYFUNCTION("""COMPUTED_VALUE"""),"1745661696292")</f>
        <v>1745661696292</v>
      </c>
      <c r="B4224" s="2"/>
      <c r="C4224" s="2" t="str">
        <v>0</v>
      </c>
      <c r="D4224" s="2"/>
      <c r="F4224" s="2" t="str">
        <v>0</v>
      </c>
      <c r="I4224" s="3" t="str">
        <f ca="1">IFERROR(__xludf.DUMMYFUNCTION("""COMPUTED_VALUE"""),"Võ Trần Mẫn Nghi")</f>
        <v>Võ Trần Mẫn Nghi</v>
      </c>
      <c r="J4224" s="3" t="str">
        <f ca="1">IFERROR(__xludf.DUMMYFUNCTION("""COMPUTED_VALUE"""),"0918324263")</f>
        <v>0918324263</v>
      </c>
      <c r="K4224" s="2" t="str">
        <f ca="1">IFERROR(__xludf.DUMMYFUNCTION("""COMPUTED_VALUE"""),"1745661696292")</f>
        <v>1745661696292</v>
      </c>
    </row>
    <row r="4225" spans="1:11" ht="12.45">
      <c r="A4225" s="2" t="str">
        <f ca="1">IFERROR(__xludf.DUMMYFUNCTION("""COMPUTED_VALUE"""),"1745661727437")</f>
        <v>1745661727437</v>
      </c>
      <c r="B4225" s="2"/>
      <c r="C4225" s="2" t="str">
        <v>0</v>
      </c>
      <c r="D4225" s="2"/>
      <c r="F4225" s="2" t="str">
        <v>0</v>
      </c>
      <c r="I4225" s="3" t="str">
        <f ca="1">IFERROR(__xludf.DUMMYFUNCTION("""COMPUTED_VALUE"""),"Trần Bích Thủy")</f>
        <v>Trần Bích Thủy</v>
      </c>
      <c r="J4225" s="3" t="str">
        <f ca="1">IFERROR(__xludf.DUMMYFUNCTION("""COMPUTED_VALUE"""),"0357188115")</f>
        <v>0357188115</v>
      </c>
      <c r="K4225" s="2" t="str">
        <f ca="1">IFERROR(__xludf.DUMMYFUNCTION("""COMPUTED_VALUE"""),"1745661727437")</f>
        <v>1745661727437</v>
      </c>
    </row>
    <row r="4226" spans="1:11" ht="12.45">
      <c r="A4226" s="2" t="str">
        <f ca="1">IFERROR(__xludf.DUMMYFUNCTION("""COMPUTED_VALUE"""),"1745661764072")</f>
        <v>1745661764072</v>
      </c>
      <c r="B4226" s="2"/>
      <c r="C4226" s="2" t="str">
        <v>0</v>
      </c>
      <c r="D4226" s="2"/>
      <c r="F4226" s="2" t="str">
        <v>0</v>
      </c>
      <c r="I4226" s="3" t="str">
        <f ca="1">IFERROR(__xludf.DUMMYFUNCTION("""COMPUTED_VALUE"""),"Phạm Thị Tuyết Mai ")</f>
        <v xml:space="preserve">Phạm Thị Tuyết Mai </v>
      </c>
      <c r="J4226" s="3" t="str">
        <f ca="1">IFERROR(__xludf.DUMMYFUNCTION("""COMPUTED_VALUE"""),"0364287596")</f>
        <v>0364287596</v>
      </c>
      <c r="K4226" s="2" t="str">
        <f ca="1">IFERROR(__xludf.DUMMYFUNCTION("""COMPUTED_VALUE"""),"1745661764072")</f>
        <v>1745661764072</v>
      </c>
    </row>
    <row r="4227" spans="1:11" ht="12.45">
      <c r="A4227" s="2" t="str">
        <f ca="1">IFERROR(__xludf.DUMMYFUNCTION("""COMPUTED_VALUE"""),"1745661789877")</f>
        <v>1745661789877</v>
      </c>
      <c r="B4227" s="2"/>
      <c r="C4227" s="2" t="str">
        <v>0</v>
      </c>
      <c r="D4227" s="2"/>
      <c r="F4227" s="2" t="str">
        <v>0</v>
      </c>
      <c r="I4227" s="3" t="str">
        <f ca="1">IFERROR(__xludf.DUMMYFUNCTION("""COMPUTED_VALUE"""),"Nguyễn bảo phúc")</f>
        <v>Nguyễn bảo phúc</v>
      </c>
      <c r="J4227" s="2" t="str">
        <f ca="1">IFERROR(__xludf.DUMMYFUNCTION("""COMPUTED_VALUE"""),"0386658561")</f>
        <v>0386658561</v>
      </c>
      <c r="K4227" s="2" t="str">
        <f ca="1">IFERROR(__xludf.DUMMYFUNCTION("""COMPUTED_VALUE"""),"1745661789877")</f>
        <v>1745661789877</v>
      </c>
    </row>
    <row r="4228" spans="1:11" ht="12.45">
      <c r="A4228" s="2" t="str">
        <f ca="1">IFERROR(__xludf.DUMMYFUNCTION("""COMPUTED_VALUE"""),"1745661822380")</f>
        <v>1745661822380</v>
      </c>
      <c r="B4228" s="2"/>
      <c r="C4228" s="2" t="str">
        <v>0</v>
      </c>
      <c r="D4228" s="2"/>
      <c r="F4228" s="2" t="str">
        <v>0</v>
      </c>
      <c r="I4228" s="3" t="str">
        <f ca="1">IFERROR(__xludf.DUMMYFUNCTION("""COMPUTED_VALUE"""),"Châu Thiện Phúc")</f>
        <v>Châu Thiện Phúc</v>
      </c>
      <c r="J4228" s="3" t="str">
        <f ca="1">IFERROR(__xludf.DUMMYFUNCTION("""COMPUTED_VALUE"""),"0988038336")</f>
        <v>0988038336</v>
      </c>
      <c r="K4228" s="2" t="str">
        <f ca="1">IFERROR(__xludf.DUMMYFUNCTION("""COMPUTED_VALUE"""),"1745661822380")</f>
        <v>1745661822380</v>
      </c>
    </row>
    <row r="4229" spans="1:11" ht="12.45">
      <c r="A4229" s="2" t="str">
        <f ca="1">IFERROR(__xludf.DUMMYFUNCTION("""COMPUTED_VALUE"""),"1745661868391")</f>
        <v>1745661868391</v>
      </c>
      <c r="B4229" s="2"/>
      <c r="C4229" s="2" t="str">
        <v>0</v>
      </c>
      <c r="D4229" s="2"/>
      <c r="F4229" s="2" t="str">
        <v>0</v>
      </c>
      <c r="I4229" s="3" t="str">
        <f ca="1">IFERROR(__xludf.DUMMYFUNCTION("""COMPUTED_VALUE"""),"Vũ Duy Tú")</f>
        <v>Vũ Duy Tú</v>
      </c>
      <c r="J4229" s="3" t="str">
        <f ca="1">IFERROR(__xludf.DUMMYFUNCTION("""COMPUTED_VALUE"""),"0357107318")</f>
        <v>0357107318</v>
      </c>
      <c r="K4229" s="2" t="str">
        <f ca="1">IFERROR(__xludf.DUMMYFUNCTION("""COMPUTED_VALUE"""),"1745661868391")</f>
        <v>1745661868391</v>
      </c>
    </row>
    <row r="4230" spans="1:11" ht="12.45">
      <c r="A4230" s="2" t="str">
        <f ca="1">IFERROR(__xludf.DUMMYFUNCTION("""COMPUTED_VALUE"""),"1745661909407")</f>
        <v>1745661909407</v>
      </c>
      <c r="B4230" s="2"/>
      <c r="C4230" s="2" t="str">
        <v>0</v>
      </c>
      <c r="D4230" s="2"/>
      <c r="F4230" s="2" t="str">
        <v>0</v>
      </c>
      <c r="I4230" s="3" t="str">
        <f ca="1">IFERROR(__xludf.DUMMYFUNCTION("""COMPUTED_VALUE"""),"Phạm Thị Hoài Thương")</f>
        <v>Phạm Thị Hoài Thương</v>
      </c>
      <c r="J4230" s="3" t="str">
        <f ca="1">IFERROR(__xludf.DUMMYFUNCTION("""COMPUTED_VALUE"""),"0915881875")</f>
        <v>0915881875</v>
      </c>
      <c r="K4230" s="2" t="str">
        <f ca="1">IFERROR(__xludf.DUMMYFUNCTION("""COMPUTED_VALUE"""),"1745661909407")</f>
        <v>1745661909407</v>
      </c>
    </row>
    <row r="4231" spans="1:11" ht="12.45">
      <c r="A4231" s="2" t="str">
        <f ca="1">IFERROR(__xludf.DUMMYFUNCTION("""COMPUTED_VALUE"""),"1745661953023")</f>
        <v>1745661953023</v>
      </c>
      <c r="B4231" s="2"/>
      <c r="C4231" s="2" t="str">
        <v>0</v>
      </c>
      <c r="D4231" s="2"/>
      <c r="F4231" s="2" t="str">
        <v>0</v>
      </c>
      <c r="I4231" s="3" t="str">
        <f ca="1">IFERROR(__xludf.DUMMYFUNCTION("""COMPUTED_VALUE"""),"Nguyễn Mai Anh")</f>
        <v>Nguyễn Mai Anh</v>
      </c>
      <c r="J4231" s="3" t="str">
        <f ca="1">IFERROR(__xludf.DUMMYFUNCTION("""COMPUTED_VALUE"""),"0985682738")</f>
        <v>0985682738</v>
      </c>
      <c r="K4231" s="2" t="str">
        <f ca="1">IFERROR(__xludf.DUMMYFUNCTION("""COMPUTED_VALUE"""),"1745661953023")</f>
        <v>1745661953023</v>
      </c>
    </row>
    <row r="4232" spans="1:11" ht="12.45">
      <c r="A4232" s="2" t="str">
        <f ca="1">IFERROR(__xludf.DUMMYFUNCTION("""COMPUTED_VALUE"""),"1745661983275")</f>
        <v>1745661983275</v>
      </c>
      <c r="B4232" s="2"/>
      <c r="C4232" s="2" t="str">
        <v>0</v>
      </c>
      <c r="D4232" s="2"/>
      <c r="F4232" s="2" t="str">
        <v>0</v>
      </c>
      <c r="I4232" s="3" t="str">
        <f ca="1">IFERROR(__xludf.DUMMYFUNCTION("""COMPUTED_VALUE"""),"Đào Phương Anh")</f>
        <v>Đào Phương Anh</v>
      </c>
      <c r="J4232" s="3" t="str">
        <f ca="1">IFERROR(__xludf.DUMMYFUNCTION("""COMPUTED_VALUE"""),"0922071979")</f>
        <v>0922071979</v>
      </c>
      <c r="K4232" s="2" t="str">
        <f ca="1">IFERROR(__xludf.DUMMYFUNCTION("""COMPUTED_VALUE"""),"1745661983275")</f>
        <v>1745661983275</v>
      </c>
    </row>
    <row r="4233" spans="1:11" ht="12.45">
      <c r="A4233" s="2" t="str">
        <f ca="1">IFERROR(__xludf.DUMMYFUNCTION("""COMPUTED_VALUE"""),"1745662027336")</f>
        <v>1745662027336</v>
      </c>
      <c r="B4233" s="2"/>
      <c r="C4233" s="2" t="str">
        <v>0</v>
      </c>
      <c r="D4233" s="2"/>
      <c r="F4233" s="2" t="str">
        <v>0</v>
      </c>
      <c r="I4233" s="3" t="str">
        <f ca="1">IFERROR(__xludf.DUMMYFUNCTION("""COMPUTED_VALUE"""),"Đỗ Phương Linh ")</f>
        <v xml:space="preserve">Đỗ Phương Linh </v>
      </c>
      <c r="J4233" s="3" t="str">
        <f ca="1">IFERROR(__xludf.DUMMYFUNCTION("""COMPUTED_VALUE"""),"0976942740")</f>
        <v>0976942740</v>
      </c>
      <c r="K4233" s="2" t="str">
        <f ca="1">IFERROR(__xludf.DUMMYFUNCTION("""COMPUTED_VALUE"""),"1745662027336")</f>
        <v>1745662027336</v>
      </c>
    </row>
    <row r="4234" spans="1:11" ht="12.45">
      <c r="A4234" s="2" t="str">
        <f ca="1">IFERROR(__xludf.DUMMYFUNCTION("""COMPUTED_VALUE"""),"1745662058183")</f>
        <v>1745662058183</v>
      </c>
      <c r="B4234" s="2"/>
      <c r="C4234" s="2" t="str">
        <v>0</v>
      </c>
      <c r="D4234" s="2"/>
      <c r="F4234" s="2" t="str">
        <v>0</v>
      </c>
      <c r="I4234" s="3" t="str">
        <f ca="1">IFERROR(__xludf.DUMMYFUNCTION("""COMPUTED_VALUE"""),"Hoàng thị khánh ly")</f>
        <v>Hoàng thị khánh ly</v>
      </c>
      <c r="J4234" s="3" t="str">
        <f ca="1">IFERROR(__xludf.DUMMYFUNCTION("""COMPUTED_VALUE"""),"0865210446")</f>
        <v>0865210446</v>
      </c>
      <c r="K4234" s="2" t="str">
        <f ca="1">IFERROR(__xludf.DUMMYFUNCTION("""COMPUTED_VALUE"""),"1745662058183")</f>
        <v>1745662058183</v>
      </c>
    </row>
    <row r="4235" spans="1:11" ht="12.45">
      <c r="A4235" s="2" t="str">
        <f ca="1">IFERROR(__xludf.DUMMYFUNCTION("""COMPUTED_VALUE"""),"1745662083545")</f>
        <v>1745662083545</v>
      </c>
      <c r="B4235" s="2"/>
      <c r="C4235" s="2" t="str">
        <v>0</v>
      </c>
      <c r="D4235" s="2"/>
      <c r="F4235" s="2" t="str">
        <v>0</v>
      </c>
      <c r="I4235" s="3" t="str">
        <f ca="1">IFERROR(__xludf.DUMMYFUNCTION("""COMPUTED_VALUE"""),"Đỗ Thị Thảo")</f>
        <v>Đỗ Thị Thảo</v>
      </c>
      <c r="J4235" s="3" t="str">
        <f ca="1">IFERROR(__xludf.DUMMYFUNCTION("""COMPUTED_VALUE"""),"0936693080")</f>
        <v>0936693080</v>
      </c>
      <c r="K4235" s="2" t="str">
        <f ca="1">IFERROR(__xludf.DUMMYFUNCTION("""COMPUTED_VALUE"""),"1745662083545")</f>
        <v>1745662083545</v>
      </c>
    </row>
    <row r="4236" spans="1:11" ht="12.45">
      <c r="A4236" s="2" t="str">
        <f ca="1">IFERROR(__xludf.DUMMYFUNCTION("""COMPUTED_VALUE"""),"1745662107496")</f>
        <v>1745662107496</v>
      </c>
      <c r="B4236" s="2"/>
      <c r="C4236" s="2" t="str">
        <v>0</v>
      </c>
      <c r="D4236" s="2"/>
      <c r="F4236" s="2" t="str">
        <v>0</v>
      </c>
      <c r="I4236" s="3" t="str">
        <f ca="1">IFERROR(__xludf.DUMMYFUNCTION("""COMPUTED_VALUE"""),"Nguyễn Khánh Linh")</f>
        <v>Nguyễn Khánh Linh</v>
      </c>
      <c r="J4236" s="3" t="str">
        <f ca="1">IFERROR(__xludf.DUMMYFUNCTION("""COMPUTED_VALUE"""),"0375858165")</f>
        <v>0375858165</v>
      </c>
      <c r="K4236" s="2" t="str">
        <f ca="1">IFERROR(__xludf.DUMMYFUNCTION("""COMPUTED_VALUE"""),"1745662107496")</f>
        <v>1745662107496</v>
      </c>
    </row>
    <row r="4237" spans="1:11" ht="12.45">
      <c r="A4237" s="2" t="str">
        <f ca="1">IFERROR(__xludf.DUMMYFUNCTION("""COMPUTED_VALUE"""),"1745662135017")</f>
        <v>1745662135017</v>
      </c>
      <c r="B4237" s="2"/>
      <c r="C4237" s="2" t="str">
        <v>0</v>
      </c>
      <c r="D4237" s="2"/>
      <c r="F4237" s="2" t="str">
        <v>0</v>
      </c>
      <c r="I4237" s="3" t="str">
        <f ca="1">IFERROR(__xludf.DUMMYFUNCTION("""COMPUTED_VALUE"""),"HỒ THỊ QUỲNH TRANG")</f>
        <v>HỒ THỊ QUỲNH TRANG</v>
      </c>
      <c r="J4237" s="3" t="str">
        <f ca="1">IFERROR(__xludf.DUMMYFUNCTION("""COMPUTED_VALUE"""),"0961317509")</f>
        <v>0961317509</v>
      </c>
      <c r="K4237" s="2" t="str">
        <f ca="1">IFERROR(__xludf.DUMMYFUNCTION("""COMPUTED_VALUE"""),"1745662135017")</f>
        <v>1745662135017</v>
      </c>
    </row>
    <row r="4238" spans="1:11" ht="12.45">
      <c r="A4238" s="2" t="str">
        <f ca="1">IFERROR(__xludf.DUMMYFUNCTION("""COMPUTED_VALUE"""),"1745662162252")</f>
        <v>1745662162252</v>
      </c>
      <c r="B4238" s="2"/>
      <c r="C4238" s="2" t="str">
        <v>0</v>
      </c>
      <c r="D4238" s="2"/>
      <c r="F4238" s="2" t="str">
        <v>0</v>
      </c>
      <c r="I4238" s="3" t="str">
        <f ca="1">IFERROR(__xludf.DUMMYFUNCTION("""COMPUTED_VALUE"""),"Lê Thị Kiều Nhi ")</f>
        <v xml:space="preserve">Lê Thị Kiều Nhi </v>
      </c>
      <c r="J4238" s="3" t="str">
        <f ca="1">IFERROR(__xludf.DUMMYFUNCTION("""COMPUTED_VALUE"""),"0338759701")</f>
        <v>0338759701</v>
      </c>
      <c r="K4238" s="2" t="str">
        <f ca="1">IFERROR(__xludf.DUMMYFUNCTION("""COMPUTED_VALUE"""),"1745662162252")</f>
        <v>1745662162252</v>
      </c>
    </row>
    <row r="4239" spans="1:11" ht="12.45">
      <c r="A4239" s="2" t="str">
        <f ca="1">IFERROR(__xludf.DUMMYFUNCTION("""COMPUTED_VALUE"""),"1745662187503")</f>
        <v>1745662187503</v>
      </c>
      <c r="B4239" s="2"/>
      <c r="C4239" s="2" t="str">
        <v>0</v>
      </c>
      <c r="D4239" s="2"/>
      <c r="F4239" s="2" t="str">
        <v>0</v>
      </c>
      <c r="I4239" s="3" t="str">
        <f ca="1">IFERROR(__xludf.DUMMYFUNCTION("""COMPUTED_VALUE"""),"Nguyễn Anh Thư")</f>
        <v>Nguyễn Anh Thư</v>
      </c>
      <c r="J4239" s="3" t="str">
        <f ca="1">IFERROR(__xludf.DUMMYFUNCTION("""COMPUTED_VALUE"""),"0337410638")</f>
        <v>0337410638</v>
      </c>
      <c r="K4239" s="2" t="str">
        <f ca="1">IFERROR(__xludf.DUMMYFUNCTION("""COMPUTED_VALUE"""),"1745662187503")</f>
        <v>1745662187503</v>
      </c>
    </row>
    <row r="4240" spans="1:11" ht="12.45">
      <c r="A4240" s="2" t="str">
        <f ca="1">IFERROR(__xludf.DUMMYFUNCTION("""COMPUTED_VALUE"""),"1745662207657")</f>
        <v>1745662207657</v>
      </c>
      <c r="B4240" s="2"/>
      <c r="C4240" s="2" t="str">
        <v>0</v>
      </c>
      <c r="D4240" s="2"/>
      <c r="F4240" s="2" t="str">
        <v>0</v>
      </c>
      <c r="I4240" s="3" t="str">
        <f ca="1">IFERROR(__xludf.DUMMYFUNCTION("""COMPUTED_VALUE"""),"Nguyễn Thị Thu Huyền ")</f>
        <v xml:space="preserve">Nguyễn Thị Thu Huyền </v>
      </c>
      <c r="J4240" s="3" t="str">
        <f ca="1">IFERROR(__xludf.DUMMYFUNCTION("""COMPUTED_VALUE"""),"0968854276")</f>
        <v>0968854276</v>
      </c>
      <c r="K4240" s="2" t="str">
        <f ca="1">IFERROR(__xludf.DUMMYFUNCTION("""COMPUTED_VALUE"""),"1745662207657")</f>
        <v>1745662207657</v>
      </c>
    </row>
    <row r="4241" spans="1:11" ht="12.45">
      <c r="A4241" s="2" t="str">
        <f ca="1">IFERROR(__xludf.DUMMYFUNCTION("""COMPUTED_VALUE"""),"1745662250960")</f>
        <v>1745662250960</v>
      </c>
      <c r="B4241" s="2"/>
      <c r="C4241" s="2" t="str">
        <v>0</v>
      </c>
      <c r="D4241" s="2"/>
      <c r="F4241" s="2" t="str">
        <v>0</v>
      </c>
      <c r="I4241" s="3" t="str">
        <f ca="1">IFERROR(__xludf.DUMMYFUNCTION("""COMPUTED_VALUE"""),"Nguyễn Khánh Linh")</f>
        <v>Nguyễn Khánh Linh</v>
      </c>
      <c r="J4241" s="3" t="str">
        <f ca="1">IFERROR(__xludf.DUMMYFUNCTION("""COMPUTED_VALUE"""),"0325442146")</f>
        <v>0325442146</v>
      </c>
      <c r="K4241" s="2" t="str">
        <f ca="1">IFERROR(__xludf.DUMMYFUNCTION("""COMPUTED_VALUE"""),"1745662250960")</f>
        <v>1745662250960</v>
      </c>
    </row>
    <row r="4242" spans="1:11" ht="12.45">
      <c r="A4242" s="2" t="str">
        <f ca="1">IFERROR(__xludf.DUMMYFUNCTION("""COMPUTED_VALUE"""),"1745662274383")</f>
        <v>1745662274383</v>
      </c>
      <c r="B4242" s="2"/>
      <c r="C4242" s="2" t="str">
        <v>0</v>
      </c>
      <c r="D4242" s="2"/>
      <c r="F4242" s="2" t="str">
        <v>0</v>
      </c>
      <c r="I4242" s="3" t="str">
        <f ca="1">IFERROR(__xludf.DUMMYFUNCTION("""COMPUTED_VALUE"""),"Đỗ Bảo Trâm")</f>
        <v>Đỗ Bảo Trâm</v>
      </c>
      <c r="J4242" s="3" t="str">
        <f ca="1">IFERROR(__xludf.DUMMYFUNCTION("""COMPUTED_VALUE"""),"0374502811")</f>
        <v>0374502811</v>
      </c>
      <c r="K4242" s="2" t="str">
        <f ca="1">IFERROR(__xludf.DUMMYFUNCTION("""COMPUTED_VALUE"""),"1745662274383")</f>
        <v>1745662274383</v>
      </c>
    </row>
    <row r="4243" spans="1:11" ht="12.45">
      <c r="A4243" s="2" t="str">
        <f ca="1">IFERROR(__xludf.DUMMYFUNCTION("""COMPUTED_VALUE"""),"1745662314724")</f>
        <v>1745662314724</v>
      </c>
      <c r="B4243" s="2"/>
      <c r="C4243" s="2" t="str">
        <v>0</v>
      </c>
      <c r="D4243" s="2"/>
      <c r="F4243" s="2" t="str">
        <v>0</v>
      </c>
      <c r="I4243" s="3" t="str">
        <f ca="1">IFERROR(__xludf.DUMMYFUNCTION("""COMPUTED_VALUE"""),"Phan Minh Trọng")</f>
        <v>Phan Minh Trọng</v>
      </c>
      <c r="J4243" s="3" t="str">
        <f ca="1">IFERROR(__xludf.DUMMYFUNCTION("""COMPUTED_VALUE"""),"0559347098")</f>
        <v>0559347098</v>
      </c>
      <c r="K4243" s="2" t="str">
        <f ca="1">IFERROR(__xludf.DUMMYFUNCTION("""COMPUTED_VALUE"""),"1745662314724")</f>
        <v>1745662314724</v>
      </c>
    </row>
    <row r="4244" spans="1:11" ht="12.45">
      <c r="A4244" s="2" t="str">
        <f ca="1">IFERROR(__xludf.DUMMYFUNCTION("""COMPUTED_VALUE"""),"1745662361346")</f>
        <v>1745662361346</v>
      </c>
      <c r="B4244" s="2"/>
      <c r="C4244" s="2" t="str">
        <v>0</v>
      </c>
      <c r="D4244" s="2"/>
      <c r="F4244" s="2" t="str">
        <v>0</v>
      </c>
      <c r="I4244" s="3" t="str">
        <f ca="1">IFERROR(__xludf.DUMMYFUNCTION("""COMPUTED_VALUE"""),"Chu Phương Thảo")</f>
        <v>Chu Phương Thảo</v>
      </c>
      <c r="J4244" s="3" t="str">
        <f ca="1">IFERROR(__xludf.DUMMYFUNCTION("""COMPUTED_VALUE"""),"0387550147")</f>
        <v>0387550147</v>
      </c>
      <c r="K4244" s="2" t="str">
        <f ca="1">IFERROR(__xludf.DUMMYFUNCTION("""COMPUTED_VALUE"""),"1745662361346")</f>
        <v>1745662361346</v>
      </c>
    </row>
    <row r="4245" spans="1:11" ht="12.45">
      <c r="A4245" s="2" t="str">
        <f ca="1">IFERROR(__xludf.DUMMYFUNCTION("""COMPUTED_VALUE"""),"1745662388733")</f>
        <v>1745662388733</v>
      </c>
      <c r="B4245" s="2"/>
      <c r="C4245" s="2" t="str">
        <v>0</v>
      </c>
      <c r="D4245" s="2"/>
      <c r="F4245" s="2" t="str">
        <v>0</v>
      </c>
      <c r="I4245" s="3" t="str">
        <f ca="1">IFERROR(__xludf.DUMMYFUNCTION("""COMPUTED_VALUE"""),"Nguyễn Thị Ngọc Lan")</f>
        <v>Nguyễn Thị Ngọc Lan</v>
      </c>
      <c r="J4245" s="3" t="str">
        <f ca="1">IFERROR(__xludf.DUMMYFUNCTION("""COMPUTED_VALUE"""),"0387258557")</f>
        <v>0387258557</v>
      </c>
      <c r="K4245" s="2" t="str">
        <f ca="1">IFERROR(__xludf.DUMMYFUNCTION("""COMPUTED_VALUE"""),"1745662388733")</f>
        <v>1745662388733</v>
      </c>
    </row>
    <row r="4246" spans="1:11" ht="12.45">
      <c r="A4246" s="2" t="str">
        <f ca="1">IFERROR(__xludf.DUMMYFUNCTION("""COMPUTED_VALUE"""),"1745662421494")</f>
        <v>1745662421494</v>
      </c>
      <c r="B4246" s="2"/>
      <c r="C4246" s="2" t="str">
        <v>0</v>
      </c>
      <c r="D4246" s="2"/>
      <c r="F4246" s="2" t="str">
        <v>0</v>
      </c>
      <c r="I4246" s="3" t="str">
        <f ca="1">IFERROR(__xludf.DUMMYFUNCTION("""COMPUTED_VALUE"""),"NGUYỄN THỊ KIM THƯƠNG")</f>
        <v>NGUYỄN THỊ KIM THƯƠNG</v>
      </c>
      <c r="J4246" s="3" t="str">
        <f ca="1">IFERROR(__xludf.DUMMYFUNCTION("""COMPUTED_VALUE"""),"0399600714")</f>
        <v>0399600714</v>
      </c>
      <c r="K4246" s="2" t="str">
        <f ca="1">IFERROR(__xludf.DUMMYFUNCTION("""COMPUTED_VALUE"""),"1745662421494")</f>
        <v>1745662421494</v>
      </c>
    </row>
    <row r="4247" spans="1:11" ht="12.45">
      <c r="A4247" s="2" t="str">
        <f ca="1">IFERROR(__xludf.DUMMYFUNCTION("""COMPUTED_VALUE"""),"1745662454522")</f>
        <v>1745662454522</v>
      </c>
      <c r="B4247" s="2"/>
      <c r="C4247" s="2" t="str">
        <v>0</v>
      </c>
      <c r="D4247" s="2"/>
      <c r="F4247" s="2" t="str">
        <v>0</v>
      </c>
      <c r="I4247" s="3" t="str">
        <f ca="1">IFERROR(__xludf.DUMMYFUNCTION("""COMPUTED_VALUE"""),"Đoàn Thị Hậu")</f>
        <v>Đoàn Thị Hậu</v>
      </c>
      <c r="J4247" s="3" t="str">
        <f ca="1">IFERROR(__xludf.DUMMYFUNCTION("""COMPUTED_VALUE"""),"0396062291")</f>
        <v>0396062291</v>
      </c>
      <c r="K4247" s="2" t="str">
        <f ca="1">IFERROR(__xludf.DUMMYFUNCTION("""COMPUTED_VALUE"""),"1745662454522")</f>
        <v>1745662454522</v>
      </c>
    </row>
    <row r="4248" spans="1:11" ht="12.45">
      <c r="A4248" s="2" t="str">
        <f ca="1">IFERROR(__xludf.DUMMYFUNCTION("""COMPUTED_VALUE"""),"1745662501579")</f>
        <v>1745662501579</v>
      </c>
      <c r="B4248" s="2"/>
      <c r="C4248" s="2" t="str">
        <v>0</v>
      </c>
      <c r="D4248" s="2"/>
      <c r="F4248" s="2" t="str">
        <v>0</v>
      </c>
      <c r="I4248" s="3" t="str">
        <f ca="1">IFERROR(__xludf.DUMMYFUNCTION("""COMPUTED_VALUE"""),"Lê Minh Thuận")</f>
        <v>Lê Minh Thuận</v>
      </c>
      <c r="J4248" s="3" t="str">
        <f ca="1">IFERROR(__xludf.DUMMYFUNCTION("""COMPUTED_VALUE"""),"0987359417")</f>
        <v>0987359417</v>
      </c>
      <c r="K4248" s="2" t="str">
        <f ca="1">IFERROR(__xludf.DUMMYFUNCTION("""COMPUTED_VALUE"""),"1745662501579")</f>
        <v>1745662501579</v>
      </c>
    </row>
    <row r="4249" spans="1:11" ht="12.45">
      <c r="A4249" s="2" t="str">
        <f ca="1">IFERROR(__xludf.DUMMYFUNCTION("""COMPUTED_VALUE"""),"1745662541627")</f>
        <v>1745662541627</v>
      </c>
      <c r="B4249" s="2"/>
      <c r="C4249" s="2" t="str">
        <v>0</v>
      </c>
      <c r="D4249" s="2"/>
      <c r="F4249" s="2" t="str">
        <v>0</v>
      </c>
      <c r="I4249" s="3" t="str">
        <f ca="1">IFERROR(__xludf.DUMMYFUNCTION("""COMPUTED_VALUE"""),"Lê Hoàng Lâm")</f>
        <v>Lê Hoàng Lâm</v>
      </c>
      <c r="J4249" s="3" t="str">
        <f ca="1">IFERROR(__xludf.DUMMYFUNCTION("""COMPUTED_VALUE"""),"0355420807")</f>
        <v>0355420807</v>
      </c>
      <c r="K4249" s="2" t="str">
        <f ca="1">IFERROR(__xludf.DUMMYFUNCTION("""COMPUTED_VALUE"""),"1745662541627")</f>
        <v>1745662541627</v>
      </c>
    </row>
    <row r="4250" spans="1:11" ht="12.45">
      <c r="A4250" s="2" t="str">
        <f ca="1">IFERROR(__xludf.DUMMYFUNCTION("""COMPUTED_VALUE"""),"1745662581804")</f>
        <v>1745662581804</v>
      </c>
      <c r="B4250" s="2"/>
      <c r="C4250" s="2" t="str">
        <v>0</v>
      </c>
      <c r="D4250" s="2"/>
      <c r="F4250" s="2" t="str">
        <v>0</v>
      </c>
      <c r="I4250" s="3" t="str">
        <f ca="1">IFERROR(__xludf.DUMMYFUNCTION("""COMPUTED_VALUE"""),"Bùi Thị Trúc Đào")</f>
        <v>Bùi Thị Trúc Đào</v>
      </c>
      <c r="J4250" s="3" t="str">
        <f ca="1">IFERROR(__xludf.DUMMYFUNCTION("""COMPUTED_VALUE"""),"0938803215")</f>
        <v>0938803215</v>
      </c>
      <c r="K4250" s="2" t="str">
        <f ca="1">IFERROR(__xludf.DUMMYFUNCTION("""COMPUTED_VALUE"""),"1745662581804")</f>
        <v>1745662581804</v>
      </c>
    </row>
    <row r="4251" spans="1:11" ht="12.45">
      <c r="A4251" s="2" t="str">
        <f ca="1">IFERROR(__xludf.DUMMYFUNCTION("""COMPUTED_VALUE"""),"1745662615087")</f>
        <v>1745662615087</v>
      </c>
      <c r="B4251" s="2"/>
      <c r="C4251" s="2" t="str">
        <v>0</v>
      </c>
      <c r="D4251" s="2"/>
      <c r="F4251" s="2" t="str">
        <v>0</v>
      </c>
      <c r="I4251" s="3" t="str">
        <f ca="1">IFERROR(__xludf.DUMMYFUNCTION("""COMPUTED_VALUE"""),"Nguyễn Ngọc Linh")</f>
        <v>Nguyễn Ngọc Linh</v>
      </c>
      <c r="J4251" s="3" t="str">
        <f ca="1">IFERROR(__xludf.DUMMYFUNCTION("""COMPUTED_VALUE"""),"0814554001")</f>
        <v>0814554001</v>
      </c>
      <c r="K4251" s="2" t="str">
        <f ca="1">IFERROR(__xludf.DUMMYFUNCTION("""COMPUTED_VALUE"""),"1745662615087")</f>
        <v>1745662615087</v>
      </c>
    </row>
    <row r="4252" spans="1:11" ht="12.45">
      <c r="A4252" s="2" t="str">
        <f ca="1">IFERROR(__xludf.DUMMYFUNCTION("""COMPUTED_VALUE"""),"1745662644236")</f>
        <v>1745662644236</v>
      </c>
      <c r="B4252" s="2"/>
      <c r="C4252" s="2" t="str">
        <v>0</v>
      </c>
      <c r="D4252" s="2"/>
      <c r="F4252" s="2" t="str">
        <v>0</v>
      </c>
      <c r="I4252" s="3" t="str">
        <f ca="1">IFERROR(__xludf.DUMMYFUNCTION("""COMPUTED_VALUE"""),"Đặng Văn Thành")</f>
        <v>Đặng Văn Thành</v>
      </c>
      <c r="J4252" s="3" t="str">
        <f ca="1">IFERROR(__xludf.DUMMYFUNCTION("""COMPUTED_VALUE"""),"0385844866")</f>
        <v>0385844866</v>
      </c>
      <c r="K4252" s="2" t="str">
        <f ca="1">IFERROR(__xludf.DUMMYFUNCTION("""COMPUTED_VALUE"""),"1745662644236")</f>
        <v>1745662644236</v>
      </c>
    </row>
    <row r="4253" spans="1:11" ht="12.45">
      <c r="A4253" s="2" t="str">
        <f ca="1">IFERROR(__xludf.DUMMYFUNCTION("""COMPUTED_VALUE"""),"1745662679275")</f>
        <v>1745662679275</v>
      </c>
      <c r="B4253" s="2"/>
      <c r="C4253" s="2" t="str">
        <v>0</v>
      </c>
      <c r="D4253" s="2"/>
      <c r="F4253" s="2" t="str">
        <v>0</v>
      </c>
      <c r="I4253" s="3" t="str">
        <f ca="1">IFERROR(__xludf.DUMMYFUNCTION("""COMPUTED_VALUE"""),"Nguyễn Trung Nguyên")</f>
        <v>Nguyễn Trung Nguyên</v>
      </c>
      <c r="J4253" s="3" t="str">
        <f ca="1">IFERROR(__xludf.DUMMYFUNCTION("""COMPUTED_VALUE"""),"0974006783")</f>
        <v>0974006783</v>
      </c>
      <c r="K4253" s="2" t="str">
        <f ca="1">IFERROR(__xludf.DUMMYFUNCTION("""COMPUTED_VALUE"""),"1745662679275")</f>
        <v>1745662679275</v>
      </c>
    </row>
    <row r="4254" spans="1:11" ht="12.45">
      <c r="A4254" s="2" t="str">
        <f ca="1">IFERROR(__xludf.DUMMYFUNCTION("""COMPUTED_VALUE"""),"1745662703501")</f>
        <v>1745662703501</v>
      </c>
      <c r="B4254" s="2"/>
      <c r="C4254" s="2" t="str">
        <v>0</v>
      </c>
      <c r="D4254" s="2"/>
      <c r="F4254" s="2" t="str">
        <v>0</v>
      </c>
      <c r="I4254" s="3" t="str">
        <f ca="1">IFERROR(__xludf.DUMMYFUNCTION("""COMPUTED_VALUE"""),"Vũ Mai Hoa ")</f>
        <v xml:space="preserve">Vũ Mai Hoa </v>
      </c>
      <c r="J4254" s="3" t="str">
        <f ca="1">IFERROR(__xludf.DUMMYFUNCTION("""COMPUTED_VALUE"""),"0961642102")</f>
        <v>0961642102</v>
      </c>
      <c r="K4254" s="2" t="str">
        <f ca="1">IFERROR(__xludf.DUMMYFUNCTION("""COMPUTED_VALUE"""),"1745662703501")</f>
        <v>1745662703501</v>
      </c>
    </row>
    <row r="4255" spans="1:11" ht="12.45">
      <c r="A4255" s="2" t="str">
        <f ca="1">IFERROR(__xludf.DUMMYFUNCTION("""COMPUTED_VALUE"""),"1745662734565")</f>
        <v>1745662734565</v>
      </c>
      <c r="B4255" s="2"/>
      <c r="C4255" s="2" t="str">
        <v>0</v>
      </c>
      <c r="D4255" s="2"/>
      <c r="F4255" s="2" t="str">
        <v>0</v>
      </c>
      <c r="I4255" s="3" t="str">
        <f ca="1">IFERROR(__xludf.DUMMYFUNCTION("""COMPUTED_VALUE"""),"Vũ Thị Hồng Ngọc")</f>
        <v>Vũ Thị Hồng Ngọc</v>
      </c>
      <c r="J4255" s="3" t="str">
        <f ca="1">IFERROR(__xludf.DUMMYFUNCTION("""COMPUTED_VALUE"""),"0896922823")</f>
        <v>0896922823</v>
      </c>
      <c r="K4255" s="2" t="str">
        <f ca="1">IFERROR(__xludf.DUMMYFUNCTION("""COMPUTED_VALUE"""),"1745662734565")</f>
        <v>1745662734565</v>
      </c>
    </row>
    <row r="4256" spans="1:11" ht="12.45">
      <c r="A4256" s="2" t="str">
        <f ca="1">IFERROR(__xludf.DUMMYFUNCTION("""COMPUTED_VALUE"""),"1745662754662")</f>
        <v>1745662754662</v>
      </c>
      <c r="B4256" s="2"/>
      <c r="C4256" s="2" t="str">
        <v>0</v>
      </c>
      <c r="D4256" s="2"/>
      <c r="F4256" s="2" t="str">
        <v>0</v>
      </c>
      <c r="I4256" s="3" t="str">
        <f ca="1">IFERROR(__xludf.DUMMYFUNCTION("""COMPUTED_VALUE"""),"Trần Khánh Linh")</f>
        <v>Trần Khánh Linh</v>
      </c>
      <c r="J4256" s="3" t="str">
        <f ca="1">IFERROR(__xludf.DUMMYFUNCTION("""COMPUTED_VALUE"""),"0328828286")</f>
        <v>0328828286</v>
      </c>
      <c r="K4256" s="2" t="str">
        <f ca="1">IFERROR(__xludf.DUMMYFUNCTION("""COMPUTED_VALUE"""),"1745662754662")</f>
        <v>1745662754662</v>
      </c>
    </row>
    <row r="4257" spans="1:11" ht="12.45">
      <c r="A4257" s="2" t="str">
        <f ca="1">IFERROR(__xludf.DUMMYFUNCTION("""COMPUTED_VALUE"""),"1745662780959")</f>
        <v>1745662780959</v>
      </c>
      <c r="B4257" s="2"/>
      <c r="C4257" s="2" t="str">
        <v>0</v>
      </c>
      <c r="D4257" s="2"/>
      <c r="F4257" s="2" t="str">
        <v>0</v>
      </c>
      <c r="I4257" s="3" t="str">
        <f ca="1">IFERROR(__xludf.DUMMYFUNCTION("""COMPUTED_VALUE"""),"Nguyễn Hoàng Bảo Trâm")</f>
        <v>Nguyễn Hoàng Bảo Trâm</v>
      </c>
      <c r="J4257" s="3" t="str">
        <f ca="1">IFERROR(__xludf.DUMMYFUNCTION("""COMPUTED_VALUE"""),"0373020607")</f>
        <v>0373020607</v>
      </c>
      <c r="K4257" s="2" t="str">
        <f ca="1">IFERROR(__xludf.DUMMYFUNCTION("""COMPUTED_VALUE"""),"1745662780959")</f>
        <v>1745662780959</v>
      </c>
    </row>
    <row r="4258" spans="1:11" ht="12.45">
      <c r="A4258" s="2" t="str">
        <f ca="1">IFERROR(__xludf.DUMMYFUNCTION("""COMPUTED_VALUE"""),"1745662808765")</f>
        <v>1745662808765</v>
      </c>
      <c r="B4258" s="2"/>
      <c r="C4258" s="2" t="str">
        <v>0</v>
      </c>
      <c r="D4258" s="2"/>
      <c r="F4258" s="2" t="str">
        <v>0</v>
      </c>
      <c r="I4258" s="3" t="str">
        <f ca="1">IFERROR(__xludf.DUMMYFUNCTION("""COMPUTED_VALUE"""),"Trương Thị Xuân Quỳnh")</f>
        <v>Trương Thị Xuân Quỳnh</v>
      </c>
      <c r="J4258" s="3" t="str">
        <f ca="1">IFERROR(__xludf.DUMMYFUNCTION("""COMPUTED_VALUE"""),"0356088003")</f>
        <v>0356088003</v>
      </c>
      <c r="K4258" s="2" t="str">
        <f ca="1">IFERROR(__xludf.DUMMYFUNCTION("""COMPUTED_VALUE"""),"1745662808765")</f>
        <v>1745662808765</v>
      </c>
    </row>
    <row r="4259" spans="1:11" ht="12.45">
      <c r="A4259" s="2" t="str">
        <f ca="1">IFERROR(__xludf.DUMMYFUNCTION("""COMPUTED_VALUE"""),"1745662838131")</f>
        <v>1745662838131</v>
      </c>
      <c r="B4259" s="2"/>
      <c r="C4259" s="2" t="str">
        <v>0</v>
      </c>
      <c r="D4259" s="2"/>
      <c r="F4259" s="2" t="str">
        <v>0</v>
      </c>
      <c r="I4259" s="3" t="str">
        <f ca="1">IFERROR(__xludf.DUMMYFUNCTION("""COMPUTED_VALUE"""),"NGÔ THỊ LINH")</f>
        <v>NGÔ THỊ LINH</v>
      </c>
      <c r="J4259" s="3" t="str">
        <f ca="1">IFERROR(__xludf.DUMMYFUNCTION("""COMPUTED_VALUE"""),"0835950449")</f>
        <v>0835950449</v>
      </c>
      <c r="K4259" s="2" t="str">
        <f ca="1">IFERROR(__xludf.DUMMYFUNCTION("""COMPUTED_VALUE"""),"1745662838131")</f>
        <v>1745662838131</v>
      </c>
    </row>
    <row r="4260" spans="1:11" ht="12.45">
      <c r="A4260" s="2" t="str">
        <f ca="1">IFERROR(__xludf.DUMMYFUNCTION("""COMPUTED_VALUE"""),"1745662862122")</f>
        <v>1745662862122</v>
      </c>
      <c r="B4260" s="2"/>
      <c r="C4260" s="2" t="str">
        <v>0</v>
      </c>
      <c r="D4260" s="2"/>
      <c r="F4260" s="2" t="str">
        <v>0</v>
      </c>
      <c r="I4260" s="3" t="str">
        <f ca="1">IFERROR(__xludf.DUMMYFUNCTION("""COMPUTED_VALUE"""),"Lương Thị Chuyên ")</f>
        <v xml:space="preserve">Lương Thị Chuyên </v>
      </c>
      <c r="J4260" s="3" t="str">
        <f ca="1">IFERROR(__xludf.DUMMYFUNCTION("""COMPUTED_VALUE"""),"0865953834")</f>
        <v>0865953834</v>
      </c>
      <c r="K4260" s="2" t="str">
        <f ca="1">IFERROR(__xludf.DUMMYFUNCTION("""COMPUTED_VALUE"""),"1745662862122")</f>
        <v>1745662862122</v>
      </c>
    </row>
    <row r="4261" spans="1:11" ht="12.45">
      <c r="A4261" s="2" t="str">
        <f ca="1">IFERROR(__xludf.DUMMYFUNCTION("""COMPUTED_VALUE"""),"1745662896149")</f>
        <v>1745662896149</v>
      </c>
      <c r="B4261" s="2"/>
      <c r="C4261" s="2" t="str">
        <v>0</v>
      </c>
      <c r="D4261" s="2"/>
      <c r="F4261" s="2" t="str">
        <v>0</v>
      </c>
      <c r="I4261" s="3" t="str">
        <f ca="1">IFERROR(__xludf.DUMMYFUNCTION("""COMPUTED_VALUE"""),"Đỗ Thanh Phương")</f>
        <v>Đỗ Thanh Phương</v>
      </c>
      <c r="J4261" s="3" t="str">
        <f ca="1">IFERROR(__xludf.DUMMYFUNCTION("""COMPUTED_VALUE"""),"0329169499")</f>
        <v>0329169499</v>
      </c>
      <c r="K4261" s="2" t="str">
        <f ca="1">IFERROR(__xludf.DUMMYFUNCTION("""COMPUTED_VALUE"""),"1745662896149")</f>
        <v>1745662896149</v>
      </c>
    </row>
    <row r="4262" spans="1:11" ht="12.45">
      <c r="A4262" s="2" t="str">
        <f ca="1">IFERROR(__xludf.DUMMYFUNCTION("""COMPUTED_VALUE"""),"1745662923296")</f>
        <v>1745662923296</v>
      </c>
      <c r="B4262" s="2"/>
      <c r="C4262" s="2" t="str">
        <v>0</v>
      </c>
      <c r="D4262" s="2"/>
      <c r="F4262" s="2" t="str">
        <v>0</v>
      </c>
      <c r="I4262" s="3" t="str">
        <f ca="1">IFERROR(__xludf.DUMMYFUNCTION("""COMPUTED_VALUE"""),"Lệnh Thế Hưng")</f>
        <v>Lệnh Thế Hưng</v>
      </c>
      <c r="J4262" s="3" t="str">
        <f ca="1">IFERROR(__xludf.DUMMYFUNCTION("""COMPUTED_VALUE"""),"0818079742")</f>
        <v>0818079742</v>
      </c>
      <c r="K4262" s="2" t="str">
        <f ca="1">IFERROR(__xludf.DUMMYFUNCTION("""COMPUTED_VALUE"""),"1745662923296")</f>
        <v>1745662923296</v>
      </c>
    </row>
    <row r="4263" spans="1:11" ht="12.45">
      <c r="A4263" s="2" t="str">
        <f ca="1">IFERROR(__xludf.DUMMYFUNCTION("""COMPUTED_VALUE"""),"1745662954810")</f>
        <v>1745662954810</v>
      </c>
      <c r="B4263" s="2"/>
      <c r="C4263" s="2" t="str">
        <v>0</v>
      </c>
      <c r="D4263" s="2"/>
      <c r="F4263" s="2" t="str">
        <v>0</v>
      </c>
      <c r="I4263" s="3" t="str">
        <f ca="1">IFERROR(__xludf.DUMMYFUNCTION("""COMPUTED_VALUE"""),"Đỗ Dương  Đan Nhi")</f>
        <v>Đỗ Dương  Đan Nhi</v>
      </c>
      <c r="J4263" s="3" t="str">
        <f ca="1">IFERROR(__xludf.DUMMYFUNCTION("""COMPUTED_VALUE"""),"0941305000")</f>
        <v>0941305000</v>
      </c>
      <c r="K4263" s="2" t="str">
        <f ca="1">IFERROR(__xludf.DUMMYFUNCTION("""COMPUTED_VALUE"""),"1745662954810")</f>
        <v>1745662954810</v>
      </c>
    </row>
    <row r="4264" spans="1:11" ht="12.45">
      <c r="A4264" s="2" t="str">
        <f ca="1">IFERROR(__xludf.DUMMYFUNCTION("""COMPUTED_VALUE"""),"1745662980065")</f>
        <v>1745662980065</v>
      </c>
      <c r="B4264" s="2"/>
      <c r="C4264" s="2" t="str">
        <v>0</v>
      </c>
      <c r="D4264" s="2"/>
      <c r="F4264" s="2" t="str">
        <v>0</v>
      </c>
      <c r="I4264" s="3" t="str">
        <f ca="1">IFERROR(__xludf.DUMMYFUNCTION("""COMPUTED_VALUE"""),"Đinh Lưu Mai Trâm")</f>
        <v>Đinh Lưu Mai Trâm</v>
      </c>
      <c r="J4264" s="3" t="str">
        <f ca="1">IFERROR(__xludf.DUMMYFUNCTION("""COMPUTED_VALUE"""),"0933913578")</f>
        <v>0933913578</v>
      </c>
      <c r="K4264" s="2" t="str">
        <f ca="1">IFERROR(__xludf.DUMMYFUNCTION("""COMPUTED_VALUE"""),"1745662980065")</f>
        <v>1745662980065</v>
      </c>
    </row>
    <row r="4265" spans="1:11" ht="12.45">
      <c r="A4265" s="2" t="str">
        <f ca="1">IFERROR(__xludf.DUMMYFUNCTION("""COMPUTED_VALUE"""),"1745663010862")</f>
        <v>1745663010862</v>
      </c>
      <c r="B4265" s="2"/>
      <c r="C4265" s="2" t="str">
        <v>0</v>
      </c>
      <c r="D4265" s="2"/>
      <c r="F4265" s="2" t="str">
        <v>0</v>
      </c>
      <c r="I4265" s="3" t="str">
        <f ca="1">IFERROR(__xludf.DUMMYFUNCTION("""COMPUTED_VALUE"""),"Nguyễn Hà Phúc")</f>
        <v>Nguyễn Hà Phúc</v>
      </c>
      <c r="J4265" s="3" t="str">
        <f ca="1">IFERROR(__xludf.DUMMYFUNCTION("""COMPUTED_VALUE"""),"0343861917")</f>
        <v>0343861917</v>
      </c>
      <c r="K4265" s="2" t="str">
        <f ca="1">IFERROR(__xludf.DUMMYFUNCTION("""COMPUTED_VALUE"""),"1745663010862")</f>
        <v>1745663010862</v>
      </c>
    </row>
    <row r="4266" spans="1:11" ht="12.45">
      <c r="A4266" s="2" t="str">
        <f ca="1">IFERROR(__xludf.DUMMYFUNCTION("""COMPUTED_VALUE"""),"1745663047895")</f>
        <v>1745663047895</v>
      </c>
      <c r="B4266" s="2"/>
      <c r="C4266" s="2" t="str">
        <v>0</v>
      </c>
      <c r="D4266" s="2"/>
      <c r="F4266" s="2" t="str">
        <v>0</v>
      </c>
      <c r="I4266" s="3" t="str">
        <f ca="1">IFERROR(__xludf.DUMMYFUNCTION("""COMPUTED_VALUE"""),"Trần Phương Nghi")</f>
        <v>Trần Phương Nghi</v>
      </c>
      <c r="J4266" s="3" t="str">
        <f ca="1">IFERROR(__xludf.DUMMYFUNCTION("""COMPUTED_VALUE"""),"0832718548")</f>
        <v>0832718548</v>
      </c>
      <c r="K4266" s="2" t="str">
        <f ca="1">IFERROR(__xludf.DUMMYFUNCTION("""COMPUTED_VALUE"""),"1745663047895")</f>
        <v>1745663047895</v>
      </c>
    </row>
    <row r="4267" spans="1:11" ht="12.45">
      <c r="A4267" s="2" t="str">
        <f ca="1">IFERROR(__xludf.DUMMYFUNCTION("""COMPUTED_VALUE"""),"1745663091962")</f>
        <v>1745663091962</v>
      </c>
      <c r="B4267" s="2"/>
      <c r="C4267" s="2" t="str">
        <v>0</v>
      </c>
      <c r="D4267" s="2"/>
      <c r="F4267" s="2" t="str">
        <v>0</v>
      </c>
      <c r="I4267" s="3" t="str">
        <f ca="1">IFERROR(__xludf.DUMMYFUNCTION("""COMPUTED_VALUE"""),"Hoàng Bảo Ninh")</f>
        <v>Hoàng Bảo Ninh</v>
      </c>
      <c r="J4267" s="3" t="str">
        <f ca="1">IFERROR(__xludf.DUMMYFUNCTION("""COMPUTED_VALUE"""),"0373733844")</f>
        <v>0373733844</v>
      </c>
      <c r="K4267" s="2" t="str">
        <f ca="1">IFERROR(__xludf.DUMMYFUNCTION("""COMPUTED_VALUE"""),"1745663091962")</f>
        <v>1745663091962</v>
      </c>
    </row>
    <row r="4268" spans="1:11" ht="12.45">
      <c r="A4268" s="2" t="str">
        <f ca="1">IFERROR(__xludf.DUMMYFUNCTION("""COMPUTED_VALUE"""),"1745663120538")</f>
        <v>1745663120538</v>
      </c>
      <c r="B4268" s="2"/>
      <c r="C4268" s="2" t="str">
        <v>0</v>
      </c>
      <c r="D4268" s="2"/>
      <c r="F4268" s="2" t="str">
        <v>0</v>
      </c>
      <c r="I4268" s="3" t="str">
        <f ca="1">IFERROR(__xludf.DUMMYFUNCTION("""COMPUTED_VALUE"""),"Nguyễn Thị Lệ Quyên ")</f>
        <v xml:space="preserve">Nguyễn Thị Lệ Quyên </v>
      </c>
      <c r="J4268" s="3" t="str">
        <f ca="1">IFERROR(__xludf.DUMMYFUNCTION("""COMPUTED_VALUE"""),"0354363810")</f>
        <v>0354363810</v>
      </c>
      <c r="K4268" s="2" t="str">
        <f ca="1">IFERROR(__xludf.DUMMYFUNCTION("""COMPUTED_VALUE"""),"1745663120538")</f>
        <v>1745663120538</v>
      </c>
    </row>
    <row r="4269" spans="1:11" ht="12.45">
      <c r="A4269" s="2" t="str">
        <f ca="1">IFERROR(__xludf.DUMMYFUNCTION("""COMPUTED_VALUE"""),"1745663146958")</f>
        <v>1745663146958</v>
      </c>
      <c r="B4269" s="2"/>
      <c r="C4269" s="2" t="str">
        <v>0</v>
      </c>
      <c r="D4269" s="2"/>
      <c r="F4269" s="2" t="str">
        <v>0</v>
      </c>
      <c r="I4269" s="3" t="str">
        <f ca="1">IFERROR(__xludf.DUMMYFUNCTION("""COMPUTED_VALUE"""),"Lý Hồng Phát")</f>
        <v>Lý Hồng Phát</v>
      </c>
      <c r="J4269" s="3" t="str">
        <f ca="1">IFERROR(__xludf.DUMMYFUNCTION("""COMPUTED_VALUE"""),"0767731009")</f>
        <v>0767731009</v>
      </c>
      <c r="K4269" s="2" t="str">
        <f ca="1">IFERROR(__xludf.DUMMYFUNCTION("""COMPUTED_VALUE"""),"1745663146958")</f>
        <v>1745663146958</v>
      </c>
    </row>
    <row r="4270" spans="1:11" ht="12.45">
      <c r="A4270" s="2" t="str">
        <f ca="1">IFERROR(__xludf.DUMMYFUNCTION("""COMPUTED_VALUE"""),"1745663172313")</f>
        <v>1745663172313</v>
      </c>
      <c r="B4270" s="2"/>
      <c r="C4270" s="2" t="str">
        <v>0</v>
      </c>
      <c r="D4270" s="2"/>
      <c r="F4270" s="2" t="str">
        <v>0</v>
      </c>
      <c r="I4270" s="3" t="str">
        <f ca="1">IFERROR(__xludf.DUMMYFUNCTION("""COMPUTED_VALUE"""),"Nguyễn Thu Hà")</f>
        <v>Nguyễn Thu Hà</v>
      </c>
      <c r="J4270" s="3" t="str">
        <f ca="1">IFERROR(__xludf.DUMMYFUNCTION("""COMPUTED_VALUE"""),"0353703628")</f>
        <v>0353703628</v>
      </c>
      <c r="K4270" s="2" t="str">
        <f ca="1">IFERROR(__xludf.DUMMYFUNCTION("""COMPUTED_VALUE"""),"1745663172313")</f>
        <v>1745663172313</v>
      </c>
    </row>
    <row r="4271" spans="1:11" ht="12.45">
      <c r="A4271" s="2" t="str">
        <f ca="1">IFERROR(__xludf.DUMMYFUNCTION("""COMPUTED_VALUE"""),"1745663209065")</f>
        <v>1745663209065</v>
      </c>
      <c r="B4271" s="2"/>
      <c r="C4271" s="2" t="str">
        <v>0</v>
      </c>
      <c r="D4271" s="2"/>
      <c r="F4271" s="2" t="str">
        <v>0</v>
      </c>
      <c r="I4271" s="3" t="str">
        <f ca="1">IFERROR(__xludf.DUMMYFUNCTION("""COMPUTED_VALUE"""),"Phạm Thị Thu Hương")</f>
        <v>Phạm Thị Thu Hương</v>
      </c>
      <c r="J4271" s="3" t="str">
        <f ca="1">IFERROR(__xludf.DUMMYFUNCTION("""COMPUTED_VALUE"""),"0854879116")</f>
        <v>0854879116</v>
      </c>
      <c r="K4271" s="2" t="str">
        <f ca="1">IFERROR(__xludf.DUMMYFUNCTION("""COMPUTED_VALUE"""),"1745663209065")</f>
        <v>1745663209065</v>
      </c>
    </row>
    <row r="4272" spans="1:11" ht="12.45">
      <c r="A4272" s="2" t="str">
        <f ca="1">IFERROR(__xludf.DUMMYFUNCTION("""COMPUTED_VALUE"""),"1745663240373")</f>
        <v>1745663240373</v>
      </c>
      <c r="B4272" s="2"/>
      <c r="C4272" s="2" t="str">
        <v>0</v>
      </c>
      <c r="D4272" s="2"/>
      <c r="F4272" s="2" t="str">
        <v>0</v>
      </c>
      <c r="I4272" s="3" t="str">
        <f ca="1">IFERROR(__xludf.DUMMYFUNCTION("""COMPUTED_VALUE"""),"Trần Tuấn Tú")</f>
        <v>Trần Tuấn Tú</v>
      </c>
      <c r="J4272" s="3" t="str">
        <f ca="1">IFERROR(__xludf.DUMMYFUNCTION("""COMPUTED_VALUE"""),"0865749209")</f>
        <v>0865749209</v>
      </c>
      <c r="K4272" s="2" t="str">
        <f ca="1">IFERROR(__xludf.DUMMYFUNCTION("""COMPUTED_VALUE"""),"1745663240373")</f>
        <v>1745663240373</v>
      </c>
    </row>
    <row r="4273" spans="1:11" ht="12.45">
      <c r="A4273" s="2" t="str">
        <f ca="1">IFERROR(__xludf.DUMMYFUNCTION("""COMPUTED_VALUE"""),"1745663265812")</f>
        <v>1745663265812</v>
      </c>
      <c r="B4273" s="2"/>
      <c r="C4273" s="2" t="str">
        <v>0</v>
      </c>
      <c r="D4273" s="2"/>
      <c r="F4273" s="2" t="str">
        <v>0</v>
      </c>
      <c r="I4273" s="3" t="str">
        <f ca="1">IFERROR(__xludf.DUMMYFUNCTION("""COMPUTED_VALUE"""),"Nguyễn Thị Tố Quyên")</f>
        <v>Nguyễn Thị Tố Quyên</v>
      </c>
      <c r="J4273" s="3" t="str">
        <f ca="1">IFERROR(__xludf.DUMMYFUNCTION("""COMPUTED_VALUE"""),"0337212443")</f>
        <v>0337212443</v>
      </c>
      <c r="K4273" s="2" t="str">
        <f ca="1">IFERROR(__xludf.DUMMYFUNCTION("""COMPUTED_VALUE"""),"1745663265812")</f>
        <v>1745663265812</v>
      </c>
    </row>
    <row r="4274" spans="1:11" ht="12.45">
      <c r="A4274" s="2" t="str">
        <f ca="1">IFERROR(__xludf.DUMMYFUNCTION("""COMPUTED_VALUE"""),"1745663295884")</f>
        <v>1745663295884</v>
      </c>
      <c r="B4274" s="2"/>
      <c r="C4274" s="2" t="str">
        <v>0</v>
      </c>
      <c r="D4274" s="2"/>
      <c r="F4274" s="2" t="str">
        <v>0</v>
      </c>
      <c r="I4274" s="3" t="str">
        <f ca="1">IFERROR(__xludf.DUMMYFUNCTION("""COMPUTED_VALUE"""),"Đào Hải Hà")</f>
        <v>Đào Hải Hà</v>
      </c>
      <c r="J4274" s="3" t="str">
        <f ca="1">IFERROR(__xludf.DUMMYFUNCTION("""COMPUTED_VALUE"""),"0387957610")</f>
        <v>0387957610</v>
      </c>
      <c r="K4274" s="2" t="str">
        <f ca="1">IFERROR(__xludf.DUMMYFUNCTION("""COMPUTED_VALUE"""),"1745663295884")</f>
        <v>1745663295884</v>
      </c>
    </row>
    <row r="4275" spans="1:11" ht="12.45">
      <c r="A4275" s="2" t="str">
        <f ca="1">IFERROR(__xludf.DUMMYFUNCTION("""COMPUTED_VALUE"""),"1745663346641")</f>
        <v>1745663346641</v>
      </c>
      <c r="B4275" s="2"/>
      <c r="C4275" s="2" t="str">
        <v>0</v>
      </c>
      <c r="D4275" s="2"/>
      <c r="F4275" s="2" t="str">
        <v>0</v>
      </c>
      <c r="I4275" s="3" t="str">
        <f ca="1">IFERROR(__xludf.DUMMYFUNCTION("""COMPUTED_VALUE"""),"Hoàng Thục Quyên")</f>
        <v>Hoàng Thục Quyên</v>
      </c>
      <c r="J4275" s="3" t="str">
        <f ca="1">IFERROR(__xludf.DUMMYFUNCTION("""COMPUTED_VALUE"""),"0386697151")</f>
        <v>0386697151</v>
      </c>
      <c r="K4275" s="2" t="str">
        <f ca="1">IFERROR(__xludf.DUMMYFUNCTION("""COMPUTED_VALUE"""),"1745663346641")</f>
        <v>1745663346641</v>
      </c>
    </row>
    <row r="4276" spans="1:11" ht="12.45">
      <c r="A4276" s="2">
        <f ca="1">IFERROR(__xludf.DUMMYFUNCTION("""COMPUTED_VALUE"""),1745838916076)</f>
        <v>1745838916076</v>
      </c>
      <c r="B4276" s="2"/>
      <c r="C4276" s="2" t="str">
        <v>0</v>
      </c>
      <c r="D4276" s="2"/>
      <c r="F4276" s="2" t="str">
        <v>0</v>
      </c>
      <c r="I4276" s="3" t="str">
        <f ca="1">IFERROR(__xludf.DUMMYFUNCTION("""COMPUTED_VALUE"""),"Lê Đức Mạnh Anh")</f>
        <v>Lê Đức Mạnh Anh</v>
      </c>
      <c r="J4276" s="3" t="str">
        <f ca="1">IFERROR(__xludf.DUMMYFUNCTION("""COMPUTED_VALUE"""),"0837534678")</f>
        <v>0837534678</v>
      </c>
      <c r="K4276" s="2">
        <f ca="1">IFERROR(__xludf.DUMMYFUNCTION("""COMPUTED_VALUE"""),1745838916076)</f>
        <v>1745838916076</v>
      </c>
    </row>
    <row r="4277" spans="1:11" ht="12.45">
      <c r="A4277" s="2" t="str">
        <f ca="1">IFERROR(__xludf.DUMMYFUNCTION("""COMPUTED_VALUE"""),"1745663386550")</f>
        <v>1745663386550</v>
      </c>
      <c r="B4277" s="2"/>
      <c r="C4277" s="2" t="str">
        <v>0</v>
      </c>
      <c r="D4277" s="2"/>
      <c r="F4277" s="2" t="str">
        <v>0</v>
      </c>
      <c r="I4277" s="3" t="str">
        <f ca="1">IFERROR(__xludf.DUMMYFUNCTION("""COMPUTED_VALUE"""),"Bạch Duy Nhất")</f>
        <v>Bạch Duy Nhất</v>
      </c>
      <c r="J4277" s="2" t="str">
        <f ca="1">IFERROR(__xludf.DUMMYFUNCTION("""COMPUTED_VALUE"""),"0813871457")</f>
        <v>0813871457</v>
      </c>
      <c r="K4277" s="2" t="str">
        <f ca="1">IFERROR(__xludf.DUMMYFUNCTION("""COMPUTED_VALUE"""),"1745663386550")</f>
        <v>1745663386550</v>
      </c>
    </row>
    <row r="4278" spans="1:11" ht="12.45">
      <c r="A4278" s="2" t="str">
        <f ca="1">IFERROR(__xludf.DUMMYFUNCTION("""COMPUTED_VALUE"""),"1745663427704")</f>
        <v>1745663427704</v>
      </c>
      <c r="B4278" s="2"/>
      <c r="C4278" s="2" t="str">
        <v>0</v>
      </c>
      <c r="D4278" s="2"/>
      <c r="F4278" s="2" t="str">
        <v>0</v>
      </c>
      <c r="I4278" s="3" t="str">
        <f ca="1">IFERROR(__xludf.DUMMYFUNCTION("""COMPUTED_VALUE"""),"Nguyễn Thị Tâm")</f>
        <v>Nguyễn Thị Tâm</v>
      </c>
      <c r="J4278" s="3" t="str">
        <f ca="1">IFERROR(__xludf.DUMMYFUNCTION("""COMPUTED_VALUE"""),"0382233938")</f>
        <v>0382233938</v>
      </c>
      <c r="K4278" s="2" t="str">
        <f ca="1">IFERROR(__xludf.DUMMYFUNCTION("""COMPUTED_VALUE"""),"1745663427704")</f>
        <v>1745663427704</v>
      </c>
    </row>
    <row r="4279" spans="1:11" ht="12.45">
      <c r="A4279" s="2" t="str">
        <f ca="1">IFERROR(__xludf.DUMMYFUNCTION("""COMPUTED_VALUE"""),"1754249458392")</f>
        <v>1754249458392</v>
      </c>
      <c r="B4279" s="2"/>
      <c r="C4279" s="2" t="str">
        <v>0</v>
      </c>
      <c r="D4279" s="2"/>
      <c r="F4279" s="2" t="str">
        <v>0</v>
      </c>
      <c r="I4279" s="3" t="str">
        <f ca="1">IFERROR(__xludf.DUMMYFUNCTION("""COMPUTED_VALUE"""),"Lê Thu Hà")</f>
        <v>Lê Thu Hà</v>
      </c>
      <c r="J4279" s="3" t="str">
        <f ca="1">IFERROR(__xludf.DUMMYFUNCTION("""COMPUTED_VALUE"""),"0964548757")</f>
        <v>0964548757</v>
      </c>
      <c r="K4279" s="2" t="str">
        <f ca="1">IFERROR(__xludf.DUMMYFUNCTION("""COMPUTED_VALUE"""),"1754249458392")</f>
        <v>1754249458392</v>
      </c>
    </row>
    <row r="4280" spans="1:11" ht="12.45">
      <c r="A4280" s="2" t="str">
        <f ca="1">IFERROR(__xludf.DUMMYFUNCTION("""COMPUTED_VALUE"""),"1754249516689")</f>
        <v>1754249516689</v>
      </c>
      <c r="B4280" s="2"/>
      <c r="C4280" s="2" t="str">
        <v>0</v>
      </c>
      <c r="D4280" s="2"/>
      <c r="F4280" s="2" t="str">
        <v>0</v>
      </c>
      <c r="I4280" s="3" t="str">
        <f ca="1">IFERROR(__xludf.DUMMYFUNCTION("""COMPUTED_VALUE"""),"Vũ Nguyễn Ngọc Như")</f>
        <v>Vũ Nguyễn Ngọc Như</v>
      </c>
      <c r="J4280" s="3" t="str">
        <f ca="1">IFERROR(__xludf.DUMMYFUNCTION("""COMPUTED_VALUE"""),"0358063339")</f>
        <v>0358063339</v>
      </c>
      <c r="K4280" s="2" t="str">
        <f ca="1">IFERROR(__xludf.DUMMYFUNCTION("""COMPUTED_VALUE"""),"1754249516689")</f>
        <v>1754249516689</v>
      </c>
    </row>
    <row r="4281" spans="1:11" ht="12.45">
      <c r="A4281" s="2" t="str">
        <f ca="1">IFERROR(__xludf.DUMMYFUNCTION("""COMPUTED_VALUE"""),"1754249567450")</f>
        <v>1754249567450</v>
      </c>
      <c r="B4281" s="2"/>
      <c r="C4281" s="2" t="str">
        <v>0</v>
      </c>
      <c r="D4281" s="2"/>
      <c r="F4281" s="2" t="str">
        <v>0</v>
      </c>
      <c r="I4281" s="3" t="str">
        <f ca="1">IFERROR(__xludf.DUMMYFUNCTION("""COMPUTED_VALUE"""),"Phùng trà my")</f>
        <v>Phùng trà my</v>
      </c>
      <c r="J4281" s="3" t="str">
        <f ca="1">IFERROR(__xludf.DUMMYFUNCTION("""COMPUTED_VALUE"""),"0386187095")</f>
        <v>0386187095</v>
      </c>
      <c r="K4281" s="2" t="str">
        <f ca="1">IFERROR(__xludf.DUMMYFUNCTION("""COMPUTED_VALUE"""),"1754249567450")</f>
        <v>1754249567450</v>
      </c>
    </row>
    <row r="4282" spans="1:11" ht="12.45">
      <c r="A4282" s="2" t="str">
        <f ca="1">IFERROR(__xludf.DUMMYFUNCTION("""COMPUTED_VALUE"""),"1754249615242")</f>
        <v>1754249615242</v>
      </c>
      <c r="B4282" s="2"/>
      <c r="C4282" s="2" t="str">
        <v>0</v>
      </c>
      <c r="D4282" s="2"/>
      <c r="F4282" s="2" t="str">
        <v>0</v>
      </c>
      <c r="I4282" s="3" t="str">
        <f ca="1">IFERROR(__xludf.DUMMYFUNCTION("""COMPUTED_VALUE"""),"Trần Duy Thịnh")</f>
        <v>Trần Duy Thịnh</v>
      </c>
      <c r="J4282" s="3" t="str">
        <f ca="1">IFERROR(__xludf.DUMMYFUNCTION("""COMPUTED_VALUE"""),"0969720494")</f>
        <v>0969720494</v>
      </c>
      <c r="K4282" s="2" t="str">
        <f ca="1">IFERROR(__xludf.DUMMYFUNCTION("""COMPUTED_VALUE"""),"1754249615242")</f>
        <v>1754249615242</v>
      </c>
    </row>
    <row r="4283" spans="1:11" ht="12.45">
      <c r="A4283" s="2" t="str">
        <f ca="1">IFERROR(__xludf.DUMMYFUNCTION("""COMPUTED_VALUE"""),"1754249665668")</f>
        <v>1754249665668</v>
      </c>
      <c r="B4283" s="2"/>
      <c r="C4283" s="2" t="str">
        <v>0</v>
      </c>
      <c r="D4283" s="2"/>
      <c r="F4283" s="2" t="str">
        <v>0</v>
      </c>
      <c r="I4283" s="3" t="str">
        <f ca="1">IFERROR(__xludf.DUMMYFUNCTION("""COMPUTED_VALUE"""),"Nguyễn Thị Diệu Ly")</f>
        <v>Nguyễn Thị Diệu Ly</v>
      </c>
      <c r="J4283" s="3" t="str">
        <f ca="1">IFERROR(__xludf.DUMMYFUNCTION("""COMPUTED_VALUE"""),"0342755020")</f>
        <v>0342755020</v>
      </c>
      <c r="K4283" s="2" t="str">
        <f ca="1">IFERROR(__xludf.DUMMYFUNCTION("""COMPUTED_VALUE"""),"1754249665668")</f>
        <v>1754249665668</v>
      </c>
    </row>
    <row r="4284" spans="1:11" ht="12.45">
      <c r="A4284" s="2" t="str">
        <f ca="1">IFERROR(__xludf.DUMMYFUNCTION("""COMPUTED_VALUE"""),"1754249722447")</f>
        <v>1754249722447</v>
      </c>
      <c r="B4284" s="2"/>
      <c r="C4284" s="2" t="str">
        <v>0</v>
      </c>
      <c r="D4284" s="2"/>
      <c r="F4284" s="2" t="str">
        <v>0</v>
      </c>
      <c r="I4284" s="3" t="str">
        <f ca="1">IFERROR(__xludf.DUMMYFUNCTION("""COMPUTED_VALUE"""),"Trần Thị Ngọc Linh ")</f>
        <v xml:space="preserve">Trần Thị Ngọc Linh </v>
      </c>
      <c r="J4284" s="3" t="str">
        <f ca="1">IFERROR(__xludf.DUMMYFUNCTION("""COMPUTED_VALUE"""),"0797169639")</f>
        <v>0797169639</v>
      </c>
      <c r="K4284" s="2" t="str">
        <f ca="1">IFERROR(__xludf.DUMMYFUNCTION("""COMPUTED_VALUE"""),"1754249722447")</f>
        <v>1754249722447</v>
      </c>
    </row>
    <row r="4285" spans="1:11" ht="12.45">
      <c r="A4285" s="2" t="str">
        <f ca="1">IFERROR(__xludf.DUMMYFUNCTION("""COMPUTED_VALUE"""),"1754249775643")</f>
        <v>1754249775643</v>
      </c>
      <c r="B4285" s="2"/>
      <c r="C4285" s="2" t="str">
        <v>0</v>
      </c>
      <c r="D4285" s="2"/>
      <c r="F4285" s="2" t="str">
        <v>0</v>
      </c>
      <c r="I4285" s="3" t="str">
        <f ca="1">IFERROR(__xludf.DUMMYFUNCTION("""COMPUTED_VALUE"""),"Trần Thị Thủy")</f>
        <v>Trần Thị Thủy</v>
      </c>
      <c r="J4285" s="3" t="str">
        <f ca="1">IFERROR(__xludf.DUMMYFUNCTION("""COMPUTED_VALUE"""),"0944601583")</f>
        <v>0944601583</v>
      </c>
      <c r="K4285" s="2" t="str">
        <f ca="1">IFERROR(__xludf.DUMMYFUNCTION("""COMPUTED_VALUE"""),"1754249775643")</f>
        <v>1754249775643</v>
      </c>
    </row>
    <row r="4286" spans="1:11" ht="12.45">
      <c r="A4286" s="2" t="str">
        <f ca="1">IFERROR(__xludf.DUMMYFUNCTION("""COMPUTED_VALUE"""),"1754249846833")</f>
        <v>1754249846833</v>
      </c>
      <c r="B4286" s="2"/>
      <c r="C4286" s="2" t="str">
        <v>0</v>
      </c>
      <c r="D4286" s="2"/>
      <c r="F4286" s="2" t="str">
        <v>0</v>
      </c>
      <c r="I4286" s="3" t="str">
        <f ca="1">IFERROR(__xludf.DUMMYFUNCTION("""COMPUTED_VALUE"""),"Nguyễn Thị Quỳnh ")</f>
        <v xml:space="preserve">Nguyễn Thị Quỳnh </v>
      </c>
      <c r="J4286" s="3" t="str">
        <f ca="1">IFERROR(__xludf.DUMMYFUNCTION("""COMPUTED_VALUE"""),"0965690140")</f>
        <v>0965690140</v>
      </c>
      <c r="K4286" s="2" t="str">
        <f ca="1">IFERROR(__xludf.DUMMYFUNCTION("""COMPUTED_VALUE"""),"1754249846833")</f>
        <v>1754249846833</v>
      </c>
    </row>
    <row r="4287" spans="1:11" ht="12.45">
      <c r="A4287" s="2" t="str">
        <f ca="1">IFERROR(__xludf.DUMMYFUNCTION("""COMPUTED_VALUE"""),"1754249887773")</f>
        <v>1754249887773</v>
      </c>
      <c r="B4287" s="2"/>
      <c r="C4287" s="2" t="str">
        <v>0</v>
      </c>
      <c r="D4287" s="2"/>
      <c r="F4287" s="2" t="str">
        <v>0</v>
      </c>
      <c r="I4287" s="3" t="str">
        <f ca="1">IFERROR(__xludf.DUMMYFUNCTION("""COMPUTED_VALUE"""),"Đặng Lê Trà Giang")</f>
        <v>Đặng Lê Trà Giang</v>
      </c>
      <c r="J4287" s="3" t="str">
        <f ca="1">IFERROR(__xludf.DUMMYFUNCTION("""COMPUTED_VALUE"""),"0968991823")</f>
        <v>0968991823</v>
      </c>
      <c r="K4287" s="2" t="str">
        <f ca="1">IFERROR(__xludf.DUMMYFUNCTION("""COMPUTED_VALUE"""),"1754249887773")</f>
        <v>1754249887773</v>
      </c>
    </row>
    <row r="4288" spans="1:11" ht="12.45">
      <c r="A4288" s="2" t="str">
        <f ca="1">IFERROR(__xludf.DUMMYFUNCTION("""COMPUTED_VALUE"""),"1754249946860")</f>
        <v>1754249946860</v>
      </c>
      <c r="B4288" s="2"/>
      <c r="C4288" s="2" t="str">
        <v>0</v>
      </c>
      <c r="D4288" s="2"/>
      <c r="F4288" s="2" t="str">
        <v>0</v>
      </c>
      <c r="I4288" s="3" t="str">
        <f ca="1">IFERROR(__xludf.DUMMYFUNCTION("""COMPUTED_VALUE"""),"Nguyễn Huyền Vy")</f>
        <v>Nguyễn Huyền Vy</v>
      </c>
      <c r="J4288" s="3" t="str">
        <f ca="1">IFERROR(__xludf.DUMMYFUNCTION("""COMPUTED_VALUE"""),"0362358750")</f>
        <v>0362358750</v>
      </c>
      <c r="K4288" s="2" t="str">
        <f ca="1">IFERROR(__xludf.DUMMYFUNCTION("""COMPUTED_VALUE"""),"1754249946860")</f>
        <v>1754249946860</v>
      </c>
    </row>
    <row r="4289" spans="1:11" ht="12.45">
      <c r="A4289" s="2" t="str">
        <f ca="1">IFERROR(__xludf.DUMMYFUNCTION("""COMPUTED_VALUE"""),"1754250013915")</f>
        <v>1754250013915</v>
      </c>
      <c r="B4289" s="2"/>
      <c r="C4289" s="2" t="str">
        <v>0</v>
      </c>
      <c r="D4289" s="2"/>
      <c r="F4289" s="2" t="str">
        <v>0</v>
      </c>
      <c r="I4289" s="3" t="str">
        <f ca="1">IFERROR(__xludf.DUMMYFUNCTION("""COMPUTED_VALUE"""),"nguyễn trần minh hiếu")</f>
        <v>nguyễn trần minh hiếu</v>
      </c>
      <c r="J4289" s="3" t="str">
        <f ca="1">IFERROR(__xludf.DUMMYFUNCTION("""COMPUTED_VALUE"""),"0946766477")</f>
        <v>0946766477</v>
      </c>
      <c r="K4289" s="2" t="str">
        <f ca="1">IFERROR(__xludf.DUMMYFUNCTION("""COMPUTED_VALUE"""),"1754250013915")</f>
        <v>1754250013915</v>
      </c>
    </row>
    <row r="4290" spans="1:11" ht="12.45">
      <c r="A4290" s="2" t="str">
        <f ca="1">IFERROR(__xludf.DUMMYFUNCTION("""COMPUTED_VALUE"""),"1754250077746")</f>
        <v>1754250077746</v>
      </c>
      <c r="B4290" s="2"/>
      <c r="C4290" s="2" t="str">
        <v>0</v>
      </c>
      <c r="D4290" s="2"/>
      <c r="F4290" s="2" t="str">
        <v>0</v>
      </c>
      <c r="I4290" s="3" t="str">
        <f ca="1">IFERROR(__xludf.DUMMYFUNCTION("""COMPUTED_VALUE"""),"Trần Lê Khánh Linh")</f>
        <v>Trần Lê Khánh Linh</v>
      </c>
      <c r="J4290" s="3" t="str">
        <f ca="1">IFERROR(__xludf.DUMMYFUNCTION("""COMPUTED_VALUE"""),"0838221644")</f>
        <v>0838221644</v>
      </c>
      <c r="K4290" s="2" t="str">
        <f ca="1">IFERROR(__xludf.DUMMYFUNCTION("""COMPUTED_VALUE"""),"1754250077746")</f>
        <v>1754250077746</v>
      </c>
    </row>
    <row r="4291" spans="1:11" ht="12.45">
      <c r="A4291" s="2" t="str">
        <f ca="1">IFERROR(__xludf.DUMMYFUNCTION("""COMPUTED_VALUE"""),"1754250174261")</f>
        <v>1754250174261</v>
      </c>
      <c r="B4291" s="2"/>
      <c r="C4291" s="2" t="str">
        <v>0</v>
      </c>
      <c r="D4291" s="2"/>
      <c r="F4291" s="2" t="str">
        <v>0</v>
      </c>
      <c r="I4291" s="3" t="str">
        <f ca="1">IFERROR(__xludf.DUMMYFUNCTION("""COMPUTED_VALUE"""),"Nguyễn Thị Thanh Thảo")</f>
        <v>Nguyễn Thị Thanh Thảo</v>
      </c>
      <c r="J4291" s="3" t="str">
        <f ca="1">IFERROR(__xludf.DUMMYFUNCTION("""COMPUTED_VALUE"""),"0866752263")</f>
        <v>0866752263</v>
      </c>
      <c r="K4291" s="2" t="str">
        <f ca="1">IFERROR(__xludf.DUMMYFUNCTION("""COMPUTED_VALUE"""),"1754250174261")</f>
        <v>1754250174261</v>
      </c>
    </row>
    <row r="4292" spans="1:11" ht="12.45">
      <c r="A4292" s="2" t="str">
        <f ca="1">IFERROR(__xludf.DUMMYFUNCTION("""COMPUTED_VALUE"""),"1754250261839")</f>
        <v>1754250261839</v>
      </c>
      <c r="B4292" s="2"/>
      <c r="C4292" s="2" t="str">
        <v>0</v>
      </c>
      <c r="D4292" s="2"/>
      <c r="F4292" s="2" t="str">
        <v>0</v>
      </c>
      <c r="I4292" s="3" t="str">
        <f ca="1">IFERROR(__xludf.DUMMYFUNCTION("""COMPUTED_VALUE"""),"Tường Khánh Linh")</f>
        <v>Tường Khánh Linh</v>
      </c>
      <c r="J4292" s="3" t="str">
        <f ca="1">IFERROR(__xludf.DUMMYFUNCTION("""COMPUTED_VALUE"""),"0977927876")</f>
        <v>0977927876</v>
      </c>
      <c r="K4292" s="2" t="str">
        <f ca="1">IFERROR(__xludf.DUMMYFUNCTION("""COMPUTED_VALUE"""),"1754250261839")</f>
        <v>1754250261839</v>
      </c>
    </row>
    <row r="4293" spans="1:11" ht="12.45">
      <c r="A4293" s="2" t="str">
        <f ca="1">IFERROR(__xludf.DUMMYFUNCTION("""COMPUTED_VALUE"""),"1754250326311")</f>
        <v>1754250326311</v>
      </c>
      <c r="B4293" s="2"/>
      <c r="C4293" s="2" t="str">
        <v>0</v>
      </c>
      <c r="D4293" s="2"/>
      <c r="F4293" s="2" t="str">
        <v>0</v>
      </c>
      <c r="I4293" s="3" t="str">
        <f ca="1">IFERROR(__xludf.DUMMYFUNCTION("""COMPUTED_VALUE"""),"Hoàng Phương Linh ")</f>
        <v xml:space="preserve">Hoàng Phương Linh </v>
      </c>
      <c r="J4293" s="3" t="str">
        <f ca="1">IFERROR(__xludf.DUMMYFUNCTION("""COMPUTED_VALUE"""),"0984568949")</f>
        <v>0984568949</v>
      </c>
      <c r="K4293" s="2" t="str">
        <f ca="1">IFERROR(__xludf.DUMMYFUNCTION("""COMPUTED_VALUE"""),"1754250326311")</f>
        <v>1754250326311</v>
      </c>
    </row>
    <row r="4294" spans="1:11" ht="12.45">
      <c r="A4294" s="2" t="str">
        <f ca="1">IFERROR(__xludf.DUMMYFUNCTION("""COMPUTED_VALUE"""),"1754250410699")</f>
        <v>1754250410699</v>
      </c>
      <c r="B4294" s="2"/>
      <c r="C4294" s="2" t="str">
        <v>0</v>
      </c>
      <c r="D4294" s="2"/>
      <c r="F4294" s="2" t="str">
        <v>0</v>
      </c>
      <c r="I4294" s="3" t="str">
        <f ca="1">IFERROR(__xludf.DUMMYFUNCTION("""COMPUTED_VALUE"""),"Phạm Thị Tâm")</f>
        <v>Phạm Thị Tâm</v>
      </c>
      <c r="J4294" s="3" t="str">
        <f ca="1">IFERROR(__xludf.DUMMYFUNCTION("""COMPUTED_VALUE"""),"0355000551")</f>
        <v>0355000551</v>
      </c>
      <c r="K4294" s="2" t="str">
        <f ca="1">IFERROR(__xludf.DUMMYFUNCTION("""COMPUTED_VALUE"""),"1754250410699")</f>
        <v>1754250410699</v>
      </c>
    </row>
    <row r="4295" spans="1:11" ht="12.45">
      <c r="A4295" s="2" t="str">
        <f ca="1">IFERROR(__xludf.DUMMYFUNCTION("""COMPUTED_VALUE"""),"1754250456990")</f>
        <v>1754250456990</v>
      </c>
      <c r="B4295" s="2"/>
      <c r="C4295" s="2" t="str">
        <v>0</v>
      </c>
      <c r="D4295" s="2"/>
      <c r="F4295" s="2" t="str">
        <v>0</v>
      </c>
      <c r="I4295" s="3" t="str">
        <f ca="1">IFERROR(__xludf.DUMMYFUNCTION("""COMPUTED_VALUE"""),"Nguyễn Hương Trà")</f>
        <v>Nguyễn Hương Trà</v>
      </c>
      <c r="J4295" s="3" t="str">
        <f ca="1">IFERROR(__xludf.DUMMYFUNCTION("""COMPUTED_VALUE"""),"0372707795")</f>
        <v>0372707795</v>
      </c>
      <c r="K4295" s="2" t="str">
        <f ca="1">IFERROR(__xludf.DUMMYFUNCTION("""COMPUTED_VALUE"""),"1754250456990")</f>
        <v>1754250456990</v>
      </c>
    </row>
    <row r="4296" spans="1:11" ht="12.45">
      <c r="A4296" s="2" t="str">
        <f ca="1">IFERROR(__xludf.DUMMYFUNCTION("""COMPUTED_VALUE"""),"1754250496308")</f>
        <v>1754250496308</v>
      </c>
      <c r="B4296" s="2"/>
      <c r="C4296" s="2" t="str">
        <v>0</v>
      </c>
      <c r="D4296" s="2"/>
      <c r="F4296" s="2" t="str">
        <v>0</v>
      </c>
      <c r="I4296" s="3" t="str">
        <f ca="1">IFERROR(__xludf.DUMMYFUNCTION("""COMPUTED_VALUE"""),"Nguyễn Vũ Thảo Nguyên ")</f>
        <v xml:space="preserve">Nguyễn Vũ Thảo Nguyên </v>
      </c>
      <c r="J4296" s="3" t="str">
        <f ca="1">IFERROR(__xludf.DUMMYFUNCTION("""COMPUTED_VALUE"""),"0376323644")</f>
        <v>0376323644</v>
      </c>
      <c r="K4296" s="2" t="str">
        <f ca="1">IFERROR(__xludf.DUMMYFUNCTION("""COMPUTED_VALUE"""),"1754250496308")</f>
        <v>1754250496308</v>
      </c>
    </row>
    <row r="4297" spans="1:11" ht="12.45">
      <c r="A4297" s="2" t="str">
        <f ca="1">IFERROR(__xludf.DUMMYFUNCTION("""COMPUTED_VALUE"""),"1754250556576")</f>
        <v>1754250556576</v>
      </c>
      <c r="B4297" s="2"/>
      <c r="C4297" s="2" t="str">
        <v>0</v>
      </c>
      <c r="D4297" s="2"/>
      <c r="F4297" s="2" t="str">
        <v>0</v>
      </c>
      <c r="I4297" s="3" t="str">
        <f ca="1">IFERROR(__xludf.DUMMYFUNCTION("""COMPUTED_VALUE"""),"Trần Thiên Trang")</f>
        <v>Trần Thiên Trang</v>
      </c>
      <c r="J4297" s="3" t="str">
        <f ca="1">IFERROR(__xludf.DUMMYFUNCTION("""COMPUTED_VALUE"""),"0918028258")</f>
        <v>0918028258</v>
      </c>
      <c r="K4297" s="2" t="str">
        <f ca="1">IFERROR(__xludf.DUMMYFUNCTION("""COMPUTED_VALUE"""),"1754250556576")</f>
        <v>1754250556576</v>
      </c>
    </row>
    <row r="4298" spans="1:11" ht="12.45">
      <c r="A4298" s="2" t="str">
        <f ca="1">IFERROR(__xludf.DUMMYFUNCTION("""COMPUTED_VALUE"""),"1754250618439")</f>
        <v>1754250618439</v>
      </c>
      <c r="B4298" s="2"/>
      <c r="C4298" s="2" t="str">
        <v>0</v>
      </c>
      <c r="D4298" s="2"/>
      <c r="F4298" s="2" t="str">
        <v>0</v>
      </c>
      <c r="I4298" s="3" t="str">
        <f ca="1">IFERROR(__xludf.DUMMYFUNCTION("""COMPUTED_VALUE"""),"Nguyễn Vọng Hằng Phương")</f>
        <v>Nguyễn Vọng Hằng Phương</v>
      </c>
      <c r="J4298" s="3" t="str">
        <f ca="1">IFERROR(__xludf.DUMMYFUNCTION("""COMPUTED_VALUE"""),"0962425164")</f>
        <v>0962425164</v>
      </c>
      <c r="K4298" s="2" t="str">
        <f ca="1">IFERROR(__xludf.DUMMYFUNCTION("""COMPUTED_VALUE"""),"1754250618439")</f>
        <v>1754250618439</v>
      </c>
    </row>
    <row r="4299" spans="1:11" ht="12.45">
      <c r="A4299" s="2" t="str">
        <f ca="1">IFERROR(__xludf.DUMMYFUNCTION("""COMPUTED_VALUE"""),"1754250676321")</f>
        <v>1754250676321</v>
      </c>
      <c r="B4299" s="2"/>
      <c r="C4299" s="2" t="str">
        <v>0</v>
      </c>
      <c r="D4299" s="2"/>
      <c r="F4299" s="2" t="str">
        <v>0</v>
      </c>
      <c r="I4299" s="3" t="str">
        <f ca="1">IFERROR(__xludf.DUMMYFUNCTION("""COMPUTED_VALUE"""),"Nguyễn Hà My")</f>
        <v>Nguyễn Hà My</v>
      </c>
      <c r="J4299" s="3" t="str">
        <f ca="1">IFERROR(__xludf.DUMMYFUNCTION("""COMPUTED_VALUE"""),"0852881789")</f>
        <v>0852881789</v>
      </c>
      <c r="K4299" s="2" t="str">
        <f ca="1">IFERROR(__xludf.DUMMYFUNCTION("""COMPUTED_VALUE"""),"1754250676321")</f>
        <v>1754250676321</v>
      </c>
    </row>
    <row r="4300" spans="1:11" ht="12.45">
      <c r="A4300" s="2" t="str">
        <f ca="1">IFERROR(__xludf.DUMMYFUNCTION("""COMPUTED_VALUE"""),"1754250759506")</f>
        <v>1754250759506</v>
      </c>
      <c r="B4300" s="2"/>
      <c r="C4300" s="2" t="str">
        <v>0</v>
      </c>
      <c r="D4300" s="2"/>
      <c r="F4300" s="2" t="str">
        <v>0</v>
      </c>
      <c r="I4300" s="3" t="str">
        <f ca="1">IFERROR(__xludf.DUMMYFUNCTION("""COMPUTED_VALUE"""),"Phạm Văn Khanh")</f>
        <v>Phạm Văn Khanh</v>
      </c>
      <c r="J4300" s="3" t="str">
        <f ca="1">IFERROR(__xludf.DUMMYFUNCTION("""COMPUTED_VALUE"""),"0967441035")</f>
        <v>0967441035</v>
      </c>
      <c r="K4300" s="2" t="str">
        <f ca="1">IFERROR(__xludf.DUMMYFUNCTION("""COMPUTED_VALUE"""),"1754250759506")</f>
        <v>1754250759506</v>
      </c>
    </row>
    <row r="4301" spans="1:11" ht="12.45">
      <c r="A4301" s="2" t="str">
        <f ca="1">IFERROR(__xludf.DUMMYFUNCTION("""COMPUTED_VALUE"""),"1754250870636")</f>
        <v>1754250870636</v>
      </c>
      <c r="B4301" s="2"/>
      <c r="C4301" s="2" t="str">
        <v>0</v>
      </c>
      <c r="D4301" s="2"/>
      <c r="F4301" s="2" t="str">
        <v>0</v>
      </c>
      <c r="I4301" s="3" t="str">
        <f ca="1">IFERROR(__xludf.DUMMYFUNCTION("""COMPUTED_VALUE"""),"Nguyễn Ngọc Hải ")</f>
        <v xml:space="preserve">Nguyễn Ngọc Hải </v>
      </c>
      <c r="J4301" s="3" t="str">
        <f ca="1">IFERROR(__xludf.DUMMYFUNCTION("""COMPUTED_VALUE"""),"0945393557")</f>
        <v>0945393557</v>
      </c>
      <c r="K4301" s="2" t="str">
        <f ca="1">IFERROR(__xludf.DUMMYFUNCTION("""COMPUTED_VALUE"""),"1754250870636")</f>
        <v>1754250870636</v>
      </c>
    </row>
    <row r="4302" spans="1:11" ht="12.45">
      <c r="A4302" s="2" t="str">
        <f ca="1">IFERROR(__xludf.DUMMYFUNCTION("""COMPUTED_VALUE"""),"1754250966366")</f>
        <v>1754250966366</v>
      </c>
      <c r="B4302" s="2"/>
      <c r="C4302" s="2" t="str">
        <v>0</v>
      </c>
      <c r="D4302" s="2"/>
      <c r="F4302" s="2" t="str">
        <v>0</v>
      </c>
      <c r="I4302" s="3" t="str">
        <f ca="1">IFERROR(__xludf.DUMMYFUNCTION("""COMPUTED_VALUE"""),"Nguyễn Viết Duy")</f>
        <v>Nguyễn Viết Duy</v>
      </c>
      <c r="J4302" s="3" t="str">
        <f ca="1">IFERROR(__xludf.DUMMYFUNCTION("""COMPUTED_VALUE"""),"0963412559")</f>
        <v>0963412559</v>
      </c>
      <c r="K4302" s="2" t="str">
        <f ca="1">IFERROR(__xludf.DUMMYFUNCTION("""COMPUTED_VALUE"""),"1754250966366")</f>
        <v>1754250966366</v>
      </c>
    </row>
    <row r="4303" spans="1:11" ht="12.45">
      <c r="A4303" s="2" t="str">
        <f ca="1">IFERROR(__xludf.DUMMYFUNCTION("""COMPUTED_VALUE"""),"1754251036864")</f>
        <v>1754251036864</v>
      </c>
      <c r="B4303" s="2"/>
      <c r="C4303" s="2" t="str">
        <v>0</v>
      </c>
      <c r="D4303" s="2"/>
      <c r="F4303" s="2" t="str">
        <v>0</v>
      </c>
      <c r="I4303" s="3" t="str">
        <f ca="1">IFERROR(__xludf.DUMMYFUNCTION("""COMPUTED_VALUE"""),"Võ Tô Khánh Nhi ")</f>
        <v xml:space="preserve">Võ Tô Khánh Nhi </v>
      </c>
      <c r="J4303" s="3" t="str">
        <f ca="1">IFERROR(__xludf.DUMMYFUNCTION("""COMPUTED_VALUE"""),"0775591117")</f>
        <v>0775591117</v>
      </c>
      <c r="K4303" s="2" t="str">
        <f ca="1">IFERROR(__xludf.DUMMYFUNCTION("""COMPUTED_VALUE"""),"1754251036864")</f>
        <v>1754251036864</v>
      </c>
    </row>
    <row r="4304" spans="1:11" ht="12.45">
      <c r="A4304" s="2" t="str">
        <f ca="1">IFERROR(__xludf.DUMMYFUNCTION("""COMPUTED_VALUE"""),"1754251083534")</f>
        <v>1754251083534</v>
      </c>
      <c r="B4304" s="2"/>
      <c r="C4304" s="2" t="str">
        <v>0</v>
      </c>
      <c r="D4304" s="2"/>
      <c r="F4304" s="2" t="str">
        <v>0</v>
      </c>
      <c r="I4304" s="3" t="str">
        <f ca="1">IFERROR(__xludf.DUMMYFUNCTION("""COMPUTED_VALUE"""),"Nguyễn Thái Gia Bảo")</f>
        <v>Nguyễn Thái Gia Bảo</v>
      </c>
      <c r="J4304" s="3" t="str">
        <f ca="1">IFERROR(__xludf.DUMMYFUNCTION("""COMPUTED_VALUE"""),"0375344672")</f>
        <v>0375344672</v>
      </c>
      <c r="K4304" s="2" t="str">
        <f ca="1">IFERROR(__xludf.DUMMYFUNCTION("""COMPUTED_VALUE"""),"1754251083534")</f>
        <v>1754251083534</v>
      </c>
    </row>
    <row r="4305" spans="1:11" ht="12.45">
      <c r="A4305" s="2" t="str">
        <f ca="1">IFERROR(__xludf.DUMMYFUNCTION("""COMPUTED_VALUE"""),"1754251160678")</f>
        <v>1754251160678</v>
      </c>
      <c r="B4305" s="2"/>
      <c r="C4305" s="2" t="str">
        <v>0</v>
      </c>
      <c r="D4305" s="2"/>
      <c r="F4305" s="2" t="str">
        <v>0</v>
      </c>
      <c r="I4305" s="3" t="str">
        <f ca="1">IFERROR(__xludf.DUMMYFUNCTION("""COMPUTED_VALUE"""),"Trương Thị kiều linh ")</f>
        <v xml:space="preserve">Trương Thị kiều linh </v>
      </c>
      <c r="J4305" s="3" t="str">
        <f ca="1">IFERROR(__xludf.DUMMYFUNCTION("""COMPUTED_VALUE"""),"0325584882")</f>
        <v>0325584882</v>
      </c>
      <c r="K4305" s="2" t="str">
        <f ca="1">IFERROR(__xludf.DUMMYFUNCTION("""COMPUTED_VALUE"""),"1754251160678")</f>
        <v>1754251160678</v>
      </c>
    </row>
    <row r="4306" spans="1:11" ht="12.45">
      <c r="A4306" s="2" t="str">
        <f ca="1">IFERROR(__xludf.DUMMYFUNCTION("""COMPUTED_VALUE"""),"1754251205748")</f>
        <v>1754251205748</v>
      </c>
      <c r="B4306" s="2"/>
      <c r="C4306" s="2" t="str">
        <v>0</v>
      </c>
      <c r="D4306" s="2"/>
      <c r="F4306" s="2" t="str">
        <v>0</v>
      </c>
      <c r="I4306" s="3" t="str">
        <f ca="1">IFERROR(__xludf.DUMMYFUNCTION("""COMPUTED_VALUE"""),"Nguyễn Minh Phong")</f>
        <v>Nguyễn Minh Phong</v>
      </c>
      <c r="J4306" s="3" t="str">
        <f ca="1">IFERROR(__xludf.DUMMYFUNCTION("""COMPUTED_VALUE"""),"0379298055")</f>
        <v>0379298055</v>
      </c>
      <c r="K4306" s="2" t="str">
        <f ca="1">IFERROR(__xludf.DUMMYFUNCTION("""COMPUTED_VALUE"""),"1754251205748")</f>
        <v>1754251205748</v>
      </c>
    </row>
    <row r="4307" spans="1:11" ht="12.45">
      <c r="A4307" s="2" t="str">
        <f ca="1">IFERROR(__xludf.DUMMYFUNCTION("""COMPUTED_VALUE"""),"1754251259388")</f>
        <v>1754251259388</v>
      </c>
      <c r="B4307" s="2"/>
      <c r="C4307" s="2" t="str">
        <v>0</v>
      </c>
      <c r="D4307" s="2"/>
      <c r="F4307" s="2" t="str">
        <v>0</v>
      </c>
      <c r="I4307" s="3" t="str">
        <f ca="1">IFERROR(__xludf.DUMMYFUNCTION("""COMPUTED_VALUE"""),"Nguyễn Thị Thanh Mai ")</f>
        <v xml:space="preserve">Nguyễn Thị Thanh Mai </v>
      </c>
      <c r="J4307" s="3" t="str">
        <f ca="1">IFERROR(__xludf.DUMMYFUNCTION("""COMPUTED_VALUE"""),"0343699799")</f>
        <v>0343699799</v>
      </c>
      <c r="K4307" s="2" t="str">
        <f ca="1">IFERROR(__xludf.DUMMYFUNCTION("""COMPUTED_VALUE"""),"1754251259388")</f>
        <v>1754251259388</v>
      </c>
    </row>
    <row r="4308" spans="1:11" ht="12.45">
      <c r="A4308" s="2" t="str">
        <f ca="1">IFERROR(__xludf.DUMMYFUNCTION("""COMPUTED_VALUE"""),"1754251332829")</f>
        <v>1754251332829</v>
      </c>
      <c r="B4308" s="2"/>
      <c r="C4308" s="2" t="str">
        <v>0</v>
      </c>
      <c r="D4308" s="2"/>
      <c r="F4308" s="2" t="str">
        <v>0</v>
      </c>
      <c r="I4308" s="3" t="str">
        <f ca="1">IFERROR(__xludf.DUMMYFUNCTION("""COMPUTED_VALUE"""),"Trần Ánh Dương")</f>
        <v>Trần Ánh Dương</v>
      </c>
      <c r="J4308" s="3" t="str">
        <f ca="1">IFERROR(__xludf.DUMMYFUNCTION("""COMPUTED_VALUE"""),"0392234068")</f>
        <v>0392234068</v>
      </c>
      <c r="K4308" s="2" t="str">
        <f ca="1">IFERROR(__xludf.DUMMYFUNCTION("""COMPUTED_VALUE"""),"1754251332829")</f>
        <v>1754251332829</v>
      </c>
    </row>
    <row r="4309" spans="1:11" ht="12.45">
      <c r="A4309" s="2" t="str">
        <f ca="1">IFERROR(__xludf.DUMMYFUNCTION("""COMPUTED_VALUE"""),"1754251410033")</f>
        <v>1754251410033</v>
      </c>
      <c r="B4309" s="2"/>
      <c r="C4309" s="2" t="str">
        <v>0</v>
      </c>
      <c r="D4309" s="2"/>
      <c r="F4309" s="2" t="str">
        <v>0</v>
      </c>
      <c r="I4309" s="3" t="str">
        <f ca="1">IFERROR(__xludf.DUMMYFUNCTION("""COMPUTED_VALUE"""),"Nguyễn Thị Thanh Huyền")</f>
        <v>Nguyễn Thị Thanh Huyền</v>
      </c>
      <c r="J4309" s="3" t="str">
        <f ca="1">IFERROR(__xludf.DUMMYFUNCTION("""COMPUTED_VALUE"""),"0345320513")</f>
        <v>0345320513</v>
      </c>
      <c r="K4309" s="2" t="str">
        <f ca="1">IFERROR(__xludf.DUMMYFUNCTION("""COMPUTED_VALUE"""),"1754251410033")</f>
        <v>1754251410033</v>
      </c>
    </row>
    <row r="4310" spans="1:11" ht="12.45">
      <c r="A4310" s="2" t="str">
        <f ca="1">IFERROR(__xludf.DUMMYFUNCTION("""COMPUTED_VALUE"""),"1754251466584")</f>
        <v>1754251466584</v>
      </c>
      <c r="B4310" s="2"/>
      <c r="C4310" s="2" t="str">
        <v>0</v>
      </c>
      <c r="D4310" s="2"/>
      <c r="F4310" s="2" t="str">
        <v>0</v>
      </c>
      <c r="I4310" s="3" t="str">
        <f ca="1">IFERROR(__xludf.DUMMYFUNCTION("""COMPUTED_VALUE"""),"Lê Thị Khánh Linh")</f>
        <v>Lê Thị Khánh Linh</v>
      </c>
      <c r="J4310" s="3" t="str">
        <f ca="1">IFERROR(__xludf.DUMMYFUNCTION("""COMPUTED_VALUE"""),"0355027589")</f>
        <v>0355027589</v>
      </c>
      <c r="K4310" s="2" t="str">
        <f ca="1">IFERROR(__xludf.DUMMYFUNCTION("""COMPUTED_VALUE"""),"1754251466584")</f>
        <v>1754251466584</v>
      </c>
    </row>
    <row r="4311" spans="1:11" ht="12.45">
      <c r="A4311" s="2" t="str">
        <f ca="1">IFERROR(__xludf.DUMMYFUNCTION("""COMPUTED_VALUE"""),"1754251504010")</f>
        <v>1754251504010</v>
      </c>
      <c r="B4311" s="2"/>
      <c r="C4311" s="2" t="str">
        <v>0</v>
      </c>
      <c r="D4311" s="2"/>
      <c r="F4311" s="2" t="str">
        <v>0</v>
      </c>
      <c r="I4311" s="3" t="str">
        <f ca="1">IFERROR(__xludf.DUMMYFUNCTION("""COMPUTED_VALUE"""),"Vũ Thị Phương Anh")</f>
        <v>Vũ Thị Phương Anh</v>
      </c>
      <c r="J4311" s="3" t="str">
        <f ca="1">IFERROR(__xludf.DUMMYFUNCTION("""COMPUTED_VALUE"""),"0373207498")</f>
        <v>0373207498</v>
      </c>
      <c r="K4311" s="2" t="str">
        <f ca="1">IFERROR(__xludf.DUMMYFUNCTION("""COMPUTED_VALUE"""),"1754251504010")</f>
        <v>1754251504010</v>
      </c>
    </row>
    <row r="4312" spans="1:11" ht="12.45">
      <c r="A4312" s="2" t="str">
        <f ca="1">IFERROR(__xludf.DUMMYFUNCTION("""COMPUTED_VALUE"""),"1754251544784")</f>
        <v>1754251544784</v>
      </c>
      <c r="B4312" s="2"/>
      <c r="C4312" s="2" t="str">
        <v>0</v>
      </c>
      <c r="D4312" s="2"/>
      <c r="F4312" s="2" t="str">
        <v>0</v>
      </c>
      <c r="I4312" s="3" t="str">
        <f ca="1">IFERROR(__xludf.DUMMYFUNCTION("""COMPUTED_VALUE"""),"Lã Tường Vi ")</f>
        <v xml:space="preserve">Lã Tường Vi </v>
      </c>
      <c r="J4312" s="3" t="str">
        <f ca="1">IFERROR(__xludf.DUMMYFUNCTION("""COMPUTED_VALUE"""),"0335129550")</f>
        <v>0335129550</v>
      </c>
      <c r="K4312" s="2" t="str">
        <f ca="1">IFERROR(__xludf.DUMMYFUNCTION("""COMPUTED_VALUE"""),"1754251544784")</f>
        <v>1754251544784</v>
      </c>
    </row>
    <row r="4313" spans="1:11" ht="12.45">
      <c r="A4313" s="2" t="str">
        <f ca="1">IFERROR(__xludf.DUMMYFUNCTION("""COMPUTED_VALUE"""),"1754251572254")</f>
        <v>1754251572254</v>
      </c>
      <c r="B4313" s="2"/>
      <c r="C4313" s="2" t="str">
        <v>0</v>
      </c>
      <c r="D4313" s="2"/>
      <c r="F4313" s="2" t="str">
        <v>0</v>
      </c>
      <c r="I4313" s="3" t="str">
        <f ca="1">IFERROR(__xludf.DUMMYFUNCTION("""COMPUTED_VALUE"""),"Nguyễn Minh Ánh")</f>
        <v>Nguyễn Minh Ánh</v>
      </c>
      <c r="J4313" s="3" t="str">
        <f ca="1">IFERROR(__xludf.DUMMYFUNCTION("""COMPUTED_VALUE"""),"0865472790")</f>
        <v>0865472790</v>
      </c>
      <c r="K4313" s="2" t="str">
        <f ca="1">IFERROR(__xludf.DUMMYFUNCTION("""COMPUTED_VALUE"""),"1754251572254")</f>
        <v>1754251572254</v>
      </c>
    </row>
    <row r="4314" spans="1:11" ht="12.45">
      <c r="A4314" s="2" t="str">
        <f ca="1">IFERROR(__xludf.DUMMYFUNCTION("""COMPUTED_VALUE"""),"1754251610006")</f>
        <v>1754251610006</v>
      </c>
      <c r="B4314" s="2"/>
      <c r="C4314" s="2" t="str">
        <v>0</v>
      </c>
      <c r="D4314" s="2"/>
      <c r="F4314" s="2" t="str">
        <v>0</v>
      </c>
      <c r="I4314" s="3" t="str">
        <f ca="1">IFERROR(__xludf.DUMMYFUNCTION("""COMPUTED_VALUE"""),"Trần Lê Thanh Ngân ")</f>
        <v xml:space="preserve">Trần Lê Thanh Ngân </v>
      </c>
      <c r="J4314" s="3" t="str">
        <f ca="1">IFERROR(__xludf.DUMMYFUNCTION("""COMPUTED_VALUE"""),"0372337563")</f>
        <v>0372337563</v>
      </c>
      <c r="K4314" s="2" t="str">
        <f ca="1">IFERROR(__xludf.DUMMYFUNCTION("""COMPUTED_VALUE"""),"1754251610006")</f>
        <v>1754251610006</v>
      </c>
    </row>
    <row r="4315" spans="1:11" ht="12.45">
      <c r="A4315" s="2" t="str">
        <f ca="1">IFERROR(__xludf.DUMMYFUNCTION("""COMPUTED_VALUE"""),"1754251660362")</f>
        <v>1754251660362</v>
      </c>
      <c r="B4315" s="2"/>
      <c r="C4315" s="2" t="str">
        <v>0</v>
      </c>
      <c r="D4315" s="2"/>
      <c r="F4315" s="2" t="str">
        <v>0</v>
      </c>
      <c r="I4315" s="3" t="str">
        <f ca="1">IFERROR(__xludf.DUMMYFUNCTION("""COMPUTED_VALUE"""),"La Hà Nam")</f>
        <v>La Hà Nam</v>
      </c>
      <c r="J4315" s="3" t="str">
        <f ca="1">IFERROR(__xludf.DUMMYFUNCTION("""COMPUTED_VALUE"""),"0866575389")</f>
        <v>0866575389</v>
      </c>
      <c r="K4315" s="2" t="str">
        <f ca="1">IFERROR(__xludf.DUMMYFUNCTION("""COMPUTED_VALUE"""),"1754251660362")</f>
        <v>1754251660362</v>
      </c>
    </row>
    <row r="4316" spans="1:11" ht="12.45">
      <c r="A4316" s="2" t="str">
        <f ca="1">IFERROR(__xludf.DUMMYFUNCTION("""COMPUTED_VALUE"""),"1754251706169")</f>
        <v>1754251706169</v>
      </c>
      <c r="B4316" s="2"/>
      <c r="C4316" s="2" t="str">
        <v>0</v>
      </c>
      <c r="D4316" s="2"/>
      <c r="F4316" s="2" t="str">
        <v>0</v>
      </c>
      <c r="I4316" s="3" t="str">
        <f ca="1">IFERROR(__xludf.DUMMYFUNCTION("""COMPUTED_VALUE"""),"Nguyễn Thị Trà Giang")</f>
        <v>Nguyễn Thị Trà Giang</v>
      </c>
      <c r="J4316" s="3" t="str">
        <f ca="1">IFERROR(__xludf.DUMMYFUNCTION("""COMPUTED_VALUE"""),"0967614349")</f>
        <v>0967614349</v>
      </c>
      <c r="K4316" s="2" t="str">
        <f ca="1">IFERROR(__xludf.DUMMYFUNCTION("""COMPUTED_VALUE"""),"1754251706169")</f>
        <v>1754251706169</v>
      </c>
    </row>
    <row r="4317" spans="1:11" ht="12.45">
      <c r="A4317" s="2" t="str">
        <f ca="1">IFERROR(__xludf.DUMMYFUNCTION("""COMPUTED_VALUE"""),"1754251758734")</f>
        <v>1754251758734</v>
      </c>
      <c r="B4317" s="2"/>
      <c r="C4317" s="2" t="str">
        <v>0</v>
      </c>
      <c r="D4317" s="2"/>
      <c r="F4317" s="2" t="str">
        <v>0</v>
      </c>
      <c r="I4317" s="3" t="str">
        <f ca="1">IFERROR(__xludf.DUMMYFUNCTION("""COMPUTED_VALUE"""),"TRỊNH PHÚ GIA MẪN")</f>
        <v>TRỊNH PHÚ GIA MẪN</v>
      </c>
      <c r="J4317" s="3" t="str">
        <f ca="1">IFERROR(__xludf.DUMMYFUNCTION("""COMPUTED_VALUE"""),"0982723438")</f>
        <v>0982723438</v>
      </c>
      <c r="K4317" s="2" t="str">
        <f ca="1">IFERROR(__xludf.DUMMYFUNCTION("""COMPUTED_VALUE"""),"1754251758734")</f>
        <v>1754251758734</v>
      </c>
    </row>
    <row r="4318" spans="1:11" ht="12.45">
      <c r="A4318" s="2" t="str">
        <f ca="1">IFERROR(__xludf.DUMMYFUNCTION("""COMPUTED_VALUE"""),"Không giao sách")</f>
        <v>Không giao sách</v>
      </c>
      <c r="B4318" s="2"/>
      <c r="C4318" s="2" t="str">
        <v>0</v>
      </c>
      <c r="D4318" s="2"/>
      <c r="F4318" s="2" t="str">
        <v>0</v>
      </c>
      <c r="I4318" s="3" t="str">
        <f ca="1">IFERROR(__xludf.DUMMYFUNCTION("""COMPUTED_VALUE"""),"Đỗ Dương  Đan Nhi")</f>
        <v>Đỗ Dương  Đan Nhi</v>
      </c>
      <c r="J4318" s="3" t="str">
        <f ca="1">IFERROR(__xludf.DUMMYFUNCTION("""COMPUTED_VALUE"""),"0941305000")</f>
        <v>0941305000</v>
      </c>
      <c r="K4318" s="2" t="str">
        <f ca="1">IFERROR(__xludf.DUMMYFUNCTION("""COMPUTED_VALUE"""),"Không giao sách")</f>
        <v>Không giao sách</v>
      </c>
    </row>
    <row r="4319" spans="1:11" ht="12.45">
      <c r="A4319" s="2" t="str">
        <f ca="1">IFERROR(__xludf.DUMMYFUNCTION("""COMPUTED_VALUE"""),"1754251821438")</f>
        <v>1754251821438</v>
      </c>
      <c r="B4319" s="2"/>
      <c r="C4319" s="2" t="str">
        <v>0</v>
      </c>
      <c r="D4319" s="2"/>
      <c r="F4319" s="2" t="str">
        <v>0</v>
      </c>
      <c r="I4319" s="3" t="str">
        <f ca="1">IFERROR(__xludf.DUMMYFUNCTION("""COMPUTED_VALUE"""),"Ngô Thị Thanh Huyền ")</f>
        <v xml:space="preserve">Ngô Thị Thanh Huyền </v>
      </c>
      <c r="J4319" s="3" t="str">
        <f ca="1">IFERROR(__xludf.DUMMYFUNCTION("""COMPUTED_VALUE"""),"0949682412")</f>
        <v>0949682412</v>
      </c>
      <c r="K4319" s="2" t="str">
        <f ca="1">IFERROR(__xludf.DUMMYFUNCTION("""COMPUTED_VALUE"""),"1754251821438")</f>
        <v>1754251821438</v>
      </c>
    </row>
    <row r="4320" spans="1:11" ht="12.45">
      <c r="A4320" s="2" t="str">
        <f ca="1">IFERROR(__xludf.DUMMYFUNCTION("""COMPUTED_VALUE"""),"1754251874554")</f>
        <v>1754251874554</v>
      </c>
      <c r="B4320" s="2"/>
      <c r="C4320" s="2" t="str">
        <v>0</v>
      </c>
      <c r="D4320" s="2"/>
      <c r="F4320" s="2" t="str">
        <v>0</v>
      </c>
      <c r="I4320" s="3" t="str">
        <f ca="1">IFERROR(__xludf.DUMMYFUNCTION("""COMPUTED_VALUE"""),"Nguyễn Thảo Vy")</f>
        <v>Nguyễn Thảo Vy</v>
      </c>
      <c r="J4320" s="3" t="str">
        <f ca="1">IFERROR(__xludf.DUMMYFUNCTION("""COMPUTED_VALUE"""),"0337678521")</f>
        <v>0337678521</v>
      </c>
      <c r="K4320" s="2" t="str">
        <f ca="1">IFERROR(__xludf.DUMMYFUNCTION("""COMPUTED_VALUE"""),"1754251874554")</f>
        <v>1754251874554</v>
      </c>
    </row>
    <row r="4321" spans="1:11" ht="12.45">
      <c r="A4321" s="2" t="str">
        <f ca="1">IFERROR(__xludf.DUMMYFUNCTION("""COMPUTED_VALUE"""),"1754251914870")</f>
        <v>1754251914870</v>
      </c>
      <c r="B4321" s="2"/>
      <c r="C4321" s="2" t="str">
        <v>0</v>
      </c>
      <c r="D4321" s="2"/>
      <c r="F4321" s="2" t="str">
        <v>0</v>
      </c>
      <c r="I4321" s="3" t="str">
        <f ca="1">IFERROR(__xludf.DUMMYFUNCTION("""COMPUTED_VALUE"""),"Đỗ Ngọc Hiếu")</f>
        <v>Đỗ Ngọc Hiếu</v>
      </c>
      <c r="J4321" s="3" t="str">
        <f ca="1">IFERROR(__xludf.DUMMYFUNCTION("""COMPUTED_VALUE"""),"0966381540")</f>
        <v>0966381540</v>
      </c>
      <c r="K4321" s="2" t="str">
        <f ca="1">IFERROR(__xludf.DUMMYFUNCTION("""COMPUTED_VALUE"""),"1754251914870")</f>
        <v>1754251914870</v>
      </c>
    </row>
    <row r="4322" spans="1:11" ht="12.45">
      <c r="A4322" s="2" t="str">
        <f ca="1">IFERROR(__xludf.DUMMYFUNCTION("""COMPUTED_VALUE"""),"1754251968945")</f>
        <v>1754251968945</v>
      </c>
      <c r="B4322" s="2"/>
      <c r="C4322" s="2" t="str">
        <v>0</v>
      </c>
      <c r="D4322" s="2"/>
      <c r="F4322" s="2" t="str">
        <v>0</v>
      </c>
      <c r="I4322" s="3" t="str">
        <f ca="1">IFERROR(__xludf.DUMMYFUNCTION("""COMPUTED_VALUE"""),"Nguyễn Thị Minh Nguyệt")</f>
        <v>Nguyễn Thị Minh Nguyệt</v>
      </c>
      <c r="J4322" s="3" t="str">
        <f ca="1">IFERROR(__xludf.DUMMYFUNCTION("""COMPUTED_VALUE"""),"0981191870")</f>
        <v>0981191870</v>
      </c>
      <c r="K4322" s="2" t="str">
        <f ca="1">IFERROR(__xludf.DUMMYFUNCTION("""COMPUTED_VALUE"""),"1754251968945")</f>
        <v>1754251968945</v>
      </c>
    </row>
    <row r="4323" spans="1:11" ht="12.45">
      <c r="A4323" s="2" t="str">
        <f ca="1">IFERROR(__xludf.DUMMYFUNCTION("""COMPUTED_VALUE"""),"1754252020681")</f>
        <v>1754252020681</v>
      </c>
      <c r="B4323" s="2"/>
      <c r="C4323" s="2" t="str">
        <v>0</v>
      </c>
      <c r="D4323" s="2"/>
      <c r="F4323" s="2" t="str">
        <v>0</v>
      </c>
      <c r="I4323" s="3" t="str">
        <f ca="1">IFERROR(__xludf.DUMMYFUNCTION("""COMPUTED_VALUE"""),"Lâm Thị Như Ý")</f>
        <v>Lâm Thị Như Ý</v>
      </c>
      <c r="J4323" s="3" t="str">
        <f ca="1">IFERROR(__xludf.DUMMYFUNCTION("""COMPUTED_VALUE"""),"0349932652")</f>
        <v>0349932652</v>
      </c>
      <c r="K4323" s="2" t="str">
        <f ca="1">IFERROR(__xludf.DUMMYFUNCTION("""COMPUTED_VALUE"""),"1754252020681")</f>
        <v>1754252020681</v>
      </c>
    </row>
    <row r="4324" spans="1:11" ht="12.45">
      <c r="A4324" s="2" t="str">
        <f ca="1">IFERROR(__xludf.DUMMYFUNCTION("""COMPUTED_VALUE"""),"1754252120331")</f>
        <v>1754252120331</v>
      </c>
      <c r="B4324" s="2"/>
      <c r="C4324" s="2" t="str">
        <v>0</v>
      </c>
      <c r="D4324" s="2"/>
      <c r="F4324" s="2" t="str">
        <v>0</v>
      </c>
      <c r="I4324" s="3" t="str">
        <f ca="1">IFERROR(__xludf.DUMMYFUNCTION("""COMPUTED_VALUE"""),"Nguyễn Mai Trang")</f>
        <v>Nguyễn Mai Trang</v>
      </c>
      <c r="J4324" s="3" t="str">
        <f ca="1">IFERROR(__xludf.DUMMYFUNCTION("""COMPUTED_VALUE"""),"0342598330")</f>
        <v>0342598330</v>
      </c>
      <c r="K4324" s="2" t="str">
        <f ca="1">IFERROR(__xludf.DUMMYFUNCTION("""COMPUTED_VALUE"""),"1754252120331")</f>
        <v>1754252120331</v>
      </c>
    </row>
    <row r="4325" spans="1:11" ht="12.45">
      <c r="A4325" s="2" t="str">
        <f ca="1">IFERROR(__xludf.DUMMYFUNCTION("""COMPUTED_VALUE"""),"1754252246306")</f>
        <v>1754252246306</v>
      </c>
      <c r="B4325" s="2"/>
      <c r="C4325" s="2" t="str">
        <v>0</v>
      </c>
      <c r="D4325" s="2"/>
      <c r="F4325" s="2" t="str">
        <v>0</v>
      </c>
      <c r="I4325" s="3" t="str">
        <f ca="1">IFERROR(__xludf.DUMMYFUNCTION("""COMPUTED_VALUE"""),"Nguyễn Thúy Quỳnh")</f>
        <v>Nguyễn Thúy Quỳnh</v>
      </c>
      <c r="J4325" s="3" t="str">
        <f ca="1">IFERROR(__xludf.DUMMYFUNCTION("""COMPUTED_VALUE"""),"0326003174")</f>
        <v>0326003174</v>
      </c>
      <c r="K4325" s="2" t="str">
        <f ca="1">IFERROR(__xludf.DUMMYFUNCTION("""COMPUTED_VALUE"""),"1754252246306")</f>
        <v>1754252246306</v>
      </c>
    </row>
    <row r="4326" spans="1:11" ht="12.45">
      <c r="A4326" s="2" t="str">
        <f ca="1">IFERROR(__xludf.DUMMYFUNCTION("""COMPUTED_VALUE"""),"1754252333469")</f>
        <v>1754252333469</v>
      </c>
      <c r="B4326" s="2"/>
      <c r="C4326" s="2" t="str">
        <v>0</v>
      </c>
      <c r="D4326" s="2"/>
      <c r="F4326" s="2" t="str">
        <v>0</v>
      </c>
      <c r="I4326" s="3" t="str">
        <f ca="1">IFERROR(__xludf.DUMMYFUNCTION("""COMPUTED_VALUE"""),"Nguyễn Thị Hồng Ngọc ")</f>
        <v xml:space="preserve">Nguyễn Thị Hồng Ngọc </v>
      </c>
      <c r="J4326" s="3" t="str">
        <f ca="1">IFERROR(__xludf.DUMMYFUNCTION("""COMPUTED_VALUE"""),"0794871706")</f>
        <v>0794871706</v>
      </c>
      <c r="K4326" s="2" t="str">
        <f ca="1">IFERROR(__xludf.DUMMYFUNCTION("""COMPUTED_VALUE"""),"1754252333469")</f>
        <v>1754252333469</v>
      </c>
    </row>
    <row r="4327" spans="1:11" ht="12.45">
      <c r="A4327" s="2" t="str">
        <f ca="1">IFERROR(__xludf.DUMMYFUNCTION("""COMPUTED_VALUE"""),"1754252419297")</f>
        <v>1754252419297</v>
      </c>
      <c r="B4327" s="2"/>
      <c r="C4327" s="2" t="str">
        <v>0</v>
      </c>
      <c r="D4327" s="2"/>
      <c r="F4327" s="2" t="str">
        <v>0</v>
      </c>
      <c r="I4327" s="3" t="str">
        <f ca="1">IFERROR(__xludf.DUMMYFUNCTION("""COMPUTED_VALUE"""),"Nguyễn Trần Khánh Linh")</f>
        <v>Nguyễn Trần Khánh Linh</v>
      </c>
      <c r="J4327" s="3" t="str">
        <f ca="1">IFERROR(__xludf.DUMMYFUNCTION("""COMPUTED_VALUE"""),"0911056758")</f>
        <v>0911056758</v>
      </c>
      <c r="K4327" s="2" t="str">
        <f ca="1">IFERROR(__xludf.DUMMYFUNCTION("""COMPUTED_VALUE"""),"1754252419297")</f>
        <v>1754252419297</v>
      </c>
    </row>
    <row r="4328" spans="1:11" ht="12.45">
      <c r="A4328" s="2" t="str">
        <f ca="1">IFERROR(__xludf.DUMMYFUNCTION("""COMPUTED_VALUE"""),"1754252472256")</f>
        <v>1754252472256</v>
      </c>
      <c r="B4328" s="2"/>
      <c r="C4328" s="2" t="str">
        <v>0</v>
      </c>
      <c r="D4328" s="2"/>
      <c r="F4328" s="2" t="str">
        <v>0</v>
      </c>
      <c r="I4328" s="3" t="str">
        <f ca="1">IFERROR(__xludf.DUMMYFUNCTION("""COMPUTED_VALUE"""),"Ngọc Ánh")</f>
        <v>Ngọc Ánh</v>
      </c>
      <c r="J4328" s="3" t="str">
        <f ca="1">IFERROR(__xludf.DUMMYFUNCTION("""COMPUTED_VALUE"""),"0981755360")</f>
        <v>0981755360</v>
      </c>
      <c r="K4328" s="2" t="str">
        <f ca="1">IFERROR(__xludf.DUMMYFUNCTION("""COMPUTED_VALUE"""),"1754252472256")</f>
        <v>1754252472256</v>
      </c>
    </row>
    <row r="4329" spans="1:11" ht="12.45">
      <c r="A4329" s="2" t="str">
        <f ca="1">IFERROR(__xludf.DUMMYFUNCTION("""COMPUTED_VALUE"""),"1754252525410")</f>
        <v>1754252525410</v>
      </c>
      <c r="B4329" s="2"/>
      <c r="C4329" s="2" t="str">
        <v>0</v>
      </c>
      <c r="D4329" s="2"/>
      <c r="F4329" s="2" t="str">
        <v>0</v>
      </c>
      <c r="I4329" s="3" t="str">
        <f ca="1">IFERROR(__xludf.DUMMYFUNCTION("""COMPUTED_VALUE"""),"Nguyễn Thị Thùy Dương")</f>
        <v>Nguyễn Thị Thùy Dương</v>
      </c>
      <c r="J4329" s="3" t="str">
        <f ca="1">IFERROR(__xludf.DUMMYFUNCTION("""COMPUTED_VALUE"""),"0339682625")</f>
        <v>0339682625</v>
      </c>
      <c r="K4329" s="2" t="str">
        <f ca="1">IFERROR(__xludf.DUMMYFUNCTION("""COMPUTED_VALUE"""),"1754252525410")</f>
        <v>1754252525410</v>
      </c>
    </row>
    <row r="4330" spans="1:11" ht="12.45">
      <c r="A4330" s="2" t="str">
        <f ca="1">IFERROR(__xludf.DUMMYFUNCTION("""COMPUTED_VALUE"""),"1754252582643")</f>
        <v>1754252582643</v>
      </c>
      <c r="B4330" s="2"/>
      <c r="C4330" s="2" t="str">
        <v>0</v>
      </c>
      <c r="D4330" s="2"/>
      <c r="F4330" s="2" t="str">
        <v>0</v>
      </c>
      <c r="I4330" s="3" t="str">
        <f ca="1">IFERROR(__xludf.DUMMYFUNCTION("""COMPUTED_VALUE"""),"Nguyễn Lê Hà Uyên")</f>
        <v>Nguyễn Lê Hà Uyên</v>
      </c>
      <c r="J4330" s="3" t="str">
        <f ca="1">IFERROR(__xludf.DUMMYFUNCTION("""COMPUTED_VALUE"""),"0938802149")</f>
        <v>0938802149</v>
      </c>
      <c r="K4330" s="2" t="str">
        <f ca="1">IFERROR(__xludf.DUMMYFUNCTION("""COMPUTED_VALUE"""),"1754252582643")</f>
        <v>1754252582643</v>
      </c>
    </row>
    <row r="4331" spans="1:11" ht="12.45">
      <c r="A4331" s="2" t="str">
        <f ca="1">IFERROR(__xludf.DUMMYFUNCTION("""COMPUTED_VALUE"""),"1754252626646")</f>
        <v>1754252626646</v>
      </c>
      <c r="B4331" s="2"/>
      <c r="C4331" s="2" t="str">
        <v>0</v>
      </c>
      <c r="D4331" s="2"/>
      <c r="F4331" s="2" t="str">
        <v>0</v>
      </c>
      <c r="I4331" s="3" t="str">
        <f ca="1">IFERROR(__xludf.DUMMYFUNCTION("""COMPUTED_VALUE"""),"Đỗ Thuỳ Linh")</f>
        <v>Đỗ Thuỳ Linh</v>
      </c>
      <c r="J4331" s="3" t="str">
        <f ca="1">IFERROR(__xludf.DUMMYFUNCTION("""COMPUTED_VALUE"""),"0866071890")</f>
        <v>0866071890</v>
      </c>
      <c r="K4331" s="2" t="str">
        <f ca="1">IFERROR(__xludf.DUMMYFUNCTION("""COMPUTED_VALUE"""),"1754252626646")</f>
        <v>1754252626646</v>
      </c>
    </row>
    <row r="4332" spans="1:11" ht="12.45">
      <c r="A4332" s="2" t="str">
        <f ca="1">IFERROR(__xludf.DUMMYFUNCTION("""COMPUTED_VALUE"""),"1754252724125")</f>
        <v>1754252724125</v>
      </c>
      <c r="B4332" s="2"/>
      <c r="C4332" s="2" t="str">
        <v>0</v>
      </c>
      <c r="D4332" s="2"/>
      <c r="F4332" s="2" t="str">
        <v>0</v>
      </c>
      <c r="I4332" s="3" t="str">
        <f ca="1">IFERROR(__xludf.DUMMYFUNCTION("""COMPUTED_VALUE"""),"Phạm Thị Vân Anh")</f>
        <v>Phạm Thị Vân Anh</v>
      </c>
      <c r="J4332" s="3" t="str">
        <f ca="1">IFERROR(__xludf.DUMMYFUNCTION("""COMPUTED_VALUE"""),"0962515384")</f>
        <v>0962515384</v>
      </c>
      <c r="K4332" s="2" t="str">
        <f ca="1">IFERROR(__xludf.DUMMYFUNCTION("""COMPUTED_VALUE"""),"1754252724125")</f>
        <v>1754252724125</v>
      </c>
    </row>
    <row r="4333" spans="1:11" ht="12.45">
      <c r="A4333" s="2" t="str">
        <f ca="1">IFERROR(__xludf.DUMMYFUNCTION("""COMPUTED_VALUE"""),"1754252849011")</f>
        <v>1754252849011</v>
      </c>
      <c r="B4333" s="2"/>
      <c r="C4333" s="2" t="str">
        <v>0</v>
      </c>
      <c r="D4333" s="2"/>
      <c r="F4333" s="2" t="str">
        <v>0</v>
      </c>
      <c r="I4333" s="3" t="str">
        <f ca="1">IFERROR(__xludf.DUMMYFUNCTION("""COMPUTED_VALUE"""),"Lê Nguyễn Ngọc Bình")</f>
        <v>Lê Nguyễn Ngọc Bình</v>
      </c>
      <c r="J4333" s="3" t="str">
        <f ca="1">IFERROR(__xludf.DUMMYFUNCTION("""COMPUTED_VALUE"""),"0702330772")</f>
        <v>0702330772</v>
      </c>
      <c r="K4333" s="2" t="str">
        <f ca="1">IFERROR(__xludf.DUMMYFUNCTION("""COMPUTED_VALUE"""),"1754252849011")</f>
        <v>1754252849011</v>
      </c>
    </row>
    <row r="4334" spans="1:11" ht="12.45">
      <c r="A4334" s="2" t="str">
        <f ca="1">IFERROR(__xludf.DUMMYFUNCTION("""COMPUTED_VALUE"""),"1754252933935")</f>
        <v>1754252933935</v>
      </c>
      <c r="B4334" s="2"/>
      <c r="C4334" s="2" t="str">
        <v>0</v>
      </c>
      <c r="D4334" s="2"/>
      <c r="F4334" s="2" t="str">
        <v>0</v>
      </c>
      <c r="I4334" s="3" t="str">
        <f ca="1">IFERROR(__xludf.DUMMYFUNCTION("""COMPUTED_VALUE"""),"Hờ A Pà ")</f>
        <v xml:space="preserve">Hờ A Pà </v>
      </c>
      <c r="J4334" s="3" t="str">
        <f ca="1">IFERROR(__xludf.DUMMYFUNCTION("""COMPUTED_VALUE"""),"0357037354")</f>
        <v>0357037354</v>
      </c>
      <c r="K4334" s="2" t="str">
        <f ca="1">IFERROR(__xludf.DUMMYFUNCTION("""COMPUTED_VALUE"""),"1754252933935")</f>
        <v>1754252933935</v>
      </c>
    </row>
    <row r="4335" spans="1:11" ht="12.45">
      <c r="A4335" s="2" t="str">
        <f ca="1">IFERROR(__xludf.DUMMYFUNCTION("""COMPUTED_VALUE"""),"1754253020338")</f>
        <v>1754253020338</v>
      </c>
      <c r="B4335" s="2"/>
      <c r="C4335" s="2" t="str">
        <v>0</v>
      </c>
      <c r="D4335" s="2"/>
      <c r="F4335" s="2" t="str">
        <v>0</v>
      </c>
      <c r="I4335" s="3" t="str">
        <f ca="1">IFERROR(__xludf.DUMMYFUNCTION("""COMPUTED_VALUE"""),"Vũ Lập Trường ")</f>
        <v xml:space="preserve">Vũ Lập Trường </v>
      </c>
      <c r="J4335" s="3" t="str">
        <f ca="1">IFERROR(__xludf.DUMMYFUNCTION("""COMPUTED_VALUE"""),"0869430645")</f>
        <v>0869430645</v>
      </c>
      <c r="K4335" s="2" t="str">
        <f ca="1">IFERROR(__xludf.DUMMYFUNCTION("""COMPUTED_VALUE"""),"1754253020338")</f>
        <v>1754253020338</v>
      </c>
    </row>
    <row r="4336" spans="1:11" ht="12.45">
      <c r="A4336" s="2" t="str">
        <f ca="1">IFERROR(__xludf.DUMMYFUNCTION("""COMPUTED_VALUE"""),"1754253079453")</f>
        <v>1754253079453</v>
      </c>
      <c r="B4336" s="2"/>
      <c r="C4336" s="2" t="str">
        <v>0</v>
      </c>
      <c r="D4336" s="2"/>
      <c r="F4336" s="2" t="str">
        <v>0</v>
      </c>
      <c r="I4336" s="3" t="str">
        <f ca="1">IFERROR(__xludf.DUMMYFUNCTION("""COMPUTED_VALUE"""),"VŨ NHẬT HUY")</f>
        <v>VŨ NHẬT HUY</v>
      </c>
      <c r="J4336" s="3" t="str">
        <f ca="1">IFERROR(__xludf.DUMMYFUNCTION("""COMPUTED_VALUE"""),"0963704655")</f>
        <v>0963704655</v>
      </c>
      <c r="K4336" s="2" t="str">
        <f ca="1">IFERROR(__xludf.DUMMYFUNCTION("""COMPUTED_VALUE"""),"1754253079453")</f>
        <v>1754253079453</v>
      </c>
    </row>
    <row r="4337" spans="1:11" ht="12.45">
      <c r="A4337" s="2" t="str">
        <f ca="1">IFERROR(__xludf.DUMMYFUNCTION("""COMPUTED_VALUE"""),"1754253144311")</f>
        <v>1754253144311</v>
      </c>
      <c r="B4337" s="2"/>
      <c r="C4337" s="2" t="str">
        <v>0</v>
      </c>
      <c r="D4337" s="2"/>
      <c r="F4337" s="2" t="str">
        <v>0</v>
      </c>
      <c r="I4337" s="3" t="str">
        <f ca="1">IFERROR(__xludf.DUMMYFUNCTION("""COMPUTED_VALUE"""),"Nguyễn Thị Minh Tâm ")</f>
        <v xml:space="preserve">Nguyễn Thị Minh Tâm </v>
      </c>
      <c r="J4337" s="3" t="str">
        <f ca="1">IFERROR(__xludf.DUMMYFUNCTION("""COMPUTED_VALUE"""),"0379548385")</f>
        <v>0379548385</v>
      </c>
      <c r="K4337" s="2" t="str">
        <f ca="1">IFERROR(__xludf.DUMMYFUNCTION("""COMPUTED_VALUE"""),"1754253144311")</f>
        <v>1754253144311</v>
      </c>
    </row>
    <row r="4338" spans="1:11" ht="12.45">
      <c r="A4338" s="2" t="str">
        <f ca="1">IFERROR(__xludf.DUMMYFUNCTION("""COMPUTED_VALUE"""),"1754253228580")</f>
        <v>1754253228580</v>
      </c>
      <c r="B4338" s="2"/>
      <c r="C4338" s="2" t="str">
        <v>0</v>
      </c>
      <c r="D4338" s="2"/>
      <c r="F4338" s="2" t="str">
        <v>0</v>
      </c>
      <c r="I4338" s="3" t="str">
        <f ca="1">IFERROR(__xludf.DUMMYFUNCTION("""COMPUTED_VALUE"""),"Nguyễn Thị Linh Đan")</f>
        <v>Nguyễn Thị Linh Đan</v>
      </c>
      <c r="J4338" s="3" t="str">
        <f ca="1">IFERROR(__xludf.DUMMYFUNCTION("""COMPUTED_VALUE"""),"0832134483")</f>
        <v>0832134483</v>
      </c>
      <c r="K4338" s="2" t="str">
        <f ca="1">IFERROR(__xludf.DUMMYFUNCTION("""COMPUTED_VALUE"""),"1754253228580")</f>
        <v>1754253228580</v>
      </c>
    </row>
    <row r="4339" spans="1:11" ht="12.45">
      <c r="A4339" s="2" t="str">
        <f ca="1">IFERROR(__xludf.DUMMYFUNCTION("""COMPUTED_VALUE"""),"1754253307565")</f>
        <v>1754253307565</v>
      </c>
      <c r="B4339" s="2"/>
      <c r="C4339" s="2" t="str">
        <v>0</v>
      </c>
      <c r="D4339" s="2"/>
      <c r="F4339" s="2" t="str">
        <v>0</v>
      </c>
      <c r="I4339" s="3" t="str">
        <f ca="1">IFERROR(__xludf.DUMMYFUNCTION("""COMPUTED_VALUE"""),"Lưu Tú Linh")</f>
        <v>Lưu Tú Linh</v>
      </c>
      <c r="J4339" s="3" t="str">
        <f ca="1">IFERROR(__xludf.DUMMYFUNCTION("""COMPUTED_VALUE"""),"0344662568")</f>
        <v>0344662568</v>
      </c>
      <c r="K4339" s="2" t="str">
        <f ca="1">IFERROR(__xludf.DUMMYFUNCTION("""COMPUTED_VALUE"""),"1754253307565")</f>
        <v>1754253307565</v>
      </c>
    </row>
    <row r="4340" spans="1:11" ht="12.45">
      <c r="A4340" s="2" t="str">
        <f ca="1">IFERROR(__xludf.DUMMYFUNCTION("""COMPUTED_VALUE"""),"1754253346835")</f>
        <v>1754253346835</v>
      </c>
      <c r="B4340" s="2"/>
      <c r="C4340" s="2" t="str">
        <v>0</v>
      </c>
      <c r="D4340" s="2"/>
      <c r="F4340" s="2" t="str">
        <v>0</v>
      </c>
      <c r="I4340" s="3" t="str">
        <f ca="1">IFERROR(__xludf.DUMMYFUNCTION("""COMPUTED_VALUE"""),"Bùi Quốc Huy")</f>
        <v>Bùi Quốc Huy</v>
      </c>
      <c r="J4340" s="3" t="str">
        <f ca="1">IFERROR(__xludf.DUMMYFUNCTION("""COMPUTED_VALUE"""),"0899809669")</f>
        <v>0899809669</v>
      </c>
      <c r="K4340" s="2" t="str">
        <f ca="1">IFERROR(__xludf.DUMMYFUNCTION("""COMPUTED_VALUE"""),"1754253346835")</f>
        <v>1754253346835</v>
      </c>
    </row>
    <row r="4341" spans="1:11" ht="12.45">
      <c r="A4341" s="2" t="str">
        <f ca="1">IFERROR(__xludf.DUMMYFUNCTION("""COMPUTED_VALUE"""),"1754253386732")</f>
        <v>1754253386732</v>
      </c>
      <c r="B4341" s="2"/>
      <c r="C4341" s="2" t="str">
        <v>0</v>
      </c>
      <c r="D4341" s="2"/>
      <c r="F4341" s="2" t="str">
        <v>0</v>
      </c>
      <c r="I4341" s="3" t="str">
        <f ca="1">IFERROR(__xludf.DUMMYFUNCTION("""COMPUTED_VALUE"""),"Nguyễn Thị Thu ")</f>
        <v xml:space="preserve">Nguyễn Thị Thu </v>
      </c>
      <c r="J4341" s="3" t="str">
        <f ca="1">IFERROR(__xludf.DUMMYFUNCTION("""COMPUTED_VALUE"""),"0867921903")</f>
        <v>0867921903</v>
      </c>
      <c r="K4341" s="2" t="str">
        <f ca="1">IFERROR(__xludf.DUMMYFUNCTION("""COMPUTED_VALUE"""),"1754253386732")</f>
        <v>1754253386732</v>
      </c>
    </row>
    <row r="4342" spans="1:11" ht="12.45">
      <c r="A4342" s="2" t="str">
        <f ca="1">IFERROR(__xludf.DUMMYFUNCTION("""COMPUTED_VALUE"""),"1754253439815")</f>
        <v>1754253439815</v>
      </c>
      <c r="B4342" s="2"/>
      <c r="C4342" s="2" t="str">
        <v>0</v>
      </c>
      <c r="D4342" s="2"/>
      <c r="F4342" s="2" t="str">
        <v>0</v>
      </c>
      <c r="I4342" s="3" t="str">
        <f ca="1">IFERROR(__xludf.DUMMYFUNCTION("""COMPUTED_VALUE"""),"Bùi Thị Ánh Tuyết")</f>
        <v>Bùi Thị Ánh Tuyết</v>
      </c>
      <c r="J4342" s="3" t="str">
        <f ca="1">IFERROR(__xludf.DUMMYFUNCTION("""COMPUTED_VALUE"""),"0866896905")</f>
        <v>0866896905</v>
      </c>
      <c r="K4342" s="2" t="str">
        <f ca="1">IFERROR(__xludf.DUMMYFUNCTION("""COMPUTED_VALUE"""),"1754253439815")</f>
        <v>1754253439815</v>
      </c>
    </row>
    <row r="4343" spans="1:11" ht="12.45">
      <c r="A4343" s="2" t="str">
        <f ca="1">IFERROR(__xludf.DUMMYFUNCTION("""COMPUTED_VALUE"""),"1754253541408")</f>
        <v>1754253541408</v>
      </c>
      <c r="B4343" s="2"/>
      <c r="C4343" s="2" t="str">
        <v>0</v>
      </c>
      <c r="D4343" s="2"/>
      <c r="F4343" s="2" t="str">
        <v>0</v>
      </c>
      <c r="I4343" s="3" t="str">
        <f ca="1">IFERROR(__xludf.DUMMYFUNCTION("""COMPUTED_VALUE"""),"Trần Thị Bích Hoà")</f>
        <v>Trần Thị Bích Hoà</v>
      </c>
      <c r="J4343" s="3" t="str">
        <f ca="1">IFERROR(__xludf.DUMMYFUNCTION("""COMPUTED_VALUE"""),"0917753370")</f>
        <v>0917753370</v>
      </c>
      <c r="K4343" s="2" t="str">
        <f ca="1">IFERROR(__xludf.DUMMYFUNCTION("""COMPUTED_VALUE"""),"1754253541408")</f>
        <v>1754253541408</v>
      </c>
    </row>
    <row r="4344" spans="1:11" ht="12.45">
      <c r="A4344" s="2" t="str">
        <f ca="1">IFERROR(__xludf.DUMMYFUNCTION("""COMPUTED_VALUE"""),"1754253616192")</f>
        <v>1754253616192</v>
      </c>
      <c r="B4344" s="2"/>
      <c r="C4344" s="2" t="str">
        <v>0</v>
      </c>
      <c r="D4344" s="2"/>
      <c r="F4344" s="2" t="str">
        <v>0</v>
      </c>
      <c r="I4344" s="3" t="str">
        <f ca="1">IFERROR(__xludf.DUMMYFUNCTION("""COMPUTED_VALUE"""),"Nguyễn Lê Khánh Linh")</f>
        <v>Nguyễn Lê Khánh Linh</v>
      </c>
      <c r="J4344" s="3" t="str">
        <f ca="1">IFERROR(__xludf.DUMMYFUNCTION("""COMPUTED_VALUE"""),"0375494431")</f>
        <v>0375494431</v>
      </c>
      <c r="K4344" s="2" t="str">
        <f ca="1">IFERROR(__xludf.DUMMYFUNCTION("""COMPUTED_VALUE"""),"1754253616192")</f>
        <v>1754253616192</v>
      </c>
    </row>
    <row r="4345" spans="1:11" ht="12.45">
      <c r="A4345" s="2" t="str">
        <f ca="1">IFERROR(__xludf.DUMMYFUNCTION("""COMPUTED_VALUE"""),"1754253696046")</f>
        <v>1754253696046</v>
      </c>
      <c r="B4345" s="2"/>
      <c r="C4345" s="2" t="str">
        <v>0</v>
      </c>
      <c r="D4345" s="2"/>
      <c r="F4345" s="2" t="str">
        <v>0</v>
      </c>
      <c r="I4345" s="3" t="str">
        <f ca="1">IFERROR(__xludf.DUMMYFUNCTION("""COMPUTED_VALUE"""),"Trần Thị Bích Hân")</f>
        <v>Trần Thị Bích Hân</v>
      </c>
      <c r="J4345" s="3" t="str">
        <f ca="1">IFERROR(__xludf.DUMMYFUNCTION("""COMPUTED_VALUE"""),"0325851148")</f>
        <v>0325851148</v>
      </c>
      <c r="K4345" s="2" t="str">
        <f ca="1">IFERROR(__xludf.DUMMYFUNCTION("""COMPUTED_VALUE"""),"1754253696046")</f>
        <v>1754253696046</v>
      </c>
    </row>
    <row r="4346" spans="1:11" ht="12.45">
      <c r="A4346" s="2" t="str">
        <f ca="1">IFERROR(__xludf.DUMMYFUNCTION("""COMPUTED_VALUE"""),"1754253820980")</f>
        <v>1754253820980</v>
      </c>
      <c r="B4346" s="2"/>
      <c r="C4346" s="2" t="str">
        <v>0</v>
      </c>
      <c r="D4346" s="2"/>
      <c r="F4346" s="2" t="str">
        <v>0</v>
      </c>
      <c r="I4346" s="3" t="str">
        <f ca="1">IFERROR(__xludf.DUMMYFUNCTION("""COMPUTED_VALUE"""),"Phan Thị Quỳnh Hương")</f>
        <v>Phan Thị Quỳnh Hương</v>
      </c>
      <c r="J4346" s="3" t="str">
        <f ca="1">IFERROR(__xludf.DUMMYFUNCTION("""COMPUTED_VALUE"""),"0385485268")</f>
        <v>0385485268</v>
      </c>
      <c r="K4346" s="2" t="str">
        <f ca="1">IFERROR(__xludf.DUMMYFUNCTION("""COMPUTED_VALUE"""),"1754253820980")</f>
        <v>1754253820980</v>
      </c>
    </row>
    <row r="4347" spans="1:11" ht="12.45">
      <c r="A4347" s="2">
        <f ca="1">IFERROR(__xludf.DUMMYFUNCTION("""COMPUTED_VALUE"""),1754253750624)</f>
        <v>1754253750624</v>
      </c>
      <c r="B4347" s="2"/>
      <c r="C4347" s="2" t="str">
        <v>0</v>
      </c>
      <c r="D4347" s="2"/>
      <c r="F4347" s="2" t="str">
        <v>0</v>
      </c>
      <c r="I4347" s="3" t="str">
        <f ca="1">IFERROR(__xludf.DUMMYFUNCTION("""COMPUTED_VALUE"""),"Phan Thị Quỳnh Trâm ")</f>
        <v xml:space="preserve">Phan Thị Quỳnh Trâm </v>
      </c>
      <c r="J4347" s="3" t="str">
        <f ca="1">IFERROR(__xludf.DUMMYFUNCTION("""COMPUTED_VALUE"""),"0362546796")</f>
        <v>0362546796</v>
      </c>
      <c r="K4347" s="2">
        <f ca="1">IFERROR(__xludf.DUMMYFUNCTION("""COMPUTED_VALUE"""),1754253750624)</f>
        <v>1754253750624</v>
      </c>
    </row>
    <row r="4348" spans="1:11" ht="12.45">
      <c r="A4348" s="2" t="str">
        <f ca="1">IFERROR(__xludf.DUMMYFUNCTION("""COMPUTED_VALUE"""),"1754253902659")</f>
        <v>1754253902659</v>
      </c>
      <c r="B4348" s="2"/>
      <c r="C4348" s="2" t="str">
        <v>0</v>
      </c>
      <c r="D4348" s="2"/>
      <c r="F4348" s="2" t="str">
        <v>0</v>
      </c>
      <c r="I4348" s="3" t="str">
        <f ca="1">IFERROR(__xludf.DUMMYFUNCTION("""COMPUTED_VALUE"""),"Bùi Mỹ Hạnh")</f>
        <v>Bùi Mỹ Hạnh</v>
      </c>
      <c r="J4348" s="3" t="str">
        <f ca="1">IFERROR(__xludf.DUMMYFUNCTION("""COMPUTED_VALUE"""),"0394628349")</f>
        <v>0394628349</v>
      </c>
      <c r="K4348" s="2" t="str">
        <f ca="1">IFERROR(__xludf.DUMMYFUNCTION("""COMPUTED_VALUE"""),"1754253902659")</f>
        <v>1754253902659</v>
      </c>
    </row>
    <row r="4349" spans="1:11" ht="12.45">
      <c r="A4349" s="2" t="str">
        <f ca="1">IFERROR(__xludf.DUMMYFUNCTION("""COMPUTED_VALUE"""),"1754253970978")</f>
        <v>1754253970978</v>
      </c>
      <c r="B4349" s="2"/>
      <c r="C4349" s="2" t="str">
        <v>0</v>
      </c>
      <c r="D4349" s="2"/>
      <c r="F4349" s="2" t="str">
        <v>0</v>
      </c>
      <c r="I4349" s="3" t="str">
        <f ca="1">IFERROR(__xludf.DUMMYFUNCTION("""COMPUTED_VALUE"""),"Nguyễn Bảo Trâm")</f>
        <v>Nguyễn Bảo Trâm</v>
      </c>
      <c r="J4349" s="3" t="str">
        <f ca="1">IFERROR(__xludf.DUMMYFUNCTION("""COMPUTED_VALUE"""),"0355450925")</f>
        <v>0355450925</v>
      </c>
      <c r="K4349" s="2" t="str">
        <f ca="1">IFERROR(__xludf.DUMMYFUNCTION("""COMPUTED_VALUE"""),"1754253970978")</f>
        <v>1754253970978</v>
      </c>
    </row>
    <row r="4350" spans="1:11" ht="12.45">
      <c r="A4350" s="2" t="str">
        <f ca="1">IFERROR(__xludf.DUMMYFUNCTION("""COMPUTED_VALUE"""),"1754254030955")</f>
        <v>1754254030955</v>
      </c>
      <c r="B4350" s="2"/>
      <c r="C4350" s="2" t="str">
        <v>0</v>
      </c>
      <c r="D4350" s="2"/>
      <c r="F4350" s="2" t="str">
        <v>0</v>
      </c>
      <c r="I4350" s="3" t="str">
        <f ca="1">IFERROR(__xludf.DUMMYFUNCTION("""COMPUTED_VALUE"""),"Hoàng Châu Bảo Ngọc")</f>
        <v>Hoàng Châu Bảo Ngọc</v>
      </c>
      <c r="J4350" s="3" t="str">
        <f ca="1">IFERROR(__xludf.DUMMYFUNCTION("""COMPUTED_VALUE"""),"0359637781")</f>
        <v>0359637781</v>
      </c>
      <c r="K4350" s="2" t="str">
        <f ca="1">IFERROR(__xludf.DUMMYFUNCTION("""COMPUTED_VALUE"""),"1754254030955")</f>
        <v>1754254030955</v>
      </c>
    </row>
    <row r="4351" spans="1:11" ht="12.45">
      <c r="A4351" s="2" t="str">
        <f ca="1">IFERROR(__xludf.DUMMYFUNCTION("""COMPUTED_VALUE"""),"1754254073953")</f>
        <v>1754254073953</v>
      </c>
      <c r="B4351" s="2"/>
      <c r="C4351" s="2" t="str">
        <v>0</v>
      </c>
      <c r="D4351" s="2"/>
      <c r="F4351" s="2" t="str">
        <v>0</v>
      </c>
      <c r="I4351" s="3" t="str">
        <f ca="1">IFERROR(__xludf.DUMMYFUNCTION("""COMPUTED_VALUE"""),"Nguyễn Thị Hải Yến")</f>
        <v>Nguyễn Thị Hải Yến</v>
      </c>
      <c r="J4351" s="3" t="str">
        <f ca="1">IFERROR(__xludf.DUMMYFUNCTION("""COMPUTED_VALUE"""),"0963050279")</f>
        <v>0963050279</v>
      </c>
      <c r="K4351" s="2" t="str">
        <f ca="1">IFERROR(__xludf.DUMMYFUNCTION("""COMPUTED_VALUE"""),"1754254073953")</f>
        <v>1754254073953</v>
      </c>
    </row>
    <row r="4352" spans="1:11" ht="12.45">
      <c r="A4352" s="2" t="str">
        <f ca="1">IFERROR(__xludf.DUMMYFUNCTION("""COMPUTED_VALUE"""),"1754254122269")</f>
        <v>1754254122269</v>
      </c>
      <c r="B4352" s="2"/>
      <c r="C4352" s="2" t="str">
        <v>0</v>
      </c>
      <c r="D4352" s="2"/>
      <c r="F4352" s="2" t="str">
        <v>0</v>
      </c>
      <c r="I4352" s="3" t="str">
        <f ca="1">IFERROR(__xludf.DUMMYFUNCTION("""COMPUTED_VALUE"""),"Giàng a sia ")</f>
        <v xml:space="preserve">Giàng a sia </v>
      </c>
      <c r="J4352" s="3" t="str">
        <f ca="1">IFERROR(__xludf.DUMMYFUNCTION("""COMPUTED_VALUE"""),"0329490374")</f>
        <v>0329490374</v>
      </c>
      <c r="K4352" s="2" t="str">
        <f ca="1">IFERROR(__xludf.DUMMYFUNCTION("""COMPUTED_VALUE"""),"1754254122269")</f>
        <v>1754254122269</v>
      </c>
    </row>
    <row r="4353" spans="1:11" ht="12.45">
      <c r="A4353" s="2" t="str">
        <f ca="1">IFERROR(__xludf.DUMMYFUNCTION("""COMPUTED_VALUE"""),"1754254188311")</f>
        <v>1754254188311</v>
      </c>
      <c r="B4353" s="2"/>
      <c r="C4353" s="2" t="str">
        <v>0</v>
      </c>
      <c r="D4353" s="2"/>
      <c r="F4353" s="2" t="str">
        <v>0</v>
      </c>
      <c r="I4353" s="3" t="str">
        <f ca="1">IFERROR(__xludf.DUMMYFUNCTION("""COMPUTED_VALUE"""),"Nguyễn Trà My ")</f>
        <v xml:space="preserve">Nguyễn Trà My </v>
      </c>
      <c r="J4353" s="3" t="str">
        <f ca="1">IFERROR(__xludf.DUMMYFUNCTION("""COMPUTED_VALUE"""),"0869020049")</f>
        <v>0869020049</v>
      </c>
      <c r="K4353" s="2" t="str">
        <f ca="1">IFERROR(__xludf.DUMMYFUNCTION("""COMPUTED_VALUE"""),"1754254188311")</f>
        <v>1754254188311</v>
      </c>
    </row>
    <row r="4354" spans="1:11" ht="12.45">
      <c r="A4354" s="2" t="str">
        <f ca="1">IFERROR(__xludf.DUMMYFUNCTION("""COMPUTED_VALUE"""),"1754254268031")</f>
        <v>1754254268031</v>
      </c>
      <c r="B4354" s="2"/>
      <c r="C4354" s="2" t="str">
        <v>0</v>
      </c>
      <c r="D4354" s="2"/>
      <c r="F4354" s="2" t="str">
        <v>0</v>
      </c>
      <c r="I4354" s="3" t="str">
        <f ca="1">IFERROR(__xludf.DUMMYFUNCTION("""COMPUTED_VALUE"""),"Hoàng Minh Vy")</f>
        <v>Hoàng Minh Vy</v>
      </c>
      <c r="J4354" s="3" t="str">
        <f ca="1">IFERROR(__xludf.DUMMYFUNCTION("""COMPUTED_VALUE"""),"0393334337")</f>
        <v>0393334337</v>
      </c>
      <c r="K4354" s="2" t="str">
        <f ca="1">IFERROR(__xludf.DUMMYFUNCTION("""COMPUTED_VALUE"""),"1754254268031")</f>
        <v>1754254268031</v>
      </c>
    </row>
    <row r="4355" spans="1:11" ht="12.45">
      <c r="A4355" s="2" t="str">
        <f ca="1">IFERROR(__xludf.DUMMYFUNCTION("""COMPUTED_VALUE"""),"1754254349986")</f>
        <v>1754254349986</v>
      </c>
      <c r="B4355" s="2"/>
      <c r="C4355" s="2" t="str">
        <v>0</v>
      </c>
      <c r="D4355" s="2"/>
      <c r="F4355" s="2" t="str">
        <v>0</v>
      </c>
      <c r="I4355" s="3" t="str">
        <f ca="1">IFERROR(__xludf.DUMMYFUNCTION("""COMPUTED_VALUE"""),"Nguyễn Thị Thu Duyên")</f>
        <v>Nguyễn Thị Thu Duyên</v>
      </c>
      <c r="J4355" s="3" t="str">
        <f ca="1">IFERROR(__xludf.DUMMYFUNCTION("""COMPUTED_VALUE"""),"0335613988")</f>
        <v>0335613988</v>
      </c>
      <c r="K4355" s="2" t="str">
        <f ca="1">IFERROR(__xludf.DUMMYFUNCTION("""COMPUTED_VALUE"""),"1754254349986")</f>
        <v>1754254349986</v>
      </c>
    </row>
    <row r="4356" spans="1:11" ht="12.45">
      <c r="A4356" s="2" t="str">
        <f ca="1">IFERROR(__xludf.DUMMYFUNCTION("""COMPUTED_VALUE"""),"1754254393798")</f>
        <v>1754254393798</v>
      </c>
      <c r="B4356" s="2"/>
      <c r="C4356" s="2" t="str">
        <v>0</v>
      </c>
      <c r="D4356" s="2"/>
      <c r="F4356" s="2" t="str">
        <v>0</v>
      </c>
      <c r="I4356" s="3" t="str">
        <f ca="1">IFERROR(__xludf.DUMMYFUNCTION("""COMPUTED_VALUE"""),"Nguyễn Hồ Ly Sa ")</f>
        <v xml:space="preserve">Nguyễn Hồ Ly Sa </v>
      </c>
      <c r="J4356" s="3" t="str">
        <f ca="1">IFERROR(__xludf.DUMMYFUNCTION("""COMPUTED_VALUE"""),"0837226391")</f>
        <v>0837226391</v>
      </c>
      <c r="K4356" s="2" t="str">
        <f ca="1">IFERROR(__xludf.DUMMYFUNCTION("""COMPUTED_VALUE"""),"1754254393798")</f>
        <v>1754254393798</v>
      </c>
    </row>
    <row r="4357" spans="1:11" ht="12.45">
      <c r="A4357" s="2" t="str">
        <f ca="1">IFERROR(__xludf.DUMMYFUNCTION("""COMPUTED_VALUE"""),"1754254469418")</f>
        <v>1754254469418</v>
      </c>
      <c r="B4357" s="2"/>
      <c r="C4357" s="2" t="str">
        <v>0</v>
      </c>
      <c r="D4357" s="2"/>
      <c r="F4357" s="2" t="str">
        <v>0</v>
      </c>
      <c r="I4357" s="3" t="str">
        <f ca="1">IFERROR(__xludf.DUMMYFUNCTION("""COMPUTED_VALUE"""),"Trần Vũ Khánh Ly ")</f>
        <v xml:space="preserve">Trần Vũ Khánh Ly </v>
      </c>
      <c r="J4357" s="3" t="str">
        <f ca="1">IFERROR(__xludf.DUMMYFUNCTION("""COMPUTED_VALUE"""),"0344548189")</f>
        <v>0344548189</v>
      </c>
      <c r="K4357" s="2" t="str">
        <f ca="1">IFERROR(__xludf.DUMMYFUNCTION("""COMPUTED_VALUE"""),"1754254469418")</f>
        <v>1754254469418</v>
      </c>
    </row>
    <row r="4358" spans="1:11" ht="12.45">
      <c r="A4358" s="2" t="str">
        <f ca="1">IFERROR(__xludf.DUMMYFUNCTION("""COMPUTED_VALUE"""),"1754254507854")</f>
        <v>1754254507854</v>
      </c>
      <c r="B4358" s="2"/>
      <c r="C4358" s="2" t="str">
        <v>0</v>
      </c>
      <c r="D4358" s="2"/>
      <c r="F4358" s="2" t="str">
        <v>0</v>
      </c>
      <c r="I4358" s="3" t="str">
        <f ca="1">IFERROR(__xludf.DUMMYFUNCTION("""COMPUTED_VALUE"""),"Ngô Thị Thu Thuỷ")</f>
        <v>Ngô Thị Thu Thuỷ</v>
      </c>
      <c r="J4358" s="3" t="str">
        <f ca="1">IFERROR(__xludf.DUMMYFUNCTION("""COMPUTED_VALUE"""),"0386504491")</f>
        <v>0386504491</v>
      </c>
      <c r="K4358" s="2" t="str">
        <f ca="1">IFERROR(__xludf.DUMMYFUNCTION("""COMPUTED_VALUE"""),"1754254507854")</f>
        <v>1754254507854</v>
      </c>
    </row>
    <row r="4359" spans="1:11" ht="12.45">
      <c r="A4359" s="2" t="str">
        <f ca="1">IFERROR(__xludf.DUMMYFUNCTION("""COMPUTED_VALUE"""),"1754254576853")</f>
        <v>1754254576853</v>
      </c>
      <c r="B4359" s="2"/>
      <c r="C4359" s="2" t="str">
        <v>0</v>
      </c>
      <c r="D4359" s="2"/>
      <c r="F4359" s="2" t="str">
        <v>0</v>
      </c>
      <c r="I4359" s="3" t="str">
        <f ca="1">IFERROR(__xludf.DUMMYFUNCTION("""COMPUTED_VALUE"""),"Nguyễn Tú Anh")</f>
        <v>Nguyễn Tú Anh</v>
      </c>
      <c r="J4359" s="3" t="str">
        <f ca="1">IFERROR(__xludf.DUMMYFUNCTION("""COMPUTED_VALUE"""),"0372232045")</f>
        <v>0372232045</v>
      </c>
      <c r="K4359" s="2" t="str">
        <f ca="1">IFERROR(__xludf.DUMMYFUNCTION("""COMPUTED_VALUE"""),"1754254576853")</f>
        <v>1754254576853</v>
      </c>
    </row>
    <row r="4360" spans="1:11" ht="12.45">
      <c r="A4360" s="2" t="str">
        <f ca="1">IFERROR(__xludf.DUMMYFUNCTION("""COMPUTED_VALUE"""),"1754254676027")</f>
        <v>1754254676027</v>
      </c>
      <c r="B4360" s="2"/>
      <c r="C4360" s="2" t="str">
        <v>0</v>
      </c>
      <c r="D4360" s="2"/>
      <c r="F4360" s="2" t="str">
        <v>0</v>
      </c>
      <c r="I4360" s="3" t="str">
        <f ca="1">IFERROR(__xludf.DUMMYFUNCTION("""COMPUTED_VALUE"""),"NGUYỄN THỊ KHÁNH DƯƠNG")</f>
        <v>NGUYỄN THỊ KHÁNH DƯƠNG</v>
      </c>
      <c r="J4360" s="3" t="str">
        <f ca="1">IFERROR(__xludf.DUMMYFUNCTION("""COMPUTED_VALUE"""),"0385878975")</f>
        <v>0385878975</v>
      </c>
      <c r="K4360" s="2" t="str">
        <f ca="1">IFERROR(__xludf.DUMMYFUNCTION("""COMPUTED_VALUE"""),"1754254676027")</f>
        <v>1754254676027</v>
      </c>
    </row>
    <row r="4361" spans="1:11" ht="12.45">
      <c r="A4361" s="2" t="str">
        <f ca="1">IFERROR(__xludf.DUMMYFUNCTION("""COMPUTED_VALUE"""),"1754254736374")</f>
        <v>1754254736374</v>
      </c>
      <c r="B4361" s="2"/>
      <c r="C4361" s="2" t="str">
        <v>0</v>
      </c>
      <c r="D4361" s="2"/>
      <c r="F4361" s="2" t="str">
        <v>0</v>
      </c>
      <c r="I4361" s="3" t="str">
        <f ca="1">IFERROR(__xludf.DUMMYFUNCTION("""COMPUTED_VALUE"""),"La Thành Đạt")</f>
        <v>La Thành Đạt</v>
      </c>
      <c r="J4361" s="3" t="str">
        <f ca="1">IFERROR(__xludf.DUMMYFUNCTION("""COMPUTED_VALUE"""),"0837466683")</f>
        <v>0837466683</v>
      </c>
      <c r="K4361" s="2" t="str">
        <f ca="1">IFERROR(__xludf.DUMMYFUNCTION("""COMPUTED_VALUE"""),"1754254736374")</f>
        <v>1754254736374</v>
      </c>
    </row>
    <row r="4362" spans="1:11" ht="12.45">
      <c r="A4362" s="2" t="str">
        <f ca="1">IFERROR(__xludf.DUMMYFUNCTION("""COMPUTED_VALUE"""),"1754254817248")</f>
        <v>1754254817248</v>
      </c>
      <c r="B4362" s="2"/>
      <c r="C4362" s="2" t="str">
        <v>0</v>
      </c>
      <c r="D4362" s="2"/>
      <c r="F4362" s="2" t="str">
        <v>0</v>
      </c>
      <c r="I4362" s="3" t="str">
        <f ca="1">IFERROR(__xludf.DUMMYFUNCTION("""COMPUTED_VALUE"""),"Đoàn Ngọc Khánh")</f>
        <v>Đoàn Ngọc Khánh</v>
      </c>
      <c r="J4362" s="3" t="str">
        <f ca="1">IFERROR(__xludf.DUMMYFUNCTION("""COMPUTED_VALUE"""),"0818103705")</f>
        <v>0818103705</v>
      </c>
      <c r="K4362" s="2" t="str">
        <f ca="1">IFERROR(__xludf.DUMMYFUNCTION("""COMPUTED_VALUE"""),"1754254817248")</f>
        <v>1754254817248</v>
      </c>
    </row>
    <row r="4363" spans="1:11" ht="12.45">
      <c r="A4363" s="2" t="str">
        <f ca="1">IFERROR(__xludf.DUMMYFUNCTION("""COMPUTED_VALUE"""),"1754254885361")</f>
        <v>1754254885361</v>
      </c>
      <c r="B4363" s="2"/>
      <c r="C4363" s="2" t="str">
        <v>0</v>
      </c>
      <c r="D4363" s="2"/>
      <c r="F4363" s="2" t="str">
        <v>0</v>
      </c>
      <c r="I4363" s="3" t="str">
        <f ca="1">IFERROR(__xludf.DUMMYFUNCTION("""COMPUTED_VALUE"""),"Thái Phương Anh")</f>
        <v>Thái Phương Anh</v>
      </c>
      <c r="J4363" s="3" t="str">
        <f ca="1">IFERROR(__xludf.DUMMYFUNCTION("""COMPUTED_VALUE"""),"0815807715")</f>
        <v>0815807715</v>
      </c>
      <c r="K4363" s="2" t="str">
        <f ca="1">IFERROR(__xludf.DUMMYFUNCTION("""COMPUTED_VALUE"""),"1754254885361")</f>
        <v>1754254885361</v>
      </c>
    </row>
    <row r="4364" spans="1:11" ht="12.45">
      <c r="A4364" s="2" t="str">
        <f ca="1">IFERROR(__xludf.DUMMYFUNCTION("""COMPUTED_VALUE"""),"1754254952899")</f>
        <v>1754254952899</v>
      </c>
      <c r="B4364" s="2"/>
      <c r="C4364" s="2" t="str">
        <v>0</v>
      </c>
      <c r="D4364" s="2"/>
      <c r="F4364" s="2" t="str">
        <v>0</v>
      </c>
      <c r="I4364" s="3" t="str">
        <f ca="1">IFERROR(__xludf.DUMMYFUNCTION("""COMPUTED_VALUE"""),"Lê Thị Thanh Loan")</f>
        <v>Lê Thị Thanh Loan</v>
      </c>
      <c r="J4364" s="3" t="str">
        <f ca="1">IFERROR(__xludf.DUMMYFUNCTION("""COMPUTED_VALUE"""),"0971360518")</f>
        <v>0971360518</v>
      </c>
      <c r="K4364" s="2" t="str">
        <f ca="1">IFERROR(__xludf.DUMMYFUNCTION("""COMPUTED_VALUE"""),"1754254952899")</f>
        <v>1754254952899</v>
      </c>
    </row>
    <row r="4365" spans="1:11" ht="12.45">
      <c r="A4365" s="2" t="str">
        <f ca="1">IFERROR(__xludf.DUMMYFUNCTION("""COMPUTED_VALUE"""),"1754255012000")</f>
        <v>1754255012000</v>
      </c>
      <c r="B4365" s="2"/>
      <c r="C4365" s="2" t="str">
        <v>0</v>
      </c>
      <c r="D4365" s="2"/>
      <c r="F4365" s="2" t="str">
        <v>0</v>
      </c>
      <c r="I4365" s="3" t="str">
        <f ca="1">IFERROR(__xludf.DUMMYFUNCTION("""COMPUTED_VALUE"""),"Nguyễn Phương Vy")</f>
        <v>Nguyễn Phương Vy</v>
      </c>
      <c r="J4365" s="3" t="str">
        <f ca="1">IFERROR(__xludf.DUMMYFUNCTION("""COMPUTED_VALUE"""),"0889378456")</f>
        <v>0889378456</v>
      </c>
      <c r="K4365" s="2" t="str">
        <f ca="1">IFERROR(__xludf.DUMMYFUNCTION("""COMPUTED_VALUE"""),"1754255012000")</f>
        <v>1754255012000</v>
      </c>
    </row>
    <row r="4366" spans="1:11" ht="12.45">
      <c r="A4366" s="2" t="str">
        <f ca="1">IFERROR(__xludf.DUMMYFUNCTION("""COMPUTED_VALUE"""),"1754255079460")</f>
        <v>1754255079460</v>
      </c>
      <c r="B4366" s="2"/>
      <c r="C4366" s="2" t="str">
        <v>0</v>
      </c>
      <c r="D4366" s="2"/>
      <c r="F4366" s="2" t="str">
        <v>0</v>
      </c>
      <c r="I4366" s="3" t="str">
        <f ca="1">IFERROR(__xludf.DUMMYFUNCTION("""COMPUTED_VALUE"""),"Phùng Tiến Đạt ")</f>
        <v xml:space="preserve">Phùng Tiến Đạt </v>
      </c>
      <c r="J4366" s="3" t="str">
        <f ca="1">IFERROR(__xludf.DUMMYFUNCTION("""COMPUTED_VALUE"""),"0334625748")</f>
        <v>0334625748</v>
      </c>
      <c r="K4366" s="2" t="str">
        <f ca="1">IFERROR(__xludf.DUMMYFUNCTION("""COMPUTED_VALUE"""),"1754255079460")</f>
        <v>1754255079460</v>
      </c>
    </row>
    <row r="4367" spans="1:11" ht="12.45">
      <c r="A4367" s="2" t="str">
        <f ca="1">IFERROR(__xludf.DUMMYFUNCTION("""COMPUTED_VALUE"""),"1754255152195")</f>
        <v>1754255152195</v>
      </c>
      <c r="B4367" s="2"/>
      <c r="C4367" s="2" t="str">
        <v>0</v>
      </c>
      <c r="D4367" s="2"/>
      <c r="F4367" s="2" t="str">
        <v>0</v>
      </c>
      <c r="I4367" s="3" t="str">
        <f ca="1">IFERROR(__xludf.DUMMYFUNCTION("""COMPUTED_VALUE"""),"Bùi Thị Bích Ngọc ")</f>
        <v xml:space="preserve">Bùi Thị Bích Ngọc </v>
      </c>
      <c r="J4367" s="3" t="str">
        <f ca="1">IFERROR(__xludf.DUMMYFUNCTION("""COMPUTED_VALUE"""),"0348005957")</f>
        <v>0348005957</v>
      </c>
      <c r="K4367" s="2" t="str">
        <f ca="1">IFERROR(__xludf.DUMMYFUNCTION("""COMPUTED_VALUE"""),"1754255152195")</f>
        <v>1754255152195</v>
      </c>
    </row>
    <row r="4368" spans="1:11" ht="12.45">
      <c r="A4368" s="2">
        <f ca="1">IFERROR(__xludf.DUMMYFUNCTION("""COMPUTED_VALUE"""),1755549128702)</f>
        <v>1755549128702</v>
      </c>
      <c r="B4368" s="2"/>
      <c r="C4368" s="2" t="str">
        <v>0</v>
      </c>
      <c r="D4368" s="2"/>
      <c r="F4368" s="2" t="str">
        <v>0</v>
      </c>
      <c r="I4368" s="3" t="str">
        <f ca="1">IFERROR(__xludf.DUMMYFUNCTION("""COMPUTED_VALUE"""),"Nguyễn Thị Diệu Thảo")</f>
        <v>Nguyễn Thị Diệu Thảo</v>
      </c>
      <c r="J4368" s="3" t="str">
        <f ca="1">IFERROR(__xludf.DUMMYFUNCTION("""COMPUTED_VALUE"""),"0366905774")</f>
        <v>0366905774</v>
      </c>
      <c r="K4368" s="2">
        <f ca="1">IFERROR(__xludf.DUMMYFUNCTION("""COMPUTED_VALUE"""),1755549128702)</f>
        <v>1755549128702</v>
      </c>
    </row>
    <row r="4369" spans="1:11" ht="12.45">
      <c r="A4369" s="2" t="str">
        <f ca="1">IFERROR(__xludf.DUMMYFUNCTION("""COMPUTED_VALUE"""),"1754255244502")</f>
        <v>1754255244502</v>
      </c>
      <c r="B4369" s="2"/>
      <c r="C4369" s="2" t="str">
        <v>0</v>
      </c>
      <c r="D4369" s="2"/>
      <c r="F4369" s="2" t="str">
        <v>0</v>
      </c>
      <c r="I4369" s="3" t="str">
        <f ca="1">IFERROR(__xludf.DUMMYFUNCTION("""COMPUTED_VALUE"""),"Nguyễn Thị Thu Thảo")</f>
        <v>Nguyễn Thị Thu Thảo</v>
      </c>
      <c r="J4369" s="3" t="str">
        <f ca="1">IFERROR(__xludf.DUMMYFUNCTION("""COMPUTED_VALUE"""),"0366250345")</f>
        <v>0366250345</v>
      </c>
      <c r="K4369" s="2" t="str">
        <f ca="1">IFERROR(__xludf.DUMMYFUNCTION("""COMPUTED_VALUE"""),"1754255244502")</f>
        <v>1754255244502</v>
      </c>
    </row>
    <row r="4370" spans="1:11" ht="12.45">
      <c r="A4370" s="2" t="str">
        <f ca="1">IFERROR(__xludf.DUMMYFUNCTION("""COMPUTED_VALUE"""),"1754255310088")</f>
        <v>1754255310088</v>
      </c>
      <c r="B4370" s="2"/>
      <c r="C4370" s="2" t="str">
        <v>0</v>
      </c>
      <c r="D4370" s="2"/>
      <c r="F4370" s="2" t="str">
        <v>0</v>
      </c>
      <c r="I4370" s="3" t="str">
        <f ca="1">IFERROR(__xludf.DUMMYFUNCTION("""COMPUTED_VALUE"""),"Nguyễn Bình Nhi")</f>
        <v>Nguyễn Bình Nhi</v>
      </c>
      <c r="J4370" s="2" t="str">
        <f ca="1">IFERROR(__xludf.DUMMYFUNCTION("""COMPUTED_VALUE"""),"0382681899")</f>
        <v>0382681899</v>
      </c>
      <c r="K4370" s="2" t="str">
        <f ca="1">IFERROR(__xludf.DUMMYFUNCTION("""COMPUTED_VALUE"""),"1754255310088")</f>
        <v>1754255310088</v>
      </c>
    </row>
    <row r="4371" spans="1:11" ht="12.45">
      <c r="A4371" s="2" t="str">
        <f ca="1">IFERROR(__xludf.DUMMYFUNCTION("""COMPUTED_VALUE"""),"1754255364580")</f>
        <v>1754255364580</v>
      </c>
      <c r="B4371" s="2"/>
      <c r="C4371" s="2" t="str">
        <v>0</v>
      </c>
      <c r="D4371" s="2"/>
      <c r="F4371" s="2" t="str">
        <v>0</v>
      </c>
      <c r="I4371" s="3" t="str">
        <f ca="1">IFERROR(__xludf.DUMMYFUNCTION("""COMPUTED_VALUE"""),"Đậu Thị Phương Thảo")</f>
        <v>Đậu Thị Phương Thảo</v>
      </c>
      <c r="J4371" s="3" t="str">
        <f ca="1">IFERROR(__xludf.DUMMYFUNCTION("""COMPUTED_VALUE"""),"0987804947")</f>
        <v>0987804947</v>
      </c>
      <c r="K4371" s="2" t="str">
        <f ca="1">IFERROR(__xludf.DUMMYFUNCTION("""COMPUTED_VALUE"""),"1754255364580")</f>
        <v>1754255364580</v>
      </c>
    </row>
    <row r="4372" spans="1:11" ht="12.45">
      <c r="A4372" s="2" t="str">
        <f ca="1">IFERROR(__xludf.DUMMYFUNCTION("""COMPUTED_VALUE"""),"1754255472735")</f>
        <v>1754255472735</v>
      </c>
      <c r="B4372" s="2"/>
      <c r="C4372" s="2" t="str">
        <v>0</v>
      </c>
      <c r="D4372" s="2"/>
      <c r="F4372" s="2" t="str">
        <v>0</v>
      </c>
      <c r="I4372" s="3" t="str">
        <f ca="1">IFERROR(__xludf.DUMMYFUNCTION("""COMPUTED_VALUE"""),"Đỗ Diệu Linh")</f>
        <v>Đỗ Diệu Linh</v>
      </c>
      <c r="J4372" s="3" t="str">
        <f ca="1">IFERROR(__xludf.DUMMYFUNCTION("""COMPUTED_VALUE"""),"0375289467")</f>
        <v>0375289467</v>
      </c>
      <c r="K4372" s="2" t="str">
        <f ca="1">IFERROR(__xludf.DUMMYFUNCTION("""COMPUTED_VALUE"""),"1754255472735")</f>
        <v>1754255472735</v>
      </c>
    </row>
    <row r="4373" spans="1:11" ht="12.45">
      <c r="A4373" s="2" t="str">
        <f ca="1">IFERROR(__xludf.DUMMYFUNCTION("""COMPUTED_VALUE"""),"1754255586909")</f>
        <v>1754255586909</v>
      </c>
      <c r="B4373" s="2"/>
      <c r="C4373" s="2" t="str">
        <v>0</v>
      </c>
      <c r="D4373" s="2"/>
      <c r="F4373" s="2" t="str">
        <v>0</v>
      </c>
      <c r="I4373" s="3" t="str">
        <f ca="1">IFERROR(__xludf.DUMMYFUNCTION("""COMPUTED_VALUE"""),"Trần Anh Thư")</f>
        <v>Trần Anh Thư</v>
      </c>
      <c r="J4373" s="3" t="str">
        <f ca="1">IFERROR(__xludf.DUMMYFUNCTION("""COMPUTED_VALUE"""),"0364567147")</f>
        <v>0364567147</v>
      </c>
      <c r="K4373" s="2" t="str">
        <f ca="1">IFERROR(__xludf.DUMMYFUNCTION("""COMPUTED_VALUE"""),"1754255586909")</f>
        <v>1754255586909</v>
      </c>
    </row>
    <row r="4374" spans="1:11" ht="12.45">
      <c r="A4374" s="2" t="str">
        <f ca="1">IFERROR(__xludf.DUMMYFUNCTION("""COMPUTED_VALUE"""),"1754255658238")</f>
        <v>1754255658238</v>
      </c>
      <c r="B4374" s="2"/>
      <c r="C4374" s="2" t="str">
        <v>0</v>
      </c>
      <c r="D4374" s="2"/>
      <c r="F4374" s="2" t="str">
        <v>0</v>
      </c>
      <c r="I4374" s="3" t="str">
        <f ca="1">IFERROR(__xludf.DUMMYFUNCTION("""COMPUTED_VALUE"""),"Nguyễn Hồng Ngọc ")</f>
        <v xml:space="preserve">Nguyễn Hồng Ngọc </v>
      </c>
      <c r="J4374" s="3" t="str">
        <f ca="1">IFERROR(__xludf.DUMMYFUNCTION("""COMPUTED_VALUE"""),"0354348318")</f>
        <v>0354348318</v>
      </c>
      <c r="K4374" s="2" t="str">
        <f ca="1">IFERROR(__xludf.DUMMYFUNCTION("""COMPUTED_VALUE"""),"1754255658238")</f>
        <v>1754255658238</v>
      </c>
    </row>
    <row r="4375" spans="1:11" ht="12.45">
      <c r="A4375" s="2" t="str">
        <f ca="1">IFERROR(__xludf.DUMMYFUNCTION("""COMPUTED_VALUE"""),"1754255698842")</f>
        <v>1754255698842</v>
      </c>
      <c r="B4375" s="2"/>
      <c r="C4375" s="2" t="str">
        <v>0</v>
      </c>
      <c r="D4375" s="2"/>
      <c r="F4375" s="2" t="str">
        <v>0</v>
      </c>
      <c r="I4375" s="3" t="str">
        <f ca="1">IFERROR(__xludf.DUMMYFUNCTION("""COMPUTED_VALUE"""),"Nguyễn Anh Thư")</f>
        <v>Nguyễn Anh Thư</v>
      </c>
      <c r="J4375" s="3" t="str">
        <f ca="1">IFERROR(__xludf.DUMMYFUNCTION("""COMPUTED_VALUE"""),"0923099420")</f>
        <v>0923099420</v>
      </c>
      <c r="K4375" s="2" t="str">
        <f ca="1">IFERROR(__xludf.DUMMYFUNCTION("""COMPUTED_VALUE"""),"1754255698842")</f>
        <v>1754255698842</v>
      </c>
    </row>
    <row r="4376" spans="1:11" ht="12.45">
      <c r="A4376" s="2" t="str">
        <f ca="1">IFERROR(__xludf.DUMMYFUNCTION("""COMPUTED_VALUE"""),"1754255773019")</f>
        <v>1754255773019</v>
      </c>
      <c r="B4376" s="2"/>
      <c r="C4376" s="2" t="str">
        <v>0</v>
      </c>
      <c r="D4376" s="2"/>
      <c r="F4376" s="2" t="str">
        <v>0</v>
      </c>
      <c r="I4376" s="3" t="str">
        <f ca="1">IFERROR(__xludf.DUMMYFUNCTION("""COMPUTED_VALUE"""),"Nguyễn Anh Thư")</f>
        <v>Nguyễn Anh Thư</v>
      </c>
      <c r="J4376" s="3" t="str">
        <f ca="1">IFERROR(__xludf.DUMMYFUNCTION("""COMPUTED_VALUE"""),"0862134135")</f>
        <v>0862134135</v>
      </c>
      <c r="K4376" s="2" t="str">
        <f ca="1">IFERROR(__xludf.DUMMYFUNCTION("""COMPUTED_VALUE"""),"1754255773019")</f>
        <v>1754255773019</v>
      </c>
    </row>
    <row r="4377" spans="1:11" ht="12.45">
      <c r="A4377" s="2" t="str">
        <f ca="1">IFERROR(__xludf.DUMMYFUNCTION("""COMPUTED_VALUE"""),"1754255845028")</f>
        <v>1754255845028</v>
      </c>
      <c r="B4377" s="2"/>
      <c r="C4377" s="2" t="str">
        <v>0</v>
      </c>
      <c r="D4377" s="2"/>
      <c r="F4377" s="2" t="str">
        <v>0</v>
      </c>
      <c r="I4377" s="3" t="str">
        <f ca="1">IFERROR(__xludf.DUMMYFUNCTION("""COMPUTED_VALUE"""),"Mai Thị Hồng ")</f>
        <v xml:space="preserve">Mai Thị Hồng </v>
      </c>
      <c r="J4377" s="3" t="str">
        <f ca="1">IFERROR(__xludf.DUMMYFUNCTION("""COMPUTED_VALUE"""),"0932460407")</f>
        <v>0932460407</v>
      </c>
      <c r="K4377" s="2" t="str">
        <f ca="1">IFERROR(__xludf.DUMMYFUNCTION("""COMPUTED_VALUE"""),"1754255845028")</f>
        <v>1754255845028</v>
      </c>
    </row>
    <row r="4378" spans="1:11" ht="12.45">
      <c r="A4378" s="2" t="str">
        <f ca="1">IFERROR(__xludf.DUMMYFUNCTION("""COMPUTED_VALUE"""),"1754255935738")</f>
        <v>1754255935738</v>
      </c>
      <c r="B4378" s="2"/>
      <c r="C4378" s="2" t="str">
        <v>0</v>
      </c>
      <c r="D4378" s="2"/>
      <c r="F4378" s="2" t="str">
        <v>0</v>
      </c>
      <c r="I4378" s="3" t="str">
        <f ca="1">IFERROR(__xludf.DUMMYFUNCTION("""COMPUTED_VALUE"""),"Ngô Gia Hiếu")</f>
        <v>Ngô Gia Hiếu</v>
      </c>
      <c r="J4378" s="3" t="str">
        <f ca="1">IFERROR(__xludf.DUMMYFUNCTION("""COMPUTED_VALUE"""),"0936802007")</f>
        <v>0936802007</v>
      </c>
      <c r="K4378" s="2" t="str">
        <f ca="1">IFERROR(__xludf.DUMMYFUNCTION("""COMPUTED_VALUE"""),"1754255935738")</f>
        <v>1754255935738</v>
      </c>
    </row>
    <row r="4379" spans="1:11" ht="12.45">
      <c r="A4379" s="2" t="str">
        <f ca="1">IFERROR(__xludf.DUMMYFUNCTION("""COMPUTED_VALUE"""),"1754255991552")</f>
        <v>1754255991552</v>
      </c>
      <c r="B4379" s="2"/>
      <c r="C4379" s="2" t="str">
        <v>0</v>
      </c>
      <c r="D4379" s="2"/>
      <c r="F4379" s="2" t="str">
        <v>0</v>
      </c>
      <c r="I4379" s="3" t="str">
        <f ca="1">IFERROR(__xludf.DUMMYFUNCTION("""COMPUTED_VALUE"""),"Châu Lê Thảo My ")</f>
        <v xml:space="preserve">Châu Lê Thảo My </v>
      </c>
      <c r="J4379" s="3" t="str">
        <f ca="1">IFERROR(__xludf.DUMMYFUNCTION("""COMPUTED_VALUE"""),"0934419154")</f>
        <v>0934419154</v>
      </c>
      <c r="K4379" s="2" t="str">
        <f ca="1">IFERROR(__xludf.DUMMYFUNCTION("""COMPUTED_VALUE"""),"1754255991552")</f>
        <v>1754255991552</v>
      </c>
    </row>
    <row r="4380" spans="1:11" ht="12.45">
      <c r="A4380" s="2" t="str">
        <f ca="1">IFERROR(__xludf.DUMMYFUNCTION("""COMPUTED_VALUE"""),"1761431187404")</f>
        <v>1761431187404</v>
      </c>
      <c r="B4380" s="2"/>
      <c r="C4380" s="2" t="str">
        <v>0</v>
      </c>
      <c r="D4380" s="2"/>
      <c r="F4380" s="2" t="str">
        <v>0</v>
      </c>
      <c r="I4380" s="3" t="str">
        <f ca="1">IFERROR(__xludf.DUMMYFUNCTION("""COMPUTED_VALUE"""),"nguyễn thị ngọc mai")</f>
        <v>nguyễn thị ngọc mai</v>
      </c>
      <c r="J4380" s="3" t="str">
        <f ca="1">IFERROR(__xludf.DUMMYFUNCTION("""COMPUTED_VALUE"""),"0901739595")</f>
        <v>0901739595</v>
      </c>
      <c r="K4380" s="2" t="str">
        <f ca="1">IFERROR(__xludf.DUMMYFUNCTION("""COMPUTED_VALUE"""),"1761431187404")</f>
        <v>1761431187404</v>
      </c>
    </row>
    <row r="4381" spans="1:11" ht="12.45">
      <c r="A4381" s="2" t="str">
        <f ca="1">IFERROR(__xludf.DUMMYFUNCTION("""COMPUTED_VALUE"""),"1761431229637")</f>
        <v>1761431229637</v>
      </c>
      <c r="B4381" s="2"/>
      <c r="C4381" s="2" t="str">
        <v>0</v>
      </c>
      <c r="D4381" s="2"/>
      <c r="F4381" s="2" t="str">
        <v>0</v>
      </c>
      <c r="I4381" s="3" t="str">
        <f ca="1">IFERROR(__xludf.DUMMYFUNCTION("""COMPUTED_VALUE"""),"Nguyễn Thị Khánh Linh ")</f>
        <v xml:space="preserve">Nguyễn Thị Khánh Linh </v>
      </c>
      <c r="J4381" s="3" t="str">
        <f ca="1">IFERROR(__xludf.DUMMYFUNCTION("""COMPUTED_VALUE"""),"0901623686")</f>
        <v>0901623686</v>
      </c>
      <c r="K4381" s="2" t="str">
        <f ca="1">IFERROR(__xludf.DUMMYFUNCTION("""COMPUTED_VALUE"""),"1761431229637")</f>
        <v>1761431229637</v>
      </c>
    </row>
    <row r="4382" spans="1:11" ht="12.45">
      <c r="A4382" s="2" t="str">
        <f ca="1">IFERROR(__xludf.DUMMYFUNCTION("""COMPUTED_VALUE"""),"1761431259122")</f>
        <v>1761431259122</v>
      </c>
      <c r="B4382" s="2"/>
      <c r="C4382" s="2" t="str">
        <v>0</v>
      </c>
      <c r="D4382" s="2"/>
      <c r="F4382" s="2" t="str">
        <v>0</v>
      </c>
      <c r="I4382" s="3" t="str">
        <f ca="1">IFERROR(__xludf.DUMMYFUNCTION("""COMPUTED_VALUE"""),"Tòng phương thảo")</f>
        <v>Tòng phương thảo</v>
      </c>
      <c r="J4382" s="3" t="str">
        <f ca="1">IFERROR(__xludf.DUMMYFUNCTION("""COMPUTED_VALUE"""),"0399113507")</f>
        <v>0399113507</v>
      </c>
      <c r="K4382" s="2" t="str">
        <f ca="1">IFERROR(__xludf.DUMMYFUNCTION("""COMPUTED_VALUE"""),"1761431259122")</f>
        <v>1761431259122</v>
      </c>
    </row>
    <row r="4383" spans="1:11" ht="12.45">
      <c r="A4383" s="2" t="str">
        <f ca="1">IFERROR(__xludf.DUMMYFUNCTION("""COMPUTED_VALUE"""),"1761431308555")</f>
        <v>1761431308555</v>
      </c>
      <c r="B4383" s="2"/>
      <c r="C4383" s="2" t="str">
        <v>0</v>
      </c>
      <c r="D4383" s="2"/>
      <c r="F4383" s="2" t="str">
        <v>0</v>
      </c>
      <c r="I4383" s="3" t="str">
        <f ca="1">IFERROR(__xludf.DUMMYFUNCTION("""COMPUTED_VALUE"""),"Hoàng Thị Lệ Quyên")</f>
        <v>Hoàng Thị Lệ Quyên</v>
      </c>
      <c r="J4383" s="3" t="str">
        <f ca="1">IFERROR(__xludf.DUMMYFUNCTION("""COMPUTED_VALUE"""),"0335965944")</f>
        <v>0335965944</v>
      </c>
      <c r="K4383" s="2" t="str">
        <f ca="1">IFERROR(__xludf.DUMMYFUNCTION("""COMPUTED_VALUE"""),"1761431308555")</f>
        <v>1761431308555</v>
      </c>
    </row>
    <row r="4384" spans="1:11" ht="12.45">
      <c r="A4384" s="2" t="str">
        <f ca="1">IFERROR(__xludf.DUMMYFUNCTION("""COMPUTED_VALUE"""),"1761431355941")</f>
        <v>1761431355941</v>
      </c>
      <c r="B4384" s="2"/>
      <c r="C4384" s="2" t="str">
        <v>0</v>
      </c>
      <c r="D4384" s="2"/>
      <c r="F4384" s="2" t="str">
        <v>0</v>
      </c>
      <c r="I4384" s="3" t="str">
        <f ca="1">IFERROR(__xludf.DUMMYFUNCTION("""COMPUTED_VALUE"""),"Nguyễn Quốc Thanh")</f>
        <v>Nguyễn Quốc Thanh</v>
      </c>
      <c r="J4384" s="3" t="str">
        <f ca="1">IFERROR(__xludf.DUMMYFUNCTION("""COMPUTED_VALUE"""),"0389594010")</f>
        <v>0389594010</v>
      </c>
      <c r="K4384" s="2" t="str">
        <f ca="1">IFERROR(__xludf.DUMMYFUNCTION("""COMPUTED_VALUE"""),"1761431355941")</f>
        <v>1761431355941</v>
      </c>
    </row>
    <row r="4385" spans="1:11" ht="12.45">
      <c r="A4385" s="2" t="str">
        <f ca="1">IFERROR(__xludf.DUMMYFUNCTION("""COMPUTED_VALUE"""),"1761431386083")</f>
        <v>1761431386083</v>
      </c>
      <c r="B4385" s="2"/>
      <c r="C4385" s="2" t="str">
        <v>0</v>
      </c>
      <c r="D4385" s="2"/>
      <c r="F4385" s="2" t="str">
        <v>0</v>
      </c>
      <c r="I4385" s="3" t="str">
        <f ca="1">IFERROR(__xludf.DUMMYFUNCTION("""COMPUTED_VALUE"""),"Nguyễn Thanh Sơn")</f>
        <v>Nguyễn Thanh Sơn</v>
      </c>
      <c r="J4385" s="3" t="str">
        <f ca="1">IFERROR(__xludf.DUMMYFUNCTION("""COMPUTED_VALUE"""),"0392221034")</f>
        <v>0392221034</v>
      </c>
      <c r="K4385" s="2" t="str">
        <f ca="1">IFERROR(__xludf.DUMMYFUNCTION("""COMPUTED_VALUE"""),"1761431386083")</f>
        <v>1761431386083</v>
      </c>
    </row>
    <row r="4386" spans="1:11" ht="12.45">
      <c r="A4386" s="2" t="str">
        <f ca="1">IFERROR(__xludf.DUMMYFUNCTION("""COMPUTED_VALUE"""),"1761431414811")</f>
        <v>1761431414811</v>
      </c>
      <c r="B4386" s="2"/>
      <c r="C4386" s="2" t="str">
        <v>0</v>
      </c>
      <c r="D4386" s="2"/>
      <c r="F4386" s="2" t="str">
        <v>0</v>
      </c>
      <c r="I4386" s="3" t="str">
        <f ca="1">IFERROR(__xludf.DUMMYFUNCTION("""COMPUTED_VALUE"""),"Phan Phương Uyên ")</f>
        <v xml:space="preserve">Phan Phương Uyên </v>
      </c>
      <c r="J4386" s="3" t="str">
        <f ca="1">IFERROR(__xludf.DUMMYFUNCTION("""COMPUTED_VALUE"""),"0832682020")</f>
        <v>0832682020</v>
      </c>
      <c r="K4386" s="2" t="str">
        <f ca="1">IFERROR(__xludf.DUMMYFUNCTION("""COMPUTED_VALUE"""),"1761431414811")</f>
        <v>1761431414811</v>
      </c>
    </row>
    <row r="4387" spans="1:11" ht="12.45">
      <c r="A4387" s="2" t="str">
        <f ca="1">IFERROR(__xludf.DUMMYFUNCTION("""COMPUTED_VALUE"""),"1761431444203")</f>
        <v>1761431444203</v>
      </c>
      <c r="B4387" s="2"/>
      <c r="C4387" s="2" t="str">
        <v>0</v>
      </c>
      <c r="D4387" s="2"/>
      <c r="F4387" s="2" t="str">
        <v>0</v>
      </c>
      <c r="I4387" s="3" t="str">
        <f ca="1">IFERROR(__xludf.DUMMYFUNCTION("""COMPUTED_VALUE"""),"Nguyễn Thị Phương Linh ")</f>
        <v xml:space="preserve">Nguyễn Thị Phương Linh </v>
      </c>
      <c r="J4387" s="3" t="str">
        <f ca="1">IFERROR(__xludf.DUMMYFUNCTION("""COMPUTED_VALUE"""),"0347363034")</f>
        <v>0347363034</v>
      </c>
      <c r="K4387" s="2" t="str">
        <f ca="1">IFERROR(__xludf.DUMMYFUNCTION("""COMPUTED_VALUE"""),"1761431444203")</f>
        <v>1761431444203</v>
      </c>
    </row>
    <row r="4388" spans="1:11" ht="12.45">
      <c r="A4388" s="2" t="str">
        <f ca="1">IFERROR(__xludf.DUMMYFUNCTION("""COMPUTED_VALUE"""),"1761431482099")</f>
        <v>1761431482099</v>
      </c>
      <c r="B4388" s="2"/>
      <c r="C4388" s="2" t="str">
        <v>0</v>
      </c>
      <c r="D4388" s="2"/>
      <c r="F4388" s="2" t="str">
        <v>0</v>
      </c>
      <c r="I4388" s="3" t="str">
        <f ca="1">IFERROR(__xludf.DUMMYFUNCTION("""COMPUTED_VALUE"""),"Đỗ Bảo Ngân")</f>
        <v>Đỗ Bảo Ngân</v>
      </c>
      <c r="J4388" s="3" t="str">
        <f ca="1">IFERROR(__xludf.DUMMYFUNCTION("""COMPUTED_VALUE"""),"0972528275")</f>
        <v>0972528275</v>
      </c>
      <c r="K4388" s="2" t="str">
        <f ca="1">IFERROR(__xludf.DUMMYFUNCTION("""COMPUTED_VALUE"""),"1761431482099")</f>
        <v>1761431482099</v>
      </c>
    </row>
    <row r="4389" spans="1:11" ht="12.45">
      <c r="A4389" s="2" t="str">
        <f ca="1">IFERROR(__xludf.DUMMYFUNCTION("""COMPUTED_VALUE"""),"1761431524587")</f>
        <v>1761431524587</v>
      </c>
      <c r="B4389" s="2"/>
      <c r="C4389" s="2" t="str">
        <v>0</v>
      </c>
      <c r="D4389" s="2"/>
      <c r="F4389" s="2" t="str">
        <v>0</v>
      </c>
      <c r="I4389" s="3" t="str">
        <f ca="1">IFERROR(__xludf.DUMMYFUNCTION("""COMPUTED_VALUE"""),"Dương Đặng Bảo Trân")</f>
        <v>Dương Đặng Bảo Trân</v>
      </c>
      <c r="J4389" s="3" t="str">
        <f ca="1">IFERROR(__xludf.DUMMYFUNCTION("""COMPUTED_VALUE"""),"0947364333")</f>
        <v>0947364333</v>
      </c>
      <c r="K4389" s="2" t="str">
        <f ca="1">IFERROR(__xludf.DUMMYFUNCTION("""COMPUTED_VALUE"""),"1761431524587")</f>
        <v>1761431524587</v>
      </c>
    </row>
    <row r="4390" spans="1:11" ht="12.45">
      <c r="A4390" s="2" t="str">
        <f ca="1">IFERROR(__xludf.DUMMYFUNCTION("""COMPUTED_VALUE"""),"1761431562443")</f>
        <v>1761431562443</v>
      </c>
      <c r="B4390" s="2"/>
      <c r="C4390" s="2" t="str">
        <v>0</v>
      </c>
      <c r="D4390" s="2"/>
      <c r="F4390" s="2" t="str">
        <v>0</v>
      </c>
      <c r="I4390" s="3" t="str">
        <f ca="1">IFERROR(__xludf.DUMMYFUNCTION("""COMPUTED_VALUE"""),"Nguyễn Vũ Mai Hương")</f>
        <v>Nguyễn Vũ Mai Hương</v>
      </c>
      <c r="J4390" s="3" t="str">
        <f ca="1">IFERROR(__xludf.DUMMYFUNCTION("""COMPUTED_VALUE"""),"0919568152")</f>
        <v>0919568152</v>
      </c>
      <c r="K4390" s="2" t="str">
        <f ca="1">IFERROR(__xludf.DUMMYFUNCTION("""COMPUTED_VALUE"""),"1761431562443")</f>
        <v>1761431562443</v>
      </c>
    </row>
    <row r="4391" spans="1:11" ht="12.45">
      <c r="A4391" s="2" t="str">
        <f ca="1">IFERROR(__xludf.DUMMYFUNCTION("""COMPUTED_VALUE"""),"1761431603017")</f>
        <v>1761431603017</v>
      </c>
      <c r="B4391" s="2"/>
      <c r="C4391" s="2" t="str">
        <v>0</v>
      </c>
      <c r="D4391" s="2"/>
      <c r="F4391" s="2" t="str">
        <v>0</v>
      </c>
      <c r="I4391" s="3" t="str">
        <f ca="1">IFERROR(__xludf.DUMMYFUNCTION("""COMPUTED_VALUE"""),"Trần Thị Ý")</f>
        <v>Trần Thị Ý</v>
      </c>
      <c r="J4391" s="3" t="str">
        <f ca="1">IFERROR(__xludf.DUMMYFUNCTION("""COMPUTED_VALUE"""),"0706163479")</f>
        <v>0706163479</v>
      </c>
      <c r="K4391" s="2" t="str">
        <f ca="1">IFERROR(__xludf.DUMMYFUNCTION("""COMPUTED_VALUE"""),"1761431603017")</f>
        <v>1761431603017</v>
      </c>
    </row>
    <row r="4392" spans="1:11" ht="12.45">
      <c r="A4392" s="2" t="str">
        <f ca="1">IFERROR(__xludf.DUMMYFUNCTION("""COMPUTED_VALUE"""),"1761431637350")</f>
        <v>1761431637350</v>
      </c>
      <c r="B4392" s="2"/>
      <c r="C4392" s="2" t="str">
        <v>0</v>
      </c>
      <c r="D4392" s="2"/>
      <c r="F4392" s="2" t="str">
        <v>0</v>
      </c>
      <c r="I4392" s="3" t="str">
        <f ca="1">IFERROR(__xludf.DUMMYFUNCTION("""COMPUTED_VALUE"""),"Hồ Lê Phương Quỳnh ")</f>
        <v xml:space="preserve">Hồ Lê Phương Quỳnh </v>
      </c>
      <c r="J4392" s="3" t="str">
        <f ca="1">IFERROR(__xludf.DUMMYFUNCTION("""COMPUTED_VALUE"""),"0334242007")</f>
        <v>0334242007</v>
      </c>
      <c r="K4392" s="2" t="str">
        <f ca="1">IFERROR(__xludf.DUMMYFUNCTION("""COMPUTED_VALUE"""),"1761431637350")</f>
        <v>1761431637350</v>
      </c>
    </row>
    <row r="4393" spans="1:11" ht="12.45">
      <c r="A4393" s="2" t="str">
        <f ca="1">IFERROR(__xludf.DUMMYFUNCTION("""COMPUTED_VALUE"""),"1761431675709")</f>
        <v>1761431675709</v>
      </c>
      <c r="B4393" s="2"/>
      <c r="C4393" s="2" t="str">
        <v>0</v>
      </c>
      <c r="D4393" s="2"/>
      <c r="F4393" s="2" t="str">
        <v>0</v>
      </c>
      <c r="I4393" s="3" t="str">
        <f ca="1">IFERROR(__xludf.DUMMYFUNCTION("""COMPUTED_VALUE"""),"Trần Nhật Minh")</f>
        <v>Trần Nhật Minh</v>
      </c>
      <c r="J4393" s="3" t="str">
        <f ca="1">IFERROR(__xludf.DUMMYFUNCTION("""COMPUTED_VALUE"""),"0388203856")</f>
        <v>0388203856</v>
      </c>
      <c r="K4393" s="2" t="str">
        <f ca="1">IFERROR(__xludf.DUMMYFUNCTION("""COMPUTED_VALUE"""),"1761431675709")</f>
        <v>1761431675709</v>
      </c>
    </row>
    <row r="4394" spans="1:11" ht="12.45">
      <c r="A4394" s="2" t="str">
        <f ca="1">IFERROR(__xludf.DUMMYFUNCTION("""COMPUTED_VALUE"""),"1761431723235")</f>
        <v>1761431723235</v>
      </c>
      <c r="B4394" s="2"/>
      <c r="C4394" s="2" t="str">
        <v>0</v>
      </c>
      <c r="D4394" s="2"/>
      <c r="F4394" s="2" t="str">
        <v>0</v>
      </c>
      <c r="I4394" s="3" t="str">
        <f ca="1">IFERROR(__xludf.DUMMYFUNCTION("""COMPUTED_VALUE"""),"Trần Nguyễn Tường Vy ")</f>
        <v xml:space="preserve">Trần Nguyễn Tường Vy </v>
      </c>
      <c r="J4394" s="3" t="str">
        <f ca="1">IFERROR(__xludf.DUMMYFUNCTION("""COMPUTED_VALUE"""),"0834547087")</f>
        <v>0834547087</v>
      </c>
      <c r="K4394" s="2" t="str">
        <f ca="1">IFERROR(__xludf.DUMMYFUNCTION("""COMPUTED_VALUE"""),"1761431723235")</f>
        <v>1761431723235</v>
      </c>
    </row>
    <row r="4395" spans="1:11" ht="12.45">
      <c r="A4395" s="2" t="str">
        <f ca="1">IFERROR(__xludf.DUMMYFUNCTION("""COMPUTED_VALUE"""),"1761431753261")</f>
        <v>1761431753261</v>
      </c>
      <c r="B4395" s="2"/>
      <c r="C4395" s="2" t="str">
        <v>0</v>
      </c>
      <c r="D4395" s="2"/>
      <c r="F4395" s="2" t="str">
        <v>0</v>
      </c>
      <c r="I4395" s="3" t="str">
        <f ca="1">IFERROR(__xludf.DUMMYFUNCTION("""COMPUTED_VALUE"""),"Nguyễn Thị Quế Trân ")</f>
        <v xml:space="preserve">Nguyễn Thị Quế Trân </v>
      </c>
      <c r="J4395" s="3" t="str">
        <f ca="1">IFERROR(__xludf.DUMMYFUNCTION("""COMPUTED_VALUE"""),"0396347634")</f>
        <v>0396347634</v>
      </c>
      <c r="K4395" s="2" t="str">
        <f ca="1">IFERROR(__xludf.DUMMYFUNCTION("""COMPUTED_VALUE"""),"1761431753261")</f>
        <v>1761431753261</v>
      </c>
    </row>
    <row r="4396" spans="1:11" ht="12.45">
      <c r="A4396" s="2" t="str">
        <f ca="1">IFERROR(__xludf.DUMMYFUNCTION("""COMPUTED_VALUE"""),"1761431791330")</f>
        <v>1761431791330</v>
      </c>
      <c r="B4396" s="2"/>
      <c r="C4396" s="2" t="str">
        <v>0</v>
      </c>
      <c r="D4396" s="2"/>
      <c r="F4396" s="2" t="str">
        <v>0</v>
      </c>
      <c r="I4396" s="3" t="str">
        <f ca="1">IFERROR(__xludf.DUMMYFUNCTION("""COMPUTED_VALUE"""),"Đặng Thanh Ái Ni")</f>
        <v>Đặng Thanh Ái Ni</v>
      </c>
      <c r="J4396" s="3" t="str">
        <f ca="1">IFERROR(__xludf.DUMMYFUNCTION("""COMPUTED_VALUE"""),"0827315364")</f>
        <v>0827315364</v>
      </c>
      <c r="K4396" s="2" t="str">
        <f ca="1">IFERROR(__xludf.DUMMYFUNCTION("""COMPUTED_VALUE"""),"1761431791330")</f>
        <v>1761431791330</v>
      </c>
    </row>
    <row r="4397" spans="1:11" ht="12.45">
      <c r="A4397" s="2" t="str">
        <f ca="1">IFERROR(__xludf.DUMMYFUNCTION("""COMPUTED_VALUE"""),"1761431836691")</f>
        <v>1761431836691</v>
      </c>
      <c r="B4397" s="2"/>
      <c r="C4397" s="2" t="str">
        <v>0</v>
      </c>
      <c r="D4397" s="2"/>
      <c r="F4397" s="2" t="str">
        <v>0</v>
      </c>
      <c r="I4397" s="3" t="str">
        <f ca="1">IFERROR(__xludf.DUMMYFUNCTION("""COMPUTED_VALUE"""),"Nguyễn Như Quỳnh ")</f>
        <v xml:space="preserve">Nguyễn Như Quỳnh </v>
      </c>
      <c r="J4397" s="3" t="str">
        <f ca="1">IFERROR(__xludf.DUMMYFUNCTION("""COMPUTED_VALUE"""),"0397546356")</f>
        <v>0397546356</v>
      </c>
      <c r="K4397" s="2" t="str">
        <f ca="1">IFERROR(__xludf.DUMMYFUNCTION("""COMPUTED_VALUE"""),"1761431836691")</f>
        <v>1761431836691</v>
      </c>
    </row>
    <row r="4398" spans="1:11" ht="12.45">
      <c r="A4398" s="2" t="str">
        <f ca="1">IFERROR(__xludf.DUMMYFUNCTION("""COMPUTED_VALUE"""),"1761431882689")</f>
        <v>1761431882689</v>
      </c>
      <c r="B4398" s="2"/>
      <c r="C4398" s="2" t="str">
        <v>0</v>
      </c>
      <c r="D4398" s="2"/>
      <c r="F4398" s="2" t="str">
        <v>0</v>
      </c>
      <c r="I4398" s="3" t="str">
        <f ca="1">IFERROR(__xludf.DUMMYFUNCTION("""COMPUTED_VALUE"""),"Tạ Thu Trang ")</f>
        <v xml:space="preserve">Tạ Thu Trang </v>
      </c>
      <c r="J4398" s="3" t="str">
        <f ca="1">IFERROR(__xludf.DUMMYFUNCTION("""COMPUTED_VALUE"""),"0386747528")</f>
        <v>0386747528</v>
      </c>
      <c r="K4398" s="2" t="str">
        <f ca="1">IFERROR(__xludf.DUMMYFUNCTION("""COMPUTED_VALUE"""),"1761431882689")</f>
        <v>1761431882689</v>
      </c>
    </row>
    <row r="4399" spans="1:11" ht="12.45">
      <c r="A4399" s="2" t="str">
        <f ca="1">IFERROR(__xludf.DUMMYFUNCTION("""COMPUTED_VALUE"""),"1761431909097")</f>
        <v>1761431909097</v>
      </c>
      <c r="B4399" s="2"/>
      <c r="C4399" s="2" t="str">
        <v>0</v>
      </c>
      <c r="D4399" s="2"/>
      <c r="F4399" s="2" t="str">
        <v>0</v>
      </c>
      <c r="I4399" s="3" t="str">
        <f ca="1">IFERROR(__xludf.DUMMYFUNCTION("""COMPUTED_VALUE"""),"Tạ Minh Phương")</f>
        <v>Tạ Minh Phương</v>
      </c>
      <c r="J4399" s="3" t="str">
        <f ca="1">IFERROR(__xludf.DUMMYFUNCTION("""COMPUTED_VALUE"""),"0968952918")</f>
        <v>0968952918</v>
      </c>
      <c r="K4399" s="2" t="str">
        <f ca="1">IFERROR(__xludf.DUMMYFUNCTION("""COMPUTED_VALUE"""),"1761431909097")</f>
        <v>1761431909097</v>
      </c>
    </row>
    <row r="4400" spans="1:11" ht="12.45">
      <c r="A4400" s="2" t="str">
        <f ca="1">IFERROR(__xludf.DUMMYFUNCTION("""COMPUTED_VALUE"""),"1761431936395")</f>
        <v>1761431936395</v>
      </c>
      <c r="B4400" s="2"/>
      <c r="C4400" s="2" t="str">
        <v>0</v>
      </c>
      <c r="D4400" s="2"/>
      <c r="F4400" s="2" t="str">
        <v>0</v>
      </c>
      <c r="I4400" s="3" t="str">
        <f ca="1">IFERROR(__xludf.DUMMYFUNCTION("""COMPUTED_VALUE"""),"Nguyễn trần như quỳnh")</f>
        <v>Nguyễn trần như quỳnh</v>
      </c>
      <c r="J4400" s="3" t="str">
        <f ca="1">IFERROR(__xludf.DUMMYFUNCTION("""COMPUTED_VALUE"""),"0392234229")</f>
        <v>0392234229</v>
      </c>
      <c r="K4400" s="2" t="str">
        <f ca="1">IFERROR(__xludf.DUMMYFUNCTION("""COMPUTED_VALUE"""),"1761431936395")</f>
        <v>1761431936395</v>
      </c>
    </row>
    <row r="4401" spans="1:11" ht="12.45">
      <c r="A4401" s="2" t="str">
        <f ca="1">IFERROR(__xludf.DUMMYFUNCTION("""COMPUTED_VALUE"""),"1761431969207")</f>
        <v>1761431969207</v>
      </c>
      <c r="B4401" s="2"/>
      <c r="C4401" s="2" t="str">
        <v>0</v>
      </c>
      <c r="D4401" s="2"/>
      <c r="F4401" s="2" t="str">
        <v>0</v>
      </c>
      <c r="I4401" s="3" t="str">
        <f ca="1">IFERROR(__xludf.DUMMYFUNCTION("""COMPUTED_VALUE"""),"Huỳnh Ngọc Anh")</f>
        <v>Huỳnh Ngọc Anh</v>
      </c>
      <c r="J4401" s="3" t="str">
        <f ca="1">IFERROR(__xludf.DUMMYFUNCTION("""COMPUTED_VALUE"""),"0889921645")</f>
        <v>0889921645</v>
      </c>
      <c r="K4401" s="2" t="str">
        <f ca="1">IFERROR(__xludf.DUMMYFUNCTION("""COMPUTED_VALUE"""),"1761431969207")</f>
        <v>1761431969207</v>
      </c>
    </row>
    <row r="4402" spans="1:11" ht="12.45">
      <c r="A4402" s="2" t="str">
        <f ca="1">IFERROR(__xludf.DUMMYFUNCTION("""COMPUTED_VALUE"""),"1761432035040")</f>
        <v>1761432035040</v>
      </c>
      <c r="B4402" s="2"/>
      <c r="C4402" s="2" t="str">
        <v>0</v>
      </c>
      <c r="D4402" s="2"/>
      <c r="F4402" s="2" t="str">
        <v>0</v>
      </c>
      <c r="I4402" s="3" t="str">
        <f ca="1">IFERROR(__xludf.DUMMYFUNCTION("""COMPUTED_VALUE"""),"Phan Nguyệt ")</f>
        <v xml:space="preserve">Phan Nguyệt </v>
      </c>
      <c r="J4402" s="3" t="str">
        <f ca="1">IFERROR(__xludf.DUMMYFUNCTION("""COMPUTED_VALUE"""),"0392554977")</f>
        <v>0392554977</v>
      </c>
      <c r="K4402" s="2" t="str">
        <f ca="1">IFERROR(__xludf.DUMMYFUNCTION("""COMPUTED_VALUE"""),"1761432035040")</f>
        <v>1761432035040</v>
      </c>
    </row>
    <row r="4403" spans="1:11" ht="12.45">
      <c r="A4403" s="2" t="str">
        <f ca="1">IFERROR(__xludf.DUMMYFUNCTION("""COMPUTED_VALUE"""),"1761432082600")</f>
        <v>1761432082600</v>
      </c>
      <c r="B4403" s="2"/>
      <c r="C4403" s="2" t="str">
        <v>0</v>
      </c>
      <c r="D4403" s="2"/>
      <c r="F4403" s="2" t="str">
        <v>0</v>
      </c>
      <c r="I4403" s="3" t="str">
        <f ca="1">IFERROR(__xludf.DUMMYFUNCTION("""COMPUTED_VALUE"""),"Lò Thị Vân Khánh ")</f>
        <v xml:space="preserve">Lò Thị Vân Khánh </v>
      </c>
      <c r="J4403" s="3" t="str">
        <f ca="1">IFERROR(__xludf.DUMMYFUNCTION("""COMPUTED_VALUE"""),"0915319990")</f>
        <v>0915319990</v>
      </c>
      <c r="K4403" s="2" t="str">
        <f ca="1">IFERROR(__xludf.DUMMYFUNCTION("""COMPUTED_VALUE"""),"1761432082600")</f>
        <v>1761432082600</v>
      </c>
    </row>
    <row r="4404" spans="1:11" ht="12.45">
      <c r="A4404" s="2" t="str">
        <f ca="1">IFERROR(__xludf.DUMMYFUNCTION("""COMPUTED_VALUE"""),"1740104453706")</f>
        <v>1740104453706</v>
      </c>
      <c r="B4404" s="2"/>
      <c r="C4404" s="2" t="str">
        <v>0</v>
      </c>
      <c r="D4404" s="2"/>
      <c r="F4404" s="2" t="str">
        <v>0</v>
      </c>
      <c r="I4404" s="3" t="str">
        <f ca="1">IFERROR(__xludf.DUMMYFUNCTION("""COMPUTED_VALUE"""),"Nguyễn xuân quang")</f>
        <v>Nguyễn xuân quang</v>
      </c>
      <c r="J4404" s="3" t="str">
        <f ca="1">IFERROR(__xludf.DUMMYFUNCTION("""COMPUTED_VALUE"""),"0339788337")</f>
        <v>0339788337</v>
      </c>
      <c r="K4404" s="2" t="str">
        <f ca="1">IFERROR(__xludf.DUMMYFUNCTION("""COMPUTED_VALUE"""),"1740104453706")</f>
        <v>1740104453706</v>
      </c>
    </row>
    <row r="4405" spans="1:11" ht="12.45">
      <c r="A4405" s="2" t="str">
        <f ca="1">IFERROR(__xludf.DUMMYFUNCTION("""COMPUTED_VALUE"""),"1761432161520")</f>
        <v>1761432161520</v>
      </c>
      <c r="B4405" s="2"/>
      <c r="C4405" s="2" t="str">
        <v>0</v>
      </c>
      <c r="D4405" s="2"/>
      <c r="F4405" s="2" t="str">
        <v>0</v>
      </c>
      <c r="I4405" s="3" t="str">
        <f ca="1">IFERROR(__xludf.DUMMYFUNCTION("""COMPUTED_VALUE"""),"Nguyễn Quỳnh Nga")</f>
        <v>Nguyễn Quỳnh Nga</v>
      </c>
      <c r="J4405" s="3" t="str">
        <f ca="1">IFERROR(__xludf.DUMMYFUNCTION("""COMPUTED_VALUE"""),"0352048021")</f>
        <v>0352048021</v>
      </c>
      <c r="K4405" s="2" t="str">
        <f ca="1">IFERROR(__xludf.DUMMYFUNCTION("""COMPUTED_VALUE"""),"1761432161520")</f>
        <v>1761432161520</v>
      </c>
    </row>
    <row r="4406" spans="1:11" ht="12.45">
      <c r="A4406" s="2" t="str">
        <f ca="1">IFERROR(__xludf.DUMMYFUNCTION("""COMPUTED_VALUE"""),"1761432212097")</f>
        <v>1761432212097</v>
      </c>
      <c r="B4406" s="2"/>
      <c r="C4406" s="2" t="str">
        <v>0</v>
      </c>
      <c r="D4406" s="2"/>
      <c r="F4406" s="2" t="str">
        <v>0</v>
      </c>
      <c r="I4406" s="3" t="str">
        <f ca="1">IFERROR(__xludf.DUMMYFUNCTION("""COMPUTED_VALUE"""),"Nguyễn Kim Anh")</f>
        <v>Nguyễn Kim Anh</v>
      </c>
      <c r="J4406" s="3" t="str">
        <f ca="1">IFERROR(__xludf.DUMMYFUNCTION("""COMPUTED_VALUE"""),"0366180907")</f>
        <v>0366180907</v>
      </c>
      <c r="K4406" s="2" t="str">
        <f ca="1">IFERROR(__xludf.DUMMYFUNCTION("""COMPUTED_VALUE"""),"1761432212097")</f>
        <v>1761432212097</v>
      </c>
    </row>
    <row r="4407" spans="1:11" ht="12.45">
      <c r="A4407" s="2" t="str">
        <f ca="1">IFERROR(__xludf.DUMMYFUNCTION("""COMPUTED_VALUE"""),"1761432242148")</f>
        <v>1761432242148</v>
      </c>
      <c r="B4407" s="2"/>
      <c r="C4407" s="2" t="str">
        <v>0</v>
      </c>
      <c r="D4407" s="2"/>
      <c r="F4407" s="2" t="str">
        <v>0</v>
      </c>
      <c r="I4407" s="3" t="str">
        <f ca="1">IFERROR(__xludf.DUMMYFUNCTION("""COMPUTED_VALUE"""),"Nguyễn Ngọc Bảo Hân")</f>
        <v>Nguyễn Ngọc Bảo Hân</v>
      </c>
      <c r="J4407" s="3" t="str">
        <f ca="1">IFERROR(__xludf.DUMMYFUNCTION("""COMPUTED_VALUE"""),"0344084710")</f>
        <v>0344084710</v>
      </c>
      <c r="K4407" s="2" t="str">
        <f ca="1">IFERROR(__xludf.DUMMYFUNCTION("""COMPUTED_VALUE"""),"1761432242148")</f>
        <v>1761432242148</v>
      </c>
    </row>
    <row r="4408" spans="1:11" ht="12.45">
      <c r="A4408" s="2" t="str">
        <f ca="1">IFERROR(__xludf.DUMMYFUNCTION("""COMPUTED_VALUE"""),"1761432282627")</f>
        <v>1761432282627</v>
      </c>
      <c r="B4408" s="2"/>
      <c r="C4408" s="2" t="str">
        <v>0</v>
      </c>
      <c r="D4408" s="2"/>
      <c r="F4408" s="2" t="str">
        <v>0</v>
      </c>
      <c r="I4408" s="3" t="str">
        <f ca="1">IFERROR(__xludf.DUMMYFUNCTION("""COMPUTED_VALUE"""),"Nguyễn Tuyết Nhi")</f>
        <v>Nguyễn Tuyết Nhi</v>
      </c>
      <c r="J4408" s="3" t="str">
        <f ca="1">IFERROR(__xludf.DUMMYFUNCTION("""COMPUTED_VALUE"""),"0964696129")</f>
        <v>0964696129</v>
      </c>
      <c r="K4408" s="2" t="str">
        <f ca="1">IFERROR(__xludf.DUMMYFUNCTION("""COMPUTED_VALUE"""),"1761432282627")</f>
        <v>1761432282627</v>
      </c>
    </row>
    <row r="4409" spans="1:11" ht="12.45">
      <c r="A4409" s="2" t="str">
        <f ca="1">IFERROR(__xludf.DUMMYFUNCTION("""COMPUTED_VALUE"""),"Không giao sách")</f>
        <v>Không giao sách</v>
      </c>
      <c r="B4409" s="2"/>
      <c r="C4409" s="2" t="str">
        <v>0</v>
      </c>
      <c r="D4409" s="2"/>
      <c r="F4409" s="2" t="str">
        <v>0</v>
      </c>
      <c r="I4409" s="3" t="str">
        <f ca="1">IFERROR(__xludf.DUMMYFUNCTION("""COMPUTED_VALUE"""),"Nguyễn Tuệ Anh")</f>
        <v>Nguyễn Tuệ Anh</v>
      </c>
      <c r="J4409" s="3" t="str">
        <f ca="1">IFERROR(__xludf.DUMMYFUNCTION("""COMPUTED_VALUE"""),"0565552555")</f>
        <v>0565552555</v>
      </c>
      <c r="K4409" s="2" t="str">
        <f ca="1">IFERROR(__xludf.DUMMYFUNCTION("""COMPUTED_VALUE"""),"Không giao sách")</f>
        <v>Không giao sách</v>
      </c>
    </row>
    <row r="4410" spans="1:11" ht="12.45">
      <c r="A4410" s="2" t="str">
        <f ca="1">IFERROR(__xludf.DUMMYFUNCTION("""COMPUTED_VALUE"""),"1761432310198")</f>
        <v>1761432310198</v>
      </c>
      <c r="B4410" s="2"/>
      <c r="C4410" s="2" t="str">
        <v>0</v>
      </c>
      <c r="D4410" s="2"/>
      <c r="F4410" s="2" t="str">
        <v>0</v>
      </c>
      <c r="I4410" s="3" t="str">
        <f ca="1">IFERROR(__xludf.DUMMYFUNCTION("""COMPUTED_VALUE"""),"Nguyễn Thuỳ Dung")</f>
        <v>Nguyễn Thuỳ Dung</v>
      </c>
      <c r="J4410" s="3" t="str">
        <f ca="1">IFERROR(__xludf.DUMMYFUNCTION("""COMPUTED_VALUE"""),"0985608076")</f>
        <v>0985608076</v>
      </c>
      <c r="K4410" s="2" t="str">
        <f ca="1">IFERROR(__xludf.DUMMYFUNCTION("""COMPUTED_VALUE"""),"1761432310198")</f>
        <v>1761432310198</v>
      </c>
    </row>
    <row r="4411" spans="1:11" ht="12.45">
      <c r="A4411" s="2" t="str">
        <f ca="1">IFERROR(__xludf.DUMMYFUNCTION("""COMPUTED_VALUE"""),"1761432357562")</f>
        <v>1761432357562</v>
      </c>
      <c r="B4411" s="2"/>
      <c r="C4411" s="2" t="str">
        <v>0</v>
      </c>
      <c r="D4411" s="2"/>
      <c r="F4411" s="2" t="str">
        <v>0</v>
      </c>
      <c r="I4411" s="3" t="str">
        <f ca="1">IFERROR(__xludf.DUMMYFUNCTION("""COMPUTED_VALUE"""),"Phạm Thị Minh Ánh")</f>
        <v>Phạm Thị Minh Ánh</v>
      </c>
      <c r="J4411" s="3" t="str">
        <f ca="1">IFERROR(__xludf.DUMMYFUNCTION("""COMPUTED_VALUE"""),"0964070862")</f>
        <v>0964070862</v>
      </c>
      <c r="K4411" s="2" t="str">
        <f ca="1">IFERROR(__xludf.DUMMYFUNCTION("""COMPUTED_VALUE"""),"1761432357562")</f>
        <v>1761432357562</v>
      </c>
    </row>
    <row r="4412" spans="1:11" ht="12.45">
      <c r="A4412" s="2" t="str">
        <f ca="1">IFERROR(__xludf.DUMMYFUNCTION("""COMPUTED_VALUE"""),"1761432386105")</f>
        <v>1761432386105</v>
      </c>
      <c r="B4412" s="2"/>
      <c r="C4412" s="2" t="str">
        <v>0</v>
      </c>
      <c r="D4412" s="2"/>
      <c r="F4412" s="2" t="str">
        <v>0</v>
      </c>
      <c r="I4412" s="3" t="str">
        <f ca="1">IFERROR(__xludf.DUMMYFUNCTION("""COMPUTED_VALUE"""),"Nguyễn Ngọc Anh Thư ")</f>
        <v xml:space="preserve">Nguyễn Ngọc Anh Thư </v>
      </c>
      <c r="J4412" s="3" t="str">
        <f ca="1">IFERROR(__xludf.DUMMYFUNCTION("""COMPUTED_VALUE"""),"0842470336")</f>
        <v>0842470336</v>
      </c>
      <c r="K4412" s="2" t="str">
        <f ca="1">IFERROR(__xludf.DUMMYFUNCTION("""COMPUTED_VALUE"""),"1761432386105")</f>
        <v>1761432386105</v>
      </c>
    </row>
    <row r="4413" spans="1:11" ht="12.45">
      <c r="A4413" s="2" t="str">
        <f ca="1">IFERROR(__xludf.DUMMYFUNCTION("""COMPUTED_VALUE"""),"1761432418861")</f>
        <v>1761432418861</v>
      </c>
      <c r="B4413" s="2"/>
      <c r="C4413" s="2" t="str">
        <v>0</v>
      </c>
      <c r="D4413" s="2"/>
      <c r="F4413" s="2" t="str">
        <v>0</v>
      </c>
      <c r="I4413" s="3" t="str">
        <f ca="1">IFERROR(__xludf.DUMMYFUNCTION("""COMPUTED_VALUE"""),"Nguyễn Hoàng Thy")</f>
        <v>Nguyễn Hoàng Thy</v>
      </c>
      <c r="J4413" s="3" t="str">
        <f ca="1">IFERROR(__xludf.DUMMYFUNCTION("""COMPUTED_VALUE"""),"0819292007")</f>
        <v>0819292007</v>
      </c>
      <c r="K4413" s="2" t="str">
        <f ca="1">IFERROR(__xludf.DUMMYFUNCTION("""COMPUTED_VALUE"""),"1761432418861")</f>
        <v>1761432418861</v>
      </c>
    </row>
    <row r="4414" spans="1:11" ht="12.45">
      <c r="A4414" s="2" t="str">
        <f ca="1">IFERROR(__xludf.DUMMYFUNCTION("""COMPUTED_VALUE"""),"1761432459411")</f>
        <v>1761432459411</v>
      </c>
      <c r="B4414" s="2"/>
      <c r="C4414" s="2" t="str">
        <v>0</v>
      </c>
      <c r="D4414" s="2"/>
      <c r="F4414" s="2" t="str">
        <v>0</v>
      </c>
      <c r="I4414" s="3" t="str">
        <f ca="1">IFERROR(__xludf.DUMMYFUNCTION("""COMPUTED_VALUE"""),"Nguyễn yến nhi ")</f>
        <v xml:space="preserve">Nguyễn yến nhi </v>
      </c>
      <c r="J4414" s="3" t="str">
        <f ca="1">IFERROR(__xludf.DUMMYFUNCTION("""COMPUTED_VALUE"""),"0785036898")</f>
        <v>0785036898</v>
      </c>
      <c r="K4414" s="2" t="str">
        <f ca="1">IFERROR(__xludf.DUMMYFUNCTION("""COMPUTED_VALUE"""),"1761432459411")</f>
        <v>1761432459411</v>
      </c>
    </row>
    <row r="4415" spans="1:11" ht="12.45">
      <c r="A4415" s="2" t="str">
        <f ca="1">IFERROR(__xludf.DUMMYFUNCTION("""COMPUTED_VALUE"""),"1761432502614")</f>
        <v>1761432502614</v>
      </c>
      <c r="B4415" s="2"/>
      <c r="C4415" s="2" t="str">
        <v>0</v>
      </c>
      <c r="D4415" s="2"/>
      <c r="F4415" s="2" t="str">
        <v>0</v>
      </c>
      <c r="I4415" s="3" t="str">
        <f ca="1">IFERROR(__xludf.DUMMYFUNCTION("""COMPUTED_VALUE"""),"Hà Thiên Lam")</f>
        <v>Hà Thiên Lam</v>
      </c>
      <c r="J4415" s="3" t="str">
        <f ca="1">IFERROR(__xludf.DUMMYFUNCTION("""COMPUTED_VALUE"""),"0896120307")</f>
        <v>0896120307</v>
      </c>
      <c r="K4415" s="2" t="str">
        <f ca="1">IFERROR(__xludf.DUMMYFUNCTION("""COMPUTED_VALUE"""),"1761432502614")</f>
        <v>1761432502614</v>
      </c>
    </row>
    <row r="4416" spans="1:11" ht="12.45">
      <c r="A4416" s="2" t="str">
        <f ca="1">IFERROR(__xludf.DUMMYFUNCTION("""COMPUTED_VALUE"""),"Không giao sách")</f>
        <v>Không giao sách</v>
      </c>
      <c r="B4416" s="2"/>
      <c r="C4416" s="2" t="str">
        <v>0</v>
      </c>
      <c r="D4416" s="2"/>
      <c r="F4416" s="2" t="str">
        <v>0</v>
      </c>
      <c r="I4416" s="3" t="str">
        <f ca="1">IFERROR(__xludf.DUMMYFUNCTION("""COMPUTED_VALUE"""),"Vũ Nhật Huy")</f>
        <v>Vũ Nhật Huy</v>
      </c>
      <c r="J4416" s="3" t="str">
        <f ca="1">IFERROR(__xludf.DUMMYFUNCTION("""COMPUTED_VALUE"""),"0963704655")</f>
        <v>0963704655</v>
      </c>
      <c r="K4416" s="2" t="str">
        <f ca="1">IFERROR(__xludf.DUMMYFUNCTION("""COMPUTED_VALUE"""),"Không giao sách")</f>
        <v>Không giao sách</v>
      </c>
    </row>
    <row r="4417" spans="1:11" ht="12.45">
      <c r="A4417" s="2" t="str">
        <f ca="1">IFERROR(__xludf.DUMMYFUNCTION("""COMPUTED_VALUE"""),"1761432541307")</f>
        <v>1761432541307</v>
      </c>
      <c r="B4417" s="2"/>
      <c r="C4417" s="2" t="str">
        <v>0</v>
      </c>
      <c r="D4417" s="2"/>
      <c r="F4417" s="2" t="str">
        <v>0</v>
      </c>
      <c r="I4417" s="3" t="str">
        <f ca="1">IFERROR(__xludf.DUMMYFUNCTION("""COMPUTED_VALUE"""),"Ngô Hương Giang")</f>
        <v>Ngô Hương Giang</v>
      </c>
      <c r="J4417" s="3" t="str">
        <f ca="1">IFERROR(__xludf.DUMMYFUNCTION("""COMPUTED_VALUE"""),"0911456390")</f>
        <v>0911456390</v>
      </c>
      <c r="K4417" s="2" t="str">
        <f ca="1">IFERROR(__xludf.DUMMYFUNCTION("""COMPUTED_VALUE"""),"1761432541307")</f>
        <v>1761432541307</v>
      </c>
    </row>
    <row r="4418" spans="1:11" ht="12.45">
      <c r="A4418" s="2" t="str">
        <f ca="1">IFERROR(__xludf.DUMMYFUNCTION("""COMPUTED_VALUE"""),"1761432577381")</f>
        <v>1761432577381</v>
      </c>
      <c r="B4418" s="2"/>
      <c r="C4418" s="2" t="str">
        <v>0</v>
      </c>
      <c r="D4418" s="2"/>
      <c r="F4418" s="2" t="str">
        <v>0</v>
      </c>
      <c r="I4418" s="3" t="str">
        <f ca="1">IFERROR(__xludf.DUMMYFUNCTION("""COMPUTED_VALUE"""),"Phạm Châu Mỹ Huyền ")</f>
        <v xml:space="preserve">Phạm Châu Mỹ Huyền </v>
      </c>
      <c r="J4418" s="3" t="str">
        <f ca="1">IFERROR(__xludf.DUMMYFUNCTION("""COMPUTED_VALUE"""),"0784332597")</f>
        <v>0784332597</v>
      </c>
      <c r="K4418" s="2" t="str">
        <f ca="1">IFERROR(__xludf.DUMMYFUNCTION("""COMPUTED_VALUE"""),"1761432577381")</f>
        <v>1761432577381</v>
      </c>
    </row>
    <row r="4419" spans="1:11" ht="12.45">
      <c r="A4419" s="2" t="str">
        <f ca="1">IFERROR(__xludf.DUMMYFUNCTION("""COMPUTED_VALUE"""),"1761432619214")</f>
        <v>1761432619214</v>
      </c>
      <c r="B4419" s="2"/>
      <c r="C4419" s="2" t="str">
        <v>0</v>
      </c>
      <c r="D4419" s="2"/>
      <c r="F4419" s="2" t="str">
        <v>0</v>
      </c>
      <c r="I4419" s="3" t="str">
        <f ca="1">IFERROR(__xludf.DUMMYFUNCTION("""COMPUTED_VALUE"""),"Nguyễn Hoàng Hà")</f>
        <v>Nguyễn Hoàng Hà</v>
      </c>
      <c r="J4419" s="3" t="str">
        <f ca="1">IFERROR(__xludf.DUMMYFUNCTION("""COMPUTED_VALUE"""),"0374680786")</f>
        <v>0374680786</v>
      </c>
      <c r="K4419" s="2" t="str">
        <f ca="1">IFERROR(__xludf.DUMMYFUNCTION("""COMPUTED_VALUE"""),"1761432619214")</f>
        <v>1761432619214</v>
      </c>
    </row>
    <row r="4420" spans="1:11" ht="12.45">
      <c r="A4420" s="2" t="str">
        <f ca="1">IFERROR(__xludf.DUMMYFUNCTION("""COMPUTED_VALUE"""),"1761432665335")</f>
        <v>1761432665335</v>
      </c>
      <c r="B4420" s="2"/>
      <c r="C4420" s="2" t="str">
        <v>0</v>
      </c>
      <c r="D4420" s="2"/>
      <c r="F4420" s="2" t="str">
        <v>0</v>
      </c>
      <c r="I4420" s="3" t="str">
        <f ca="1">IFERROR(__xludf.DUMMYFUNCTION("""COMPUTED_VALUE"""),"Mai Hà Phương")</f>
        <v>Mai Hà Phương</v>
      </c>
      <c r="J4420" s="3" t="str">
        <f ca="1">IFERROR(__xludf.DUMMYFUNCTION("""COMPUTED_VALUE"""),"0965385576")</f>
        <v>0965385576</v>
      </c>
      <c r="K4420" s="2" t="str">
        <f ca="1">IFERROR(__xludf.DUMMYFUNCTION("""COMPUTED_VALUE"""),"1761432665335")</f>
        <v>1761432665335</v>
      </c>
    </row>
    <row r="4421" spans="1:11" ht="12.45">
      <c r="A4421" s="2" t="str">
        <f ca="1">IFERROR(__xludf.DUMMYFUNCTION("""COMPUTED_VALUE"""),"1761432698033")</f>
        <v>1761432698033</v>
      </c>
      <c r="B4421" s="2"/>
      <c r="C4421" s="2" t="str">
        <v>0</v>
      </c>
      <c r="D4421" s="2"/>
      <c r="F4421" s="2" t="str">
        <v>0</v>
      </c>
      <c r="I4421" s="3" t="str">
        <f ca="1">IFERROR(__xludf.DUMMYFUNCTION("""COMPUTED_VALUE"""),"Đoàn Thanh Sang ")</f>
        <v xml:space="preserve">Đoàn Thanh Sang </v>
      </c>
      <c r="J4421" s="3" t="str">
        <f ca="1">IFERROR(__xludf.DUMMYFUNCTION("""COMPUTED_VALUE"""),"0336502870")</f>
        <v>0336502870</v>
      </c>
      <c r="K4421" s="2" t="str">
        <f ca="1">IFERROR(__xludf.DUMMYFUNCTION("""COMPUTED_VALUE"""),"1761432698033")</f>
        <v>1761432698033</v>
      </c>
    </row>
    <row r="4422" spans="1:11" ht="12.45">
      <c r="A4422" s="2" t="str">
        <f ca="1">IFERROR(__xludf.DUMMYFUNCTION("""COMPUTED_VALUE"""),"1761432752249")</f>
        <v>1761432752249</v>
      </c>
      <c r="B4422" s="2"/>
      <c r="C4422" s="2" t="str">
        <v>0</v>
      </c>
      <c r="D4422" s="2"/>
      <c r="F4422" s="2" t="str">
        <v>0</v>
      </c>
      <c r="I4422" s="3" t="str">
        <f ca="1">IFERROR(__xludf.DUMMYFUNCTION("""COMPUTED_VALUE"""),"Biền Xuân Lin")</f>
        <v>Biền Xuân Lin</v>
      </c>
      <c r="J4422" s="3" t="str">
        <f ca="1">IFERROR(__xludf.DUMMYFUNCTION("""COMPUTED_VALUE"""),"0888501217")</f>
        <v>0888501217</v>
      </c>
      <c r="K4422" s="2" t="str">
        <f ca="1">IFERROR(__xludf.DUMMYFUNCTION("""COMPUTED_VALUE"""),"1761432752249")</f>
        <v>1761432752249</v>
      </c>
    </row>
    <row r="4423" spans="1:11" ht="12.45">
      <c r="A4423" s="2" t="str">
        <f ca="1">IFERROR(__xludf.DUMMYFUNCTION("""COMPUTED_VALUE"""),"1761432795005")</f>
        <v>1761432795005</v>
      </c>
      <c r="B4423" s="2"/>
      <c r="C4423" s="2" t="str">
        <v>0</v>
      </c>
      <c r="D4423" s="2"/>
      <c r="F4423" s="2" t="str">
        <v>0</v>
      </c>
      <c r="I4423" s="3" t="str">
        <f ca="1">IFERROR(__xludf.DUMMYFUNCTION("""COMPUTED_VALUE"""),"Trần Ái Na")</f>
        <v>Trần Ái Na</v>
      </c>
      <c r="J4423" s="3" t="str">
        <f ca="1">IFERROR(__xludf.DUMMYFUNCTION("""COMPUTED_VALUE"""),"0365158421")</f>
        <v>0365158421</v>
      </c>
      <c r="K4423" s="2" t="str">
        <f ca="1">IFERROR(__xludf.DUMMYFUNCTION("""COMPUTED_VALUE"""),"1761432795005")</f>
        <v>1761432795005</v>
      </c>
    </row>
    <row r="4424" spans="1:11" ht="12.45">
      <c r="A4424" s="2" t="str">
        <f ca="1">IFERROR(__xludf.DUMMYFUNCTION("""COMPUTED_VALUE"""),"1761432846244")</f>
        <v>1761432846244</v>
      </c>
      <c r="B4424" s="2"/>
      <c r="C4424" s="2" t="str">
        <v>0</v>
      </c>
      <c r="D4424" s="2"/>
      <c r="F4424" s="2" t="str">
        <v>0</v>
      </c>
      <c r="I4424" s="3" t="str">
        <f ca="1">IFERROR(__xludf.DUMMYFUNCTION("""COMPUTED_VALUE"""),"Trương Đặng Minh Tâm")</f>
        <v>Trương Đặng Minh Tâm</v>
      </c>
      <c r="J4424" s="3" t="str">
        <f ca="1">IFERROR(__xludf.DUMMYFUNCTION("""COMPUTED_VALUE"""),"0327785519")</f>
        <v>0327785519</v>
      </c>
      <c r="K4424" s="2" t="str">
        <f ca="1">IFERROR(__xludf.DUMMYFUNCTION("""COMPUTED_VALUE"""),"1761432846244")</f>
        <v>1761432846244</v>
      </c>
    </row>
    <row r="4425" spans="1:11" ht="12.45">
      <c r="A4425" s="2" t="str">
        <f ca="1">IFERROR(__xludf.DUMMYFUNCTION("""COMPUTED_VALUE"""),"1761432904934")</f>
        <v>1761432904934</v>
      </c>
      <c r="B4425" s="2"/>
      <c r="C4425" s="2" t="str">
        <v>0</v>
      </c>
      <c r="D4425" s="2"/>
      <c r="F4425" s="2" t="str">
        <v>0</v>
      </c>
      <c r="I4425" s="3" t="str">
        <f ca="1">IFERROR(__xludf.DUMMYFUNCTION("""COMPUTED_VALUE"""),"Phạm Quang Huy")</f>
        <v>Phạm Quang Huy</v>
      </c>
      <c r="J4425" s="3" t="str">
        <f ca="1">IFERROR(__xludf.DUMMYFUNCTION("""COMPUTED_VALUE"""),"0378035890")</f>
        <v>0378035890</v>
      </c>
      <c r="K4425" s="2" t="str">
        <f ca="1">IFERROR(__xludf.DUMMYFUNCTION("""COMPUTED_VALUE"""),"1761432904934")</f>
        <v>1761432904934</v>
      </c>
    </row>
    <row r="4426" spans="1:11" ht="12.45">
      <c r="A4426" s="2" t="str">
        <f ca="1">IFERROR(__xludf.DUMMYFUNCTION("""COMPUTED_VALUE"""),"1761432934874")</f>
        <v>1761432934874</v>
      </c>
      <c r="B4426" s="2"/>
      <c r="C4426" s="2" t="str">
        <v>0</v>
      </c>
      <c r="D4426" s="2"/>
      <c r="F4426" s="2" t="str">
        <v>0</v>
      </c>
      <c r="I4426" s="3" t="str">
        <f ca="1">IFERROR(__xludf.DUMMYFUNCTION("""COMPUTED_VALUE"""),"Nguyễn Ngọc Diệp")</f>
        <v>Nguyễn Ngọc Diệp</v>
      </c>
      <c r="J4426" s="3" t="str">
        <f ca="1">IFERROR(__xludf.DUMMYFUNCTION("""COMPUTED_VALUE"""),"0962022064")</f>
        <v>0962022064</v>
      </c>
      <c r="K4426" s="2" t="str">
        <f ca="1">IFERROR(__xludf.DUMMYFUNCTION("""COMPUTED_VALUE"""),"1761432934874")</f>
        <v>1761432934874</v>
      </c>
    </row>
    <row r="4427" spans="1:11" ht="12.45">
      <c r="A4427" s="2" t="str">
        <f ca="1">IFERROR(__xludf.DUMMYFUNCTION("""COMPUTED_VALUE"""),"1761432962077")</f>
        <v>1761432962077</v>
      </c>
      <c r="B4427" s="2"/>
      <c r="C4427" s="2" t="str">
        <v>0</v>
      </c>
      <c r="D4427" s="2"/>
      <c r="F4427" s="2" t="str">
        <v>0</v>
      </c>
      <c r="I4427" s="3" t="str">
        <f ca="1">IFERROR(__xludf.DUMMYFUNCTION("""COMPUTED_VALUE"""),"Phan Thanh Thương ")</f>
        <v xml:space="preserve">Phan Thanh Thương </v>
      </c>
      <c r="J4427" s="3" t="str">
        <f ca="1">IFERROR(__xludf.DUMMYFUNCTION("""COMPUTED_VALUE"""),"0386651148")</f>
        <v>0386651148</v>
      </c>
      <c r="K4427" s="2" t="str">
        <f ca="1">IFERROR(__xludf.DUMMYFUNCTION("""COMPUTED_VALUE"""),"1761432962077")</f>
        <v>1761432962077</v>
      </c>
    </row>
    <row r="4428" spans="1:11" ht="12.45">
      <c r="A4428" s="2" t="str">
        <f ca="1">IFERROR(__xludf.DUMMYFUNCTION("""COMPUTED_VALUE"""),"1761432991587")</f>
        <v>1761432991587</v>
      </c>
      <c r="B4428" s="2"/>
      <c r="C4428" s="2" t="str">
        <v>0</v>
      </c>
      <c r="D4428" s="2"/>
      <c r="F4428" s="2" t="str">
        <v>0</v>
      </c>
      <c r="I4428" s="3" t="str">
        <f ca="1">IFERROR(__xludf.DUMMYFUNCTION("""COMPUTED_VALUE"""),"Nguyễn Minh Thư")</f>
        <v>Nguyễn Minh Thư</v>
      </c>
      <c r="J4428" s="3" t="str">
        <f ca="1">IFERROR(__xludf.DUMMYFUNCTION("""COMPUTED_VALUE"""),"0385622146")</f>
        <v>0385622146</v>
      </c>
      <c r="K4428" s="2" t="str">
        <f ca="1">IFERROR(__xludf.DUMMYFUNCTION("""COMPUTED_VALUE"""),"1761432991587")</f>
        <v>1761432991587</v>
      </c>
    </row>
    <row r="4429" spans="1:11" ht="12.45">
      <c r="A4429" s="2" t="str">
        <f ca="1">IFERROR(__xludf.DUMMYFUNCTION("""COMPUTED_VALUE"""),"1761433028916")</f>
        <v>1761433028916</v>
      </c>
      <c r="B4429" s="2"/>
      <c r="C4429" s="2" t="str">
        <v>0</v>
      </c>
      <c r="D4429" s="2"/>
      <c r="F4429" s="2" t="str">
        <v>0</v>
      </c>
      <c r="I4429" s="3" t="str">
        <f ca="1">IFERROR(__xludf.DUMMYFUNCTION("""COMPUTED_VALUE"""),"Hoàng Hải Đăng")</f>
        <v>Hoàng Hải Đăng</v>
      </c>
      <c r="J4429" s="3" t="str">
        <f ca="1">IFERROR(__xludf.DUMMYFUNCTION("""COMPUTED_VALUE"""),"0888144007")</f>
        <v>0888144007</v>
      </c>
      <c r="K4429" s="2" t="str">
        <f ca="1">IFERROR(__xludf.DUMMYFUNCTION("""COMPUTED_VALUE"""),"1761433028916")</f>
        <v>1761433028916</v>
      </c>
    </row>
    <row r="4430" spans="1:11" ht="12.45">
      <c r="A4430" s="2" t="str">
        <f ca="1">IFERROR(__xludf.DUMMYFUNCTION("""COMPUTED_VALUE"""),"1761433068531")</f>
        <v>1761433068531</v>
      </c>
      <c r="B4430" s="2"/>
      <c r="C4430" s="2" t="str">
        <v>0</v>
      </c>
      <c r="D4430" s="2"/>
      <c r="F4430" s="2" t="str">
        <v>0</v>
      </c>
      <c r="I4430" s="3" t="str">
        <f ca="1">IFERROR(__xludf.DUMMYFUNCTION("""COMPUTED_VALUE"""),"Nguyễn Thị Mỹ Huyền")</f>
        <v>Nguyễn Thị Mỹ Huyền</v>
      </c>
      <c r="J4430" s="3" t="str">
        <f ca="1">IFERROR(__xludf.DUMMYFUNCTION("""COMPUTED_VALUE"""),"0377905192")</f>
        <v>0377905192</v>
      </c>
      <c r="K4430" s="2" t="str">
        <f ca="1">IFERROR(__xludf.DUMMYFUNCTION("""COMPUTED_VALUE"""),"1761433068531")</f>
        <v>1761433068531</v>
      </c>
    </row>
    <row r="4431" spans="1:11" ht="12.45">
      <c r="A4431" s="2" t="str">
        <f ca="1">IFERROR(__xludf.DUMMYFUNCTION("""COMPUTED_VALUE"""),"1761433110374")</f>
        <v>1761433110374</v>
      </c>
      <c r="B4431" s="2"/>
      <c r="C4431" s="2" t="str">
        <v>0</v>
      </c>
      <c r="D4431" s="2"/>
      <c r="F4431" s="2" t="str">
        <v>0</v>
      </c>
      <c r="I4431" s="3" t="str">
        <f ca="1">IFERROR(__xludf.DUMMYFUNCTION("""COMPUTED_VALUE"""),"Nguyễn Hoàng Ngọc Diệp")</f>
        <v>Nguyễn Hoàng Ngọc Diệp</v>
      </c>
      <c r="J4431" s="3" t="str">
        <f ca="1">IFERROR(__xludf.DUMMYFUNCTION("""COMPUTED_VALUE"""),"0902062663")</f>
        <v>0902062663</v>
      </c>
      <c r="K4431" s="2" t="str">
        <f ca="1">IFERROR(__xludf.DUMMYFUNCTION("""COMPUTED_VALUE"""),"1761433110374")</f>
        <v>1761433110374</v>
      </c>
    </row>
    <row r="4432" spans="1:11" ht="12.45">
      <c r="A4432" s="2" t="str">
        <f ca="1">IFERROR(__xludf.DUMMYFUNCTION("""COMPUTED_VALUE"""),"1761433152630")</f>
        <v>1761433152630</v>
      </c>
      <c r="B4432" s="2"/>
      <c r="C4432" s="2" t="str">
        <v>0</v>
      </c>
      <c r="D4432" s="2"/>
      <c r="F4432" s="2" t="str">
        <v>0</v>
      </c>
      <c r="I4432" s="3" t="str">
        <f ca="1">IFERROR(__xludf.DUMMYFUNCTION("""COMPUTED_VALUE"""),"ĐÀO THỊ MINH ÁNH")</f>
        <v>ĐÀO THỊ MINH ÁNH</v>
      </c>
      <c r="J4432" s="3" t="str">
        <f ca="1">IFERROR(__xludf.DUMMYFUNCTION("""COMPUTED_VALUE"""),"0879690376")</f>
        <v>0879690376</v>
      </c>
      <c r="K4432" s="2" t="str">
        <f ca="1">IFERROR(__xludf.DUMMYFUNCTION("""COMPUTED_VALUE"""),"1761433152630")</f>
        <v>1761433152630</v>
      </c>
    </row>
    <row r="4433" spans="1:11" ht="12.45">
      <c r="A4433" s="2" t="str">
        <f ca="1">IFERROR(__xludf.DUMMYFUNCTION("""COMPUTED_VALUE"""),"1761433198697")</f>
        <v>1761433198697</v>
      </c>
      <c r="B4433" s="2"/>
      <c r="C4433" s="2" t="str">
        <v>0</v>
      </c>
      <c r="D4433" s="2"/>
      <c r="F4433" s="2" t="str">
        <v>0</v>
      </c>
      <c r="I4433" s="3" t="str">
        <f ca="1">IFERROR(__xludf.DUMMYFUNCTION("""COMPUTED_VALUE"""),"Vũ Đình Hưng")</f>
        <v>Vũ Đình Hưng</v>
      </c>
      <c r="J4433" s="3" t="str">
        <f ca="1">IFERROR(__xludf.DUMMYFUNCTION("""COMPUTED_VALUE"""),"0369954376")</f>
        <v>0369954376</v>
      </c>
      <c r="K4433" s="2" t="str">
        <f ca="1">IFERROR(__xludf.DUMMYFUNCTION("""COMPUTED_VALUE"""),"1761433198697")</f>
        <v>1761433198697</v>
      </c>
    </row>
    <row r="4434" spans="1:11" ht="12.45">
      <c r="A4434" s="2" t="str">
        <f ca="1">IFERROR(__xludf.DUMMYFUNCTION("""COMPUTED_VALUE"""),"1761433236299")</f>
        <v>1761433236299</v>
      </c>
      <c r="B4434" s="2"/>
      <c r="C4434" s="2" t="str">
        <v>0</v>
      </c>
      <c r="D4434" s="2"/>
      <c r="F4434" s="2" t="str">
        <v>0</v>
      </c>
      <c r="I4434" s="3" t="str">
        <f ca="1">IFERROR(__xludf.DUMMYFUNCTION("""COMPUTED_VALUE"""),"trương thị hải yến")</f>
        <v>trương thị hải yến</v>
      </c>
      <c r="J4434" s="3" t="str">
        <f ca="1">IFERROR(__xludf.DUMMYFUNCTION("""COMPUTED_VALUE"""),"0971010624")</f>
        <v>0971010624</v>
      </c>
      <c r="K4434" s="2" t="str">
        <f ca="1">IFERROR(__xludf.DUMMYFUNCTION("""COMPUTED_VALUE"""),"1761433236299")</f>
        <v>1761433236299</v>
      </c>
    </row>
    <row r="4435" spans="1:11" ht="12.45">
      <c r="A4435" s="2" t="str">
        <f ca="1">IFERROR(__xludf.DUMMYFUNCTION("""COMPUTED_VALUE"""),"1761433320216")</f>
        <v>1761433320216</v>
      </c>
      <c r="B4435" s="2"/>
      <c r="C4435" s="2" t="str">
        <v>0</v>
      </c>
      <c r="D4435" s="2"/>
      <c r="F4435" s="2" t="str">
        <v>0</v>
      </c>
      <c r="I4435" s="3" t="str">
        <f ca="1">IFERROR(__xludf.DUMMYFUNCTION("""COMPUTED_VALUE"""),"Nguyễn Lê Bảo Trân ")</f>
        <v xml:space="preserve">Nguyễn Lê Bảo Trân </v>
      </c>
      <c r="J4435" s="3" t="str">
        <f ca="1">IFERROR(__xludf.DUMMYFUNCTION("""COMPUTED_VALUE"""),"0921289996")</f>
        <v>0921289996</v>
      </c>
      <c r="K4435" s="2" t="str">
        <f ca="1">IFERROR(__xludf.DUMMYFUNCTION("""COMPUTED_VALUE"""),"1761433320216")</f>
        <v>1761433320216</v>
      </c>
    </row>
    <row r="4436" spans="1:11" ht="12.45">
      <c r="A4436" s="2" t="str">
        <f ca="1">IFERROR(__xludf.DUMMYFUNCTION("""COMPUTED_VALUE"""),"1761433352436")</f>
        <v>1761433352436</v>
      </c>
      <c r="B4436" s="2"/>
      <c r="C4436" s="2" t="str">
        <v>0</v>
      </c>
      <c r="D4436" s="2"/>
      <c r="F4436" s="2" t="str">
        <v>0</v>
      </c>
      <c r="I4436" s="3" t="str">
        <f ca="1">IFERROR(__xludf.DUMMYFUNCTION("""COMPUTED_VALUE"""),"Trần Minh Ánh")</f>
        <v>Trần Minh Ánh</v>
      </c>
      <c r="J4436" s="3" t="str">
        <f ca="1">IFERROR(__xludf.DUMMYFUNCTION("""COMPUTED_VALUE"""),"0977604716")</f>
        <v>0977604716</v>
      </c>
      <c r="K4436" s="2" t="str">
        <f ca="1">IFERROR(__xludf.DUMMYFUNCTION("""COMPUTED_VALUE"""),"1761433352436")</f>
        <v>1761433352436</v>
      </c>
    </row>
    <row r="4437" spans="1:11" ht="12.45">
      <c r="A4437" s="2" t="str">
        <f ca="1">IFERROR(__xludf.DUMMYFUNCTION("""COMPUTED_VALUE"""),"1761433383267")</f>
        <v>1761433383267</v>
      </c>
      <c r="B4437" s="2"/>
      <c r="C4437" s="2" t="str">
        <v>0</v>
      </c>
      <c r="D4437" s="2"/>
      <c r="F4437" s="2" t="str">
        <v>0</v>
      </c>
      <c r="I4437" s="3" t="str">
        <f ca="1">IFERROR(__xludf.DUMMYFUNCTION("""COMPUTED_VALUE"""),"Đỗ Thùy Dương ")</f>
        <v xml:space="preserve">Đỗ Thùy Dương </v>
      </c>
      <c r="J4437" s="3" t="str">
        <f ca="1">IFERROR(__xludf.DUMMYFUNCTION("""COMPUTED_VALUE"""),"0359298986")</f>
        <v>0359298986</v>
      </c>
      <c r="K4437" s="2" t="str">
        <f ca="1">IFERROR(__xludf.DUMMYFUNCTION("""COMPUTED_VALUE"""),"1761433383267")</f>
        <v>1761433383267</v>
      </c>
    </row>
    <row r="4438" spans="1:11" ht="12.45">
      <c r="A4438" s="2" t="str">
        <f ca="1">IFERROR(__xludf.DUMMYFUNCTION("""COMPUTED_VALUE"""),"1761433427297")</f>
        <v>1761433427297</v>
      </c>
      <c r="B4438" s="2"/>
      <c r="C4438" s="2" t="str">
        <v>0</v>
      </c>
      <c r="D4438" s="2"/>
      <c r="F4438" s="2" t="str">
        <v>0</v>
      </c>
      <c r="I4438" s="3" t="str">
        <f ca="1">IFERROR(__xludf.DUMMYFUNCTION("""COMPUTED_VALUE"""),"Đàm Thị Thuỳ Dương")</f>
        <v>Đàm Thị Thuỳ Dương</v>
      </c>
      <c r="J4438" s="3" t="str">
        <f ca="1">IFERROR(__xludf.DUMMYFUNCTION("""COMPUTED_VALUE"""),"0375904685")</f>
        <v>0375904685</v>
      </c>
      <c r="K4438" s="2" t="str">
        <f ca="1">IFERROR(__xludf.DUMMYFUNCTION("""COMPUTED_VALUE"""),"1761433427297")</f>
        <v>1761433427297</v>
      </c>
    </row>
    <row r="4439" spans="1:11" ht="12.45">
      <c r="A4439" s="2" t="str">
        <f ca="1">IFERROR(__xludf.DUMMYFUNCTION("""COMPUTED_VALUE"""),"Không giao sách")</f>
        <v>Không giao sách</v>
      </c>
      <c r="B4439" s="2"/>
      <c r="C4439" s="2" t="str">
        <v>0</v>
      </c>
      <c r="D4439" s="2"/>
      <c r="F4439" s="2" t="str">
        <v>0</v>
      </c>
      <c r="I4439" s="3" t="str">
        <f ca="1">IFERROR(__xludf.DUMMYFUNCTION("""COMPUTED_VALUE"""),"Đàm Thị Thuỳ Dương")</f>
        <v>Đàm Thị Thuỳ Dương</v>
      </c>
      <c r="J4439" s="3" t="str">
        <f ca="1">IFERROR(__xludf.DUMMYFUNCTION("""COMPUTED_VALUE"""),"0375904685")</f>
        <v>0375904685</v>
      </c>
      <c r="K4439" s="2" t="str">
        <f ca="1">IFERROR(__xludf.DUMMYFUNCTION("""COMPUTED_VALUE"""),"Không giao sách")</f>
        <v>Không giao sách</v>
      </c>
    </row>
    <row r="4440" spans="1:11" ht="12.45">
      <c r="A4440" s="2" t="str">
        <f ca="1">IFERROR(__xludf.DUMMYFUNCTION("""COMPUTED_VALUE"""),"1761433465769")</f>
        <v>1761433465769</v>
      </c>
      <c r="B4440" s="2"/>
      <c r="C4440" s="2" t="str">
        <v>0</v>
      </c>
      <c r="D4440" s="2"/>
      <c r="F4440" s="2" t="str">
        <v>0</v>
      </c>
      <c r="I4440" s="3" t="str">
        <f ca="1">IFERROR(__xludf.DUMMYFUNCTION("""COMPUTED_VALUE"""),"Nguyễn Ngọc Phương Uyên ")</f>
        <v xml:space="preserve">Nguyễn Ngọc Phương Uyên </v>
      </c>
      <c r="J4440" s="3" t="str">
        <f ca="1">IFERROR(__xludf.DUMMYFUNCTION("""COMPUTED_VALUE"""),"0946439959")</f>
        <v>0946439959</v>
      </c>
      <c r="K4440" s="2" t="str">
        <f ca="1">IFERROR(__xludf.DUMMYFUNCTION("""COMPUTED_VALUE"""),"1761433465769")</f>
        <v>1761433465769</v>
      </c>
    </row>
    <row r="4441" spans="1:11" ht="12.45">
      <c r="A4441" s="2" t="str">
        <f ca="1">IFERROR(__xludf.DUMMYFUNCTION("""COMPUTED_VALUE"""),"1761433501949")</f>
        <v>1761433501949</v>
      </c>
      <c r="B4441" s="2"/>
      <c r="C4441" s="2" t="str">
        <v>0</v>
      </c>
      <c r="D4441" s="2"/>
      <c r="F4441" s="2" t="str">
        <v>0</v>
      </c>
      <c r="I4441" s="3" t="str">
        <f ca="1">IFERROR(__xludf.DUMMYFUNCTION("""COMPUTED_VALUE"""),"Trần Thu Hoài")</f>
        <v>Trần Thu Hoài</v>
      </c>
      <c r="J4441" s="3" t="str">
        <f ca="1">IFERROR(__xludf.DUMMYFUNCTION("""COMPUTED_VALUE"""),"0332857923")</f>
        <v>0332857923</v>
      </c>
      <c r="K4441" s="2" t="str">
        <f ca="1">IFERROR(__xludf.DUMMYFUNCTION("""COMPUTED_VALUE"""),"1761433501949")</f>
        <v>1761433501949</v>
      </c>
    </row>
    <row r="4442" spans="1:11" ht="12.45">
      <c r="A4442" s="2" t="str">
        <f ca="1">IFERROR(__xludf.DUMMYFUNCTION("""COMPUTED_VALUE"""),"1761433535724")</f>
        <v>1761433535724</v>
      </c>
      <c r="B4442" s="2"/>
      <c r="C4442" s="2" t="str">
        <v>0</v>
      </c>
      <c r="D4442" s="2"/>
      <c r="F4442" s="2" t="str">
        <v>0</v>
      </c>
      <c r="I4442" s="3" t="str">
        <f ca="1">IFERROR(__xludf.DUMMYFUNCTION("""COMPUTED_VALUE"""),"Đỗ Mạnh Hùng")</f>
        <v>Đỗ Mạnh Hùng</v>
      </c>
      <c r="J4442" s="3" t="str">
        <f ca="1">IFERROR(__xludf.DUMMYFUNCTION("""COMPUTED_VALUE"""),"0886207506")</f>
        <v>0886207506</v>
      </c>
      <c r="K4442" s="2" t="str">
        <f ca="1">IFERROR(__xludf.DUMMYFUNCTION("""COMPUTED_VALUE"""),"1761433535724")</f>
        <v>1761433535724</v>
      </c>
    </row>
    <row r="4443" spans="1:11" ht="12.45">
      <c r="A4443" s="2" t="str">
        <f ca="1">IFERROR(__xludf.DUMMYFUNCTION("""COMPUTED_VALUE"""),"1761433568763")</f>
        <v>1761433568763</v>
      </c>
      <c r="B4443" s="2"/>
      <c r="C4443" s="2" t="str">
        <v>0</v>
      </c>
      <c r="D4443" s="2"/>
      <c r="F4443" s="2" t="str">
        <v>0</v>
      </c>
      <c r="I4443" s="3" t="str">
        <f ca="1">IFERROR(__xludf.DUMMYFUNCTION("""COMPUTED_VALUE"""),"Phạm Thảo Anh")</f>
        <v>Phạm Thảo Anh</v>
      </c>
      <c r="J4443" s="3" t="str">
        <f ca="1">IFERROR(__xludf.DUMMYFUNCTION("""COMPUTED_VALUE"""),"0399229064")</f>
        <v>0399229064</v>
      </c>
      <c r="K4443" s="2" t="str">
        <f ca="1">IFERROR(__xludf.DUMMYFUNCTION("""COMPUTED_VALUE"""),"1761433568763")</f>
        <v>1761433568763</v>
      </c>
    </row>
    <row r="4444" spans="1:11" ht="12.45">
      <c r="A4444" s="2" t="str">
        <f ca="1">IFERROR(__xludf.DUMMYFUNCTION("""COMPUTED_VALUE"""),"1761433610168")</f>
        <v>1761433610168</v>
      </c>
      <c r="B4444" s="2"/>
      <c r="C4444" s="2" t="str">
        <v>0</v>
      </c>
      <c r="D4444" s="2"/>
      <c r="F4444" s="2" t="str">
        <v>0</v>
      </c>
      <c r="I4444" s="3" t="str">
        <f ca="1">IFERROR(__xludf.DUMMYFUNCTION("""COMPUTED_VALUE"""),"Phạm khánh linh")</f>
        <v>Phạm khánh linh</v>
      </c>
      <c r="J4444" s="3" t="str">
        <f ca="1">IFERROR(__xludf.DUMMYFUNCTION("""COMPUTED_VALUE"""),"0357952151")</f>
        <v>0357952151</v>
      </c>
      <c r="K4444" s="2" t="str">
        <f ca="1">IFERROR(__xludf.DUMMYFUNCTION("""COMPUTED_VALUE"""),"1761433610168")</f>
        <v>1761433610168</v>
      </c>
    </row>
    <row r="4445" spans="1:11" ht="12.45">
      <c r="A4445" s="2" t="str">
        <f ca="1">IFERROR(__xludf.DUMMYFUNCTION("""COMPUTED_VALUE"""),"1761433641978")</f>
        <v>1761433641978</v>
      </c>
      <c r="B4445" s="2"/>
      <c r="C4445" s="2" t="str">
        <v>0</v>
      </c>
      <c r="D4445" s="2"/>
      <c r="F4445" s="2" t="str">
        <v>0</v>
      </c>
      <c r="I4445" s="3" t="str">
        <f ca="1">IFERROR(__xludf.DUMMYFUNCTION("""COMPUTED_VALUE"""),"Bùi Thành Đạt")</f>
        <v>Bùi Thành Đạt</v>
      </c>
      <c r="J4445" s="3" t="str">
        <f ca="1">IFERROR(__xludf.DUMMYFUNCTION("""COMPUTED_VALUE"""),"0365735641")</f>
        <v>0365735641</v>
      </c>
      <c r="K4445" s="2" t="str">
        <f ca="1">IFERROR(__xludf.DUMMYFUNCTION("""COMPUTED_VALUE"""),"1761433641978")</f>
        <v>1761433641978</v>
      </c>
    </row>
    <row r="4446" spans="1:11" ht="12.45">
      <c r="A4446" s="2" t="str">
        <f ca="1">IFERROR(__xludf.DUMMYFUNCTION("""COMPUTED_VALUE"""),"1761433673209")</f>
        <v>1761433673209</v>
      </c>
      <c r="B4446" s="2"/>
      <c r="C4446" s="2" t="str">
        <v>0</v>
      </c>
      <c r="D4446" s="2"/>
      <c r="F4446" s="2" t="str">
        <v>0</v>
      </c>
      <c r="I4446" s="3" t="str">
        <f ca="1">IFERROR(__xludf.DUMMYFUNCTION("""COMPUTED_VALUE"""),"Đỗ Thị Mỹ Phượng")</f>
        <v>Đỗ Thị Mỹ Phượng</v>
      </c>
      <c r="J4446" s="3" t="str">
        <f ca="1">IFERROR(__xludf.DUMMYFUNCTION("""COMPUTED_VALUE"""),"0359289297")</f>
        <v>0359289297</v>
      </c>
      <c r="K4446" s="2" t="str">
        <f ca="1">IFERROR(__xludf.DUMMYFUNCTION("""COMPUTED_VALUE"""),"1761433673209")</f>
        <v>1761433673209</v>
      </c>
    </row>
    <row r="4447" spans="1:11" ht="12.45">
      <c r="A4447" s="2" t="str">
        <f ca="1">IFERROR(__xludf.DUMMYFUNCTION("""COMPUTED_VALUE"""),"1761433713811")</f>
        <v>1761433713811</v>
      </c>
      <c r="B4447" s="2"/>
      <c r="C4447" s="2" t="str">
        <v>0</v>
      </c>
      <c r="D4447" s="2"/>
      <c r="F4447" s="2" t="str">
        <v>0</v>
      </c>
      <c r="I4447" s="3" t="str">
        <f ca="1">IFERROR(__xludf.DUMMYFUNCTION("""COMPUTED_VALUE"""),"Hoàng Minh Nguyệt ")</f>
        <v xml:space="preserve">Hoàng Minh Nguyệt </v>
      </c>
      <c r="J4447" s="3" t="str">
        <f ca="1">IFERROR(__xludf.DUMMYFUNCTION("""COMPUTED_VALUE"""),"0362069175")</f>
        <v>0362069175</v>
      </c>
      <c r="K4447" s="2" t="str">
        <f ca="1">IFERROR(__xludf.DUMMYFUNCTION("""COMPUTED_VALUE"""),"1761433713811")</f>
        <v>1761433713811</v>
      </c>
    </row>
    <row r="4448" spans="1:11" ht="12.45">
      <c r="A4448" s="2" t="str">
        <f ca="1">IFERROR(__xludf.DUMMYFUNCTION("""COMPUTED_VALUE"""),"1761433750795")</f>
        <v>1761433750795</v>
      </c>
      <c r="B4448" s="2"/>
      <c r="C4448" s="2" t="str">
        <v>0</v>
      </c>
      <c r="D4448" s="2"/>
      <c r="F4448" s="2" t="str">
        <v>0</v>
      </c>
      <c r="I4448" s="3" t="str">
        <f ca="1">IFERROR(__xludf.DUMMYFUNCTION("""COMPUTED_VALUE"""),"Lê Hương Giang")</f>
        <v>Lê Hương Giang</v>
      </c>
      <c r="J4448" s="3" t="str">
        <f ca="1">IFERROR(__xludf.DUMMYFUNCTION("""COMPUTED_VALUE"""),"0383548845")</f>
        <v>0383548845</v>
      </c>
      <c r="K4448" s="2" t="str">
        <f ca="1">IFERROR(__xludf.DUMMYFUNCTION("""COMPUTED_VALUE"""),"1761433750795")</f>
        <v>1761433750795</v>
      </c>
    </row>
    <row r="4449" spans="1:11" ht="12.45">
      <c r="A4449" s="2" t="str">
        <f ca="1">IFERROR(__xludf.DUMMYFUNCTION("""COMPUTED_VALUE"""),"1761433781192")</f>
        <v>1761433781192</v>
      </c>
      <c r="B4449" s="2"/>
      <c r="C4449" s="2" t="str">
        <v>0</v>
      </c>
      <c r="D4449" s="2"/>
      <c r="F4449" s="2" t="str">
        <v>0</v>
      </c>
      <c r="I4449" s="3" t="str">
        <f ca="1">IFERROR(__xludf.DUMMYFUNCTION("""COMPUTED_VALUE"""),"Trần Kỳ Duyên ")</f>
        <v xml:space="preserve">Trần Kỳ Duyên </v>
      </c>
      <c r="J4449" s="3" t="str">
        <f ca="1">IFERROR(__xludf.DUMMYFUNCTION("""COMPUTED_VALUE"""),"0326667092")</f>
        <v>0326667092</v>
      </c>
      <c r="K4449" s="2" t="str">
        <f ca="1">IFERROR(__xludf.DUMMYFUNCTION("""COMPUTED_VALUE"""),"1761433781192")</f>
        <v>1761433781192</v>
      </c>
    </row>
    <row r="4450" spans="1:11" ht="12.45">
      <c r="A4450" s="2" t="str">
        <f ca="1">IFERROR(__xludf.DUMMYFUNCTION("""COMPUTED_VALUE"""),"1761433840658")</f>
        <v>1761433840658</v>
      </c>
      <c r="B4450" s="2"/>
      <c r="C4450" s="2" t="str">
        <v>0</v>
      </c>
      <c r="D4450" s="2"/>
      <c r="F4450" s="2" t="str">
        <v>0</v>
      </c>
      <c r="I4450" s="3" t="str">
        <f ca="1">IFERROR(__xludf.DUMMYFUNCTION("""COMPUTED_VALUE"""),"Lê Minh Thư")</f>
        <v>Lê Minh Thư</v>
      </c>
      <c r="J4450" s="3" t="str">
        <f ca="1">IFERROR(__xludf.DUMMYFUNCTION("""COMPUTED_VALUE"""),"0913056194")</f>
        <v>0913056194</v>
      </c>
      <c r="K4450" s="2" t="str">
        <f ca="1">IFERROR(__xludf.DUMMYFUNCTION("""COMPUTED_VALUE"""),"1761433840658")</f>
        <v>1761433840658</v>
      </c>
    </row>
    <row r="4451" spans="1:11" ht="12.45">
      <c r="A4451" s="2" t="str">
        <f ca="1">IFERROR(__xludf.DUMMYFUNCTION("""COMPUTED_VALUE"""),"1761433870620")</f>
        <v>1761433870620</v>
      </c>
      <c r="B4451" s="2"/>
      <c r="C4451" s="2" t="str">
        <v>0</v>
      </c>
      <c r="D4451" s="2"/>
      <c r="F4451" s="2" t="str">
        <v>0</v>
      </c>
      <c r="I4451" s="3" t="str">
        <f ca="1">IFERROR(__xludf.DUMMYFUNCTION("""COMPUTED_VALUE"""),"Trần Ngọc Xuân Mai")</f>
        <v>Trần Ngọc Xuân Mai</v>
      </c>
      <c r="J4451" s="3" t="str">
        <f ca="1">IFERROR(__xludf.DUMMYFUNCTION("""COMPUTED_VALUE"""),"0896669560")</f>
        <v>0896669560</v>
      </c>
      <c r="K4451" s="2" t="str">
        <f ca="1">IFERROR(__xludf.DUMMYFUNCTION("""COMPUTED_VALUE"""),"1761433870620")</f>
        <v>1761433870620</v>
      </c>
    </row>
    <row r="4452" spans="1:11" ht="12.45">
      <c r="A4452" s="2" t="str">
        <f ca="1">IFERROR(__xludf.DUMMYFUNCTION("""COMPUTED_VALUE"""),"1761433897707")</f>
        <v>1761433897707</v>
      </c>
      <c r="B4452" s="2"/>
      <c r="C4452" s="2" t="str">
        <v>0</v>
      </c>
      <c r="D4452" s="2"/>
      <c r="F4452" s="2" t="str">
        <v>0</v>
      </c>
      <c r="I4452" s="3" t="str">
        <f ca="1">IFERROR(__xludf.DUMMYFUNCTION("""COMPUTED_VALUE"""),"Trần Nguyễn Bảo Thu")</f>
        <v>Trần Nguyễn Bảo Thu</v>
      </c>
      <c r="J4452" s="3" t="str">
        <f ca="1">IFERROR(__xludf.DUMMYFUNCTION("""COMPUTED_VALUE"""),"0373676196")</f>
        <v>0373676196</v>
      </c>
      <c r="K4452" s="2" t="str">
        <f ca="1">IFERROR(__xludf.DUMMYFUNCTION("""COMPUTED_VALUE"""),"1761433897707")</f>
        <v>1761433897707</v>
      </c>
    </row>
    <row r="4453" spans="1:11" ht="12.45">
      <c r="A4453" s="2" t="str">
        <f ca="1">IFERROR(__xludf.DUMMYFUNCTION("""COMPUTED_VALUE"""),"1761433939035")</f>
        <v>1761433939035</v>
      </c>
      <c r="B4453" s="2"/>
      <c r="C4453" s="2" t="str">
        <v>0</v>
      </c>
      <c r="D4453" s="2"/>
      <c r="F4453" s="2" t="str">
        <v>0</v>
      </c>
      <c r="I4453" s="3" t="str">
        <f ca="1">IFERROR(__xludf.DUMMYFUNCTION("""COMPUTED_VALUE"""),"Nguyễn Thị Thu Thảo")</f>
        <v>Nguyễn Thị Thu Thảo</v>
      </c>
      <c r="J4453" s="3" t="str">
        <f ca="1">IFERROR(__xludf.DUMMYFUNCTION("""COMPUTED_VALUE"""),"0961839119")</f>
        <v>0961839119</v>
      </c>
      <c r="K4453" s="2" t="str">
        <f ca="1">IFERROR(__xludf.DUMMYFUNCTION("""COMPUTED_VALUE"""),"1761433939035")</f>
        <v>1761433939035</v>
      </c>
    </row>
    <row r="4454" spans="1:11" ht="12.45">
      <c r="A4454" s="2" t="str">
        <f ca="1">IFERROR(__xludf.DUMMYFUNCTION("""COMPUTED_VALUE"""),"1761433982091")</f>
        <v>1761433982091</v>
      </c>
      <c r="B4454" s="2"/>
      <c r="C4454" s="2" t="str">
        <v>0</v>
      </c>
      <c r="D4454" s="2"/>
      <c r="F4454" s="2" t="str">
        <v>0</v>
      </c>
      <c r="I4454" s="3" t="str">
        <f ca="1">IFERROR(__xludf.DUMMYFUNCTION("""COMPUTED_VALUE"""),"Uông Thị Hằng")</f>
        <v>Uông Thị Hằng</v>
      </c>
      <c r="J4454" s="3" t="str">
        <f ca="1">IFERROR(__xludf.DUMMYFUNCTION("""COMPUTED_VALUE"""),"0944477623")</f>
        <v>0944477623</v>
      </c>
      <c r="K4454" s="2" t="str">
        <f ca="1">IFERROR(__xludf.DUMMYFUNCTION("""COMPUTED_VALUE"""),"1761433982091")</f>
        <v>1761433982091</v>
      </c>
    </row>
    <row r="4455" spans="1:11" ht="12.45">
      <c r="A4455" s="2" t="str">
        <f ca="1">IFERROR(__xludf.DUMMYFUNCTION("""COMPUTED_VALUE"""),"1761434029616")</f>
        <v>1761434029616</v>
      </c>
      <c r="B4455" s="2"/>
      <c r="C4455" s="2" t="str">
        <v>0</v>
      </c>
      <c r="D4455" s="2"/>
      <c r="F4455" s="2" t="str">
        <v>0</v>
      </c>
      <c r="I4455" s="3" t="str">
        <f ca="1">IFERROR(__xludf.DUMMYFUNCTION("""COMPUTED_VALUE"""),"Nguyễn Mai Phương")</f>
        <v>Nguyễn Mai Phương</v>
      </c>
      <c r="J4455" s="3" t="str">
        <f ca="1">IFERROR(__xludf.DUMMYFUNCTION("""COMPUTED_VALUE"""),"0787504720")</f>
        <v>0787504720</v>
      </c>
      <c r="K4455" s="2" t="str">
        <f ca="1">IFERROR(__xludf.DUMMYFUNCTION("""COMPUTED_VALUE"""),"1761434029616")</f>
        <v>1761434029616</v>
      </c>
    </row>
    <row r="4456" spans="1:11" ht="12.45">
      <c r="A4456" s="2" t="str">
        <f ca="1">IFERROR(__xludf.DUMMYFUNCTION("""COMPUTED_VALUE"""),"1761434090799")</f>
        <v>1761434090799</v>
      </c>
      <c r="B4456" s="2"/>
      <c r="C4456" s="2" t="str">
        <v>0</v>
      </c>
      <c r="D4456" s="2"/>
      <c r="F4456" s="2" t="str">
        <v>0</v>
      </c>
      <c r="I4456" s="3" t="str">
        <f ca="1">IFERROR(__xludf.DUMMYFUNCTION("""COMPUTED_VALUE"""),"Hoàng Ngọc Huyền")</f>
        <v>Hoàng Ngọc Huyền</v>
      </c>
      <c r="J4456" s="3" t="str">
        <f ca="1">IFERROR(__xludf.DUMMYFUNCTION("""COMPUTED_VALUE"""),"0368657372")</f>
        <v>0368657372</v>
      </c>
      <c r="K4456" s="2" t="str">
        <f ca="1">IFERROR(__xludf.DUMMYFUNCTION("""COMPUTED_VALUE"""),"1761434090799")</f>
        <v>1761434090799</v>
      </c>
    </row>
    <row r="4457" spans="1:11" ht="12.45">
      <c r="A4457" s="2" t="str">
        <f ca="1">IFERROR(__xludf.DUMMYFUNCTION("""COMPUTED_VALUE"""),"1761434128611")</f>
        <v>1761434128611</v>
      </c>
      <c r="B4457" s="2"/>
      <c r="C4457" s="2" t="str">
        <v>0</v>
      </c>
      <c r="D4457" s="2"/>
      <c r="F4457" s="2" t="str">
        <v>0</v>
      </c>
      <c r="I4457" s="3" t="str">
        <f ca="1">IFERROR(__xludf.DUMMYFUNCTION("""COMPUTED_VALUE"""),"Nguyễn Thị Thủy Tiên ")</f>
        <v xml:space="preserve">Nguyễn Thị Thủy Tiên </v>
      </c>
      <c r="J4457" s="3" t="str">
        <f ca="1">IFERROR(__xludf.DUMMYFUNCTION("""COMPUTED_VALUE"""),"0905095786")</f>
        <v>0905095786</v>
      </c>
      <c r="K4457" s="2" t="str">
        <f ca="1">IFERROR(__xludf.DUMMYFUNCTION("""COMPUTED_VALUE"""),"1761434128611")</f>
        <v>1761434128611</v>
      </c>
    </row>
    <row r="4458" spans="1:11" ht="12.45">
      <c r="A4458" s="2" t="str">
        <f ca="1">IFERROR(__xludf.DUMMYFUNCTION("""COMPUTED_VALUE"""),"1761434198732")</f>
        <v>1761434198732</v>
      </c>
      <c r="B4458" s="2"/>
      <c r="C4458" s="2" t="str">
        <v>0</v>
      </c>
      <c r="D4458" s="2"/>
      <c r="F4458" s="2" t="str">
        <v>0</v>
      </c>
      <c r="I4458" s="3" t="str">
        <f ca="1">IFERROR(__xludf.DUMMYFUNCTION("""COMPUTED_VALUE"""),"Phan Lê Việt Hằng")</f>
        <v>Phan Lê Việt Hằng</v>
      </c>
      <c r="J4458" s="3" t="str">
        <f ca="1">IFERROR(__xludf.DUMMYFUNCTION("""COMPUTED_VALUE"""),"0388624578")</f>
        <v>0388624578</v>
      </c>
      <c r="K4458" s="2" t="str">
        <f ca="1">IFERROR(__xludf.DUMMYFUNCTION("""COMPUTED_VALUE"""),"1761434198732")</f>
        <v>1761434198732</v>
      </c>
    </row>
    <row r="4459" spans="1:11" ht="12.45">
      <c r="A4459" s="2" t="str">
        <f ca="1">IFERROR(__xludf.DUMMYFUNCTION("""COMPUTED_VALUE"""),"1761434261530")</f>
        <v>1761434261530</v>
      </c>
      <c r="B4459" s="2"/>
      <c r="C4459" s="2" t="str">
        <v>0</v>
      </c>
      <c r="D4459" s="2"/>
      <c r="F4459" s="2" t="str">
        <v>0</v>
      </c>
      <c r="I4459" s="3" t="str">
        <f ca="1">IFERROR(__xludf.DUMMYFUNCTION("""COMPUTED_VALUE"""),"Nguyễn Mai Niên Thảo")</f>
        <v>Nguyễn Mai Niên Thảo</v>
      </c>
      <c r="J4459" s="3" t="str">
        <f ca="1">IFERROR(__xludf.DUMMYFUNCTION("""COMPUTED_VALUE"""),"0877300542")</f>
        <v>0877300542</v>
      </c>
      <c r="K4459" s="2" t="str">
        <f ca="1">IFERROR(__xludf.DUMMYFUNCTION("""COMPUTED_VALUE"""),"1761434261530")</f>
        <v>1761434261530</v>
      </c>
    </row>
    <row r="4460" spans="1:11" ht="12.45">
      <c r="A4460" s="2" t="str">
        <f ca="1">IFERROR(__xludf.DUMMYFUNCTION("""COMPUTED_VALUE"""),"1761434302612")</f>
        <v>1761434302612</v>
      </c>
      <c r="B4460" s="2"/>
      <c r="C4460" s="2" t="str">
        <v>0</v>
      </c>
      <c r="D4460" s="2"/>
      <c r="F4460" s="2" t="str">
        <v>0</v>
      </c>
      <c r="I4460" s="3" t="str">
        <f ca="1">IFERROR(__xludf.DUMMYFUNCTION("""COMPUTED_VALUE"""),"Hoàng Ngọc Minh")</f>
        <v>Hoàng Ngọc Minh</v>
      </c>
      <c r="J4460" s="3" t="str">
        <f ca="1">IFERROR(__xludf.DUMMYFUNCTION("""COMPUTED_VALUE"""),"0819032531")</f>
        <v>0819032531</v>
      </c>
      <c r="K4460" s="2" t="str">
        <f ca="1">IFERROR(__xludf.DUMMYFUNCTION("""COMPUTED_VALUE"""),"1761434302612")</f>
        <v>1761434302612</v>
      </c>
    </row>
    <row r="4461" spans="1:11" ht="12.45">
      <c r="A4461" s="2" t="str">
        <f ca="1">IFERROR(__xludf.DUMMYFUNCTION("""COMPUTED_VALUE"""),"1761434357061")</f>
        <v>1761434357061</v>
      </c>
      <c r="B4461" s="2"/>
      <c r="C4461" s="2" t="str">
        <v>0</v>
      </c>
      <c r="D4461" s="2"/>
      <c r="F4461" s="2" t="str">
        <v>0</v>
      </c>
      <c r="I4461" s="3" t="str">
        <f ca="1">IFERROR(__xludf.DUMMYFUNCTION("""COMPUTED_VALUE"""),"Trần Hồ Kim Hằng")</f>
        <v>Trần Hồ Kim Hằng</v>
      </c>
      <c r="J4461" s="3" t="str">
        <f ca="1">IFERROR(__xludf.DUMMYFUNCTION("""COMPUTED_VALUE"""),"0384726045")</f>
        <v>0384726045</v>
      </c>
      <c r="K4461" s="2" t="str">
        <f ca="1">IFERROR(__xludf.DUMMYFUNCTION("""COMPUTED_VALUE"""),"1761434357061")</f>
        <v>1761434357061</v>
      </c>
    </row>
    <row r="4462" spans="1:11" ht="12.45">
      <c r="A4462" s="2" t="str">
        <f ca="1">IFERROR(__xludf.DUMMYFUNCTION("""COMPUTED_VALUE"""),"1761434392956")</f>
        <v>1761434392956</v>
      </c>
      <c r="B4462" s="2"/>
      <c r="C4462" s="2" t="str">
        <v>0</v>
      </c>
      <c r="D4462" s="2"/>
      <c r="F4462" s="2" t="str">
        <v>0</v>
      </c>
      <c r="I4462" s="3" t="str">
        <f ca="1">IFERROR(__xludf.DUMMYFUNCTION("""COMPUTED_VALUE"""),"Nguyễn Trần Mỹ Quỳnh ")</f>
        <v xml:space="preserve">Nguyễn Trần Mỹ Quỳnh </v>
      </c>
      <c r="J4462" s="3" t="str">
        <f ca="1">IFERROR(__xludf.DUMMYFUNCTION("""COMPUTED_VALUE"""),"0326567907")</f>
        <v>0326567907</v>
      </c>
      <c r="K4462" s="2" t="str">
        <f ca="1">IFERROR(__xludf.DUMMYFUNCTION("""COMPUTED_VALUE"""),"1761434392956")</f>
        <v>1761434392956</v>
      </c>
    </row>
    <row r="4463" spans="1:11" ht="12.45">
      <c r="A4463" s="2" t="str">
        <f ca="1">IFERROR(__xludf.DUMMYFUNCTION("""COMPUTED_VALUE"""),"1761434447028")</f>
        <v>1761434447028</v>
      </c>
      <c r="B4463" s="2"/>
      <c r="C4463" s="2" t="str">
        <v>0</v>
      </c>
      <c r="D4463" s="2"/>
      <c r="F4463" s="2" t="str">
        <v>0</v>
      </c>
      <c r="I4463" s="3" t="str">
        <f ca="1">IFERROR(__xludf.DUMMYFUNCTION("""COMPUTED_VALUE"""),"Đinh Duy Mạnh ")</f>
        <v xml:space="preserve">Đinh Duy Mạnh </v>
      </c>
      <c r="J4463" s="3" t="str">
        <f ca="1">IFERROR(__xludf.DUMMYFUNCTION("""COMPUTED_VALUE"""),"0834648042")</f>
        <v>0834648042</v>
      </c>
      <c r="K4463" s="2" t="str">
        <f ca="1">IFERROR(__xludf.DUMMYFUNCTION("""COMPUTED_VALUE"""),"1761434447028")</f>
        <v>1761434447028</v>
      </c>
    </row>
    <row r="4464" spans="1:11" ht="12.45">
      <c r="A4464" s="2" t="str">
        <f ca="1">IFERROR(__xludf.DUMMYFUNCTION("""COMPUTED_VALUE"""),"1761434494691")</f>
        <v>1761434494691</v>
      </c>
      <c r="B4464" s="2"/>
      <c r="C4464" s="2" t="str">
        <v>0</v>
      </c>
      <c r="D4464" s="2"/>
      <c r="F4464" s="2" t="str">
        <v>0</v>
      </c>
      <c r="I4464" s="3" t="str">
        <f ca="1">IFERROR(__xludf.DUMMYFUNCTION("""COMPUTED_VALUE"""),"Nguyễn Hữu An Đức")</f>
        <v>Nguyễn Hữu An Đức</v>
      </c>
      <c r="J4464" s="3" t="str">
        <f ca="1">IFERROR(__xludf.DUMMYFUNCTION("""COMPUTED_VALUE"""),"0369965389")</f>
        <v>0369965389</v>
      </c>
      <c r="K4464" s="2" t="str">
        <f ca="1">IFERROR(__xludf.DUMMYFUNCTION("""COMPUTED_VALUE"""),"1761434494691")</f>
        <v>1761434494691</v>
      </c>
    </row>
    <row r="4465" spans="1:11" ht="12.45">
      <c r="A4465" s="2" t="str">
        <f ca="1">IFERROR(__xludf.DUMMYFUNCTION("""COMPUTED_VALUE"""),"1761434529291")</f>
        <v>1761434529291</v>
      </c>
      <c r="B4465" s="2"/>
      <c r="C4465" s="2" t="str">
        <v>0</v>
      </c>
      <c r="D4465" s="2"/>
      <c r="F4465" s="2" t="str">
        <v>0</v>
      </c>
      <c r="I4465" s="3" t="str">
        <f ca="1">IFERROR(__xludf.DUMMYFUNCTION("""COMPUTED_VALUE"""),"Nguyễn Đặng Phương Vy")</f>
        <v>Nguyễn Đặng Phương Vy</v>
      </c>
      <c r="J4465" s="3" t="str">
        <f ca="1">IFERROR(__xludf.DUMMYFUNCTION("""COMPUTED_VALUE"""),"0984187710")</f>
        <v>0984187710</v>
      </c>
      <c r="K4465" s="2" t="str">
        <f ca="1">IFERROR(__xludf.DUMMYFUNCTION("""COMPUTED_VALUE"""),"1761434529291")</f>
        <v>1761434529291</v>
      </c>
    </row>
    <row r="4466" spans="1:11" ht="12.45">
      <c r="A4466" s="2" t="str">
        <f ca="1">IFERROR(__xludf.DUMMYFUNCTION("""COMPUTED_VALUE"""),"1761434582594")</f>
        <v>1761434582594</v>
      </c>
      <c r="B4466" s="2"/>
      <c r="C4466" s="2" t="str">
        <v>0</v>
      </c>
      <c r="D4466" s="2"/>
      <c r="F4466" s="2" t="str">
        <v>0</v>
      </c>
      <c r="I4466" s="3" t="str">
        <f ca="1">IFERROR(__xludf.DUMMYFUNCTION("""COMPUTED_VALUE"""),"Tạ Lưu Thuý Hường ")</f>
        <v xml:space="preserve">Tạ Lưu Thuý Hường </v>
      </c>
      <c r="J4466" s="3" t="str">
        <f ca="1">IFERROR(__xludf.DUMMYFUNCTION("""COMPUTED_VALUE"""),"0386411297")</f>
        <v>0386411297</v>
      </c>
      <c r="K4466" s="2" t="str">
        <f ca="1">IFERROR(__xludf.DUMMYFUNCTION("""COMPUTED_VALUE"""),"1761434582594")</f>
        <v>1761434582594</v>
      </c>
    </row>
    <row r="4467" spans="1:11" ht="12.45">
      <c r="A4467" s="2" t="str">
        <f ca="1">IFERROR(__xludf.DUMMYFUNCTION("""COMPUTED_VALUE"""),"1761434617926")</f>
        <v>1761434617926</v>
      </c>
      <c r="B4467" s="2"/>
      <c r="C4467" s="2" t="str">
        <v>0</v>
      </c>
      <c r="D4467" s="2"/>
      <c r="F4467" s="2" t="str">
        <v>0</v>
      </c>
      <c r="I4467" s="3" t="str">
        <f ca="1">IFERROR(__xludf.DUMMYFUNCTION("""COMPUTED_VALUE"""),"Nguyễn Minh Anh")</f>
        <v>Nguyễn Minh Anh</v>
      </c>
      <c r="J4467" s="3" t="str">
        <f ca="1">IFERROR(__xludf.DUMMYFUNCTION("""COMPUTED_VALUE"""),"0989114350")</f>
        <v>0989114350</v>
      </c>
      <c r="K4467" s="2" t="str">
        <f ca="1">IFERROR(__xludf.DUMMYFUNCTION("""COMPUTED_VALUE"""),"1761434617926")</f>
        <v>1761434617926</v>
      </c>
    </row>
    <row r="4468" spans="1:11" ht="12.45">
      <c r="A4468" s="2" t="str">
        <f ca="1">IFERROR(__xludf.DUMMYFUNCTION("""COMPUTED_VALUE"""),"1761434663511")</f>
        <v>1761434663511</v>
      </c>
      <c r="B4468" s="2"/>
      <c r="C4468" s="2" t="str">
        <v>0</v>
      </c>
      <c r="D4468" s="2"/>
      <c r="F4468" s="2" t="str">
        <v>0</v>
      </c>
      <c r="I4468" s="3" t="str">
        <f ca="1">IFERROR(__xludf.DUMMYFUNCTION("""COMPUTED_VALUE"""),"Nguyễn Lê Như Quỳnh")</f>
        <v>Nguyễn Lê Như Quỳnh</v>
      </c>
      <c r="J4468" s="3" t="str">
        <f ca="1">IFERROR(__xludf.DUMMYFUNCTION("""COMPUTED_VALUE"""),"0977987130")</f>
        <v>0977987130</v>
      </c>
      <c r="K4468" s="2" t="str">
        <f ca="1">IFERROR(__xludf.DUMMYFUNCTION("""COMPUTED_VALUE"""),"1761434663511")</f>
        <v>1761434663511</v>
      </c>
    </row>
    <row r="4469" spans="1:11" ht="12.45">
      <c r="A4469" s="2" t="str">
        <f ca="1">IFERROR(__xludf.DUMMYFUNCTION("""COMPUTED_VALUE"""),"1761434697426")</f>
        <v>1761434697426</v>
      </c>
      <c r="B4469" s="2"/>
      <c r="C4469" s="2" t="str">
        <v>0</v>
      </c>
      <c r="D4469" s="2"/>
      <c r="F4469" s="2" t="str">
        <v>0</v>
      </c>
      <c r="I4469" s="3" t="str">
        <f ca="1">IFERROR(__xludf.DUMMYFUNCTION("""COMPUTED_VALUE"""),"Lê Diệu Ngân ")</f>
        <v xml:space="preserve">Lê Diệu Ngân </v>
      </c>
      <c r="J4469" s="3" t="str">
        <f ca="1">IFERROR(__xludf.DUMMYFUNCTION("""COMPUTED_VALUE"""),"0815087564")</f>
        <v>0815087564</v>
      </c>
      <c r="K4469" s="2" t="str">
        <f ca="1">IFERROR(__xludf.DUMMYFUNCTION("""COMPUTED_VALUE"""),"1761434697426")</f>
        <v>1761434697426</v>
      </c>
    </row>
    <row r="4470" spans="1:11" ht="12.45">
      <c r="A4470" s="2" t="str">
        <f ca="1">IFERROR(__xludf.DUMMYFUNCTION("""COMPUTED_VALUE"""),"1761434735143")</f>
        <v>1761434735143</v>
      </c>
      <c r="B4470" s="2"/>
      <c r="C4470" s="2" t="str">
        <v>0</v>
      </c>
      <c r="D4470" s="2"/>
      <c r="F4470" s="2" t="str">
        <v>0</v>
      </c>
      <c r="I4470" s="3" t="str">
        <f ca="1">IFERROR(__xludf.DUMMYFUNCTION("""COMPUTED_VALUE"""),"Trần Mỹ Linh")</f>
        <v>Trần Mỹ Linh</v>
      </c>
      <c r="J4470" s="3" t="str">
        <f ca="1">IFERROR(__xludf.DUMMYFUNCTION("""COMPUTED_VALUE"""),"0989823239")</f>
        <v>0989823239</v>
      </c>
      <c r="K4470" s="2" t="str">
        <f ca="1">IFERROR(__xludf.DUMMYFUNCTION("""COMPUTED_VALUE"""),"1761434735143")</f>
        <v>1761434735143</v>
      </c>
    </row>
    <row r="4471" spans="1:11" ht="12.45">
      <c r="A4471" s="2" t="str">
        <f ca="1">IFERROR(__xludf.DUMMYFUNCTION("""COMPUTED_VALUE"""),"1761434782542")</f>
        <v>1761434782542</v>
      </c>
      <c r="B4471" s="2"/>
      <c r="C4471" s="2" t="str">
        <v>0</v>
      </c>
      <c r="D4471" s="2"/>
      <c r="F4471" s="2" t="str">
        <v>0</v>
      </c>
      <c r="I4471" s="3" t="str">
        <f ca="1">IFERROR(__xludf.DUMMYFUNCTION("""COMPUTED_VALUE"""),"Nguyễn Đăng Khoa")</f>
        <v>Nguyễn Đăng Khoa</v>
      </c>
      <c r="J4471" s="3" t="str">
        <f ca="1">IFERROR(__xludf.DUMMYFUNCTION("""COMPUTED_VALUE"""),"0788551472")</f>
        <v>0788551472</v>
      </c>
      <c r="K4471" s="2" t="str">
        <f ca="1">IFERROR(__xludf.DUMMYFUNCTION("""COMPUTED_VALUE"""),"1761434782542")</f>
        <v>1761434782542</v>
      </c>
    </row>
    <row r="4472" spans="1:11" ht="12.45">
      <c r="A4472" s="2" t="str">
        <f ca="1">IFERROR(__xludf.DUMMYFUNCTION("""COMPUTED_VALUE"""),"1761434817879")</f>
        <v>1761434817879</v>
      </c>
      <c r="B4472" s="2"/>
      <c r="C4472" s="2" t="str">
        <v>0</v>
      </c>
      <c r="D4472" s="2"/>
      <c r="F4472" s="2" t="str">
        <v>0</v>
      </c>
      <c r="I4472" s="3" t="str">
        <f ca="1">IFERROR(__xludf.DUMMYFUNCTION("""COMPUTED_VALUE"""),"Hoàng Ánh Dương")</f>
        <v>Hoàng Ánh Dương</v>
      </c>
      <c r="J4472" s="3" t="str">
        <f ca="1">IFERROR(__xludf.DUMMYFUNCTION("""COMPUTED_VALUE"""),"0333454930")</f>
        <v>0333454930</v>
      </c>
      <c r="K4472" s="2" t="str">
        <f ca="1">IFERROR(__xludf.DUMMYFUNCTION("""COMPUTED_VALUE"""),"1761434817879")</f>
        <v>1761434817879</v>
      </c>
    </row>
    <row r="4473" spans="1:11" ht="12.45">
      <c r="A4473" s="2" t="str">
        <f ca="1">IFERROR(__xludf.DUMMYFUNCTION("""COMPUTED_VALUE"""),"1761434857558")</f>
        <v>1761434857558</v>
      </c>
      <c r="B4473" s="2"/>
      <c r="C4473" s="2" t="str">
        <v>0</v>
      </c>
      <c r="D4473" s="2"/>
      <c r="F4473" s="2" t="str">
        <v>0</v>
      </c>
      <c r="I4473" s="3" t="str">
        <f ca="1">IFERROR(__xludf.DUMMYFUNCTION("""COMPUTED_VALUE"""),"Đào Thu Uyên")</f>
        <v>Đào Thu Uyên</v>
      </c>
      <c r="J4473" s="3" t="str">
        <f ca="1">IFERROR(__xludf.DUMMYFUNCTION("""COMPUTED_VALUE"""),"0865922482")</f>
        <v>0865922482</v>
      </c>
      <c r="K4473" s="2" t="str">
        <f ca="1">IFERROR(__xludf.DUMMYFUNCTION("""COMPUTED_VALUE"""),"1761434857558")</f>
        <v>1761434857558</v>
      </c>
    </row>
    <row r="4474" spans="1:11" ht="12.45">
      <c r="A4474" s="2" t="str">
        <f ca="1">IFERROR(__xludf.DUMMYFUNCTION("""COMPUTED_VALUE"""),"Không giao sách")</f>
        <v>Không giao sách</v>
      </c>
      <c r="B4474" s="2"/>
      <c r="C4474" s="2" t="str">
        <v>0</v>
      </c>
      <c r="D4474" s="2"/>
      <c r="F4474" s="2" t="str">
        <v>0</v>
      </c>
      <c r="I4474" s="3" t="str">
        <f ca="1">IFERROR(__xludf.DUMMYFUNCTION("""COMPUTED_VALUE"""),"Trần Hồ Kim Hằng")</f>
        <v>Trần Hồ Kim Hằng</v>
      </c>
      <c r="J4474" s="3" t="str">
        <f ca="1">IFERROR(__xludf.DUMMYFUNCTION("""COMPUTED_VALUE"""),"0384726045")</f>
        <v>0384726045</v>
      </c>
      <c r="K4474" s="2" t="str">
        <f ca="1">IFERROR(__xludf.DUMMYFUNCTION("""COMPUTED_VALUE"""),"Không giao sách")</f>
        <v>Không giao sách</v>
      </c>
    </row>
    <row r="4475" spans="1:11" ht="12.45">
      <c r="A4475" s="2" t="str">
        <f ca="1">IFERROR(__xludf.DUMMYFUNCTION("""COMPUTED_VALUE"""),"1761434887773")</f>
        <v>1761434887773</v>
      </c>
      <c r="B4475" s="2"/>
      <c r="C4475" s="2" t="str">
        <v>0</v>
      </c>
      <c r="D4475" s="2"/>
      <c r="F4475" s="2" t="str">
        <v>0</v>
      </c>
      <c r="I4475" s="3" t="str">
        <f ca="1">IFERROR(__xludf.DUMMYFUNCTION("""COMPUTED_VALUE"""),"Nguyễn Sỹ Hải Long")</f>
        <v>Nguyễn Sỹ Hải Long</v>
      </c>
      <c r="J4475" s="3" t="str">
        <f ca="1">IFERROR(__xludf.DUMMYFUNCTION("""COMPUTED_VALUE"""),"0986689619")</f>
        <v>0986689619</v>
      </c>
      <c r="K4475" s="2" t="str">
        <f ca="1">IFERROR(__xludf.DUMMYFUNCTION("""COMPUTED_VALUE"""),"1761434887773")</f>
        <v>1761434887773</v>
      </c>
    </row>
    <row r="4476" spans="1:11" ht="12.45">
      <c r="A4476" s="2" t="str">
        <f ca="1">IFERROR(__xludf.DUMMYFUNCTION("""COMPUTED_VALUE"""),"1761434919905")</f>
        <v>1761434919905</v>
      </c>
      <c r="B4476" s="2"/>
      <c r="C4476" s="2" t="str">
        <v>0</v>
      </c>
      <c r="D4476" s="2"/>
      <c r="F4476" s="2" t="str">
        <v>0</v>
      </c>
      <c r="I4476" s="3" t="str">
        <f ca="1">IFERROR(__xludf.DUMMYFUNCTION("""COMPUTED_VALUE"""),"Nguyễn Thị Thanh Tâm")</f>
        <v>Nguyễn Thị Thanh Tâm</v>
      </c>
      <c r="J4476" s="3" t="str">
        <f ca="1">IFERROR(__xludf.DUMMYFUNCTION("""COMPUTED_VALUE"""),"0334849870")</f>
        <v>0334849870</v>
      </c>
      <c r="K4476" s="2" t="str">
        <f ca="1">IFERROR(__xludf.DUMMYFUNCTION("""COMPUTED_VALUE"""),"1761434919905")</f>
        <v>1761434919905</v>
      </c>
    </row>
    <row r="4477" spans="1:11" ht="12.45">
      <c r="A4477" s="2" t="str">
        <f ca="1">IFERROR(__xludf.DUMMYFUNCTION("""COMPUTED_VALUE"""),"1761434961286")</f>
        <v>1761434961286</v>
      </c>
      <c r="B4477" s="2"/>
      <c r="C4477" s="2" t="str">
        <v>0</v>
      </c>
      <c r="D4477" s="2"/>
      <c r="F4477" s="2" t="str">
        <v>0</v>
      </c>
      <c r="I4477" s="3" t="str">
        <f ca="1">IFERROR(__xludf.DUMMYFUNCTION("""COMPUTED_VALUE"""),"Vũ Phương Trưởng")</f>
        <v>Vũ Phương Trưởng</v>
      </c>
      <c r="J4477" s="3" t="str">
        <f ca="1">IFERROR(__xludf.DUMMYFUNCTION("""COMPUTED_VALUE"""),"0988901363")</f>
        <v>0988901363</v>
      </c>
      <c r="K4477" s="2" t="str">
        <f ca="1">IFERROR(__xludf.DUMMYFUNCTION("""COMPUTED_VALUE"""),"1761434961286")</f>
        <v>1761434961286</v>
      </c>
    </row>
    <row r="4478" spans="1:11" ht="12.45">
      <c r="A4478" s="2" t="str">
        <f ca="1">IFERROR(__xludf.DUMMYFUNCTION("""COMPUTED_VALUE"""),"1761434995032")</f>
        <v>1761434995032</v>
      </c>
      <c r="B4478" s="2"/>
      <c r="C4478" s="2" t="str">
        <v>0</v>
      </c>
      <c r="D4478" s="2"/>
      <c r="F4478" s="2" t="str">
        <v>0</v>
      </c>
      <c r="I4478" s="3" t="str">
        <f ca="1">IFERROR(__xludf.DUMMYFUNCTION("""COMPUTED_VALUE"""),"Lê Thuý Anh")</f>
        <v>Lê Thuý Anh</v>
      </c>
      <c r="J4478" s="3" t="str">
        <f ca="1">IFERROR(__xludf.DUMMYFUNCTION("""COMPUTED_VALUE"""),"0931502499")</f>
        <v>0931502499</v>
      </c>
      <c r="K4478" s="2" t="str">
        <f ca="1">IFERROR(__xludf.DUMMYFUNCTION("""COMPUTED_VALUE"""),"1761434995032")</f>
        <v>1761434995032</v>
      </c>
    </row>
    <row r="4479" spans="1:11" ht="12.45">
      <c r="A4479" s="2" t="str">
        <f ca="1">IFERROR(__xludf.DUMMYFUNCTION("""COMPUTED_VALUE"""),"1761435024946")</f>
        <v>1761435024946</v>
      </c>
      <c r="B4479" s="2"/>
      <c r="C4479" s="2" t="str">
        <v>0</v>
      </c>
      <c r="D4479" s="2"/>
      <c r="F4479" s="2" t="str">
        <v>0</v>
      </c>
      <c r="I4479" s="3" t="str">
        <f ca="1">IFERROR(__xludf.DUMMYFUNCTION("""COMPUTED_VALUE"""),"Lò Thùy Anh")</f>
        <v>Lò Thùy Anh</v>
      </c>
      <c r="J4479" s="3" t="str">
        <f ca="1">IFERROR(__xludf.DUMMYFUNCTION("""COMPUTED_VALUE"""),"0385665395")</f>
        <v>0385665395</v>
      </c>
      <c r="K4479" s="2" t="str">
        <f ca="1">IFERROR(__xludf.DUMMYFUNCTION("""COMPUTED_VALUE"""),"1761435024946")</f>
        <v>1761435024946</v>
      </c>
    </row>
    <row r="4480" spans="1:11" ht="12.45">
      <c r="A4480" s="2" t="str">
        <f ca="1">IFERROR(__xludf.DUMMYFUNCTION("""COMPUTED_VALUE"""),"1761435078783")</f>
        <v>1761435078783</v>
      </c>
      <c r="B4480" s="2"/>
      <c r="C4480" s="2" t="str">
        <v>0</v>
      </c>
      <c r="D4480" s="2"/>
      <c r="F4480" s="2" t="str">
        <v>0</v>
      </c>
      <c r="I4480" s="3" t="str">
        <f ca="1">IFERROR(__xludf.DUMMYFUNCTION("""COMPUTED_VALUE"""),"Lê Ngọc Mai")</f>
        <v>Lê Ngọc Mai</v>
      </c>
      <c r="J4480" s="3" t="str">
        <f ca="1">IFERROR(__xludf.DUMMYFUNCTION("""COMPUTED_VALUE"""),"0819324409")</f>
        <v>0819324409</v>
      </c>
      <c r="K4480" s="2" t="str">
        <f ca="1">IFERROR(__xludf.DUMMYFUNCTION("""COMPUTED_VALUE"""),"1761435078783")</f>
        <v>1761435078783</v>
      </c>
    </row>
    <row r="4481" spans="1:11" ht="12.45">
      <c r="A4481" s="2" t="str">
        <f ca="1">IFERROR(__xludf.DUMMYFUNCTION("""COMPUTED_VALUE"""),"1761435118276")</f>
        <v>1761435118276</v>
      </c>
      <c r="B4481" s="2"/>
      <c r="C4481" s="2" t="str">
        <v>0</v>
      </c>
      <c r="D4481" s="2"/>
      <c r="F4481" s="2" t="str">
        <v>0</v>
      </c>
      <c r="I4481" s="3" t="str">
        <f ca="1">IFERROR(__xludf.DUMMYFUNCTION("""COMPUTED_VALUE"""),"Trương Khả Doanh")</f>
        <v>Trương Khả Doanh</v>
      </c>
      <c r="J4481" s="3" t="str">
        <f ca="1">IFERROR(__xludf.DUMMYFUNCTION("""COMPUTED_VALUE"""),"0765678658")</f>
        <v>0765678658</v>
      </c>
      <c r="K4481" s="2" t="str">
        <f ca="1">IFERROR(__xludf.DUMMYFUNCTION("""COMPUTED_VALUE"""),"1761435118276")</f>
        <v>1761435118276</v>
      </c>
    </row>
    <row r="4482" spans="1:11" ht="12.45">
      <c r="A4482" s="2" t="str">
        <f ca="1">IFERROR(__xludf.DUMMYFUNCTION("""COMPUTED_VALUE"""),"1761435175572")</f>
        <v>1761435175572</v>
      </c>
      <c r="B4482" s="2"/>
      <c r="C4482" s="2" t="str">
        <v>0</v>
      </c>
      <c r="D4482" s="2"/>
      <c r="F4482" s="2" t="str">
        <v>0</v>
      </c>
      <c r="I4482" s="3" t="str">
        <f ca="1">IFERROR(__xludf.DUMMYFUNCTION("""COMPUTED_VALUE"""),"Hồng Yến Quân ")</f>
        <v xml:space="preserve">Hồng Yến Quân </v>
      </c>
      <c r="J4482" s="2" t="str">
        <f ca="1">IFERROR(__xludf.DUMMYFUNCTION("""COMPUTED_VALUE"""),"0846848808")</f>
        <v>0846848808</v>
      </c>
      <c r="K4482" s="2" t="str">
        <f ca="1">IFERROR(__xludf.DUMMYFUNCTION("""COMPUTED_VALUE"""),"1761435175572")</f>
        <v>1761435175572</v>
      </c>
    </row>
    <row r="4483" spans="1:11" ht="12.45">
      <c r="A4483" s="2" t="str">
        <f ca="1">IFERROR(__xludf.DUMMYFUNCTION("""COMPUTED_VALUE"""),"1761435207464")</f>
        <v>1761435207464</v>
      </c>
      <c r="B4483" s="2"/>
      <c r="C4483" s="2" t="str">
        <v>0</v>
      </c>
      <c r="D4483" s="2"/>
      <c r="F4483" s="2" t="str">
        <v>0</v>
      </c>
      <c r="I4483" s="3" t="str">
        <f ca="1">IFERROR(__xludf.DUMMYFUNCTION("""COMPUTED_VALUE"""),"Lê Ngọc Bảo Hà")</f>
        <v>Lê Ngọc Bảo Hà</v>
      </c>
      <c r="J4483" s="3" t="str">
        <f ca="1">IFERROR(__xludf.DUMMYFUNCTION("""COMPUTED_VALUE"""),"0932330907")</f>
        <v>0932330907</v>
      </c>
      <c r="K4483" s="2" t="str">
        <f ca="1">IFERROR(__xludf.DUMMYFUNCTION("""COMPUTED_VALUE"""),"1761435207464")</f>
        <v>1761435207464</v>
      </c>
    </row>
    <row r="4484" spans="1:11" ht="12.45">
      <c r="A4484" s="2" t="str">
        <f ca="1">IFERROR(__xludf.DUMMYFUNCTION("""COMPUTED_VALUE"""),"1761432125633")</f>
        <v>1761432125633</v>
      </c>
      <c r="B4484" s="2"/>
      <c r="C4484" s="2" t="str">
        <v>0</v>
      </c>
      <c r="D4484" s="2"/>
      <c r="F4484" s="2" t="str">
        <v>0</v>
      </c>
      <c r="I4484" s="3" t="str">
        <f ca="1">IFERROR(__xludf.DUMMYFUNCTION("""COMPUTED_VALUE"""),"NGUYỄN THỊ NGỌC ANH")</f>
        <v>NGUYỄN THỊ NGỌC ANH</v>
      </c>
      <c r="J4484" s="3" t="str">
        <f ca="1">IFERROR(__xludf.DUMMYFUNCTION("""COMPUTED_VALUE"""),"0379182910")</f>
        <v>0379182910</v>
      </c>
      <c r="K4484" s="2" t="str">
        <f ca="1">IFERROR(__xludf.DUMMYFUNCTION("""COMPUTED_VALUE"""),"1761432125633")</f>
        <v>1761432125633</v>
      </c>
    </row>
    <row r="4485" spans="1:11" ht="12.45">
      <c r="A4485" s="2" t="str">
        <f ca="1">IFERROR(__xludf.DUMMYFUNCTION("""COMPUTED_VALUE"""),"1762499952670")</f>
        <v>1762499952670</v>
      </c>
      <c r="B4485" s="2"/>
      <c r="C4485" s="2" t="str">
        <v>0</v>
      </c>
      <c r="D4485" s="2"/>
      <c r="F4485" s="2" t="str">
        <v>0</v>
      </c>
      <c r="I4485" s="3" t="str">
        <f ca="1">IFERROR(__xludf.DUMMYFUNCTION("""COMPUTED_VALUE"""),"Trần Ngọc Gia Hân")</f>
        <v>Trần Ngọc Gia Hân</v>
      </c>
      <c r="J4485" s="3" t="str">
        <f ca="1">IFERROR(__xludf.DUMMYFUNCTION("""COMPUTED_VALUE"""),"0784239311")</f>
        <v>0784239311</v>
      </c>
      <c r="K4485" s="2" t="str">
        <f ca="1">IFERROR(__xludf.DUMMYFUNCTION("""COMPUTED_VALUE"""),"1762499952670")</f>
        <v>1762499952670</v>
      </c>
    </row>
    <row r="4486" spans="1:11" ht="12.45">
      <c r="A4486" s="2" t="str">
        <f ca="1">IFERROR(__xludf.DUMMYFUNCTION("""COMPUTED_VALUE"""),"1762499990097")</f>
        <v>1762499990097</v>
      </c>
      <c r="B4486" s="2"/>
      <c r="C4486" s="2" t="str">
        <v>0</v>
      </c>
      <c r="D4486" s="2"/>
      <c r="F4486" s="2" t="str">
        <v>0</v>
      </c>
      <c r="I4486" s="3" t="str">
        <f ca="1">IFERROR(__xludf.DUMMYFUNCTION("""COMPUTED_VALUE"""),"Nguyễn Ngọc Minh Châu")</f>
        <v>Nguyễn Ngọc Minh Châu</v>
      </c>
      <c r="J4486" s="3" t="str">
        <f ca="1">IFERROR(__xludf.DUMMYFUNCTION("""COMPUTED_VALUE"""),"0964324454")</f>
        <v>0964324454</v>
      </c>
      <c r="K4486" s="2" t="str">
        <f ca="1">IFERROR(__xludf.DUMMYFUNCTION("""COMPUTED_VALUE"""),"1762499990097")</f>
        <v>1762499990097</v>
      </c>
    </row>
    <row r="4487" spans="1:11" ht="12.45">
      <c r="A4487" s="2" t="str">
        <f ca="1">IFERROR(__xludf.DUMMYFUNCTION("""COMPUTED_VALUE"""),"1762500055346")</f>
        <v>1762500055346</v>
      </c>
      <c r="B4487" s="2"/>
      <c r="C4487" s="2" t="str">
        <v>0</v>
      </c>
      <c r="D4487" s="2"/>
      <c r="F4487" s="2" t="str">
        <v>0</v>
      </c>
      <c r="I4487" s="3" t="str">
        <f ca="1">IFERROR(__xludf.DUMMYFUNCTION("""COMPUTED_VALUE"""),"Hồ Bảo Trâm")</f>
        <v>Hồ Bảo Trâm</v>
      </c>
      <c r="J4487" s="3" t="str">
        <f ca="1">IFERROR(__xludf.DUMMYFUNCTION("""COMPUTED_VALUE"""),"0987363877")</f>
        <v>0987363877</v>
      </c>
      <c r="K4487" s="2" t="str">
        <f ca="1">IFERROR(__xludf.DUMMYFUNCTION("""COMPUTED_VALUE"""),"1762500055346")</f>
        <v>1762500055346</v>
      </c>
    </row>
    <row r="4488" spans="1:11" ht="12.45">
      <c r="A4488" s="2" t="str">
        <f ca="1">IFERROR(__xludf.DUMMYFUNCTION("""COMPUTED_VALUE"""),"1762500111387")</f>
        <v>1762500111387</v>
      </c>
      <c r="B4488" s="2"/>
      <c r="C4488" s="2" t="str">
        <v>0</v>
      </c>
      <c r="D4488" s="2"/>
      <c r="F4488" s="2" t="str">
        <v>0</v>
      </c>
      <c r="I4488" s="3" t="str">
        <f ca="1">IFERROR(__xludf.DUMMYFUNCTION("""COMPUTED_VALUE"""),"Đinh Hoàng Anh")</f>
        <v>Đinh Hoàng Anh</v>
      </c>
      <c r="J4488" s="3" t="str">
        <f ca="1">IFERROR(__xludf.DUMMYFUNCTION("""COMPUTED_VALUE"""),"0358844779")</f>
        <v>0358844779</v>
      </c>
      <c r="K4488" s="2" t="str">
        <f ca="1">IFERROR(__xludf.DUMMYFUNCTION("""COMPUTED_VALUE"""),"1762500111387")</f>
        <v>1762500111387</v>
      </c>
    </row>
    <row r="4489" spans="1:11" ht="12.45">
      <c r="A4489" s="2">
        <f ca="1">IFERROR(__xludf.DUMMYFUNCTION("""COMPUTED_VALUE"""),1762500178419)</f>
        <v>1762500178419</v>
      </c>
      <c r="B4489" s="2"/>
      <c r="C4489" s="2" t="str">
        <v>0</v>
      </c>
      <c r="D4489" s="2"/>
      <c r="F4489" s="2" t="str">
        <v>0</v>
      </c>
      <c r="I4489" s="3" t="str">
        <f ca="1">IFERROR(__xludf.DUMMYFUNCTION("""COMPUTED_VALUE"""),"Hoàng Thế Anh ")</f>
        <v xml:space="preserve">Hoàng Thế Anh </v>
      </c>
      <c r="J4489" s="3" t="str">
        <f ca="1">IFERROR(__xludf.DUMMYFUNCTION("""COMPUTED_VALUE"""),"0867460194")</f>
        <v>0867460194</v>
      </c>
      <c r="K4489" s="2">
        <f ca="1">IFERROR(__xludf.DUMMYFUNCTION("""COMPUTED_VALUE"""),1762500178419)</f>
        <v>1762500178419</v>
      </c>
    </row>
    <row r="4490" spans="1:11" ht="12.45">
      <c r="A4490" s="2" t="str">
        <f ca="1">IFERROR(__xludf.DUMMYFUNCTION("""COMPUTED_VALUE"""),"1762500248701")</f>
        <v>1762500248701</v>
      </c>
      <c r="B4490" s="2"/>
      <c r="C4490" s="2" t="str">
        <v>0</v>
      </c>
      <c r="D4490" s="2"/>
      <c r="F4490" s="2" t="str">
        <v>0</v>
      </c>
      <c r="I4490" s="3" t="str">
        <f ca="1">IFERROR(__xludf.DUMMYFUNCTION("""COMPUTED_VALUE"""),"Lê Phạm Huyền Trân ")</f>
        <v xml:space="preserve">Lê Phạm Huyền Trân </v>
      </c>
      <c r="J4490" s="3" t="str">
        <f ca="1">IFERROR(__xludf.DUMMYFUNCTION("""COMPUTED_VALUE"""),"0939370114")</f>
        <v>0939370114</v>
      </c>
      <c r="K4490" s="2" t="str">
        <f ca="1">IFERROR(__xludf.DUMMYFUNCTION("""COMPUTED_VALUE"""),"1762500248701")</f>
        <v>1762500248701</v>
      </c>
    </row>
    <row r="4491" spans="1:11" ht="12.45">
      <c r="A4491" s="2" t="str">
        <f ca="1">IFERROR(__xludf.DUMMYFUNCTION("""COMPUTED_VALUE"""),"1762500344290")</f>
        <v>1762500344290</v>
      </c>
      <c r="B4491" s="2"/>
      <c r="C4491" s="2" t="str">
        <v>0</v>
      </c>
      <c r="D4491" s="2"/>
      <c r="F4491" s="2" t="str">
        <v>0</v>
      </c>
      <c r="I4491" s="3" t="str">
        <f ca="1">IFERROR(__xludf.DUMMYFUNCTION("""COMPUTED_VALUE"""),"Bùi Đăng Nhân")</f>
        <v>Bùi Đăng Nhân</v>
      </c>
      <c r="J4491" s="3" t="str">
        <f ca="1">IFERROR(__xludf.DUMMYFUNCTION("""COMPUTED_VALUE"""),"0336205294")</f>
        <v>0336205294</v>
      </c>
      <c r="K4491" s="2" t="str">
        <f ca="1">IFERROR(__xludf.DUMMYFUNCTION("""COMPUTED_VALUE"""),"1762500344290")</f>
        <v>1762500344290</v>
      </c>
    </row>
    <row r="4492" spans="1:11" ht="12.45">
      <c r="A4492" s="2" t="str">
        <f ca="1">IFERROR(__xludf.DUMMYFUNCTION("""COMPUTED_VALUE"""),"1762500441116")</f>
        <v>1762500441116</v>
      </c>
      <c r="B4492" s="2"/>
      <c r="C4492" s="2" t="str">
        <v>0</v>
      </c>
      <c r="D4492" s="2"/>
      <c r="F4492" s="2" t="str">
        <v>0</v>
      </c>
      <c r="I4492" s="3" t="str">
        <f ca="1">IFERROR(__xludf.DUMMYFUNCTION("""COMPUTED_VALUE"""),"Nguyễn Vũ Hà My")</f>
        <v>Nguyễn Vũ Hà My</v>
      </c>
      <c r="J4492" s="3" t="str">
        <f ca="1">IFERROR(__xludf.DUMMYFUNCTION("""COMPUTED_VALUE"""),"0835688838")</f>
        <v>0835688838</v>
      </c>
      <c r="K4492" s="2" t="str">
        <f ca="1">IFERROR(__xludf.DUMMYFUNCTION("""COMPUTED_VALUE"""),"1762500441116")</f>
        <v>1762500441116</v>
      </c>
    </row>
    <row r="4493" spans="1:11" ht="12.45">
      <c r="A4493" s="2" t="str">
        <f ca="1">IFERROR(__xludf.DUMMYFUNCTION("""COMPUTED_VALUE"""),"1762500503450")</f>
        <v>1762500503450</v>
      </c>
      <c r="B4493" s="2"/>
      <c r="C4493" s="2" t="str">
        <v>0</v>
      </c>
      <c r="D4493" s="2"/>
      <c r="F4493" s="2" t="str">
        <v>0</v>
      </c>
      <c r="I4493" s="3" t="str">
        <f ca="1">IFERROR(__xludf.DUMMYFUNCTION("""COMPUTED_VALUE"""),"Đoàn Ngọc Hân")</f>
        <v>Đoàn Ngọc Hân</v>
      </c>
      <c r="J4493" s="3" t="str">
        <f ca="1">IFERROR(__xludf.DUMMYFUNCTION("""COMPUTED_VALUE"""),"0962749118")</f>
        <v>0962749118</v>
      </c>
      <c r="K4493" s="2" t="str">
        <f ca="1">IFERROR(__xludf.DUMMYFUNCTION("""COMPUTED_VALUE"""),"1762500503450")</f>
        <v>1762500503450</v>
      </c>
    </row>
    <row r="4494" spans="1:11" ht="12.45">
      <c r="A4494" s="2" t="str">
        <f ca="1">IFERROR(__xludf.DUMMYFUNCTION("""COMPUTED_VALUE"""),"1762500562039")</f>
        <v>1762500562039</v>
      </c>
      <c r="B4494" s="2"/>
      <c r="C4494" s="2" t="str">
        <v>0</v>
      </c>
      <c r="D4494" s="2"/>
      <c r="F4494" s="2" t="str">
        <v>0</v>
      </c>
      <c r="I4494" s="3" t="str">
        <f ca="1">IFERROR(__xludf.DUMMYFUNCTION("""COMPUTED_VALUE"""),"Ngô Minh Thức")</f>
        <v>Ngô Minh Thức</v>
      </c>
      <c r="J4494" s="3" t="str">
        <f ca="1">IFERROR(__xludf.DUMMYFUNCTION("""COMPUTED_VALUE"""),"0387943985")</f>
        <v>0387943985</v>
      </c>
      <c r="K4494" s="2" t="str">
        <f ca="1">IFERROR(__xludf.DUMMYFUNCTION("""COMPUTED_VALUE"""),"1762500562039")</f>
        <v>1762500562039</v>
      </c>
    </row>
    <row r="4495" spans="1:11" ht="12.45">
      <c r="A4495" s="2" t="str">
        <f ca="1">IFERROR(__xludf.DUMMYFUNCTION("""COMPUTED_VALUE"""),"1762500635908")</f>
        <v>1762500635908</v>
      </c>
      <c r="B4495" s="2"/>
      <c r="C4495" s="2" t="str">
        <v>0</v>
      </c>
      <c r="D4495" s="2"/>
      <c r="F4495" s="2" t="str">
        <v>0</v>
      </c>
      <c r="I4495" s="3" t="str">
        <f ca="1">IFERROR(__xludf.DUMMYFUNCTION("""COMPUTED_VALUE"""),"Nguyễn Hải Linh ")</f>
        <v xml:space="preserve">Nguyễn Hải Linh </v>
      </c>
      <c r="J4495" s="3" t="str">
        <f ca="1">IFERROR(__xludf.DUMMYFUNCTION("""COMPUTED_VALUE"""),"0815300731")</f>
        <v>0815300731</v>
      </c>
      <c r="K4495" s="2" t="str">
        <f ca="1">IFERROR(__xludf.DUMMYFUNCTION("""COMPUTED_VALUE"""),"1762500635908")</f>
        <v>1762500635908</v>
      </c>
    </row>
    <row r="4496" spans="1:11" ht="12.45">
      <c r="A4496" s="2" t="str">
        <f ca="1">IFERROR(__xludf.DUMMYFUNCTION("""COMPUTED_VALUE"""),"1762500689789")</f>
        <v>1762500689789</v>
      </c>
      <c r="B4496" s="2"/>
      <c r="C4496" s="2" t="str">
        <v>0</v>
      </c>
      <c r="D4496" s="2"/>
      <c r="F4496" s="2" t="str">
        <v>0</v>
      </c>
      <c r="I4496" s="3" t="str">
        <f ca="1">IFERROR(__xludf.DUMMYFUNCTION("""COMPUTED_VALUE"""),"Phùng Thị Thúy Ngân ")</f>
        <v xml:space="preserve">Phùng Thị Thúy Ngân </v>
      </c>
      <c r="J4496" s="3" t="str">
        <f ca="1">IFERROR(__xludf.DUMMYFUNCTION("""COMPUTED_VALUE"""),"0362948438")</f>
        <v>0362948438</v>
      </c>
      <c r="K4496" s="2" t="str">
        <f ca="1">IFERROR(__xludf.DUMMYFUNCTION("""COMPUTED_VALUE"""),"1762500689789")</f>
        <v>1762500689789</v>
      </c>
    </row>
    <row r="4497" spans="1:11" ht="12.45">
      <c r="A4497" s="2" t="str">
        <f ca="1">IFERROR(__xludf.DUMMYFUNCTION("""COMPUTED_VALUE"""),"1762500769195")</f>
        <v>1762500769195</v>
      </c>
      <c r="B4497" s="2"/>
      <c r="C4497" s="2" t="str">
        <v>0</v>
      </c>
      <c r="D4497" s="2"/>
      <c r="F4497" s="2" t="str">
        <v>0</v>
      </c>
      <c r="I4497" s="3" t="str">
        <f ca="1">IFERROR(__xludf.DUMMYFUNCTION("""COMPUTED_VALUE"""),"Nguyễn Vũ Khánh Nguyên")</f>
        <v>Nguyễn Vũ Khánh Nguyên</v>
      </c>
      <c r="J4497" s="3" t="str">
        <f ca="1">IFERROR(__xludf.DUMMYFUNCTION("""COMPUTED_VALUE"""),"0836837183")</f>
        <v>0836837183</v>
      </c>
      <c r="K4497" s="2" t="str">
        <f ca="1">IFERROR(__xludf.DUMMYFUNCTION("""COMPUTED_VALUE"""),"1762500769195")</f>
        <v>1762500769195</v>
      </c>
    </row>
    <row r="4498" spans="1:11" ht="12.45">
      <c r="A4498" s="2" t="str">
        <f ca="1">IFERROR(__xludf.DUMMYFUNCTION("""COMPUTED_VALUE"""),"1762500835906")</f>
        <v>1762500835906</v>
      </c>
      <c r="B4498" s="2"/>
      <c r="C4498" s="2" t="str">
        <v>0</v>
      </c>
      <c r="D4498" s="2"/>
      <c r="F4498" s="2" t="str">
        <v>0</v>
      </c>
      <c r="I4498" s="3" t="str">
        <f ca="1">IFERROR(__xludf.DUMMYFUNCTION("""COMPUTED_VALUE"""),"NGUYỄN NGỌC BẢO UYÊN ")</f>
        <v xml:space="preserve">NGUYỄN NGỌC BẢO UYÊN </v>
      </c>
      <c r="J4498" s="3" t="str">
        <f ca="1">IFERROR(__xludf.DUMMYFUNCTION("""COMPUTED_VALUE"""),"0813583786")</f>
        <v>0813583786</v>
      </c>
      <c r="K4498" s="2" t="str">
        <f ca="1">IFERROR(__xludf.DUMMYFUNCTION("""COMPUTED_VALUE"""),"1762500835906")</f>
        <v>1762500835906</v>
      </c>
    </row>
    <row r="4499" spans="1:11" ht="12.45">
      <c r="A4499" s="2" t="str">
        <f ca="1">IFERROR(__xludf.DUMMYFUNCTION("""COMPUTED_VALUE"""),"1762500874876")</f>
        <v>1762500874876</v>
      </c>
      <c r="B4499" s="2"/>
      <c r="C4499" s="2" t="str">
        <v>0</v>
      </c>
      <c r="D4499" s="2"/>
      <c r="F4499" s="2" t="str">
        <v>0</v>
      </c>
      <c r="I4499" s="3" t="str">
        <f ca="1">IFERROR(__xludf.DUMMYFUNCTION("""COMPUTED_VALUE"""),"Lê Ngọc Phú")</f>
        <v>Lê Ngọc Phú</v>
      </c>
      <c r="J4499" s="3" t="str">
        <f ca="1">IFERROR(__xludf.DUMMYFUNCTION("""COMPUTED_VALUE"""),"0343017547")</f>
        <v>0343017547</v>
      </c>
      <c r="K4499" s="2" t="str">
        <f ca="1">IFERROR(__xludf.DUMMYFUNCTION("""COMPUTED_VALUE"""),"1762500874876")</f>
        <v>1762500874876</v>
      </c>
    </row>
    <row r="4500" spans="1:11" ht="12.45">
      <c r="A4500" s="2" t="str">
        <f ca="1">IFERROR(__xludf.DUMMYFUNCTION("""COMPUTED_VALUE"""),"1762500944097")</f>
        <v>1762500944097</v>
      </c>
      <c r="B4500" s="2"/>
      <c r="C4500" s="2" t="str">
        <v>0</v>
      </c>
      <c r="D4500" s="2"/>
      <c r="F4500" s="2" t="str">
        <v>0</v>
      </c>
      <c r="I4500" s="3" t="str">
        <f ca="1">IFERROR(__xludf.DUMMYFUNCTION("""COMPUTED_VALUE"""),"Nguyễn Ngọc Tùng ")</f>
        <v xml:space="preserve">Nguyễn Ngọc Tùng </v>
      </c>
      <c r="J4500" s="3" t="str">
        <f ca="1">IFERROR(__xludf.DUMMYFUNCTION("""COMPUTED_VALUE"""),"0348312665")</f>
        <v>0348312665</v>
      </c>
      <c r="K4500" s="2" t="str">
        <f ca="1">IFERROR(__xludf.DUMMYFUNCTION("""COMPUTED_VALUE"""),"1762500944097")</f>
        <v>1762500944097</v>
      </c>
    </row>
    <row r="4501" spans="1:11" ht="12.45">
      <c r="A4501" s="2" t="str">
        <f ca="1">IFERROR(__xludf.DUMMYFUNCTION("""COMPUTED_VALUE"""),"1762500978141")</f>
        <v>1762500978141</v>
      </c>
      <c r="B4501" s="2"/>
      <c r="C4501" s="2" t="str">
        <v>0</v>
      </c>
      <c r="D4501" s="2"/>
      <c r="F4501" s="2" t="str">
        <v>0</v>
      </c>
      <c r="I4501" s="3" t="str">
        <f ca="1">IFERROR(__xludf.DUMMYFUNCTION("""COMPUTED_VALUE"""),"Đào Ngọc Hà")</f>
        <v>Đào Ngọc Hà</v>
      </c>
      <c r="J4501" s="3" t="str">
        <f ca="1">IFERROR(__xludf.DUMMYFUNCTION("""COMPUTED_VALUE"""),"0386260107")</f>
        <v>0386260107</v>
      </c>
      <c r="K4501" s="2" t="str">
        <f ca="1">IFERROR(__xludf.DUMMYFUNCTION("""COMPUTED_VALUE"""),"1762500978141")</f>
        <v>1762500978141</v>
      </c>
    </row>
    <row r="4502" spans="1:11" ht="12.45">
      <c r="A4502" s="2" t="str">
        <f ca="1">IFERROR(__xludf.DUMMYFUNCTION("""COMPUTED_VALUE"""),"1762501019815")</f>
        <v>1762501019815</v>
      </c>
      <c r="B4502" s="2"/>
      <c r="C4502" s="2" t="str">
        <v>0</v>
      </c>
      <c r="D4502" s="2"/>
      <c r="F4502" s="2" t="str">
        <v>0</v>
      </c>
      <c r="I4502" s="3" t="str">
        <f ca="1">IFERROR(__xludf.DUMMYFUNCTION("""COMPUTED_VALUE"""),"Nguyễn Ngọc Lan")</f>
        <v>Nguyễn Ngọc Lan</v>
      </c>
      <c r="J4502" s="3" t="str">
        <f ca="1">IFERROR(__xludf.DUMMYFUNCTION("""COMPUTED_VALUE"""),"0975762298")</f>
        <v>0975762298</v>
      </c>
      <c r="K4502" s="2" t="str">
        <f ca="1">IFERROR(__xludf.DUMMYFUNCTION("""COMPUTED_VALUE"""),"1762501019815")</f>
        <v>1762501019815</v>
      </c>
    </row>
    <row r="4503" spans="1:11" ht="12.45">
      <c r="A4503" s="2" t="str">
        <f ca="1">IFERROR(__xludf.DUMMYFUNCTION("""COMPUTED_VALUE"""),"1759203407711")</f>
        <v>1759203407711</v>
      </c>
      <c r="B4503" s="2"/>
      <c r="C4503" s="2" t="str">
        <v>0</v>
      </c>
      <c r="D4503" s="2"/>
      <c r="F4503" s="2" t="str">
        <v>0</v>
      </c>
      <c r="I4503" s="3" t="str">
        <f ca="1">IFERROR(__xludf.DUMMYFUNCTION("""COMPUTED_VALUE"""),"Dương Nguyễn Thanh Hiền")</f>
        <v>Dương Nguyễn Thanh Hiền</v>
      </c>
      <c r="J4503" s="3" t="str">
        <f ca="1">IFERROR(__xludf.DUMMYFUNCTION("""COMPUTED_VALUE"""),"0973962769")</f>
        <v>0973962769</v>
      </c>
      <c r="K4503" s="2" t="str">
        <f ca="1">IFERROR(__xludf.DUMMYFUNCTION("""COMPUTED_VALUE"""),"1759203407711")</f>
        <v>1759203407711</v>
      </c>
    </row>
    <row r="4504" spans="1:11" ht="12.45">
      <c r="A4504" s="2" t="str">
        <f ca="1">IFERROR(__xludf.DUMMYFUNCTION("""COMPUTED_VALUE"""),"1762501066626")</f>
        <v>1762501066626</v>
      </c>
      <c r="B4504" s="2"/>
      <c r="C4504" s="2" t="str">
        <v>0</v>
      </c>
      <c r="D4504" s="2"/>
      <c r="F4504" s="2" t="str">
        <v>0</v>
      </c>
      <c r="I4504" s="3" t="str">
        <f ca="1">IFERROR(__xludf.DUMMYFUNCTION("""COMPUTED_VALUE"""),"Võ Trần Bảo Ngân")</f>
        <v>Võ Trần Bảo Ngân</v>
      </c>
      <c r="J4504" s="3" t="str">
        <f ca="1">IFERROR(__xludf.DUMMYFUNCTION("""COMPUTED_VALUE"""),"0365943481")</f>
        <v>0365943481</v>
      </c>
      <c r="K4504" s="2" t="str">
        <f ca="1">IFERROR(__xludf.DUMMYFUNCTION("""COMPUTED_VALUE"""),"1762501066626")</f>
        <v>1762501066626</v>
      </c>
    </row>
    <row r="4505" spans="1:11" ht="12.45">
      <c r="A4505" s="2" t="str">
        <f ca="1">IFERROR(__xludf.DUMMYFUNCTION("""COMPUTED_VALUE"""),"1762501138207")</f>
        <v>1762501138207</v>
      </c>
      <c r="B4505" s="2"/>
      <c r="C4505" s="2" t="str">
        <v>0</v>
      </c>
      <c r="D4505" s="2"/>
      <c r="F4505" s="2" t="str">
        <v>0</v>
      </c>
      <c r="I4505" s="3" t="str">
        <f ca="1">IFERROR(__xludf.DUMMYFUNCTION("""COMPUTED_VALUE"""),"Đồng Thị Phương Thuý")</f>
        <v>Đồng Thị Phương Thuý</v>
      </c>
      <c r="J4505" s="3" t="str">
        <f ca="1">IFERROR(__xludf.DUMMYFUNCTION("""COMPUTED_VALUE"""),"0852030706")</f>
        <v>0852030706</v>
      </c>
      <c r="K4505" s="2" t="str">
        <f ca="1">IFERROR(__xludf.DUMMYFUNCTION("""COMPUTED_VALUE"""),"1762501138207")</f>
        <v>1762501138207</v>
      </c>
    </row>
    <row r="4506" spans="1:11" ht="12.45">
      <c r="A4506" s="2" t="str">
        <f ca="1">IFERROR(__xludf.DUMMYFUNCTION("""COMPUTED_VALUE"""),"1762501201829")</f>
        <v>1762501201829</v>
      </c>
      <c r="B4506" s="2"/>
      <c r="C4506" s="2" t="str">
        <v>0</v>
      </c>
      <c r="D4506" s="2"/>
      <c r="F4506" s="2" t="str">
        <v>0</v>
      </c>
      <c r="I4506" s="3" t="str">
        <f ca="1">IFERROR(__xludf.DUMMYFUNCTION("""COMPUTED_VALUE"""),"Tạ Hà Anh")</f>
        <v>Tạ Hà Anh</v>
      </c>
      <c r="J4506" s="3" t="str">
        <f ca="1">IFERROR(__xludf.DUMMYFUNCTION("""COMPUTED_VALUE"""),"0867731725")</f>
        <v>0867731725</v>
      </c>
      <c r="K4506" s="2" t="str">
        <f ca="1">IFERROR(__xludf.DUMMYFUNCTION("""COMPUTED_VALUE"""),"1762501201829")</f>
        <v>1762501201829</v>
      </c>
    </row>
    <row r="4507" spans="1:11" ht="12.45">
      <c r="A4507" s="2" t="str">
        <f ca="1">IFERROR(__xludf.DUMMYFUNCTION("""COMPUTED_VALUE"""),"1762501279606")</f>
        <v>1762501279606</v>
      </c>
      <c r="B4507" s="2"/>
      <c r="C4507" s="2" t="str">
        <v>0</v>
      </c>
      <c r="D4507" s="2"/>
      <c r="F4507" s="2" t="str">
        <v>0</v>
      </c>
      <c r="I4507" s="3" t="str">
        <f ca="1">IFERROR(__xludf.DUMMYFUNCTION("""COMPUTED_VALUE"""),"Tạ Tuấn Tú")</f>
        <v>Tạ Tuấn Tú</v>
      </c>
      <c r="J4507" s="3" t="str">
        <f ca="1">IFERROR(__xludf.DUMMYFUNCTION("""COMPUTED_VALUE"""),"0378219026")</f>
        <v>0378219026</v>
      </c>
      <c r="K4507" s="2" t="str">
        <f ca="1">IFERROR(__xludf.DUMMYFUNCTION("""COMPUTED_VALUE"""),"1762501279606")</f>
        <v>1762501279606</v>
      </c>
    </row>
    <row r="4508" spans="1:11" ht="12.45">
      <c r="A4508" s="2">
        <f ca="1">IFERROR(__xludf.DUMMYFUNCTION("""COMPUTED_VALUE"""),1761758257278)</f>
        <v>1761758257278</v>
      </c>
      <c r="B4508" s="2"/>
      <c r="C4508" s="2" t="str">
        <v>0</v>
      </c>
      <c r="D4508" s="2"/>
      <c r="F4508" s="2" t="str">
        <v>0</v>
      </c>
      <c r="I4508" s="3" t="str">
        <f ca="1">IFERROR(__xludf.DUMMYFUNCTION("""COMPUTED_VALUE"""),"Nguyễn Minh Anh")</f>
        <v>Nguyễn Minh Anh</v>
      </c>
      <c r="J4508" s="3" t="str">
        <f ca="1">IFERROR(__xludf.DUMMYFUNCTION("""COMPUTED_VALUE"""),"0352647148")</f>
        <v>0352647148</v>
      </c>
      <c r="K4508" s="2">
        <f ca="1">IFERROR(__xludf.DUMMYFUNCTION("""COMPUTED_VALUE"""),1761758257278)</f>
        <v>1761758257278</v>
      </c>
    </row>
    <row r="4509" spans="1:11" ht="12.45">
      <c r="A4509" s="2">
        <f ca="1">IFERROR(__xludf.DUMMYFUNCTION("""COMPUTED_VALUE"""),1761758257278)</f>
        <v>1761758257278</v>
      </c>
      <c r="B4509" s="2"/>
      <c r="C4509" s="2" t="str">
        <v>0</v>
      </c>
      <c r="D4509" s="2"/>
      <c r="F4509" s="2" t="str">
        <v>0</v>
      </c>
      <c r="I4509" s="3" t="str">
        <f ca="1">IFERROR(__xludf.DUMMYFUNCTION("""COMPUTED_VALUE"""),"Hoàng Thị Kiều My ")</f>
        <v xml:space="preserve">Hoàng Thị Kiều My </v>
      </c>
      <c r="J4509" s="3" t="str">
        <f ca="1">IFERROR(__xludf.DUMMYFUNCTION("""COMPUTED_VALUE"""),"0352647148")</f>
        <v>0352647148</v>
      </c>
      <c r="K4509" s="2">
        <f ca="1">IFERROR(__xludf.DUMMYFUNCTION("""COMPUTED_VALUE"""),1761758257278)</f>
        <v>1761758257278</v>
      </c>
    </row>
    <row r="4510" spans="1:11" ht="12.45">
      <c r="A4510" s="2" t="str">
        <f ca="1">IFERROR(__xludf.DUMMYFUNCTION("""COMPUTED_VALUE"""),"1762501328782")</f>
        <v>1762501328782</v>
      </c>
      <c r="B4510" s="2"/>
      <c r="C4510" s="2" t="str">
        <v>0</v>
      </c>
      <c r="D4510" s="2"/>
      <c r="F4510" s="2" t="str">
        <v>0</v>
      </c>
      <c r="I4510" s="3" t="str">
        <f ca="1">IFERROR(__xludf.DUMMYFUNCTION("""COMPUTED_VALUE"""),"Tạ Thanh Bình")</f>
        <v>Tạ Thanh Bình</v>
      </c>
      <c r="J4510" s="3" t="str">
        <f ca="1">IFERROR(__xludf.DUMMYFUNCTION("""COMPUTED_VALUE"""),"0899573790")</f>
        <v>0899573790</v>
      </c>
      <c r="K4510" s="2" t="str">
        <f ca="1">IFERROR(__xludf.DUMMYFUNCTION("""COMPUTED_VALUE"""),"1762501328782")</f>
        <v>1762501328782</v>
      </c>
    </row>
    <row r="4511" spans="1:11" ht="12.45">
      <c r="A4511" s="2" t="str">
        <f ca="1">IFERROR(__xludf.DUMMYFUNCTION("""COMPUTED_VALUE"""),"1762501380243")</f>
        <v>1762501380243</v>
      </c>
      <c r="B4511" s="2"/>
      <c r="C4511" s="2" t="str">
        <v>0</v>
      </c>
      <c r="D4511" s="2"/>
      <c r="F4511" s="2" t="str">
        <v>0</v>
      </c>
      <c r="I4511" s="3" t="str">
        <f ca="1">IFERROR(__xludf.DUMMYFUNCTION("""COMPUTED_VALUE"""),"Phùng Thị Uyên")</f>
        <v>Phùng Thị Uyên</v>
      </c>
      <c r="J4511" s="3" t="str">
        <f ca="1">IFERROR(__xludf.DUMMYFUNCTION("""COMPUTED_VALUE"""),"0327509100")</f>
        <v>0327509100</v>
      </c>
      <c r="K4511" s="2" t="str">
        <f ca="1">IFERROR(__xludf.DUMMYFUNCTION("""COMPUTED_VALUE"""),"1762501380243")</f>
        <v>1762501380243</v>
      </c>
    </row>
    <row r="4512" spans="1:11" ht="12.45">
      <c r="A4512" s="2" t="str">
        <f ca="1">IFERROR(__xludf.DUMMYFUNCTION("""COMPUTED_VALUE"""),"1762501439628")</f>
        <v>1762501439628</v>
      </c>
      <c r="B4512" s="2"/>
      <c r="C4512" s="2" t="str">
        <v>0</v>
      </c>
      <c r="D4512" s="2"/>
      <c r="F4512" s="2" t="str">
        <v>0</v>
      </c>
      <c r="I4512" s="3" t="str">
        <f ca="1">IFERROR(__xludf.DUMMYFUNCTION("""COMPUTED_VALUE"""),"Phạm Anh Thư ")</f>
        <v xml:space="preserve">Phạm Anh Thư </v>
      </c>
      <c r="J4512" s="3" t="str">
        <f ca="1">IFERROR(__xludf.DUMMYFUNCTION("""COMPUTED_VALUE"""),"0866075635")</f>
        <v>0866075635</v>
      </c>
      <c r="K4512" s="2" t="str">
        <f ca="1">IFERROR(__xludf.DUMMYFUNCTION("""COMPUTED_VALUE"""),"1762501439628")</f>
        <v>1762501439628</v>
      </c>
    </row>
    <row r="4513" spans="1:11" ht="12.45">
      <c r="A4513" s="2" t="str">
        <f ca="1">IFERROR(__xludf.DUMMYFUNCTION("""COMPUTED_VALUE"""),"1762501491326")</f>
        <v>1762501491326</v>
      </c>
      <c r="B4513" s="2"/>
      <c r="C4513" s="2" t="str">
        <v>0</v>
      </c>
      <c r="D4513" s="2"/>
      <c r="F4513" s="2" t="str">
        <v>0</v>
      </c>
      <c r="I4513" s="3" t="str">
        <f ca="1">IFERROR(__xludf.DUMMYFUNCTION("""COMPUTED_VALUE"""),"Phạm Mai Hương")</f>
        <v>Phạm Mai Hương</v>
      </c>
      <c r="J4513" s="3" t="str">
        <f ca="1">IFERROR(__xludf.DUMMYFUNCTION("""COMPUTED_VALUE"""),"0869989107")</f>
        <v>0869989107</v>
      </c>
      <c r="K4513" s="2" t="str">
        <f ca="1">IFERROR(__xludf.DUMMYFUNCTION("""COMPUTED_VALUE"""),"1762501491326")</f>
        <v>1762501491326</v>
      </c>
    </row>
    <row r="4514" spans="1:11" ht="12.45">
      <c r="A4514" s="2" t="str">
        <f ca="1">IFERROR(__xludf.DUMMYFUNCTION("""COMPUTED_VALUE"""),"1762501532588")</f>
        <v>1762501532588</v>
      </c>
      <c r="B4514" s="2"/>
      <c r="C4514" s="2" t="str">
        <v>0</v>
      </c>
      <c r="D4514" s="2"/>
      <c r="F4514" s="2" t="str">
        <v>0</v>
      </c>
      <c r="I4514" s="3" t="str">
        <f ca="1">IFERROR(__xludf.DUMMYFUNCTION("""COMPUTED_VALUE"""),"Nguyễn Ngọc Thanh Tú")</f>
        <v>Nguyễn Ngọc Thanh Tú</v>
      </c>
      <c r="J4514" s="3" t="str">
        <f ca="1">IFERROR(__xludf.DUMMYFUNCTION("""COMPUTED_VALUE"""),"0349425390")</f>
        <v>0349425390</v>
      </c>
      <c r="K4514" s="2" t="str">
        <f ca="1">IFERROR(__xludf.DUMMYFUNCTION("""COMPUTED_VALUE"""),"1762501532588")</f>
        <v>1762501532588</v>
      </c>
    </row>
    <row r="4515" spans="1:11" ht="12.45">
      <c r="A4515" s="2" t="str">
        <f ca="1">IFERROR(__xludf.DUMMYFUNCTION("""COMPUTED_VALUE"""),"1762501573064")</f>
        <v>1762501573064</v>
      </c>
      <c r="B4515" s="2"/>
      <c r="C4515" s="2" t="str">
        <v>0</v>
      </c>
      <c r="D4515" s="2"/>
      <c r="F4515" s="2" t="str">
        <v>0</v>
      </c>
      <c r="I4515" s="3" t="str">
        <f ca="1">IFERROR(__xludf.DUMMYFUNCTION("""COMPUTED_VALUE"""),"Vũ Xuân Dương ")</f>
        <v xml:space="preserve">Vũ Xuân Dương </v>
      </c>
      <c r="J4515" s="3" t="str">
        <f ca="1">IFERROR(__xludf.DUMMYFUNCTION("""COMPUTED_VALUE"""),"0398696437")</f>
        <v>0398696437</v>
      </c>
      <c r="K4515" s="2" t="str">
        <f ca="1">IFERROR(__xludf.DUMMYFUNCTION("""COMPUTED_VALUE"""),"1762501573064")</f>
        <v>1762501573064</v>
      </c>
    </row>
    <row r="4516" spans="1:11" ht="12.45">
      <c r="A4516" s="2" t="str">
        <f ca="1">IFERROR(__xludf.DUMMYFUNCTION("""COMPUTED_VALUE"""),"1762501652342")</f>
        <v>1762501652342</v>
      </c>
      <c r="B4516" s="2"/>
      <c r="C4516" s="2" t="str">
        <v>0</v>
      </c>
      <c r="D4516" s="2"/>
      <c r="F4516" s="2" t="str">
        <v>0</v>
      </c>
      <c r="I4516" s="3" t="str">
        <f ca="1">IFERROR(__xludf.DUMMYFUNCTION("""COMPUTED_VALUE"""),"Trần Thị Kim Chi ")</f>
        <v xml:space="preserve">Trần Thị Kim Chi </v>
      </c>
      <c r="J4516" s="3" t="str">
        <f ca="1">IFERROR(__xludf.DUMMYFUNCTION("""COMPUTED_VALUE"""),"0375980201")</f>
        <v>0375980201</v>
      </c>
      <c r="K4516" s="2" t="str">
        <f ca="1">IFERROR(__xludf.DUMMYFUNCTION("""COMPUTED_VALUE"""),"1762501652342")</f>
        <v>1762501652342</v>
      </c>
    </row>
    <row r="4517" spans="1:11" ht="12.45">
      <c r="A4517" s="2" t="str">
        <f ca="1">IFERROR(__xludf.DUMMYFUNCTION("""COMPUTED_VALUE"""),"1762501710760")</f>
        <v>1762501710760</v>
      </c>
      <c r="B4517" s="2"/>
      <c r="C4517" s="2" t="str">
        <v>0</v>
      </c>
      <c r="D4517" s="2"/>
      <c r="F4517" s="2" t="str">
        <v>0</v>
      </c>
      <c r="I4517" s="3" t="str">
        <f ca="1">IFERROR(__xludf.DUMMYFUNCTION("""COMPUTED_VALUE"""),"Đỗ Thị Thảo Nhi")</f>
        <v>Đỗ Thị Thảo Nhi</v>
      </c>
      <c r="J4517" s="3" t="str">
        <f ca="1">IFERROR(__xludf.DUMMYFUNCTION("""COMPUTED_VALUE"""),"0984525598")</f>
        <v>0984525598</v>
      </c>
      <c r="K4517" s="2" t="str">
        <f ca="1">IFERROR(__xludf.DUMMYFUNCTION("""COMPUTED_VALUE"""),"1762501710760")</f>
        <v>1762501710760</v>
      </c>
    </row>
    <row r="4518" spans="1:11" ht="12.45">
      <c r="A4518" s="2" t="str">
        <f ca="1">IFERROR(__xludf.DUMMYFUNCTION("""COMPUTED_VALUE"""),"1762501764919")</f>
        <v>1762501764919</v>
      </c>
      <c r="B4518" s="2"/>
      <c r="C4518" s="2" t="str">
        <v>0</v>
      </c>
      <c r="D4518" s="2"/>
      <c r="F4518" s="2" t="str">
        <v>0</v>
      </c>
      <c r="I4518" s="3" t="str">
        <f ca="1">IFERROR(__xludf.DUMMYFUNCTION("""COMPUTED_VALUE"""),"Phạm Ngọc Trà")</f>
        <v>Phạm Ngọc Trà</v>
      </c>
      <c r="J4518" s="3" t="str">
        <f ca="1">IFERROR(__xludf.DUMMYFUNCTION("""COMPUTED_VALUE"""),"0374018421")</f>
        <v>0374018421</v>
      </c>
      <c r="K4518" s="2" t="str">
        <f ca="1">IFERROR(__xludf.DUMMYFUNCTION("""COMPUTED_VALUE"""),"1762501764919")</f>
        <v>1762501764919</v>
      </c>
    </row>
    <row r="4519" spans="1:11" ht="12.45">
      <c r="A4519" s="2" t="str">
        <f ca="1">IFERROR(__xludf.DUMMYFUNCTION("""COMPUTED_VALUE"""),"1762501823565")</f>
        <v>1762501823565</v>
      </c>
      <c r="B4519" s="2"/>
      <c r="C4519" s="2" t="str">
        <v>0</v>
      </c>
      <c r="D4519" s="2"/>
      <c r="F4519" s="2" t="str">
        <v>0</v>
      </c>
      <c r="I4519" s="3" t="str">
        <f ca="1">IFERROR(__xludf.DUMMYFUNCTION("""COMPUTED_VALUE"""),"Đinh Thảo Nguyên")</f>
        <v>Đinh Thảo Nguyên</v>
      </c>
      <c r="J4519" s="3" t="str">
        <f ca="1">IFERROR(__xludf.DUMMYFUNCTION("""COMPUTED_VALUE"""),"0822132033")</f>
        <v>0822132033</v>
      </c>
      <c r="K4519" s="2" t="str">
        <f ca="1">IFERROR(__xludf.DUMMYFUNCTION("""COMPUTED_VALUE"""),"1762501823565")</f>
        <v>1762501823565</v>
      </c>
    </row>
    <row r="4520" spans="1:11" ht="12.45">
      <c r="A4520" s="2" t="str">
        <f ca="1">IFERROR(__xludf.DUMMYFUNCTION("""COMPUTED_VALUE"""),"1762501860888")</f>
        <v>1762501860888</v>
      </c>
      <c r="B4520" s="2"/>
      <c r="C4520" s="2" t="str">
        <v>0</v>
      </c>
      <c r="D4520" s="2"/>
      <c r="F4520" s="2" t="str">
        <v>0</v>
      </c>
      <c r="I4520" s="2" t="str">
        <f ca="1">IFERROR(__xludf.DUMMYFUNCTION("""COMPUTED_VALUE"""),"Nguyễn Minh Anh")</f>
        <v>Nguyễn Minh Anh</v>
      </c>
      <c r="J4520" s="2" t="str">
        <f ca="1">IFERROR(__xludf.DUMMYFUNCTION("""COMPUTED_VALUE"""),"0867288125")</f>
        <v>0867288125</v>
      </c>
      <c r="K4520" s="2" t="str">
        <f ca="1">IFERROR(__xludf.DUMMYFUNCTION("""COMPUTED_VALUE"""),"1762501860888")</f>
        <v>1762501860888</v>
      </c>
    </row>
    <row r="4521" spans="1:11" ht="12.45">
      <c r="A4521" s="2" t="str">
        <f ca="1">IFERROR(__xludf.DUMMYFUNCTION("""COMPUTED_VALUE"""),"1762501905524")</f>
        <v>1762501905524</v>
      </c>
      <c r="B4521" s="2"/>
      <c r="C4521" s="2" t="str">
        <v>0</v>
      </c>
      <c r="D4521" s="2"/>
      <c r="F4521" s="2" t="str">
        <v>0</v>
      </c>
      <c r="I4521" s="3" t="str">
        <f ca="1">IFERROR(__xludf.DUMMYFUNCTION("""COMPUTED_VALUE"""),"Giang Bình Minh")</f>
        <v>Giang Bình Minh</v>
      </c>
      <c r="J4521" s="3" t="str">
        <f ca="1">IFERROR(__xludf.DUMMYFUNCTION("""COMPUTED_VALUE"""),"0372624204")</f>
        <v>0372624204</v>
      </c>
      <c r="K4521" s="2" t="str">
        <f ca="1">IFERROR(__xludf.DUMMYFUNCTION("""COMPUTED_VALUE"""),"1762501905524")</f>
        <v>1762501905524</v>
      </c>
    </row>
    <row r="4522" spans="1:11" ht="12.45">
      <c r="A4522" s="2" t="str">
        <f ca="1">IFERROR(__xludf.DUMMYFUNCTION("""COMPUTED_VALUE"""),"1762501967973")</f>
        <v>1762501967973</v>
      </c>
      <c r="B4522" s="2"/>
      <c r="C4522" s="2" t="str">
        <v>0</v>
      </c>
      <c r="D4522" s="2"/>
      <c r="F4522" s="2" t="str">
        <v>0</v>
      </c>
      <c r="I4522" s="3" t="str">
        <f ca="1">IFERROR(__xludf.DUMMYFUNCTION("""COMPUTED_VALUE"""),"Nguyễn Thạch Bảo Quyên")</f>
        <v>Nguyễn Thạch Bảo Quyên</v>
      </c>
      <c r="J4522" s="3" t="str">
        <f ca="1">IFERROR(__xludf.DUMMYFUNCTION("""COMPUTED_VALUE"""),"0865267972")</f>
        <v>0865267972</v>
      </c>
      <c r="K4522" s="2" t="str">
        <f ca="1">IFERROR(__xludf.DUMMYFUNCTION("""COMPUTED_VALUE"""),"1762501967973")</f>
        <v>1762501967973</v>
      </c>
    </row>
    <row r="4523" spans="1:11" ht="12.45">
      <c r="A4523" s="2" t="str">
        <f ca="1">IFERROR(__xludf.DUMMYFUNCTION("""COMPUTED_VALUE"""),"1762502016069")</f>
        <v>1762502016069</v>
      </c>
      <c r="B4523" s="2"/>
      <c r="C4523" s="2" t="str">
        <v>0</v>
      </c>
      <c r="D4523" s="2"/>
      <c r="F4523" s="2" t="str">
        <v>0</v>
      </c>
      <c r="I4523" s="3" t="str">
        <f ca="1">IFERROR(__xludf.DUMMYFUNCTION("""COMPUTED_VALUE"""),"Nguyễn Khánh Uyên")</f>
        <v>Nguyễn Khánh Uyên</v>
      </c>
      <c r="J4523" s="3" t="str">
        <f ca="1">IFERROR(__xludf.DUMMYFUNCTION("""COMPUTED_VALUE"""),"0968634097")</f>
        <v>0968634097</v>
      </c>
      <c r="K4523" s="2" t="str">
        <f ca="1">IFERROR(__xludf.DUMMYFUNCTION("""COMPUTED_VALUE"""),"1762502016069")</f>
        <v>1762502016069</v>
      </c>
    </row>
    <row r="4524" spans="1:11" ht="12.45">
      <c r="A4524" s="2" t="str">
        <f ca="1">IFERROR(__xludf.DUMMYFUNCTION("""COMPUTED_VALUE"""),"1762502056255")</f>
        <v>1762502056255</v>
      </c>
      <c r="B4524" s="2"/>
      <c r="C4524" s="2" t="str">
        <v>0</v>
      </c>
      <c r="D4524" s="2"/>
      <c r="F4524" s="2" t="str">
        <v>0</v>
      </c>
      <c r="I4524" s="3" t="str">
        <f ca="1">IFERROR(__xludf.DUMMYFUNCTION("""COMPUTED_VALUE"""),"Nguyễn Thị Như Quỳnh")</f>
        <v>Nguyễn Thị Như Quỳnh</v>
      </c>
      <c r="J4524" s="3" t="str">
        <f ca="1">IFERROR(__xludf.DUMMYFUNCTION("""COMPUTED_VALUE"""),"0382451882")</f>
        <v>0382451882</v>
      </c>
      <c r="K4524" s="2" t="str">
        <f ca="1">IFERROR(__xludf.DUMMYFUNCTION("""COMPUTED_VALUE"""),"1762502056255")</f>
        <v>1762502056255</v>
      </c>
    </row>
    <row r="4525" spans="1:11" ht="12.45">
      <c r="A4525" s="2" t="str">
        <f ca="1">IFERROR(__xludf.DUMMYFUNCTION("""COMPUTED_VALUE"""),"1762502093291")</f>
        <v>1762502093291</v>
      </c>
      <c r="B4525" s="2"/>
      <c r="C4525" s="2" t="str">
        <v>0</v>
      </c>
      <c r="D4525" s="2"/>
      <c r="F4525" s="2" t="str">
        <v>0</v>
      </c>
      <c r="I4525" s="3" t="str">
        <f ca="1">IFERROR(__xludf.DUMMYFUNCTION("""COMPUTED_VALUE"""),"Đinh Thị Kim Ngân ")</f>
        <v xml:space="preserve">Đinh Thị Kim Ngân </v>
      </c>
      <c r="J4525" s="3" t="str">
        <f ca="1">IFERROR(__xludf.DUMMYFUNCTION("""COMPUTED_VALUE"""),"0364978150")</f>
        <v>0364978150</v>
      </c>
      <c r="K4525" s="2" t="str">
        <f ca="1">IFERROR(__xludf.DUMMYFUNCTION("""COMPUTED_VALUE"""),"1762502093291")</f>
        <v>1762502093291</v>
      </c>
    </row>
    <row r="4526" spans="1:11" ht="12.45">
      <c r="A4526" s="2" t="str">
        <f ca="1">IFERROR(__xludf.DUMMYFUNCTION("""COMPUTED_VALUE"""),"1762502136526")</f>
        <v>1762502136526</v>
      </c>
      <c r="B4526" s="2"/>
      <c r="C4526" s="2" t="str">
        <v>0</v>
      </c>
      <c r="D4526" s="2"/>
      <c r="F4526" s="2" t="str">
        <v>0</v>
      </c>
      <c r="I4526" s="3" t="str">
        <f ca="1">IFERROR(__xludf.DUMMYFUNCTION("""COMPUTED_VALUE"""),"Trần Thị Phương Linh")</f>
        <v>Trần Thị Phương Linh</v>
      </c>
      <c r="J4526" s="3" t="str">
        <f ca="1">IFERROR(__xludf.DUMMYFUNCTION("""COMPUTED_VALUE"""),"0967100327")</f>
        <v>0967100327</v>
      </c>
      <c r="K4526" s="2" t="str">
        <f ca="1">IFERROR(__xludf.DUMMYFUNCTION("""COMPUTED_VALUE"""),"1762502136526")</f>
        <v>1762502136526</v>
      </c>
    </row>
    <row r="4527" spans="1:11" ht="12.45">
      <c r="A4527" s="2" t="str">
        <f ca="1">IFERROR(__xludf.DUMMYFUNCTION("""COMPUTED_VALUE"""),"1762502174336")</f>
        <v>1762502174336</v>
      </c>
      <c r="B4527" s="2"/>
      <c r="C4527" s="2" t="str">
        <v>0</v>
      </c>
      <c r="D4527" s="2"/>
      <c r="F4527" s="2" t="str">
        <v>0</v>
      </c>
      <c r="I4527" s="3" t="str">
        <f ca="1">IFERROR(__xludf.DUMMYFUNCTION("""COMPUTED_VALUE"""),"Hoàng Thị Hằng")</f>
        <v>Hoàng Thị Hằng</v>
      </c>
      <c r="J4527" s="3" t="str">
        <f ca="1">IFERROR(__xludf.DUMMYFUNCTION("""COMPUTED_VALUE"""),"0326492689")</f>
        <v>0326492689</v>
      </c>
      <c r="K4527" s="2" t="str">
        <f ca="1">IFERROR(__xludf.DUMMYFUNCTION("""COMPUTED_VALUE"""),"1762502174336")</f>
        <v>1762502174336</v>
      </c>
    </row>
    <row r="4528" spans="1:11" ht="12.45">
      <c r="A4528" s="2" t="str">
        <f ca="1">IFERROR(__xludf.DUMMYFUNCTION("""COMPUTED_VALUE"""),"1762502212912")</f>
        <v>1762502212912</v>
      </c>
      <c r="B4528" s="2"/>
      <c r="C4528" s="2" t="str">
        <v>0</v>
      </c>
      <c r="D4528" s="2"/>
      <c r="F4528" s="2" t="str">
        <v>0</v>
      </c>
      <c r="I4528" s="3" t="str">
        <f ca="1">IFERROR(__xludf.DUMMYFUNCTION("""COMPUTED_VALUE"""),"Võ Thị Yến Nhi")</f>
        <v>Võ Thị Yến Nhi</v>
      </c>
      <c r="J4528" s="3" t="str">
        <f ca="1">IFERROR(__xludf.DUMMYFUNCTION("""COMPUTED_VALUE"""),"0896140806")</f>
        <v>0896140806</v>
      </c>
      <c r="K4528" s="2" t="str">
        <f ca="1">IFERROR(__xludf.DUMMYFUNCTION("""COMPUTED_VALUE"""),"1762502212912")</f>
        <v>1762502212912</v>
      </c>
    </row>
    <row r="4529" spans="1:11" ht="12.45">
      <c r="A4529" s="2" t="str">
        <f ca="1">IFERROR(__xludf.DUMMYFUNCTION("""COMPUTED_VALUE"""),"1762502262242")</f>
        <v>1762502262242</v>
      </c>
      <c r="B4529" s="2"/>
      <c r="C4529" s="2" t="str">
        <v>0</v>
      </c>
      <c r="D4529" s="2"/>
      <c r="F4529" s="2" t="str">
        <v>0</v>
      </c>
      <c r="I4529" s="3" t="str">
        <f ca="1">IFERROR(__xludf.DUMMYFUNCTION("""COMPUTED_VALUE"""),"Khổng Thị Hương Giang")</f>
        <v>Khổng Thị Hương Giang</v>
      </c>
      <c r="J4529" s="3" t="str">
        <f ca="1">IFERROR(__xludf.DUMMYFUNCTION("""COMPUTED_VALUE"""),"0333048085")</f>
        <v>0333048085</v>
      </c>
      <c r="K4529" s="2" t="str">
        <f ca="1">IFERROR(__xludf.DUMMYFUNCTION("""COMPUTED_VALUE"""),"1762502262242")</f>
        <v>1762502262242</v>
      </c>
    </row>
    <row r="4530" spans="1:11" ht="12.45">
      <c r="A4530" s="2" t="str">
        <f ca="1">IFERROR(__xludf.DUMMYFUNCTION("""COMPUTED_VALUE"""),"1762502298610")</f>
        <v>1762502298610</v>
      </c>
      <c r="B4530" s="2"/>
      <c r="C4530" s="2" t="str">
        <v>0</v>
      </c>
      <c r="D4530" s="2"/>
      <c r="F4530" s="2" t="str">
        <v>0</v>
      </c>
      <c r="I4530" s="3" t="str">
        <f ca="1">IFERROR(__xludf.DUMMYFUNCTION("""COMPUTED_VALUE"""),"Nguyễn Bảo Nhi")</f>
        <v>Nguyễn Bảo Nhi</v>
      </c>
      <c r="J4530" s="3" t="str">
        <f ca="1">IFERROR(__xludf.DUMMYFUNCTION("""COMPUTED_VALUE"""),"0966609923")</f>
        <v>0966609923</v>
      </c>
      <c r="K4530" s="2" t="str">
        <f ca="1">IFERROR(__xludf.DUMMYFUNCTION("""COMPUTED_VALUE"""),"1762502298610")</f>
        <v>1762502298610</v>
      </c>
    </row>
    <row r="4531" spans="1:11" ht="12.45">
      <c r="A4531" s="2" t="str">
        <f ca="1">IFERROR(__xludf.DUMMYFUNCTION("""COMPUTED_VALUE"""),"1762502330750")</f>
        <v>1762502330750</v>
      </c>
      <c r="B4531" s="2"/>
      <c r="C4531" s="2" t="str">
        <v>0</v>
      </c>
      <c r="D4531" s="2"/>
      <c r="F4531" s="2" t="str">
        <v>0</v>
      </c>
      <c r="I4531" s="3" t="str">
        <f ca="1">IFERROR(__xludf.DUMMYFUNCTION("""COMPUTED_VALUE"""),"Trương Hà My")</f>
        <v>Trương Hà My</v>
      </c>
      <c r="J4531" s="3" t="str">
        <f ca="1">IFERROR(__xludf.DUMMYFUNCTION("""COMPUTED_VALUE"""),"0968392608")</f>
        <v>0968392608</v>
      </c>
      <c r="K4531" s="2" t="str">
        <f ca="1">IFERROR(__xludf.DUMMYFUNCTION("""COMPUTED_VALUE"""),"1762502330750")</f>
        <v>1762502330750</v>
      </c>
    </row>
    <row r="4532" spans="1:11" ht="12.45">
      <c r="A4532" s="2" t="str">
        <f ca="1">IFERROR(__xludf.DUMMYFUNCTION("""COMPUTED_VALUE"""),"1762502362089")</f>
        <v>1762502362089</v>
      </c>
      <c r="B4532" s="2"/>
      <c r="C4532" s="2" t="str">
        <v>0</v>
      </c>
      <c r="D4532" s="2"/>
      <c r="F4532" s="2" t="str">
        <v>0</v>
      </c>
      <c r="I4532" s="3" t="str">
        <f ca="1">IFERROR(__xludf.DUMMYFUNCTION("""COMPUTED_VALUE"""),"Hoàng Hà Linh")</f>
        <v>Hoàng Hà Linh</v>
      </c>
      <c r="J4532" s="3" t="str">
        <f ca="1">IFERROR(__xludf.DUMMYFUNCTION("""COMPUTED_VALUE"""),"0972109912")</f>
        <v>0972109912</v>
      </c>
      <c r="K4532" s="2" t="str">
        <f ca="1">IFERROR(__xludf.DUMMYFUNCTION("""COMPUTED_VALUE"""),"1762502362089")</f>
        <v>1762502362089</v>
      </c>
    </row>
    <row r="4533" spans="1:11" ht="12.45">
      <c r="A4533" s="2" t="str">
        <f ca="1">IFERROR(__xludf.DUMMYFUNCTION("""COMPUTED_VALUE"""),"1762502396363")</f>
        <v>1762502396363</v>
      </c>
      <c r="B4533" s="2"/>
      <c r="C4533" s="2" t="str">
        <v>0</v>
      </c>
      <c r="D4533" s="2"/>
      <c r="F4533" s="2" t="str">
        <v>0</v>
      </c>
      <c r="I4533" s="3" t="str">
        <f ca="1">IFERROR(__xludf.DUMMYFUNCTION("""COMPUTED_VALUE"""),"Nguyễn Thị Vân Anh ")</f>
        <v xml:space="preserve">Nguyễn Thị Vân Anh </v>
      </c>
      <c r="J4533" s="3" t="str">
        <f ca="1">IFERROR(__xludf.DUMMYFUNCTION("""COMPUTED_VALUE"""),"0343972343")</f>
        <v>0343972343</v>
      </c>
      <c r="K4533" s="2" t="str">
        <f ca="1">IFERROR(__xludf.DUMMYFUNCTION("""COMPUTED_VALUE"""),"1762502396363")</f>
        <v>1762502396363</v>
      </c>
    </row>
    <row r="4534" spans="1:11" ht="12.45">
      <c r="A4534" s="2" t="str">
        <f ca="1">IFERROR(__xludf.DUMMYFUNCTION("""COMPUTED_VALUE"""),"1762502434215")</f>
        <v>1762502434215</v>
      </c>
      <c r="B4534" s="2"/>
      <c r="C4534" s="2" t="str">
        <v>0</v>
      </c>
      <c r="D4534" s="2"/>
      <c r="F4534" s="2" t="str">
        <v>0</v>
      </c>
      <c r="I4534" s="3" t="str">
        <f ca="1">IFERROR(__xludf.DUMMYFUNCTION("""COMPUTED_VALUE"""),"Trần Thị Thúy Kiều")</f>
        <v>Trần Thị Thúy Kiều</v>
      </c>
      <c r="J4534" s="3" t="str">
        <f ca="1">IFERROR(__xludf.DUMMYFUNCTION("""COMPUTED_VALUE"""),"0334376250")</f>
        <v>0334376250</v>
      </c>
      <c r="K4534" s="2" t="str">
        <f ca="1">IFERROR(__xludf.DUMMYFUNCTION("""COMPUTED_VALUE"""),"1762502434215")</f>
        <v>1762502434215</v>
      </c>
    </row>
    <row r="4535" spans="1:11" ht="12.45">
      <c r="A4535" s="2" t="str">
        <f ca="1">IFERROR(__xludf.DUMMYFUNCTION("""COMPUTED_VALUE"""),"1762502476167")</f>
        <v>1762502476167</v>
      </c>
      <c r="B4535" s="2"/>
      <c r="C4535" s="2" t="str">
        <v>0</v>
      </c>
      <c r="D4535" s="2"/>
      <c r="F4535" s="2" t="str">
        <v>0</v>
      </c>
      <c r="I4535" s="3" t="str">
        <f ca="1">IFERROR(__xludf.DUMMYFUNCTION("""COMPUTED_VALUE"""),"Lê Thị Mỹ Huyền")</f>
        <v>Lê Thị Mỹ Huyền</v>
      </c>
      <c r="J4535" s="3" t="str">
        <f ca="1">IFERROR(__xludf.DUMMYFUNCTION("""COMPUTED_VALUE"""),"0367453315")</f>
        <v>0367453315</v>
      </c>
      <c r="K4535" s="2" t="str">
        <f ca="1">IFERROR(__xludf.DUMMYFUNCTION("""COMPUTED_VALUE"""),"1762502476167")</f>
        <v>1762502476167</v>
      </c>
    </row>
    <row r="4536" spans="1:11" ht="12.45">
      <c r="A4536" s="2" t="str">
        <f ca="1">IFERROR(__xludf.DUMMYFUNCTION("""COMPUTED_VALUE"""),"1762502511457")</f>
        <v>1762502511457</v>
      </c>
      <c r="B4536" s="2"/>
      <c r="C4536" s="2" t="str">
        <v>0</v>
      </c>
      <c r="D4536" s="2"/>
      <c r="F4536" s="2" t="str">
        <v>0</v>
      </c>
      <c r="I4536" s="3" t="str">
        <f ca="1">IFERROR(__xludf.DUMMYFUNCTION("""COMPUTED_VALUE"""),"Tạ Thị Mai Xuân ")</f>
        <v xml:space="preserve">Tạ Thị Mai Xuân </v>
      </c>
      <c r="J4536" s="3" t="str">
        <f ca="1">IFERROR(__xludf.DUMMYFUNCTION("""COMPUTED_VALUE"""),"0389196547")</f>
        <v>0389196547</v>
      </c>
      <c r="K4536" s="2" t="str">
        <f ca="1">IFERROR(__xludf.DUMMYFUNCTION("""COMPUTED_VALUE"""),"1762502511457")</f>
        <v>1762502511457</v>
      </c>
    </row>
    <row r="4537" spans="1:11" ht="12.45">
      <c r="A4537" s="2" t="str">
        <f ca="1">IFERROR(__xludf.DUMMYFUNCTION("""COMPUTED_VALUE"""),"1762502563603")</f>
        <v>1762502563603</v>
      </c>
      <c r="B4537" s="2"/>
      <c r="C4537" s="2" t="str">
        <v>0</v>
      </c>
      <c r="D4537" s="2"/>
      <c r="F4537" s="2" t="str">
        <v>0</v>
      </c>
      <c r="I4537" s="3" t="str">
        <f ca="1">IFERROR(__xludf.DUMMYFUNCTION("""COMPUTED_VALUE"""),"Nguyễn Ngọc Hoàng Hà")</f>
        <v>Nguyễn Ngọc Hoàng Hà</v>
      </c>
      <c r="J4537" s="3" t="str">
        <f ca="1">IFERROR(__xludf.DUMMYFUNCTION("""COMPUTED_VALUE"""),"0932542898")</f>
        <v>0932542898</v>
      </c>
      <c r="K4537" s="2" t="str">
        <f ca="1">IFERROR(__xludf.DUMMYFUNCTION("""COMPUTED_VALUE"""),"1762502563603")</f>
        <v>1762502563603</v>
      </c>
    </row>
    <row r="4538" spans="1:11" ht="12.45">
      <c r="A4538" s="2" t="str">
        <f ca="1">IFERROR(__xludf.DUMMYFUNCTION("""COMPUTED_VALUE"""),"1762502619173")</f>
        <v>1762502619173</v>
      </c>
      <c r="B4538" s="2"/>
      <c r="C4538" s="2" t="str">
        <v>0</v>
      </c>
      <c r="D4538" s="2"/>
      <c r="F4538" s="2" t="str">
        <v>0</v>
      </c>
      <c r="I4538" s="3" t="str">
        <f ca="1">IFERROR(__xludf.DUMMYFUNCTION("""COMPUTED_VALUE"""),"Hà Kiều Trinh ")</f>
        <v xml:space="preserve">Hà Kiều Trinh </v>
      </c>
      <c r="J4538" s="3" t="str">
        <f ca="1">IFERROR(__xludf.DUMMYFUNCTION("""COMPUTED_VALUE"""),"0961051466")</f>
        <v>0961051466</v>
      </c>
      <c r="K4538" s="2" t="str">
        <f ca="1">IFERROR(__xludf.DUMMYFUNCTION("""COMPUTED_VALUE"""),"1762502619173")</f>
        <v>1762502619173</v>
      </c>
    </row>
    <row r="4539" spans="1:11" ht="12.45">
      <c r="A4539" s="2" t="str">
        <f ca="1">IFERROR(__xludf.DUMMYFUNCTION("""COMPUTED_VALUE"""),"1762502659240")</f>
        <v>1762502659240</v>
      </c>
      <c r="B4539" s="2"/>
      <c r="C4539" s="2" t="str">
        <v>0</v>
      </c>
      <c r="D4539" s="2"/>
      <c r="F4539" s="2" t="str">
        <v>0</v>
      </c>
      <c r="I4539" s="3" t="str">
        <f ca="1">IFERROR(__xludf.DUMMYFUNCTION("""COMPUTED_VALUE"""),"Nguyễn thị duyên")</f>
        <v>Nguyễn thị duyên</v>
      </c>
      <c r="J4539" s="3" t="str">
        <f ca="1">IFERROR(__xludf.DUMMYFUNCTION("""COMPUTED_VALUE"""),"0969193791")</f>
        <v>0969193791</v>
      </c>
      <c r="K4539" s="2" t="str">
        <f ca="1">IFERROR(__xludf.DUMMYFUNCTION("""COMPUTED_VALUE"""),"1762502659240")</f>
        <v>1762502659240</v>
      </c>
    </row>
    <row r="4540" spans="1:11" ht="12.45">
      <c r="A4540" s="2" t="str">
        <f ca="1">IFERROR(__xludf.DUMMYFUNCTION("""COMPUTED_VALUE"""),"1762502702132")</f>
        <v>1762502702132</v>
      </c>
      <c r="B4540" s="2"/>
      <c r="C4540" s="2" t="str">
        <v>0</v>
      </c>
      <c r="D4540" s="2"/>
      <c r="F4540" s="2" t="str">
        <v>0</v>
      </c>
      <c r="I4540" s="3" t="str">
        <f ca="1">IFERROR(__xludf.DUMMYFUNCTION("""COMPUTED_VALUE"""),"Hoàng Hà My")</f>
        <v>Hoàng Hà My</v>
      </c>
      <c r="J4540" s="3" t="str">
        <f ca="1">IFERROR(__xludf.DUMMYFUNCTION("""COMPUTED_VALUE"""),"0866687930")</f>
        <v>0866687930</v>
      </c>
      <c r="K4540" s="2" t="str">
        <f ca="1">IFERROR(__xludf.DUMMYFUNCTION("""COMPUTED_VALUE"""),"1762502702132")</f>
        <v>1762502702132</v>
      </c>
    </row>
    <row r="4541" spans="1:11" ht="12.45">
      <c r="A4541" s="2" t="str">
        <f ca="1">IFERROR(__xludf.DUMMYFUNCTION("""COMPUTED_VALUE"""),"1762502775753")</f>
        <v>1762502775753</v>
      </c>
      <c r="B4541" s="2"/>
      <c r="C4541" s="2" t="str">
        <v>0</v>
      </c>
      <c r="D4541" s="2"/>
      <c r="F4541" s="2" t="str">
        <v>0</v>
      </c>
      <c r="I4541" s="3" t="str">
        <f ca="1">IFERROR(__xludf.DUMMYFUNCTION("""COMPUTED_VALUE"""),"Nguyễn Thị Thảo Nguyên")</f>
        <v>Nguyễn Thị Thảo Nguyên</v>
      </c>
      <c r="J4541" s="3" t="str">
        <f ca="1">IFERROR(__xludf.DUMMYFUNCTION("""COMPUTED_VALUE"""),"0846899447")</f>
        <v>0846899447</v>
      </c>
      <c r="K4541" s="2" t="str">
        <f ca="1">IFERROR(__xludf.DUMMYFUNCTION("""COMPUTED_VALUE"""),"1762502775753")</f>
        <v>1762502775753</v>
      </c>
    </row>
    <row r="4542" spans="1:11" ht="12.45">
      <c r="A4542" s="2" t="str">
        <f ca="1">IFERROR(__xludf.DUMMYFUNCTION("""COMPUTED_VALUE"""),"1762502815393")</f>
        <v>1762502815393</v>
      </c>
      <c r="B4542" s="2"/>
      <c r="C4542" s="2" t="str">
        <v>0</v>
      </c>
      <c r="D4542" s="2"/>
      <c r="F4542" s="2" t="str">
        <v>0</v>
      </c>
      <c r="I4542" s="3" t="str">
        <f ca="1">IFERROR(__xludf.DUMMYFUNCTION("""COMPUTED_VALUE"""),"Nguyễn Phạm Hải Long ")</f>
        <v xml:space="preserve">Nguyễn Phạm Hải Long </v>
      </c>
      <c r="J4542" s="3" t="str">
        <f ca="1">IFERROR(__xludf.DUMMYFUNCTION("""COMPUTED_VALUE"""),"0868654169")</f>
        <v>0868654169</v>
      </c>
      <c r="K4542" s="2" t="str">
        <f ca="1">IFERROR(__xludf.DUMMYFUNCTION("""COMPUTED_VALUE"""),"1762502815393")</f>
        <v>1762502815393</v>
      </c>
    </row>
    <row r="4543" spans="1:11" ht="12.45">
      <c r="A4543" s="2" t="str">
        <f ca="1">IFERROR(__xludf.DUMMYFUNCTION("""COMPUTED_VALUE"""),"1762502847554")</f>
        <v>1762502847554</v>
      </c>
      <c r="B4543" s="2"/>
      <c r="C4543" s="2" t="str">
        <v>0</v>
      </c>
      <c r="D4543" s="2"/>
      <c r="F4543" s="2" t="str">
        <v>0</v>
      </c>
      <c r="I4543" s="3" t="str">
        <f ca="1">IFERROR(__xludf.DUMMYFUNCTION("""COMPUTED_VALUE"""),"Hoàng Hải Yến")</f>
        <v>Hoàng Hải Yến</v>
      </c>
      <c r="J4543" s="3" t="str">
        <f ca="1">IFERROR(__xludf.DUMMYFUNCTION("""COMPUTED_VALUE"""),"0368709618")</f>
        <v>0368709618</v>
      </c>
      <c r="K4543" s="2" t="str">
        <f ca="1">IFERROR(__xludf.DUMMYFUNCTION("""COMPUTED_VALUE"""),"1762502847554")</f>
        <v>1762502847554</v>
      </c>
    </row>
    <row r="4544" spans="1:11" ht="12.45">
      <c r="A4544" s="2" t="str">
        <f ca="1">IFERROR(__xludf.DUMMYFUNCTION("""COMPUTED_VALUE"""),"1762502893530")</f>
        <v>1762502893530</v>
      </c>
      <c r="B4544" s="2"/>
      <c r="C4544" s="2" t="str">
        <v>0</v>
      </c>
      <c r="D4544" s="2"/>
      <c r="F4544" s="2" t="str">
        <v>0</v>
      </c>
      <c r="I4544" s="3" t="str">
        <f ca="1">IFERROR(__xludf.DUMMYFUNCTION("""COMPUTED_VALUE"""),"Đỗ Thị Mai Quyên")</f>
        <v>Đỗ Thị Mai Quyên</v>
      </c>
      <c r="J4544" s="3" t="str">
        <f ca="1">IFERROR(__xludf.DUMMYFUNCTION("""COMPUTED_VALUE"""),"0333106890")</f>
        <v>0333106890</v>
      </c>
      <c r="K4544" s="2" t="str">
        <f ca="1">IFERROR(__xludf.DUMMYFUNCTION("""COMPUTED_VALUE"""),"1762502893530")</f>
        <v>1762502893530</v>
      </c>
    </row>
    <row r="4545" spans="1:11" ht="12.45">
      <c r="A4545" s="2" t="str">
        <f ca="1">IFERROR(__xludf.DUMMYFUNCTION("""COMPUTED_VALUE"""),"1762502975052")</f>
        <v>1762502975052</v>
      </c>
      <c r="B4545" s="2"/>
      <c r="C4545" s="2" t="str">
        <v>0</v>
      </c>
      <c r="D4545" s="2"/>
      <c r="F4545" s="2" t="str">
        <v>0</v>
      </c>
      <c r="I4545" s="3" t="str">
        <f ca="1">IFERROR(__xludf.DUMMYFUNCTION("""COMPUTED_VALUE"""),"Trần Thị Thanh Trúc")</f>
        <v>Trần Thị Thanh Trúc</v>
      </c>
      <c r="J4545" s="3" t="str">
        <f ca="1">IFERROR(__xludf.DUMMYFUNCTION("""COMPUTED_VALUE"""),"0942151803")</f>
        <v>0942151803</v>
      </c>
      <c r="K4545" s="2" t="str">
        <f ca="1">IFERROR(__xludf.DUMMYFUNCTION("""COMPUTED_VALUE"""),"1762502975052")</f>
        <v>1762502975052</v>
      </c>
    </row>
    <row r="4546" spans="1:11" ht="12.45">
      <c r="A4546" s="2" t="str">
        <f ca="1">IFERROR(__xludf.DUMMYFUNCTION("""COMPUTED_VALUE"""),"1762503020562")</f>
        <v>1762503020562</v>
      </c>
      <c r="B4546" s="2"/>
      <c r="C4546" s="2" t="str">
        <v>0</v>
      </c>
      <c r="D4546" s="2"/>
      <c r="F4546" s="2" t="str">
        <v>0</v>
      </c>
      <c r="I4546" s="3" t="str">
        <f ca="1">IFERROR(__xludf.DUMMYFUNCTION("""COMPUTED_VALUE"""),"Bùi Lê Lâm Ánh")</f>
        <v>Bùi Lê Lâm Ánh</v>
      </c>
      <c r="J4546" s="3" t="str">
        <f ca="1">IFERROR(__xludf.DUMMYFUNCTION("""COMPUTED_VALUE"""),"0898796533")</f>
        <v>0898796533</v>
      </c>
      <c r="K4546" s="2" t="str">
        <f ca="1">IFERROR(__xludf.DUMMYFUNCTION("""COMPUTED_VALUE"""),"1762503020562")</f>
        <v>1762503020562</v>
      </c>
    </row>
    <row r="4547" spans="1:11" ht="12.45">
      <c r="A4547" s="2" t="str">
        <f ca="1">IFERROR(__xludf.DUMMYFUNCTION("""COMPUTED_VALUE"""),"1762503075621")</f>
        <v>1762503075621</v>
      </c>
      <c r="B4547" s="2"/>
      <c r="C4547" s="2" t="str">
        <v>0</v>
      </c>
      <c r="D4547" s="2"/>
      <c r="F4547" s="2" t="str">
        <v>0</v>
      </c>
      <c r="I4547" s="3" t="str">
        <f ca="1">IFERROR(__xludf.DUMMYFUNCTION("""COMPUTED_VALUE"""),"Trịnh Viết Anh")</f>
        <v>Trịnh Viết Anh</v>
      </c>
      <c r="J4547" s="3" t="str">
        <f ca="1">IFERROR(__xludf.DUMMYFUNCTION("""COMPUTED_VALUE"""),"0378488270")</f>
        <v>0378488270</v>
      </c>
      <c r="K4547" s="2" t="str">
        <f ca="1">IFERROR(__xludf.DUMMYFUNCTION("""COMPUTED_VALUE"""),"1762503075621")</f>
        <v>1762503075621</v>
      </c>
    </row>
    <row r="4548" spans="1:11" ht="12.45">
      <c r="A4548" s="2" t="str">
        <f ca="1">IFERROR(__xludf.DUMMYFUNCTION("""COMPUTED_VALUE"""),"1762503143888")</f>
        <v>1762503143888</v>
      </c>
      <c r="B4548" s="2"/>
      <c r="C4548" s="2" t="str">
        <v>0</v>
      </c>
      <c r="D4548" s="2"/>
      <c r="F4548" s="2" t="str">
        <v>0</v>
      </c>
      <c r="I4548" s="3" t="str">
        <f ca="1">IFERROR(__xludf.DUMMYFUNCTION("""COMPUTED_VALUE"""),"Lê Phương Thảo")</f>
        <v>Lê Phương Thảo</v>
      </c>
      <c r="J4548" s="3" t="str">
        <f ca="1">IFERROR(__xludf.DUMMYFUNCTION("""COMPUTED_VALUE"""),"0389340091")</f>
        <v>0389340091</v>
      </c>
      <c r="K4548" s="2" t="str">
        <f ca="1">IFERROR(__xludf.DUMMYFUNCTION("""COMPUTED_VALUE"""),"1762503143888")</f>
        <v>1762503143888</v>
      </c>
    </row>
    <row r="4549" spans="1:11" ht="12.45">
      <c r="A4549" s="2" t="str">
        <f ca="1">IFERROR(__xludf.DUMMYFUNCTION("""COMPUTED_VALUE"""),"1762503187016")</f>
        <v>1762503187016</v>
      </c>
      <c r="B4549" s="2"/>
      <c r="C4549" s="2" t="str">
        <v>0</v>
      </c>
      <c r="D4549" s="2"/>
      <c r="F4549" s="2" t="str">
        <v>0</v>
      </c>
      <c r="I4549" s="3" t="str">
        <f ca="1">IFERROR(__xludf.DUMMYFUNCTION("""COMPUTED_VALUE"""),"Bùi Hồng Ngọc")</f>
        <v>Bùi Hồng Ngọc</v>
      </c>
      <c r="J4549" s="3" t="str">
        <f ca="1">IFERROR(__xludf.DUMMYFUNCTION("""COMPUTED_VALUE"""),"0362669984")</f>
        <v>0362669984</v>
      </c>
      <c r="K4549" s="2" t="str">
        <f ca="1">IFERROR(__xludf.DUMMYFUNCTION("""COMPUTED_VALUE"""),"1762503187016")</f>
        <v>1762503187016</v>
      </c>
    </row>
    <row r="4550" spans="1:11" ht="12.45">
      <c r="A4550" s="2" t="str">
        <f ca="1">IFERROR(__xludf.DUMMYFUNCTION("""COMPUTED_VALUE"""),"1762503248161")</f>
        <v>1762503248161</v>
      </c>
      <c r="B4550" s="2"/>
      <c r="C4550" s="2" t="str">
        <v>0</v>
      </c>
      <c r="D4550" s="2"/>
      <c r="F4550" s="2" t="str">
        <v>0</v>
      </c>
      <c r="I4550" s="3" t="str">
        <f ca="1">IFERROR(__xludf.DUMMYFUNCTION("""COMPUTED_VALUE"""),"Phan Nguyễn thảo nguyên ")</f>
        <v xml:space="preserve">Phan Nguyễn thảo nguyên </v>
      </c>
      <c r="J4550" s="3" t="str">
        <f ca="1">IFERROR(__xludf.DUMMYFUNCTION("""COMPUTED_VALUE"""),"0899082375")</f>
        <v>0899082375</v>
      </c>
      <c r="K4550" s="2" t="str">
        <f ca="1">IFERROR(__xludf.DUMMYFUNCTION("""COMPUTED_VALUE"""),"1762503248161")</f>
        <v>1762503248161</v>
      </c>
    </row>
    <row r="4551" spans="1:11" ht="12.45">
      <c r="A4551" s="2" t="str">
        <f ca="1">IFERROR(__xludf.DUMMYFUNCTION("""COMPUTED_VALUE"""),"1762503292612")</f>
        <v>1762503292612</v>
      </c>
      <c r="B4551" s="2"/>
      <c r="C4551" s="2" t="str">
        <v>0</v>
      </c>
      <c r="D4551" s="2"/>
      <c r="F4551" s="2" t="str">
        <v>0</v>
      </c>
      <c r="I4551" s="3" t="str">
        <f ca="1">IFERROR(__xludf.DUMMYFUNCTION("""COMPUTED_VALUE"""),"Lê Thu Hảo ")</f>
        <v xml:space="preserve">Lê Thu Hảo </v>
      </c>
      <c r="J4551" s="3" t="str">
        <f ca="1">IFERROR(__xludf.DUMMYFUNCTION("""COMPUTED_VALUE"""),"0963669705")</f>
        <v>0963669705</v>
      </c>
      <c r="K4551" s="2" t="str">
        <f ca="1">IFERROR(__xludf.DUMMYFUNCTION("""COMPUTED_VALUE"""),"1762503292612")</f>
        <v>1762503292612</v>
      </c>
    </row>
    <row r="4552" spans="1:11" ht="12.45">
      <c r="A4552" s="2" t="str">
        <f ca="1">IFERROR(__xludf.DUMMYFUNCTION("""COMPUTED_VALUE"""),"1762503350406")</f>
        <v>1762503350406</v>
      </c>
      <c r="B4552" s="2"/>
      <c r="C4552" s="2" t="str">
        <v>0</v>
      </c>
      <c r="D4552" s="2"/>
      <c r="F4552" s="2" t="str">
        <v>0</v>
      </c>
      <c r="I4552" s="3" t="str">
        <f ca="1">IFERROR(__xludf.DUMMYFUNCTION("""COMPUTED_VALUE"""),"Phan Thanh Tâm")</f>
        <v>Phan Thanh Tâm</v>
      </c>
      <c r="J4552" s="3" t="str">
        <f ca="1">IFERROR(__xludf.DUMMYFUNCTION("""COMPUTED_VALUE"""),"0838815007")</f>
        <v>0838815007</v>
      </c>
      <c r="K4552" s="2" t="str">
        <f ca="1">IFERROR(__xludf.DUMMYFUNCTION("""COMPUTED_VALUE"""),"1762503350406")</f>
        <v>1762503350406</v>
      </c>
    </row>
    <row r="4553" spans="1:11" ht="12.45">
      <c r="A4553" s="2" t="str">
        <f ca="1">IFERROR(__xludf.DUMMYFUNCTION("""COMPUTED_VALUE"""),"1762503395200")</f>
        <v>1762503395200</v>
      </c>
      <c r="B4553" s="2"/>
      <c r="C4553" s="2" t="str">
        <v>0</v>
      </c>
      <c r="D4553" s="2"/>
      <c r="F4553" s="2" t="str">
        <v>0</v>
      </c>
      <c r="I4553" s="3" t="str">
        <f ca="1">IFERROR(__xludf.DUMMYFUNCTION("""COMPUTED_VALUE"""),"Nguyễn Thị Ngọc Lan")</f>
        <v>Nguyễn Thị Ngọc Lan</v>
      </c>
      <c r="J4553" s="3" t="str">
        <f ca="1">IFERROR(__xludf.DUMMYFUNCTION("""COMPUTED_VALUE"""),"0375993458")</f>
        <v>0375993458</v>
      </c>
      <c r="K4553" s="2" t="str">
        <f ca="1">IFERROR(__xludf.DUMMYFUNCTION("""COMPUTED_VALUE"""),"1762503395200")</f>
        <v>1762503395200</v>
      </c>
    </row>
    <row r="4554" spans="1:11" ht="12.45">
      <c r="A4554" s="2" t="str">
        <f ca="1">IFERROR(__xludf.DUMMYFUNCTION("""COMPUTED_VALUE"""),"1762503453555")</f>
        <v>1762503453555</v>
      </c>
      <c r="B4554" s="2"/>
      <c r="C4554" s="2" t="str">
        <v>0</v>
      </c>
      <c r="D4554" s="2"/>
      <c r="F4554" s="2" t="str">
        <v>0</v>
      </c>
      <c r="I4554" s="3" t="str">
        <f ca="1">IFERROR(__xludf.DUMMYFUNCTION("""COMPUTED_VALUE"""),"Trần Khánh Linh ")</f>
        <v xml:space="preserve">Trần Khánh Linh </v>
      </c>
      <c r="J4554" s="3" t="str">
        <f ca="1">IFERROR(__xludf.DUMMYFUNCTION("""COMPUTED_VALUE"""),"0396569823")</f>
        <v>0396569823</v>
      </c>
      <c r="K4554" s="2" t="str">
        <f ca="1">IFERROR(__xludf.DUMMYFUNCTION("""COMPUTED_VALUE"""),"1762503453555")</f>
        <v>1762503453555</v>
      </c>
    </row>
    <row r="4555" spans="1:11" ht="12.45">
      <c r="A4555" s="2" t="str">
        <f ca="1">IFERROR(__xludf.DUMMYFUNCTION("""COMPUTED_VALUE"""),"1762503519804")</f>
        <v>1762503519804</v>
      </c>
      <c r="B4555" s="2"/>
      <c r="C4555" s="2" t="str">
        <v>0</v>
      </c>
      <c r="D4555" s="2"/>
      <c r="F4555" s="2" t="str">
        <v>0</v>
      </c>
      <c r="I4555" s="3" t="str">
        <f ca="1">IFERROR(__xludf.DUMMYFUNCTION("""COMPUTED_VALUE"""),"Trần Diễm My")</f>
        <v>Trần Diễm My</v>
      </c>
      <c r="J4555" s="3" t="str">
        <f ca="1">IFERROR(__xludf.DUMMYFUNCTION("""COMPUTED_VALUE"""),"0776674558")</f>
        <v>0776674558</v>
      </c>
      <c r="K4555" s="2" t="str">
        <f ca="1">IFERROR(__xludf.DUMMYFUNCTION("""COMPUTED_VALUE"""),"1762503519804")</f>
        <v>1762503519804</v>
      </c>
    </row>
    <row r="4556" spans="1:11" ht="12.45">
      <c r="A4556" s="2" t="str">
        <f ca="1">IFERROR(__xludf.DUMMYFUNCTION("""COMPUTED_VALUE"""),"1762503551572")</f>
        <v>1762503551572</v>
      </c>
      <c r="B4556" s="2"/>
      <c r="C4556" s="2" t="str">
        <v>0</v>
      </c>
      <c r="D4556" s="2"/>
      <c r="F4556" s="2" t="str">
        <v>0</v>
      </c>
      <c r="I4556" s="3" t="str">
        <f ca="1">IFERROR(__xludf.DUMMYFUNCTION("""COMPUTED_VALUE"""),"Nguyễn Xuân Mai")</f>
        <v>Nguyễn Xuân Mai</v>
      </c>
      <c r="J4556" s="3" t="str">
        <f ca="1">IFERROR(__xludf.DUMMYFUNCTION("""COMPUTED_VALUE"""),"0971546263")</f>
        <v>0971546263</v>
      </c>
      <c r="K4556" s="2" t="str">
        <f ca="1">IFERROR(__xludf.DUMMYFUNCTION("""COMPUTED_VALUE"""),"1762503551572")</f>
        <v>1762503551572</v>
      </c>
    </row>
    <row r="4557" spans="1:11" ht="12.45">
      <c r="A4557" s="2" t="str">
        <f ca="1">IFERROR(__xludf.DUMMYFUNCTION("""COMPUTED_VALUE"""),"1762503595222")</f>
        <v>1762503595222</v>
      </c>
      <c r="B4557" s="2"/>
      <c r="C4557" s="2" t="str">
        <v>0</v>
      </c>
      <c r="D4557" s="2"/>
      <c r="F4557" s="2" t="str">
        <v>0</v>
      </c>
      <c r="I4557" s="3" t="str">
        <f ca="1">IFERROR(__xludf.DUMMYFUNCTION("""COMPUTED_VALUE"""),"Khổng thị thảo vân")</f>
        <v>Khổng thị thảo vân</v>
      </c>
      <c r="J4557" s="3" t="str">
        <f ca="1">IFERROR(__xludf.DUMMYFUNCTION("""COMPUTED_VALUE"""),"0896689517")</f>
        <v>0896689517</v>
      </c>
      <c r="K4557" s="2" t="str">
        <f ca="1">IFERROR(__xludf.DUMMYFUNCTION("""COMPUTED_VALUE"""),"1762503595222")</f>
        <v>1762503595222</v>
      </c>
    </row>
    <row r="4558" spans="1:11" ht="12.45">
      <c r="A4558" s="2" t="str">
        <f ca="1">IFERROR(__xludf.DUMMYFUNCTION("""COMPUTED_VALUE"""),"1762503646518")</f>
        <v>1762503646518</v>
      </c>
      <c r="B4558" s="2"/>
      <c r="C4558" s="2" t="str">
        <v>0</v>
      </c>
      <c r="D4558" s="2"/>
      <c r="F4558" s="2" t="str">
        <v>0</v>
      </c>
      <c r="I4558" s="3" t="str">
        <f ca="1">IFERROR(__xludf.DUMMYFUNCTION("""COMPUTED_VALUE"""),"Trương Ngọc Huyền")</f>
        <v>Trương Ngọc Huyền</v>
      </c>
      <c r="J4558" s="3" t="str">
        <f ca="1">IFERROR(__xludf.DUMMYFUNCTION("""COMPUTED_VALUE"""),"0366896641")</f>
        <v>0366896641</v>
      </c>
      <c r="K4558" s="2" t="str">
        <f ca="1">IFERROR(__xludf.DUMMYFUNCTION("""COMPUTED_VALUE"""),"1762503646518")</f>
        <v>1762503646518</v>
      </c>
    </row>
    <row r="4559" spans="1:11" ht="12.45">
      <c r="A4559" s="2" t="str">
        <f ca="1">IFERROR(__xludf.DUMMYFUNCTION("""COMPUTED_VALUE"""),"1762503681854")</f>
        <v>1762503681854</v>
      </c>
      <c r="B4559" s="2"/>
      <c r="C4559" s="2" t="str">
        <v>0</v>
      </c>
      <c r="D4559" s="2"/>
      <c r="F4559" s="2" t="str">
        <v>0</v>
      </c>
      <c r="I4559" s="3" t="str">
        <f ca="1">IFERROR(__xludf.DUMMYFUNCTION("""COMPUTED_VALUE"""),"Nhữ phương thảo")</f>
        <v>Nhữ phương thảo</v>
      </c>
      <c r="J4559" s="3" t="str">
        <f ca="1">IFERROR(__xludf.DUMMYFUNCTION("""COMPUTED_VALUE"""),"0869701206")</f>
        <v>0869701206</v>
      </c>
      <c r="K4559" s="2" t="str">
        <f ca="1">IFERROR(__xludf.DUMMYFUNCTION("""COMPUTED_VALUE"""),"1762503681854")</f>
        <v>1762503681854</v>
      </c>
    </row>
    <row r="4560" spans="1:11" ht="12.45">
      <c r="A4560" s="2" t="str">
        <f ca="1">IFERROR(__xludf.DUMMYFUNCTION("""COMPUTED_VALUE"""),"1762503739273")</f>
        <v>1762503739273</v>
      </c>
      <c r="B4560" s="2"/>
      <c r="C4560" s="2" t="str">
        <v>0</v>
      </c>
      <c r="D4560" s="2"/>
      <c r="F4560" s="2" t="str">
        <v>0</v>
      </c>
      <c r="I4560" s="3" t="str">
        <f ca="1">IFERROR(__xludf.DUMMYFUNCTION("""COMPUTED_VALUE"""),"Trần Minh Tú")</f>
        <v>Trần Minh Tú</v>
      </c>
      <c r="J4560" s="3" t="str">
        <f ca="1">IFERROR(__xludf.DUMMYFUNCTION("""COMPUTED_VALUE"""),"0866874762")</f>
        <v>0866874762</v>
      </c>
      <c r="K4560" s="2" t="str">
        <f ca="1">IFERROR(__xludf.DUMMYFUNCTION("""COMPUTED_VALUE"""),"1762503739273")</f>
        <v>1762503739273</v>
      </c>
    </row>
    <row r="4561" spans="1:11" ht="12.45">
      <c r="A4561" s="2" t="str">
        <f ca="1">IFERROR(__xludf.DUMMYFUNCTION("""COMPUTED_VALUE"""),"1762503785020")</f>
        <v>1762503785020</v>
      </c>
      <c r="B4561" s="2"/>
      <c r="C4561" s="2" t="str">
        <v>0</v>
      </c>
      <c r="D4561" s="2"/>
      <c r="F4561" s="2" t="str">
        <v>0</v>
      </c>
      <c r="I4561" s="3" t="str">
        <f ca="1">IFERROR(__xludf.DUMMYFUNCTION("""COMPUTED_VALUE"""),"Chung Nguyễn Ngọc Lan Anh")</f>
        <v>Chung Nguyễn Ngọc Lan Anh</v>
      </c>
      <c r="J4561" s="3" t="str">
        <f ca="1">IFERROR(__xludf.DUMMYFUNCTION("""COMPUTED_VALUE"""),"0357539838")</f>
        <v>0357539838</v>
      </c>
      <c r="K4561" s="2" t="str">
        <f ca="1">IFERROR(__xludf.DUMMYFUNCTION("""COMPUTED_VALUE"""),"1762503785020")</f>
        <v>1762503785020</v>
      </c>
    </row>
    <row r="4562" spans="1:11" ht="12.45">
      <c r="A4562" s="2" t="str">
        <f ca="1">IFERROR(__xludf.DUMMYFUNCTION("""COMPUTED_VALUE"""),"1762503848975")</f>
        <v>1762503848975</v>
      </c>
      <c r="B4562" s="2"/>
      <c r="C4562" s="2" t="str">
        <v>0</v>
      </c>
      <c r="D4562" s="2"/>
      <c r="F4562" s="2" t="str">
        <v>0</v>
      </c>
      <c r="I4562" s="3" t="str">
        <f ca="1">IFERROR(__xludf.DUMMYFUNCTION("""COMPUTED_VALUE"""),"Đỗ Quỳnh Trang")</f>
        <v>Đỗ Quỳnh Trang</v>
      </c>
      <c r="J4562" s="3" t="str">
        <f ca="1">IFERROR(__xludf.DUMMYFUNCTION("""COMPUTED_VALUE"""),"0862368599")</f>
        <v>0862368599</v>
      </c>
      <c r="K4562" s="2" t="str">
        <f ca="1">IFERROR(__xludf.DUMMYFUNCTION("""COMPUTED_VALUE"""),"1762503848975")</f>
        <v>1762503848975</v>
      </c>
    </row>
    <row r="4563" spans="1:11" ht="12.45">
      <c r="A4563" s="2" t="str">
        <f ca="1">IFERROR(__xludf.DUMMYFUNCTION("""COMPUTED_VALUE"""),"1762503910572")</f>
        <v>1762503910572</v>
      </c>
      <c r="B4563" s="2"/>
      <c r="C4563" s="2" t="str">
        <v>0</v>
      </c>
      <c r="D4563" s="2"/>
      <c r="F4563" s="2" t="str">
        <v>0</v>
      </c>
      <c r="I4563" s="3" t="str">
        <f ca="1">IFERROR(__xludf.DUMMYFUNCTION("""COMPUTED_VALUE"""),"Trần Vũ Duy")</f>
        <v>Trần Vũ Duy</v>
      </c>
      <c r="J4563" s="3" t="str">
        <f ca="1">IFERROR(__xludf.DUMMYFUNCTION("""COMPUTED_VALUE"""),"0362393607")</f>
        <v>0362393607</v>
      </c>
      <c r="K4563" s="2" t="str">
        <f ca="1">IFERROR(__xludf.DUMMYFUNCTION("""COMPUTED_VALUE"""),"1762503910572")</f>
        <v>1762503910572</v>
      </c>
    </row>
    <row r="4564" spans="1:11" ht="12.45">
      <c r="A4564" s="2" t="str">
        <f ca="1">IFERROR(__xludf.DUMMYFUNCTION("""COMPUTED_VALUE"""),"1762503955752")</f>
        <v>1762503955752</v>
      </c>
      <c r="B4564" s="2"/>
      <c r="C4564" s="2" t="str">
        <v>0</v>
      </c>
      <c r="D4564" s="2"/>
      <c r="F4564" s="2" t="str">
        <v>0</v>
      </c>
      <c r="I4564" s="3" t="str">
        <f ca="1">IFERROR(__xludf.DUMMYFUNCTION("""COMPUTED_VALUE"""),"Nguyễn Hoài Thương")</f>
        <v>Nguyễn Hoài Thương</v>
      </c>
      <c r="J4564" s="3" t="str">
        <f ca="1">IFERROR(__xludf.DUMMYFUNCTION("""COMPUTED_VALUE"""),"0337227406")</f>
        <v>0337227406</v>
      </c>
      <c r="K4564" s="2" t="str">
        <f ca="1">IFERROR(__xludf.DUMMYFUNCTION("""COMPUTED_VALUE"""),"1762503955752")</f>
        <v>1762503955752</v>
      </c>
    </row>
    <row r="4565" spans="1:11" ht="12.45">
      <c r="A4565" s="2" t="str">
        <f ca="1">IFERROR(__xludf.DUMMYFUNCTION("""COMPUTED_VALUE"""),"1762504002088")</f>
        <v>1762504002088</v>
      </c>
      <c r="B4565" s="2"/>
      <c r="C4565" s="2" t="str">
        <v>0</v>
      </c>
      <c r="D4565" s="2"/>
      <c r="F4565" s="2" t="str">
        <v>0</v>
      </c>
      <c r="I4565" s="3" t="str">
        <f ca="1">IFERROR(__xludf.DUMMYFUNCTION("""COMPUTED_VALUE"""),"Nguyễn Trịnh Minh Hòa")</f>
        <v>Nguyễn Trịnh Minh Hòa</v>
      </c>
      <c r="J4565" s="3" t="str">
        <f ca="1">IFERROR(__xludf.DUMMYFUNCTION("""COMPUTED_VALUE"""),"0345235560")</f>
        <v>0345235560</v>
      </c>
      <c r="K4565" s="2" t="str">
        <f ca="1">IFERROR(__xludf.DUMMYFUNCTION("""COMPUTED_VALUE"""),"1762504002088")</f>
        <v>1762504002088</v>
      </c>
    </row>
    <row r="4566" spans="1:11" ht="12.45">
      <c r="A4566" s="2" t="str">
        <f ca="1">IFERROR(__xludf.DUMMYFUNCTION("""COMPUTED_VALUE"""),"1762504041755")</f>
        <v>1762504041755</v>
      </c>
      <c r="B4566" s="2"/>
      <c r="C4566" s="2" t="str">
        <v>0</v>
      </c>
      <c r="D4566" s="2"/>
      <c r="F4566" s="2" t="str">
        <v>0</v>
      </c>
      <c r="I4566" s="3" t="str">
        <f ca="1">IFERROR(__xludf.DUMMYFUNCTION("""COMPUTED_VALUE"""),"Trần Bạch Dương")</f>
        <v>Trần Bạch Dương</v>
      </c>
      <c r="J4566" s="3" t="str">
        <f ca="1">IFERROR(__xludf.DUMMYFUNCTION("""COMPUTED_VALUE"""),"0364113936")</f>
        <v>0364113936</v>
      </c>
      <c r="K4566" s="2" t="str">
        <f ca="1">IFERROR(__xludf.DUMMYFUNCTION("""COMPUTED_VALUE"""),"1762504041755")</f>
        <v>1762504041755</v>
      </c>
    </row>
    <row r="4567" spans="1:11" ht="12.45">
      <c r="A4567" s="2" t="str">
        <f ca="1">IFERROR(__xludf.DUMMYFUNCTION("""COMPUTED_VALUE"""),"1762504077567")</f>
        <v>1762504077567</v>
      </c>
      <c r="B4567" s="2"/>
      <c r="C4567" s="2" t="str">
        <v>0</v>
      </c>
      <c r="D4567" s="2"/>
      <c r="F4567" s="2" t="str">
        <v>0</v>
      </c>
      <c r="I4567" s="3" t="str">
        <f ca="1">IFERROR(__xludf.DUMMYFUNCTION("""COMPUTED_VALUE"""),"Đỗ Tuấn Tú")</f>
        <v>Đỗ Tuấn Tú</v>
      </c>
      <c r="J4567" s="3" t="str">
        <f ca="1">IFERROR(__xludf.DUMMYFUNCTION("""COMPUTED_VALUE"""),"0985522862")</f>
        <v>0985522862</v>
      </c>
      <c r="K4567" s="2" t="str">
        <f ca="1">IFERROR(__xludf.DUMMYFUNCTION("""COMPUTED_VALUE"""),"1762504077567")</f>
        <v>1762504077567</v>
      </c>
    </row>
    <row r="4568" spans="1:11" ht="12.45">
      <c r="A4568" s="2" t="str">
        <f ca="1">IFERROR(__xludf.DUMMYFUNCTION("""COMPUTED_VALUE"""),"1762504126383")</f>
        <v>1762504126383</v>
      </c>
      <c r="B4568" s="2"/>
      <c r="C4568" s="2" t="str">
        <v>0</v>
      </c>
      <c r="D4568" s="2"/>
      <c r="F4568" s="2" t="str">
        <v>0</v>
      </c>
      <c r="I4568" s="3" t="str">
        <f ca="1">IFERROR(__xludf.DUMMYFUNCTION("""COMPUTED_VALUE"""),"Nguyễn Thị Kim Oanh")</f>
        <v>Nguyễn Thị Kim Oanh</v>
      </c>
      <c r="J4568" s="3" t="str">
        <f ca="1">IFERROR(__xludf.DUMMYFUNCTION("""COMPUTED_VALUE"""),"0972262190")</f>
        <v>0972262190</v>
      </c>
      <c r="K4568" s="2" t="str">
        <f ca="1">IFERROR(__xludf.DUMMYFUNCTION("""COMPUTED_VALUE"""),"1762504126383")</f>
        <v>1762504126383</v>
      </c>
    </row>
    <row r="4569" spans="1:11" ht="12.45">
      <c r="A4569" s="2" t="str">
        <f ca="1">IFERROR(__xludf.DUMMYFUNCTION("""COMPUTED_VALUE"""),"1762504174046")</f>
        <v>1762504174046</v>
      </c>
      <c r="B4569" s="2"/>
      <c r="C4569" s="2" t="str">
        <v>0</v>
      </c>
      <c r="D4569" s="2"/>
      <c r="F4569" s="2" t="str">
        <v>0</v>
      </c>
      <c r="I4569" s="3" t="str">
        <f ca="1">IFERROR(__xludf.DUMMYFUNCTION("""COMPUTED_VALUE"""),"Nguyễn Ngọc Bảo Trân")</f>
        <v>Nguyễn Ngọc Bảo Trân</v>
      </c>
      <c r="J4569" s="3" t="str">
        <f ca="1">IFERROR(__xludf.DUMMYFUNCTION("""COMPUTED_VALUE"""),"0337089249")</f>
        <v>0337089249</v>
      </c>
      <c r="K4569" s="2" t="str">
        <f ca="1">IFERROR(__xludf.DUMMYFUNCTION("""COMPUTED_VALUE"""),"1762504174046")</f>
        <v>1762504174046</v>
      </c>
    </row>
    <row r="4570" spans="1:11" ht="12.45">
      <c r="A4570" s="2" t="str">
        <f ca="1">IFERROR(__xludf.DUMMYFUNCTION("""COMPUTED_VALUE"""),"1762504211432")</f>
        <v>1762504211432</v>
      </c>
      <c r="B4570" s="2"/>
      <c r="C4570" s="2" t="str">
        <v>0</v>
      </c>
      <c r="D4570" s="2"/>
      <c r="F4570" s="2" t="str">
        <v>0</v>
      </c>
      <c r="I4570" s="3" t="str">
        <f ca="1">IFERROR(__xludf.DUMMYFUNCTION("""COMPUTED_VALUE"""),"Đồng Thị Thanh Hoa")</f>
        <v>Đồng Thị Thanh Hoa</v>
      </c>
      <c r="J4570" s="3" t="str">
        <f ca="1">IFERROR(__xludf.DUMMYFUNCTION("""COMPUTED_VALUE"""),"0384169705")</f>
        <v>0384169705</v>
      </c>
      <c r="K4570" s="2" t="str">
        <f ca="1">IFERROR(__xludf.DUMMYFUNCTION("""COMPUTED_VALUE"""),"1762504211432")</f>
        <v>1762504211432</v>
      </c>
    </row>
    <row r="4571" spans="1:11" ht="12.45">
      <c r="A4571" s="2" t="str">
        <f ca="1">IFERROR(__xludf.DUMMYFUNCTION("""COMPUTED_VALUE"""),"1762504242247")</f>
        <v>1762504242247</v>
      </c>
      <c r="B4571" s="2"/>
      <c r="C4571" s="2" t="str">
        <v>0</v>
      </c>
      <c r="D4571" s="2"/>
      <c r="F4571" s="2" t="str">
        <v>0</v>
      </c>
      <c r="I4571" s="3" t="str">
        <f ca="1">IFERROR(__xludf.DUMMYFUNCTION("""COMPUTED_VALUE"""),"Lê Hồng Bách Diệp ")</f>
        <v xml:space="preserve">Lê Hồng Bách Diệp </v>
      </c>
      <c r="J4571" s="3" t="str">
        <f ca="1">IFERROR(__xludf.DUMMYFUNCTION("""COMPUTED_VALUE"""),"0369285258")</f>
        <v>0369285258</v>
      </c>
      <c r="K4571" s="2" t="str">
        <f ca="1">IFERROR(__xludf.DUMMYFUNCTION("""COMPUTED_VALUE"""),"1762504242247")</f>
        <v>1762504242247</v>
      </c>
    </row>
    <row r="4572" spans="1:11" ht="12.45">
      <c r="A4572" s="2" t="str">
        <f ca="1">IFERROR(__xludf.DUMMYFUNCTION("""COMPUTED_VALUE"""),"1762504275373")</f>
        <v>1762504275373</v>
      </c>
      <c r="B4572" s="2"/>
      <c r="C4572" s="2" t="str">
        <v>0</v>
      </c>
      <c r="D4572" s="2"/>
      <c r="F4572" s="2" t="str">
        <v>0</v>
      </c>
      <c r="I4572" s="3" t="str">
        <f ca="1">IFERROR(__xludf.DUMMYFUNCTION("""COMPUTED_VALUE"""),"Nguyễn Thảo Nguyên")</f>
        <v>Nguyễn Thảo Nguyên</v>
      </c>
      <c r="J4572" s="3" t="str">
        <f ca="1">IFERROR(__xludf.DUMMYFUNCTION("""COMPUTED_VALUE"""),"0944706906")</f>
        <v>0944706906</v>
      </c>
      <c r="K4572" s="2" t="str">
        <f ca="1">IFERROR(__xludf.DUMMYFUNCTION("""COMPUTED_VALUE"""),"1762504275373")</f>
        <v>1762504275373</v>
      </c>
    </row>
    <row r="4573" spans="1:11" ht="12.45">
      <c r="A4573" s="2" t="str">
        <f ca="1">IFERROR(__xludf.DUMMYFUNCTION("""COMPUTED_VALUE"""),"1762504308516")</f>
        <v>1762504308516</v>
      </c>
      <c r="B4573" s="2"/>
      <c r="C4573" s="2" t="str">
        <v>0</v>
      </c>
      <c r="D4573" s="2"/>
      <c r="F4573" s="2" t="str">
        <v>0</v>
      </c>
      <c r="I4573" s="3" t="str">
        <f ca="1">IFERROR(__xludf.DUMMYFUNCTION("""COMPUTED_VALUE"""),"Bùi Hương Quỳnh")</f>
        <v>Bùi Hương Quỳnh</v>
      </c>
      <c r="J4573" s="3" t="str">
        <f ca="1">IFERROR(__xludf.DUMMYFUNCTION("""COMPUTED_VALUE"""),"0377599682")</f>
        <v>0377599682</v>
      </c>
      <c r="K4573" s="2" t="str">
        <f ca="1">IFERROR(__xludf.DUMMYFUNCTION("""COMPUTED_VALUE"""),"1762504308516")</f>
        <v>1762504308516</v>
      </c>
    </row>
    <row r="4574" spans="1:11" ht="12.45">
      <c r="A4574" s="2" t="str">
        <f ca="1">IFERROR(__xludf.DUMMYFUNCTION("""COMPUTED_VALUE"""),"1762504344581")</f>
        <v>1762504344581</v>
      </c>
      <c r="B4574" s="2"/>
      <c r="C4574" s="2" t="str">
        <v>0</v>
      </c>
      <c r="D4574" s="2"/>
      <c r="F4574" s="2" t="str">
        <v>0</v>
      </c>
      <c r="I4574" s="3" t="str">
        <f ca="1">IFERROR(__xludf.DUMMYFUNCTION("""COMPUTED_VALUE"""),"Phan Khánh Linh ")</f>
        <v xml:space="preserve">Phan Khánh Linh </v>
      </c>
      <c r="J4574" s="3" t="str">
        <f ca="1">IFERROR(__xludf.DUMMYFUNCTION("""COMPUTED_VALUE"""),"0372409515")</f>
        <v>0372409515</v>
      </c>
      <c r="K4574" s="2" t="str">
        <f ca="1">IFERROR(__xludf.DUMMYFUNCTION("""COMPUTED_VALUE"""),"1762504344581")</f>
        <v>1762504344581</v>
      </c>
    </row>
    <row r="4575" spans="1:11" ht="12.45">
      <c r="A4575" s="2" t="str">
        <f ca="1">IFERROR(__xludf.DUMMYFUNCTION("""COMPUTED_VALUE"""),"1762504394982")</f>
        <v>1762504394982</v>
      </c>
      <c r="B4575" s="2"/>
      <c r="C4575" s="2" t="str">
        <v>0</v>
      </c>
      <c r="D4575" s="2"/>
      <c r="F4575" s="2" t="str">
        <v>0</v>
      </c>
      <c r="I4575" s="3" t="str">
        <f ca="1">IFERROR(__xludf.DUMMYFUNCTION("""COMPUTED_VALUE"""),"Nguyễn Thảo Nguyên Anh ")</f>
        <v xml:space="preserve">Nguyễn Thảo Nguyên Anh </v>
      </c>
      <c r="J4575" s="3" t="str">
        <f ca="1">IFERROR(__xludf.DUMMYFUNCTION("""COMPUTED_VALUE"""),"0865288178")</f>
        <v>0865288178</v>
      </c>
      <c r="K4575" s="2" t="str">
        <f ca="1">IFERROR(__xludf.DUMMYFUNCTION("""COMPUTED_VALUE"""),"1762504394982")</f>
        <v>1762504394982</v>
      </c>
    </row>
    <row r="4576" spans="1:11" ht="12.45">
      <c r="A4576" s="2" t="str">
        <f ca="1">IFERROR(__xludf.DUMMYFUNCTION("""COMPUTED_VALUE"""),"1762504437666")</f>
        <v>1762504437666</v>
      </c>
      <c r="B4576" s="2"/>
      <c r="C4576" s="2" t="str">
        <v>0</v>
      </c>
      <c r="D4576" s="2"/>
      <c r="F4576" s="2" t="str">
        <v>0</v>
      </c>
      <c r="I4576" s="3" t="str">
        <f ca="1">IFERROR(__xludf.DUMMYFUNCTION("""COMPUTED_VALUE"""),"Vi Thuỳ Linh")</f>
        <v>Vi Thuỳ Linh</v>
      </c>
      <c r="J4576" s="3" t="str">
        <f ca="1">IFERROR(__xludf.DUMMYFUNCTION("""COMPUTED_VALUE"""),"0984698021")</f>
        <v>0984698021</v>
      </c>
      <c r="K4576" s="2" t="str">
        <f ca="1">IFERROR(__xludf.DUMMYFUNCTION("""COMPUTED_VALUE"""),"1762504437666")</f>
        <v>1762504437666</v>
      </c>
    </row>
    <row r="4577" spans="1:11" ht="12.45">
      <c r="A4577" s="2" t="str">
        <f ca="1">IFERROR(__xludf.DUMMYFUNCTION("""COMPUTED_VALUE"""),"1762504480421")</f>
        <v>1762504480421</v>
      </c>
      <c r="B4577" s="2"/>
      <c r="C4577" s="2" t="str">
        <v>0</v>
      </c>
      <c r="D4577" s="2"/>
      <c r="F4577" s="2" t="str">
        <v>0</v>
      </c>
      <c r="I4577" s="3" t="str">
        <f ca="1">IFERROR(__xludf.DUMMYFUNCTION("""COMPUTED_VALUE"""),"Vũ Thị Phương Mai")</f>
        <v>Vũ Thị Phương Mai</v>
      </c>
      <c r="J4577" s="3" t="str">
        <f ca="1">IFERROR(__xludf.DUMMYFUNCTION("""COMPUTED_VALUE"""),"0363212102")</f>
        <v>0363212102</v>
      </c>
      <c r="K4577" s="2" t="str">
        <f ca="1">IFERROR(__xludf.DUMMYFUNCTION("""COMPUTED_VALUE"""),"1762504480421")</f>
        <v>1762504480421</v>
      </c>
    </row>
    <row r="4578" spans="1:11" ht="12.45">
      <c r="A4578" s="2" t="str">
        <f ca="1">IFERROR(__xludf.DUMMYFUNCTION("""COMPUTED_VALUE"""),"1762504506727")</f>
        <v>1762504506727</v>
      </c>
      <c r="B4578" s="2"/>
      <c r="C4578" s="2" t="str">
        <v>0</v>
      </c>
      <c r="D4578" s="2"/>
      <c r="F4578" s="2" t="str">
        <v>0</v>
      </c>
      <c r="I4578" s="3" t="str">
        <f ca="1">IFERROR(__xludf.DUMMYFUNCTION("""COMPUTED_VALUE"""),"Nguyễn Minh Phương ")</f>
        <v xml:space="preserve">Nguyễn Minh Phương </v>
      </c>
      <c r="J4578" s="3" t="str">
        <f ca="1">IFERROR(__xludf.DUMMYFUNCTION("""COMPUTED_VALUE"""),"0986414107")</f>
        <v>0986414107</v>
      </c>
      <c r="K4578" s="2" t="str">
        <f ca="1">IFERROR(__xludf.DUMMYFUNCTION("""COMPUTED_VALUE"""),"1762504506727")</f>
        <v>1762504506727</v>
      </c>
    </row>
    <row r="4579" spans="1:11" ht="12.45">
      <c r="A4579" s="2" t="str">
        <f ca="1">IFERROR(__xludf.DUMMYFUNCTION("""COMPUTED_VALUE"""),"1762504540288")</f>
        <v>1762504540288</v>
      </c>
      <c r="B4579" s="2"/>
      <c r="C4579" s="2" t="str">
        <v>0</v>
      </c>
      <c r="D4579" s="2"/>
      <c r="F4579" s="2" t="str">
        <v>0</v>
      </c>
      <c r="I4579" s="3" t="str">
        <f ca="1">IFERROR(__xludf.DUMMYFUNCTION("""COMPUTED_VALUE"""),"Trần Mỹ Linh")</f>
        <v>Trần Mỹ Linh</v>
      </c>
      <c r="J4579" s="3" t="str">
        <f ca="1">IFERROR(__xludf.DUMMYFUNCTION("""COMPUTED_VALUE"""),"0989611717")</f>
        <v>0989611717</v>
      </c>
      <c r="K4579" s="2" t="str">
        <f ca="1">IFERROR(__xludf.DUMMYFUNCTION("""COMPUTED_VALUE"""),"1762504540288")</f>
        <v>1762504540288</v>
      </c>
    </row>
    <row r="4580" spans="1:11" ht="12.45">
      <c r="A4580" s="2" t="str">
        <f ca="1">IFERROR(__xludf.DUMMYFUNCTION("""COMPUTED_VALUE"""),"1762504571926")</f>
        <v>1762504571926</v>
      </c>
      <c r="B4580" s="2"/>
      <c r="C4580" s="2" t="str">
        <v>0</v>
      </c>
      <c r="D4580" s="2"/>
      <c r="F4580" s="2" t="str">
        <v>0</v>
      </c>
      <c r="I4580" s="3" t="str">
        <f ca="1">IFERROR(__xludf.DUMMYFUNCTION("""COMPUTED_VALUE"""),"Phạm Nguyên Ngọc")</f>
        <v>Phạm Nguyên Ngọc</v>
      </c>
      <c r="J4580" s="3" t="str">
        <f ca="1">IFERROR(__xludf.DUMMYFUNCTION("""COMPUTED_VALUE"""),"0815107498")</f>
        <v>0815107498</v>
      </c>
      <c r="K4580" s="2" t="str">
        <f ca="1">IFERROR(__xludf.DUMMYFUNCTION("""COMPUTED_VALUE"""),"1762504571926")</f>
        <v>1762504571926</v>
      </c>
    </row>
    <row r="4581" spans="1:11" ht="12.45">
      <c r="A4581" s="2" t="str">
        <f ca="1">IFERROR(__xludf.DUMMYFUNCTION("""COMPUTED_VALUE"""),"1762504606684")</f>
        <v>1762504606684</v>
      </c>
      <c r="B4581" s="2"/>
      <c r="C4581" s="2" t="str">
        <v>0</v>
      </c>
      <c r="D4581" s="2"/>
      <c r="F4581" s="2" t="str">
        <v>0</v>
      </c>
      <c r="I4581" s="3" t="str">
        <f ca="1">IFERROR(__xludf.DUMMYFUNCTION("""COMPUTED_VALUE"""),"Nguyễn Lê Bảo Vy")</f>
        <v>Nguyễn Lê Bảo Vy</v>
      </c>
      <c r="J4581" s="3" t="str">
        <f ca="1">IFERROR(__xludf.DUMMYFUNCTION("""COMPUTED_VALUE"""),"0917911818")</f>
        <v>0917911818</v>
      </c>
      <c r="K4581" s="2" t="str">
        <f ca="1">IFERROR(__xludf.DUMMYFUNCTION("""COMPUTED_VALUE"""),"1762504606684")</f>
        <v>1762504606684</v>
      </c>
    </row>
    <row r="4582" spans="1:11" ht="12.45">
      <c r="A4582" s="2" t="str">
        <f ca="1">IFERROR(__xludf.DUMMYFUNCTION("""COMPUTED_VALUE"""),"1762504655173")</f>
        <v>1762504655173</v>
      </c>
      <c r="B4582" s="2"/>
      <c r="C4582" s="2" t="str">
        <v>0</v>
      </c>
      <c r="D4582" s="2"/>
      <c r="F4582" s="2" t="str">
        <v>0</v>
      </c>
      <c r="I4582" s="3" t="str">
        <f ca="1">IFERROR(__xludf.DUMMYFUNCTION("""COMPUTED_VALUE"""),"Hoàng Quân ")</f>
        <v xml:space="preserve">Hoàng Quân </v>
      </c>
      <c r="J4582" s="3" t="str">
        <f ca="1">IFERROR(__xludf.DUMMYFUNCTION("""COMPUTED_VALUE"""),"0869547605")</f>
        <v>0869547605</v>
      </c>
      <c r="K4582" s="2" t="str">
        <f ca="1">IFERROR(__xludf.DUMMYFUNCTION("""COMPUTED_VALUE"""),"1762504655173")</f>
        <v>1762504655173</v>
      </c>
    </row>
    <row r="4583" spans="1:11" ht="12.45">
      <c r="A4583" s="2" t="str">
        <f ca="1">IFERROR(__xludf.DUMMYFUNCTION("""COMPUTED_VALUE"""),"1762504690643")</f>
        <v>1762504690643</v>
      </c>
      <c r="B4583" s="2"/>
      <c r="C4583" s="2" t="str">
        <v>0</v>
      </c>
      <c r="D4583" s="2"/>
      <c r="F4583" s="2" t="str">
        <v>0</v>
      </c>
      <c r="I4583" s="3" t="str">
        <f ca="1">IFERROR(__xludf.DUMMYFUNCTION("""COMPUTED_VALUE"""),"Nguyễn Ánh Nhật Quỳnh")</f>
        <v>Nguyễn Ánh Nhật Quỳnh</v>
      </c>
      <c r="J4583" s="3" t="str">
        <f ca="1">IFERROR(__xludf.DUMMYFUNCTION("""COMPUTED_VALUE"""),"0853177085")</f>
        <v>0853177085</v>
      </c>
      <c r="K4583" s="2" t="str">
        <f ca="1">IFERROR(__xludf.DUMMYFUNCTION("""COMPUTED_VALUE"""),"1762504690643")</f>
        <v>1762504690643</v>
      </c>
    </row>
    <row r="4584" spans="1:11" ht="12.45">
      <c r="A4584" s="2" t="str">
        <f ca="1">IFERROR(__xludf.DUMMYFUNCTION("""COMPUTED_VALUE"""),"1762504740382")</f>
        <v>1762504740382</v>
      </c>
      <c r="B4584" s="2"/>
      <c r="C4584" s="2" t="str">
        <v>0</v>
      </c>
      <c r="D4584" s="2"/>
      <c r="F4584" s="2" t="str">
        <v>0</v>
      </c>
      <c r="I4584" s="3" t="str">
        <f ca="1">IFERROR(__xludf.DUMMYFUNCTION("""COMPUTED_VALUE"""),"Nguyễn Ngọc Minh Phương")</f>
        <v>Nguyễn Ngọc Minh Phương</v>
      </c>
      <c r="J4584" s="3" t="str">
        <f ca="1">IFERROR(__xludf.DUMMYFUNCTION("""COMPUTED_VALUE"""),"0383652368")</f>
        <v>0383652368</v>
      </c>
      <c r="K4584" s="2" t="str">
        <f ca="1">IFERROR(__xludf.DUMMYFUNCTION("""COMPUTED_VALUE"""),"1762504740382")</f>
        <v>1762504740382</v>
      </c>
    </row>
    <row r="4585" spans="1:11" ht="12.45">
      <c r="A4585" s="2" t="str">
        <f ca="1">IFERROR(__xludf.DUMMYFUNCTION("""COMPUTED_VALUE"""),"1762504791785")</f>
        <v>1762504791785</v>
      </c>
      <c r="B4585" s="2"/>
      <c r="C4585" s="2" t="str">
        <v>0</v>
      </c>
      <c r="D4585" s="2"/>
      <c r="F4585" s="2" t="str">
        <v>0</v>
      </c>
      <c r="I4585" s="3" t="str">
        <f ca="1">IFERROR(__xludf.DUMMYFUNCTION("""COMPUTED_VALUE"""),"Nguyễn Thị Ngọc Yến ")</f>
        <v xml:space="preserve">Nguyễn Thị Ngọc Yến </v>
      </c>
      <c r="J4585" s="3" t="str">
        <f ca="1">IFERROR(__xludf.DUMMYFUNCTION("""COMPUTED_VALUE"""),"0385609943")</f>
        <v>0385609943</v>
      </c>
      <c r="K4585" s="2" t="str">
        <f ca="1">IFERROR(__xludf.DUMMYFUNCTION("""COMPUTED_VALUE"""),"1762504791785")</f>
        <v>1762504791785</v>
      </c>
    </row>
    <row r="4586" spans="1:11" ht="12.45">
      <c r="A4586" s="2" t="str">
        <f ca="1">IFERROR(__xludf.DUMMYFUNCTION("""COMPUTED_VALUE"""),"1762504840594")</f>
        <v>1762504840594</v>
      </c>
      <c r="B4586" s="2"/>
      <c r="C4586" s="2" t="str">
        <v>0</v>
      </c>
      <c r="D4586" s="2"/>
      <c r="F4586" s="2" t="str">
        <v>0</v>
      </c>
      <c r="I4586" s="3" t="str">
        <f ca="1">IFERROR(__xludf.DUMMYFUNCTION("""COMPUTED_VALUE"""),"Phạm nguyệt minh")</f>
        <v>Phạm nguyệt minh</v>
      </c>
      <c r="J4586" s="3" t="str">
        <f ca="1">IFERROR(__xludf.DUMMYFUNCTION("""COMPUTED_VALUE"""),"0913210707")</f>
        <v>0913210707</v>
      </c>
      <c r="K4586" s="2" t="str">
        <f ca="1">IFERROR(__xludf.DUMMYFUNCTION("""COMPUTED_VALUE"""),"1762504840594")</f>
        <v>1762504840594</v>
      </c>
    </row>
    <row r="4587" spans="1:11" ht="12.45">
      <c r="A4587" s="2" t="str">
        <f ca="1">IFERROR(__xludf.DUMMYFUNCTION("""COMPUTED_VALUE"""),"1762504890898")</f>
        <v>1762504890898</v>
      </c>
      <c r="B4587" s="2"/>
      <c r="C4587" s="2" t="str">
        <v>0</v>
      </c>
      <c r="D4587" s="2"/>
      <c r="F4587" s="2" t="str">
        <v>0</v>
      </c>
      <c r="I4587" s="3" t="str">
        <f ca="1">IFERROR(__xludf.DUMMYFUNCTION("""COMPUTED_VALUE"""),"Liêu Dương Khánh Trân ")</f>
        <v xml:space="preserve">Liêu Dương Khánh Trân </v>
      </c>
      <c r="J4587" s="3" t="str">
        <f ca="1">IFERROR(__xludf.DUMMYFUNCTION("""COMPUTED_VALUE"""),"0916025962")</f>
        <v>0916025962</v>
      </c>
      <c r="K4587" s="2" t="str">
        <f ca="1">IFERROR(__xludf.DUMMYFUNCTION("""COMPUTED_VALUE"""),"1762504890898")</f>
        <v>1762504890898</v>
      </c>
    </row>
    <row r="4588" spans="1:11" ht="12.45">
      <c r="A4588" s="2" t="str">
        <f ca="1">IFERROR(__xludf.DUMMYFUNCTION("""COMPUTED_VALUE"""),"1762815414018")</f>
        <v>1762815414018</v>
      </c>
      <c r="B4588" s="2"/>
      <c r="C4588" s="2" t="str">
        <v>0</v>
      </c>
      <c r="D4588" s="2"/>
      <c r="F4588" s="2" t="str">
        <v>0</v>
      </c>
      <c r="I4588" s="3" t="str">
        <f ca="1">IFERROR(__xludf.DUMMYFUNCTION("""COMPUTED_VALUE"""),"Trương Thị Thanh Hồng")</f>
        <v>Trương Thị Thanh Hồng</v>
      </c>
      <c r="J4588" s="3" t="str">
        <f ca="1">IFERROR(__xludf.DUMMYFUNCTION("""COMPUTED_VALUE"""),"0945611807")</f>
        <v>0945611807</v>
      </c>
      <c r="K4588" s="2" t="str">
        <f ca="1">IFERROR(__xludf.DUMMYFUNCTION("""COMPUTED_VALUE"""),"1762815414018")</f>
        <v>1762815414018</v>
      </c>
    </row>
    <row r="4589" spans="1:11" ht="12.45">
      <c r="A4589" s="2" t="str">
        <f ca="1">IFERROR(__xludf.DUMMYFUNCTION("""COMPUTED_VALUE"""),"1762815468392")</f>
        <v>1762815468392</v>
      </c>
      <c r="B4589" s="2"/>
      <c r="C4589" s="2" t="str">
        <v>0</v>
      </c>
      <c r="D4589" s="2"/>
      <c r="F4589" s="2" t="str">
        <v>0</v>
      </c>
      <c r="I4589" s="3" t="str">
        <f ca="1">IFERROR(__xludf.DUMMYFUNCTION("""COMPUTED_VALUE"""),"Nguyễn Thị Lệ Quyên ")</f>
        <v xml:space="preserve">Nguyễn Thị Lệ Quyên </v>
      </c>
      <c r="J4589" s="3" t="str">
        <f ca="1">IFERROR(__xludf.DUMMYFUNCTION("""COMPUTED_VALUE"""),"0972786270")</f>
        <v>0972786270</v>
      </c>
      <c r="K4589" s="2" t="str">
        <f ca="1">IFERROR(__xludf.DUMMYFUNCTION("""COMPUTED_VALUE"""),"1762815468392")</f>
        <v>1762815468392</v>
      </c>
    </row>
    <row r="4590" spans="1:11" ht="12.45">
      <c r="A4590" s="2" t="str">
        <f ca="1">IFERROR(__xludf.DUMMYFUNCTION("""COMPUTED_VALUE"""),"1762815504663")</f>
        <v>1762815504663</v>
      </c>
      <c r="B4590" s="2"/>
      <c r="C4590" s="2" t="str">
        <v>0</v>
      </c>
      <c r="D4590" s="2"/>
      <c r="F4590" s="2" t="str">
        <v>0</v>
      </c>
      <c r="I4590" s="3" t="str">
        <f ca="1">IFERROR(__xludf.DUMMYFUNCTION("""COMPUTED_VALUE"""),"Bùi Minh Phương")</f>
        <v>Bùi Minh Phương</v>
      </c>
      <c r="J4590" s="3" t="str">
        <f ca="1">IFERROR(__xludf.DUMMYFUNCTION("""COMPUTED_VALUE"""),"0989688810")</f>
        <v>0989688810</v>
      </c>
      <c r="K4590" s="2" t="str">
        <f ca="1">IFERROR(__xludf.DUMMYFUNCTION("""COMPUTED_VALUE"""),"1762815504663")</f>
        <v>1762815504663</v>
      </c>
    </row>
    <row r="4591" spans="1:11" ht="12.45">
      <c r="A4591" s="2" t="str">
        <f ca="1">IFERROR(__xludf.DUMMYFUNCTION("""COMPUTED_VALUE"""),"1762815539675")</f>
        <v>1762815539675</v>
      </c>
      <c r="B4591" s="2"/>
      <c r="C4591" s="2" t="str">
        <v>0</v>
      </c>
      <c r="D4591" s="2"/>
      <c r="F4591" s="2" t="str">
        <v>0</v>
      </c>
      <c r="I4591" s="3" t="str">
        <f ca="1">IFERROR(__xludf.DUMMYFUNCTION("""COMPUTED_VALUE"""),"Cao Đình Hiếu")</f>
        <v>Cao Đình Hiếu</v>
      </c>
      <c r="J4591" s="3" t="str">
        <f ca="1">IFERROR(__xludf.DUMMYFUNCTION("""COMPUTED_VALUE"""),"0813920368")</f>
        <v>0813920368</v>
      </c>
      <c r="K4591" s="2" t="str">
        <f ca="1">IFERROR(__xludf.DUMMYFUNCTION("""COMPUTED_VALUE"""),"1762815539675")</f>
        <v>1762815539675</v>
      </c>
    </row>
    <row r="4592" spans="1:11" ht="12.45">
      <c r="A4592" s="2" t="str">
        <f ca="1">IFERROR(__xludf.DUMMYFUNCTION("""COMPUTED_VALUE"""),"1762815585058")</f>
        <v>1762815585058</v>
      </c>
      <c r="B4592" s="2"/>
      <c r="C4592" s="2" t="str">
        <v>0</v>
      </c>
      <c r="D4592" s="2"/>
      <c r="F4592" s="2" t="str">
        <v>0</v>
      </c>
      <c r="I4592" s="3" t="str">
        <f ca="1">IFERROR(__xludf.DUMMYFUNCTION("""COMPUTED_VALUE"""),"Nguyễn Đức Minh")</f>
        <v>Nguyễn Đức Minh</v>
      </c>
      <c r="J4592" s="3" t="str">
        <f ca="1">IFERROR(__xludf.DUMMYFUNCTION("""COMPUTED_VALUE"""),"0819733819")</f>
        <v>0819733819</v>
      </c>
      <c r="K4592" s="2" t="str">
        <f ca="1">IFERROR(__xludf.DUMMYFUNCTION("""COMPUTED_VALUE"""),"1762815585058")</f>
        <v>1762815585058</v>
      </c>
    </row>
    <row r="4593" spans="1:11" ht="12.45">
      <c r="A4593" s="2" t="str">
        <f ca="1">IFERROR(__xludf.DUMMYFUNCTION("""COMPUTED_VALUE"""),"1740104508072")</f>
        <v>1740104508072</v>
      </c>
      <c r="B4593" s="2"/>
      <c r="C4593" s="2" t="str">
        <v>0</v>
      </c>
      <c r="D4593" s="2"/>
      <c r="F4593" s="2" t="str">
        <v>0</v>
      </c>
      <c r="I4593" s="3" t="str">
        <f ca="1">IFERROR(__xludf.DUMMYFUNCTION("""COMPUTED_VALUE"""),"Vũ thị yến vy")</f>
        <v>Vũ thị yến vy</v>
      </c>
      <c r="J4593" s="3" t="str">
        <f ca="1">IFERROR(__xludf.DUMMYFUNCTION("""COMPUTED_VALUE"""),"0337418923")</f>
        <v>0337418923</v>
      </c>
      <c r="K4593" s="2" t="str">
        <f ca="1">IFERROR(__xludf.DUMMYFUNCTION("""COMPUTED_VALUE"""),"1740104508072")</f>
        <v>1740104508072</v>
      </c>
    </row>
    <row r="4594" spans="1:11" ht="12.45">
      <c r="A4594" s="2" t="str">
        <f ca="1">IFERROR(__xludf.DUMMYFUNCTION("""COMPUTED_VALUE"""),"1762815700134")</f>
        <v>1762815700134</v>
      </c>
      <c r="B4594" s="2"/>
      <c r="C4594" s="2" t="str">
        <v>0</v>
      </c>
      <c r="D4594" s="2"/>
      <c r="F4594" s="2" t="str">
        <v>0</v>
      </c>
      <c r="I4594" s="3" t="str">
        <f ca="1">IFERROR(__xludf.DUMMYFUNCTION("""COMPUTED_VALUE"""),"Hồ Thị Mỹ Hằng ")</f>
        <v xml:space="preserve">Hồ Thị Mỹ Hằng </v>
      </c>
      <c r="J4594" s="3" t="str">
        <f ca="1">IFERROR(__xludf.DUMMYFUNCTION("""COMPUTED_VALUE"""),"0385098359")</f>
        <v>0385098359</v>
      </c>
      <c r="K4594" s="2" t="str">
        <f ca="1">IFERROR(__xludf.DUMMYFUNCTION("""COMPUTED_VALUE"""),"1762815700134")</f>
        <v>1762815700134</v>
      </c>
    </row>
    <row r="4595" spans="1:11" ht="12.45">
      <c r="A4595" s="2" t="str">
        <f ca="1">IFERROR(__xludf.DUMMYFUNCTION("""COMPUTED_VALUE"""),"1762815752785")</f>
        <v>1762815752785</v>
      </c>
      <c r="B4595" s="2"/>
      <c r="C4595" s="2" t="str">
        <v>0</v>
      </c>
      <c r="D4595" s="2"/>
      <c r="F4595" s="2" t="str">
        <v>0</v>
      </c>
      <c r="I4595" s="3" t="str">
        <f ca="1">IFERROR(__xludf.DUMMYFUNCTION("""COMPUTED_VALUE"""),"Phan Ng Phương Uyên")</f>
        <v>Phan Ng Phương Uyên</v>
      </c>
      <c r="J4595" s="3" t="str">
        <f ca="1">IFERROR(__xludf.DUMMYFUNCTION("""COMPUTED_VALUE"""),"0948777569")</f>
        <v>0948777569</v>
      </c>
      <c r="K4595" s="2" t="str">
        <f ca="1">IFERROR(__xludf.DUMMYFUNCTION("""COMPUTED_VALUE"""),"1762815752785")</f>
        <v>1762815752785</v>
      </c>
    </row>
    <row r="4596" spans="1:11" ht="12.45">
      <c r="A4596" s="2" t="str">
        <f ca="1">IFERROR(__xludf.DUMMYFUNCTION("""COMPUTED_VALUE"""),"1762815796125")</f>
        <v>1762815796125</v>
      </c>
      <c r="B4596" s="2"/>
      <c r="C4596" s="2" t="str">
        <v>0</v>
      </c>
      <c r="D4596" s="2"/>
      <c r="F4596" s="2" t="str">
        <v>0</v>
      </c>
      <c r="I4596" s="3" t="str">
        <f ca="1">IFERROR(__xludf.DUMMYFUNCTION("""COMPUTED_VALUE"""),"Đặng Lê Khánh Như ")</f>
        <v xml:space="preserve">Đặng Lê Khánh Như </v>
      </c>
      <c r="J4596" s="3" t="str">
        <f ca="1">IFERROR(__xludf.DUMMYFUNCTION("""COMPUTED_VALUE"""),"0392403801")</f>
        <v>0392403801</v>
      </c>
      <c r="K4596" s="2" t="str">
        <f ca="1">IFERROR(__xludf.DUMMYFUNCTION("""COMPUTED_VALUE"""),"1762815796125")</f>
        <v>1762815796125</v>
      </c>
    </row>
    <row r="4597" spans="1:11" ht="12.45">
      <c r="A4597" s="2" t="str">
        <f ca="1">IFERROR(__xludf.DUMMYFUNCTION("""COMPUTED_VALUE"""),"1762815840058")</f>
        <v>1762815840058</v>
      </c>
      <c r="B4597" s="2"/>
      <c r="C4597" s="2" t="str">
        <v>0</v>
      </c>
      <c r="D4597" s="2"/>
      <c r="F4597" s="2" t="str">
        <v>0</v>
      </c>
      <c r="I4597" s="3" t="str">
        <f ca="1">IFERROR(__xludf.DUMMYFUNCTION("""COMPUTED_VALUE"""),"Mai Hồng Quyên")</f>
        <v>Mai Hồng Quyên</v>
      </c>
      <c r="J4597" s="3" t="str">
        <f ca="1">IFERROR(__xludf.DUMMYFUNCTION("""COMPUTED_VALUE"""),"0865196786")</f>
        <v>0865196786</v>
      </c>
      <c r="K4597" s="2" t="str">
        <f ca="1">IFERROR(__xludf.DUMMYFUNCTION("""COMPUTED_VALUE"""),"1762815840058")</f>
        <v>1762815840058</v>
      </c>
    </row>
    <row r="4598" spans="1:11" ht="12.45">
      <c r="A4598" s="2" t="str">
        <f ca="1">IFERROR(__xludf.DUMMYFUNCTION("""COMPUTED_VALUE"""),"1762815884789")</f>
        <v>1762815884789</v>
      </c>
      <c r="B4598" s="2"/>
      <c r="C4598" s="2" t="str">
        <v>0</v>
      </c>
      <c r="D4598" s="2"/>
      <c r="F4598" s="2" t="str">
        <v>0</v>
      </c>
      <c r="I4598" s="3" t="str">
        <f ca="1">IFERROR(__xludf.DUMMYFUNCTION("""COMPUTED_VALUE"""),"Trần Lê Hà Phương")</f>
        <v>Trần Lê Hà Phương</v>
      </c>
      <c r="J4598" s="3" t="str">
        <f ca="1">IFERROR(__xludf.DUMMYFUNCTION("""COMPUTED_VALUE"""),"0388211202")</f>
        <v>0388211202</v>
      </c>
      <c r="K4598" s="2" t="str">
        <f ca="1">IFERROR(__xludf.DUMMYFUNCTION("""COMPUTED_VALUE"""),"1762815884789")</f>
        <v>1762815884789</v>
      </c>
    </row>
    <row r="4599" spans="1:11" ht="12.45">
      <c r="A4599" s="2" t="str">
        <f ca="1">IFERROR(__xludf.DUMMYFUNCTION("""COMPUTED_VALUE"""),"1762815911947")</f>
        <v>1762815911947</v>
      </c>
      <c r="B4599" s="2"/>
      <c r="C4599" s="2" t="str">
        <v>0</v>
      </c>
      <c r="D4599" s="2"/>
      <c r="F4599" s="2" t="str">
        <v>0</v>
      </c>
      <c r="I4599" s="3" t="str">
        <f ca="1">IFERROR(__xludf.DUMMYFUNCTION("""COMPUTED_VALUE"""),"Tống Thị Thuý Quỳnh")</f>
        <v>Tống Thị Thuý Quỳnh</v>
      </c>
      <c r="J4599" s="3" t="str">
        <f ca="1">IFERROR(__xludf.DUMMYFUNCTION("""COMPUTED_VALUE"""),"0927845860")</f>
        <v>0927845860</v>
      </c>
      <c r="K4599" s="2" t="str">
        <f ca="1">IFERROR(__xludf.DUMMYFUNCTION("""COMPUTED_VALUE"""),"1762815911947")</f>
        <v>1762815911947</v>
      </c>
    </row>
    <row r="4600" spans="1:11" ht="12.45">
      <c r="A4600" s="2" t="str">
        <f ca="1">IFERROR(__xludf.DUMMYFUNCTION("""COMPUTED_VALUE"""),"1762815952497")</f>
        <v>1762815952497</v>
      </c>
      <c r="B4600" s="2"/>
      <c r="C4600" s="2" t="str">
        <v>0</v>
      </c>
      <c r="D4600" s="2"/>
      <c r="F4600" s="2" t="str">
        <v>0</v>
      </c>
      <c r="I4600" s="3" t="str">
        <f ca="1">IFERROR(__xludf.DUMMYFUNCTION("""COMPUTED_VALUE"""),"Trịnh Hoàng Diễm Quỳnh ")</f>
        <v xml:space="preserve">Trịnh Hoàng Diễm Quỳnh </v>
      </c>
      <c r="J4600" s="3" t="str">
        <f ca="1">IFERROR(__xludf.DUMMYFUNCTION("""COMPUTED_VALUE"""),"0399182063")</f>
        <v>0399182063</v>
      </c>
      <c r="K4600" s="2" t="str">
        <f ca="1">IFERROR(__xludf.DUMMYFUNCTION("""COMPUTED_VALUE"""),"1762815952497")</f>
        <v>1762815952497</v>
      </c>
    </row>
    <row r="4601" spans="1:11" ht="12.45">
      <c r="A4601" s="2" t="str">
        <f ca="1">IFERROR(__xludf.DUMMYFUNCTION("""COMPUTED_VALUE"""),"1762815996277")</f>
        <v>1762815996277</v>
      </c>
      <c r="B4601" s="2"/>
      <c r="C4601" s="2" t="str">
        <v>0</v>
      </c>
      <c r="D4601" s="2"/>
      <c r="F4601" s="2" t="str">
        <v>0</v>
      </c>
      <c r="I4601" s="3" t="str">
        <f ca="1">IFERROR(__xludf.DUMMYFUNCTION("""COMPUTED_VALUE"""),"Triệu Thu Diệu")</f>
        <v>Triệu Thu Diệu</v>
      </c>
      <c r="J4601" s="3" t="str">
        <f ca="1">IFERROR(__xludf.DUMMYFUNCTION("""COMPUTED_VALUE"""),"0866454959")</f>
        <v>0866454959</v>
      </c>
      <c r="K4601" s="2" t="str">
        <f ca="1">IFERROR(__xludf.DUMMYFUNCTION("""COMPUTED_VALUE"""),"1762815996277")</f>
        <v>1762815996277</v>
      </c>
    </row>
    <row r="4602" spans="1:11" ht="12.45">
      <c r="A4602" s="2" t="str">
        <f ca="1">IFERROR(__xludf.DUMMYFUNCTION("""COMPUTED_VALUE"""),"1762816025019")</f>
        <v>1762816025019</v>
      </c>
      <c r="B4602" s="2"/>
      <c r="C4602" s="2" t="str">
        <v>0</v>
      </c>
      <c r="D4602" s="2"/>
      <c r="F4602" s="2" t="str">
        <v>0</v>
      </c>
      <c r="I4602" s="3" t="str">
        <f ca="1">IFERROR(__xludf.DUMMYFUNCTION("""COMPUTED_VALUE"""),"Lê Thị Phương Vy")</f>
        <v>Lê Thị Phương Vy</v>
      </c>
      <c r="J4602" s="3" t="str">
        <f ca="1">IFERROR(__xludf.DUMMYFUNCTION("""COMPUTED_VALUE"""),"0916552505")</f>
        <v>0916552505</v>
      </c>
      <c r="K4602" s="2" t="str">
        <f ca="1">IFERROR(__xludf.DUMMYFUNCTION("""COMPUTED_VALUE"""),"1762816025019")</f>
        <v>1762816025019</v>
      </c>
    </row>
    <row r="4603" spans="1:11" ht="12.45">
      <c r="A4603" s="2" t="str">
        <f ca="1">IFERROR(__xludf.DUMMYFUNCTION("""COMPUTED_VALUE"""),"1762816056583")</f>
        <v>1762816056583</v>
      </c>
      <c r="B4603" s="2"/>
      <c r="C4603" s="2" t="str">
        <v>0</v>
      </c>
      <c r="D4603" s="2"/>
      <c r="F4603" s="2" t="str">
        <v>0</v>
      </c>
      <c r="I4603" s="3" t="str">
        <f ca="1">IFERROR(__xludf.DUMMYFUNCTION("""COMPUTED_VALUE"""),"Chu Đức Tài")</f>
        <v>Chu Đức Tài</v>
      </c>
      <c r="J4603" s="3" t="str">
        <f ca="1">IFERROR(__xludf.DUMMYFUNCTION("""COMPUTED_VALUE"""),"0357186728")</f>
        <v>0357186728</v>
      </c>
      <c r="K4603" s="2" t="str">
        <f ca="1">IFERROR(__xludf.DUMMYFUNCTION("""COMPUTED_VALUE"""),"1762816056583")</f>
        <v>1762816056583</v>
      </c>
    </row>
    <row r="4604" spans="1:11" ht="12.45">
      <c r="A4604" s="2" t="str">
        <f ca="1">IFERROR(__xludf.DUMMYFUNCTION("""COMPUTED_VALUE"""),"1762816095377")</f>
        <v>1762816095377</v>
      </c>
      <c r="B4604" s="2"/>
      <c r="C4604" s="2" t="str">
        <v>0</v>
      </c>
      <c r="D4604" s="2"/>
      <c r="F4604" s="2" t="str">
        <v>0</v>
      </c>
      <c r="I4604" s="3" t="str">
        <f ca="1">IFERROR(__xludf.DUMMYFUNCTION("""COMPUTED_VALUE"""),"Trần Thanh Hà")</f>
        <v>Trần Thanh Hà</v>
      </c>
      <c r="J4604" s="3" t="str">
        <f ca="1">IFERROR(__xludf.DUMMYFUNCTION("""COMPUTED_VALUE"""),"0816717898")</f>
        <v>0816717898</v>
      </c>
      <c r="K4604" s="2" t="str">
        <f ca="1">IFERROR(__xludf.DUMMYFUNCTION("""COMPUTED_VALUE"""),"1762816095377")</f>
        <v>1762816095377</v>
      </c>
    </row>
    <row r="4605" spans="1:11" ht="12.45">
      <c r="A4605" s="2" t="str">
        <f ca="1">IFERROR(__xludf.DUMMYFUNCTION("""COMPUTED_VALUE"""),"1762816143879")</f>
        <v>1762816143879</v>
      </c>
      <c r="B4605" s="2"/>
      <c r="C4605" s="2" t="str">
        <v>0</v>
      </c>
      <c r="D4605" s="2"/>
      <c r="F4605" s="2" t="str">
        <v>0</v>
      </c>
      <c r="I4605" s="3" t="str">
        <f ca="1">IFERROR(__xludf.DUMMYFUNCTION("""COMPUTED_VALUE"""),"Trương Thảo Hương")</f>
        <v>Trương Thảo Hương</v>
      </c>
      <c r="J4605" s="3" t="str">
        <f ca="1">IFERROR(__xludf.DUMMYFUNCTION("""COMPUTED_VALUE"""),"0363632007")</f>
        <v>0363632007</v>
      </c>
      <c r="K4605" s="2" t="str">
        <f ca="1">IFERROR(__xludf.DUMMYFUNCTION("""COMPUTED_VALUE"""),"1762816143879")</f>
        <v>1762816143879</v>
      </c>
    </row>
    <row r="4606" spans="1:11" ht="12.45">
      <c r="A4606" s="2" t="str">
        <f ca="1">IFERROR(__xludf.DUMMYFUNCTION("""COMPUTED_VALUE"""),"1762816177911")</f>
        <v>1762816177911</v>
      </c>
      <c r="B4606" s="2"/>
      <c r="C4606" s="2" t="str">
        <v>0</v>
      </c>
      <c r="D4606" s="2"/>
      <c r="F4606" s="2" t="str">
        <v>0</v>
      </c>
      <c r="I4606" s="3" t="str">
        <f ca="1">IFERROR(__xludf.DUMMYFUNCTION("""COMPUTED_VALUE"""),"Nguyễn Ngọc Ánh")</f>
        <v>Nguyễn Ngọc Ánh</v>
      </c>
      <c r="J4606" s="3" t="str">
        <f ca="1">IFERROR(__xludf.DUMMYFUNCTION("""COMPUTED_VALUE"""),"0362664159")</f>
        <v>0362664159</v>
      </c>
      <c r="K4606" s="2" t="str">
        <f ca="1">IFERROR(__xludf.DUMMYFUNCTION("""COMPUTED_VALUE"""),"1762816177911")</f>
        <v>1762816177911</v>
      </c>
    </row>
    <row r="4607" spans="1:11" ht="12.45">
      <c r="A4607" s="2" t="str">
        <f ca="1">IFERROR(__xludf.DUMMYFUNCTION("""COMPUTED_VALUE"""),"1762816231642")</f>
        <v>1762816231642</v>
      </c>
      <c r="B4607" s="2"/>
      <c r="C4607" s="2" t="str">
        <v>0</v>
      </c>
      <c r="D4607" s="2"/>
      <c r="F4607" s="2" t="str">
        <v>0</v>
      </c>
      <c r="I4607" s="3" t="str">
        <f ca="1">IFERROR(__xludf.DUMMYFUNCTION("""COMPUTED_VALUE"""),"nguyễn thị ngọc huyền")</f>
        <v>nguyễn thị ngọc huyền</v>
      </c>
      <c r="J4607" s="3" t="str">
        <f ca="1">IFERROR(__xludf.DUMMYFUNCTION("""COMPUTED_VALUE"""),"0345367998")</f>
        <v>0345367998</v>
      </c>
      <c r="K4607" s="2" t="str">
        <f ca="1">IFERROR(__xludf.DUMMYFUNCTION("""COMPUTED_VALUE"""),"1762816231642")</f>
        <v>1762816231642</v>
      </c>
    </row>
    <row r="4608" spans="1:11" ht="12.45">
      <c r="A4608" s="2" t="str">
        <f ca="1">IFERROR(__xludf.DUMMYFUNCTION("""COMPUTED_VALUE"""),"1762816277611")</f>
        <v>1762816277611</v>
      </c>
      <c r="B4608" s="2"/>
      <c r="C4608" s="2" t="str">
        <v>0</v>
      </c>
      <c r="D4608" s="2"/>
      <c r="F4608" s="2" t="str">
        <v>0</v>
      </c>
      <c r="I4608" s="3" t="str">
        <f ca="1">IFERROR(__xludf.DUMMYFUNCTION("""COMPUTED_VALUE"""),"Nguyễn Phương Chi")</f>
        <v>Nguyễn Phương Chi</v>
      </c>
      <c r="J4608" s="3" t="str">
        <f ca="1">IFERROR(__xludf.DUMMYFUNCTION("""COMPUTED_VALUE"""),"0364594030")</f>
        <v>0364594030</v>
      </c>
      <c r="K4608" s="2" t="str">
        <f ca="1">IFERROR(__xludf.DUMMYFUNCTION("""COMPUTED_VALUE"""),"1762816277611")</f>
        <v>1762816277611</v>
      </c>
    </row>
    <row r="4609" spans="1:11" ht="12.45">
      <c r="A4609" s="2" t="str">
        <f ca="1">IFERROR(__xludf.DUMMYFUNCTION("""COMPUTED_VALUE"""),"1762816313058")</f>
        <v>1762816313058</v>
      </c>
      <c r="B4609" s="2"/>
      <c r="C4609" s="2" t="str">
        <v>0</v>
      </c>
      <c r="D4609" s="2"/>
      <c r="F4609" s="2" t="str">
        <v>0</v>
      </c>
      <c r="I4609" s="3" t="str">
        <f ca="1">IFERROR(__xludf.DUMMYFUNCTION("""COMPUTED_VALUE"""),"Lò Đinh Phương Thảo")</f>
        <v>Lò Đinh Phương Thảo</v>
      </c>
      <c r="J4609" s="3" t="str">
        <f ca="1">IFERROR(__xludf.DUMMYFUNCTION("""COMPUTED_VALUE"""),"0932237997")</f>
        <v>0932237997</v>
      </c>
      <c r="K4609" s="2" t="str">
        <f ca="1">IFERROR(__xludf.DUMMYFUNCTION("""COMPUTED_VALUE"""),"1762816313058")</f>
        <v>1762816313058</v>
      </c>
    </row>
    <row r="4610" spans="1:11" ht="12.45">
      <c r="A4610" s="2" t="str">
        <f ca="1">IFERROR(__xludf.DUMMYFUNCTION("""COMPUTED_VALUE"""),"1762816344037")</f>
        <v>1762816344037</v>
      </c>
      <c r="B4610" s="2"/>
      <c r="C4610" s="2" t="str">
        <v>0</v>
      </c>
      <c r="D4610" s="2"/>
      <c r="F4610" s="2" t="str">
        <v>0</v>
      </c>
      <c r="I4610" s="3" t="str">
        <f ca="1">IFERROR(__xludf.DUMMYFUNCTION("""COMPUTED_VALUE"""),"Thạch ngọc anh thư")</f>
        <v>Thạch ngọc anh thư</v>
      </c>
      <c r="J4610" s="3" t="str">
        <f ca="1">IFERROR(__xludf.DUMMYFUNCTION("""COMPUTED_VALUE"""),"0384323588")</f>
        <v>0384323588</v>
      </c>
      <c r="K4610" s="2" t="str">
        <f ca="1">IFERROR(__xludf.DUMMYFUNCTION("""COMPUTED_VALUE"""),"1762816344037")</f>
        <v>1762816344037</v>
      </c>
    </row>
    <row r="4611" spans="1:11" ht="12.45">
      <c r="A4611" s="2" t="str">
        <f ca="1">IFERROR(__xludf.DUMMYFUNCTION("""COMPUTED_VALUE"""),"1762816394256")</f>
        <v>1762816394256</v>
      </c>
      <c r="B4611" s="2"/>
      <c r="C4611" s="2" t="str">
        <v>0</v>
      </c>
      <c r="D4611" s="2"/>
      <c r="F4611" s="2" t="str">
        <v>0</v>
      </c>
      <c r="I4611" s="3" t="str">
        <f ca="1">IFERROR(__xludf.DUMMYFUNCTION("""COMPUTED_VALUE"""),"Nguyễn Hà Khánh Linh")</f>
        <v>Nguyễn Hà Khánh Linh</v>
      </c>
      <c r="J4611" s="3" t="str">
        <f ca="1">IFERROR(__xludf.DUMMYFUNCTION("""COMPUTED_VALUE"""),"0396995876")</f>
        <v>0396995876</v>
      </c>
      <c r="K4611" s="2" t="str">
        <f ca="1">IFERROR(__xludf.DUMMYFUNCTION("""COMPUTED_VALUE"""),"1762816394256")</f>
        <v>1762816394256</v>
      </c>
    </row>
    <row r="4612" spans="1:11" ht="12.45">
      <c r="A4612" s="2" t="str">
        <f ca="1">IFERROR(__xludf.DUMMYFUNCTION("""COMPUTED_VALUE"""),"1762816435540")</f>
        <v>1762816435540</v>
      </c>
      <c r="B4612" s="2"/>
      <c r="C4612" s="2" t="str">
        <v>0</v>
      </c>
      <c r="D4612" s="2"/>
      <c r="F4612" s="2" t="str">
        <v>0</v>
      </c>
      <c r="I4612" s="3" t="str">
        <f ca="1">IFERROR(__xludf.DUMMYFUNCTION("""COMPUTED_VALUE"""),"Phạm Như Băng")</f>
        <v>Phạm Như Băng</v>
      </c>
      <c r="J4612" s="3" t="str">
        <f ca="1">IFERROR(__xludf.DUMMYFUNCTION("""COMPUTED_VALUE"""),"0327938496")</f>
        <v>0327938496</v>
      </c>
      <c r="K4612" s="2" t="str">
        <f ca="1">IFERROR(__xludf.DUMMYFUNCTION("""COMPUTED_VALUE"""),"1762816435540")</f>
        <v>1762816435540</v>
      </c>
    </row>
    <row r="4613" spans="1:11" ht="12.45">
      <c r="A4613" s="2" t="str">
        <f ca="1">IFERROR(__xludf.DUMMYFUNCTION("""COMPUTED_VALUE"""),"1762816469544")</f>
        <v>1762816469544</v>
      </c>
      <c r="B4613" s="2"/>
      <c r="C4613" s="2" t="str">
        <v>0</v>
      </c>
      <c r="D4613" s="2"/>
      <c r="F4613" s="2" t="str">
        <v>0</v>
      </c>
      <c r="I4613" s="3" t="str">
        <f ca="1">IFERROR(__xludf.DUMMYFUNCTION("""COMPUTED_VALUE"""),"Đoàn Thảo Quyên")</f>
        <v>Đoàn Thảo Quyên</v>
      </c>
      <c r="J4613" s="3" t="str">
        <f ca="1">IFERROR(__xludf.DUMMYFUNCTION("""COMPUTED_VALUE"""),"0769565902")</f>
        <v>0769565902</v>
      </c>
      <c r="K4613" s="2" t="str">
        <f ca="1">IFERROR(__xludf.DUMMYFUNCTION("""COMPUTED_VALUE"""),"1762816469544")</f>
        <v>1762816469544</v>
      </c>
    </row>
    <row r="4614" spans="1:11" ht="12.45">
      <c r="A4614" s="2" t="str">
        <f ca="1">IFERROR(__xludf.DUMMYFUNCTION("""COMPUTED_VALUE"""),"1762816514563")</f>
        <v>1762816514563</v>
      </c>
      <c r="B4614" s="2"/>
      <c r="C4614" s="2" t="str">
        <v>0</v>
      </c>
      <c r="D4614" s="2"/>
      <c r="F4614" s="2" t="str">
        <v>0</v>
      </c>
      <c r="I4614" s="3" t="str">
        <f ca="1">IFERROR(__xludf.DUMMYFUNCTION("""COMPUTED_VALUE"""),"Cao Quỳnh Chi ")</f>
        <v xml:space="preserve">Cao Quỳnh Chi </v>
      </c>
      <c r="J4614" s="3" t="str">
        <f ca="1">IFERROR(__xludf.DUMMYFUNCTION("""COMPUTED_VALUE"""),"0971250407")</f>
        <v>0971250407</v>
      </c>
      <c r="K4614" s="2" t="str">
        <f ca="1">IFERROR(__xludf.DUMMYFUNCTION("""COMPUTED_VALUE"""),"1762816514563")</f>
        <v>1762816514563</v>
      </c>
    </row>
    <row r="4615" spans="1:11" ht="12.45">
      <c r="A4615" s="2" t="str">
        <f ca="1">IFERROR(__xludf.DUMMYFUNCTION("""COMPUTED_VALUE"""),"1762816551341")</f>
        <v>1762816551341</v>
      </c>
      <c r="B4615" s="2"/>
      <c r="C4615" s="2" t="str">
        <v>0</v>
      </c>
      <c r="D4615" s="2"/>
      <c r="F4615" s="2" t="str">
        <v>0</v>
      </c>
      <c r="I4615" s="3" t="str">
        <f ca="1">IFERROR(__xludf.DUMMYFUNCTION("""COMPUTED_VALUE"""),"Võ Nguyễn Thảo Duyên")</f>
        <v>Võ Nguyễn Thảo Duyên</v>
      </c>
      <c r="J4615" s="3" t="str">
        <f ca="1">IFERROR(__xludf.DUMMYFUNCTION("""COMPUTED_VALUE"""),"0862476984")</f>
        <v>0862476984</v>
      </c>
      <c r="K4615" s="2" t="str">
        <f ca="1">IFERROR(__xludf.DUMMYFUNCTION("""COMPUTED_VALUE"""),"1762816551341")</f>
        <v>1762816551341</v>
      </c>
    </row>
    <row r="4616" spans="1:11" ht="12.45">
      <c r="A4616" s="2" t="str">
        <f ca="1">IFERROR(__xludf.DUMMYFUNCTION("""COMPUTED_VALUE"""),"1762816584763")</f>
        <v>1762816584763</v>
      </c>
      <c r="B4616" s="2"/>
      <c r="C4616" s="2" t="str">
        <v>0</v>
      </c>
      <c r="D4616" s="2"/>
      <c r="F4616" s="2" t="str">
        <v>0</v>
      </c>
      <c r="I4616" s="3" t="str">
        <f ca="1">IFERROR(__xludf.DUMMYFUNCTION("""COMPUTED_VALUE"""),"Trần Thị Tố Uyên")</f>
        <v>Trần Thị Tố Uyên</v>
      </c>
      <c r="J4616" s="3" t="str">
        <f ca="1">IFERROR(__xludf.DUMMYFUNCTION("""COMPUTED_VALUE"""),"0972103365")</f>
        <v>0972103365</v>
      </c>
      <c r="K4616" s="2" t="str">
        <f ca="1">IFERROR(__xludf.DUMMYFUNCTION("""COMPUTED_VALUE"""),"1762816584763")</f>
        <v>1762816584763</v>
      </c>
    </row>
    <row r="4617" spans="1:11" ht="12.45">
      <c r="A4617" s="2" t="str">
        <f ca="1">IFERROR(__xludf.DUMMYFUNCTION("""COMPUTED_VALUE"""),"1762816613972")</f>
        <v>1762816613972</v>
      </c>
      <c r="B4617" s="2"/>
      <c r="C4617" s="2" t="str">
        <v>0</v>
      </c>
      <c r="D4617" s="2"/>
      <c r="F4617" s="2" t="str">
        <v>0</v>
      </c>
      <c r="I4617" s="3" t="str">
        <f ca="1">IFERROR(__xludf.DUMMYFUNCTION("""COMPUTED_VALUE"""),"Huỳnh Gia Hân")</f>
        <v>Huỳnh Gia Hân</v>
      </c>
      <c r="J4617" s="3" t="str">
        <f ca="1">IFERROR(__xludf.DUMMYFUNCTION("""COMPUTED_VALUE"""),"0918277631")</f>
        <v>0918277631</v>
      </c>
      <c r="K4617" s="2" t="str">
        <f ca="1">IFERROR(__xludf.DUMMYFUNCTION("""COMPUTED_VALUE"""),"1762816613972")</f>
        <v>1762816613972</v>
      </c>
    </row>
    <row r="4618" spans="1:11" ht="12.45">
      <c r="A4618" s="2" t="str">
        <f ca="1">IFERROR(__xludf.DUMMYFUNCTION("""COMPUTED_VALUE"""),"1762816654848")</f>
        <v>1762816654848</v>
      </c>
      <c r="B4618" s="2"/>
      <c r="C4618" s="2" t="str">
        <v>0</v>
      </c>
      <c r="D4618" s="2"/>
      <c r="F4618" s="2" t="str">
        <v>0</v>
      </c>
      <c r="I4618" s="3" t="str">
        <f ca="1">IFERROR(__xludf.DUMMYFUNCTION("""COMPUTED_VALUE"""),"Lê Thị Thùy Linh")</f>
        <v>Lê Thị Thùy Linh</v>
      </c>
      <c r="J4618" s="3" t="str">
        <f ca="1">IFERROR(__xludf.DUMMYFUNCTION("""COMPUTED_VALUE"""),"0982017851")</f>
        <v>0982017851</v>
      </c>
      <c r="K4618" s="2" t="str">
        <f ca="1">IFERROR(__xludf.DUMMYFUNCTION("""COMPUTED_VALUE"""),"1762816654848")</f>
        <v>1762816654848</v>
      </c>
    </row>
    <row r="4619" spans="1:11" ht="12.45">
      <c r="A4619" s="2" t="str">
        <f ca="1">IFERROR(__xludf.DUMMYFUNCTION("""COMPUTED_VALUE"""),"1762816690801")</f>
        <v>1762816690801</v>
      </c>
      <c r="B4619" s="2"/>
      <c r="C4619" s="2" t="str">
        <v>0</v>
      </c>
      <c r="D4619" s="2"/>
      <c r="F4619" s="2" t="str">
        <v>0</v>
      </c>
      <c r="I4619" s="3" t="str">
        <f ca="1">IFERROR(__xludf.DUMMYFUNCTION("""COMPUTED_VALUE"""),"Nguyễn Hoàng Dũng")</f>
        <v>Nguyễn Hoàng Dũng</v>
      </c>
      <c r="J4619" s="3" t="str">
        <f ca="1">IFERROR(__xludf.DUMMYFUNCTION("""COMPUTED_VALUE"""),"0865820118")</f>
        <v>0865820118</v>
      </c>
      <c r="K4619" s="2" t="str">
        <f ca="1">IFERROR(__xludf.DUMMYFUNCTION("""COMPUTED_VALUE"""),"1762816690801")</f>
        <v>1762816690801</v>
      </c>
    </row>
    <row r="4620" spans="1:11" ht="12.45">
      <c r="A4620" s="2" t="str">
        <f ca="1">IFERROR(__xludf.DUMMYFUNCTION("""COMPUTED_VALUE"""),"1762816724697")</f>
        <v>1762816724697</v>
      </c>
      <c r="B4620" s="2"/>
      <c r="C4620" s="2" t="str">
        <v>0</v>
      </c>
      <c r="D4620" s="2"/>
      <c r="F4620" s="2" t="str">
        <v>0</v>
      </c>
      <c r="I4620" s="3" t="str">
        <f ca="1">IFERROR(__xludf.DUMMYFUNCTION("""COMPUTED_VALUE"""),"Cao Ngọc Huyền")</f>
        <v>Cao Ngọc Huyền</v>
      </c>
      <c r="J4620" s="3" t="str">
        <f ca="1">IFERROR(__xludf.DUMMYFUNCTION("""COMPUTED_VALUE"""),"0966566429")</f>
        <v>0966566429</v>
      </c>
      <c r="K4620" s="2" t="str">
        <f ca="1">IFERROR(__xludf.DUMMYFUNCTION("""COMPUTED_VALUE"""),"1762816724697")</f>
        <v>1762816724697</v>
      </c>
    </row>
    <row r="4621" spans="1:11" ht="12.45">
      <c r="A4621" s="2" t="str">
        <f ca="1">IFERROR(__xludf.DUMMYFUNCTION("""COMPUTED_VALUE"""),"1762816764266")</f>
        <v>1762816764266</v>
      </c>
      <c r="B4621" s="2"/>
      <c r="C4621" s="2" t="str">
        <v>0</v>
      </c>
      <c r="D4621" s="2"/>
      <c r="F4621" s="2" t="str">
        <v>0</v>
      </c>
      <c r="I4621" s="3" t="str">
        <f ca="1">IFERROR(__xludf.DUMMYFUNCTION("""COMPUTED_VALUE"""),"Lê Phan Hải Yến")</f>
        <v>Lê Phan Hải Yến</v>
      </c>
      <c r="J4621" s="3" t="str">
        <f ca="1">IFERROR(__xludf.DUMMYFUNCTION("""COMPUTED_VALUE"""),"0328059613")</f>
        <v>0328059613</v>
      </c>
      <c r="K4621" s="2" t="str">
        <f ca="1">IFERROR(__xludf.DUMMYFUNCTION("""COMPUTED_VALUE"""),"1762816764266")</f>
        <v>1762816764266</v>
      </c>
    </row>
    <row r="4622" spans="1:11" ht="12.45">
      <c r="A4622" s="2" t="str">
        <f ca="1">IFERROR(__xludf.DUMMYFUNCTION("""COMPUTED_VALUE"""),"1762816798299")</f>
        <v>1762816798299</v>
      </c>
      <c r="B4622" s="2"/>
      <c r="C4622" s="2" t="str">
        <v>0</v>
      </c>
      <c r="D4622" s="2"/>
      <c r="F4622" s="2" t="str">
        <v>0</v>
      </c>
      <c r="I4622" s="3" t="str">
        <f ca="1">IFERROR(__xludf.DUMMYFUNCTION("""COMPUTED_VALUE"""),"Vũ Thị Thương ")</f>
        <v xml:space="preserve">Vũ Thị Thương </v>
      </c>
      <c r="J4622" s="3" t="str">
        <f ca="1">IFERROR(__xludf.DUMMYFUNCTION("""COMPUTED_VALUE"""),"0966996358")</f>
        <v>0966996358</v>
      </c>
      <c r="K4622" s="2" t="str">
        <f ca="1">IFERROR(__xludf.DUMMYFUNCTION("""COMPUTED_VALUE"""),"1762816798299")</f>
        <v>1762816798299</v>
      </c>
    </row>
    <row r="4623" spans="1:11" ht="12.45">
      <c r="A4623" s="2" t="str">
        <f ca="1">IFERROR(__xludf.DUMMYFUNCTION("""COMPUTED_VALUE"""),"1762816836819")</f>
        <v>1762816836819</v>
      </c>
      <c r="B4623" s="2"/>
      <c r="C4623" s="2" t="str">
        <v>0</v>
      </c>
      <c r="D4623" s="2"/>
      <c r="F4623" s="2" t="str">
        <v>0</v>
      </c>
      <c r="I4623" s="3" t="str">
        <f ca="1">IFERROR(__xludf.DUMMYFUNCTION("""COMPUTED_VALUE"""),"lò văn bằng ")</f>
        <v xml:space="preserve">lò văn bằng </v>
      </c>
      <c r="J4623" s="3" t="str">
        <f ca="1">IFERROR(__xludf.DUMMYFUNCTION("""COMPUTED_VALUE"""),"0332747207")</f>
        <v>0332747207</v>
      </c>
      <c r="K4623" s="2" t="str">
        <f ca="1">IFERROR(__xludf.DUMMYFUNCTION("""COMPUTED_VALUE"""),"1762816836819")</f>
        <v>1762816836819</v>
      </c>
    </row>
    <row r="4624" spans="1:11" ht="12.45">
      <c r="A4624" s="2" t="str">
        <f ca="1">IFERROR(__xludf.DUMMYFUNCTION("""COMPUTED_VALUE"""),"1762816866602")</f>
        <v>1762816866602</v>
      </c>
      <c r="B4624" s="2"/>
      <c r="C4624" s="2" t="str">
        <v>0</v>
      </c>
      <c r="D4624" s="2"/>
      <c r="F4624" s="2" t="str">
        <v>0</v>
      </c>
      <c r="I4624" s="3" t="str">
        <f ca="1">IFERROR(__xludf.DUMMYFUNCTION("""COMPUTED_VALUE"""),"Trịnh Minh Anh ")</f>
        <v xml:space="preserve">Trịnh Minh Anh </v>
      </c>
      <c r="J4624" s="3" t="str">
        <f ca="1">IFERROR(__xludf.DUMMYFUNCTION("""COMPUTED_VALUE"""),"0961671851")</f>
        <v>0961671851</v>
      </c>
      <c r="K4624" s="2" t="str">
        <f ca="1">IFERROR(__xludf.DUMMYFUNCTION("""COMPUTED_VALUE"""),"1762816866602")</f>
        <v>1762816866602</v>
      </c>
    </row>
    <row r="4625" spans="1:11" ht="12.45">
      <c r="A4625" s="2" t="str">
        <f ca="1">IFERROR(__xludf.DUMMYFUNCTION("""COMPUTED_VALUE"""),"1762816908940")</f>
        <v>1762816908940</v>
      </c>
      <c r="B4625" s="2"/>
      <c r="C4625" s="2" t="str">
        <v>0</v>
      </c>
      <c r="D4625" s="2"/>
      <c r="F4625" s="2" t="str">
        <v>0</v>
      </c>
      <c r="I4625" s="3" t="str">
        <f ca="1">IFERROR(__xludf.DUMMYFUNCTION("""COMPUTED_VALUE"""),"Lê Nguyễn Trà My")</f>
        <v>Lê Nguyễn Trà My</v>
      </c>
      <c r="J4625" s="3" t="str">
        <f ca="1">IFERROR(__xludf.DUMMYFUNCTION("""COMPUTED_VALUE"""),"0705935247")</f>
        <v>0705935247</v>
      </c>
      <c r="K4625" s="2" t="str">
        <f ca="1">IFERROR(__xludf.DUMMYFUNCTION("""COMPUTED_VALUE"""),"1762816908940")</f>
        <v>1762816908940</v>
      </c>
    </row>
    <row r="4626" spans="1:11" ht="12.45">
      <c r="A4626" s="2" t="str">
        <f ca="1">IFERROR(__xludf.DUMMYFUNCTION("""COMPUTED_VALUE"""),"1762816948443")</f>
        <v>1762816948443</v>
      </c>
      <c r="B4626" s="2"/>
      <c r="C4626" s="2" t="str">
        <v>0</v>
      </c>
      <c r="D4626" s="2"/>
      <c r="F4626" s="2" t="str">
        <v>0</v>
      </c>
      <c r="I4626" s="3" t="str">
        <f ca="1">IFERROR(__xludf.DUMMYFUNCTION("""COMPUTED_VALUE"""),"Phạm Thị Minh Thư")</f>
        <v>Phạm Thị Minh Thư</v>
      </c>
      <c r="J4626" s="3" t="str">
        <f ca="1">IFERROR(__xludf.DUMMYFUNCTION("""COMPUTED_VALUE"""),"0815050999")</f>
        <v>0815050999</v>
      </c>
      <c r="K4626" s="2" t="str">
        <f ca="1">IFERROR(__xludf.DUMMYFUNCTION("""COMPUTED_VALUE"""),"1762816948443")</f>
        <v>1762816948443</v>
      </c>
    </row>
    <row r="4627" spans="1:11" ht="12.45">
      <c r="A4627" s="2" t="str">
        <f ca="1">IFERROR(__xludf.DUMMYFUNCTION("""COMPUTED_VALUE"""),"1762816980586")</f>
        <v>1762816980586</v>
      </c>
      <c r="B4627" s="2"/>
      <c r="C4627" s="2" t="str">
        <v>0</v>
      </c>
      <c r="D4627" s="2"/>
      <c r="F4627" s="2" t="str">
        <v>0</v>
      </c>
      <c r="I4627" s="3" t="str">
        <f ca="1">IFERROR(__xludf.DUMMYFUNCTION("""COMPUTED_VALUE"""),"Lê Thị Minh Nguyệt")</f>
        <v>Lê Thị Minh Nguyệt</v>
      </c>
      <c r="J4627" s="3" t="str">
        <f ca="1">IFERROR(__xludf.DUMMYFUNCTION("""COMPUTED_VALUE"""),"0364045561")</f>
        <v>0364045561</v>
      </c>
      <c r="K4627" s="2" t="str">
        <f ca="1">IFERROR(__xludf.DUMMYFUNCTION("""COMPUTED_VALUE"""),"1762816980586")</f>
        <v>1762816980586</v>
      </c>
    </row>
    <row r="4628" spans="1:11" ht="12.45">
      <c r="A4628" s="2" t="str">
        <f ca="1">IFERROR(__xludf.DUMMYFUNCTION("""COMPUTED_VALUE"""),"1762817022843")</f>
        <v>1762817022843</v>
      </c>
      <c r="B4628" s="2"/>
      <c r="C4628" s="2" t="str">
        <v>0</v>
      </c>
      <c r="D4628" s="2"/>
      <c r="F4628" s="2" t="str">
        <v>0</v>
      </c>
      <c r="I4628" s="3" t="str">
        <f ca="1">IFERROR(__xludf.DUMMYFUNCTION("""COMPUTED_VALUE"""),"nguyễn hà phương ")</f>
        <v xml:space="preserve">nguyễn hà phương </v>
      </c>
      <c r="J4628" s="3" t="str">
        <f ca="1">IFERROR(__xludf.DUMMYFUNCTION("""COMPUTED_VALUE"""),"0389268336")</f>
        <v>0389268336</v>
      </c>
      <c r="K4628" s="2" t="str">
        <f ca="1">IFERROR(__xludf.DUMMYFUNCTION("""COMPUTED_VALUE"""),"1762817022843")</f>
        <v>1762817022843</v>
      </c>
    </row>
    <row r="4629" spans="1:11" ht="12.45">
      <c r="A4629" s="2" t="str">
        <f ca="1">IFERROR(__xludf.DUMMYFUNCTION("""COMPUTED_VALUE"""),"1762817063161")</f>
        <v>1762817063161</v>
      </c>
      <c r="B4629" s="2"/>
      <c r="C4629" s="2" t="str">
        <v>0</v>
      </c>
      <c r="D4629" s="2"/>
      <c r="F4629" s="2" t="str">
        <v>0</v>
      </c>
      <c r="I4629" s="3" t="str">
        <f ca="1">IFERROR(__xludf.DUMMYFUNCTION("""COMPUTED_VALUE"""),"Hoàng Phương Nhi")</f>
        <v>Hoàng Phương Nhi</v>
      </c>
      <c r="J4629" s="3" t="str">
        <f ca="1">IFERROR(__xludf.DUMMYFUNCTION("""COMPUTED_VALUE"""),"0983088140")</f>
        <v>0983088140</v>
      </c>
      <c r="K4629" s="2" t="str">
        <f ca="1">IFERROR(__xludf.DUMMYFUNCTION("""COMPUTED_VALUE"""),"1762817063161")</f>
        <v>1762817063161</v>
      </c>
    </row>
    <row r="4630" spans="1:11" ht="12.45">
      <c r="A4630" s="2" t="str">
        <f ca="1">IFERROR(__xludf.DUMMYFUNCTION("""COMPUTED_VALUE"""),"1762817120017")</f>
        <v>1762817120017</v>
      </c>
      <c r="B4630" s="2"/>
      <c r="C4630" s="2" t="str">
        <v>0</v>
      </c>
      <c r="D4630" s="2"/>
      <c r="F4630" s="2" t="str">
        <v>0</v>
      </c>
      <c r="I4630" s="3" t="str">
        <f ca="1">IFERROR(__xludf.DUMMYFUNCTION("""COMPUTED_VALUE"""),"Đào Vũ Hoàng Anh")</f>
        <v>Đào Vũ Hoàng Anh</v>
      </c>
      <c r="J4630" s="3" t="str">
        <f ca="1">IFERROR(__xludf.DUMMYFUNCTION("""COMPUTED_VALUE"""),"0376341687")</f>
        <v>0376341687</v>
      </c>
      <c r="K4630" s="2" t="str">
        <f ca="1">IFERROR(__xludf.DUMMYFUNCTION("""COMPUTED_VALUE"""),"1762817120017")</f>
        <v>1762817120017</v>
      </c>
    </row>
    <row r="4631" spans="1:11" ht="12.45">
      <c r="A4631" s="2" t="str">
        <f ca="1">IFERROR(__xludf.DUMMYFUNCTION("""COMPUTED_VALUE"""),"1762817172131")</f>
        <v>1762817172131</v>
      </c>
      <c r="B4631" s="2"/>
      <c r="C4631" s="2" t="str">
        <v>0</v>
      </c>
      <c r="D4631" s="2"/>
      <c r="F4631" s="2" t="str">
        <v>0</v>
      </c>
      <c r="I4631" s="3" t="str">
        <f ca="1">IFERROR(__xludf.DUMMYFUNCTION("""COMPUTED_VALUE"""),"Trần Thị Minh Thư")</f>
        <v>Trần Thị Minh Thư</v>
      </c>
      <c r="J4631" s="3" t="str">
        <f ca="1">IFERROR(__xludf.DUMMYFUNCTION("""COMPUTED_VALUE"""),"0915244809")</f>
        <v>0915244809</v>
      </c>
      <c r="K4631" s="2" t="str">
        <f ca="1">IFERROR(__xludf.DUMMYFUNCTION("""COMPUTED_VALUE"""),"1762817172131")</f>
        <v>1762817172131</v>
      </c>
    </row>
    <row r="4632" spans="1:11" ht="12.45">
      <c r="A4632" s="2" t="str">
        <f ca="1">IFERROR(__xludf.DUMMYFUNCTION("""COMPUTED_VALUE"""),"1762817210791")</f>
        <v>1762817210791</v>
      </c>
      <c r="B4632" s="2"/>
      <c r="C4632" s="2" t="str">
        <v>0</v>
      </c>
      <c r="D4632" s="2"/>
      <c r="F4632" s="2" t="str">
        <v>0</v>
      </c>
      <c r="I4632" s="3" t="str">
        <f ca="1">IFERROR(__xludf.DUMMYFUNCTION("""COMPUTED_VALUE"""),"Thái Phan Hoàng Oanh")</f>
        <v>Thái Phan Hoàng Oanh</v>
      </c>
      <c r="J4632" s="3" t="str">
        <f ca="1">IFERROR(__xludf.DUMMYFUNCTION("""COMPUTED_VALUE"""),"0825899932")</f>
        <v>0825899932</v>
      </c>
      <c r="K4632" s="2" t="str">
        <f ca="1">IFERROR(__xludf.DUMMYFUNCTION("""COMPUTED_VALUE"""),"1762817210791")</f>
        <v>1762817210791</v>
      </c>
    </row>
    <row r="4633" spans="1:11" ht="12.45">
      <c r="A4633" s="2" t="str">
        <f ca="1">IFERROR(__xludf.DUMMYFUNCTION("""COMPUTED_VALUE"""),"1762817250106")</f>
        <v>1762817250106</v>
      </c>
      <c r="B4633" s="2"/>
      <c r="C4633" s="2" t="str">
        <v>0</v>
      </c>
      <c r="D4633" s="2"/>
      <c r="F4633" s="2" t="str">
        <v>0</v>
      </c>
      <c r="I4633" s="3" t="str">
        <f ca="1">IFERROR(__xludf.DUMMYFUNCTION("""COMPUTED_VALUE"""),"Nguyễn Quỳnh Anh")</f>
        <v>Nguyễn Quỳnh Anh</v>
      </c>
      <c r="J4633" s="3" t="str">
        <f ca="1">IFERROR(__xludf.DUMMYFUNCTION("""COMPUTED_VALUE"""),"0986214026")</f>
        <v>0986214026</v>
      </c>
      <c r="K4633" s="2" t="str">
        <f ca="1">IFERROR(__xludf.DUMMYFUNCTION("""COMPUTED_VALUE"""),"1762817250106")</f>
        <v>1762817250106</v>
      </c>
    </row>
    <row r="4634" spans="1:11" ht="12.45">
      <c r="A4634" s="2" t="str">
        <f ca="1">IFERROR(__xludf.DUMMYFUNCTION("""COMPUTED_VALUE"""),"1762817286974")</f>
        <v>1762817286974</v>
      </c>
      <c r="B4634" s="2"/>
      <c r="C4634" s="2" t="str">
        <v>0</v>
      </c>
      <c r="D4634" s="2"/>
      <c r="F4634" s="2" t="str">
        <v>0</v>
      </c>
      <c r="I4634" s="3" t="str">
        <f ca="1">IFERROR(__xludf.DUMMYFUNCTION("""COMPUTED_VALUE"""),"Nguyễn Hải Ly ")</f>
        <v xml:space="preserve">Nguyễn Hải Ly </v>
      </c>
      <c r="J4634" s="3" t="str">
        <f ca="1">IFERROR(__xludf.DUMMYFUNCTION("""COMPUTED_VALUE"""),"0379195702")</f>
        <v>0379195702</v>
      </c>
      <c r="K4634" s="2" t="str">
        <f ca="1">IFERROR(__xludf.DUMMYFUNCTION("""COMPUTED_VALUE"""),"1762817286974")</f>
        <v>1762817286974</v>
      </c>
    </row>
    <row r="4635" spans="1:11" ht="12.45">
      <c r="A4635" s="2" t="str">
        <f ca="1">IFERROR(__xludf.DUMMYFUNCTION("""COMPUTED_VALUE"""),"1762817326183")</f>
        <v>1762817326183</v>
      </c>
      <c r="B4635" s="2"/>
      <c r="C4635" s="2" t="str">
        <v>0</v>
      </c>
      <c r="D4635" s="2"/>
      <c r="F4635" s="2" t="str">
        <v>0</v>
      </c>
      <c r="I4635" s="3" t="str">
        <f ca="1">IFERROR(__xludf.DUMMYFUNCTION("""COMPUTED_VALUE"""),"Trương Thị Thảo Nhi ")</f>
        <v xml:space="preserve">Trương Thị Thảo Nhi </v>
      </c>
      <c r="J4635" s="3" t="str">
        <f ca="1">IFERROR(__xludf.DUMMYFUNCTION("""COMPUTED_VALUE"""),"0971942734")</f>
        <v>0971942734</v>
      </c>
      <c r="K4635" s="2" t="str">
        <f ca="1">IFERROR(__xludf.DUMMYFUNCTION("""COMPUTED_VALUE"""),"1762817326183")</f>
        <v>1762817326183</v>
      </c>
    </row>
    <row r="4636" spans="1:11" ht="12.45">
      <c r="A4636" s="2" t="str">
        <f ca="1">IFERROR(__xludf.DUMMYFUNCTION("""COMPUTED_VALUE"""),"1762817369067")</f>
        <v>1762817369067</v>
      </c>
      <c r="B4636" s="2"/>
      <c r="C4636" s="2" t="str">
        <v>0</v>
      </c>
      <c r="D4636" s="2"/>
      <c r="F4636" s="2" t="str">
        <v>0</v>
      </c>
      <c r="I4636" s="3" t="str">
        <f ca="1">IFERROR(__xludf.DUMMYFUNCTION("""COMPUTED_VALUE"""),"Phạm Huyền Linh")</f>
        <v>Phạm Huyền Linh</v>
      </c>
      <c r="J4636" s="3" t="str">
        <f ca="1">IFERROR(__xludf.DUMMYFUNCTION("""COMPUTED_VALUE"""),"0799201416")</f>
        <v>0799201416</v>
      </c>
      <c r="K4636" s="2" t="str">
        <f ca="1">IFERROR(__xludf.DUMMYFUNCTION("""COMPUTED_VALUE"""),"1762817369067")</f>
        <v>1762817369067</v>
      </c>
    </row>
    <row r="4637" spans="1:11" ht="12.45">
      <c r="A4637" s="2" t="str">
        <f ca="1">IFERROR(__xludf.DUMMYFUNCTION("""COMPUTED_VALUE"""),"1762817400304")</f>
        <v>1762817400304</v>
      </c>
      <c r="B4637" s="2"/>
      <c r="C4637" s="2" t="str">
        <v>0</v>
      </c>
      <c r="D4637" s="2"/>
      <c r="F4637" s="2" t="str">
        <v>0</v>
      </c>
      <c r="I4637" s="3" t="str">
        <f ca="1">IFERROR(__xludf.DUMMYFUNCTION("""COMPUTED_VALUE"""),"Trần Nguyễn Như Ngọc")</f>
        <v>Trần Nguyễn Như Ngọc</v>
      </c>
      <c r="J4637" s="3" t="str">
        <f ca="1">IFERROR(__xludf.DUMMYFUNCTION("""COMPUTED_VALUE"""),"0379097928")</f>
        <v>0379097928</v>
      </c>
      <c r="K4637" s="2" t="str">
        <f ca="1">IFERROR(__xludf.DUMMYFUNCTION("""COMPUTED_VALUE"""),"1762817400304")</f>
        <v>1762817400304</v>
      </c>
    </row>
    <row r="4638" spans="1:11" ht="12.45">
      <c r="A4638" s="2" t="str">
        <f ca="1">IFERROR(__xludf.DUMMYFUNCTION("""COMPUTED_VALUE"""),"1762815657693")</f>
        <v>1762815657693</v>
      </c>
      <c r="B4638" s="2"/>
      <c r="C4638" s="2" t="str">
        <v>0</v>
      </c>
      <c r="D4638" s="2"/>
      <c r="F4638" s="2" t="str">
        <v>0</v>
      </c>
      <c r="I4638" s="3" t="str">
        <f ca="1">IFERROR(__xludf.DUMMYFUNCTION("""COMPUTED_VALUE"""),"Phạm Yến Thùy ")</f>
        <v xml:space="preserve">Phạm Yến Thùy </v>
      </c>
      <c r="J4638" s="3" t="str">
        <f ca="1">IFERROR(__xludf.DUMMYFUNCTION("""COMPUTED_VALUE"""),"0357116838")</f>
        <v>0357116838</v>
      </c>
      <c r="K4638" s="2" t="str">
        <f ca="1">IFERROR(__xludf.DUMMYFUNCTION("""COMPUTED_VALUE"""),"1762815657693")</f>
        <v>1762815657693</v>
      </c>
    </row>
    <row r="4639" spans="1:11" ht="12.45">
      <c r="A4639" s="2" t="str">
        <f ca="1">IFERROR(__xludf.DUMMYFUNCTION("""COMPUTED_VALUE"""),"1759176596948")</f>
        <v>1759176596948</v>
      </c>
      <c r="B4639" s="2"/>
      <c r="C4639" s="2" t="str">
        <v>0</v>
      </c>
      <c r="D4639" s="2"/>
      <c r="F4639" s="2" t="str">
        <v>0</v>
      </c>
      <c r="I4639" s="3" t="str">
        <f ca="1">IFERROR(__xludf.DUMMYFUNCTION("""COMPUTED_VALUE"""),"Phạm Ngọc Khánh")</f>
        <v>Phạm Ngọc Khánh</v>
      </c>
      <c r="J4639" s="3" t="str">
        <f ca="1">IFERROR(__xludf.DUMMYFUNCTION("""COMPUTED_VALUE"""),"0862643356")</f>
        <v>0862643356</v>
      </c>
      <c r="K4639" s="2" t="str">
        <f ca="1">IFERROR(__xludf.DUMMYFUNCTION("""COMPUTED_VALUE"""),"1759176596948")</f>
        <v>1759176596948</v>
      </c>
    </row>
    <row r="4640" spans="1:11" ht="12.45">
      <c r="A4640" s="2" t="str">
        <f ca="1">IFERROR(__xludf.DUMMYFUNCTION("""COMPUTED_VALUE"""),"1759176634558")</f>
        <v>1759176634558</v>
      </c>
      <c r="B4640" s="2"/>
      <c r="C4640" s="2" t="str">
        <v>0</v>
      </c>
      <c r="D4640" s="2"/>
      <c r="F4640" s="2" t="str">
        <v>0</v>
      </c>
      <c r="I4640" s="3" t="str">
        <f ca="1">IFERROR(__xludf.DUMMYFUNCTION("""COMPUTED_VALUE"""),"Lê Huỳnh Tuyết Ngân")</f>
        <v>Lê Huỳnh Tuyết Ngân</v>
      </c>
      <c r="J4640" s="3" t="str">
        <f ca="1">IFERROR(__xludf.DUMMYFUNCTION("""COMPUTED_VALUE"""),"0344172184")</f>
        <v>0344172184</v>
      </c>
      <c r="K4640" s="2" t="str">
        <f ca="1">IFERROR(__xludf.DUMMYFUNCTION("""COMPUTED_VALUE"""),"1759176634558")</f>
        <v>1759176634558</v>
      </c>
    </row>
    <row r="4641" spans="1:11" ht="12.45">
      <c r="A4641" s="2" t="str">
        <f ca="1">IFERROR(__xludf.DUMMYFUNCTION("""COMPUTED_VALUE"""),"1759176669577")</f>
        <v>1759176669577</v>
      </c>
      <c r="B4641" s="2"/>
      <c r="C4641" s="2" t="str">
        <v>0</v>
      </c>
      <c r="D4641" s="2"/>
      <c r="F4641" s="2" t="str">
        <v>0</v>
      </c>
      <c r="I4641" s="3" t="str">
        <f ca="1">IFERROR(__xludf.DUMMYFUNCTION("""COMPUTED_VALUE"""),"Bùi Mai Phương")</f>
        <v>Bùi Mai Phương</v>
      </c>
      <c r="J4641" s="3" t="str">
        <f ca="1">IFERROR(__xludf.DUMMYFUNCTION("""COMPUTED_VALUE"""),"0865003077")</f>
        <v>0865003077</v>
      </c>
      <c r="K4641" s="2" t="str">
        <f ca="1">IFERROR(__xludf.DUMMYFUNCTION("""COMPUTED_VALUE"""),"1759176669577")</f>
        <v>1759176669577</v>
      </c>
    </row>
    <row r="4642" spans="1:11" ht="12.45">
      <c r="A4642" s="2" t="str">
        <f ca="1">IFERROR(__xludf.DUMMYFUNCTION("""COMPUTED_VALUE"""),"1759176710916")</f>
        <v>1759176710916</v>
      </c>
      <c r="B4642" s="2"/>
      <c r="C4642" s="2" t="str">
        <v>0</v>
      </c>
      <c r="D4642" s="2"/>
      <c r="F4642" s="2" t="str">
        <v>0</v>
      </c>
      <c r="I4642" s="3" t="str">
        <f ca="1">IFERROR(__xludf.DUMMYFUNCTION("""COMPUTED_VALUE"""),"Võ Thị Tường Vy ")</f>
        <v xml:space="preserve">Võ Thị Tường Vy </v>
      </c>
      <c r="J4642" s="3" t="str">
        <f ca="1">IFERROR(__xludf.DUMMYFUNCTION("""COMPUTED_VALUE"""),"0345139767")</f>
        <v>0345139767</v>
      </c>
      <c r="K4642" s="2" t="str">
        <f ca="1">IFERROR(__xludf.DUMMYFUNCTION("""COMPUTED_VALUE"""),"1759176710916")</f>
        <v>1759176710916</v>
      </c>
    </row>
    <row r="4643" spans="1:11" ht="12.45">
      <c r="A4643" s="2" t="str">
        <f ca="1">IFERROR(__xludf.DUMMYFUNCTION("""COMPUTED_VALUE"""),"1759176751434")</f>
        <v>1759176751434</v>
      </c>
      <c r="B4643" s="2"/>
      <c r="C4643" s="2" t="str">
        <v>0</v>
      </c>
      <c r="D4643" s="2"/>
      <c r="F4643" s="2" t="str">
        <v>0</v>
      </c>
      <c r="I4643" s="3" t="str">
        <f ca="1">IFERROR(__xludf.DUMMYFUNCTION("""COMPUTED_VALUE"""),"Nguyễn Thị Như Quỳnh")</f>
        <v>Nguyễn Thị Như Quỳnh</v>
      </c>
      <c r="J4643" s="3" t="str">
        <f ca="1">IFERROR(__xludf.DUMMYFUNCTION("""COMPUTED_VALUE"""),"0375209912")</f>
        <v>0375209912</v>
      </c>
      <c r="K4643" s="2" t="str">
        <f ca="1">IFERROR(__xludf.DUMMYFUNCTION("""COMPUTED_VALUE"""),"1759176751434")</f>
        <v>1759176751434</v>
      </c>
    </row>
    <row r="4644" spans="1:11" ht="12.45">
      <c r="A4644" s="2" t="str">
        <f ca="1">IFERROR(__xludf.DUMMYFUNCTION("""COMPUTED_VALUE"""),"1759176793907")</f>
        <v>1759176793907</v>
      </c>
      <c r="B4644" s="2"/>
      <c r="C4644" s="2" t="str">
        <v>0</v>
      </c>
      <c r="D4644" s="2"/>
      <c r="F4644" s="2" t="str">
        <v>0</v>
      </c>
      <c r="I4644" s="3" t="str">
        <f ca="1">IFERROR(__xludf.DUMMYFUNCTION("""COMPUTED_VALUE"""),"Nguyễn Nhựt Hào")</f>
        <v>Nguyễn Nhựt Hào</v>
      </c>
      <c r="J4644" s="3" t="str">
        <f ca="1">IFERROR(__xludf.DUMMYFUNCTION("""COMPUTED_VALUE"""),"0947818172")</f>
        <v>0947818172</v>
      </c>
      <c r="K4644" s="2" t="str">
        <f ca="1">IFERROR(__xludf.DUMMYFUNCTION("""COMPUTED_VALUE"""),"1759176793907")</f>
        <v>1759176793907</v>
      </c>
    </row>
    <row r="4645" spans="1:11" ht="12.45">
      <c r="A4645" s="2" t="str">
        <f ca="1">IFERROR(__xludf.DUMMYFUNCTION("""COMPUTED_VALUE"""),"1759176828657")</f>
        <v>1759176828657</v>
      </c>
      <c r="B4645" s="2"/>
      <c r="C4645" s="2" t="str">
        <v>0</v>
      </c>
      <c r="D4645" s="2"/>
      <c r="F4645" s="2" t="str">
        <v>0</v>
      </c>
      <c r="I4645" s="3" t="str">
        <f ca="1">IFERROR(__xludf.DUMMYFUNCTION("""COMPUTED_VALUE"""),"Hoàng Lê Na")</f>
        <v>Hoàng Lê Na</v>
      </c>
      <c r="J4645" s="3" t="str">
        <f ca="1">IFERROR(__xludf.DUMMYFUNCTION("""COMPUTED_VALUE"""),"0812992478")</f>
        <v>0812992478</v>
      </c>
      <c r="K4645" s="2" t="str">
        <f ca="1">IFERROR(__xludf.DUMMYFUNCTION("""COMPUTED_VALUE"""),"1759176828657")</f>
        <v>1759176828657</v>
      </c>
    </row>
    <row r="4646" spans="1:11" ht="12.45">
      <c r="A4646" s="2" t="str">
        <f ca="1">IFERROR(__xludf.DUMMYFUNCTION("""COMPUTED_VALUE"""),"1759176864214")</f>
        <v>1759176864214</v>
      </c>
      <c r="B4646" s="2"/>
      <c r="C4646" s="2" t="str">
        <v>0</v>
      </c>
      <c r="D4646" s="2"/>
      <c r="F4646" s="2" t="str">
        <v>0</v>
      </c>
      <c r="I4646" s="3" t="str">
        <f ca="1">IFERROR(__xludf.DUMMYFUNCTION("""COMPUTED_VALUE"""),"Lê Ngọc Bảo Trân")</f>
        <v>Lê Ngọc Bảo Trân</v>
      </c>
      <c r="J4646" s="3" t="str">
        <f ca="1">IFERROR(__xludf.DUMMYFUNCTION("""COMPUTED_VALUE"""),"0906691708")</f>
        <v>0906691708</v>
      </c>
      <c r="K4646" s="2" t="str">
        <f ca="1">IFERROR(__xludf.DUMMYFUNCTION("""COMPUTED_VALUE"""),"1759176864214")</f>
        <v>1759176864214</v>
      </c>
    </row>
    <row r="4647" spans="1:11" ht="12.45">
      <c r="A4647" s="2" t="str">
        <f ca="1">IFERROR(__xludf.DUMMYFUNCTION("""COMPUTED_VALUE"""),"1759176898420")</f>
        <v>1759176898420</v>
      </c>
      <c r="B4647" s="2"/>
      <c r="C4647" s="2" t="str">
        <v>0</v>
      </c>
      <c r="D4647" s="2"/>
      <c r="F4647" s="2" t="str">
        <v>0</v>
      </c>
      <c r="I4647" s="3" t="str">
        <f ca="1">IFERROR(__xludf.DUMMYFUNCTION("""COMPUTED_VALUE"""),"ĐOÀN THÀNH TOÀN ")</f>
        <v xml:space="preserve">ĐOÀN THÀNH TOÀN </v>
      </c>
      <c r="J4647" s="3" t="str">
        <f ca="1">IFERROR(__xludf.DUMMYFUNCTION("""COMPUTED_VALUE"""),"0921369151")</f>
        <v>0921369151</v>
      </c>
      <c r="K4647" s="2" t="str">
        <f ca="1">IFERROR(__xludf.DUMMYFUNCTION("""COMPUTED_VALUE"""),"1759176898420")</f>
        <v>1759176898420</v>
      </c>
    </row>
    <row r="4648" spans="1:11" ht="12.45">
      <c r="A4648" s="2" t="str">
        <f ca="1">IFERROR(__xludf.DUMMYFUNCTION("""COMPUTED_VALUE"""),"1759176939367")</f>
        <v>1759176939367</v>
      </c>
      <c r="B4648" s="2"/>
      <c r="C4648" s="2" t="str">
        <v>0</v>
      </c>
      <c r="D4648" s="2"/>
      <c r="F4648" s="2" t="str">
        <v>0</v>
      </c>
      <c r="I4648" s="3" t="str">
        <f ca="1">IFERROR(__xludf.DUMMYFUNCTION("""COMPUTED_VALUE"""),"Nguyễn Thị Phương Linh")</f>
        <v>Nguyễn Thị Phương Linh</v>
      </c>
      <c r="J4648" s="3" t="str">
        <f ca="1">IFERROR(__xludf.DUMMYFUNCTION("""COMPUTED_VALUE"""),"0373185128")</f>
        <v>0373185128</v>
      </c>
      <c r="K4648" s="2" t="str">
        <f ca="1">IFERROR(__xludf.DUMMYFUNCTION("""COMPUTED_VALUE"""),"1759176939367")</f>
        <v>1759176939367</v>
      </c>
    </row>
    <row r="4649" spans="1:11" ht="12.45">
      <c r="A4649" s="2" t="str">
        <f ca="1">IFERROR(__xludf.DUMMYFUNCTION("""COMPUTED_VALUE"""),"1759176984768")</f>
        <v>1759176984768</v>
      </c>
      <c r="B4649" s="2"/>
      <c r="C4649" s="2" t="str">
        <v>0</v>
      </c>
      <c r="D4649" s="2"/>
      <c r="F4649" s="2" t="str">
        <v>0</v>
      </c>
      <c r="I4649" s="3" t="str">
        <f ca="1">IFERROR(__xludf.DUMMYFUNCTION("""COMPUTED_VALUE"""),"Bùi Thị Huyền Lê")</f>
        <v>Bùi Thị Huyền Lê</v>
      </c>
      <c r="J4649" s="3" t="str">
        <f ca="1">IFERROR(__xludf.DUMMYFUNCTION("""COMPUTED_VALUE"""),"0359278145")</f>
        <v>0359278145</v>
      </c>
      <c r="K4649" s="2" t="str">
        <f ca="1">IFERROR(__xludf.DUMMYFUNCTION("""COMPUTED_VALUE"""),"1759176984768")</f>
        <v>1759176984768</v>
      </c>
    </row>
    <row r="4650" spans="1:11" ht="12.45">
      <c r="A4650" s="2" t="str">
        <f ca="1">IFERROR(__xludf.DUMMYFUNCTION("""COMPUTED_VALUE"""),"1759177026599")</f>
        <v>1759177026599</v>
      </c>
      <c r="B4650" s="2"/>
      <c r="C4650" s="2" t="str">
        <v>0</v>
      </c>
      <c r="D4650" s="2"/>
      <c r="F4650" s="2" t="str">
        <v>0</v>
      </c>
      <c r="I4650" s="3" t="str">
        <f ca="1">IFERROR(__xludf.DUMMYFUNCTION("""COMPUTED_VALUE"""),"Nguyễn Lan Chi ")</f>
        <v xml:space="preserve">Nguyễn Lan Chi </v>
      </c>
      <c r="J4650" s="3" t="str">
        <f ca="1">IFERROR(__xludf.DUMMYFUNCTION("""COMPUTED_VALUE"""),"0348713669")</f>
        <v>0348713669</v>
      </c>
      <c r="K4650" s="2" t="str">
        <f ca="1">IFERROR(__xludf.DUMMYFUNCTION("""COMPUTED_VALUE"""),"1759177026599")</f>
        <v>1759177026599</v>
      </c>
    </row>
    <row r="4651" spans="1:11" ht="12.45">
      <c r="A4651" s="2" t="str">
        <f ca="1">IFERROR(__xludf.DUMMYFUNCTION("""COMPUTED_VALUE"""),"1759177071314")</f>
        <v>1759177071314</v>
      </c>
      <c r="B4651" s="2"/>
      <c r="C4651" s="2" t="str">
        <v>0</v>
      </c>
      <c r="D4651" s="2"/>
      <c r="F4651" s="2" t="str">
        <v>0</v>
      </c>
      <c r="I4651" s="3" t="str">
        <f ca="1">IFERROR(__xludf.DUMMYFUNCTION("""COMPUTED_VALUE"""),"Nguyễn Thị Khánh Ly")</f>
        <v>Nguyễn Thị Khánh Ly</v>
      </c>
      <c r="J4651" s="3" t="str">
        <f ca="1">IFERROR(__xludf.DUMMYFUNCTION("""COMPUTED_VALUE"""),"0345264805")</f>
        <v>0345264805</v>
      </c>
      <c r="K4651" s="2" t="str">
        <f ca="1">IFERROR(__xludf.DUMMYFUNCTION("""COMPUTED_VALUE"""),"1759177071314")</f>
        <v>1759177071314</v>
      </c>
    </row>
    <row r="4652" spans="1:11" ht="12.45">
      <c r="A4652" s="2" t="str">
        <f ca="1">IFERROR(__xludf.DUMMYFUNCTION("""COMPUTED_VALUE"""),"1759177108199")</f>
        <v>1759177108199</v>
      </c>
      <c r="B4652" s="2"/>
      <c r="C4652" s="2" t="str">
        <v>0</v>
      </c>
      <c r="D4652" s="2"/>
      <c r="F4652" s="2" t="str">
        <v>0</v>
      </c>
      <c r="I4652" s="3" t="str">
        <f ca="1">IFERROR(__xludf.DUMMYFUNCTION("""COMPUTED_VALUE"""),"Trần Hương Giang")</f>
        <v>Trần Hương Giang</v>
      </c>
      <c r="J4652" s="3" t="str">
        <f ca="1">IFERROR(__xludf.DUMMYFUNCTION("""COMPUTED_VALUE"""),"0907067982")</f>
        <v>0907067982</v>
      </c>
      <c r="K4652" s="2" t="str">
        <f ca="1">IFERROR(__xludf.DUMMYFUNCTION("""COMPUTED_VALUE"""),"1759177108199")</f>
        <v>1759177108199</v>
      </c>
    </row>
    <row r="4653" spans="1:11" ht="12.45">
      <c r="A4653" s="2" t="str">
        <f ca="1">IFERROR(__xludf.DUMMYFUNCTION("""COMPUTED_VALUE"""),"1759177158510")</f>
        <v>1759177158510</v>
      </c>
      <c r="B4653" s="2"/>
      <c r="C4653" s="2" t="str">
        <v>0</v>
      </c>
      <c r="D4653" s="2"/>
      <c r="F4653" s="2" t="str">
        <v>0</v>
      </c>
      <c r="I4653" s="3" t="str">
        <f ca="1">IFERROR(__xludf.DUMMYFUNCTION("""COMPUTED_VALUE"""),"Lê thị Cẩm Vân ")</f>
        <v xml:space="preserve">Lê thị Cẩm Vân </v>
      </c>
      <c r="J4653" s="3" t="str">
        <f ca="1">IFERROR(__xludf.DUMMYFUNCTION("""COMPUTED_VALUE"""),"0374061208")</f>
        <v>0374061208</v>
      </c>
      <c r="K4653" s="2" t="str">
        <f ca="1">IFERROR(__xludf.DUMMYFUNCTION("""COMPUTED_VALUE"""),"1759177158510")</f>
        <v>1759177158510</v>
      </c>
    </row>
    <row r="4654" spans="1:11" ht="12.45">
      <c r="A4654" s="2" t="str">
        <f ca="1">IFERROR(__xludf.DUMMYFUNCTION("""COMPUTED_VALUE"""),"1759177188323")</f>
        <v>1759177188323</v>
      </c>
      <c r="B4654" s="2"/>
      <c r="C4654" s="2" t="str">
        <v>0</v>
      </c>
      <c r="D4654" s="2"/>
      <c r="F4654" s="2" t="str">
        <v>0</v>
      </c>
      <c r="I4654" s="3" t="str">
        <f ca="1">IFERROR(__xludf.DUMMYFUNCTION("""COMPUTED_VALUE"""),"Lê Thị Linh Na ")</f>
        <v xml:space="preserve">Lê Thị Linh Na </v>
      </c>
      <c r="J4654" s="3" t="str">
        <f ca="1">IFERROR(__xludf.DUMMYFUNCTION("""COMPUTED_VALUE"""),"0397830635")</f>
        <v>0397830635</v>
      </c>
      <c r="K4654" s="2" t="str">
        <f ca="1">IFERROR(__xludf.DUMMYFUNCTION("""COMPUTED_VALUE"""),"1759177188323")</f>
        <v>1759177188323</v>
      </c>
    </row>
    <row r="4655" spans="1:11" ht="12.45">
      <c r="A4655" s="2" t="str">
        <f ca="1">IFERROR(__xludf.DUMMYFUNCTION("""COMPUTED_VALUE"""),"1759177225057")</f>
        <v>1759177225057</v>
      </c>
      <c r="B4655" s="2"/>
      <c r="C4655" s="2" t="str">
        <v>0</v>
      </c>
      <c r="D4655" s="2"/>
      <c r="F4655" s="2" t="str">
        <v>0</v>
      </c>
      <c r="I4655" s="3" t="str">
        <f ca="1">IFERROR(__xludf.DUMMYFUNCTION("""COMPUTED_VALUE"""),"Phạm Anh Thảo Nguyên")</f>
        <v>Phạm Anh Thảo Nguyên</v>
      </c>
      <c r="J4655" s="3" t="str">
        <f ca="1">IFERROR(__xludf.DUMMYFUNCTION("""COMPUTED_VALUE"""),"0337148415")</f>
        <v>0337148415</v>
      </c>
      <c r="K4655" s="2" t="str">
        <f ca="1">IFERROR(__xludf.DUMMYFUNCTION("""COMPUTED_VALUE"""),"1759177225057")</f>
        <v>1759177225057</v>
      </c>
    </row>
    <row r="4656" spans="1:11" ht="12.45">
      <c r="A4656" s="2" t="str">
        <f ca="1">IFERROR(__xludf.DUMMYFUNCTION("""COMPUTED_VALUE"""),"1759177263317")</f>
        <v>1759177263317</v>
      </c>
      <c r="B4656" s="2"/>
      <c r="C4656" s="2" t="str">
        <v>0</v>
      </c>
      <c r="D4656" s="2"/>
      <c r="F4656" s="2" t="str">
        <v>0</v>
      </c>
      <c r="I4656" s="3" t="str">
        <f ca="1">IFERROR(__xludf.DUMMYFUNCTION("""COMPUTED_VALUE"""),"Bùi Thảo Vy")</f>
        <v>Bùi Thảo Vy</v>
      </c>
      <c r="J4656" s="3" t="str">
        <f ca="1">IFERROR(__xludf.DUMMYFUNCTION("""COMPUTED_VALUE"""),"0866734231")</f>
        <v>0866734231</v>
      </c>
      <c r="K4656" s="2" t="str">
        <f ca="1">IFERROR(__xludf.DUMMYFUNCTION("""COMPUTED_VALUE"""),"1759177263317")</f>
        <v>1759177263317</v>
      </c>
    </row>
    <row r="4657" spans="1:11" ht="12.45">
      <c r="A4657" s="2" t="str">
        <f ca="1">IFERROR(__xludf.DUMMYFUNCTION("""COMPUTED_VALUE"""),"1759177293156")</f>
        <v>1759177293156</v>
      </c>
      <c r="B4657" s="2"/>
      <c r="C4657" s="2" t="str">
        <v>0</v>
      </c>
      <c r="D4657" s="2"/>
      <c r="F4657" s="2" t="str">
        <v>0</v>
      </c>
      <c r="I4657" s="3" t="str">
        <f ca="1">IFERROR(__xludf.DUMMYFUNCTION("""COMPUTED_VALUE"""),"Đàm Như Nguyệt")</f>
        <v>Đàm Như Nguyệt</v>
      </c>
      <c r="J4657" s="3" t="str">
        <f ca="1">IFERROR(__xludf.DUMMYFUNCTION("""COMPUTED_VALUE"""),"0353722007")</f>
        <v>0353722007</v>
      </c>
      <c r="K4657" s="2" t="str">
        <f ca="1">IFERROR(__xludf.DUMMYFUNCTION("""COMPUTED_VALUE"""),"1759177293156")</f>
        <v>1759177293156</v>
      </c>
    </row>
    <row r="4658" spans="1:11" ht="12.45">
      <c r="A4658" s="2" t="str">
        <f ca="1">IFERROR(__xludf.DUMMYFUNCTION("""COMPUTED_VALUE"""),"1759177327243")</f>
        <v>1759177327243</v>
      </c>
      <c r="B4658" s="2"/>
      <c r="C4658" s="2" t="str">
        <v>0</v>
      </c>
      <c r="D4658" s="2"/>
      <c r="F4658" s="2" t="str">
        <v>0</v>
      </c>
      <c r="I4658" s="3" t="str">
        <f ca="1">IFERROR(__xludf.DUMMYFUNCTION("""COMPUTED_VALUE"""),"Hoàng Trâm Ngọc")</f>
        <v>Hoàng Trâm Ngọc</v>
      </c>
      <c r="J4658" s="3" t="str">
        <f ca="1">IFERROR(__xludf.DUMMYFUNCTION("""COMPUTED_VALUE"""),"0963000109")</f>
        <v>0963000109</v>
      </c>
      <c r="K4658" s="2" t="str">
        <f ca="1">IFERROR(__xludf.DUMMYFUNCTION("""COMPUTED_VALUE"""),"1759177327243")</f>
        <v>1759177327243</v>
      </c>
    </row>
    <row r="4659" spans="1:11" ht="12.45">
      <c r="A4659" s="2" t="str">
        <f ca="1">IFERROR(__xludf.DUMMYFUNCTION("""COMPUTED_VALUE"""),"1759177368636")</f>
        <v>1759177368636</v>
      </c>
      <c r="B4659" s="2"/>
      <c r="C4659" s="2" t="str">
        <v>0</v>
      </c>
      <c r="D4659" s="2"/>
      <c r="F4659" s="2" t="str">
        <v>0</v>
      </c>
      <c r="I4659" s="3" t="str">
        <f ca="1">IFERROR(__xludf.DUMMYFUNCTION("""COMPUTED_VALUE"""),"Nguyễn Thị Ngọc Ánh")</f>
        <v>Nguyễn Thị Ngọc Ánh</v>
      </c>
      <c r="J4659" s="3" t="str">
        <f ca="1">IFERROR(__xludf.DUMMYFUNCTION("""COMPUTED_VALUE"""),"0353666938")</f>
        <v>0353666938</v>
      </c>
      <c r="K4659" s="2" t="str">
        <f ca="1">IFERROR(__xludf.DUMMYFUNCTION("""COMPUTED_VALUE"""),"1759177368636")</f>
        <v>1759177368636</v>
      </c>
    </row>
    <row r="4660" spans="1:11" ht="12.45">
      <c r="A4660" s="2" t="str">
        <f ca="1">IFERROR(__xludf.DUMMYFUNCTION("""COMPUTED_VALUE"""),"1759177415678")</f>
        <v>1759177415678</v>
      </c>
      <c r="B4660" s="2"/>
      <c r="C4660" s="2" t="str">
        <v>0</v>
      </c>
      <c r="D4660" s="2"/>
      <c r="F4660" s="2" t="str">
        <v>0</v>
      </c>
      <c r="I4660" s="3" t="str">
        <f ca="1">IFERROR(__xludf.DUMMYFUNCTION("""COMPUTED_VALUE"""),"Lê Tố Uyên")</f>
        <v>Lê Tố Uyên</v>
      </c>
      <c r="J4660" s="3" t="str">
        <f ca="1">IFERROR(__xludf.DUMMYFUNCTION("""COMPUTED_VALUE"""),"0816572567")</f>
        <v>0816572567</v>
      </c>
      <c r="K4660" s="2" t="str">
        <f ca="1">IFERROR(__xludf.DUMMYFUNCTION("""COMPUTED_VALUE"""),"1759177415678")</f>
        <v>1759177415678</v>
      </c>
    </row>
    <row r="4661" spans="1:11" ht="12.45">
      <c r="A4661" s="2" t="str">
        <f ca="1">IFERROR(__xludf.DUMMYFUNCTION("""COMPUTED_VALUE"""),"1759177463734")</f>
        <v>1759177463734</v>
      </c>
      <c r="B4661" s="2"/>
      <c r="C4661" s="2" t="str">
        <v>0</v>
      </c>
      <c r="D4661" s="2"/>
      <c r="F4661" s="2" t="str">
        <v>0</v>
      </c>
      <c r="I4661" s="3" t="str">
        <f ca="1">IFERROR(__xludf.DUMMYFUNCTION("""COMPUTED_VALUE"""),"Trần Phan Hoàng Linh")</f>
        <v>Trần Phan Hoàng Linh</v>
      </c>
      <c r="J4661" s="3" t="str">
        <f ca="1">IFERROR(__xludf.DUMMYFUNCTION("""COMPUTED_VALUE"""),"0377234618")</f>
        <v>0377234618</v>
      </c>
      <c r="K4661" s="2" t="str">
        <f ca="1">IFERROR(__xludf.DUMMYFUNCTION("""COMPUTED_VALUE"""),"1759177463734")</f>
        <v>1759177463734</v>
      </c>
    </row>
    <row r="4662" spans="1:11" ht="12.45">
      <c r="A4662" s="2" t="str">
        <f ca="1">IFERROR(__xludf.DUMMYFUNCTION("""COMPUTED_VALUE"""),"1759177518545")</f>
        <v>1759177518545</v>
      </c>
      <c r="B4662" s="2"/>
      <c r="C4662" s="2" t="str">
        <v>0</v>
      </c>
      <c r="D4662" s="2"/>
      <c r="F4662" s="2" t="str">
        <v>0</v>
      </c>
      <c r="I4662" s="3" t="str">
        <f ca="1">IFERROR(__xludf.DUMMYFUNCTION("""COMPUTED_VALUE"""),"Trần Dương Minh Kha")</f>
        <v>Trần Dương Minh Kha</v>
      </c>
      <c r="J4662" s="3" t="str">
        <f ca="1">IFERROR(__xludf.DUMMYFUNCTION("""COMPUTED_VALUE"""),"0942212959")</f>
        <v>0942212959</v>
      </c>
      <c r="K4662" s="2" t="str">
        <f ca="1">IFERROR(__xludf.DUMMYFUNCTION("""COMPUTED_VALUE"""),"1759177518545")</f>
        <v>1759177518545</v>
      </c>
    </row>
    <row r="4663" spans="1:11" ht="12.45">
      <c r="A4663" s="2" t="str">
        <f ca="1">IFERROR(__xludf.DUMMYFUNCTION("""COMPUTED_VALUE"""),"1759177558590")</f>
        <v>1759177558590</v>
      </c>
      <c r="B4663" s="2"/>
      <c r="C4663" s="2" t="str">
        <v>0</v>
      </c>
      <c r="D4663" s="2"/>
      <c r="F4663" s="2" t="str">
        <v>0</v>
      </c>
      <c r="I4663" s="3" t="str">
        <f ca="1">IFERROR(__xludf.DUMMYFUNCTION("""COMPUTED_VALUE"""),"Vũ Quỳnh Nga")</f>
        <v>Vũ Quỳnh Nga</v>
      </c>
      <c r="J4663" s="3" t="str">
        <f ca="1">IFERROR(__xludf.DUMMYFUNCTION("""COMPUTED_VALUE"""),"0523885744")</f>
        <v>0523885744</v>
      </c>
      <c r="K4663" s="2" t="str">
        <f ca="1">IFERROR(__xludf.DUMMYFUNCTION("""COMPUTED_VALUE"""),"1759177558590")</f>
        <v>1759177558590</v>
      </c>
    </row>
    <row r="4664" spans="1:11" ht="12.45">
      <c r="A4664" s="2" t="str">
        <f ca="1">IFERROR(__xludf.DUMMYFUNCTION("""COMPUTED_VALUE"""),"1759177620606")</f>
        <v>1759177620606</v>
      </c>
      <c r="B4664" s="2"/>
      <c r="C4664" s="2" t="str">
        <v>0</v>
      </c>
      <c r="D4664" s="2"/>
      <c r="F4664" s="2" t="str">
        <v>0</v>
      </c>
      <c r="I4664" s="3" t="str">
        <f ca="1">IFERROR(__xludf.DUMMYFUNCTION("""COMPUTED_VALUE"""),"Lê Hoàng Băng Băng")</f>
        <v>Lê Hoàng Băng Băng</v>
      </c>
      <c r="J4664" s="3" t="str">
        <f ca="1">IFERROR(__xludf.DUMMYFUNCTION("""COMPUTED_VALUE"""),"0399466158")</f>
        <v>0399466158</v>
      </c>
      <c r="K4664" s="2" t="str">
        <f ca="1">IFERROR(__xludf.DUMMYFUNCTION("""COMPUTED_VALUE"""),"1759177620606")</f>
        <v>1759177620606</v>
      </c>
    </row>
    <row r="4665" spans="1:11" ht="12.45">
      <c r="A4665" s="2" t="str">
        <f ca="1">IFERROR(__xludf.DUMMYFUNCTION("""COMPUTED_VALUE"""),"1759177658202")</f>
        <v>1759177658202</v>
      </c>
      <c r="B4665" s="2"/>
      <c r="C4665" s="2" t="str">
        <v>0</v>
      </c>
      <c r="D4665" s="2"/>
      <c r="F4665" s="2" t="str">
        <v>0</v>
      </c>
      <c r="I4665" s="3" t="str">
        <f ca="1">IFERROR(__xludf.DUMMYFUNCTION("""COMPUTED_VALUE"""),"Phạm Thanh Hoa")</f>
        <v>Phạm Thanh Hoa</v>
      </c>
      <c r="J4665" s="3" t="str">
        <f ca="1">IFERROR(__xludf.DUMMYFUNCTION("""COMPUTED_VALUE"""),"0357155591")</f>
        <v>0357155591</v>
      </c>
      <c r="K4665" s="2" t="str">
        <f ca="1">IFERROR(__xludf.DUMMYFUNCTION("""COMPUTED_VALUE"""),"1759177658202")</f>
        <v>1759177658202</v>
      </c>
    </row>
    <row r="4666" spans="1:11" ht="12.45">
      <c r="A4666" s="2" t="str">
        <f ca="1">IFERROR(__xludf.DUMMYFUNCTION("""COMPUTED_VALUE"""),"1759177706661")</f>
        <v>1759177706661</v>
      </c>
      <c r="B4666" s="2"/>
      <c r="C4666" s="2" t="str">
        <v>0</v>
      </c>
      <c r="D4666" s="2"/>
      <c r="F4666" s="2" t="str">
        <v>0</v>
      </c>
      <c r="I4666" s="3" t="str">
        <f ca="1">IFERROR(__xludf.DUMMYFUNCTION("""COMPUTED_VALUE"""),"Huỳnh Như Anh Quỳnh")</f>
        <v>Huỳnh Như Anh Quỳnh</v>
      </c>
      <c r="J4666" s="3" t="str">
        <f ca="1">IFERROR(__xludf.DUMMYFUNCTION("""COMPUTED_VALUE"""),"0898553214")</f>
        <v>0898553214</v>
      </c>
      <c r="K4666" s="2" t="str">
        <f ca="1">IFERROR(__xludf.DUMMYFUNCTION("""COMPUTED_VALUE"""),"1759177706661")</f>
        <v>1759177706661</v>
      </c>
    </row>
    <row r="4667" spans="1:11" ht="12.45">
      <c r="A4667" s="2" t="str">
        <f ca="1">IFERROR(__xludf.DUMMYFUNCTION("""COMPUTED_VALUE"""),"1759177754234")</f>
        <v>1759177754234</v>
      </c>
      <c r="B4667" s="2"/>
      <c r="C4667" s="2" t="str">
        <v>0</v>
      </c>
      <c r="D4667" s="2"/>
      <c r="F4667" s="2" t="str">
        <v>0</v>
      </c>
      <c r="I4667" s="3" t="str">
        <f ca="1">IFERROR(__xludf.DUMMYFUNCTION("""COMPUTED_VALUE"""),"Nguyễn Thị Minh Trang ")</f>
        <v xml:space="preserve">Nguyễn Thị Minh Trang </v>
      </c>
      <c r="J4667" s="3" t="str">
        <f ca="1">IFERROR(__xludf.DUMMYFUNCTION("""COMPUTED_VALUE"""),"0338525408")</f>
        <v>0338525408</v>
      </c>
      <c r="K4667" s="2" t="str">
        <f ca="1">IFERROR(__xludf.DUMMYFUNCTION("""COMPUTED_VALUE"""),"1759177754234")</f>
        <v>1759177754234</v>
      </c>
    </row>
    <row r="4668" spans="1:11" ht="12.45">
      <c r="A4668" s="2">
        <f ca="1">IFERROR(__xludf.DUMMYFUNCTION("""COMPUTED_VALUE"""),1759177794551)</f>
        <v>1759177794551</v>
      </c>
      <c r="B4668" s="2"/>
      <c r="C4668" s="2" t="str">
        <v>0</v>
      </c>
      <c r="D4668" s="2"/>
      <c r="F4668" s="2" t="str">
        <v>0</v>
      </c>
      <c r="I4668" s="3" t="str">
        <f ca="1">IFERROR(__xludf.DUMMYFUNCTION("""COMPUTED_VALUE"""),"Vừ A Phúc")</f>
        <v>Vừ A Phúc</v>
      </c>
      <c r="J4668" s="3" t="str">
        <f ca="1">IFERROR(__xludf.DUMMYFUNCTION("""COMPUTED_VALUE"""),"0355974584")</f>
        <v>0355974584</v>
      </c>
      <c r="K4668" s="2">
        <f ca="1">IFERROR(__xludf.DUMMYFUNCTION("""COMPUTED_VALUE"""),1759177794551)</f>
        <v>1759177794551</v>
      </c>
    </row>
    <row r="4669" spans="1:11" ht="12.45">
      <c r="A4669" s="2" t="str">
        <f ca="1">IFERROR(__xludf.DUMMYFUNCTION("""COMPUTED_VALUE"""),"1759177835742")</f>
        <v>1759177835742</v>
      </c>
      <c r="B4669" s="2"/>
      <c r="C4669" s="2" t="str">
        <v>0</v>
      </c>
      <c r="D4669" s="2"/>
      <c r="F4669" s="2" t="str">
        <v>0</v>
      </c>
      <c r="I4669" s="3" t="str">
        <f ca="1">IFERROR(__xludf.DUMMYFUNCTION("""COMPUTED_VALUE"""),"Phạm Thu Hà")</f>
        <v>Phạm Thu Hà</v>
      </c>
      <c r="J4669" s="3" t="str">
        <f ca="1">IFERROR(__xludf.DUMMYFUNCTION("""COMPUTED_VALUE"""),"0832239695")</f>
        <v>0832239695</v>
      </c>
      <c r="K4669" s="2" t="str">
        <f ca="1">IFERROR(__xludf.DUMMYFUNCTION("""COMPUTED_VALUE"""),"1759177835742")</f>
        <v>1759177835742</v>
      </c>
    </row>
    <row r="4670" spans="1:11" ht="12.45">
      <c r="A4670" s="2">
        <f ca="1">IFERROR(__xludf.DUMMYFUNCTION("""COMPUTED_VALUE"""),1770194215618)</f>
        <v>1770194215618</v>
      </c>
      <c r="B4670" s="2"/>
      <c r="C4670" s="2" t="str">
        <v>0</v>
      </c>
      <c r="D4670" s="2"/>
      <c r="F4670" s="2" t="str">
        <v>0</v>
      </c>
      <c r="I4670" s="3" t="str">
        <f ca="1">IFERROR(__xludf.DUMMYFUNCTION("""COMPUTED_VALUE"""),"Hoàng Kiều Trang")</f>
        <v>Hoàng Kiều Trang</v>
      </c>
      <c r="J4670" s="3" t="str">
        <f ca="1">IFERROR(__xludf.DUMMYFUNCTION("""COMPUTED_VALUE"""),"0988648110")</f>
        <v>0988648110</v>
      </c>
      <c r="K4670" s="2">
        <f ca="1">IFERROR(__xludf.DUMMYFUNCTION("""COMPUTED_VALUE"""),1770194215618)</f>
        <v>1770194215618</v>
      </c>
    </row>
    <row r="4671" spans="1:11" ht="12.45">
      <c r="A4671" s="2" t="str">
        <f ca="1">IFERROR(__xludf.DUMMYFUNCTION("""COMPUTED_VALUE"""),"1759177882425")</f>
        <v>1759177882425</v>
      </c>
      <c r="B4671" s="2"/>
      <c r="C4671" s="2" t="str">
        <v>0</v>
      </c>
      <c r="D4671" s="2"/>
      <c r="F4671" s="2" t="str">
        <v>0</v>
      </c>
      <c r="I4671" s="3" t="str">
        <f ca="1">IFERROR(__xludf.DUMMYFUNCTION("""COMPUTED_VALUE"""),"Tống Bảo Ngọc")</f>
        <v>Tống Bảo Ngọc</v>
      </c>
      <c r="J4671" s="3" t="str">
        <f ca="1">IFERROR(__xludf.DUMMYFUNCTION("""COMPUTED_VALUE"""),"0981432007")</f>
        <v>0981432007</v>
      </c>
      <c r="K4671" s="2" t="str">
        <f ca="1">IFERROR(__xludf.DUMMYFUNCTION("""COMPUTED_VALUE"""),"1759177882425")</f>
        <v>1759177882425</v>
      </c>
    </row>
    <row r="4672" spans="1:11" ht="12.45">
      <c r="A4672" s="2" t="str">
        <f ca="1">IFERROR(__xludf.DUMMYFUNCTION("""COMPUTED_VALUE"""),"1759177929788")</f>
        <v>1759177929788</v>
      </c>
      <c r="B4672" s="2"/>
      <c r="C4672" s="2" t="str">
        <v>0</v>
      </c>
      <c r="D4672" s="2"/>
      <c r="F4672" s="2" t="str">
        <v>0</v>
      </c>
      <c r="I4672" s="3" t="str">
        <f ca="1">IFERROR(__xludf.DUMMYFUNCTION("""COMPUTED_VALUE"""),"Bế Xuân Hiệp")</f>
        <v>Bế Xuân Hiệp</v>
      </c>
      <c r="J4672" s="3" t="str">
        <f ca="1">IFERROR(__xludf.DUMMYFUNCTION("""COMPUTED_VALUE"""),"0815945588")</f>
        <v>0815945588</v>
      </c>
      <c r="K4672" s="2" t="str">
        <f ca="1">IFERROR(__xludf.DUMMYFUNCTION("""COMPUTED_VALUE"""),"1759177929788")</f>
        <v>1759177929788</v>
      </c>
    </row>
    <row r="4673" spans="1:11" ht="12.45">
      <c r="A4673" s="2" t="str">
        <f ca="1">IFERROR(__xludf.DUMMYFUNCTION("""COMPUTED_VALUE"""),"1759177986762")</f>
        <v>1759177986762</v>
      </c>
      <c r="B4673" s="2"/>
      <c r="C4673" s="2" t="str">
        <v>0</v>
      </c>
      <c r="D4673" s="2"/>
      <c r="F4673" s="2" t="str">
        <v>0</v>
      </c>
      <c r="I4673" s="3" t="str">
        <f ca="1">IFERROR(__xludf.DUMMYFUNCTION("""COMPUTED_VALUE"""),"Nguyễn Thị Vân Anh ")</f>
        <v xml:space="preserve">Nguyễn Thị Vân Anh </v>
      </c>
      <c r="J4673" s="3" t="str">
        <f ca="1">IFERROR(__xludf.DUMMYFUNCTION("""COMPUTED_VALUE"""),"0945666236")</f>
        <v>0945666236</v>
      </c>
      <c r="K4673" s="2" t="str">
        <f ca="1">IFERROR(__xludf.DUMMYFUNCTION("""COMPUTED_VALUE"""),"1759177986762")</f>
        <v>1759177986762</v>
      </c>
    </row>
    <row r="4674" spans="1:11" ht="12.45">
      <c r="A4674" s="2" t="str">
        <f ca="1">IFERROR(__xludf.DUMMYFUNCTION("""COMPUTED_VALUE"""),"1759178031414")</f>
        <v>1759178031414</v>
      </c>
      <c r="B4674" s="2"/>
      <c r="C4674" s="2" t="str">
        <v>0</v>
      </c>
      <c r="D4674" s="2"/>
      <c r="F4674" s="2" t="str">
        <v>0</v>
      </c>
      <c r="I4674" s="3" t="str">
        <f ca="1">IFERROR(__xludf.DUMMYFUNCTION("""COMPUTED_VALUE"""),"Đinh Thị Phương Thảo")</f>
        <v>Đinh Thị Phương Thảo</v>
      </c>
      <c r="J4674" s="3" t="str">
        <f ca="1">IFERROR(__xludf.DUMMYFUNCTION("""COMPUTED_VALUE"""),"0835361638")</f>
        <v>0835361638</v>
      </c>
      <c r="K4674" s="2" t="str">
        <f ca="1">IFERROR(__xludf.DUMMYFUNCTION("""COMPUTED_VALUE"""),"1759178031414")</f>
        <v>1759178031414</v>
      </c>
    </row>
    <row r="4675" spans="1:11" ht="12.45">
      <c r="A4675" s="2" t="str">
        <f ca="1">IFERROR(__xludf.DUMMYFUNCTION("""COMPUTED_VALUE"""),"1759178083879")</f>
        <v>1759178083879</v>
      </c>
      <c r="B4675" s="2"/>
      <c r="C4675" s="2" t="str">
        <v>0</v>
      </c>
      <c r="D4675" s="2"/>
      <c r="F4675" s="2" t="str">
        <v>0</v>
      </c>
      <c r="I4675" s="3" t="str">
        <f ca="1">IFERROR(__xludf.DUMMYFUNCTION("""COMPUTED_VALUE"""),"Ngô Khánh Ly")</f>
        <v>Ngô Khánh Ly</v>
      </c>
      <c r="J4675" s="3" t="str">
        <f ca="1">IFERROR(__xludf.DUMMYFUNCTION("""COMPUTED_VALUE"""),"0967260538")</f>
        <v>0967260538</v>
      </c>
      <c r="K4675" s="2" t="str">
        <f ca="1">IFERROR(__xludf.DUMMYFUNCTION("""COMPUTED_VALUE"""),"1759178083879")</f>
        <v>1759178083879</v>
      </c>
    </row>
    <row r="4676" spans="1:11" ht="12.45">
      <c r="A4676" s="2" t="str">
        <f ca="1">IFERROR(__xludf.DUMMYFUNCTION("""COMPUTED_VALUE"""),"1759178144592")</f>
        <v>1759178144592</v>
      </c>
      <c r="B4676" s="2"/>
      <c r="C4676" s="2" t="str">
        <v>0</v>
      </c>
      <c r="D4676" s="2"/>
      <c r="F4676" s="2" t="str">
        <v>0</v>
      </c>
      <c r="I4676" s="3" t="str">
        <f ca="1">IFERROR(__xludf.DUMMYFUNCTION("""COMPUTED_VALUE"""),"Trần Thu Uyên")</f>
        <v>Trần Thu Uyên</v>
      </c>
      <c r="J4676" s="3" t="str">
        <f ca="1">IFERROR(__xludf.DUMMYFUNCTION("""COMPUTED_VALUE"""),"0944201384")</f>
        <v>0944201384</v>
      </c>
      <c r="K4676" s="2" t="str">
        <f ca="1">IFERROR(__xludf.DUMMYFUNCTION("""COMPUTED_VALUE"""),"1759178144592")</f>
        <v>1759178144592</v>
      </c>
    </row>
    <row r="4677" spans="1:11" ht="12.45">
      <c r="A4677" s="2" t="str">
        <f ca="1">IFERROR(__xludf.DUMMYFUNCTION("""COMPUTED_VALUE"""),"1759178181422")</f>
        <v>1759178181422</v>
      </c>
      <c r="B4677" s="2"/>
      <c r="C4677" s="2" t="str">
        <v>0</v>
      </c>
      <c r="D4677" s="2"/>
      <c r="F4677" s="2" t="str">
        <v>0</v>
      </c>
      <c r="I4677" s="3" t="str">
        <f ca="1">IFERROR(__xludf.DUMMYFUNCTION("""COMPUTED_VALUE"""),"Nguyễn Thị Quỳnh ")</f>
        <v xml:space="preserve">Nguyễn Thị Quỳnh </v>
      </c>
      <c r="J4677" s="3" t="str">
        <f ca="1">IFERROR(__xludf.DUMMYFUNCTION("""COMPUTED_VALUE"""),"0358004937")</f>
        <v>0358004937</v>
      </c>
      <c r="K4677" s="2" t="str">
        <f ca="1">IFERROR(__xludf.DUMMYFUNCTION("""COMPUTED_VALUE"""),"1759178181422")</f>
        <v>1759178181422</v>
      </c>
    </row>
    <row r="4678" spans="1:11" ht="12.45">
      <c r="A4678" s="2" t="str">
        <f ca="1">IFERROR(__xludf.DUMMYFUNCTION("""COMPUTED_VALUE"""),"1759178216934")</f>
        <v>1759178216934</v>
      </c>
      <c r="B4678" s="2"/>
      <c r="C4678" s="2" t="str">
        <v>0</v>
      </c>
      <c r="D4678" s="2"/>
      <c r="F4678" s="2" t="str">
        <v>0</v>
      </c>
      <c r="I4678" s="3" t="str">
        <f ca="1">IFERROR(__xludf.DUMMYFUNCTION("""COMPUTED_VALUE"""),"Vi Diệp Thương")</f>
        <v>Vi Diệp Thương</v>
      </c>
      <c r="J4678" s="3" t="str">
        <f ca="1">IFERROR(__xludf.DUMMYFUNCTION("""COMPUTED_VALUE"""),"0906774404")</f>
        <v>0906774404</v>
      </c>
      <c r="K4678" s="2" t="str">
        <f ca="1">IFERROR(__xludf.DUMMYFUNCTION("""COMPUTED_VALUE"""),"1759178216934")</f>
        <v>1759178216934</v>
      </c>
    </row>
    <row r="4679" spans="1:11" ht="12.45">
      <c r="A4679" s="2" t="str">
        <f ca="1">IFERROR(__xludf.DUMMYFUNCTION("""COMPUTED_VALUE"""),"1759178252250")</f>
        <v>1759178252250</v>
      </c>
      <c r="B4679" s="2"/>
      <c r="C4679" s="2" t="str">
        <v>0</v>
      </c>
      <c r="D4679" s="2"/>
      <c r="F4679" s="2" t="str">
        <v>0</v>
      </c>
      <c r="I4679" s="3" t="str">
        <f ca="1">IFERROR(__xludf.DUMMYFUNCTION("""COMPUTED_VALUE"""),"Trần Thanh Huyền ")</f>
        <v xml:space="preserve">Trần Thanh Huyền </v>
      </c>
      <c r="J4679" s="3" t="str">
        <f ca="1">IFERROR(__xludf.DUMMYFUNCTION("""COMPUTED_VALUE"""),"0777981127")</f>
        <v>0777981127</v>
      </c>
      <c r="K4679" s="2" t="str">
        <f ca="1">IFERROR(__xludf.DUMMYFUNCTION("""COMPUTED_VALUE"""),"1759178252250")</f>
        <v>1759178252250</v>
      </c>
    </row>
    <row r="4680" spans="1:11" ht="12.45">
      <c r="A4680" s="2" t="str">
        <f ca="1">IFERROR(__xludf.DUMMYFUNCTION("""COMPUTED_VALUE"""),"1759178296006")</f>
        <v>1759178296006</v>
      </c>
      <c r="B4680" s="2"/>
      <c r="C4680" s="2" t="str">
        <v>0</v>
      </c>
      <c r="D4680" s="2"/>
      <c r="F4680" s="2" t="str">
        <v>0</v>
      </c>
      <c r="I4680" s="3" t="str">
        <f ca="1">IFERROR(__xludf.DUMMYFUNCTION("""COMPUTED_VALUE"""),"Phạm Thị Minh Anh")</f>
        <v>Phạm Thị Minh Anh</v>
      </c>
      <c r="J4680" s="3" t="str">
        <f ca="1">IFERROR(__xludf.DUMMYFUNCTION("""COMPUTED_VALUE"""),"0984755798")</f>
        <v>0984755798</v>
      </c>
      <c r="K4680" s="2" t="str">
        <f ca="1">IFERROR(__xludf.DUMMYFUNCTION("""COMPUTED_VALUE"""),"1759178296006")</f>
        <v>1759178296006</v>
      </c>
    </row>
    <row r="4681" spans="1:11" ht="12.45">
      <c r="A4681" s="2" t="str">
        <f ca="1">IFERROR(__xludf.DUMMYFUNCTION("""COMPUTED_VALUE"""),"1759178328135")</f>
        <v>1759178328135</v>
      </c>
      <c r="B4681" s="2"/>
      <c r="C4681" s="2" t="str">
        <v>0</v>
      </c>
      <c r="D4681" s="2"/>
      <c r="F4681" s="2" t="str">
        <v>0</v>
      </c>
      <c r="I4681" s="3" t="str">
        <f ca="1">IFERROR(__xludf.DUMMYFUNCTION("""COMPUTED_VALUE"""),"Nguyễn Ánh Khánh Linh")</f>
        <v>Nguyễn Ánh Khánh Linh</v>
      </c>
      <c r="J4681" s="3" t="str">
        <f ca="1">IFERROR(__xludf.DUMMYFUNCTION("""COMPUTED_VALUE"""),"0965336286")</f>
        <v>0965336286</v>
      </c>
      <c r="K4681" s="2" t="str">
        <f ca="1">IFERROR(__xludf.DUMMYFUNCTION("""COMPUTED_VALUE"""),"1759178328135")</f>
        <v>1759178328135</v>
      </c>
    </row>
    <row r="4682" spans="1:11" ht="12.45">
      <c r="A4682" s="2" t="str">
        <f ca="1">IFERROR(__xludf.DUMMYFUNCTION("""COMPUTED_VALUE"""),"1759178374651")</f>
        <v>1759178374651</v>
      </c>
      <c r="B4682" s="2"/>
      <c r="C4682" s="2" t="str">
        <v>0</v>
      </c>
      <c r="D4682" s="2"/>
      <c r="F4682" s="2" t="str">
        <v>0</v>
      </c>
      <c r="I4682" s="3" t="str">
        <f ca="1">IFERROR(__xludf.DUMMYFUNCTION("""COMPUTED_VALUE"""),"Trần Khánh Linh")</f>
        <v>Trần Khánh Linh</v>
      </c>
      <c r="J4682" s="3" t="str">
        <f ca="1">IFERROR(__xludf.DUMMYFUNCTION("""COMPUTED_VALUE"""),"0372796168")</f>
        <v>0372796168</v>
      </c>
      <c r="K4682" s="2" t="str">
        <f ca="1">IFERROR(__xludf.DUMMYFUNCTION("""COMPUTED_VALUE"""),"1759178374651")</f>
        <v>1759178374651</v>
      </c>
    </row>
    <row r="4683" spans="1:11" ht="12.45">
      <c r="A4683" s="2" t="str">
        <f ca="1">IFERROR(__xludf.DUMMYFUNCTION("""COMPUTED_VALUE"""),"1740104541746")</f>
        <v>1740104541746</v>
      </c>
      <c r="B4683" s="2"/>
      <c r="C4683" s="2" t="str">
        <v>0</v>
      </c>
      <c r="D4683" s="2"/>
      <c r="F4683" s="2" t="str">
        <v>0</v>
      </c>
      <c r="I4683" s="3" t="str">
        <f ca="1">IFERROR(__xludf.DUMMYFUNCTION("""COMPUTED_VALUE"""),"Nguyễn Huỳnh Thảo Vy")</f>
        <v>Nguyễn Huỳnh Thảo Vy</v>
      </c>
      <c r="J4683" s="3" t="str">
        <f ca="1">IFERROR(__xludf.DUMMYFUNCTION("""COMPUTED_VALUE"""),"0795751510")</f>
        <v>0795751510</v>
      </c>
      <c r="K4683" s="2" t="str">
        <f ca="1">IFERROR(__xludf.DUMMYFUNCTION("""COMPUTED_VALUE"""),"1740104541746")</f>
        <v>1740104541746</v>
      </c>
    </row>
    <row r="4684" spans="1:11" ht="12.45">
      <c r="A4684" s="2" t="str">
        <f ca="1">IFERROR(__xludf.DUMMYFUNCTION("""COMPUTED_VALUE"""),"1759178430210")</f>
        <v>1759178430210</v>
      </c>
      <c r="B4684" s="2"/>
      <c r="C4684" s="2" t="str">
        <v>0</v>
      </c>
      <c r="D4684" s="2"/>
      <c r="F4684" s="2" t="str">
        <v>0</v>
      </c>
      <c r="I4684" s="3" t="str">
        <f ca="1">IFERROR(__xludf.DUMMYFUNCTION("""COMPUTED_VALUE"""),"Nông Thị Xuân Mai")</f>
        <v>Nông Thị Xuân Mai</v>
      </c>
      <c r="J4684" s="3" t="str">
        <f ca="1">IFERROR(__xludf.DUMMYFUNCTION("""COMPUTED_VALUE"""),"0835392419")</f>
        <v>0835392419</v>
      </c>
      <c r="K4684" s="2" t="str">
        <f ca="1">IFERROR(__xludf.DUMMYFUNCTION("""COMPUTED_VALUE"""),"1759178430210")</f>
        <v>1759178430210</v>
      </c>
    </row>
    <row r="4685" spans="1:11" ht="12.45">
      <c r="A4685" s="2" t="str">
        <f ca="1">IFERROR(__xludf.DUMMYFUNCTION("""COMPUTED_VALUE"""),"1759178471960")</f>
        <v>1759178471960</v>
      </c>
      <c r="B4685" s="2"/>
      <c r="C4685" s="2" t="str">
        <v>0</v>
      </c>
      <c r="D4685" s="2"/>
      <c r="F4685" s="2" t="str">
        <v>0</v>
      </c>
      <c r="I4685" s="3" t="str">
        <f ca="1">IFERROR(__xludf.DUMMYFUNCTION("""COMPUTED_VALUE"""),"Hoàng Thu Hà")</f>
        <v>Hoàng Thu Hà</v>
      </c>
      <c r="J4685" s="3" t="str">
        <f ca="1">IFERROR(__xludf.DUMMYFUNCTION("""COMPUTED_VALUE"""),"0329764007")</f>
        <v>0329764007</v>
      </c>
      <c r="K4685" s="2" t="str">
        <f ca="1">IFERROR(__xludf.DUMMYFUNCTION("""COMPUTED_VALUE"""),"1759178471960")</f>
        <v>1759178471960</v>
      </c>
    </row>
    <row r="4686" spans="1:11" ht="12.45">
      <c r="A4686" s="2" t="str">
        <f ca="1">IFERROR(__xludf.DUMMYFUNCTION("""COMPUTED_VALUE"""),"1759178511318")</f>
        <v>1759178511318</v>
      </c>
      <c r="B4686" s="2"/>
      <c r="C4686" s="2" t="str">
        <v>0</v>
      </c>
      <c r="D4686" s="2"/>
      <c r="F4686" s="2" t="str">
        <v>0</v>
      </c>
      <c r="I4686" s="3" t="str">
        <f ca="1">IFERROR(__xludf.DUMMYFUNCTION("""COMPUTED_VALUE"""),"Nguyễn Thúy Vân")</f>
        <v>Nguyễn Thúy Vân</v>
      </c>
      <c r="J4686" s="3" t="str">
        <f ca="1">IFERROR(__xludf.DUMMYFUNCTION("""COMPUTED_VALUE"""),"0337013803")</f>
        <v>0337013803</v>
      </c>
      <c r="K4686" s="2" t="str">
        <f ca="1">IFERROR(__xludf.DUMMYFUNCTION("""COMPUTED_VALUE"""),"1759178511318")</f>
        <v>1759178511318</v>
      </c>
    </row>
    <row r="4687" spans="1:11" ht="12.45">
      <c r="A4687" s="2" t="str">
        <f ca="1">IFERROR(__xludf.DUMMYFUNCTION("""COMPUTED_VALUE"""),"1759178562077")</f>
        <v>1759178562077</v>
      </c>
      <c r="B4687" s="2"/>
      <c r="C4687" s="2" t="str">
        <v>0</v>
      </c>
      <c r="D4687" s="2"/>
      <c r="F4687" s="2" t="str">
        <v>0</v>
      </c>
      <c r="I4687" s="3" t="str">
        <f ca="1">IFERROR(__xludf.DUMMYFUNCTION("""COMPUTED_VALUE"""),"Nguyễn Ngọc Diệp")</f>
        <v>Nguyễn Ngọc Diệp</v>
      </c>
      <c r="J4687" s="3" t="str">
        <f ca="1">IFERROR(__xludf.DUMMYFUNCTION("""COMPUTED_VALUE"""),"0827209766")</f>
        <v>0827209766</v>
      </c>
      <c r="K4687" s="2" t="str">
        <f ca="1">IFERROR(__xludf.DUMMYFUNCTION("""COMPUTED_VALUE"""),"1759178562077")</f>
        <v>1759178562077</v>
      </c>
    </row>
    <row r="4688" spans="1:11" ht="12.45">
      <c r="A4688" s="2" t="str">
        <f ca="1">IFERROR(__xludf.DUMMYFUNCTION("""COMPUTED_VALUE"""),"1759178588331")</f>
        <v>1759178588331</v>
      </c>
      <c r="B4688" s="2"/>
      <c r="C4688" s="2" t="str">
        <v>0</v>
      </c>
      <c r="D4688" s="2"/>
      <c r="F4688" s="2" t="str">
        <v>0</v>
      </c>
      <c r="I4688" s="3" t="str">
        <f ca="1">IFERROR(__xludf.DUMMYFUNCTION("""COMPUTED_VALUE"""),"Bùi Trang Anh ")</f>
        <v xml:space="preserve">Bùi Trang Anh </v>
      </c>
      <c r="J4688" s="3" t="str">
        <f ca="1">IFERROR(__xludf.DUMMYFUNCTION("""COMPUTED_VALUE"""),"0369200705")</f>
        <v>0369200705</v>
      </c>
      <c r="K4688" s="2" t="str">
        <f ca="1">IFERROR(__xludf.DUMMYFUNCTION("""COMPUTED_VALUE"""),"1759178588331")</f>
        <v>1759178588331</v>
      </c>
    </row>
    <row r="4689" spans="1:11" ht="12.45">
      <c r="A4689" s="2" t="str">
        <f ca="1">IFERROR(__xludf.DUMMYFUNCTION("""COMPUTED_VALUE"""),"1759178617269")</f>
        <v>1759178617269</v>
      </c>
      <c r="B4689" s="2"/>
      <c r="C4689" s="2" t="str">
        <v>0</v>
      </c>
      <c r="D4689" s="2"/>
      <c r="F4689" s="2" t="str">
        <v>0</v>
      </c>
      <c r="I4689" s="3" t="str">
        <f ca="1">IFERROR(__xludf.DUMMYFUNCTION("""COMPUTED_VALUE"""),"Chu Thị Khánh Ly")</f>
        <v>Chu Thị Khánh Ly</v>
      </c>
      <c r="J4689" s="3" t="str">
        <f ca="1">IFERROR(__xludf.DUMMYFUNCTION("""COMPUTED_VALUE"""),"0362789887")</f>
        <v>0362789887</v>
      </c>
      <c r="K4689" s="2" t="str">
        <f ca="1">IFERROR(__xludf.DUMMYFUNCTION("""COMPUTED_VALUE"""),"1759178617269")</f>
        <v>1759178617269</v>
      </c>
    </row>
    <row r="4690" spans="1:11" ht="12.45">
      <c r="A4690" s="2" t="str">
        <f ca="1">IFERROR(__xludf.DUMMYFUNCTION("""COMPUTED_VALUE"""),"1759178647022")</f>
        <v>1759178647022</v>
      </c>
      <c r="B4690" s="2"/>
      <c r="C4690" s="2" t="str">
        <v>0</v>
      </c>
      <c r="D4690" s="2"/>
      <c r="F4690" s="2" t="str">
        <v>0</v>
      </c>
      <c r="I4690" s="3" t="str">
        <f ca="1">IFERROR(__xludf.DUMMYFUNCTION("""COMPUTED_VALUE"""),"Nguyễn Trường Sơn")</f>
        <v>Nguyễn Trường Sơn</v>
      </c>
      <c r="J4690" s="3" t="str">
        <f ca="1">IFERROR(__xludf.DUMMYFUNCTION("""COMPUTED_VALUE"""),"0764115846")</f>
        <v>0764115846</v>
      </c>
      <c r="K4690" s="2" t="str">
        <f ca="1">IFERROR(__xludf.DUMMYFUNCTION("""COMPUTED_VALUE"""),"1759178647022")</f>
        <v>1759178647022</v>
      </c>
    </row>
    <row r="4691" spans="1:11" ht="12.45">
      <c r="A4691" s="2" t="str">
        <f ca="1">IFERROR(__xludf.DUMMYFUNCTION("""COMPUTED_VALUE"""),"1759178683534")</f>
        <v>1759178683534</v>
      </c>
      <c r="B4691" s="2"/>
      <c r="C4691" s="2" t="str">
        <v>0</v>
      </c>
      <c r="D4691" s="2"/>
      <c r="F4691" s="2" t="str">
        <v>0</v>
      </c>
      <c r="I4691" s="3" t="str">
        <f ca="1">IFERROR(__xludf.DUMMYFUNCTION("""COMPUTED_VALUE"""),"Huỳnh Thị Thanh Trúc")</f>
        <v>Huỳnh Thị Thanh Trúc</v>
      </c>
      <c r="J4691" s="3" t="str">
        <f ca="1">IFERROR(__xludf.DUMMYFUNCTION("""COMPUTED_VALUE"""),"0866468006")</f>
        <v>0866468006</v>
      </c>
      <c r="K4691" s="2" t="str">
        <f ca="1">IFERROR(__xludf.DUMMYFUNCTION("""COMPUTED_VALUE"""),"1759178683534")</f>
        <v>1759178683534</v>
      </c>
    </row>
    <row r="4692" spans="1:11" ht="12.45">
      <c r="A4692" s="2" t="str">
        <f ca="1">IFERROR(__xludf.DUMMYFUNCTION("""COMPUTED_VALUE"""),"1759178731160")</f>
        <v>1759178731160</v>
      </c>
      <c r="B4692" s="2"/>
      <c r="C4692" s="2" t="str">
        <v>0</v>
      </c>
      <c r="D4692" s="2"/>
      <c r="F4692" s="2" t="str">
        <v>0</v>
      </c>
      <c r="I4692" s="3" t="str">
        <f ca="1">IFERROR(__xludf.DUMMYFUNCTION("""COMPUTED_VALUE"""),"Phạm Duy Khánh ")</f>
        <v xml:space="preserve">Phạm Duy Khánh </v>
      </c>
      <c r="J4692" s="3" t="str">
        <f ca="1">IFERROR(__xludf.DUMMYFUNCTION("""COMPUTED_VALUE"""),"0878047769")</f>
        <v>0878047769</v>
      </c>
      <c r="K4692" s="2" t="str">
        <f ca="1">IFERROR(__xludf.DUMMYFUNCTION("""COMPUTED_VALUE"""),"1759178731160")</f>
        <v>1759178731160</v>
      </c>
    </row>
    <row r="4693" spans="1:11" ht="12.45">
      <c r="A4693" s="2" t="str">
        <f ca="1">IFERROR(__xludf.DUMMYFUNCTION("""COMPUTED_VALUE"""),"1759178766934")</f>
        <v>1759178766934</v>
      </c>
      <c r="B4693" s="2"/>
      <c r="C4693" s="2" t="str">
        <v>0</v>
      </c>
      <c r="D4693" s="2"/>
      <c r="F4693" s="2" t="str">
        <v>0</v>
      </c>
      <c r="I4693" s="3" t="str">
        <f ca="1">IFERROR(__xludf.DUMMYFUNCTION("""COMPUTED_VALUE"""),"PHAN MAI LINH")</f>
        <v>PHAN MAI LINH</v>
      </c>
      <c r="J4693" s="3" t="str">
        <f ca="1">IFERROR(__xludf.DUMMYFUNCTION("""COMPUTED_VALUE"""),"0377256877")</f>
        <v>0377256877</v>
      </c>
      <c r="K4693" s="2" t="str">
        <f ca="1">IFERROR(__xludf.DUMMYFUNCTION("""COMPUTED_VALUE"""),"1759178766934")</f>
        <v>1759178766934</v>
      </c>
    </row>
    <row r="4694" spans="1:11" ht="12.45">
      <c r="A4694" s="2" t="str">
        <f ca="1">IFERROR(__xludf.DUMMYFUNCTION("""COMPUTED_VALUE"""),"1759178805389")</f>
        <v>1759178805389</v>
      </c>
      <c r="B4694" s="2"/>
      <c r="C4694" s="2" t="str">
        <v>0</v>
      </c>
      <c r="D4694" s="2"/>
      <c r="F4694" s="2" t="str">
        <v>0</v>
      </c>
      <c r="I4694" s="3" t="str">
        <f ca="1">IFERROR(__xludf.DUMMYFUNCTION("""COMPUTED_VALUE"""),"Nguyễn Thanh Huyền")</f>
        <v>Nguyễn Thanh Huyền</v>
      </c>
      <c r="J4694" s="3" t="str">
        <f ca="1">IFERROR(__xludf.DUMMYFUNCTION("""COMPUTED_VALUE"""),"0889250015")</f>
        <v>0889250015</v>
      </c>
      <c r="K4694" s="2" t="str">
        <f ca="1">IFERROR(__xludf.DUMMYFUNCTION("""COMPUTED_VALUE"""),"1759178805389")</f>
        <v>1759178805389</v>
      </c>
    </row>
    <row r="4695" spans="1:11" ht="12.45">
      <c r="A4695" s="2" t="str">
        <f ca="1">IFERROR(__xludf.DUMMYFUNCTION("""COMPUTED_VALUE"""),"1759178832756")</f>
        <v>1759178832756</v>
      </c>
      <c r="B4695" s="2"/>
      <c r="C4695" s="2" t="str">
        <v>0</v>
      </c>
      <c r="D4695" s="2"/>
      <c r="F4695" s="2" t="str">
        <v>0</v>
      </c>
      <c r="I4695" s="3" t="str">
        <f ca="1">IFERROR(__xludf.DUMMYFUNCTION("""COMPUTED_VALUE"""),"nguyễn linh trang")</f>
        <v>nguyễn linh trang</v>
      </c>
      <c r="J4695" s="3" t="str">
        <f ca="1">IFERROR(__xludf.DUMMYFUNCTION("""COMPUTED_VALUE"""),"0965253727")</f>
        <v>0965253727</v>
      </c>
      <c r="K4695" s="2" t="str">
        <f ca="1">IFERROR(__xludf.DUMMYFUNCTION("""COMPUTED_VALUE"""),"1759178832756")</f>
        <v>1759178832756</v>
      </c>
    </row>
    <row r="4696" spans="1:11" ht="12.45">
      <c r="A4696" s="2" t="str">
        <f ca="1">IFERROR(__xludf.DUMMYFUNCTION("""COMPUTED_VALUE"""),"1759178875241")</f>
        <v>1759178875241</v>
      </c>
      <c r="B4696" s="2"/>
      <c r="C4696" s="2" t="str">
        <v>0</v>
      </c>
      <c r="D4696" s="2"/>
      <c r="F4696" s="2" t="str">
        <v>0</v>
      </c>
      <c r="I4696" s="3" t="str">
        <f ca="1">IFERROR(__xludf.DUMMYFUNCTION("""COMPUTED_VALUE"""),"Nguyễn Hoàng Anh Thư")</f>
        <v>Nguyễn Hoàng Anh Thư</v>
      </c>
      <c r="J4696" s="3" t="str">
        <f ca="1">IFERROR(__xludf.DUMMYFUNCTION("""COMPUTED_VALUE"""),"0976501776")</f>
        <v>0976501776</v>
      </c>
      <c r="K4696" s="2" t="str">
        <f ca="1">IFERROR(__xludf.DUMMYFUNCTION("""COMPUTED_VALUE"""),"1759178875241")</f>
        <v>1759178875241</v>
      </c>
    </row>
    <row r="4697" spans="1:11" ht="12.45">
      <c r="A4697" s="2" t="str">
        <f ca="1">IFERROR(__xludf.DUMMYFUNCTION("""COMPUTED_VALUE"""),"1759178905699")</f>
        <v>1759178905699</v>
      </c>
      <c r="B4697" s="2"/>
      <c r="C4697" s="2" t="str">
        <v>0</v>
      </c>
      <c r="D4697" s="2"/>
      <c r="F4697" s="2" t="str">
        <v>0</v>
      </c>
      <c r="I4697" s="3" t="str">
        <f ca="1">IFERROR(__xludf.DUMMYFUNCTION("""COMPUTED_VALUE"""),"Hồng Huỳnh Ái Như")</f>
        <v>Hồng Huỳnh Ái Như</v>
      </c>
      <c r="J4697" s="3" t="str">
        <f ca="1">IFERROR(__xludf.DUMMYFUNCTION("""COMPUTED_VALUE"""),"0947101539")</f>
        <v>0947101539</v>
      </c>
      <c r="K4697" s="2" t="str">
        <f ca="1">IFERROR(__xludf.DUMMYFUNCTION("""COMPUTED_VALUE"""),"1759178905699")</f>
        <v>1759178905699</v>
      </c>
    </row>
    <row r="4698" spans="1:11" ht="12.45">
      <c r="A4698" s="2" t="str">
        <f ca="1">IFERROR(__xludf.DUMMYFUNCTION("""COMPUTED_VALUE"""),"1759178950864")</f>
        <v>1759178950864</v>
      </c>
      <c r="B4698" s="2"/>
      <c r="C4698" s="2" t="str">
        <v>0</v>
      </c>
      <c r="D4698" s="2"/>
      <c r="F4698" s="2" t="str">
        <v>0</v>
      </c>
      <c r="I4698" s="3" t="str">
        <f ca="1">IFERROR(__xludf.DUMMYFUNCTION("""COMPUTED_VALUE"""),"Chu Thị Mai Linh ")</f>
        <v xml:space="preserve">Chu Thị Mai Linh </v>
      </c>
      <c r="J4698" s="3" t="str">
        <f ca="1">IFERROR(__xludf.DUMMYFUNCTION("""COMPUTED_VALUE"""),"0329962758")</f>
        <v>0329962758</v>
      </c>
      <c r="K4698" s="2" t="str">
        <f ca="1">IFERROR(__xludf.DUMMYFUNCTION("""COMPUTED_VALUE"""),"1759178950864")</f>
        <v>1759178950864</v>
      </c>
    </row>
    <row r="4699" spans="1:11" ht="12.45">
      <c r="A4699" s="2" t="str">
        <f ca="1">IFERROR(__xludf.DUMMYFUNCTION("""COMPUTED_VALUE"""),"Không giao sách")</f>
        <v>Không giao sách</v>
      </c>
      <c r="B4699" s="2"/>
      <c r="C4699" s="2" t="str">
        <v>0</v>
      </c>
      <c r="D4699" s="2"/>
      <c r="F4699" s="2" t="str">
        <v>0</v>
      </c>
      <c r="I4699" s="3" t="str">
        <f ca="1">IFERROR(__xludf.DUMMYFUNCTION("""COMPUTED_VALUE"""),"Đặng Nguyễn Khánh Linh")</f>
        <v>Đặng Nguyễn Khánh Linh</v>
      </c>
      <c r="J4699" s="3" t="str">
        <f ca="1">IFERROR(__xludf.DUMMYFUNCTION("""COMPUTED_VALUE"""),"0972788851")</f>
        <v>0972788851</v>
      </c>
      <c r="K4699" s="2" t="str">
        <f ca="1">IFERROR(__xludf.DUMMYFUNCTION("""COMPUTED_VALUE"""),"Không giao sách")</f>
        <v>Không giao sách</v>
      </c>
    </row>
    <row r="4700" spans="1:11" ht="12.45">
      <c r="A4700" s="2" t="str">
        <f ca="1">IFERROR(__xludf.DUMMYFUNCTION("""COMPUTED_VALUE"""),"1759178987158")</f>
        <v>1759178987158</v>
      </c>
      <c r="B4700" s="2"/>
      <c r="C4700" s="2" t="str">
        <v>0</v>
      </c>
      <c r="D4700" s="2"/>
      <c r="F4700" s="2" t="str">
        <v>0</v>
      </c>
      <c r="I4700" s="3" t="str">
        <f ca="1">IFERROR(__xludf.DUMMYFUNCTION("""COMPUTED_VALUE"""),"Hồ Hoàng Minh Thiện")</f>
        <v>Hồ Hoàng Minh Thiện</v>
      </c>
      <c r="J4700" s="3" t="str">
        <f ca="1">IFERROR(__xludf.DUMMYFUNCTION("""COMPUTED_VALUE"""),"0838326079")</f>
        <v>0838326079</v>
      </c>
      <c r="K4700" s="2" t="str">
        <f ca="1">IFERROR(__xludf.DUMMYFUNCTION("""COMPUTED_VALUE"""),"1759178987158")</f>
        <v>1759178987158</v>
      </c>
    </row>
    <row r="4701" spans="1:11" ht="12.45">
      <c r="A4701" s="2" t="str">
        <f ca="1">IFERROR(__xludf.DUMMYFUNCTION("""COMPUTED_VALUE"""),"1740104580120")</f>
        <v>1740104580120</v>
      </c>
      <c r="B4701" s="2"/>
      <c r="C4701" s="2" t="str">
        <v>0</v>
      </c>
      <c r="D4701" s="2"/>
      <c r="F4701" s="2" t="str">
        <v>0</v>
      </c>
      <c r="I4701" s="3" t="str">
        <f ca="1">IFERROR(__xludf.DUMMYFUNCTION("""COMPUTED_VALUE"""),"Danh Ánh Dương")</f>
        <v>Danh Ánh Dương</v>
      </c>
      <c r="J4701" s="3" t="str">
        <f ca="1">IFERROR(__xludf.DUMMYFUNCTION("""COMPUTED_VALUE"""),"0783351865")</f>
        <v>0783351865</v>
      </c>
      <c r="K4701" s="2" t="str">
        <f ca="1">IFERROR(__xludf.DUMMYFUNCTION("""COMPUTED_VALUE"""),"1740104580120")</f>
        <v>1740104580120</v>
      </c>
    </row>
    <row r="4702" spans="1:11" ht="12.45">
      <c r="A4702" s="2" t="str">
        <f ca="1">IFERROR(__xludf.DUMMYFUNCTION("""COMPUTED_VALUE"""),"1759179063397")</f>
        <v>1759179063397</v>
      </c>
      <c r="B4702" s="2"/>
      <c r="C4702" s="2" t="str">
        <v>0</v>
      </c>
      <c r="D4702" s="2"/>
      <c r="F4702" s="2" t="str">
        <v>0</v>
      </c>
      <c r="I4702" s="3" t="str">
        <f ca="1">IFERROR(__xludf.DUMMYFUNCTION("""COMPUTED_VALUE"""),"Nguyễn Vân Anh ")</f>
        <v xml:space="preserve">Nguyễn Vân Anh </v>
      </c>
      <c r="J4702" s="3" t="str">
        <f ca="1">IFERROR(__xludf.DUMMYFUNCTION("""COMPUTED_VALUE"""),"0329737259")</f>
        <v>0329737259</v>
      </c>
      <c r="K4702" s="2" t="str">
        <f ca="1">IFERROR(__xludf.DUMMYFUNCTION("""COMPUTED_VALUE"""),"1759179063397")</f>
        <v>1759179063397</v>
      </c>
    </row>
    <row r="4703" spans="1:11" ht="12.45">
      <c r="A4703" s="2" t="str">
        <f ca="1">IFERROR(__xludf.DUMMYFUNCTION("""COMPUTED_VALUE"""),"1759179097690")</f>
        <v>1759179097690</v>
      </c>
      <c r="B4703" s="2"/>
      <c r="C4703" s="2" t="str">
        <v>0</v>
      </c>
      <c r="D4703" s="2"/>
      <c r="F4703" s="2" t="str">
        <v>0</v>
      </c>
      <c r="I4703" s="3" t="str">
        <f ca="1">IFERROR(__xludf.DUMMYFUNCTION("""COMPUTED_VALUE"""),"Nguyễn Thanh Huyền")</f>
        <v>Nguyễn Thanh Huyền</v>
      </c>
      <c r="J4703" s="3" t="str">
        <f ca="1">IFERROR(__xludf.DUMMYFUNCTION("""COMPUTED_VALUE"""),"0368484396")</f>
        <v>0368484396</v>
      </c>
      <c r="K4703" s="2" t="str">
        <f ca="1">IFERROR(__xludf.DUMMYFUNCTION("""COMPUTED_VALUE"""),"1759179097690")</f>
        <v>1759179097690</v>
      </c>
    </row>
    <row r="4704" spans="1:11" ht="12.45">
      <c r="A4704" s="2" t="str">
        <f ca="1">IFERROR(__xludf.DUMMYFUNCTION("""COMPUTED_VALUE"""),"1759179130441")</f>
        <v>1759179130441</v>
      </c>
      <c r="B4704" s="2"/>
      <c r="C4704" s="2" t="str">
        <v>0</v>
      </c>
      <c r="D4704" s="2"/>
      <c r="F4704" s="2" t="str">
        <v>0</v>
      </c>
      <c r="I4704" s="3" t="str">
        <f ca="1">IFERROR(__xludf.DUMMYFUNCTION("""COMPUTED_VALUE"""),"Nguyễn Hà Bảo Ngọc")</f>
        <v>Nguyễn Hà Bảo Ngọc</v>
      </c>
      <c r="J4704" s="3" t="str">
        <f ca="1">IFERROR(__xludf.DUMMYFUNCTION("""COMPUTED_VALUE"""),"0912780213")</f>
        <v>0912780213</v>
      </c>
      <c r="K4704" s="2" t="str">
        <f ca="1">IFERROR(__xludf.DUMMYFUNCTION("""COMPUTED_VALUE"""),"1759179130441")</f>
        <v>1759179130441</v>
      </c>
    </row>
    <row r="4705" spans="1:11" ht="12.45">
      <c r="A4705" s="2" t="str">
        <f ca="1">IFERROR(__xludf.DUMMYFUNCTION("""COMPUTED_VALUE"""),"1759179193721")</f>
        <v>1759179193721</v>
      </c>
      <c r="B4705" s="2"/>
      <c r="C4705" s="2" t="str">
        <v>0</v>
      </c>
      <c r="D4705" s="2"/>
      <c r="F4705" s="2" t="str">
        <v>0</v>
      </c>
      <c r="I4705" s="3" t="str">
        <f ca="1">IFERROR(__xludf.DUMMYFUNCTION("""COMPUTED_VALUE"""),"Nguyễn Thị Ánh")</f>
        <v>Nguyễn Thị Ánh</v>
      </c>
      <c r="J4705" s="3" t="str">
        <f ca="1">IFERROR(__xludf.DUMMYFUNCTION("""COMPUTED_VALUE"""),"0329969949")</f>
        <v>0329969949</v>
      </c>
      <c r="K4705" s="2" t="str">
        <f ca="1">IFERROR(__xludf.DUMMYFUNCTION("""COMPUTED_VALUE"""),"1759179193721")</f>
        <v>1759179193721</v>
      </c>
    </row>
    <row r="4706" spans="1:11" ht="12.45">
      <c r="A4706" s="2" t="str">
        <f ca="1">IFERROR(__xludf.DUMMYFUNCTION("""COMPUTED_VALUE"""),"1758488098908")</f>
        <v>1758488098908</v>
      </c>
      <c r="B4706" s="2"/>
      <c r="C4706" s="2" t="str">
        <v>0</v>
      </c>
      <c r="D4706" s="2"/>
      <c r="F4706" s="2" t="str">
        <v>0</v>
      </c>
      <c r="I4706" s="3" t="str">
        <f ca="1">IFERROR(__xludf.DUMMYFUNCTION("""COMPUTED_VALUE"""),"Nguyễn Bảo Ngọc")</f>
        <v>Nguyễn Bảo Ngọc</v>
      </c>
      <c r="J4706" s="3" t="str">
        <f ca="1">IFERROR(__xludf.DUMMYFUNCTION("""COMPUTED_VALUE"""),"0969848838")</f>
        <v>0969848838</v>
      </c>
      <c r="K4706" s="2" t="str">
        <f ca="1">IFERROR(__xludf.DUMMYFUNCTION("""COMPUTED_VALUE"""),"1758488098908")</f>
        <v>1758488098908</v>
      </c>
    </row>
    <row r="4707" spans="1:11" ht="12.45">
      <c r="A4707" s="2" t="str">
        <f ca="1">IFERROR(__xludf.DUMMYFUNCTION("""COMPUTED_VALUE"""),"1759179243831")</f>
        <v>1759179243831</v>
      </c>
      <c r="B4707" s="2"/>
      <c r="C4707" s="2" t="str">
        <v>0</v>
      </c>
      <c r="D4707" s="2"/>
      <c r="F4707" s="2" t="str">
        <v>0</v>
      </c>
      <c r="I4707" s="3" t="str">
        <f ca="1">IFERROR(__xludf.DUMMYFUNCTION("""COMPUTED_VALUE"""),"Lương Hạnh Vân")</f>
        <v>Lương Hạnh Vân</v>
      </c>
      <c r="J4707" s="3" t="str">
        <f ca="1">IFERROR(__xludf.DUMMYFUNCTION("""COMPUTED_VALUE"""),"0886735168")</f>
        <v>0886735168</v>
      </c>
      <c r="K4707" s="2" t="str">
        <f ca="1">IFERROR(__xludf.DUMMYFUNCTION("""COMPUTED_VALUE"""),"1759179243831")</f>
        <v>1759179243831</v>
      </c>
    </row>
    <row r="4708" spans="1:11" ht="12.45">
      <c r="A4708" s="2" t="str">
        <f ca="1">IFERROR(__xludf.DUMMYFUNCTION("""COMPUTED_VALUE"""),"1759179277032")</f>
        <v>1759179277032</v>
      </c>
      <c r="B4708" s="2"/>
      <c r="C4708" s="2" t="str">
        <v>0</v>
      </c>
      <c r="D4708" s="2"/>
      <c r="F4708" s="2" t="str">
        <v>0</v>
      </c>
      <c r="I4708" s="3" t="str">
        <f ca="1">IFERROR(__xludf.DUMMYFUNCTION("""COMPUTED_VALUE"""),"Nguyễn Phương Anh")</f>
        <v>Nguyễn Phương Anh</v>
      </c>
      <c r="J4708" s="3" t="str">
        <f ca="1">IFERROR(__xludf.DUMMYFUNCTION("""COMPUTED_VALUE"""),"0966529373")</f>
        <v>0966529373</v>
      </c>
      <c r="K4708" s="2" t="str">
        <f ca="1">IFERROR(__xludf.DUMMYFUNCTION("""COMPUTED_VALUE"""),"1759179277032")</f>
        <v>1759179277032</v>
      </c>
    </row>
    <row r="4709" spans="1:11" ht="12.45">
      <c r="A4709" s="2" t="str">
        <f ca="1">IFERROR(__xludf.DUMMYFUNCTION("""COMPUTED_VALUE"""),"1759179324407")</f>
        <v>1759179324407</v>
      </c>
      <c r="B4709" s="2"/>
      <c r="C4709" s="2" t="str">
        <v>0</v>
      </c>
      <c r="D4709" s="2"/>
      <c r="F4709" s="2" t="str">
        <v>0</v>
      </c>
      <c r="I4709" s="3" t="str">
        <f ca="1">IFERROR(__xludf.DUMMYFUNCTION("""COMPUTED_VALUE"""),"TRẦN THỊ VÂN ANH")</f>
        <v>TRẦN THỊ VÂN ANH</v>
      </c>
      <c r="J4709" s="3" t="str">
        <f ca="1">IFERROR(__xludf.DUMMYFUNCTION("""COMPUTED_VALUE"""),"0856230339")</f>
        <v>0856230339</v>
      </c>
      <c r="K4709" s="2" t="str">
        <f ca="1">IFERROR(__xludf.DUMMYFUNCTION("""COMPUTED_VALUE"""),"1759179324407")</f>
        <v>1759179324407</v>
      </c>
    </row>
    <row r="4710" spans="1:11" ht="12.45">
      <c r="A4710" s="2" t="str">
        <f ca="1">IFERROR(__xludf.DUMMYFUNCTION("""COMPUTED_VALUE"""),"1759179359623")</f>
        <v>1759179359623</v>
      </c>
      <c r="B4710" s="2"/>
      <c r="C4710" s="2" t="str">
        <v>0</v>
      </c>
      <c r="D4710" s="2"/>
      <c r="F4710" s="2" t="str">
        <v>0</v>
      </c>
      <c r="I4710" s="3" t="str">
        <f ca="1">IFERROR(__xludf.DUMMYFUNCTION("""COMPUTED_VALUE"""),"Nguyễn Ngọc Tuyết Nga")</f>
        <v>Nguyễn Ngọc Tuyết Nga</v>
      </c>
      <c r="J4710" s="3" t="str">
        <f ca="1">IFERROR(__xludf.DUMMYFUNCTION("""COMPUTED_VALUE"""),"0933754294")</f>
        <v>0933754294</v>
      </c>
      <c r="K4710" s="2" t="str">
        <f ca="1">IFERROR(__xludf.DUMMYFUNCTION("""COMPUTED_VALUE"""),"1759179359623")</f>
        <v>1759179359623</v>
      </c>
    </row>
    <row r="4711" spans="1:11" ht="12.45">
      <c r="A4711" s="2" t="str">
        <f ca="1">IFERROR(__xludf.DUMMYFUNCTION("""COMPUTED_VALUE"""),"1759179398740")</f>
        <v>1759179398740</v>
      </c>
      <c r="B4711" s="2"/>
      <c r="C4711" s="2" t="str">
        <v>0</v>
      </c>
      <c r="D4711" s="2"/>
      <c r="F4711" s="2" t="str">
        <v>0</v>
      </c>
      <c r="I4711" s="3" t="str">
        <f ca="1">IFERROR(__xludf.DUMMYFUNCTION("""COMPUTED_VALUE"""),"Lê Thị Nguyệt Anh")</f>
        <v>Lê Thị Nguyệt Anh</v>
      </c>
      <c r="J4711" s="3" t="str">
        <f ca="1">IFERROR(__xludf.DUMMYFUNCTION("""COMPUTED_VALUE"""),"0328642006")</f>
        <v>0328642006</v>
      </c>
      <c r="K4711" s="2" t="str">
        <f ca="1">IFERROR(__xludf.DUMMYFUNCTION("""COMPUTED_VALUE"""),"1759179398740")</f>
        <v>1759179398740</v>
      </c>
    </row>
    <row r="4712" spans="1:11" ht="12.45">
      <c r="A4712" s="2" t="str">
        <f ca="1">IFERROR(__xludf.DUMMYFUNCTION("""COMPUTED_VALUE"""),"1759179445511")</f>
        <v>1759179445511</v>
      </c>
      <c r="B4712" s="2"/>
      <c r="C4712" s="2" t="str">
        <v>0</v>
      </c>
      <c r="D4712" s="2"/>
      <c r="F4712" s="2" t="str">
        <v>0</v>
      </c>
      <c r="I4712" s="3" t="str">
        <f ca="1">IFERROR(__xludf.DUMMYFUNCTION("""COMPUTED_VALUE"""),"Nguyễn Ngọc Biên")</f>
        <v>Nguyễn Ngọc Biên</v>
      </c>
      <c r="J4712" s="3" t="str">
        <f ca="1">IFERROR(__xludf.DUMMYFUNCTION("""COMPUTED_VALUE"""),"0332718980")</f>
        <v>0332718980</v>
      </c>
      <c r="K4712" s="2" t="str">
        <f ca="1">IFERROR(__xludf.DUMMYFUNCTION("""COMPUTED_VALUE"""),"1759179445511")</f>
        <v>1759179445511</v>
      </c>
    </row>
    <row r="4713" spans="1:11" ht="12.45">
      <c r="A4713" s="2" t="str">
        <f ca="1">IFERROR(__xludf.DUMMYFUNCTION("""COMPUTED_VALUE"""),"1759179499521")</f>
        <v>1759179499521</v>
      </c>
      <c r="B4713" s="2"/>
      <c r="C4713" s="2" t="str">
        <v>0</v>
      </c>
      <c r="D4713" s="2"/>
      <c r="F4713" s="2" t="str">
        <v>0</v>
      </c>
      <c r="I4713" s="3" t="str">
        <f ca="1">IFERROR(__xludf.DUMMYFUNCTION("""COMPUTED_VALUE"""),"Từ Ngọc Minh Tuệ")</f>
        <v>Từ Ngọc Minh Tuệ</v>
      </c>
      <c r="J4713" s="3" t="str">
        <f ca="1">IFERROR(__xludf.DUMMYFUNCTION("""COMPUTED_VALUE"""),"0918511510")</f>
        <v>0918511510</v>
      </c>
      <c r="K4713" s="2" t="str">
        <f ca="1">IFERROR(__xludf.DUMMYFUNCTION("""COMPUTED_VALUE"""),"1759179499521")</f>
        <v>1759179499521</v>
      </c>
    </row>
    <row r="4714" spans="1:11" ht="12.45">
      <c r="A4714" s="2" t="str">
        <f ca="1">IFERROR(__xludf.DUMMYFUNCTION("""COMPUTED_VALUE"""),"1740104613045")</f>
        <v>1740104613045</v>
      </c>
      <c r="B4714" s="2"/>
      <c r="C4714" s="2" t="str">
        <v>0</v>
      </c>
      <c r="D4714" s="2"/>
      <c r="F4714" s="2" t="str">
        <v>0</v>
      </c>
      <c r="I4714" s="3" t="str">
        <f ca="1">IFERROR(__xludf.DUMMYFUNCTION("""COMPUTED_VALUE"""),"Nguyễn Bảo Ngọc")</f>
        <v>Nguyễn Bảo Ngọc</v>
      </c>
      <c r="J4714" s="3" t="str">
        <f ca="1">IFERROR(__xludf.DUMMYFUNCTION("""COMPUTED_VALUE"""),"0867576657")</f>
        <v>0867576657</v>
      </c>
      <c r="K4714" s="2" t="str">
        <f ca="1">IFERROR(__xludf.DUMMYFUNCTION("""COMPUTED_VALUE"""),"1740104613045")</f>
        <v>1740104613045</v>
      </c>
    </row>
    <row r="4715" spans="1:11" ht="12.45">
      <c r="A4715" s="2" t="str">
        <f ca="1">IFERROR(__xludf.DUMMYFUNCTION("""COMPUTED_VALUE"""),"1759179563359")</f>
        <v>1759179563359</v>
      </c>
      <c r="B4715" s="2"/>
      <c r="C4715" s="2" t="str">
        <v>0</v>
      </c>
      <c r="D4715" s="2"/>
      <c r="F4715" s="2" t="str">
        <v>0</v>
      </c>
      <c r="I4715" s="3" t="str">
        <f ca="1">IFERROR(__xludf.DUMMYFUNCTION("""COMPUTED_VALUE"""),"Đặng Hoàng Linh Đan")</f>
        <v>Đặng Hoàng Linh Đan</v>
      </c>
      <c r="J4715" s="3" t="str">
        <f ca="1">IFERROR(__xludf.DUMMYFUNCTION("""COMPUTED_VALUE"""),"0985107507")</f>
        <v>0985107507</v>
      </c>
      <c r="K4715" s="2" t="str">
        <f ca="1">IFERROR(__xludf.DUMMYFUNCTION("""COMPUTED_VALUE"""),"1759179563359")</f>
        <v>1759179563359</v>
      </c>
    </row>
    <row r="4716" spans="1:11" ht="12.45">
      <c r="A4716" s="2" t="str">
        <f ca="1">IFERROR(__xludf.DUMMYFUNCTION("""COMPUTED_VALUE"""),"1759179596500")</f>
        <v>1759179596500</v>
      </c>
      <c r="B4716" s="2"/>
      <c r="C4716" s="2" t="str">
        <v>0</v>
      </c>
      <c r="D4716" s="2"/>
      <c r="F4716" s="2" t="str">
        <v>0</v>
      </c>
      <c r="I4716" s="3" t="str">
        <f ca="1">IFERROR(__xludf.DUMMYFUNCTION("""COMPUTED_VALUE"""),"Nguyễn Mai Phương")</f>
        <v>Nguyễn Mai Phương</v>
      </c>
      <c r="J4716" s="3" t="str">
        <f ca="1">IFERROR(__xludf.DUMMYFUNCTION("""COMPUTED_VALUE"""),"0865058425")</f>
        <v>0865058425</v>
      </c>
      <c r="K4716" s="2" t="str">
        <f ca="1">IFERROR(__xludf.DUMMYFUNCTION("""COMPUTED_VALUE"""),"1759179596500")</f>
        <v>1759179596500</v>
      </c>
    </row>
    <row r="4717" spans="1:11" ht="12.45">
      <c r="A4717" s="2" t="str">
        <f ca="1">IFERROR(__xludf.DUMMYFUNCTION("""COMPUTED_VALUE"""),"1759179632119")</f>
        <v>1759179632119</v>
      </c>
      <c r="B4717" s="2"/>
      <c r="C4717" s="2" t="str">
        <v>0</v>
      </c>
      <c r="D4717" s="2"/>
      <c r="F4717" s="2" t="str">
        <v>0</v>
      </c>
      <c r="I4717" s="3" t="str">
        <f ca="1">IFERROR(__xludf.DUMMYFUNCTION("""COMPUTED_VALUE"""),"Đinh Phạm Anh Thư")</f>
        <v>Đinh Phạm Anh Thư</v>
      </c>
      <c r="J4717" s="3" t="str">
        <f ca="1">IFERROR(__xludf.DUMMYFUNCTION("""COMPUTED_VALUE"""),"0909422480")</f>
        <v>0909422480</v>
      </c>
      <c r="K4717" s="2" t="str">
        <f ca="1">IFERROR(__xludf.DUMMYFUNCTION("""COMPUTED_VALUE"""),"1759179632119")</f>
        <v>1759179632119</v>
      </c>
    </row>
    <row r="4718" spans="1:11" ht="12.45">
      <c r="A4718" s="2" t="str">
        <f ca="1">IFERROR(__xludf.DUMMYFUNCTION("""COMPUTED_VALUE"""),"1759179673566")</f>
        <v>1759179673566</v>
      </c>
      <c r="B4718" s="2"/>
      <c r="C4718" s="2" t="str">
        <v>0</v>
      </c>
      <c r="D4718" s="2"/>
      <c r="F4718" s="2" t="str">
        <v>0</v>
      </c>
      <c r="I4718" s="3" t="str">
        <f ca="1">IFERROR(__xludf.DUMMYFUNCTION("""COMPUTED_VALUE"""),"Dương Bách Sang")</f>
        <v>Dương Bách Sang</v>
      </c>
      <c r="J4718" s="3" t="str">
        <f ca="1">IFERROR(__xludf.DUMMYFUNCTION("""COMPUTED_VALUE"""),"0384225713")</f>
        <v>0384225713</v>
      </c>
      <c r="K4718" s="2" t="str">
        <f ca="1">IFERROR(__xludf.DUMMYFUNCTION("""COMPUTED_VALUE"""),"1759179673566")</f>
        <v>1759179673566</v>
      </c>
    </row>
    <row r="4719" spans="1:11" ht="12.45">
      <c r="A4719" s="2" t="str">
        <f ca="1">IFERROR(__xludf.DUMMYFUNCTION("""COMPUTED_VALUE"""),"1759179716917")</f>
        <v>1759179716917</v>
      </c>
      <c r="B4719" s="2"/>
      <c r="C4719" s="2" t="str">
        <v>0</v>
      </c>
      <c r="D4719" s="2"/>
      <c r="F4719" s="2" t="str">
        <v>0</v>
      </c>
      <c r="I4719" s="3" t="str">
        <f ca="1">IFERROR(__xludf.DUMMYFUNCTION("""COMPUTED_VALUE"""),"Phan Thị Hoài An")</f>
        <v>Phan Thị Hoài An</v>
      </c>
      <c r="J4719" s="3" t="str">
        <f ca="1">IFERROR(__xludf.DUMMYFUNCTION("""COMPUTED_VALUE"""),"0394855358")</f>
        <v>0394855358</v>
      </c>
      <c r="K4719" s="2" t="str">
        <f ca="1">IFERROR(__xludf.DUMMYFUNCTION("""COMPUTED_VALUE"""),"1759179716917")</f>
        <v>1759179716917</v>
      </c>
    </row>
    <row r="4720" spans="1:11" ht="12.45">
      <c r="A4720" s="2" t="str">
        <f ca="1">IFERROR(__xludf.DUMMYFUNCTION("""COMPUTED_VALUE"""),"1759179757880")</f>
        <v>1759179757880</v>
      </c>
      <c r="B4720" s="2"/>
      <c r="C4720" s="2" t="str">
        <v>0</v>
      </c>
      <c r="D4720" s="2"/>
      <c r="F4720" s="2" t="str">
        <v>0</v>
      </c>
      <c r="I4720" s="3" t="str">
        <f ca="1">IFERROR(__xludf.DUMMYFUNCTION("""COMPUTED_VALUE"""),"Triệu Thuý Nga ")</f>
        <v xml:space="preserve">Triệu Thuý Nga </v>
      </c>
      <c r="J4720" s="3" t="str">
        <f ca="1">IFERROR(__xludf.DUMMYFUNCTION("""COMPUTED_VALUE"""),"0886810057")</f>
        <v>0886810057</v>
      </c>
      <c r="K4720" s="2" t="str">
        <f ca="1">IFERROR(__xludf.DUMMYFUNCTION("""COMPUTED_VALUE"""),"1759179757880")</f>
        <v>1759179757880</v>
      </c>
    </row>
    <row r="4721" spans="1:11" ht="12.45">
      <c r="A4721" s="2" t="str">
        <f ca="1">IFERROR(__xludf.DUMMYFUNCTION("""COMPUTED_VALUE"""),"1759179798501")</f>
        <v>1759179798501</v>
      </c>
      <c r="B4721" s="2"/>
      <c r="C4721" s="2" t="str">
        <v>0</v>
      </c>
      <c r="D4721" s="2"/>
      <c r="F4721" s="2" t="str">
        <v>0</v>
      </c>
      <c r="I4721" s="3" t="str">
        <f ca="1">IFERROR(__xludf.DUMMYFUNCTION("""COMPUTED_VALUE"""),"Đồng Thị Quỳnh Ngân")</f>
        <v>Đồng Thị Quỳnh Ngân</v>
      </c>
      <c r="J4721" s="3" t="str">
        <f ca="1">IFERROR(__xludf.DUMMYFUNCTION("""COMPUTED_VALUE"""),"0326859919")</f>
        <v>0326859919</v>
      </c>
      <c r="K4721" s="2" t="str">
        <f ca="1">IFERROR(__xludf.DUMMYFUNCTION("""COMPUTED_VALUE"""),"1759179798501")</f>
        <v>1759179798501</v>
      </c>
    </row>
    <row r="4722" spans="1:11" ht="12.45">
      <c r="A4722" s="2" t="str">
        <f ca="1">IFERROR(__xludf.DUMMYFUNCTION("""COMPUTED_VALUE"""),"1759179845865")</f>
        <v>1759179845865</v>
      </c>
      <c r="B4722" s="2"/>
      <c r="C4722" s="2" t="str">
        <v>0</v>
      </c>
      <c r="D4722" s="2"/>
      <c r="F4722" s="2" t="str">
        <v>0</v>
      </c>
      <c r="I4722" s="3" t="str">
        <f ca="1">IFERROR(__xludf.DUMMYFUNCTION("""COMPUTED_VALUE"""),"Lộc Tâm Lan")</f>
        <v>Lộc Tâm Lan</v>
      </c>
      <c r="J4722" s="3" t="str">
        <f ca="1">IFERROR(__xludf.DUMMYFUNCTION("""COMPUTED_VALUE"""),"0384287102")</f>
        <v>0384287102</v>
      </c>
      <c r="K4722" s="2" t="str">
        <f ca="1">IFERROR(__xludf.DUMMYFUNCTION("""COMPUTED_VALUE"""),"1759179845865")</f>
        <v>1759179845865</v>
      </c>
    </row>
    <row r="4723" spans="1:11" ht="12.45">
      <c r="A4723" s="2" t="str">
        <f ca="1">IFERROR(__xludf.DUMMYFUNCTION("""COMPUTED_VALUE"""),"1759179885962")</f>
        <v>1759179885962</v>
      </c>
      <c r="B4723" s="2"/>
      <c r="C4723" s="2" t="str">
        <v>0</v>
      </c>
      <c r="D4723" s="2"/>
      <c r="F4723" s="2" t="str">
        <v>0</v>
      </c>
      <c r="I4723" s="3" t="str">
        <f ca="1">IFERROR(__xludf.DUMMYFUNCTION("""COMPUTED_VALUE"""),"Nguyễn Thanh Ngọc Vi")</f>
        <v>Nguyễn Thanh Ngọc Vi</v>
      </c>
      <c r="J4723" s="3" t="str">
        <f ca="1">IFERROR(__xludf.DUMMYFUNCTION("""COMPUTED_VALUE"""),"0909332276")</f>
        <v>0909332276</v>
      </c>
      <c r="K4723" s="2" t="str">
        <f ca="1">IFERROR(__xludf.DUMMYFUNCTION("""COMPUTED_VALUE"""),"1759179885962")</f>
        <v>1759179885962</v>
      </c>
    </row>
    <row r="4724" spans="1:11" ht="12.45">
      <c r="A4724" s="2" t="str">
        <f ca="1">IFERROR(__xludf.DUMMYFUNCTION("""COMPUTED_VALUE"""),"1759179926266")</f>
        <v>1759179926266</v>
      </c>
      <c r="B4724" s="2"/>
      <c r="C4724" s="2" t="str">
        <v>0</v>
      </c>
      <c r="D4724" s="2"/>
      <c r="F4724" s="2" t="str">
        <v>0</v>
      </c>
      <c r="I4724" s="3" t="str">
        <f ca="1">IFERROR(__xludf.DUMMYFUNCTION("""COMPUTED_VALUE"""),"Đinh Hồ Bảo Châu ")</f>
        <v xml:space="preserve">Đinh Hồ Bảo Châu </v>
      </c>
      <c r="J4724" s="3" t="str">
        <f ca="1">IFERROR(__xludf.DUMMYFUNCTION("""COMPUTED_VALUE"""),"0886173907")</f>
        <v>0886173907</v>
      </c>
      <c r="K4724" s="2" t="str">
        <f ca="1">IFERROR(__xludf.DUMMYFUNCTION("""COMPUTED_VALUE"""),"1759179926266")</f>
        <v>1759179926266</v>
      </c>
    </row>
    <row r="4725" spans="1:11" ht="12.45">
      <c r="A4725" s="2" t="str">
        <f ca="1">IFERROR(__xludf.DUMMYFUNCTION("""COMPUTED_VALUE"""),"1740104653052")</f>
        <v>1740104653052</v>
      </c>
      <c r="B4725" s="2"/>
      <c r="C4725" s="2" t="str">
        <v>0</v>
      </c>
      <c r="D4725" s="2"/>
      <c r="F4725" s="2" t="str">
        <v>0</v>
      </c>
      <c r="I4725" s="3" t="str">
        <f ca="1">IFERROR(__xludf.DUMMYFUNCTION("""COMPUTED_VALUE"""),"TRẦN ĐỖ NHẬT HỒNG")</f>
        <v>TRẦN ĐỖ NHẬT HỒNG</v>
      </c>
      <c r="J4725" s="3" t="str">
        <f ca="1">IFERROR(__xludf.DUMMYFUNCTION("""COMPUTED_VALUE"""),"0838150407")</f>
        <v>0838150407</v>
      </c>
      <c r="K4725" s="2" t="str">
        <f ca="1">IFERROR(__xludf.DUMMYFUNCTION("""COMPUTED_VALUE"""),"1740104653052")</f>
        <v>1740104653052</v>
      </c>
    </row>
    <row r="4726" spans="1:11" ht="12.45">
      <c r="A4726" s="2" t="str">
        <f ca="1">IFERROR(__xludf.DUMMYFUNCTION("""COMPUTED_VALUE"""),"1759179998628")</f>
        <v>1759179998628</v>
      </c>
      <c r="B4726" s="2"/>
      <c r="C4726" s="2" t="str">
        <v>0</v>
      </c>
      <c r="D4726" s="2"/>
      <c r="F4726" s="2" t="str">
        <v>0</v>
      </c>
      <c r="I4726" s="3" t="str">
        <f ca="1">IFERROR(__xludf.DUMMYFUNCTION("""COMPUTED_VALUE"""),"Vũ Phương Linh")</f>
        <v>Vũ Phương Linh</v>
      </c>
      <c r="J4726" s="3" t="str">
        <f ca="1">IFERROR(__xludf.DUMMYFUNCTION("""COMPUTED_VALUE"""),"0962800951")</f>
        <v>0962800951</v>
      </c>
      <c r="K4726" s="2" t="str">
        <f ca="1">IFERROR(__xludf.DUMMYFUNCTION("""COMPUTED_VALUE"""),"1759179998628")</f>
        <v>1759179998628</v>
      </c>
    </row>
    <row r="4727" spans="1:11" ht="12.45">
      <c r="A4727" s="2" t="str">
        <f ca="1">IFERROR(__xludf.DUMMYFUNCTION("""COMPUTED_VALUE"""),"1759180037434")</f>
        <v>1759180037434</v>
      </c>
      <c r="B4727" s="2"/>
      <c r="C4727" s="2" t="str">
        <v>0</v>
      </c>
      <c r="D4727" s="2"/>
      <c r="F4727" s="2" t="str">
        <v>0</v>
      </c>
      <c r="I4727" s="3" t="str">
        <f ca="1">IFERROR(__xludf.DUMMYFUNCTION("""COMPUTED_VALUE"""),"TRẦN LÊ NGỌC")</f>
        <v>TRẦN LÊ NGỌC</v>
      </c>
      <c r="J4727" s="3" t="str">
        <f ca="1">IFERROR(__xludf.DUMMYFUNCTION("""COMPUTED_VALUE"""),"0947971812")</f>
        <v>0947971812</v>
      </c>
      <c r="K4727" s="2" t="str">
        <f ca="1">IFERROR(__xludf.DUMMYFUNCTION("""COMPUTED_VALUE"""),"1759180037434")</f>
        <v>1759180037434</v>
      </c>
    </row>
    <row r="4728" spans="1:11" ht="12.45">
      <c r="A4728" s="2" t="str">
        <f ca="1">IFERROR(__xludf.DUMMYFUNCTION("""COMPUTED_VALUE"""),"1759180077426")</f>
        <v>1759180077426</v>
      </c>
      <c r="B4728" s="2"/>
      <c r="C4728" s="2" t="str">
        <v>0</v>
      </c>
      <c r="D4728" s="2"/>
      <c r="F4728" s="2" t="str">
        <v>0</v>
      </c>
      <c r="I4728" s="3" t="str">
        <f ca="1">IFERROR(__xludf.DUMMYFUNCTION("""COMPUTED_VALUE"""),"Nguyễn Thành Công ")</f>
        <v xml:space="preserve">Nguyễn Thành Công </v>
      </c>
      <c r="J4728" s="3" t="str">
        <f ca="1">IFERROR(__xludf.DUMMYFUNCTION("""COMPUTED_VALUE"""),"0985818094")</f>
        <v>0985818094</v>
      </c>
      <c r="K4728" s="2" t="str">
        <f ca="1">IFERROR(__xludf.DUMMYFUNCTION("""COMPUTED_VALUE"""),"1759180077426")</f>
        <v>1759180077426</v>
      </c>
    </row>
    <row r="4729" spans="1:11" ht="12.45">
      <c r="A4729" s="2" t="str">
        <f ca="1">IFERROR(__xludf.DUMMYFUNCTION("""COMPUTED_VALUE"""),"1759180119242")</f>
        <v>1759180119242</v>
      </c>
      <c r="B4729" s="2"/>
      <c r="C4729" s="2" t="str">
        <v>0</v>
      </c>
      <c r="D4729" s="2"/>
      <c r="F4729" s="2" t="str">
        <v>0</v>
      </c>
      <c r="I4729" s="2" t="str">
        <f ca="1">IFERROR(__xludf.DUMMYFUNCTION("""COMPUTED_VALUE"""),"Phạm Huỳnh Lê Khanh")</f>
        <v>Phạm Huỳnh Lê Khanh</v>
      </c>
      <c r="J4729" s="3" t="str">
        <f ca="1">IFERROR(__xludf.DUMMYFUNCTION("""COMPUTED_VALUE"""),"0911914121")</f>
        <v>0911914121</v>
      </c>
      <c r="K4729" s="2" t="str">
        <f ca="1">IFERROR(__xludf.DUMMYFUNCTION("""COMPUTED_VALUE"""),"1759180119242")</f>
        <v>1759180119242</v>
      </c>
    </row>
    <row r="4730" spans="1:11" ht="12.45">
      <c r="A4730" s="2" t="str">
        <f ca="1">IFERROR(__xludf.DUMMYFUNCTION("""COMPUTED_VALUE"""),"1759180182019")</f>
        <v>1759180182019</v>
      </c>
      <c r="B4730" s="2"/>
      <c r="C4730" s="2" t="str">
        <v>0</v>
      </c>
      <c r="D4730" s="2"/>
      <c r="F4730" s="2" t="str">
        <v>0</v>
      </c>
      <c r="I4730" s="3" t="str">
        <f ca="1">IFERROR(__xludf.DUMMYFUNCTION("""COMPUTED_VALUE"""),"Lê Đàm Thu Hồng")</f>
        <v>Lê Đàm Thu Hồng</v>
      </c>
      <c r="J4730" s="3" t="str">
        <f ca="1">IFERROR(__xludf.DUMMYFUNCTION("""COMPUTED_VALUE"""),"0393376415")</f>
        <v>0393376415</v>
      </c>
      <c r="K4730" s="2" t="str">
        <f ca="1">IFERROR(__xludf.DUMMYFUNCTION("""COMPUTED_VALUE"""),"1759180182019")</f>
        <v>1759180182019</v>
      </c>
    </row>
    <row r="4731" spans="1:11" ht="12.45">
      <c r="A4731" s="2" t="str">
        <f ca="1">IFERROR(__xludf.DUMMYFUNCTION("""COMPUTED_VALUE"""),"1759180236191")</f>
        <v>1759180236191</v>
      </c>
      <c r="B4731" s="2"/>
      <c r="C4731" s="2" t="str">
        <v>0</v>
      </c>
      <c r="D4731" s="2"/>
      <c r="F4731" s="2" t="str">
        <v>0</v>
      </c>
      <c r="I4731" s="3" t="str">
        <f ca="1">IFERROR(__xludf.DUMMYFUNCTION("""COMPUTED_VALUE"""),"Phạm Kiều Gia Hân")</f>
        <v>Phạm Kiều Gia Hân</v>
      </c>
      <c r="J4731" s="3" t="str">
        <f ca="1">IFERROR(__xludf.DUMMYFUNCTION("""COMPUTED_VALUE"""),"0899580441")</f>
        <v>0899580441</v>
      </c>
      <c r="K4731" s="2" t="str">
        <f ca="1">IFERROR(__xludf.DUMMYFUNCTION("""COMPUTED_VALUE"""),"1759180236191")</f>
        <v>1759180236191</v>
      </c>
    </row>
    <row r="4732" spans="1:11" ht="12.45">
      <c r="A4732" s="2" t="str">
        <f ca="1">IFERROR(__xludf.DUMMYFUNCTION("""COMPUTED_VALUE"""),"1759180275263")</f>
        <v>1759180275263</v>
      </c>
      <c r="B4732" s="2"/>
      <c r="C4732" s="2" t="str">
        <v>0</v>
      </c>
      <c r="D4732" s="2"/>
      <c r="F4732" s="2" t="str">
        <v>0</v>
      </c>
      <c r="I4732" s="2" t="str">
        <f ca="1">IFERROR(__xludf.DUMMYFUNCTION("""COMPUTED_VALUE"""),"Bế Đặng Tô Hương")</f>
        <v>Bế Đặng Tô Hương</v>
      </c>
      <c r="J4732" s="3" t="str">
        <f ca="1">IFERROR(__xludf.DUMMYFUNCTION("""COMPUTED_VALUE"""),"0812599086")</f>
        <v>0812599086</v>
      </c>
      <c r="K4732" s="2" t="str">
        <f ca="1">IFERROR(__xludf.DUMMYFUNCTION("""COMPUTED_VALUE"""),"1759180275263")</f>
        <v>1759180275263</v>
      </c>
    </row>
    <row r="4733" spans="1:11" ht="12.45">
      <c r="A4733" s="2" t="str">
        <f ca="1">IFERROR(__xludf.DUMMYFUNCTION("""COMPUTED_VALUE"""),"1759180305674")</f>
        <v>1759180305674</v>
      </c>
      <c r="B4733" s="2"/>
      <c r="C4733" s="2" t="str">
        <v>0</v>
      </c>
      <c r="D4733" s="2"/>
      <c r="F4733" s="2" t="str">
        <v>0</v>
      </c>
      <c r="I4733" s="3" t="str">
        <f ca="1">IFERROR(__xludf.DUMMYFUNCTION("""COMPUTED_VALUE"""),"Lưu Đình Thái ")</f>
        <v xml:space="preserve">Lưu Đình Thái </v>
      </c>
      <c r="J4733" s="3" t="str">
        <f ca="1">IFERROR(__xludf.DUMMYFUNCTION("""COMPUTED_VALUE"""),"0705282803")</f>
        <v>0705282803</v>
      </c>
      <c r="K4733" s="2" t="str">
        <f ca="1">IFERROR(__xludf.DUMMYFUNCTION("""COMPUTED_VALUE"""),"1759180305674")</f>
        <v>1759180305674</v>
      </c>
    </row>
    <row r="4734" spans="1:11" ht="12.45">
      <c r="A4734" s="2" t="str">
        <f ca="1">IFERROR(__xludf.DUMMYFUNCTION("""COMPUTED_VALUE"""),"1759180345416")</f>
        <v>1759180345416</v>
      </c>
      <c r="B4734" s="2"/>
      <c r="C4734" s="2" t="str">
        <v>0</v>
      </c>
      <c r="D4734" s="2"/>
      <c r="F4734" s="2" t="str">
        <v>0</v>
      </c>
      <c r="I4734" s="3" t="str">
        <f ca="1">IFERROR(__xludf.DUMMYFUNCTION("""COMPUTED_VALUE"""),"Nguyễn Kiều Anh ")</f>
        <v xml:space="preserve">Nguyễn Kiều Anh </v>
      </c>
      <c r="J4734" s="3" t="str">
        <f ca="1">IFERROR(__xludf.DUMMYFUNCTION("""COMPUTED_VALUE"""),"0335672598")</f>
        <v>0335672598</v>
      </c>
      <c r="K4734" s="2" t="str">
        <f ca="1">IFERROR(__xludf.DUMMYFUNCTION("""COMPUTED_VALUE"""),"1759180345416")</f>
        <v>1759180345416</v>
      </c>
    </row>
    <row r="4735" spans="1:11" ht="12.45">
      <c r="A4735" s="2" t="str">
        <f ca="1">IFERROR(__xludf.DUMMYFUNCTION("""COMPUTED_VALUE"""),"1759180381867")</f>
        <v>1759180381867</v>
      </c>
      <c r="B4735" s="2"/>
      <c r="C4735" s="2" t="str">
        <v>0</v>
      </c>
      <c r="D4735" s="2"/>
      <c r="F4735" s="2" t="str">
        <v>0</v>
      </c>
      <c r="I4735" s="3" t="str">
        <f ca="1">IFERROR(__xludf.DUMMYFUNCTION("""COMPUTED_VALUE"""),"Nguyễn Nhã Kim")</f>
        <v>Nguyễn Nhã Kim</v>
      </c>
      <c r="J4735" s="3" t="str">
        <f ca="1">IFERROR(__xludf.DUMMYFUNCTION("""COMPUTED_VALUE"""),"0824921090")</f>
        <v>0824921090</v>
      </c>
      <c r="K4735" s="2" t="str">
        <f ca="1">IFERROR(__xludf.DUMMYFUNCTION("""COMPUTED_VALUE"""),"1759180381867")</f>
        <v>1759180381867</v>
      </c>
    </row>
    <row r="4736" spans="1:11" ht="12.45">
      <c r="A4736" s="2" t="str">
        <f ca="1">IFERROR(__xludf.DUMMYFUNCTION("""COMPUTED_VALUE"""),"1759180412207")</f>
        <v>1759180412207</v>
      </c>
      <c r="B4736" s="2"/>
      <c r="C4736" s="2" t="str">
        <v>0</v>
      </c>
      <c r="D4736" s="2"/>
      <c r="F4736" s="2" t="str">
        <v>0</v>
      </c>
      <c r="I4736" s="3" t="str">
        <f ca="1">IFERROR(__xludf.DUMMYFUNCTION("""COMPUTED_VALUE"""),"Phương Hoa")</f>
        <v>Phương Hoa</v>
      </c>
      <c r="J4736" s="3" t="str">
        <f ca="1">IFERROR(__xludf.DUMMYFUNCTION("""COMPUTED_VALUE"""),"0961591533")</f>
        <v>0961591533</v>
      </c>
      <c r="K4736" s="2" t="str">
        <f ca="1">IFERROR(__xludf.DUMMYFUNCTION("""COMPUTED_VALUE"""),"1759180412207")</f>
        <v>1759180412207</v>
      </c>
    </row>
    <row r="4737" spans="1:11" ht="12.45">
      <c r="A4737" s="2" t="str">
        <f ca="1">IFERROR(__xludf.DUMMYFUNCTION("""COMPUTED_VALUE"""),"1740104690292")</f>
        <v>1740104690292</v>
      </c>
      <c r="B4737" s="2"/>
      <c r="C4737" s="2" t="str">
        <v>0</v>
      </c>
      <c r="D4737" s="2"/>
      <c r="F4737" s="2" t="str">
        <v>0</v>
      </c>
      <c r="I4737" s="3" t="str">
        <f ca="1">IFERROR(__xludf.DUMMYFUNCTION("""COMPUTED_VALUE"""),"Hà Tiến Luật ")</f>
        <v xml:space="preserve">Hà Tiến Luật </v>
      </c>
      <c r="J4737" s="3" t="str">
        <f ca="1">IFERROR(__xludf.DUMMYFUNCTION("""COMPUTED_VALUE"""),"0869838231")</f>
        <v>0869838231</v>
      </c>
      <c r="K4737" s="2" t="str">
        <f ca="1">IFERROR(__xludf.DUMMYFUNCTION("""COMPUTED_VALUE"""),"1740104690292")</f>
        <v>1740104690292</v>
      </c>
    </row>
    <row r="4738" spans="1:11" ht="12.45">
      <c r="A4738" s="2" t="str">
        <f ca="1">IFERROR(__xludf.DUMMYFUNCTION("""COMPUTED_VALUE"""),"1759180495076")</f>
        <v>1759180495076</v>
      </c>
      <c r="B4738" s="2"/>
      <c r="C4738" s="2" t="str">
        <v>0</v>
      </c>
      <c r="D4738" s="2"/>
      <c r="F4738" s="2" t="str">
        <v>0</v>
      </c>
      <c r="I4738" s="3" t="str">
        <f ca="1">IFERROR(__xludf.DUMMYFUNCTION("""COMPUTED_VALUE"""),"Trương Thảo Trân ")</f>
        <v xml:space="preserve">Trương Thảo Trân </v>
      </c>
      <c r="J4738" s="3" t="str">
        <f ca="1">IFERROR(__xludf.DUMMYFUNCTION("""COMPUTED_VALUE"""),"0912604875")</f>
        <v>0912604875</v>
      </c>
      <c r="K4738" s="2" t="str">
        <f ca="1">IFERROR(__xludf.DUMMYFUNCTION("""COMPUTED_VALUE"""),"1759180495076")</f>
        <v>1759180495076</v>
      </c>
    </row>
    <row r="4739" spans="1:11" ht="12.45">
      <c r="A4739" s="2" t="str">
        <f ca="1">IFERROR(__xludf.DUMMYFUNCTION("""COMPUTED_VALUE"""),"1760153978679")</f>
        <v>1760153978679</v>
      </c>
      <c r="B4739" s="2"/>
      <c r="C4739" s="2" t="str">
        <v>0</v>
      </c>
      <c r="D4739" s="2"/>
      <c r="F4739" s="2" t="str">
        <v>0</v>
      </c>
      <c r="I4739" s="3" t="str">
        <f ca="1">IFERROR(__xludf.DUMMYFUNCTION("""COMPUTED_VALUE"""),"Nguyễn Thu Trang")</f>
        <v>Nguyễn Thu Trang</v>
      </c>
      <c r="J4739" s="3" t="str">
        <f ca="1">IFERROR(__xludf.DUMMYFUNCTION("""COMPUTED_VALUE"""),"0337623275")</f>
        <v>0337623275</v>
      </c>
      <c r="K4739" s="2" t="str">
        <f ca="1">IFERROR(__xludf.DUMMYFUNCTION("""COMPUTED_VALUE"""),"1760153978679")</f>
        <v>1760153978679</v>
      </c>
    </row>
    <row r="4740" spans="1:11" ht="12.45">
      <c r="A4740" s="2" t="str">
        <f ca="1">IFERROR(__xludf.DUMMYFUNCTION("""COMPUTED_VALUE"""),"1760154040592")</f>
        <v>1760154040592</v>
      </c>
      <c r="B4740" s="2"/>
      <c r="C4740" s="2" t="str">
        <v>0</v>
      </c>
      <c r="D4740" s="2"/>
      <c r="F4740" s="2" t="str">
        <v>0</v>
      </c>
      <c r="I4740" s="3" t="str">
        <f ca="1">IFERROR(__xludf.DUMMYFUNCTION("""COMPUTED_VALUE"""),"Nguyễn Lê Bảo Linh")</f>
        <v>Nguyễn Lê Bảo Linh</v>
      </c>
      <c r="J4740" s="3" t="str">
        <f ca="1">IFERROR(__xludf.DUMMYFUNCTION("""COMPUTED_VALUE"""),"0989190737")</f>
        <v>0989190737</v>
      </c>
      <c r="K4740" s="2" t="str">
        <f ca="1">IFERROR(__xludf.DUMMYFUNCTION("""COMPUTED_VALUE"""),"1760154040592")</f>
        <v>1760154040592</v>
      </c>
    </row>
    <row r="4741" spans="1:11" ht="12.45">
      <c r="A4741" s="2" t="str">
        <f ca="1">IFERROR(__xludf.DUMMYFUNCTION("""COMPUTED_VALUE"""),"1760154130655")</f>
        <v>1760154130655</v>
      </c>
      <c r="B4741" s="2"/>
      <c r="C4741" s="2" t="str">
        <v>0</v>
      </c>
      <c r="D4741" s="2"/>
      <c r="F4741" s="2" t="str">
        <v>0</v>
      </c>
      <c r="I4741" s="3" t="str">
        <f ca="1">IFERROR(__xludf.DUMMYFUNCTION("""COMPUTED_VALUE"""),"Lê Thị Diệu Hằng ")</f>
        <v xml:space="preserve">Lê Thị Diệu Hằng </v>
      </c>
      <c r="J4741" s="3" t="str">
        <f ca="1">IFERROR(__xludf.DUMMYFUNCTION("""COMPUTED_VALUE"""),"0377988150")</f>
        <v>0377988150</v>
      </c>
      <c r="K4741" s="2" t="str">
        <f ca="1">IFERROR(__xludf.DUMMYFUNCTION("""COMPUTED_VALUE"""),"1760154130655")</f>
        <v>1760154130655</v>
      </c>
    </row>
    <row r="4742" spans="1:11" ht="12.45">
      <c r="A4742" s="2" t="str">
        <f ca="1">IFERROR(__xludf.DUMMYFUNCTION("""COMPUTED_VALUE"""),"1760154189621")</f>
        <v>1760154189621</v>
      </c>
      <c r="B4742" s="2"/>
      <c r="C4742" s="2" t="str">
        <v>0</v>
      </c>
      <c r="D4742" s="2"/>
      <c r="F4742" s="2" t="str">
        <v>0</v>
      </c>
      <c r="I4742" s="3" t="str">
        <f ca="1">IFERROR(__xludf.DUMMYFUNCTION("""COMPUTED_VALUE"""),"Dương Thị Hồng Nhung")</f>
        <v>Dương Thị Hồng Nhung</v>
      </c>
      <c r="J4742" s="3" t="str">
        <f ca="1">IFERROR(__xludf.DUMMYFUNCTION("""COMPUTED_VALUE"""),"0912716017")</f>
        <v>0912716017</v>
      </c>
      <c r="K4742" s="2" t="str">
        <f ca="1">IFERROR(__xludf.DUMMYFUNCTION("""COMPUTED_VALUE"""),"1760154189621")</f>
        <v>1760154189621</v>
      </c>
    </row>
    <row r="4743" spans="1:11" ht="12.45">
      <c r="A4743" s="2" t="str">
        <f ca="1">IFERROR(__xludf.DUMMYFUNCTION("""COMPUTED_VALUE"""),"1740104731570")</f>
        <v>1740104731570</v>
      </c>
      <c r="B4743" s="2"/>
      <c r="C4743" s="2" t="str">
        <v>0</v>
      </c>
      <c r="D4743" s="2"/>
      <c r="F4743" s="2" t="str">
        <v>0</v>
      </c>
      <c r="I4743" s="3" t="str">
        <f ca="1">IFERROR(__xludf.DUMMYFUNCTION("""COMPUTED_VALUE"""),"Hà Thị Bích Loan ")</f>
        <v xml:space="preserve">Hà Thị Bích Loan </v>
      </c>
      <c r="J4743" s="3" t="str">
        <f ca="1">IFERROR(__xludf.DUMMYFUNCTION("""COMPUTED_VALUE"""),"0789347040")</f>
        <v>0789347040</v>
      </c>
      <c r="K4743" s="2" t="str">
        <f ca="1">IFERROR(__xludf.DUMMYFUNCTION("""COMPUTED_VALUE"""),"1740104731570")</f>
        <v>1740104731570</v>
      </c>
    </row>
    <row r="4744" spans="1:11" ht="12.45">
      <c r="A4744" s="2" t="str">
        <f ca="1">IFERROR(__xludf.DUMMYFUNCTION("""COMPUTED_VALUE"""),"1760154302223")</f>
        <v>1760154302223</v>
      </c>
      <c r="B4744" s="2"/>
      <c r="C4744" s="2" t="str">
        <v>0</v>
      </c>
      <c r="D4744" s="2"/>
      <c r="F4744" s="2" t="str">
        <v>0</v>
      </c>
      <c r="I4744" s="3" t="str">
        <f ca="1">IFERROR(__xludf.DUMMYFUNCTION("""COMPUTED_VALUE"""),"Tào Tuyết Nhi")</f>
        <v>Tào Tuyết Nhi</v>
      </c>
      <c r="J4744" s="3" t="str">
        <f ca="1">IFERROR(__xludf.DUMMYFUNCTION("""COMPUTED_VALUE"""),"0869018043")</f>
        <v>0869018043</v>
      </c>
      <c r="K4744" s="2" t="str">
        <f ca="1">IFERROR(__xludf.DUMMYFUNCTION("""COMPUTED_VALUE"""),"1760154302223")</f>
        <v>1760154302223</v>
      </c>
    </row>
    <row r="4745" spans="1:11" ht="12.45">
      <c r="A4745" s="2" t="str">
        <f ca="1">IFERROR(__xludf.DUMMYFUNCTION("""COMPUTED_VALUE"""),"1760154352178")</f>
        <v>1760154352178</v>
      </c>
      <c r="B4745" s="2"/>
      <c r="C4745" s="2" t="str">
        <v>0</v>
      </c>
      <c r="D4745" s="2"/>
      <c r="F4745" s="2" t="str">
        <v>0</v>
      </c>
      <c r="I4745" s="3" t="str">
        <f ca="1">IFERROR(__xludf.DUMMYFUNCTION("""COMPUTED_VALUE"""),"Nguyễn Gia Linh")</f>
        <v>Nguyễn Gia Linh</v>
      </c>
      <c r="J4745" s="3" t="str">
        <f ca="1">IFERROR(__xludf.DUMMYFUNCTION("""COMPUTED_VALUE"""),"0865550907")</f>
        <v>0865550907</v>
      </c>
      <c r="K4745" s="2" t="str">
        <f ca="1">IFERROR(__xludf.DUMMYFUNCTION("""COMPUTED_VALUE"""),"1760154352178")</f>
        <v>1760154352178</v>
      </c>
    </row>
    <row r="4746" spans="1:11" ht="12.45">
      <c r="A4746" s="2" t="str">
        <f ca="1">IFERROR(__xludf.DUMMYFUNCTION("""COMPUTED_VALUE"""),"1760154401591")</f>
        <v>1760154401591</v>
      </c>
      <c r="B4746" s="2"/>
      <c r="C4746" s="2" t="str">
        <v>0</v>
      </c>
      <c r="D4746" s="2"/>
      <c r="F4746" s="2" t="str">
        <v>0</v>
      </c>
      <c r="I4746" s="3" t="str">
        <f ca="1">IFERROR(__xludf.DUMMYFUNCTION("""COMPUTED_VALUE"""),"Lê Vi")</f>
        <v>Lê Vi</v>
      </c>
      <c r="J4746" s="3" t="str">
        <f ca="1">IFERROR(__xludf.DUMMYFUNCTION("""COMPUTED_VALUE"""),"0353437102")</f>
        <v>0353437102</v>
      </c>
      <c r="K4746" s="2" t="str">
        <f ca="1">IFERROR(__xludf.DUMMYFUNCTION("""COMPUTED_VALUE"""),"1760154401591")</f>
        <v>1760154401591</v>
      </c>
    </row>
    <row r="4747" spans="1:11" ht="12.45">
      <c r="A4747" s="2" t="str">
        <f ca="1">IFERROR(__xludf.DUMMYFUNCTION("""COMPUTED_VALUE"""),"1760154454399")</f>
        <v>1760154454399</v>
      </c>
      <c r="B4747" s="2"/>
      <c r="C4747" s="2" t="str">
        <v>0</v>
      </c>
      <c r="D4747" s="2"/>
      <c r="F4747" s="2" t="str">
        <v>0</v>
      </c>
      <c r="I4747" s="3" t="str">
        <f ca="1">IFERROR(__xludf.DUMMYFUNCTION("""COMPUTED_VALUE"""),"Phùng Phương Thảo ")</f>
        <v xml:space="preserve">Phùng Phương Thảo </v>
      </c>
      <c r="J4747" s="3" t="str">
        <f ca="1">IFERROR(__xludf.DUMMYFUNCTION("""COMPUTED_VALUE"""),"0384547678")</f>
        <v>0384547678</v>
      </c>
      <c r="K4747" s="2" t="str">
        <f ca="1">IFERROR(__xludf.DUMMYFUNCTION("""COMPUTED_VALUE"""),"1760154454399")</f>
        <v>1760154454399</v>
      </c>
    </row>
    <row r="4748" spans="1:11" ht="12.45">
      <c r="A4748" s="2" t="str">
        <f ca="1">IFERROR(__xludf.DUMMYFUNCTION("""COMPUTED_VALUE"""),"1760154504376")</f>
        <v>1760154504376</v>
      </c>
      <c r="B4748" s="2"/>
      <c r="C4748" s="2" t="str">
        <v>0</v>
      </c>
      <c r="D4748" s="2"/>
      <c r="F4748" s="2" t="str">
        <v>0</v>
      </c>
      <c r="I4748" s="3" t="str">
        <f ca="1">IFERROR(__xludf.DUMMYFUNCTION("""COMPUTED_VALUE"""),"Nguyễn Ngọc Ánh ")</f>
        <v xml:space="preserve">Nguyễn Ngọc Ánh </v>
      </c>
      <c r="J4748" s="3" t="str">
        <f ca="1">IFERROR(__xludf.DUMMYFUNCTION("""COMPUTED_VALUE"""),"0352203055")</f>
        <v>0352203055</v>
      </c>
      <c r="K4748" s="2" t="str">
        <f ca="1">IFERROR(__xludf.DUMMYFUNCTION("""COMPUTED_VALUE"""),"1760154504376")</f>
        <v>1760154504376</v>
      </c>
    </row>
    <row r="4749" spans="1:11" ht="12.45">
      <c r="A4749" s="2" t="str">
        <f ca="1">IFERROR(__xludf.DUMMYFUNCTION("""COMPUTED_VALUE"""),"1760154539762")</f>
        <v>1760154539762</v>
      </c>
      <c r="B4749" s="2"/>
      <c r="C4749" s="2" t="str">
        <v>0</v>
      </c>
      <c r="D4749" s="2"/>
      <c r="F4749" s="2" t="str">
        <v>0</v>
      </c>
      <c r="I4749" s="3" t="str">
        <f ca="1">IFERROR(__xludf.DUMMYFUNCTION("""COMPUTED_VALUE"""),"Nguyễn Thị Thu Thuỷ")</f>
        <v>Nguyễn Thị Thu Thuỷ</v>
      </c>
      <c r="J4749" s="3" t="str">
        <f ca="1">IFERROR(__xludf.DUMMYFUNCTION("""COMPUTED_VALUE"""),"0364970560")</f>
        <v>0364970560</v>
      </c>
      <c r="K4749" s="2" t="str">
        <f ca="1">IFERROR(__xludf.DUMMYFUNCTION("""COMPUTED_VALUE"""),"1760154539762")</f>
        <v>1760154539762</v>
      </c>
    </row>
    <row r="4750" spans="1:11" ht="12.45">
      <c r="A4750" s="2" t="str">
        <f ca="1">IFERROR(__xludf.DUMMYFUNCTION("""COMPUTED_VALUE"""),"1760154577886")</f>
        <v>1760154577886</v>
      </c>
      <c r="B4750" s="2"/>
      <c r="C4750" s="2" t="str">
        <v>0</v>
      </c>
      <c r="D4750" s="2"/>
      <c r="F4750" s="2" t="str">
        <v>0</v>
      </c>
      <c r="I4750" s="3" t="str">
        <f ca="1">IFERROR(__xludf.DUMMYFUNCTION("""COMPUTED_VALUE"""),"Hà Thị Diệu Như")</f>
        <v>Hà Thị Diệu Như</v>
      </c>
      <c r="J4750" s="3" t="str">
        <f ca="1">IFERROR(__xludf.DUMMYFUNCTION("""COMPUTED_VALUE"""),"0969036598")</f>
        <v>0969036598</v>
      </c>
      <c r="K4750" s="2" t="str">
        <f ca="1">IFERROR(__xludf.DUMMYFUNCTION("""COMPUTED_VALUE"""),"1760154577886")</f>
        <v>1760154577886</v>
      </c>
    </row>
    <row r="4751" spans="1:11" ht="12.45">
      <c r="A4751" s="2" t="str">
        <f ca="1">IFERROR(__xludf.DUMMYFUNCTION("""COMPUTED_VALUE"""),"1760154612848")</f>
        <v>1760154612848</v>
      </c>
      <c r="B4751" s="2"/>
      <c r="C4751" s="2" t="str">
        <v>0</v>
      </c>
      <c r="D4751" s="2"/>
      <c r="F4751" s="2" t="str">
        <v>0</v>
      </c>
      <c r="I4751" s="3" t="str">
        <f ca="1">IFERROR(__xludf.DUMMYFUNCTION("""COMPUTED_VALUE"""),"Nguyễn Thuỳ Dung ")</f>
        <v xml:space="preserve">Nguyễn Thuỳ Dung </v>
      </c>
      <c r="J4751" s="3" t="str">
        <f ca="1">IFERROR(__xludf.DUMMYFUNCTION("""COMPUTED_VALUE"""),"0396588682")</f>
        <v>0396588682</v>
      </c>
      <c r="K4751" s="2" t="str">
        <f ca="1">IFERROR(__xludf.DUMMYFUNCTION("""COMPUTED_VALUE"""),"1760154612848")</f>
        <v>1760154612848</v>
      </c>
    </row>
    <row r="4752" spans="1:11" ht="12.45">
      <c r="A4752" s="2" t="str">
        <f ca="1">IFERROR(__xludf.DUMMYFUNCTION("""COMPUTED_VALUE"""),"1760154660458")</f>
        <v>1760154660458</v>
      </c>
      <c r="B4752" s="2"/>
      <c r="C4752" s="2" t="str">
        <v>0</v>
      </c>
      <c r="D4752" s="2"/>
      <c r="F4752" s="2" t="str">
        <v>0</v>
      </c>
      <c r="I4752" s="3" t="str">
        <f ca="1">IFERROR(__xludf.DUMMYFUNCTION("""COMPUTED_VALUE"""),"Hồ Bảo Khang")</f>
        <v>Hồ Bảo Khang</v>
      </c>
      <c r="J4752" s="3" t="str">
        <f ca="1">IFERROR(__xludf.DUMMYFUNCTION("""COMPUTED_VALUE"""),"0347529135")</f>
        <v>0347529135</v>
      </c>
      <c r="K4752" s="2" t="str">
        <f ca="1">IFERROR(__xludf.DUMMYFUNCTION("""COMPUTED_VALUE"""),"1760154660458")</f>
        <v>1760154660458</v>
      </c>
    </row>
    <row r="4753" spans="1:11" ht="12.45">
      <c r="A4753" s="2" t="str">
        <f ca="1">IFERROR(__xludf.DUMMYFUNCTION("""COMPUTED_VALUE"""),"1760154718937")</f>
        <v>1760154718937</v>
      </c>
      <c r="B4753" s="2"/>
      <c r="C4753" s="2" t="str">
        <v>0</v>
      </c>
      <c r="D4753" s="2"/>
      <c r="F4753" s="2" t="str">
        <v>0</v>
      </c>
      <c r="I4753" s="3" t="str">
        <f ca="1">IFERROR(__xludf.DUMMYFUNCTION("""COMPUTED_VALUE"""),"Nguyễn Thị Mỹ Hương ")</f>
        <v xml:space="preserve">Nguyễn Thị Mỹ Hương </v>
      </c>
      <c r="J4753" s="3" t="str">
        <f ca="1">IFERROR(__xludf.DUMMYFUNCTION("""COMPUTED_VALUE"""),"0705789618")</f>
        <v>0705789618</v>
      </c>
      <c r="K4753" s="2" t="str">
        <f ca="1">IFERROR(__xludf.DUMMYFUNCTION("""COMPUTED_VALUE"""),"1760154718937")</f>
        <v>1760154718937</v>
      </c>
    </row>
    <row r="4754" spans="1:11" ht="12.45">
      <c r="A4754" s="2" t="str">
        <f ca="1">IFERROR(__xludf.DUMMYFUNCTION("""COMPUTED_VALUE"""),"1760154772611")</f>
        <v>1760154772611</v>
      </c>
      <c r="B4754" s="2"/>
      <c r="C4754" s="2" t="str">
        <v>0</v>
      </c>
      <c r="D4754" s="2"/>
      <c r="F4754" s="2" t="str">
        <v>0</v>
      </c>
      <c r="I4754" s="3" t="str">
        <f ca="1">IFERROR(__xludf.DUMMYFUNCTION("""COMPUTED_VALUE"""),"Nguyễn Thu Hoài")</f>
        <v>Nguyễn Thu Hoài</v>
      </c>
      <c r="J4754" s="3" t="str">
        <f ca="1">IFERROR(__xludf.DUMMYFUNCTION("""COMPUTED_VALUE"""),"0325122389")</f>
        <v>0325122389</v>
      </c>
      <c r="K4754" s="2" t="str">
        <f ca="1">IFERROR(__xludf.DUMMYFUNCTION("""COMPUTED_VALUE"""),"1760154772611")</f>
        <v>1760154772611</v>
      </c>
    </row>
    <row r="4755" spans="1:11" ht="12.45">
      <c r="A4755" s="2" t="str">
        <f ca="1">IFERROR(__xludf.DUMMYFUNCTION("""COMPUTED_VALUE"""),"1760154810817")</f>
        <v>1760154810817</v>
      </c>
      <c r="B4755" s="2"/>
      <c r="C4755" s="2" t="str">
        <v>0</v>
      </c>
      <c r="D4755" s="2"/>
      <c r="F4755" s="2" t="str">
        <v>0</v>
      </c>
      <c r="I4755" s="3" t="str">
        <f ca="1">IFERROR(__xludf.DUMMYFUNCTION("""COMPUTED_VALUE"""),"Trần Khánh Vi")</f>
        <v>Trần Khánh Vi</v>
      </c>
      <c r="J4755" s="3" t="str">
        <f ca="1">IFERROR(__xludf.DUMMYFUNCTION("""COMPUTED_VALUE"""),"0399547048")</f>
        <v>0399547048</v>
      </c>
      <c r="K4755" s="2" t="str">
        <f ca="1">IFERROR(__xludf.DUMMYFUNCTION("""COMPUTED_VALUE"""),"1760154810817")</f>
        <v>1760154810817</v>
      </c>
    </row>
    <row r="4756" spans="1:11" ht="12.45">
      <c r="A4756" s="2" t="str">
        <f ca="1">IFERROR(__xludf.DUMMYFUNCTION("""COMPUTED_VALUE"""),"1760154851444")</f>
        <v>1760154851444</v>
      </c>
      <c r="B4756" s="2"/>
      <c r="C4756" s="2" t="str">
        <v>0</v>
      </c>
      <c r="D4756" s="2"/>
      <c r="F4756" s="2" t="str">
        <v>0</v>
      </c>
      <c r="I4756" s="3" t="str">
        <f ca="1">IFERROR(__xludf.DUMMYFUNCTION("""COMPUTED_VALUE"""),"Đào Trúc Quỳnh")</f>
        <v>Đào Trúc Quỳnh</v>
      </c>
      <c r="J4756" s="3" t="str">
        <f ca="1">IFERROR(__xludf.DUMMYFUNCTION("""COMPUTED_VALUE"""),"0948380025")</f>
        <v>0948380025</v>
      </c>
      <c r="K4756" s="2" t="str">
        <f ca="1">IFERROR(__xludf.DUMMYFUNCTION("""COMPUTED_VALUE"""),"1760154851444")</f>
        <v>1760154851444</v>
      </c>
    </row>
    <row r="4757" spans="1:11" ht="12.45">
      <c r="A4757" s="2" t="str">
        <f ca="1">IFERROR(__xludf.DUMMYFUNCTION("""COMPUTED_VALUE"""),"1760154877489")</f>
        <v>1760154877489</v>
      </c>
      <c r="B4757" s="2"/>
      <c r="C4757" s="2" t="str">
        <v>0</v>
      </c>
      <c r="D4757" s="2"/>
      <c r="F4757" s="2" t="str">
        <v>0</v>
      </c>
      <c r="I4757" s="3" t="str">
        <f ca="1">IFERROR(__xludf.DUMMYFUNCTION("""COMPUTED_VALUE"""),"NGUYỄN MAI PHƯƠNG")</f>
        <v>NGUYỄN MAI PHƯƠNG</v>
      </c>
      <c r="J4757" s="3" t="str">
        <f ca="1">IFERROR(__xludf.DUMMYFUNCTION("""COMPUTED_VALUE"""),"0982179694")</f>
        <v>0982179694</v>
      </c>
      <c r="K4757" s="2" t="str">
        <f ca="1">IFERROR(__xludf.DUMMYFUNCTION("""COMPUTED_VALUE"""),"1760154877489")</f>
        <v>1760154877489</v>
      </c>
    </row>
    <row r="4758" spans="1:11" ht="12.45">
      <c r="A4758" s="2" t="str">
        <f ca="1">IFERROR(__xludf.DUMMYFUNCTION("""COMPUTED_VALUE"""),"1760154920253")</f>
        <v>1760154920253</v>
      </c>
      <c r="B4758" s="2"/>
      <c r="C4758" s="2" t="str">
        <v>0</v>
      </c>
      <c r="D4758" s="2"/>
      <c r="F4758" s="2" t="str">
        <v>0</v>
      </c>
      <c r="I4758" s="3" t="str">
        <f ca="1">IFERROR(__xludf.DUMMYFUNCTION("""COMPUTED_VALUE"""),"Nguyễn Thị Ngọc Mai ")</f>
        <v xml:space="preserve">Nguyễn Thị Ngọc Mai </v>
      </c>
      <c r="J4758" s="3" t="str">
        <f ca="1">IFERROR(__xludf.DUMMYFUNCTION("""COMPUTED_VALUE"""),"0926869883")</f>
        <v>0926869883</v>
      </c>
      <c r="K4758" s="2" t="str">
        <f ca="1">IFERROR(__xludf.DUMMYFUNCTION("""COMPUTED_VALUE"""),"1760154920253")</f>
        <v>1760154920253</v>
      </c>
    </row>
    <row r="4759" spans="1:11" ht="12.45">
      <c r="A4759" s="2" t="str">
        <f ca="1">IFERROR(__xludf.DUMMYFUNCTION("""COMPUTED_VALUE"""),"1760154981915")</f>
        <v>1760154981915</v>
      </c>
      <c r="B4759" s="2"/>
      <c r="C4759" s="2" t="str">
        <v>0</v>
      </c>
      <c r="D4759" s="2"/>
      <c r="F4759" s="2" t="str">
        <v>0</v>
      </c>
      <c r="I4759" s="3" t="str">
        <f ca="1">IFERROR(__xludf.DUMMYFUNCTION("""COMPUTED_VALUE"""),"Đoàn Bảo Hân")</f>
        <v>Đoàn Bảo Hân</v>
      </c>
      <c r="J4759" s="3" t="str">
        <f ca="1">IFERROR(__xludf.DUMMYFUNCTION("""COMPUTED_VALUE"""),"0917985093")</f>
        <v>0917985093</v>
      </c>
      <c r="K4759" s="2" t="str">
        <f ca="1">IFERROR(__xludf.DUMMYFUNCTION("""COMPUTED_VALUE"""),"1760154981915")</f>
        <v>1760154981915</v>
      </c>
    </row>
    <row r="4760" spans="1:11" ht="12.45">
      <c r="A4760" s="2" t="str">
        <f ca="1">IFERROR(__xludf.DUMMYFUNCTION("""COMPUTED_VALUE"""),"1760155012064")</f>
        <v>1760155012064</v>
      </c>
      <c r="B4760" s="2"/>
      <c r="C4760" s="2" t="str">
        <v>0</v>
      </c>
      <c r="D4760" s="2"/>
      <c r="F4760" s="2" t="str">
        <v>0</v>
      </c>
      <c r="I4760" s="3" t="str">
        <f ca="1">IFERROR(__xludf.DUMMYFUNCTION("""COMPUTED_VALUE"""),"Huỳnh Yến Nhi")</f>
        <v>Huỳnh Yến Nhi</v>
      </c>
      <c r="J4760" s="3" t="str">
        <f ca="1">IFERROR(__xludf.DUMMYFUNCTION("""COMPUTED_VALUE"""),"0896850198")</f>
        <v>0896850198</v>
      </c>
      <c r="K4760" s="2" t="str">
        <f ca="1">IFERROR(__xludf.DUMMYFUNCTION("""COMPUTED_VALUE"""),"1760155012064")</f>
        <v>1760155012064</v>
      </c>
    </row>
    <row r="4761" spans="1:11" ht="12.45">
      <c r="A4761" s="2" t="str">
        <f ca="1">IFERROR(__xludf.DUMMYFUNCTION("""COMPUTED_VALUE"""),"1760155052030")</f>
        <v>1760155052030</v>
      </c>
      <c r="B4761" s="2"/>
      <c r="C4761" s="2" t="str">
        <v>0</v>
      </c>
      <c r="D4761" s="2"/>
      <c r="F4761" s="2" t="str">
        <v>0</v>
      </c>
      <c r="I4761" s="3" t="str">
        <f ca="1">IFERROR(__xludf.DUMMYFUNCTION("""COMPUTED_VALUE"""),"Hoàng Ngọc Quỳnh")</f>
        <v>Hoàng Ngọc Quỳnh</v>
      </c>
      <c r="J4761" s="3" t="str">
        <f ca="1">IFERROR(__xludf.DUMMYFUNCTION("""COMPUTED_VALUE"""),"0823379259")</f>
        <v>0823379259</v>
      </c>
      <c r="K4761" s="2" t="str">
        <f ca="1">IFERROR(__xludf.DUMMYFUNCTION("""COMPUTED_VALUE"""),"1760155052030")</f>
        <v>1760155052030</v>
      </c>
    </row>
    <row r="4762" spans="1:11" ht="12.45">
      <c r="A4762" s="2" t="str">
        <f ca="1">IFERROR(__xludf.DUMMYFUNCTION("""COMPUTED_VALUE"""),"1740104767105")</f>
        <v>1740104767105</v>
      </c>
      <c r="B4762" s="2"/>
      <c r="C4762" s="2" t="str">
        <v>0</v>
      </c>
      <c r="D4762" s="2"/>
      <c r="F4762" s="2" t="str">
        <v>0</v>
      </c>
      <c r="I4762" s="3" t="str">
        <f ca="1">IFERROR(__xludf.DUMMYFUNCTION("""COMPUTED_VALUE"""),"Nguyễn Đăng Thành")</f>
        <v>Nguyễn Đăng Thành</v>
      </c>
      <c r="J4762" s="3" t="str">
        <f ca="1">IFERROR(__xludf.DUMMYFUNCTION("""COMPUTED_VALUE"""),"0327177933")</f>
        <v>0327177933</v>
      </c>
      <c r="K4762" s="2" t="str">
        <f ca="1">IFERROR(__xludf.DUMMYFUNCTION("""COMPUTED_VALUE"""),"1740104767105")</f>
        <v>1740104767105</v>
      </c>
    </row>
    <row r="4763" spans="1:11" ht="12.45">
      <c r="A4763" s="2" t="str">
        <f ca="1">IFERROR(__xludf.DUMMYFUNCTION("""COMPUTED_VALUE"""),"1760155163591")</f>
        <v>1760155163591</v>
      </c>
      <c r="B4763" s="2"/>
      <c r="C4763" s="2" t="str">
        <v>0</v>
      </c>
      <c r="D4763" s="2"/>
      <c r="F4763" s="2" t="str">
        <v>0</v>
      </c>
      <c r="I4763" s="3" t="str">
        <f ca="1">IFERROR(__xludf.DUMMYFUNCTION("""COMPUTED_VALUE"""),"Trần Thanh Nam")</f>
        <v>Trần Thanh Nam</v>
      </c>
      <c r="J4763" s="3" t="str">
        <f ca="1">IFERROR(__xludf.DUMMYFUNCTION("""COMPUTED_VALUE"""),"0394251872")</f>
        <v>0394251872</v>
      </c>
      <c r="K4763" s="2" t="str">
        <f ca="1">IFERROR(__xludf.DUMMYFUNCTION("""COMPUTED_VALUE"""),"1760155163591")</f>
        <v>1760155163591</v>
      </c>
    </row>
    <row r="4764" spans="1:11" ht="12.45">
      <c r="A4764" s="2" t="str">
        <f ca="1">IFERROR(__xludf.DUMMYFUNCTION("""COMPUTED_VALUE"""),"1760155190639")</f>
        <v>1760155190639</v>
      </c>
      <c r="B4764" s="2"/>
      <c r="C4764" s="2" t="str">
        <v>0</v>
      </c>
      <c r="D4764" s="2"/>
      <c r="F4764" s="2" t="str">
        <v>0</v>
      </c>
      <c r="I4764" s="3" t="str">
        <f ca="1">IFERROR(__xludf.DUMMYFUNCTION("""COMPUTED_VALUE"""),"Hoàng Thanh Thương")</f>
        <v>Hoàng Thanh Thương</v>
      </c>
      <c r="J4764" s="3" t="str">
        <f ca="1">IFERROR(__xludf.DUMMYFUNCTION("""COMPUTED_VALUE"""),"0852224807")</f>
        <v>0852224807</v>
      </c>
      <c r="K4764" s="2" t="str">
        <f ca="1">IFERROR(__xludf.DUMMYFUNCTION("""COMPUTED_VALUE"""),"1760155190639")</f>
        <v>1760155190639</v>
      </c>
    </row>
    <row r="4765" spans="1:11" ht="12.45">
      <c r="A4765" s="2" t="str">
        <f ca="1">IFERROR(__xludf.DUMMYFUNCTION("""COMPUTED_VALUE"""),"1760155246250")</f>
        <v>1760155246250</v>
      </c>
      <c r="B4765" s="2"/>
      <c r="C4765" s="2" t="str">
        <v>0</v>
      </c>
      <c r="D4765" s="2"/>
      <c r="F4765" s="2" t="str">
        <v>0</v>
      </c>
      <c r="I4765" s="3" t="str">
        <f ca="1">IFERROR(__xludf.DUMMYFUNCTION("""COMPUTED_VALUE"""),"Nguyễn khánh hoà")</f>
        <v>Nguyễn khánh hoà</v>
      </c>
      <c r="J4765" s="3" t="str">
        <f ca="1">IFERROR(__xludf.DUMMYFUNCTION("""COMPUTED_VALUE"""),"0965210229")</f>
        <v>0965210229</v>
      </c>
      <c r="K4765" s="2" t="str">
        <f ca="1">IFERROR(__xludf.DUMMYFUNCTION("""COMPUTED_VALUE"""),"1760155246250")</f>
        <v>1760155246250</v>
      </c>
    </row>
    <row r="4766" spans="1:11" ht="12.45">
      <c r="A4766" s="2" t="str">
        <f ca="1">IFERROR(__xludf.DUMMYFUNCTION("""COMPUTED_VALUE"""),"1760155337808")</f>
        <v>1760155337808</v>
      </c>
      <c r="B4766" s="2"/>
      <c r="C4766" s="2" t="str">
        <v>0</v>
      </c>
      <c r="D4766" s="2"/>
      <c r="F4766" s="2" t="str">
        <v>0</v>
      </c>
      <c r="I4766" s="3" t="str">
        <f ca="1">IFERROR(__xludf.DUMMYFUNCTION("""COMPUTED_VALUE"""),"Triệu Thị Kim Cúc ")</f>
        <v xml:space="preserve">Triệu Thị Kim Cúc </v>
      </c>
      <c r="J4766" s="3" t="str">
        <f ca="1">IFERROR(__xludf.DUMMYFUNCTION("""COMPUTED_VALUE"""),"0398858244")</f>
        <v>0398858244</v>
      </c>
      <c r="K4766" s="2" t="str">
        <f ca="1">IFERROR(__xludf.DUMMYFUNCTION("""COMPUTED_VALUE"""),"1760155337808")</f>
        <v>1760155337808</v>
      </c>
    </row>
    <row r="4767" spans="1:11" ht="12.45">
      <c r="A4767" s="2" t="str">
        <f ca="1">IFERROR(__xludf.DUMMYFUNCTION("""COMPUTED_VALUE"""),"1760155386180")</f>
        <v>1760155386180</v>
      </c>
      <c r="B4767" s="2"/>
      <c r="C4767" s="2" t="str">
        <v>0</v>
      </c>
      <c r="D4767" s="2"/>
      <c r="F4767" s="2" t="str">
        <v>0</v>
      </c>
      <c r="I4767" s="3" t="str">
        <f ca="1">IFERROR(__xludf.DUMMYFUNCTION("""COMPUTED_VALUE"""),"Phạm Khánh Vy")</f>
        <v>Phạm Khánh Vy</v>
      </c>
      <c r="J4767" s="3" t="str">
        <f ca="1">IFERROR(__xludf.DUMMYFUNCTION("""COMPUTED_VALUE"""),"0338228031")</f>
        <v>0338228031</v>
      </c>
      <c r="K4767" s="2" t="str">
        <f ca="1">IFERROR(__xludf.DUMMYFUNCTION("""COMPUTED_VALUE"""),"1760155386180")</f>
        <v>1760155386180</v>
      </c>
    </row>
    <row r="4768" spans="1:11" ht="12.45">
      <c r="A4768" s="2" t="str">
        <f ca="1">IFERROR(__xludf.DUMMYFUNCTION("""COMPUTED_VALUE"""),"1760155429992")</f>
        <v>1760155429992</v>
      </c>
      <c r="B4768" s="2"/>
      <c r="C4768" s="2" t="str">
        <v>0</v>
      </c>
      <c r="D4768" s="2"/>
      <c r="F4768" s="2" t="str">
        <v>0</v>
      </c>
      <c r="I4768" s="3" t="str">
        <f ca="1">IFERROR(__xludf.DUMMYFUNCTION("""COMPUTED_VALUE"""),"Vì Hải Tuấn")</f>
        <v>Vì Hải Tuấn</v>
      </c>
      <c r="J4768" s="3" t="str">
        <f ca="1">IFERROR(__xludf.DUMMYFUNCTION("""COMPUTED_VALUE"""),"0325902613")</f>
        <v>0325902613</v>
      </c>
      <c r="K4768" s="2" t="str">
        <f ca="1">IFERROR(__xludf.DUMMYFUNCTION("""COMPUTED_VALUE"""),"1760155429992")</f>
        <v>1760155429992</v>
      </c>
    </row>
    <row r="4769" spans="1:11" ht="12.45">
      <c r="A4769" s="2" t="str">
        <f ca="1">IFERROR(__xludf.DUMMYFUNCTION("""COMPUTED_VALUE"""),"Không giao sách")</f>
        <v>Không giao sách</v>
      </c>
      <c r="B4769" s="2"/>
      <c r="C4769" s="2" t="str">
        <v>0</v>
      </c>
      <c r="D4769" s="2"/>
      <c r="F4769" s="2" t="str">
        <v>0</v>
      </c>
      <c r="I4769" s="3" t="str">
        <f ca="1">IFERROR(__xludf.DUMMYFUNCTION("""COMPUTED_VALUE"""),"Đàm Thanh Trúc")</f>
        <v>Đàm Thanh Trúc</v>
      </c>
      <c r="J4769" s="3" t="str">
        <f ca="1">IFERROR(__xludf.DUMMYFUNCTION("""COMPUTED_VALUE"""),"0812459329")</f>
        <v>0812459329</v>
      </c>
      <c r="K4769" s="2" t="str">
        <f ca="1">IFERROR(__xludf.DUMMYFUNCTION("""COMPUTED_VALUE"""),"Không giao sách")</f>
        <v>Không giao sách</v>
      </c>
    </row>
    <row r="4770" spans="1:11" ht="12.45">
      <c r="A4770" s="2" t="str">
        <f ca="1">IFERROR(__xludf.DUMMYFUNCTION("""COMPUTED_VALUE"""),"1760155477160")</f>
        <v>1760155477160</v>
      </c>
      <c r="B4770" s="2"/>
      <c r="C4770" s="2" t="str">
        <v>0</v>
      </c>
      <c r="D4770" s="2"/>
      <c r="F4770" s="2" t="str">
        <v>0</v>
      </c>
      <c r="I4770" s="3" t="str">
        <f ca="1">IFERROR(__xludf.DUMMYFUNCTION("""COMPUTED_VALUE"""),"Nguyễn Hà Thành")</f>
        <v>Nguyễn Hà Thành</v>
      </c>
      <c r="J4770" s="3" t="str">
        <f ca="1">IFERROR(__xludf.DUMMYFUNCTION("""COMPUTED_VALUE"""),"0967200576")</f>
        <v>0967200576</v>
      </c>
      <c r="K4770" s="2" t="str">
        <f ca="1">IFERROR(__xludf.DUMMYFUNCTION("""COMPUTED_VALUE"""),"1760155477160")</f>
        <v>1760155477160</v>
      </c>
    </row>
    <row r="4771" spans="1:11" ht="12.45">
      <c r="A4771" s="2" t="str">
        <f ca="1">IFERROR(__xludf.DUMMYFUNCTION("""COMPUTED_VALUE"""),"1760155506973")</f>
        <v>1760155506973</v>
      </c>
      <c r="B4771" s="2"/>
      <c r="C4771" s="2" t="str">
        <v>0</v>
      </c>
      <c r="D4771" s="2"/>
      <c r="F4771" s="2" t="str">
        <v>0</v>
      </c>
      <c r="I4771" s="3" t="str">
        <f ca="1">IFERROR(__xludf.DUMMYFUNCTION("""COMPUTED_VALUE"""),"Đào Thanh Tâm")</f>
        <v>Đào Thanh Tâm</v>
      </c>
      <c r="J4771" s="3" t="str">
        <f ca="1">IFERROR(__xludf.DUMMYFUNCTION("""COMPUTED_VALUE"""),"0966073147")</f>
        <v>0966073147</v>
      </c>
      <c r="K4771" s="2" t="str">
        <f ca="1">IFERROR(__xludf.DUMMYFUNCTION("""COMPUTED_VALUE"""),"1760155506973")</f>
        <v>1760155506973</v>
      </c>
    </row>
    <row r="4772" spans="1:11" ht="12.45">
      <c r="A4772" s="2" t="str">
        <f ca="1">IFERROR(__xludf.DUMMYFUNCTION("""COMPUTED_VALUE"""),"1760155550365")</f>
        <v>1760155550365</v>
      </c>
      <c r="B4772" s="2"/>
      <c r="C4772" s="2" t="str">
        <v>0</v>
      </c>
      <c r="D4772" s="2"/>
      <c r="F4772" s="2" t="str">
        <v>0</v>
      </c>
      <c r="I4772" s="3" t="str">
        <f ca="1">IFERROR(__xludf.DUMMYFUNCTION("""COMPUTED_VALUE"""),"Đinh Phương Anh")</f>
        <v>Đinh Phương Anh</v>
      </c>
      <c r="J4772" s="3" t="str">
        <f ca="1">IFERROR(__xludf.DUMMYFUNCTION("""COMPUTED_VALUE"""),"0835998755")</f>
        <v>0835998755</v>
      </c>
      <c r="K4772" s="2" t="str">
        <f ca="1">IFERROR(__xludf.DUMMYFUNCTION("""COMPUTED_VALUE"""),"1760155550365")</f>
        <v>1760155550365</v>
      </c>
    </row>
    <row r="4773" spans="1:11" ht="12.45">
      <c r="A4773" s="2" t="str">
        <f ca="1">IFERROR(__xludf.DUMMYFUNCTION("""COMPUTED_VALUE"""),"1760155589053")</f>
        <v>1760155589053</v>
      </c>
      <c r="B4773" s="2"/>
      <c r="C4773" s="2" t="str">
        <v>0</v>
      </c>
      <c r="D4773" s="2"/>
      <c r="F4773" s="2" t="str">
        <v>0</v>
      </c>
      <c r="I4773" s="3" t="str">
        <f ca="1">IFERROR(__xludf.DUMMYFUNCTION("""COMPUTED_VALUE"""),"NGUYỄN VIỆT DUY")</f>
        <v>NGUYỄN VIỆT DUY</v>
      </c>
      <c r="J4773" s="3" t="str">
        <f ca="1">IFERROR(__xludf.DUMMYFUNCTION("""COMPUTED_VALUE"""),"0399284149")</f>
        <v>0399284149</v>
      </c>
      <c r="K4773" s="2" t="str">
        <f ca="1">IFERROR(__xludf.DUMMYFUNCTION("""COMPUTED_VALUE"""),"1760155589053")</f>
        <v>1760155589053</v>
      </c>
    </row>
    <row r="4774" spans="1:11" ht="12.45">
      <c r="A4774" s="2" t="str">
        <f ca="1">IFERROR(__xludf.DUMMYFUNCTION("""COMPUTED_VALUE"""),"1760155619209")</f>
        <v>1760155619209</v>
      </c>
      <c r="B4774" s="2"/>
      <c r="C4774" s="2" t="str">
        <v>0</v>
      </c>
      <c r="D4774" s="2"/>
      <c r="F4774" s="2" t="str">
        <v>0</v>
      </c>
      <c r="I4774" s="3" t="str">
        <f ca="1">IFERROR(__xludf.DUMMYFUNCTION("""COMPUTED_VALUE"""),"Lê Nguyễn Bảo Di ")</f>
        <v xml:space="preserve">Lê Nguyễn Bảo Di </v>
      </c>
      <c r="J4774" s="3" t="str">
        <f ca="1">IFERROR(__xludf.DUMMYFUNCTION("""COMPUTED_VALUE"""),"0899914419")</f>
        <v>0899914419</v>
      </c>
      <c r="K4774" s="2" t="str">
        <f ca="1">IFERROR(__xludf.DUMMYFUNCTION("""COMPUTED_VALUE"""),"1760155619209")</f>
        <v>1760155619209</v>
      </c>
    </row>
    <row r="4775" spans="1:11" ht="12.45">
      <c r="A4775" s="2" t="str">
        <f ca="1">IFERROR(__xludf.DUMMYFUNCTION("""COMPUTED_VALUE"""),"1760155644907")</f>
        <v>1760155644907</v>
      </c>
      <c r="B4775" s="2"/>
      <c r="C4775" s="2" t="str">
        <v>0</v>
      </c>
      <c r="D4775" s="2"/>
      <c r="F4775" s="2" t="str">
        <v>0</v>
      </c>
      <c r="I4775" s="3" t="str">
        <f ca="1">IFERROR(__xludf.DUMMYFUNCTION("""COMPUTED_VALUE"""),"Phùng Thảo Ly ")</f>
        <v xml:space="preserve">Phùng Thảo Ly </v>
      </c>
      <c r="J4775" s="3" t="str">
        <f ca="1">IFERROR(__xludf.DUMMYFUNCTION("""COMPUTED_VALUE"""),"0385286607")</f>
        <v>0385286607</v>
      </c>
      <c r="K4775" s="2" t="str">
        <f ca="1">IFERROR(__xludf.DUMMYFUNCTION("""COMPUTED_VALUE"""),"1760155644907")</f>
        <v>1760155644907</v>
      </c>
    </row>
    <row r="4776" spans="1:11" ht="12.45">
      <c r="A4776" s="2" t="str">
        <f ca="1">IFERROR(__xludf.DUMMYFUNCTION("""COMPUTED_VALUE"""),"1760155673982")</f>
        <v>1760155673982</v>
      </c>
      <c r="B4776" s="2"/>
      <c r="C4776" s="2" t="str">
        <v>0</v>
      </c>
      <c r="D4776" s="2"/>
      <c r="F4776" s="2" t="str">
        <v>0</v>
      </c>
      <c r="I4776" s="3" t="str">
        <f ca="1">IFERROR(__xludf.DUMMYFUNCTION("""COMPUTED_VALUE"""),"Mai Khánh Huyền")</f>
        <v>Mai Khánh Huyền</v>
      </c>
      <c r="J4776" s="3" t="str">
        <f ca="1">IFERROR(__xludf.DUMMYFUNCTION("""COMPUTED_VALUE"""),"0943349162")</f>
        <v>0943349162</v>
      </c>
      <c r="K4776" s="2" t="str">
        <f ca="1">IFERROR(__xludf.DUMMYFUNCTION("""COMPUTED_VALUE"""),"1760155673982")</f>
        <v>1760155673982</v>
      </c>
    </row>
    <row r="4777" spans="1:11" ht="12.45">
      <c r="A4777" s="2" t="str">
        <f ca="1">IFERROR(__xludf.DUMMYFUNCTION("""COMPUTED_VALUE"""),"1760155699321")</f>
        <v>1760155699321</v>
      </c>
      <c r="B4777" s="2"/>
      <c r="C4777" s="2" t="str">
        <v>0</v>
      </c>
      <c r="D4777" s="2"/>
      <c r="F4777" s="2" t="str">
        <v>0</v>
      </c>
      <c r="I4777" s="3" t="str">
        <f ca="1">IFERROR(__xludf.DUMMYFUNCTION("""COMPUTED_VALUE"""),"Công Bích Ngọc")</f>
        <v>Công Bích Ngọc</v>
      </c>
      <c r="J4777" s="3" t="str">
        <f ca="1">IFERROR(__xludf.DUMMYFUNCTION("""COMPUTED_VALUE"""),"0394179488")</f>
        <v>0394179488</v>
      </c>
      <c r="K4777" s="2" t="str">
        <f ca="1">IFERROR(__xludf.DUMMYFUNCTION("""COMPUTED_VALUE"""),"1760155699321")</f>
        <v>1760155699321</v>
      </c>
    </row>
    <row r="4778" spans="1:11" ht="12.45">
      <c r="A4778" s="2" t="str">
        <f ca="1">IFERROR(__xludf.DUMMYFUNCTION("""COMPUTED_VALUE"""),"1760155737864")</f>
        <v>1760155737864</v>
      </c>
      <c r="B4778" s="2"/>
      <c r="C4778" s="2" t="str">
        <v>0</v>
      </c>
      <c r="D4778" s="2"/>
      <c r="F4778" s="2" t="str">
        <v>0</v>
      </c>
      <c r="I4778" s="3" t="str">
        <f ca="1">IFERROR(__xludf.DUMMYFUNCTION("""COMPUTED_VALUE"""),"Lê Vân Hà")</f>
        <v>Lê Vân Hà</v>
      </c>
      <c r="J4778" s="3" t="str">
        <f ca="1">IFERROR(__xludf.DUMMYFUNCTION("""COMPUTED_VALUE"""),"0967347163")</f>
        <v>0967347163</v>
      </c>
      <c r="K4778" s="2" t="str">
        <f ca="1">IFERROR(__xludf.DUMMYFUNCTION("""COMPUTED_VALUE"""),"1760155737864")</f>
        <v>1760155737864</v>
      </c>
    </row>
    <row r="4779" spans="1:11" ht="12.45">
      <c r="A4779" s="2" t="str">
        <f ca="1">IFERROR(__xludf.DUMMYFUNCTION("""COMPUTED_VALUE"""),"1760155767597")</f>
        <v>1760155767597</v>
      </c>
      <c r="B4779" s="2"/>
      <c r="C4779" s="2" t="str">
        <v>0</v>
      </c>
      <c r="D4779" s="2"/>
      <c r="F4779" s="2" t="str">
        <v>0</v>
      </c>
      <c r="I4779" s="3" t="str">
        <f ca="1">IFERROR(__xludf.DUMMYFUNCTION("""COMPUTED_VALUE"""),"Nguyễn Thị Quỳnh Trang ")</f>
        <v xml:space="preserve">Nguyễn Thị Quỳnh Trang </v>
      </c>
      <c r="J4779" s="3" t="str">
        <f ca="1">IFERROR(__xludf.DUMMYFUNCTION("""COMPUTED_VALUE"""),"0915532262")</f>
        <v>0915532262</v>
      </c>
      <c r="K4779" s="2" t="str">
        <f ca="1">IFERROR(__xludf.DUMMYFUNCTION("""COMPUTED_VALUE"""),"1760155767597")</f>
        <v>1760155767597</v>
      </c>
    </row>
    <row r="4780" spans="1:11" ht="12.45">
      <c r="A4780" s="2" t="str">
        <f ca="1">IFERROR(__xludf.DUMMYFUNCTION("""COMPUTED_VALUE"""),"1760155818012")</f>
        <v>1760155818012</v>
      </c>
      <c r="B4780" s="2"/>
      <c r="C4780" s="2" t="str">
        <v>0</v>
      </c>
      <c r="D4780" s="2"/>
      <c r="F4780" s="2" t="str">
        <v>0</v>
      </c>
      <c r="I4780" s="3" t="str">
        <f ca="1">IFERROR(__xludf.DUMMYFUNCTION("""COMPUTED_VALUE"""),"Nguyễn Hoàng Uyên")</f>
        <v>Nguyễn Hoàng Uyên</v>
      </c>
      <c r="J4780" s="3" t="str">
        <f ca="1">IFERROR(__xludf.DUMMYFUNCTION("""COMPUTED_VALUE"""),"0353306544")</f>
        <v>0353306544</v>
      </c>
      <c r="K4780" s="2" t="str">
        <f ca="1">IFERROR(__xludf.DUMMYFUNCTION("""COMPUTED_VALUE"""),"1760155818012")</f>
        <v>1760155818012</v>
      </c>
    </row>
    <row r="4781" spans="1:11" ht="12.45">
      <c r="A4781" s="2" t="str">
        <f ca="1">IFERROR(__xludf.DUMMYFUNCTION("""COMPUTED_VALUE"""),"1760155845744")</f>
        <v>1760155845744</v>
      </c>
      <c r="B4781" s="2"/>
      <c r="C4781" s="2" t="str">
        <v>0</v>
      </c>
      <c r="D4781" s="2"/>
      <c r="F4781" s="2" t="str">
        <v>0</v>
      </c>
      <c r="I4781" s="3" t="str">
        <f ca="1">IFERROR(__xludf.DUMMYFUNCTION("""COMPUTED_VALUE"""),"Phan Thị Lan Anh")</f>
        <v>Phan Thị Lan Anh</v>
      </c>
      <c r="J4781" s="3" t="str">
        <f ca="1">IFERROR(__xludf.DUMMYFUNCTION("""COMPUTED_VALUE"""),"0375992742")</f>
        <v>0375992742</v>
      </c>
      <c r="K4781" s="2" t="str">
        <f ca="1">IFERROR(__xludf.DUMMYFUNCTION("""COMPUTED_VALUE"""),"1760155845744")</f>
        <v>1760155845744</v>
      </c>
    </row>
    <row r="4782" spans="1:11" ht="12.45">
      <c r="A4782" s="2" t="str">
        <f ca="1">IFERROR(__xludf.DUMMYFUNCTION("""COMPUTED_VALUE"""),"1760155890673")</f>
        <v>1760155890673</v>
      </c>
      <c r="B4782" s="2"/>
      <c r="C4782" s="2" t="str">
        <v>0</v>
      </c>
      <c r="D4782" s="2"/>
      <c r="F4782" s="2" t="str">
        <v>0</v>
      </c>
      <c r="I4782" s="3" t="str">
        <f ca="1">IFERROR(__xludf.DUMMYFUNCTION("""COMPUTED_VALUE"""),"Bùi Quỳnh Chi ")</f>
        <v xml:space="preserve">Bùi Quỳnh Chi </v>
      </c>
      <c r="J4782" s="3" t="str">
        <f ca="1">IFERROR(__xludf.DUMMYFUNCTION("""COMPUTED_VALUE"""),"0344636588")</f>
        <v>0344636588</v>
      </c>
      <c r="K4782" s="2" t="str">
        <f ca="1">IFERROR(__xludf.DUMMYFUNCTION("""COMPUTED_VALUE"""),"1760155890673")</f>
        <v>1760155890673</v>
      </c>
    </row>
    <row r="4783" spans="1:11" ht="12.45">
      <c r="A4783" s="2" t="str">
        <f ca="1">IFERROR(__xludf.DUMMYFUNCTION("""COMPUTED_VALUE"""),"1740104810375")</f>
        <v>1740104810375</v>
      </c>
      <c r="B4783" s="2"/>
      <c r="C4783" s="2" t="str">
        <v>0</v>
      </c>
      <c r="D4783" s="2"/>
      <c r="F4783" s="2" t="str">
        <v>0</v>
      </c>
      <c r="I4783" s="3" t="str">
        <f ca="1">IFERROR(__xludf.DUMMYFUNCTION("""COMPUTED_VALUE"""),"Vũ Thùy Linh")</f>
        <v>Vũ Thùy Linh</v>
      </c>
      <c r="J4783" s="3" t="str">
        <f ca="1">IFERROR(__xludf.DUMMYFUNCTION("""COMPUTED_VALUE"""),"0398633138")</f>
        <v>0398633138</v>
      </c>
      <c r="K4783" s="2" t="str">
        <f ca="1">IFERROR(__xludf.DUMMYFUNCTION("""COMPUTED_VALUE"""),"1740104810375")</f>
        <v>1740104810375</v>
      </c>
    </row>
    <row r="4784" spans="1:11" ht="12.45">
      <c r="A4784" s="2" t="str">
        <f ca="1">IFERROR(__xludf.DUMMYFUNCTION("""COMPUTED_VALUE"""),"1760155980021")</f>
        <v>1760155980021</v>
      </c>
      <c r="B4784" s="2"/>
      <c r="C4784" s="2" t="str">
        <v>0</v>
      </c>
      <c r="D4784" s="2"/>
      <c r="F4784" s="2" t="str">
        <v>0</v>
      </c>
      <c r="I4784" s="3" t="str">
        <f ca="1">IFERROR(__xludf.DUMMYFUNCTION("""COMPUTED_VALUE"""),"Lê Ngọc Hiền")</f>
        <v>Lê Ngọc Hiền</v>
      </c>
      <c r="J4784" s="3" t="str">
        <f ca="1">IFERROR(__xludf.DUMMYFUNCTION("""COMPUTED_VALUE"""),"0941217754")</f>
        <v>0941217754</v>
      </c>
      <c r="K4784" s="2" t="str">
        <f ca="1">IFERROR(__xludf.DUMMYFUNCTION("""COMPUTED_VALUE"""),"1760155980021")</f>
        <v>1760155980021</v>
      </c>
    </row>
    <row r="4785" spans="1:11" ht="12.45">
      <c r="A4785" s="2" t="str">
        <f ca="1">IFERROR(__xludf.DUMMYFUNCTION("""COMPUTED_VALUE"""),"1760156019215")</f>
        <v>1760156019215</v>
      </c>
      <c r="B4785" s="2"/>
      <c r="C4785" s="2" t="str">
        <v>0</v>
      </c>
      <c r="D4785" s="2"/>
      <c r="F4785" s="2" t="str">
        <v>0</v>
      </c>
      <c r="I4785" s="3" t="str">
        <f ca="1">IFERROR(__xludf.DUMMYFUNCTION("""COMPUTED_VALUE"""),"Vũ Thị Ngọc Ly")</f>
        <v>Vũ Thị Ngọc Ly</v>
      </c>
      <c r="J4785" s="3" t="str">
        <f ca="1">IFERROR(__xludf.DUMMYFUNCTION("""COMPUTED_VALUE"""),"0981336157")</f>
        <v>0981336157</v>
      </c>
      <c r="K4785" s="2" t="str">
        <f ca="1">IFERROR(__xludf.DUMMYFUNCTION("""COMPUTED_VALUE"""),"1760156019215")</f>
        <v>1760156019215</v>
      </c>
    </row>
    <row r="4786" spans="1:11" ht="12.45">
      <c r="A4786" s="2" t="str">
        <f ca="1">IFERROR(__xludf.DUMMYFUNCTION("""COMPUTED_VALUE"""),"1760156069042")</f>
        <v>1760156069042</v>
      </c>
      <c r="B4786" s="2"/>
      <c r="C4786" s="2" t="str">
        <v>0</v>
      </c>
      <c r="D4786" s="2"/>
      <c r="F4786" s="2" t="str">
        <v>0</v>
      </c>
      <c r="I4786" s="3" t="str">
        <f ca="1">IFERROR(__xludf.DUMMYFUNCTION("""COMPUTED_VALUE"""),"Bùi Tấn Dương")</f>
        <v>Bùi Tấn Dương</v>
      </c>
      <c r="J4786" s="3" t="str">
        <f ca="1">IFERROR(__xludf.DUMMYFUNCTION("""COMPUTED_VALUE"""),"0935820775")</f>
        <v>0935820775</v>
      </c>
      <c r="K4786" s="2" t="str">
        <f ca="1">IFERROR(__xludf.DUMMYFUNCTION("""COMPUTED_VALUE"""),"1760156069042")</f>
        <v>1760156069042</v>
      </c>
    </row>
    <row r="4787" spans="1:11" ht="12.45">
      <c r="A4787" s="2" t="str">
        <f ca="1">IFERROR(__xludf.DUMMYFUNCTION("""COMPUTED_VALUE"""),"1760156139243")</f>
        <v>1760156139243</v>
      </c>
      <c r="B4787" s="2"/>
      <c r="C4787" s="2" t="str">
        <v>0</v>
      </c>
      <c r="D4787" s="2"/>
      <c r="F4787" s="2" t="str">
        <v>0</v>
      </c>
      <c r="I4787" s="3" t="str">
        <f ca="1">IFERROR(__xludf.DUMMYFUNCTION("""COMPUTED_VALUE"""),"Phạm Thị Phương Uyên")</f>
        <v>Phạm Thị Phương Uyên</v>
      </c>
      <c r="J4787" s="3" t="str">
        <f ca="1">IFERROR(__xludf.DUMMYFUNCTION("""COMPUTED_VALUE"""),"0977726932")</f>
        <v>0977726932</v>
      </c>
      <c r="K4787" s="2" t="str">
        <f ca="1">IFERROR(__xludf.DUMMYFUNCTION("""COMPUTED_VALUE"""),"1760156139243")</f>
        <v>1760156139243</v>
      </c>
    </row>
    <row r="4788" spans="1:11" ht="12.45">
      <c r="A4788" s="2" t="str">
        <f ca="1">IFERROR(__xludf.DUMMYFUNCTION("""COMPUTED_VALUE"""),"1760156172099")</f>
        <v>1760156172099</v>
      </c>
      <c r="B4788" s="2"/>
      <c r="C4788" s="2" t="str">
        <v>0</v>
      </c>
      <c r="D4788" s="2"/>
      <c r="F4788" s="2" t="str">
        <v>0</v>
      </c>
      <c r="I4788" s="3" t="str">
        <f ca="1">IFERROR(__xludf.DUMMYFUNCTION("""COMPUTED_VALUE"""),"Vũ Ngọc Anh")</f>
        <v>Vũ Ngọc Anh</v>
      </c>
      <c r="J4788" s="3" t="str">
        <f ca="1">IFERROR(__xludf.DUMMYFUNCTION("""COMPUTED_VALUE"""),"0392272192")</f>
        <v>0392272192</v>
      </c>
      <c r="K4788" s="2" t="str">
        <f ca="1">IFERROR(__xludf.DUMMYFUNCTION("""COMPUTED_VALUE"""),"1760156172099")</f>
        <v>1760156172099</v>
      </c>
    </row>
    <row r="4789" spans="1:11" ht="12.45">
      <c r="A4789" s="2" t="str">
        <f ca="1">IFERROR(__xludf.DUMMYFUNCTION("""COMPUTED_VALUE"""),"1760156201097")</f>
        <v>1760156201097</v>
      </c>
      <c r="B4789" s="2"/>
      <c r="C4789" s="2" t="str">
        <v>0</v>
      </c>
      <c r="D4789" s="2"/>
      <c r="F4789" s="2" t="str">
        <v>0</v>
      </c>
      <c r="I4789" s="3" t="str">
        <f ca="1">IFERROR(__xludf.DUMMYFUNCTION("""COMPUTED_VALUE"""),"Lê Nguyễn Quỳnh Như")</f>
        <v>Lê Nguyễn Quỳnh Như</v>
      </c>
      <c r="J4789" s="3" t="str">
        <f ca="1">IFERROR(__xludf.DUMMYFUNCTION("""COMPUTED_VALUE"""),"0379272471")</f>
        <v>0379272471</v>
      </c>
      <c r="K4789" s="2" t="str">
        <f ca="1">IFERROR(__xludf.DUMMYFUNCTION("""COMPUTED_VALUE"""),"1760156201097")</f>
        <v>1760156201097</v>
      </c>
    </row>
    <row r="4790" spans="1:11" ht="12.45">
      <c r="A4790" s="2" t="str">
        <f ca="1">IFERROR(__xludf.DUMMYFUNCTION("""COMPUTED_VALUE"""),"1760156251541")</f>
        <v>1760156251541</v>
      </c>
      <c r="B4790" s="2"/>
      <c r="C4790" s="2" t="str">
        <v>0</v>
      </c>
      <c r="D4790" s="2"/>
      <c r="F4790" s="2" t="str">
        <v>0</v>
      </c>
      <c r="I4790" s="3" t="str">
        <f ca="1">IFERROR(__xludf.DUMMYFUNCTION("""COMPUTED_VALUE"""),"Mai Thu Hiền")</f>
        <v>Mai Thu Hiền</v>
      </c>
      <c r="J4790" s="3" t="str">
        <f ca="1">IFERROR(__xludf.DUMMYFUNCTION("""COMPUTED_VALUE"""),"0375382007")</f>
        <v>0375382007</v>
      </c>
      <c r="K4790" s="2" t="str">
        <f ca="1">IFERROR(__xludf.DUMMYFUNCTION("""COMPUTED_VALUE"""),"1760156251541")</f>
        <v>1760156251541</v>
      </c>
    </row>
    <row r="4791" spans="1:11" ht="12.45">
      <c r="A4791" s="2" t="str">
        <f ca="1">IFERROR(__xludf.DUMMYFUNCTION("""COMPUTED_VALUE"""),"1760156300855")</f>
        <v>1760156300855</v>
      </c>
      <c r="B4791" s="2"/>
      <c r="C4791" s="2" t="str">
        <v>0</v>
      </c>
      <c r="D4791" s="2"/>
      <c r="F4791" s="2" t="str">
        <v>0</v>
      </c>
      <c r="I4791" s="3" t="str">
        <f ca="1">IFERROR(__xludf.DUMMYFUNCTION("""COMPUTED_VALUE"""),"Lê Trúc Lam")</f>
        <v>Lê Trúc Lam</v>
      </c>
      <c r="J4791" s="3" t="str">
        <f ca="1">IFERROR(__xludf.DUMMYFUNCTION("""COMPUTED_VALUE"""),"0347214163")</f>
        <v>0347214163</v>
      </c>
      <c r="K4791" s="2" t="str">
        <f ca="1">IFERROR(__xludf.DUMMYFUNCTION("""COMPUTED_VALUE"""),"1760156300855")</f>
        <v>1760156300855</v>
      </c>
    </row>
    <row r="4792" spans="1:11" ht="12.45">
      <c r="A4792" s="2" t="str">
        <f ca="1">IFERROR(__xludf.DUMMYFUNCTION("""COMPUTED_VALUE"""),"1760156352974")</f>
        <v>1760156352974</v>
      </c>
      <c r="B4792" s="2"/>
      <c r="C4792" s="2" t="str">
        <v>0</v>
      </c>
      <c r="D4792" s="2"/>
      <c r="F4792" s="2" t="str">
        <v>0</v>
      </c>
      <c r="I4792" s="3" t="str">
        <f ca="1">IFERROR(__xludf.DUMMYFUNCTION("""COMPUTED_VALUE"""),"Nguyễn Ánh Minh")</f>
        <v>Nguyễn Ánh Minh</v>
      </c>
      <c r="J4792" s="3" t="str">
        <f ca="1">IFERROR(__xludf.DUMMYFUNCTION("""COMPUTED_VALUE"""),"0877771168")</f>
        <v>0877771168</v>
      </c>
      <c r="K4792" s="2" t="str">
        <f ca="1">IFERROR(__xludf.DUMMYFUNCTION("""COMPUTED_VALUE"""),"1760156352974")</f>
        <v>1760156352974</v>
      </c>
    </row>
    <row r="4793" spans="1:11" ht="12.45">
      <c r="A4793" s="2" t="str">
        <f ca="1">IFERROR(__xludf.DUMMYFUNCTION("""COMPUTED_VALUE"""),"1740104858790")</f>
        <v>1740104858790</v>
      </c>
      <c r="B4793" s="2"/>
      <c r="C4793" s="2" t="str">
        <v>0</v>
      </c>
      <c r="D4793" s="2"/>
      <c r="F4793" s="2" t="str">
        <v>0</v>
      </c>
      <c r="I4793" s="3" t="str">
        <f ca="1">IFERROR(__xludf.DUMMYFUNCTION("""COMPUTED_VALUE"""),"Vũ Phương Linh")</f>
        <v>Vũ Phương Linh</v>
      </c>
      <c r="J4793" s="3" t="str">
        <f ca="1">IFERROR(__xludf.DUMMYFUNCTION("""COMPUTED_VALUE"""),"0961916884")</f>
        <v>0961916884</v>
      </c>
      <c r="K4793" s="2" t="str">
        <f ca="1">IFERROR(__xludf.DUMMYFUNCTION("""COMPUTED_VALUE"""),"1740104858790")</f>
        <v>1740104858790</v>
      </c>
    </row>
    <row r="4794" spans="1:11" ht="12.45">
      <c r="A4794" s="2" t="str">
        <f ca="1">IFERROR(__xludf.DUMMYFUNCTION("""COMPUTED_VALUE"""),"1760156447434")</f>
        <v>1760156447434</v>
      </c>
      <c r="B4794" s="2"/>
      <c r="C4794" s="2" t="str">
        <v>0</v>
      </c>
      <c r="D4794" s="2"/>
      <c r="F4794" s="2" t="str">
        <v>0</v>
      </c>
      <c r="I4794" s="3" t="str">
        <f ca="1">IFERROR(__xludf.DUMMYFUNCTION("""COMPUTED_VALUE"""),"Vương Việt Anh")</f>
        <v>Vương Việt Anh</v>
      </c>
      <c r="J4794" s="3" t="str">
        <f ca="1">IFERROR(__xludf.DUMMYFUNCTION("""COMPUTED_VALUE"""),"0988067162")</f>
        <v>0988067162</v>
      </c>
      <c r="K4794" s="2" t="str">
        <f ca="1">IFERROR(__xludf.DUMMYFUNCTION("""COMPUTED_VALUE"""),"1760156447434")</f>
        <v>1760156447434</v>
      </c>
    </row>
    <row r="4795" spans="1:11" ht="12.45">
      <c r="A4795" s="2" t="str">
        <f ca="1">IFERROR(__xludf.DUMMYFUNCTION("""COMPUTED_VALUE"""),"1760156507314")</f>
        <v>1760156507314</v>
      </c>
      <c r="B4795" s="2"/>
      <c r="C4795" s="2" t="str">
        <v>0</v>
      </c>
      <c r="D4795" s="2"/>
      <c r="F4795" s="2" t="str">
        <v>0</v>
      </c>
      <c r="I4795" s="3" t="str">
        <f ca="1">IFERROR(__xludf.DUMMYFUNCTION("""COMPUTED_VALUE"""),"Lại Minh Ngọc ")</f>
        <v xml:space="preserve">Lại Minh Ngọc </v>
      </c>
      <c r="J4795" s="3" t="str">
        <f ca="1">IFERROR(__xludf.DUMMYFUNCTION("""COMPUTED_VALUE"""),"0399174946")</f>
        <v>0399174946</v>
      </c>
      <c r="K4795" s="2" t="str">
        <f ca="1">IFERROR(__xludf.DUMMYFUNCTION("""COMPUTED_VALUE"""),"1760156507314")</f>
        <v>1760156507314</v>
      </c>
    </row>
    <row r="4796" spans="1:11" ht="12.45">
      <c r="A4796" s="2" t="str">
        <f ca="1">IFERROR(__xludf.DUMMYFUNCTION("""COMPUTED_VALUE"""),"1760156591078")</f>
        <v>1760156591078</v>
      </c>
      <c r="B4796" s="2"/>
      <c r="C4796" s="2" t="str">
        <v>0</v>
      </c>
      <c r="D4796" s="2"/>
      <c r="F4796" s="2" t="str">
        <v>0</v>
      </c>
      <c r="I4796" s="3" t="str">
        <f ca="1">IFERROR(__xludf.DUMMYFUNCTION("""COMPUTED_VALUE"""),"Tô Quỳnh Hương")</f>
        <v>Tô Quỳnh Hương</v>
      </c>
      <c r="J4796" s="3" t="str">
        <f ca="1">IFERROR(__xludf.DUMMYFUNCTION("""COMPUTED_VALUE"""),"0967182429")</f>
        <v>0967182429</v>
      </c>
      <c r="K4796" s="2" t="str">
        <f ca="1">IFERROR(__xludf.DUMMYFUNCTION("""COMPUTED_VALUE"""),"1760156591078")</f>
        <v>1760156591078</v>
      </c>
    </row>
    <row r="4797" spans="1:11" ht="12.45">
      <c r="A4797" s="2" t="str">
        <f ca="1">IFERROR(__xludf.DUMMYFUNCTION("""COMPUTED_VALUE"""),"1760156623425")</f>
        <v>1760156623425</v>
      </c>
      <c r="B4797" s="2"/>
      <c r="C4797" s="2" t="str">
        <v>0</v>
      </c>
      <c r="D4797" s="2"/>
      <c r="F4797" s="2" t="str">
        <v>0</v>
      </c>
      <c r="I4797" s="3" t="str">
        <f ca="1">IFERROR(__xludf.DUMMYFUNCTION("""COMPUTED_VALUE"""),"Lê Nguyễn Nhựt Lâm")</f>
        <v>Lê Nguyễn Nhựt Lâm</v>
      </c>
      <c r="J4797" s="3" t="str">
        <f ca="1">IFERROR(__xludf.DUMMYFUNCTION("""COMPUTED_VALUE"""),"0345006484")</f>
        <v>0345006484</v>
      </c>
      <c r="K4797" s="2" t="str">
        <f ca="1">IFERROR(__xludf.DUMMYFUNCTION("""COMPUTED_VALUE"""),"1760156623425")</f>
        <v>1760156623425</v>
      </c>
    </row>
    <row r="4798" spans="1:11" ht="12.45">
      <c r="A4798" s="2" t="str">
        <f ca="1">IFERROR(__xludf.DUMMYFUNCTION("""COMPUTED_VALUE"""),"1760156665439")</f>
        <v>1760156665439</v>
      </c>
      <c r="B4798" s="2"/>
      <c r="C4798" s="2" t="str">
        <v>0</v>
      </c>
      <c r="D4798" s="2"/>
      <c r="F4798" s="2" t="str">
        <v>0</v>
      </c>
      <c r="I4798" s="3" t="str">
        <f ca="1">IFERROR(__xludf.DUMMYFUNCTION("""COMPUTED_VALUE"""),"Bùi Thị Quỳnh Hoa ")</f>
        <v xml:space="preserve">Bùi Thị Quỳnh Hoa </v>
      </c>
      <c r="J4798" s="3" t="str">
        <f ca="1">IFERROR(__xludf.DUMMYFUNCTION("""COMPUTED_VALUE"""),"0976243671")</f>
        <v>0976243671</v>
      </c>
      <c r="K4798" s="2" t="str">
        <f ca="1">IFERROR(__xludf.DUMMYFUNCTION("""COMPUTED_VALUE"""),"1760156665439")</f>
        <v>1760156665439</v>
      </c>
    </row>
    <row r="4799" spans="1:11" ht="12.45">
      <c r="A4799" s="2" t="str">
        <f ca="1">IFERROR(__xludf.DUMMYFUNCTION("""COMPUTED_VALUE"""),"1760156715170")</f>
        <v>1760156715170</v>
      </c>
      <c r="B4799" s="2"/>
      <c r="C4799" s="2" t="str">
        <v>0</v>
      </c>
      <c r="D4799" s="2"/>
      <c r="F4799" s="2" t="str">
        <v>0</v>
      </c>
      <c r="I4799" s="3" t="str">
        <f ca="1">IFERROR(__xludf.DUMMYFUNCTION("""COMPUTED_VALUE"""),"trương thị huyền vy")</f>
        <v>trương thị huyền vy</v>
      </c>
      <c r="J4799" s="3" t="str">
        <f ca="1">IFERROR(__xludf.DUMMYFUNCTION("""COMPUTED_VALUE"""),"0917022336")</f>
        <v>0917022336</v>
      </c>
      <c r="K4799" s="2" t="str">
        <f ca="1">IFERROR(__xludf.DUMMYFUNCTION("""COMPUTED_VALUE"""),"1760156715170")</f>
        <v>1760156715170</v>
      </c>
    </row>
    <row r="4800" spans="1:11" ht="12.45">
      <c r="A4800" s="2" t="str">
        <f ca="1">IFERROR(__xludf.DUMMYFUNCTION("""COMPUTED_VALUE"""),"1760156772219")</f>
        <v>1760156772219</v>
      </c>
      <c r="B4800" s="2"/>
      <c r="C4800" s="2" t="str">
        <v>0</v>
      </c>
      <c r="D4800" s="2"/>
      <c r="F4800" s="2" t="str">
        <v>0</v>
      </c>
      <c r="I4800" s="3" t="str">
        <f ca="1">IFERROR(__xludf.DUMMYFUNCTION("""COMPUTED_VALUE"""),"Nguyễn Trần Bảo Trâm")</f>
        <v>Nguyễn Trần Bảo Trâm</v>
      </c>
      <c r="J4800" s="3" t="str">
        <f ca="1">IFERROR(__xludf.DUMMYFUNCTION("""COMPUTED_VALUE"""),"0919359912")</f>
        <v>0919359912</v>
      </c>
      <c r="K4800" s="2" t="str">
        <f ca="1">IFERROR(__xludf.DUMMYFUNCTION("""COMPUTED_VALUE"""),"1760156772219")</f>
        <v>1760156772219</v>
      </c>
    </row>
    <row r="4801" spans="1:11" ht="12.45">
      <c r="A4801" s="2" t="str">
        <f ca="1">IFERROR(__xludf.DUMMYFUNCTION("""COMPUTED_VALUE"""),"1760156822829")</f>
        <v>1760156822829</v>
      </c>
      <c r="B4801" s="2"/>
      <c r="C4801" s="2" t="str">
        <v>0</v>
      </c>
      <c r="D4801" s="2"/>
      <c r="F4801" s="2" t="str">
        <v>0</v>
      </c>
      <c r="I4801" s="3" t="str">
        <f ca="1">IFERROR(__xludf.DUMMYFUNCTION("""COMPUTED_VALUE"""),"Trần Thị Mỹ Tiên")</f>
        <v>Trần Thị Mỹ Tiên</v>
      </c>
      <c r="J4801" s="3" t="str">
        <f ca="1">IFERROR(__xludf.DUMMYFUNCTION("""COMPUTED_VALUE"""),"0369794162")</f>
        <v>0369794162</v>
      </c>
      <c r="K4801" s="2" t="str">
        <f ca="1">IFERROR(__xludf.DUMMYFUNCTION("""COMPUTED_VALUE"""),"1760156822829")</f>
        <v>1760156822829</v>
      </c>
    </row>
    <row r="4802" spans="1:11" ht="12.45">
      <c r="A4802" s="2" t="str">
        <f ca="1">IFERROR(__xludf.DUMMYFUNCTION("""COMPUTED_VALUE"""),"1760156921520")</f>
        <v>1760156921520</v>
      </c>
      <c r="B4802" s="2"/>
      <c r="C4802" s="2" t="str">
        <v>0</v>
      </c>
      <c r="D4802" s="2"/>
      <c r="F4802" s="2" t="str">
        <v>0</v>
      </c>
      <c r="I4802" s="3" t="str">
        <f ca="1">IFERROR(__xludf.DUMMYFUNCTION("""COMPUTED_VALUE"""),"Võ Thụy Mỹ An")</f>
        <v>Võ Thụy Mỹ An</v>
      </c>
      <c r="J4802" s="3" t="str">
        <f ca="1">IFERROR(__xludf.DUMMYFUNCTION("""COMPUTED_VALUE"""),"0904364722")</f>
        <v>0904364722</v>
      </c>
      <c r="K4802" s="2" t="str">
        <f ca="1">IFERROR(__xludf.DUMMYFUNCTION("""COMPUTED_VALUE"""),"1760156921520")</f>
        <v>1760156921520</v>
      </c>
    </row>
    <row r="4803" spans="1:11" ht="12.45">
      <c r="A4803" s="2" t="str">
        <f ca="1">IFERROR(__xludf.DUMMYFUNCTION("""COMPUTED_VALUE"""),"1760156987921")</f>
        <v>1760156987921</v>
      </c>
      <c r="B4803" s="2"/>
      <c r="C4803" s="2" t="str">
        <v>0</v>
      </c>
      <c r="D4803" s="2"/>
      <c r="F4803" s="2" t="str">
        <v>0</v>
      </c>
      <c r="I4803" s="3" t="str">
        <f ca="1">IFERROR(__xludf.DUMMYFUNCTION("""COMPUTED_VALUE"""),"Trần Đình Tình")</f>
        <v>Trần Đình Tình</v>
      </c>
      <c r="J4803" s="3" t="str">
        <f ca="1">IFERROR(__xludf.DUMMYFUNCTION("""COMPUTED_VALUE"""),"0354108443")</f>
        <v>0354108443</v>
      </c>
      <c r="K4803" s="2" t="str">
        <f ca="1">IFERROR(__xludf.DUMMYFUNCTION("""COMPUTED_VALUE"""),"1760156987921")</f>
        <v>1760156987921</v>
      </c>
    </row>
    <row r="4804" spans="1:11" ht="12.45">
      <c r="A4804" s="2" t="str">
        <f ca="1">IFERROR(__xludf.DUMMYFUNCTION("""COMPUTED_VALUE"""),"1760157066700")</f>
        <v>1760157066700</v>
      </c>
      <c r="B4804" s="2"/>
      <c r="C4804" s="2" t="str">
        <v>0</v>
      </c>
      <c r="D4804" s="2"/>
      <c r="F4804" s="2" t="str">
        <v>0</v>
      </c>
      <c r="I4804" s="3" t="str">
        <f ca="1">IFERROR(__xludf.DUMMYFUNCTION("""COMPUTED_VALUE"""),"Chu Hải Hưng")</f>
        <v>Chu Hải Hưng</v>
      </c>
      <c r="J4804" s="3" t="str">
        <f ca="1">IFERROR(__xludf.DUMMYFUNCTION("""COMPUTED_VALUE"""),"0812671955")</f>
        <v>0812671955</v>
      </c>
      <c r="K4804" s="2" t="str">
        <f ca="1">IFERROR(__xludf.DUMMYFUNCTION("""COMPUTED_VALUE"""),"1760157066700")</f>
        <v>1760157066700</v>
      </c>
    </row>
    <row r="4805" spans="1:11" ht="12.45">
      <c r="A4805" s="2" t="str">
        <f ca="1">IFERROR(__xludf.DUMMYFUNCTION("""COMPUTED_VALUE"""),"1760157131296")</f>
        <v>1760157131296</v>
      </c>
      <c r="B4805" s="2"/>
      <c r="C4805" s="2" t="str">
        <v>0</v>
      </c>
      <c r="D4805" s="2"/>
      <c r="F4805" s="2" t="str">
        <v>0</v>
      </c>
      <c r="I4805" s="3" t="str">
        <f ca="1">IFERROR(__xludf.DUMMYFUNCTION("""COMPUTED_VALUE"""),"Vũ Thanh Tâm")</f>
        <v>Vũ Thanh Tâm</v>
      </c>
      <c r="J4805" s="3" t="str">
        <f ca="1">IFERROR(__xludf.DUMMYFUNCTION("""COMPUTED_VALUE"""),"0366309726")</f>
        <v>0366309726</v>
      </c>
      <c r="K4805" s="2" t="str">
        <f ca="1">IFERROR(__xludf.DUMMYFUNCTION("""COMPUTED_VALUE"""),"1760157131296")</f>
        <v>1760157131296</v>
      </c>
    </row>
    <row r="4806" spans="1:11" ht="12.45">
      <c r="A4806" s="2" t="str">
        <f ca="1">IFERROR(__xludf.DUMMYFUNCTION("""COMPUTED_VALUE"""),"1760157199850")</f>
        <v>1760157199850</v>
      </c>
      <c r="B4806" s="2"/>
      <c r="C4806" s="2" t="str">
        <v>0</v>
      </c>
      <c r="D4806" s="2"/>
      <c r="F4806" s="2" t="str">
        <v>0</v>
      </c>
      <c r="I4806" s="3" t="str">
        <f ca="1">IFERROR(__xludf.DUMMYFUNCTION("""COMPUTED_VALUE"""),"Trần Duy Anh")</f>
        <v>Trần Duy Anh</v>
      </c>
      <c r="J4806" s="3" t="str">
        <f ca="1">IFERROR(__xludf.DUMMYFUNCTION("""COMPUTED_VALUE"""),"0366761397")</f>
        <v>0366761397</v>
      </c>
      <c r="K4806" s="2" t="str">
        <f ca="1">IFERROR(__xludf.DUMMYFUNCTION("""COMPUTED_VALUE"""),"1760157199850")</f>
        <v>1760157199850</v>
      </c>
    </row>
    <row r="4807" spans="1:11" ht="12.45">
      <c r="A4807" s="2" t="str">
        <f ca="1">IFERROR(__xludf.DUMMYFUNCTION("""COMPUTED_VALUE"""),"1760157250835")</f>
        <v>1760157250835</v>
      </c>
      <c r="B4807" s="2"/>
      <c r="C4807" s="2" t="str">
        <v>0</v>
      </c>
      <c r="D4807" s="2"/>
      <c r="F4807" s="2" t="str">
        <v>0</v>
      </c>
      <c r="I4807" s="3" t="str">
        <f ca="1">IFERROR(__xludf.DUMMYFUNCTION("""COMPUTED_VALUE"""),"Bùi Như Ý ")</f>
        <v xml:space="preserve">Bùi Như Ý </v>
      </c>
      <c r="J4807" s="3" t="str">
        <f ca="1">IFERROR(__xludf.DUMMYFUNCTION("""COMPUTED_VALUE"""),"0764303554")</f>
        <v>0764303554</v>
      </c>
      <c r="K4807" s="2" t="str">
        <f ca="1">IFERROR(__xludf.DUMMYFUNCTION("""COMPUTED_VALUE"""),"1760157250835")</f>
        <v>1760157250835</v>
      </c>
    </row>
    <row r="4808" spans="1:11" ht="12.45">
      <c r="A4808" s="2" t="str">
        <f ca="1">IFERROR(__xludf.DUMMYFUNCTION("""COMPUTED_VALUE"""),"1760157314716")</f>
        <v>1760157314716</v>
      </c>
      <c r="B4808" s="2"/>
      <c r="C4808" s="2" t="str">
        <v>0</v>
      </c>
      <c r="D4808" s="2"/>
      <c r="F4808" s="2" t="str">
        <v>0</v>
      </c>
      <c r="I4808" s="3" t="str">
        <f ca="1">IFERROR(__xludf.DUMMYFUNCTION("""COMPUTED_VALUE"""),"Đinh Thị Tuyết Mai")</f>
        <v>Đinh Thị Tuyết Mai</v>
      </c>
      <c r="J4808" s="3" t="str">
        <f ca="1">IFERROR(__xludf.DUMMYFUNCTION("""COMPUTED_VALUE"""),"0822466338")</f>
        <v>0822466338</v>
      </c>
      <c r="K4808" s="2" t="str">
        <f ca="1">IFERROR(__xludf.DUMMYFUNCTION("""COMPUTED_VALUE"""),"1760157314716")</f>
        <v>1760157314716</v>
      </c>
    </row>
    <row r="4809" spans="1:11" ht="12.45">
      <c r="A4809" s="2" t="str">
        <f ca="1">IFERROR(__xludf.DUMMYFUNCTION("""COMPUTED_VALUE"""),"1760157389798")</f>
        <v>1760157389798</v>
      </c>
      <c r="B4809" s="2"/>
      <c r="C4809" s="2" t="str">
        <v>0</v>
      </c>
      <c r="D4809" s="2"/>
      <c r="F4809" s="2" t="str">
        <v>0</v>
      </c>
      <c r="I4809" s="3" t="str">
        <f ca="1">IFERROR(__xludf.DUMMYFUNCTION("""COMPUTED_VALUE"""),"VÕ TRỌNG QUÂN")</f>
        <v>VÕ TRỌNG QUÂN</v>
      </c>
      <c r="J4809" s="3" t="str">
        <f ca="1">IFERROR(__xludf.DUMMYFUNCTION("""COMPUTED_VALUE"""),"0879076079")</f>
        <v>0879076079</v>
      </c>
      <c r="K4809" s="2" t="str">
        <f ca="1">IFERROR(__xludf.DUMMYFUNCTION("""COMPUTED_VALUE"""),"1760157389798")</f>
        <v>1760157389798</v>
      </c>
    </row>
    <row r="4810" spans="1:11" ht="12.45">
      <c r="A4810" s="2" t="str">
        <f ca="1">IFERROR(__xludf.DUMMYFUNCTION("""COMPUTED_VALUE"""),"1760157461255")</f>
        <v>1760157461255</v>
      </c>
      <c r="B4810" s="2"/>
      <c r="C4810" s="2" t="str">
        <v>0</v>
      </c>
      <c r="D4810" s="2"/>
      <c r="F4810" s="2" t="str">
        <v>0</v>
      </c>
      <c r="I4810" s="3" t="str">
        <f ca="1">IFERROR(__xludf.DUMMYFUNCTION("""COMPUTED_VALUE"""),"Bùi Diệu Linh")</f>
        <v>Bùi Diệu Linh</v>
      </c>
      <c r="J4810" s="3" t="str">
        <f ca="1">IFERROR(__xludf.DUMMYFUNCTION("""COMPUTED_VALUE"""),"0942015827")</f>
        <v>0942015827</v>
      </c>
      <c r="K4810" s="2" t="str">
        <f ca="1">IFERROR(__xludf.DUMMYFUNCTION("""COMPUTED_VALUE"""),"1760157461255")</f>
        <v>1760157461255</v>
      </c>
    </row>
    <row r="4811" spans="1:11" ht="12.45">
      <c r="A4811" s="2" t="str">
        <f ca="1">IFERROR(__xludf.DUMMYFUNCTION("""COMPUTED_VALUE"""),"1760157504452")</f>
        <v>1760157504452</v>
      </c>
      <c r="B4811" s="2"/>
      <c r="C4811" s="2" t="str">
        <v>0</v>
      </c>
      <c r="D4811" s="2"/>
      <c r="F4811" s="2" t="str">
        <v>0</v>
      </c>
      <c r="I4811" s="3" t="str">
        <f ca="1">IFERROR(__xludf.DUMMYFUNCTION("""COMPUTED_VALUE"""),"Trần Nguyễn Anh Thùy")</f>
        <v>Trần Nguyễn Anh Thùy</v>
      </c>
      <c r="J4811" s="3" t="str">
        <f ca="1">IFERROR(__xludf.DUMMYFUNCTION("""COMPUTED_VALUE"""),"0816866570")</f>
        <v>0816866570</v>
      </c>
      <c r="K4811" s="2" t="str">
        <f ca="1">IFERROR(__xludf.DUMMYFUNCTION("""COMPUTED_VALUE"""),"1760157504452")</f>
        <v>1760157504452</v>
      </c>
    </row>
    <row r="4812" spans="1:11" ht="12.45">
      <c r="A4812" s="2" t="str">
        <f ca="1">IFERROR(__xludf.DUMMYFUNCTION("""COMPUTED_VALUE"""),"1740104896782")</f>
        <v>1740104896782</v>
      </c>
      <c r="B4812" s="2"/>
      <c r="C4812" s="2" t="str">
        <v>0</v>
      </c>
      <c r="D4812" s="2"/>
      <c r="F4812" s="2" t="str">
        <v>0</v>
      </c>
      <c r="I4812" s="3" t="str">
        <f ca="1">IFERROR(__xludf.DUMMYFUNCTION("""COMPUTED_VALUE"""),"Đường Thị Yến Nhi ")</f>
        <v xml:space="preserve">Đường Thị Yến Nhi </v>
      </c>
      <c r="J4812" s="3" t="str">
        <f ca="1">IFERROR(__xludf.DUMMYFUNCTION("""COMPUTED_VALUE"""),"0984837027")</f>
        <v>0984837027</v>
      </c>
      <c r="K4812" s="2" t="str">
        <f ca="1">IFERROR(__xludf.DUMMYFUNCTION("""COMPUTED_VALUE"""),"1740104896782")</f>
        <v>1740104896782</v>
      </c>
    </row>
    <row r="4813" spans="1:11" ht="12.45">
      <c r="A4813" s="2" t="str">
        <f ca="1">IFERROR(__xludf.DUMMYFUNCTION("""COMPUTED_VALUE"""),"1760157627249")</f>
        <v>1760157627249</v>
      </c>
      <c r="B4813" s="2"/>
      <c r="C4813" s="2" t="str">
        <v>0</v>
      </c>
      <c r="D4813" s="2"/>
      <c r="F4813" s="2" t="str">
        <v>0</v>
      </c>
      <c r="I4813" s="3" t="str">
        <f ca="1">IFERROR(__xludf.DUMMYFUNCTION("""COMPUTED_VALUE"""),"Nguyễn Quỳnh Hoa")</f>
        <v>Nguyễn Quỳnh Hoa</v>
      </c>
      <c r="J4813" s="3" t="str">
        <f ca="1">IFERROR(__xludf.DUMMYFUNCTION("""COMPUTED_VALUE"""),"0339701231")</f>
        <v>0339701231</v>
      </c>
      <c r="K4813" s="2" t="str">
        <f ca="1">IFERROR(__xludf.DUMMYFUNCTION("""COMPUTED_VALUE"""),"1760157627249")</f>
        <v>1760157627249</v>
      </c>
    </row>
    <row r="4814" spans="1:11" ht="12.45">
      <c r="A4814" s="2" t="str">
        <f ca="1">IFERROR(__xludf.DUMMYFUNCTION("""COMPUTED_VALUE"""),"1760157670674")</f>
        <v>1760157670674</v>
      </c>
      <c r="B4814" s="2"/>
      <c r="C4814" s="2" t="str">
        <v>0</v>
      </c>
      <c r="D4814" s="2"/>
      <c r="F4814" s="2" t="str">
        <v>0</v>
      </c>
      <c r="I4814" s="3" t="str">
        <f ca="1">IFERROR(__xludf.DUMMYFUNCTION("""COMPUTED_VALUE"""),"Dương Bảo Hân")</f>
        <v>Dương Bảo Hân</v>
      </c>
      <c r="J4814" s="3" t="str">
        <f ca="1">IFERROR(__xludf.DUMMYFUNCTION("""COMPUTED_VALUE"""),"0832561977")</f>
        <v>0832561977</v>
      </c>
      <c r="K4814" s="2" t="str">
        <f ca="1">IFERROR(__xludf.DUMMYFUNCTION("""COMPUTED_VALUE"""),"1760157670674")</f>
        <v>1760157670674</v>
      </c>
    </row>
    <row r="4815" spans="1:11" ht="12.45">
      <c r="A4815" s="2" t="str">
        <f ca="1">IFERROR(__xludf.DUMMYFUNCTION("""COMPUTED_VALUE"""),"1760157738444")</f>
        <v>1760157738444</v>
      </c>
      <c r="B4815" s="2"/>
      <c r="C4815" s="2" t="str">
        <v>0</v>
      </c>
      <c r="D4815" s="2"/>
      <c r="F4815" s="2" t="str">
        <v>0</v>
      </c>
      <c r="I4815" s="3" t="str">
        <f ca="1">IFERROR(__xludf.DUMMYFUNCTION("""COMPUTED_VALUE"""),"Bùi Thị Hồng Nhung")</f>
        <v>Bùi Thị Hồng Nhung</v>
      </c>
      <c r="J4815" s="3" t="str">
        <f ca="1">IFERROR(__xludf.DUMMYFUNCTION("""COMPUTED_VALUE"""),"0335206015")</f>
        <v>0335206015</v>
      </c>
      <c r="K4815" s="2" t="str">
        <f ca="1">IFERROR(__xludf.DUMMYFUNCTION("""COMPUTED_VALUE"""),"1760157738444")</f>
        <v>1760157738444</v>
      </c>
    </row>
    <row r="4816" spans="1:11" ht="12.45">
      <c r="A4816" s="2" t="str">
        <f ca="1">IFERROR(__xludf.DUMMYFUNCTION("""COMPUTED_VALUE"""),"1760157811026")</f>
        <v>1760157811026</v>
      </c>
      <c r="B4816" s="2"/>
      <c r="C4816" s="2" t="str">
        <v>0</v>
      </c>
      <c r="D4816" s="2"/>
      <c r="F4816" s="2" t="str">
        <v>0</v>
      </c>
      <c r="I4816" s="3" t="str">
        <f ca="1">IFERROR(__xludf.DUMMYFUNCTION("""COMPUTED_VALUE"""),"Lê Thị Thanh Hiền")</f>
        <v>Lê Thị Thanh Hiền</v>
      </c>
      <c r="J4816" s="3" t="str">
        <f ca="1">IFERROR(__xludf.DUMMYFUNCTION("""COMPUTED_VALUE"""),"0846053506")</f>
        <v>0846053506</v>
      </c>
      <c r="K4816" s="2" t="str">
        <f ca="1">IFERROR(__xludf.DUMMYFUNCTION("""COMPUTED_VALUE"""),"1760157811026")</f>
        <v>1760157811026</v>
      </c>
    </row>
    <row r="4817" spans="1:11" ht="12.45">
      <c r="A4817" s="2" t="str">
        <f ca="1">IFERROR(__xludf.DUMMYFUNCTION("""COMPUTED_VALUE"""),"1760157865570")</f>
        <v>1760157865570</v>
      </c>
      <c r="B4817" s="2"/>
      <c r="C4817" s="2" t="str">
        <v>0</v>
      </c>
      <c r="D4817" s="2"/>
      <c r="F4817" s="2" t="str">
        <v>0</v>
      </c>
      <c r="I4817" s="3" t="str">
        <f ca="1">IFERROR(__xludf.DUMMYFUNCTION("""COMPUTED_VALUE"""),"SƠN HUỲNH ĐỨC")</f>
        <v>SƠN HUỲNH ĐỨC</v>
      </c>
      <c r="J4817" s="3" t="str">
        <f ca="1">IFERROR(__xludf.DUMMYFUNCTION("""COMPUTED_VALUE"""),"0353996765")</f>
        <v>0353996765</v>
      </c>
      <c r="K4817" s="2" t="str">
        <f ca="1">IFERROR(__xludf.DUMMYFUNCTION("""COMPUTED_VALUE"""),"1760157865570")</f>
        <v>1760157865570</v>
      </c>
    </row>
    <row r="4818" spans="1:11" ht="12.45">
      <c r="A4818" s="2" t="str">
        <f ca="1">IFERROR(__xludf.DUMMYFUNCTION("""COMPUTED_VALUE"""),"1760157921359")</f>
        <v>1760157921359</v>
      </c>
      <c r="B4818" s="2"/>
      <c r="C4818" s="2" t="str">
        <v>0</v>
      </c>
      <c r="D4818" s="2"/>
      <c r="F4818" s="2" t="str">
        <v>0</v>
      </c>
      <c r="I4818" s="3" t="str">
        <f ca="1">IFERROR(__xludf.DUMMYFUNCTION("""COMPUTED_VALUE"""),"Đỗ Trang Nhung")</f>
        <v>Đỗ Trang Nhung</v>
      </c>
      <c r="J4818" s="3" t="str">
        <f ca="1">IFERROR(__xludf.DUMMYFUNCTION("""COMPUTED_VALUE"""),"0399803207")</f>
        <v>0399803207</v>
      </c>
      <c r="K4818" s="2" t="str">
        <f ca="1">IFERROR(__xludf.DUMMYFUNCTION("""COMPUTED_VALUE"""),"1760157921359")</f>
        <v>1760157921359</v>
      </c>
    </row>
    <row r="4819" spans="1:11" ht="12.45">
      <c r="A4819" s="2" t="str">
        <f ca="1">IFERROR(__xludf.DUMMYFUNCTION("""COMPUTED_VALUE"""),"1760157985515")</f>
        <v>1760157985515</v>
      </c>
      <c r="B4819" s="2"/>
      <c r="C4819" s="2" t="str">
        <v>0</v>
      </c>
      <c r="D4819" s="2"/>
      <c r="F4819" s="2" t="str">
        <v>0</v>
      </c>
      <c r="I4819" s="3" t="str">
        <f ca="1">IFERROR(__xludf.DUMMYFUNCTION("""COMPUTED_VALUE"""),"Nguyễn Minh Ánh ")</f>
        <v xml:space="preserve">Nguyễn Minh Ánh </v>
      </c>
      <c r="J4819" s="3" t="str">
        <f ca="1">IFERROR(__xludf.DUMMYFUNCTION("""COMPUTED_VALUE"""),"0386866017")</f>
        <v>0386866017</v>
      </c>
      <c r="K4819" s="2" t="str">
        <f ca="1">IFERROR(__xludf.DUMMYFUNCTION("""COMPUTED_VALUE"""),"1760157985515")</f>
        <v>1760157985515</v>
      </c>
    </row>
    <row r="4820" spans="1:11" ht="12.45">
      <c r="A4820" s="2" t="str">
        <f ca="1">IFERROR(__xludf.DUMMYFUNCTION("""COMPUTED_VALUE"""),"1760158021908")</f>
        <v>1760158021908</v>
      </c>
      <c r="B4820" s="2"/>
      <c r="C4820" s="2" t="str">
        <v>0</v>
      </c>
      <c r="D4820" s="2"/>
      <c r="F4820" s="2" t="str">
        <v>0</v>
      </c>
      <c r="I4820" s="3" t="str">
        <f ca="1">IFERROR(__xludf.DUMMYFUNCTION("""COMPUTED_VALUE"""),"Nguyễn Kim Tuyến")</f>
        <v>Nguyễn Kim Tuyến</v>
      </c>
      <c r="J4820" s="3" t="str">
        <f ca="1">IFERROR(__xludf.DUMMYFUNCTION("""COMPUTED_VALUE"""),"0934638898")</f>
        <v>0934638898</v>
      </c>
      <c r="K4820" s="2" t="str">
        <f ca="1">IFERROR(__xludf.DUMMYFUNCTION("""COMPUTED_VALUE"""),"1760158021908")</f>
        <v>1760158021908</v>
      </c>
    </row>
    <row r="4821" spans="1:11" ht="12.45">
      <c r="A4821" s="2" t="str">
        <f ca="1">IFERROR(__xludf.DUMMYFUNCTION("""COMPUTED_VALUE"""),"1760158072656")</f>
        <v>1760158072656</v>
      </c>
      <c r="B4821" s="2"/>
      <c r="C4821" s="2" t="str">
        <v>0</v>
      </c>
      <c r="D4821" s="2"/>
      <c r="F4821" s="2" t="str">
        <v>0</v>
      </c>
      <c r="I4821" s="3" t="str">
        <f ca="1">IFERROR(__xludf.DUMMYFUNCTION("""COMPUTED_VALUE"""),"Nguyễn Mai Phương")</f>
        <v>Nguyễn Mai Phương</v>
      </c>
      <c r="J4821" s="3" t="str">
        <f ca="1">IFERROR(__xludf.DUMMYFUNCTION("""COMPUTED_VALUE"""),"0364354381")</f>
        <v>0364354381</v>
      </c>
      <c r="K4821" s="2" t="str">
        <f ca="1">IFERROR(__xludf.DUMMYFUNCTION("""COMPUTED_VALUE"""),"1760158072656")</f>
        <v>1760158072656</v>
      </c>
    </row>
    <row r="4822" spans="1:11" ht="12.45">
      <c r="A4822" s="2">
        <f ca="1">IFERROR(__xludf.DUMMYFUNCTION("""COMPUTED_VALUE"""),1770194255205)</f>
        <v>1770194255205</v>
      </c>
      <c r="B4822" s="2"/>
      <c r="C4822" s="2" t="str">
        <v>0</v>
      </c>
      <c r="D4822" s="2"/>
      <c r="F4822" s="2" t="str">
        <v>0</v>
      </c>
      <c r="I4822" s="3" t="str">
        <f ca="1">IFERROR(__xludf.DUMMYFUNCTION("""COMPUTED_VALUE"""),"Phạm Thanh Hiền")</f>
        <v>Phạm Thanh Hiền</v>
      </c>
      <c r="J4822" s="3" t="str">
        <f ca="1">IFERROR(__xludf.DUMMYFUNCTION("""COMPUTED_VALUE"""),"0988940602")</f>
        <v>0988940602</v>
      </c>
      <c r="K4822" s="2">
        <f ca="1">IFERROR(__xludf.DUMMYFUNCTION("""COMPUTED_VALUE"""),1770194255205)</f>
        <v>1770194255205</v>
      </c>
    </row>
    <row r="4823" spans="1:11" ht="12.45">
      <c r="A4823" s="2" t="str">
        <f ca="1">IFERROR(__xludf.DUMMYFUNCTION("""COMPUTED_VALUE"""),"1760158122461")</f>
        <v>1760158122461</v>
      </c>
      <c r="B4823" s="2"/>
      <c r="C4823" s="2" t="str">
        <v>0</v>
      </c>
      <c r="D4823" s="2"/>
      <c r="F4823" s="2" t="str">
        <v>0</v>
      </c>
      <c r="I4823" s="3" t="str">
        <f ca="1">IFERROR(__xludf.DUMMYFUNCTION("""COMPUTED_VALUE"""),"Nguyễn Vũ Cao Dương")</f>
        <v>Nguyễn Vũ Cao Dương</v>
      </c>
      <c r="J4823" s="3" t="str">
        <f ca="1">IFERROR(__xludf.DUMMYFUNCTION("""COMPUTED_VALUE"""),"0936708582")</f>
        <v>0936708582</v>
      </c>
      <c r="K4823" s="2" t="str">
        <f ca="1">IFERROR(__xludf.DUMMYFUNCTION("""COMPUTED_VALUE"""),"1760158122461")</f>
        <v>1760158122461</v>
      </c>
    </row>
    <row r="4824" spans="1:11" ht="12.45">
      <c r="A4824" s="2" t="str">
        <f ca="1">IFERROR(__xludf.DUMMYFUNCTION("""COMPUTED_VALUE"""),"1760158165651")</f>
        <v>1760158165651</v>
      </c>
      <c r="B4824" s="2"/>
      <c r="C4824" s="2" t="str">
        <v>0</v>
      </c>
      <c r="D4824" s="2"/>
      <c r="F4824" s="2" t="str">
        <v>0</v>
      </c>
      <c r="I4824" s="3" t="str">
        <f ca="1">IFERROR(__xludf.DUMMYFUNCTION("""COMPUTED_VALUE"""),"BỒ XUÂN TUẤN")</f>
        <v>BỒ XUÂN TUẤN</v>
      </c>
      <c r="J4824" s="3" t="str">
        <f ca="1">IFERROR(__xludf.DUMMYFUNCTION("""COMPUTED_VALUE"""),"0908840074")</f>
        <v>0908840074</v>
      </c>
      <c r="K4824" s="2" t="str">
        <f ca="1">IFERROR(__xludf.DUMMYFUNCTION("""COMPUTED_VALUE"""),"1760158165651")</f>
        <v>1760158165651</v>
      </c>
    </row>
    <row r="4825" spans="1:11" ht="12.45">
      <c r="A4825" s="2" t="str">
        <f ca="1">IFERROR(__xludf.DUMMYFUNCTION("""COMPUTED_VALUE"""),"1760158225566")</f>
        <v>1760158225566</v>
      </c>
      <c r="B4825" s="2"/>
      <c r="C4825" s="2" t="str">
        <v>0</v>
      </c>
      <c r="D4825" s="2"/>
      <c r="F4825" s="2" t="str">
        <v>0</v>
      </c>
      <c r="I4825" s="3" t="str">
        <f ca="1">IFERROR(__xludf.DUMMYFUNCTION("""COMPUTED_VALUE"""),"Vũ Hà My")</f>
        <v>Vũ Hà My</v>
      </c>
      <c r="J4825" s="3" t="str">
        <f ca="1">IFERROR(__xludf.DUMMYFUNCTION("""COMPUTED_VALUE"""),"0852620308")</f>
        <v>0852620308</v>
      </c>
      <c r="K4825" s="2" t="str">
        <f ca="1">IFERROR(__xludf.DUMMYFUNCTION("""COMPUTED_VALUE"""),"1760158225566")</f>
        <v>1760158225566</v>
      </c>
    </row>
    <row r="4826" spans="1:11" ht="12.45">
      <c r="A4826" s="2" t="str">
        <f ca="1">IFERROR(__xludf.DUMMYFUNCTION("""COMPUTED_VALUE"""),"1760158272757")</f>
        <v>1760158272757</v>
      </c>
      <c r="B4826" s="2"/>
      <c r="C4826" s="2" t="str">
        <v>0</v>
      </c>
      <c r="D4826" s="2"/>
      <c r="F4826" s="2" t="str">
        <v>0</v>
      </c>
      <c r="I4826" s="3" t="str">
        <f ca="1">IFERROR(__xludf.DUMMYFUNCTION("""COMPUTED_VALUE"""),"Nguyễn thu trang")</f>
        <v>Nguyễn thu trang</v>
      </c>
      <c r="J4826" s="3" t="str">
        <f ca="1">IFERROR(__xludf.DUMMYFUNCTION("""COMPUTED_VALUE"""),"0965854600")</f>
        <v>0965854600</v>
      </c>
      <c r="K4826" s="2" t="str">
        <f ca="1">IFERROR(__xludf.DUMMYFUNCTION("""COMPUTED_VALUE"""),"1760158272757")</f>
        <v>1760158272757</v>
      </c>
    </row>
    <row r="4827" spans="1:11" ht="12.45">
      <c r="A4827" s="2" t="str">
        <f ca="1">IFERROR(__xludf.DUMMYFUNCTION("""COMPUTED_VALUE"""),"1760158337745")</f>
        <v>1760158337745</v>
      </c>
      <c r="B4827" s="2"/>
      <c r="C4827" s="2" t="str">
        <v>0</v>
      </c>
      <c r="D4827" s="2"/>
      <c r="F4827" s="2" t="str">
        <v>0</v>
      </c>
      <c r="I4827" s="3" t="str">
        <f ca="1">IFERROR(__xludf.DUMMYFUNCTION("""COMPUTED_VALUE"""),"Nguyễn Thị Khánh Như")</f>
        <v>Nguyễn Thị Khánh Như</v>
      </c>
      <c r="J4827" s="3" t="str">
        <f ca="1">IFERROR(__xludf.DUMMYFUNCTION("""COMPUTED_VALUE"""),"0867558284")</f>
        <v>0867558284</v>
      </c>
      <c r="K4827" s="2" t="str">
        <f ca="1">IFERROR(__xludf.DUMMYFUNCTION("""COMPUTED_VALUE"""),"1760158337745")</f>
        <v>1760158337745</v>
      </c>
    </row>
    <row r="4828" spans="1:11" ht="12.45">
      <c r="A4828" s="2" t="str">
        <f ca="1">IFERROR(__xludf.DUMMYFUNCTION("""COMPUTED_VALUE"""),"1740104938322")</f>
        <v>1740104938322</v>
      </c>
      <c r="B4828" s="2"/>
      <c r="C4828" s="2" t="str">
        <v>0</v>
      </c>
      <c r="D4828" s="2"/>
      <c r="F4828" s="2" t="str">
        <v>0</v>
      </c>
      <c r="I4828" s="3" t="str">
        <f ca="1">IFERROR(__xludf.DUMMYFUNCTION("""COMPUTED_VALUE"""),"Nguyễn Vương Hoàng Phúc ")</f>
        <v xml:space="preserve">Nguyễn Vương Hoàng Phúc </v>
      </c>
      <c r="J4828" s="3" t="str">
        <f ca="1">IFERROR(__xludf.DUMMYFUNCTION("""COMPUTED_VALUE"""),"0846682686")</f>
        <v>0846682686</v>
      </c>
      <c r="K4828" s="2" t="str">
        <f ca="1">IFERROR(__xludf.DUMMYFUNCTION("""COMPUTED_VALUE"""),"1740104938322")</f>
        <v>1740104938322</v>
      </c>
    </row>
    <row r="4829" spans="1:11" ht="12.45">
      <c r="A4829" s="2" t="str">
        <f ca="1">IFERROR(__xludf.DUMMYFUNCTION("""COMPUTED_VALUE"""),"1760158466654")</f>
        <v>1760158466654</v>
      </c>
      <c r="B4829" s="2"/>
      <c r="C4829" s="2" t="str">
        <v>0</v>
      </c>
      <c r="D4829" s="2"/>
      <c r="F4829" s="2" t="str">
        <v>0</v>
      </c>
      <c r="I4829" s="3" t="str">
        <f ca="1">IFERROR(__xludf.DUMMYFUNCTION("""COMPUTED_VALUE"""),"DƯƠNG THẢO VY ")</f>
        <v xml:space="preserve">DƯƠNG THẢO VY </v>
      </c>
      <c r="J4829" s="3" t="str">
        <f ca="1">IFERROR(__xludf.DUMMYFUNCTION("""COMPUTED_VALUE"""),"0787541497")</f>
        <v>0787541497</v>
      </c>
      <c r="K4829" s="2" t="str">
        <f ca="1">IFERROR(__xludf.DUMMYFUNCTION("""COMPUTED_VALUE"""),"1760158466654")</f>
        <v>1760158466654</v>
      </c>
    </row>
    <row r="4830" spans="1:11" ht="12.45">
      <c r="A4830" s="2" t="str">
        <f ca="1">IFERROR(__xludf.DUMMYFUNCTION("""COMPUTED_VALUE"""),"1760158517402")</f>
        <v>1760158517402</v>
      </c>
      <c r="B4830" s="2"/>
      <c r="C4830" s="2" t="str">
        <v>0</v>
      </c>
      <c r="D4830" s="2"/>
      <c r="F4830" s="2" t="str">
        <v>0</v>
      </c>
      <c r="I4830" s="3" t="str">
        <f ca="1">IFERROR(__xludf.DUMMYFUNCTION("""COMPUTED_VALUE"""),"Nguyễn Phạm Bảo Trân")</f>
        <v>Nguyễn Phạm Bảo Trân</v>
      </c>
      <c r="J4830" s="3" t="str">
        <f ca="1">IFERROR(__xludf.DUMMYFUNCTION("""COMPUTED_VALUE"""),"0915021107")</f>
        <v>0915021107</v>
      </c>
      <c r="K4830" s="2" t="str">
        <f ca="1">IFERROR(__xludf.DUMMYFUNCTION("""COMPUTED_VALUE"""),"1760158517402")</f>
        <v>1760158517402</v>
      </c>
    </row>
    <row r="4831" spans="1:11" ht="12.45">
      <c r="A4831" s="2" t="str">
        <f ca="1">IFERROR(__xludf.DUMMYFUNCTION("""COMPUTED_VALUE"""),"1760158558841")</f>
        <v>1760158558841</v>
      </c>
      <c r="B4831" s="2"/>
      <c r="C4831" s="2" t="str">
        <v>0</v>
      </c>
      <c r="D4831" s="2"/>
      <c r="F4831" s="2" t="str">
        <v>0</v>
      </c>
      <c r="I4831" s="3" t="str">
        <f ca="1">IFERROR(__xludf.DUMMYFUNCTION("""COMPUTED_VALUE"""),"NGUYỄN PHƯƠNG ANH ")</f>
        <v xml:space="preserve">NGUYỄN PHƯƠNG ANH </v>
      </c>
      <c r="J4831" s="3" t="str">
        <f ca="1">IFERROR(__xludf.DUMMYFUNCTION("""COMPUTED_VALUE"""),"0382925896")</f>
        <v>0382925896</v>
      </c>
      <c r="K4831" s="2" t="str">
        <f ca="1">IFERROR(__xludf.DUMMYFUNCTION("""COMPUTED_VALUE"""),"1760158558841")</f>
        <v>1760158558841</v>
      </c>
    </row>
    <row r="4832" spans="1:11" ht="12.45">
      <c r="A4832" s="2" t="str">
        <f ca="1">IFERROR(__xludf.DUMMYFUNCTION("""COMPUTED_VALUE"""),"1760158609434")</f>
        <v>1760158609434</v>
      </c>
      <c r="B4832" s="2"/>
      <c r="C4832" s="2" t="str">
        <v>0</v>
      </c>
      <c r="D4832" s="2"/>
      <c r="F4832" s="2" t="str">
        <v>0</v>
      </c>
      <c r="I4832" s="3" t="str">
        <f ca="1">IFERROR(__xludf.DUMMYFUNCTION("""COMPUTED_VALUE"""),"Trần ngọc khánh ")</f>
        <v xml:space="preserve">Trần ngọc khánh </v>
      </c>
      <c r="J4832" s="3" t="str">
        <f ca="1">IFERROR(__xludf.DUMMYFUNCTION("""COMPUTED_VALUE"""),"0793047455")</f>
        <v>0793047455</v>
      </c>
      <c r="K4832" s="2" t="str">
        <f ca="1">IFERROR(__xludf.DUMMYFUNCTION("""COMPUTED_VALUE"""),"1760158609434")</f>
        <v>1760158609434</v>
      </c>
    </row>
    <row r="4833" spans="1:11" ht="12.45">
      <c r="A4833" s="2" t="str">
        <f ca="1">IFERROR(__xludf.DUMMYFUNCTION("""COMPUTED_VALUE"""),"1760158654594")</f>
        <v>1760158654594</v>
      </c>
      <c r="B4833" s="2"/>
      <c r="C4833" s="2" t="str">
        <v>0</v>
      </c>
      <c r="D4833" s="2"/>
      <c r="F4833" s="2" t="str">
        <v>0</v>
      </c>
      <c r="I4833" s="3" t="str">
        <f ca="1">IFERROR(__xludf.DUMMYFUNCTION("""COMPUTED_VALUE"""),"Huỳnh Kim Huệ")</f>
        <v>Huỳnh Kim Huệ</v>
      </c>
      <c r="J4833" s="3" t="str">
        <f ca="1">IFERROR(__xludf.DUMMYFUNCTION("""COMPUTED_VALUE"""),"0343352702")</f>
        <v>0343352702</v>
      </c>
      <c r="K4833" s="2" t="str">
        <f ca="1">IFERROR(__xludf.DUMMYFUNCTION("""COMPUTED_VALUE"""),"1760158654594")</f>
        <v>1760158654594</v>
      </c>
    </row>
    <row r="4834" spans="1:11" ht="12.45">
      <c r="A4834" s="2" t="str">
        <f ca="1">IFERROR(__xludf.DUMMYFUNCTION("""COMPUTED_VALUE"""),"1760158716155")</f>
        <v>1760158716155</v>
      </c>
      <c r="B4834" s="2"/>
      <c r="C4834" s="2" t="str">
        <v>0</v>
      </c>
      <c r="D4834" s="2"/>
      <c r="F4834" s="2" t="str">
        <v>0</v>
      </c>
      <c r="I4834" s="3" t="str">
        <f ca="1">IFERROR(__xludf.DUMMYFUNCTION("""COMPUTED_VALUE"""),"Trần Ngọc Anh ")</f>
        <v xml:space="preserve">Trần Ngọc Anh </v>
      </c>
      <c r="J4834" s="3" t="str">
        <f ca="1">IFERROR(__xludf.DUMMYFUNCTION("""COMPUTED_VALUE"""),"0982059442")</f>
        <v>0982059442</v>
      </c>
      <c r="K4834" s="2" t="str">
        <f ca="1">IFERROR(__xludf.DUMMYFUNCTION("""COMPUTED_VALUE"""),"1760158716155")</f>
        <v>1760158716155</v>
      </c>
    </row>
    <row r="4835" spans="1:11" ht="12.45">
      <c r="A4835" s="2" t="str">
        <f ca="1">IFERROR(__xludf.DUMMYFUNCTION("""COMPUTED_VALUE"""),"1760158777223")</f>
        <v>1760158777223</v>
      </c>
      <c r="B4835" s="2"/>
      <c r="C4835" s="2" t="str">
        <v>0</v>
      </c>
      <c r="D4835" s="2"/>
      <c r="F4835" s="2" t="str">
        <v>0</v>
      </c>
      <c r="I4835" s="3" t="str">
        <f ca="1">IFERROR(__xludf.DUMMYFUNCTION("""COMPUTED_VALUE"""),"Bạch Tường Vy")</f>
        <v>Bạch Tường Vy</v>
      </c>
      <c r="J4835" s="3" t="str">
        <f ca="1">IFERROR(__xludf.DUMMYFUNCTION("""COMPUTED_VALUE"""),"0774631251")</f>
        <v>0774631251</v>
      </c>
      <c r="K4835" s="2" t="str">
        <f ca="1">IFERROR(__xludf.DUMMYFUNCTION("""COMPUTED_VALUE"""),"1760158777223")</f>
        <v>1760158777223</v>
      </c>
    </row>
    <row r="4836" spans="1:11" ht="12.45">
      <c r="A4836" s="2" t="str">
        <f ca="1">IFERROR(__xludf.DUMMYFUNCTION("""COMPUTED_VALUE"""),"1760158829658")</f>
        <v>1760158829658</v>
      </c>
      <c r="B4836" s="2"/>
      <c r="C4836" s="2" t="str">
        <v>0</v>
      </c>
      <c r="D4836" s="2"/>
      <c r="F4836" s="2" t="str">
        <v>0</v>
      </c>
      <c r="I4836" s="3" t="str">
        <f ca="1">IFERROR(__xludf.DUMMYFUNCTION("""COMPUTED_VALUE"""),"Nguyễn Diệu Linh ")</f>
        <v xml:space="preserve">Nguyễn Diệu Linh </v>
      </c>
      <c r="J4836" s="3" t="str">
        <f ca="1">IFERROR(__xludf.DUMMYFUNCTION("""COMPUTED_VALUE"""),"0963327198")</f>
        <v>0963327198</v>
      </c>
      <c r="K4836" s="2" t="str">
        <f ca="1">IFERROR(__xludf.DUMMYFUNCTION("""COMPUTED_VALUE"""),"1760158829658")</f>
        <v>1760158829658</v>
      </c>
    </row>
    <row r="4837" spans="1:11" ht="12.45">
      <c r="A4837" s="2" t="str">
        <f ca="1">IFERROR(__xludf.DUMMYFUNCTION("""COMPUTED_VALUE"""),"1760158903380")</f>
        <v>1760158903380</v>
      </c>
      <c r="B4837" s="2"/>
      <c r="C4837" s="2" t="str">
        <v>0</v>
      </c>
      <c r="D4837" s="2"/>
      <c r="F4837" s="2" t="str">
        <v>0</v>
      </c>
      <c r="I4837" s="3" t="str">
        <f ca="1">IFERROR(__xludf.DUMMYFUNCTION("""COMPUTED_VALUE"""),"LÊ ĐOÀN KIM NGÂN")</f>
        <v>LÊ ĐOÀN KIM NGÂN</v>
      </c>
      <c r="J4837" s="3" t="str">
        <f ca="1">IFERROR(__xludf.DUMMYFUNCTION("""COMPUTED_VALUE"""),"0865334659")</f>
        <v>0865334659</v>
      </c>
      <c r="K4837" s="2" t="str">
        <f ca="1">IFERROR(__xludf.DUMMYFUNCTION("""COMPUTED_VALUE"""),"1760158903380")</f>
        <v>1760158903380</v>
      </c>
    </row>
    <row r="4838" spans="1:11" ht="12.45">
      <c r="A4838" s="2" t="str">
        <f ca="1">IFERROR(__xludf.DUMMYFUNCTION("""COMPUTED_VALUE"""),"1760158968027")</f>
        <v>1760158968027</v>
      </c>
      <c r="B4838" s="2"/>
      <c r="C4838" s="2" t="str">
        <v>0</v>
      </c>
      <c r="D4838" s="2"/>
      <c r="F4838" s="2" t="str">
        <v>0</v>
      </c>
      <c r="I4838" s="3" t="str">
        <f ca="1">IFERROR(__xludf.DUMMYFUNCTION("""COMPUTED_VALUE"""),"Phạm Trần Quỳnh Như")</f>
        <v>Phạm Trần Quỳnh Như</v>
      </c>
      <c r="J4838" s="3" t="str">
        <f ca="1">IFERROR(__xludf.DUMMYFUNCTION("""COMPUTED_VALUE"""),"0346286189")</f>
        <v>0346286189</v>
      </c>
      <c r="K4838" s="2" t="str">
        <f ca="1">IFERROR(__xludf.DUMMYFUNCTION("""COMPUTED_VALUE"""),"1760158968027")</f>
        <v>1760158968027</v>
      </c>
    </row>
    <row r="4839" spans="1:11" ht="12.45">
      <c r="A4839" s="2" t="str">
        <f ca="1">IFERROR(__xludf.DUMMYFUNCTION("""COMPUTED_VALUE"""),"1760159025946")</f>
        <v>1760159025946</v>
      </c>
      <c r="B4839" s="2"/>
      <c r="C4839" s="2" t="str">
        <v>0</v>
      </c>
      <c r="D4839" s="2"/>
      <c r="F4839" s="2" t="str">
        <v>0</v>
      </c>
      <c r="I4839" s="3" t="str">
        <f ca="1">IFERROR(__xludf.DUMMYFUNCTION("""COMPUTED_VALUE"""),"Nguyễn quang thế anh")</f>
        <v>Nguyễn quang thế anh</v>
      </c>
      <c r="J4839" s="3" t="str">
        <f ca="1">IFERROR(__xludf.DUMMYFUNCTION("""COMPUTED_VALUE"""),"0919292007")</f>
        <v>0919292007</v>
      </c>
      <c r="K4839" s="2" t="str">
        <f ca="1">IFERROR(__xludf.DUMMYFUNCTION("""COMPUTED_VALUE"""),"1760159025946")</f>
        <v>1760159025946</v>
      </c>
    </row>
    <row r="4840" spans="1:11" ht="12.45">
      <c r="A4840" s="2" t="str">
        <f ca="1">IFERROR(__xludf.DUMMYFUNCTION("""COMPUTED_VALUE"""),"1760159099172")</f>
        <v>1760159099172</v>
      </c>
      <c r="B4840" s="2"/>
      <c r="C4840" s="2" t="str">
        <v>0</v>
      </c>
      <c r="D4840" s="2"/>
      <c r="F4840" s="2" t="str">
        <v>0</v>
      </c>
      <c r="I4840" s="3" t="str">
        <f ca="1">IFERROR(__xludf.DUMMYFUNCTION("""COMPUTED_VALUE"""),"Trần bảo nhi")</f>
        <v>Trần bảo nhi</v>
      </c>
      <c r="J4840" s="3" t="str">
        <f ca="1">IFERROR(__xludf.DUMMYFUNCTION("""COMPUTED_VALUE"""),"0854524347")</f>
        <v>0854524347</v>
      </c>
      <c r="K4840" s="2" t="str">
        <f ca="1">IFERROR(__xludf.DUMMYFUNCTION("""COMPUTED_VALUE"""),"1760159099172")</f>
        <v>1760159099172</v>
      </c>
    </row>
    <row r="4841" spans="1:11" ht="12.45">
      <c r="A4841" s="2" t="str">
        <f ca="1">IFERROR(__xludf.DUMMYFUNCTION("""COMPUTED_VALUE"""),"1760473477901")</f>
        <v>1760473477901</v>
      </c>
      <c r="B4841" s="2"/>
      <c r="C4841" s="2" t="str">
        <v>0</v>
      </c>
      <c r="D4841" s="2"/>
      <c r="F4841" s="2" t="str">
        <v>0</v>
      </c>
      <c r="I4841" s="3" t="str">
        <f ca="1">IFERROR(__xludf.DUMMYFUNCTION("""COMPUTED_VALUE"""),"Phạm Ngọc Hoà")</f>
        <v>Phạm Ngọc Hoà</v>
      </c>
      <c r="J4841" s="3" t="str">
        <f ca="1">IFERROR(__xludf.DUMMYFUNCTION("""COMPUTED_VALUE"""),"0845260907")</f>
        <v>0845260907</v>
      </c>
      <c r="K4841" s="2" t="str">
        <f ca="1">IFERROR(__xludf.DUMMYFUNCTION("""COMPUTED_VALUE"""),"1760473477901")</f>
        <v>1760473477901</v>
      </c>
    </row>
    <row r="4842" spans="1:11" ht="12.45">
      <c r="A4842" s="2" t="str">
        <f ca="1">IFERROR(__xludf.DUMMYFUNCTION("""COMPUTED_VALUE"""),"1760473522331")</f>
        <v>1760473522331</v>
      </c>
      <c r="B4842" s="2"/>
      <c r="C4842" s="2" t="str">
        <v>0</v>
      </c>
      <c r="D4842" s="2"/>
      <c r="F4842" s="2" t="str">
        <v>0</v>
      </c>
      <c r="I4842" s="3" t="str">
        <f ca="1">IFERROR(__xludf.DUMMYFUNCTION("""COMPUTED_VALUE"""),"Nguyễn Gia Hân")</f>
        <v>Nguyễn Gia Hân</v>
      </c>
      <c r="J4842" s="3" t="str">
        <f ca="1">IFERROR(__xludf.DUMMYFUNCTION("""COMPUTED_VALUE"""),"0948316160")</f>
        <v>0948316160</v>
      </c>
      <c r="K4842" s="2" t="str">
        <f ca="1">IFERROR(__xludf.DUMMYFUNCTION("""COMPUTED_VALUE"""),"1760473522331")</f>
        <v>1760473522331</v>
      </c>
    </row>
    <row r="4843" spans="1:11" ht="12.45">
      <c r="A4843" s="2" t="str">
        <f ca="1">IFERROR(__xludf.DUMMYFUNCTION("""COMPUTED_VALUE"""),"1740104976088")</f>
        <v>1740104976088</v>
      </c>
      <c r="B4843" s="2"/>
      <c r="C4843" s="2" t="str">
        <v>0</v>
      </c>
      <c r="D4843" s="2"/>
      <c r="F4843" s="2" t="str">
        <v>0</v>
      </c>
      <c r="I4843" s="3" t="str">
        <f ca="1">IFERROR(__xludf.DUMMYFUNCTION("""COMPUTED_VALUE"""),"Trịnh Thị Ngọc Châm")</f>
        <v>Trịnh Thị Ngọc Châm</v>
      </c>
      <c r="J4843" s="3" t="str">
        <f ca="1">IFERROR(__xludf.DUMMYFUNCTION("""COMPUTED_VALUE"""),"0342382679")</f>
        <v>0342382679</v>
      </c>
      <c r="K4843" s="2" t="str">
        <f ca="1">IFERROR(__xludf.DUMMYFUNCTION("""COMPUTED_VALUE"""),"1740104976088")</f>
        <v>1740104976088</v>
      </c>
    </row>
    <row r="4844" spans="1:11" ht="12.45">
      <c r="A4844" s="2" t="str">
        <f ca="1">IFERROR(__xludf.DUMMYFUNCTION("""COMPUTED_VALUE"""),"1740105017266")</f>
        <v>1740105017266</v>
      </c>
      <c r="B4844" s="2"/>
      <c r="C4844" s="2" t="str">
        <v>0</v>
      </c>
      <c r="D4844" s="2"/>
      <c r="F4844" s="2" t="str">
        <v>0</v>
      </c>
      <c r="I4844" s="3" t="str">
        <f ca="1">IFERROR(__xludf.DUMMYFUNCTION("""COMPUTED_VALUE"""),"Đỗ Nguyễn Bình MInh")</f>
        <v>Đỗ Nguyễn Bình MInh</v>
      </c>
      <c r="J4844" s="3" t="str">
        <f ca="1">IFERROR(__xludf.DUMMYFUNCTION("""COMPUTED_VALUE"""),"0904783896")</f>
        <v>0904783896</v>
      </c>
      <c r="K4844" s="2" t="str">
        <f ca="1">IFERROR(__xludf.DUMMYFUNCTION("""COMPUTED_VALUE"""),"1740105017266")</f>
        <v>1740105017266</v>
      </c>
    </row>
    <row r="4845" spans="1:11" ht="12.45">
      <c r="A4845" s="2" t="str">
        <f ca="1">IFERROR(__xludf.DUMMYFUNCTION("""COMPUTED_VALUE"""),"1740105079761")</f>
        <v>1740105079761</v>
      </c>
      <c r="B4845" s="2"/>
      <c r="C4845" s="2" t="str">
        <v>0</v>
      </c>
      <c r="D4845" s="2"/>
      <c r="F4845" s="2" t="str">
        <v>0</v>
      </c>
      <c r="I4845" s="3" t="str">
        <f ca="1">IFERROR(__xludf.DUMMYFUNCTION("""COMPUTED_VALUE"""),"Nguyễn Thị Thanh Ngân")</f>
        <v>Nguyễn Thị Thanh Ngân</v>
      </c>
      <c r="J4845" s="3" t="str">
        <f ca="1">IFERROR(__xludf.DUMMYFUNCTION("""COMPUTED_VALUE"""),"0397244507")</f>
        <v>0397244507</v>
      </c>
      <c r="K4845" s="2" t="str">
        <f ca="1">IFERROR(__xludf.DUMMYFUNCTION("""COMPUTED_VALUE"""),"1740105079761")</f>
        <v>1740105079761</v>
      </c>
    </row>
    <row r="4846" spans="1:11" ht="12.45">
      <c r="A4846" s="2" t="str">
        <f ca="1">IFERROR(__xludf.DUMMYFUNCTION("""COMPUTED_VALUE"""),"1760473710671")</f>
        <v>1760473710671</v>
      </c>
      <c r="B4846" s="2"/>
      <c r="C4846" s="2" t="str">
        <v>0</v>
      </c>
      <c r="D4846" s="2"/>
      <c r="F4846" s="2" t="str">
        <v>0</v>
      </c>
      <c r="I4846" s="3" t="str">
        <f ca="1">IFERROR(__xludf.DUMMYFUNCTION("""COMPUTED_VALUE"""),"Nguyễn Dương Hà Thi ")</f>
        <v xml:space="preserve">Nguyễn Dương Hà Thi </v>
      </c>
      <c r="J4846" s="3" t="str">
        <f ca="1">IFERROR(__xludf.DUMMYFUNCTION("""COMPUTED_VALUE"""),"0386019407")</f>
        <v>0386019407</v>
      </c>
      <c r="K4846" s="2" t="str">
        <f ca="1">IFERROR(__xludf.DUMMYFUNCTION("""COMPUTED_VALUE"""),"1760473710671")</f>
        <v>1760473710671</v>
      </c>
    </row>
    <row r="4847" spans="1:11" ht="12.45">
      <c r="A4847" s="2" t="str">
        <f ca="1">IFERROR(__xludf.DUMMYFUNCTION("""COMPUTED_VALUE"""),"1760473771224")</f>
        <v>1760473771224</v>
      </c>
      <c r="B4847" s="2"/>
      <c r="C4847" s="2" t="str">
        <v>0</v>
      </c>
      <c r="D4847" s="2"/>
      <c r="F4847" s="2" t="str">
        <v>0</v>
      </c>
      <c r="I4847" s="3" t="str">
        <f ca="1">IFERROR(__xludf.DUMMYFUNCTION("""COMPUTED_VALUE"""),"Đoàn Thanh Nhàn ")</f>
        <v xml:space="preserve">Đoàn Thanh Nhàn </v>
      </c>
      <c r="J4847" s="3" t="str">
        <f ca="1">IFERROR(__xludf.DUMMYFUNCTION("""COMPUTED_VALUE"""),"0374173359")</f>
        <v>0374173359</v>
      </c>
      <c r="K4847" s="2" t="str">
        <f ca="1">IFERROR(__xludf.DUMMYFUNCTION("""COMPUTED_VALUE"""),"1760473771224")</f>
        <v>1760473771224</v>
      </c>
    </row>
    <row r="4848" spans="1:11" ht="12.45">
      <c r="A4848" s="2" t="str">
        <f ca="1">IFERROR(__xludf.DUMMYFUNCTION("""COMPUTED_VALUE"""),"1760473820789")</f>
        <v>1760473820789</v>
      </c>
      <c r="B4848" s="2"/>
      <c r="C4848" s="2" t="str">
        <v>0</v>
      </c>
      <c r="D4848" s="2"/>
      <c r="F4848" s="2" t="str">
        <v>0</v>
      </c>
      <c r="I4848" s="3" t="str">
        <f ca="1">IFERROR(__xludf.DUMMYFUNCTION("""COMPUTED_VALUE"""),"Nguyễn Thị Ngọc Dung")</f>
        <v>Nguyễn Thị Ngọc Dung</v>
      </c>
      <c r="J4848" s="3" t="str">
        <f ca="1">IFERROR(__xludf.DUMMYFUNCTION("""COMPUTED_VALUE"""),"0366071529")</f>
        <v>0366071529</v>
      </c>
      <c r="K4848" s="2" t="str">
        <f ca="1">IFERROR(__xludf.DUMMYFUNCTION("""COMPUTED_VALUE"""),"1760473820789")</f>
        <v>1760473820789</v>
      </c>
    </row>
    <row r="4849" spans="1:11" ht="12.45">
      <c r="A4849" s="2" t="str">
        <f ca="1">IFERROR(__xludf.DUMMYFUNCTION("""COMPUTED_VALUE"""),"1760473922803")</f>
        <v>1760473922803</v>
      </c>
      <c r="B4849" s="2"/>
      <c r="C4849" s="2" t="str">
        <v>0</v>
      </c>
      <c r="D4849" s="2"/>
      <c r="F4849" s="2" t="str">
        <v>0</v>
      </c>
      <c r="I4849" s="3" t="str">
        <f ca="1">IFERROR(__xludf.DUMMYFUNCTION("""COMPUTED_VALUE"""),"Kiều Trần Đạt")</f>
        <v>Kiều Trần Đạt</v>
      </c>
      <c r="J4849" s="3" t="str">
        <f ca="1">IFERROR(__xludf.DUMMYFUNCTION("""COMPUTED_VALUE"""),"0867582257")</f>
        <v>0867582257</v>
      </c>
      <c r="K4849" s="2" t="str">
        <f ca="1">IFERROR(__xludf.DUMMYFUNCTION("""COMPUTED_VALUE"""),"1760473922803")</f>
        <v>1760473922803</v>
      </c>
    </row>
    <row r="4850" spans="1:11" ht="12.45">
      <c r="A4850" s="2" t="str">
        <f ca="1">IFERROR(__xludf.DUMMYFUNCTION("""COMPUTED_VALUE"""),"1760474010095")</f>
        <v>1760474010095</v>
      </c>
      <c r="B4850" s="2"/>
      <c r="C4850" s="2" t="str">
        <v>0</v>
      </c>
      <c r="D4850" s="2"/>
      <c r="F4850" s="2" t="str">
        <v>0</v>
      </c>
      <c r="I4850" s="3" t="str">
        <f ca="1">IFERROR(__xludf.DUMMYFUNCTION("""COMPUTED_VALUE"""),"Lò Yến Nhi")</f>
        <v>Lò Yến Nhi</v>
      </c>
      <c r="J4850" s="3" t="str">
        <f ca="1">IFERROR(__xludf.DUMMYFUNCTION("""COMPUTED_VALUE"""),"0354843806")</f>
        <v>0354843806</v>
      </c>
      <c r="K4850" s="2" t="str">
        <f ca="1">IFERROR(__xludf.DUMMYFUNCTION("""COMPUTED_VALUE"""),"1760474010095")</f>
        <v>1760474010095</v>
      </c>
    </row>
    <row r="4851" spans="1:11" ht="12.45">
      <c r="A4851" s="2" t="str">
        <f ca="1">IFERROR(__xludf.DUMMYFUNCTION("""COMPUTED_VALUE"""),"1760474054581")</f>
        <v>1760474054581</v>
      </c>
      <c r="B4851" s="2"/>
      <c r="C4851" s="2" t="str">
        <v>0</v>
      </c>
      <c r="D4851" s="2"/>
      <c r="F4851" s="2" t="str">
        <v>0</v>
      </c>
      <c r="I4851" s="3" t="str">
        <f ca="1">IFERROR(__xludf.DUMMYFUNCTION("""COMPUTED_VALUE"""),"Nguyễn Thị Khánh Ly ")</f>
        <v xml:space="preserve">Nguyễn Thị Khánh Ly </v>
      </c>
      <c r="J4851" s="3" t="str">
        <f ca="1">IFERROR(__xludf.DUMMYFUNCTION("""COMPUTED_VALUE"""),"0354916538")</f>
        <v>0354916538</v>
      </c>
      <c r="K4851" s="2" t="str">
        <f ca="1">IFERROR(__xludf.DUMMYFUNCTION("""COMPUTED_VALUE"""),"1760474054581")</f>
        <v>1760474054581</v>
      </c>
    </row>
    <row r="4852" spans="1:11" ht="12.45">
      <c r="A4852" s="2" t="str">
        <f ca="1">IFERROR(__xludf.DUMMYFUNCTION("""COMPUTED_VALUE"""),"1760474125701")</f>
        <v>1760474125701</v>
      </c>
      <c r="B4852" s="2"/>
      <c r="C4852" s="2" t="str">
        <v>0</v>
      </c>
      <c r="D4852" s="2"/>
      <c r="F4852" s="2" t="str">
        <v>0</v>
      </c>
      <c r="I4852" s="3" t="str">
        <f ca="1">IFERROR(__xludf.DUMMYFUNCTION("""COMPUTED_VALUE"""),"Đặng Kiều Anh")</f>
        <v>Đặng Kiều Anh</v>
      </c>
      <c r="J4852" s="3" t="str">
        <f ca="1">IFERROR(__xludf.DUMMYFUNCTION("""COMPUTED_VALUE"""),"0395122171")</f>
        <v>0395122171</v>
      </c>
      <c r="K4852" s="2" t="str">
        <f ca="1">IFERROR(__xludf.DUMMYFUNCTION("""COMPUTED_VALUE"""),"1760474125701")</f>
        <v>1760474125701</v>
      </c>
    </row>
    <row r="4853" spans="1:11" ht="12.45">
      <c r="A4853" s="2" t="str">
        <f ca="1">IFERROR(__xludf.DUMMYFUNCTION("""COMPUTED_VALUE"""),"1760474216893")</f>
        <v>1760474216893</v>
      </c>
      <c r="B4853" s="2"/>
      <c r="C4853" s="2" t="str">
        <v>0</v>
      </c>
      <c r="D4853" s="2"/>
      <c r="F4853" s="2" t="str">
        <v>0</v>
      </c>
      <c r="I4853" s="3" t="str">
        <f ca="1">IFERROR(__xludf.DUMMYFUNCTION("""COMPUTED_VALUE"""),"Trần Thị Lương")</f>
        <v>Trần Thị Lương</v>
      </c>
      <c r="J4853" s="3" t="str">
        <f ca="1">IFERROR(__xludf.DUMMYFUNCTION("""COMPUTED_VALUE"""),"0963284504")</f>
        <v>0963284504</v>
      </c>
      <c r="K4853" s="2" t="str">
        <f ca="1">IFERROR(__xludf.DUMMYFUNCTION("""COMPUTED_VALUE"""),"1760474216893")</f>
        <v>1760474216893</v>
      </c>
    </row>
    <row r="4854" spans="1:11" ht="12.45">
      <c r="A4854" s="2" t="str">
        <f ca="1">IFERROR(__xludf.DUMMYFUNCTION("""COMPUTED_VALUE"""),"1760474283071")</f>
        <v>1760474283071</v>
      </c>
      <c r="B4854" s="2"/>
      <c r="C4854" s="2" t="str">
        <v>0</v>
      </c>
      <c r="D4854" s="2"/>
      <c r="F4854" s="2" t="str">
        <v>0</v>
      </c>
      <c r="I4854" s="3" t="str">
        <f ca="1">IFERROR(__xludf.DUMMYFUNCTION("""COMPUTED_VALUE"""),"Đinh Thị Thanh Ngân ")</f>
        <v xml:space="preserve">Đinh Thị Thanh Ngân </v>
      </c>
      <c r="J4854" s="3" t="str">
        <f ca="1">IFERROR(__xludf.DUMMYFUNCTION("""COMPUTED_VALUE"""),"0382137946")</f>
        <v>0382137946</v>
      </c>
      <c r="K4854" s="2" t="str">
        <f ca="1">IFERROR(__xludf.DUMMYFUNCTION("""COMPUTED_VALUE"""),"1760474283071")</f>
        <v>1760474283071</v>
      </c>
    </row>
    <row r="4855" spans="1:11" ht="12.45">
      <c r="A4855" s="2" t="str">
        <f ca="1">IFERROR(__xludf.DUMMYFUNCTION("""COMPUTED_VALUE"""),"1740105118867")</f>
        <v>1740105118867</v>
      </c>
      <c r="B4855" s="2"/>
      <c r="C4855" s="2" t="str">
        <v>0</v>
      </c>
      <c r="D4855" s="2"/>
      <c r="F4855" s="2" t="str">
        <v>0</v>
      </c>
      <c r="I4855" s="3" t="str">
        <f ca="1">IFERROR(__xludf.DUMMYFUNCTION("""COMPUTED_VALUE"""),"Vũ Trung Hải")</f>
        <v>Vũ Trung Hải</v>
      </c>
      <c r="J4855" s="3" t="str">
        <f ca="1">IFERROR(__xludf.DUMMYFUNCTION("""COMPUTED_VALUE"""),"0336957328")</f>
        <v>0336957328</v>
      </c>
      <c r="K4855" s="2" t="str">
        <f ca="1">IFERROR(__xludf.DUMMYFUNCTION("""COMPUTED_VALUE"""),"1740105118867")</f>
        <v>1740105118867</v>
      </c>
    </row>
    <row r="4856" spans="1:11" ht="12.45">
      <c r="A4856" s="2" t="str">
        <f ca="1">IFERROR(__xludf.DUMMYFUNCTION("""COMPUTED_VALUE"""),"1740105161776")</f>
        <v>1740105161776</v>
      </c>
      <c r="B4856" s="2"/>
      <c r="C4856" s="2" t="str">
        <v>0</v>
      </c>
      <c r="D4856" s="2"/>
      <c r="F4856" s="2" t="str">
        <v>0</v>
      </c>
      <c r="I4856" s="3" t="str">
        <f ca="1">IFERROR(__xludf.DUMMYFUNCTION("""COMPUTED_VALUE"""),"Trần Thu HIền")</f>
        <v>Trần Thu HIền</v>
      </c>
      <c r="J4856" s="3" t="str">
        <f ca="1">IFERROR(__xludf.DUMMYFUNCTION("""COMPUTED_VALUE"""),"0327620868")</f>
        <v>0327620868</v>
      </c>
      <c r="K4856" s="2" t="str">
        <f ca="1">IFERROR(__xludf.DUMMYFUNCTION("""COMPUTED_VALUE"""),"1740105161776")</f>
        <v>1740105161776</v>
      </c>
    </row>
    <row r="4857" spans="1:11" ht="12.45">
      <c r="A4857" s="2" t="str">
        <f ca="1">IFERROR(__xludf.DUMMYFUNCTION("""COMPUTED_VALUE"""),"1760474442674")</f>
        <v>1760474442674</v>
      </c>
      <c r="B4857" s="2"/>
      <c r="C4857" s="2" t="str">
        <v>0</v>
      </c>
      <c r="D4857" s="2"/>
      <c r="F4857" s="2" t="str">
        <v>0</v>
      </c>
      <c r="I4857" s="3" t="str">
        <f ca="1">IFERROR(__xludf.DUMMYFUNCTION("""COMPUTED_VALUE"""),"Nguyễn Ngọc Khánh")</f>
        <v>Nguyễn Ngọc Khánh</v>
      </c>
      <c r="J4857" s="3" t="str">
        <f ca="1">IFERROR(__xludf.DUMMYFUNCTION("""COMPUTED_VALUE"""),"0813530929")</f>
        <v>0813530929</v>
      </c>
      <c r="K4857" s="2" t="str">
        <f ca="1">IFERROR(__xludf.DUMMYFUNCTION("""COMPUTED_VALUE"""),"1760474442674")</f>
        <v>1760474442674</v>
      </c>
    </row>
    <row r="4858" spans="1:11" ht="12.45">
      <c r="A4858" s="2" t="str">
        <f ca="1">IFERROR(__xludf.DUMMYFUNCTION("""COMPUTED_VALUE"""),"1760474481032")</f>
        <v>1760474481032</v>
      </c>
      <c r="B4858" s="2"/>
      <c r="C4858" s="2" t="str">
        <v>0</v>
      </c>
      <c r="D4858" s="2"/>
      <c r="F4858" s="2" t="str">
        <v>0</v>
      </c>
      <c r="I4858" s="3" t="str">
        <f ca="1">IFERROR(__xludf.DUMMYFUNCTION("""COMPUTED_VALUE"""),"Nguyễn Ngọc Khánh Linh")</f>
        <v>Nguyễn Ngọc Khánh Linh</v>
      </c>
      <c r="J4858" s="3" t="str">
        <f ca="1">IFERROR(__xludf.DUMMYFUNCTION("""COMPUTED_VALUE"""),"0919996548")</f>
        <v>0919996548</v>
      </c>
      <c r="K4858" s="2" t="str">
        <f ca="1">IFERROR(__xludf.DUMMYFUNCTION("""COMPUTED_VALUE"""),"1760474481032")</f>
        <v>1760474481032</v>
      </c>
    </row>
    <row r="4859" spans="1:11" ht="12.45">
      <c r="A4859" s="2" t="str">
        <f ca="1">IFERROR(__xludf.DUMMYFUNCTION("""COMPUTED_VALUE"""),"1760474521057")</f>
        <v>1760474521057</v>
      </c>
      <c r="B4859" s="2"/>
      <c r="C4859" s="2" t="str">
        <v>0</v>
      </c>
      <c r="D4859" s="2"/>
      <c r="F4859" s="2" t="str">
        <v>0</v>
      </c>
      <c r="I4859" s="3" t="str">
        <f ca="1">IFERROR(__xludf.DUMMYFUNCTION("""COMPUTED_VALUE"""),"Hoàng Vũ Đan Chi")</f>
        <v>Hoàng Vũ Đan Chi</v>
      </c>
      <c r="J4859" s="3" t="str">
        <f ca="1">IFERROR(__xludf.DUMMYFUNCTION("""COMPUTED_VALUE"""),"0971508649")</f>
        <v>0971508649</v>
      </c>
      <c r="K4859" s="2" t="str">
        <f ca="1">IFERROR(__xludf.DUMMYFUNCTION("""COMPUTED_VALUE"""),"1760474521057")</f>
        <v>1760474521057</v>
      </c>
    </row>
    <row r="4860" spans="1:11" ht="12.45">
      <c r="A4860" s="2" t="str">
        <f ca="1">IFERROR(__xludf.DUMMYFUNCTION("""COMPUTED_VALUE"""),"1760474559413")</f>
        <v>1760474559413</v>
      </c>
      <c r="B4860" s="2"/>
      <c r="C4860" s="2" t="str">
        <v>0</v>
      </c>
      <c r="D4860" s="2"/>
      <c r="F4860" s="2" t="str">
        <v>0</v>
      </c>
      <c r="I4860" s="3" t="str">
        <f ca="1">IFERROR(__xludf.DUMMYFUNCTION("""COMPUTED_VALUE"""),"Nguyễn Hoàng Gia Nhi")</f>
        <v>Nguyễn Hoàng Gia Nhi</v>
      </c>
      <c r="J4860" s="3" t="str">
        <f ca="1">IFERROR(__xludf.DUMMYFUNCTION("""COMPUTED_VALUE"""),"0797120676")</f>
        <v>0797120676</v>
      </c>
      <c r="K4860" s="2" t="str">
        <f ca="1">IFERROR(__xludf.DUMMYFUNCTION("""COMPUTED_VALUE"""),"1760474559413")</f>
        <v>1760474559413</v>
      </c>
    </row>
    <row r="4861" spans="1:11" ht="12.45">
      <c r="A4861" s="2" t="str">
        <f ca="1">IFERROR(__xludf.DUMMYFUNCTION("""COMPUTED_VALUE"""),"1760474599002")</f>
        <v>1760474599002</v>
      </c>
      <c r="B4861" s="2"/>
      <c r="C4861" s="2" t="str">
        <v>0</v>
      </c>
      <c r="D4861" s="2"/>
      <c r="F4861" s="2" t="str">
        <v>0</v>
      </c>
      <c r="I4861" s="3" t="str">
        <f ca="1">IFERROR(__xludf.DUMMYFUNCTION("""COMPUTED_VALUE"""),"Nguyễn Thu Trang")</f>
        <v>Nguyễn Thu Trang</v>
      </c>
      <c r="J4861" s="3" t="str">
        <f ca="1">IFERROR(__xludf.DUMMYFUNCTION("""COMPUTED_VALUE"""),"0368036336")</f>
        <v>0368036336</v>
      </c>
      <c r="K4861" s="2" t="str">
        <f ca="1">IFERROR(__xludf.DUMMYFUNCTION("""COMPUTED_VALUE"""),"1760474599002")</f>
        <v>1760474599002</v>
      </c>
    </row>
    <row r="4862" spans="1:11" ht="12.45">
      <c r="A4862" s="2" t="str">
        <f ca="1">IFERROR(__xludf.DUMMYFUNCTION("""COMPUTED_VALUE"""),"1760474632859")</f>
        <v>1760474632859</v>
      </c>
      <c r="B4862" s="2"/>
      <c r="C4862" s="2" t="str">
        <v>0</v>
      </c>
      <c r="D4862" s="2"/>
      <c r="F4862" s="2" t="str">
        <v>0</v>
      </c>
      <c r="I4862" s="3" t="str">
        <f ca="1">IFERROR(__xludf.DUMMYFUNCTION("""COMPUTED_VALUE"""),"Lê thị hồng thắm")</f>
        <v>Lê thị hồng thắm</v>
      </c>
      <c r="J4862" s="3" t="str">
        <f ca="1">IFERROR(__xludf.DUMMYFUNCTION("""COMPUTED_VALUE"""),"0326293635")</f>
        <v>0326293635</v>
      </c>
      <c r="K4862" s="2" t="str">
        <f ca="1">IFERROR(__xludf.DUMMYFUNCTION("""COMPUTED_VALUE"""),"1760474632859")</f>
        <v>1760474632859</v>
      </c>
    </row>
    <row r="4863" spans="1:11" ht="12.45">
      <c r="A4863" s="2" t="str">
        <f ca="1">IFERROR(__xludf.DUMMYFUNCTION("""COMPUTED_VALUE"""),"1760474667017")</f>
        <v>1760474667017</v>
      </c>
      <c r="B4863" s="2"/>
      <c r="C4863" s="2" t="str">
        <v>0</v>
      </c>
      <c r="D4863" s="2"/>
      <c r="F4863" s="2" t="str">
        <v>0</v>
      </c>
      <c r="I4863" s="3" t="str">
        <f ca="1">IFERROR(__xludf.DUMMYFUNCTION("""COMPUTED_VALUE"""),"Nguyễn Đức Phong")</f>
        <v>Nguyễn Đức Phong</v>
      </c>
      <c r="J4863" s="3" t="str">
        <f ca="1">IFERROR(__xludf.DUMMYFUNCTION("""COMPUTED_VALUE"""),"0348822283")</f>
        <v>0348822283</v>
      </c>
      <c r="K4863" s="2" t="str">
        <f ca="1">IFERROR(__xludf.DUMMYFUNCTION("""COMPUTED_VALUE"""),"1760474667017")</f>
        <v>1760474667017</v>
      </c>
    </row>
    <row r="4864" spans="1:11" ht="12.45">
      <c r="A4864" s="2" t="str">
        <f ca="1">IFERROR(__xludf.DUMMYFUNCTION("""COMPUTED_VALUE"""),"1760474708455")</f>
        <v>1760474708455</v>
      </c>
      <c r="B4864" s="2"/>
      <c r="C4864" s="2" t="str">
        <v>0</v>
      </c>
      <c r="D4864" s="2"/>
      <c r="F4864" s="2" t="str">
        <v>0</v>
      </c>
      <c r="I4864" s="3" t="str">
        <f ca="1">IFERROR(__xludf.DUMMYFUNCTION("""COMPUTED_VALUE"""),"Trần Thị Phương Linh ")</f>
        <v xml:space="preserve">Trần Thị Phương Linh </v>
      </c>
      <c r="J4864" s="3" t="str">
        <f ca="1">IFERROR(__xludf.DUMMYFUNCTION("""COMPUTED_VALUE"""),"0983304855")</f>
        <v>0983304855</v>
      </c>
      <c r="K4864" s="2" t="str">
        <f ca="1">IFERROR(__xludf.DUMMYFUNCTION("""COMPUTED_VALUE"""),"1760474708455")</f>
        <v>1760474708455</v>
      </c>
    </row>
    <row r="4865" spans="1:11" ht="12.45">
      <c r="A4865" s="2" t="str">
        <f ca="1">IFERROR(__xludf.DUMMYFUNCTION("""COMPUTED_VALUE"""),"1760474787814")</f>
        <v>1760474787814</v>
      </c>
      <c r="B4865" s="2"/>
      <c r="C4865" s="2" t="str">
        <v>0</v>
      </c>
      <c r="D4865" s="2"/>
      <c r="F4865" s="2" t="str">
        <v>0</v>
      </c>
      <c r="I4865" s="3" t="str">
        <f ca="1">IFERROR(__xludf.DUMMYFUNCTION("""COMPUTED_VALUE"""),"Nguyễn Hải Khánh")</f>
        <v>Nguyễn Hải Khánh</v>
      </c>
      <c r="J4865" s="3" t="str">
        <f ca="1">IFERROR(__xludf.DUMMYFUNCTION("""COMPUTED_VALUE"""),"0948796735")</f>
        <v>0948796735</v>
      </c>
      <c r="K4865" s="2" t="str">
        <f ca="1">IFERROR(__xludf.DUMMYFUNCTION("""COMPUTED_VALUE"""),"1760474787814")</f>
        <v>1760474787814</v>
      </c>
    </row>
    <row r="4866" spans="1:11" ht="12.45">
      <c r="A4866" s="2" t="str">
        <f ca="1">IFERROR(__xludf.DUMMYFUNCTION("""COMPUTED_VALUE"""),"1760474845360")</f>
        <v>1760474845360</v>
      </c>
      <c r="B4866" s="2"/>
      <c r="C4866" s="2" t="str">
        <v>0</v>
      </c>
      <c r="D4866" s="2"/>
      <c r="F4866" s="2" t="str">
        <v>0</v>
      </c>
      <c r="I4866" s="3" t="str">
        <f ca="1">IFERROR(__xludf.DUMMYFUNCTION("""COMPUTED_VALUE"""),"Nguyễn Trần Tây Thy")</f>
        <v>Nguyễn Trần Tây Thy</v>
      </c>
      <c r="J4866" s="3" t="str">
        <f ca="1">IFERROR(__xludf.DUMMYFUNCTION("""COMPUTED_VALUE"""),"0908120765")</f>
        <v>0908120765</v>
      </c>
      <c r="K4866" s="2" t="str">
        <f ca="1">IFERROR(__xludf.DUMMYFUNCTION("""COMPUTED_VALUE"""),"1760474845360")</f>
        <v>1760474845360</v>
      </c>
    </row>
    <row r="4867" spans="1:11" ht="12.45">
      <c r="A4867" s="2" t="str">
        <f ca="1">IFERROR(__xludf.DUMMYFUNCTION("""COMPUTED_VALUE"""),"1760474890135")</f>
        <v>1760474890135</v>
      </c>
      <c r="B4867" s="2"/>
      <c r="C4867" s="2" t="str">
        <v>0</v>
      </c>
      <c r="D4867" s="2"/>
      <c r="F4867" s="2" t="str">
        <v>0</v>
      </c>
      <c r="I4867" s="3" t="str">
        <f ca="1">IFERROR(__xludf.DUMMYFUNCTION("""COMPUTED_VALUE"""),"Lê Trần Phương Linh")</f>
        <v>Lê Trần Phương Linh</v>
      </c>
      <c r="J4867" s="3" t="str">
        <f ca="1">IFERROR(__xludf.DUMMYFUNCTION("""COMPUTED_VALUE"""),"0969472259")</f>
        <v>0969472259</v>
      </c>
      <c r="K4867" s="2" t="str">
        <f ca="1">IFERROR(__xludf.DUMMYFUNCTION("""COMPUTED_VALUE"""),"1760474890135")</f>
        <v>1760474890135</v>
      </c>
    </row>
    <row r="4868" spans="1:11" ht="12.45">
      <c r="A4868" s="2" t="str">
        <f ca="1">IFERROR(__xludf.DUMMYFUNCTION("""COMPUTED_VALUE"""),"1760474965965")</f>
        <v>1760474965965</v>
      </c>
      <c r="B4868" s="2"/>
      <c r="C4868" s="2" t="str">
        <v>0</v>
      </c>
      <c r="D4868" s="2"/>
      <c r="F4868" s="2" t="str">
        <v>0</v>
      </c>
      <c r="I4868" s="3" t="str">
        <f ca="1">IFERROR(__xludf.DUMMYFUNCTION("""COMPUTED_VALUE"""),"Phan Nguyễn Gia Hân")</f>
        <v>Phan Nguyễn Gia Hân</v>
      </c>
      <c r="J4868" s="3" t="str">
        <f ca="1">IFERROR(__xludf.DUMMYFUNCTION("""COMPUTED_VALUE"""),"0794558410")</f>
        <v>0794558410</v>
      </c>
      <c r="K4868" s="2" t="str">
        <f ca="1">IFERROR(__xludf.DUMMYFUNCTION("""COMPUTED_VALUE"""),"1760474965965")</f>
        <v>1760474965965</v>
      </c>
    </row>
    <row r="4869" spans="1:11" ht="12.45">
      <c r="A4869" s="2" t="str">
        <f ca="1">IFERROR(__xludf.DUMMYFUNCTION("""COMPUTED_VALUE"""),"1760475044604")</f>
        <v>1760475044604</v>
      </c>
      <c r="B4869" s="2"/>
      <c r="C4869" s="2" t="str">
        <v>0</v>
      </c>
      <c r="D4869" s="2"/>
      <c r="F4869" s="2" t="str">
        <v>0</v>
      </c>
      <c r="I4869" s="3" t="str">
        <f ca="1">IFERROR(__xludf.DUMMYFUNCTION("""COMPUTED_VALUE"""),"Lê Nguyễn Kim Ngân")</f>
        <v>Lê Nguyễn Kim Ngân</v>
      </c>
      <c r="J4869" s="3" t="str">
        <f ca="1">IFERROR(__xludf.DUMMYFUNCTION("""COMPUTED_VALUE"""),"0765323060")</f>
        <v>0765323060</v>
      </c>
      <c r="K4869" s="2" t="str">
        <f ca="1">IFERROR(__xludf.DUMMYFUNCTION("""COMPUTED_VALUE"""),"1760475044604")</f>
        <v>1760475044604</v>
      </c>
    </row>
    <row r="4870" spans="1:11" ht="12.45">
      <c r="A4870" s="2" t="str">
        <f ca="1">IFERROR(__xludf.DUMMYFUNCTION("""COMPUTED_VALUE"""),"1760475115895")</f>
        <v>1760475115895</v>
      </c>
      <c r="B4870" s="2"/>
      <c r="C4870" s="2" t="str">
        <v>0</v>
      </c>
      <c r="D4870" s="2"/>
      <c r="F4870" s="2" t="str">
        <v>0</v>
      </c>
      <c r="I4870" s="3" t="str">
        <f ca="1">IFERROR(__xludf.DUMMYFUNCTION("""COMPUTED_VALUE"""),"Nguyễn Thị Kiều An")</f>
        <v>Nguyễn Thị Kiều An</v>
      </c>
      <c r="J4870" s="3" t="str">
        <f ca="1">IFERROR(__xludf.DUMMYFUNCTION("""COMPUTED_VALUE"""),"0931092990")</f>
        <v>0931092990</v>
      </c>
      <c r="K4870" s="2" t="str">
        <f ca="1">IFERROR(__xludf.DUMMYFUNCTION("""COMPUTED_VALUE"""),"1760475115895")</f>
        <v>1760475115895</v>
      </c>
    </row>
    <row r="4871" spans="1:11" ht="12.45">
      <c r="A4871" s="2" t="str">
        <f ca="1">IFERROR(__xludf.DUMMYFUNCTION("""COMPUTED_VALUE"""),"1760475184595")</f>
        <v>1760475184595</v>
      </c>
      <c r="B4871" s="2"/>
      <c r="C4871" s="2" t="str">
        <v>0</v>
      </c>
      <c r="D4871" s="2"/>
      <c r="F4871" s="2" t="str">
        <v>0</v>
      </c>
      <c r="I4871" s="3" t="str">
        <f ca="1">IFERROR(__xludf.DUMMYFUNCTION("""COMPUTED_VALUE"""),"Nguyễn Phương Hạnh")</f>
        <v>Nguyễn Phương Hạnh</v>
      </c>
      <c r="J4871" s="3" t="str">
        <f ca="1">IFERROR(__xludf.DUMMYFUNCTION("""COMPUTED_VALUE"""),"0862069428")</f>
        <v>0862069428</v>
      </c>
      <c r="K4871" s="2" t="str">
        <f ca="1">IFERROR(__xludf.DUMMYFUNCTION("""COMPUTED_VALUE"""),"1760475184595")</f>
        <v>1760475184595</v>
      </c>
    </row>
    <row r="4872" spans="1:11" ht="12.45">
      <c r="A4872" s="2" t="str">
        <f ca="1">IFERROR(__xludf.DUMMYFUNCTION("""COMPUTED_VALUE"""),"1760475248999")</f>
        <v>1760475248999</v>
      </c>
      <c r="B4872" s="2"/>
      <c r="C4872" s="2" t="str">
        <v>0</v>
      </c>
      <c r="D4872" s="2"/>
      <c r="F4872" s="2" t="str">
        <v>0</v>
      </c>
      <c r="I4872" s="3" t="str">
        <f ca="1">IFERROR(__xludf.DUMMYFUNCTION("""COMPUTED_VALUE"""),"Trịnh Phương Linh")</f>
        <v>Trịnh Phương Linh</v>
      </c>
      <c r="J4872" s="3" t="str">
        <f ca="1">IFERROR(__xludf.DUMMYFUNCTION("""COMPUTED_VALUE"""),"0867068966")</f>
        <v>0867068966</v>
      </c>
      <c r="K4872" s="2" t="str">
        <f ca="1">IFERROR(__xludf.DUMMYFUNCTION("""COMPUTED_VALUE"""),"1760475248999")</f>
        <v>1760475248999</v>
      </c>
    </row>
    <row r="4873" spans="1:11" ht="12.45">
      <c r="A4873" s="2" t="str">
        <f ca="1">IFERROR(__xludf.DUMMYFUNCTION("""COMPUTED_VALUE"""),"1760475287673")</f>
        <v>1760475287673</v>
      </c>
      <c r="B4873" s="2"/>
      <c r="C4873" s="2" t="str">
        <v>0</v>
      </c>
      <c r="D4873" s="2"/>
      <c r="F4873" s="2" t="str">
        <v>0</v>
      </c>
      <c r="I4873" s="3" t="str">
        <f ca="1">IFERROR(__xludf.DUMMYFUNCTION("""COMPUTED_VALUE"""),"Nguyễn Thuỳ Dung ")</f>
        <v xml:space="preserve">Nguyễn Thuỳ Dung </v>
      </c>
      <c r="J4873" s="3" t="str">
        <f ca="1">IFERROR(__xludf.DUMMYFUNCTION("""COMPUTED_VALUE"""),"0393154202")</f>
        <v>0393154202</v>
      </c>
      <c r="K4873" s="2" t="str">
        <f ca="1">IFERROR(__xludf.DUMMYFUNCTION("""COMPUTED_VALUE"""),"1760475287673")</f>
        <v>1760475287673</v>
      </c>
    </row>
    <row r="4874" spans="1:11" ht="12.45">
      <c r="A4874" s="2" t="str">
        <f ca="1">IFERROR(__xludf.DUMMYFUNCTION("""COMPUTED_VALUE"""),"1760475347559")</f>
        <v>1760475347559</v>
      </c>
      <c r="B4874" s="2"/>
      <c r="C4874" s="2" t="str">
        <v>0</v>
      </c>
      <c r="D4874" s="2"/>
      <c r="F4874" s="2" t="str">
        <v>0</v>
      </c>
      <c r="I4874" s="3" t="str">
        <f ca="1">IFERROR(__xludf.DUMMYFUNCTION("""COMPUTED_VALUE"""),"Nguyễn Đức Tài")</f>
        <v>Nguyễn Đức Tài</v>
      </c>
      <c r="J4874" s="3" t="str">
        <f ca="1">IFERROR(__xludf.DUMMYFUNCTION("""COMPUTED_VALUE"""),"0374888658")</f>
        <v>0374888658</v>
      </c>
      <c r="K4874" s="2" t="str">
        <f ca="1">IFERROR(__xludf.DUMMYFUNCTION("""COMPUTED_VALUE"""),"1760475347559")</f>
        <v>1760475347559</v>
      </c>
    </row>
    <row r="4875" spans="1:11" ht="12.45">
      <c r="A4875" s="2" t="str">
        <f ca="1">IFERROR(__xludf.DUMMYFUNCTION("""COMPUTED_VALUE"""),"1760475391033")</f>
        <v>1760475391033</v>
      </c>
      <c r="B4875" s="2"/>
      <c r="C4875" s="2" t="str">
        <v>0</v>
      </c>
      <c r="D4875" s="2"/>
      <c r="F4875" s="2" t="str">
        <v>0</v>
      </c>
      <c r="I4875" s="3" t="str">
        <f ca="1">IFERROR(__xludf.DUMMYFUNCTION("""COMPUTED_VALUE"""),"ĐOÀN THỊ HẢI NGÂN")</f>
        <v>ĐOÀN THỊ HẢI NGÂN</v>
      </c>
      <c r="J4875" s="3" t="str">
        <f ca="1">IFERROR(__xludf.DUMMYFUNCTION("""COMPUTED_VALUE"""),"0828166322")</f>
        <v>0828166322</v>
      </c>
      <c r="K4875" s="2" t="str">
        <f ca="1">IFERROR(__xludf.DUMMYFUNCTION("""COMPUTED_VALUE"""),"1760475391033")</f>
        <v>1760475391033</v>
      </c>
    </row>
    <row r="4876" spans="1:11" ht="12.45">
      <c r="A4876" s="2" t="str">
        <f ca="1">IFERROR(__xludf.DUMMYFUNCTION("""COMPUTED_VALUE"""),"1760475458942")</f>
        <v>1760475458942</v>
      </c>
      <c r="B4876" s="2"/>
      <c r="C4876" s="2" t="str">
        <v>0</v>
      </c>
      <c r="D4876" s="2"/>
      <c r="F4876" s="2" t="str">
        <v>0</v>
      </c>
      <c r="I4876" s="3" t="str">
        <f ca="1">IFERROR(__xludf.DUMMYFUNCTION("""COMPUTED_VALUE"""),"Võ Lan Vy")</f>
        <v>Võ Lan Vy</v>
      </c>
      <c r="J4876" s="3" t="str">
        <f ca="1">IFERROR(__xludf.DUMMYFUNCTION("""COMPUTED_VALUE"""),"0919942425")</f>
        <v>0919942425</v>
      </c>
      <c r="K4876" s="2" t="str">
        <f ca="1">IFERROR(__xludf.DUMMYFUNCTION("""COMPUTED_VALUE"""),"1760475458942")</f>
        <v>1760475458942</v>
      </c>
    </row>
    <row r="4877" spans="1:11" ht="12.45">
      <c r="A4877" s="2" t="str">
        <f ca="1">IFERROR(__xludf.DUMMYFUNCTION("""COMPUTED_VALUE"""),"1760475530435")</f>
        <v>1760475530435</v>
      </c>
      <c r="B4877" s="2"/>
      <c r="C4877" s="2" t="str">
        <v>0</v>
      </c>
      <c r="D4877" s="2"/>
      <c r="F4877" s="2" t="str">
        <v>0</v>
      </c>
      <c r="I4877" s="3" t="str">
        <f ca="1">IFERROR(__xludf.DUMMYFUNCTION("""COMPUTED_VALUE"""),"Nguyễn Khánh Huyền")</f>
        <v>Nguyễn Khánh Huyền</v>
      </c>
      <c r="J4877" s="3" t="str">
        <f ca="1">IFERROR(__xludf.DUMMYFUNCTION("""COMPUTED_VALUE"""),"0842068807")</f>
        <v>0842068807</v>
      </c>
      <c r="K4877" s="2" t="str">
        <f ca="1">IFERROR(__xludf.DUMMYFUNCTION("""COMPUTED_VALUE"""),"1760475530435")</f>
        <v>1760475530435</v>
      </c>
    </row>
    <row r="4878" spans="1:11" ht="12.45">
      <c r="A4878" s="2" t="str">
        <f ca="1">IFERROR(__xludf.DUMMYFUNCTION("""COMPUTED_VALUE"""),"1760475620287")</f>
        <v>1760475620287</v>
      </c>
      <c r="B4878" s="2"/>
      <c r="C4878" s="2" t="str">
        <v>0</v>
      </c>
      <c r="D4878" s="2"/>
      <c r="F4878" s="2" t="str">
        <v>0</v>
      </c>
      <c r="I4878" s="3" t="str">
        <f ca="1">IFERROR(__xludf.DUMMYFUNCTION("""COMPUTED_VALUE"""),"Nguyễn Mai Bảo Châu")</f>
        <v>Nguyễn Mai Bảo Châu</v>
      </c>
      <c r="J4878" s="3" t="str">
        <f ca="1">IFERROR(__xludf.DUMMYFUNCTION("""COMPUTED_VALUE"""),"0941803174")</f>
        <v>0941803174</v>
      </c>
      <c r="K4878" s="2" t="str">
        <f ca="1">IFERROR(__xludf.DUMMYFUNCTION("""COMPUTED_VALUE"""),"1760475620287")</f>
        <v>1760475620287</v>
      </c>
    </row>
    <row r="4879" spans="1:11" ht="12.45">
      <c r="A4879" s="2" t="str">
        <f ca="1">IFERROR(__xludf.DUMMYFUNCTION("""COMPUTED_VALUE"""),"1760475706792")</f>
        <v>1760475706792</v>
      </c>
      <c r="B4879" s="2"/>
      <c r="C4879" s="2" t="str">
        <v>0</v>
      </c>
      <c r="D4879" s="2"/>
      <c r="F4879" s="2" t="str">
        <v>0</v>
      </c>
      <c r="I4879" s="3" t="str">
        <f ca="1">IFERROR(__xludf.DUMMYFUNCTION("""COMPUTED_VALUE"""),"Nguyễn Như Khả Uy")</f>
        <v>Nguyễn Như Khả Uy</v>
      </c>
      <c r="J4879" s="3" t="str">
        <f ca="1">IFERROR(__xludf.DUMMYFUNCTION("""COMPUTED_VALUE"""),"0812583743")</f>
        <v>0812583743</v>
      </c>
      <c r="K4879" s="2" t="str">
        <f ca="1">IFERROR(__xludf.DUMMYFUNCTION("""COMPUTED_VALUE"""),"1760475706792")</f>
        <v>1760475706792</v>
      </c>
    </row>
    <row r="4880" spans="1:11" ht="12.45">
      <c r="A4880" s="2" t="str">
        <f ca="1">IFERROR(__xludf.DUMMYFUNCTION("""COMPUTED_VALUE"""),"1760475777029")</f>
        <v>1760475777029</v>
      </c>
      <c r="B4880" s="2"/>
      <c r="C4880" s="2" t="str">
        <v>0</v>
      </c>
      <c r="D4880" s="2"/>
      <c r="F4880" s="2" t="str">
        <v>0</v>
      </c>
      <c r="I4880" s="3" t="str">
        <f ca="1">IFERROR(__xludf.DUMMYFUNCTION("""COMPUTED_VALUE"""),"Phan Nguyễn Gia Hân ")</f>
        <v xml:space="preserve">Phan Nguyễn Gia Hân </v>
      </c>
      <c r="J4880" s="3" t="str">
        <f ca="1">IFERROR(__xludf.DUMMYFUNCTION("""COMPUTED_VALUE"""),"0343312570")</f>
        <v>0343312570</v>
      </c>
      <c r="K4880" s="2" t="str">
        <f ca="1">IFERROR(__xludf.DUMMYFUNCTION("""COMPUTED_VALUE"""),"1760475777029")</f>
        <v>1760475777029</v>
      </c>
    </row>
    <row r="4881" spans="1:11" ht="12.45">
      <c r="A4881" s="2" t="str">
        <f ca="1">IFERROR(__xludf.DUMMYFUNCTION("""COMPUTED_VALUE"""),"1760475841247")</f>
        <v>1760475841247</v>
      </c>
      <c r="B4881" s="2"/>
      <c r="C4881" s="2" t="str">
        <v>0</v>
      </c>
      <c r="D4881" s="2"/>
      <c r="F4881" s="2" t="str">
        <v>0</v>
      </c>
      <c r="I4881" s="3" t="str">
        <f ca="1">IFERROR(__xludf.DUMMYFUNCTION("""COMPUTED_VALUE"""),"Mai Tùng Chi")</f>
        <v>Mai Tùng Chi</v>
      </c>
      <c r="J4881" s="3" t="str">
        <f ca="1">IFERROR(__xludf.DUMMYFUNCTION("""COMPUTED_VALUE"""),"0983674344")</f>
        <v>0983674344</v>
      </c>
      <c r="K4881" s="2" t="str">
        <f ca="1">IFERROR(__xludf.DUMMYFUNCTION("""COMPUTED_VALUE"""),"1760475841247")</f>
        <v>1760475841247</v>
      </c>
    </row>
    <row r="4882" spans="1:11" ht="12.45">
      <c r="A4882" s="2" t="str">
        <f ca="1">IFERROR(__xludf.DUMMYFUNCTION("""COMPUTED_VALUE"""),"1760475928422")</f>
        <v>1760475928422</v>
      </c>
      <c r="B4882" s="2"/>
      <c r="C4882" s="2" t="str">
        <v>0</v>
      </c>
      <c r="D4882" s="2"/>
      <c r="F4882" s="2" t="str">
        <v>0</v>
      </c>
      <c r="I4882" s="3" t="str">
        <f ca="1">IFERROR(__xludf.DUMMYFUNCTION("""COMPUTED_VALUE"""),"Phan Thị Thúy Nga")</f>
        <v>Phan Thị Thúy Nga</v>
      </c>
      <c r="J4882" s="3" t="str">
        <f ca="1">IFERROR(__xludf.DUMMYFUNCTION("""COMPUTED_VALUE"""),"0964664795")</f>
        <v>0964664795</v>
      </c>
      <c r="K4882" s="2" t="str">
        <f ca="1">IFERROR(__xludf.DUMMYFUNCTION("""COMPUTED_VALUE"""),"1760475928422")</f>
        <v>1760475928422</v>
      </c>
    </row>
    <row r="4883" spans="1:11" ht="12.45">
      <c r="A4883" s="2" t="str">
        <f ca="1">IFERROR(__xludf.DUMMYFUNCTION("""COMPUTED_VALUE"""),"1760475998604")</f>
        <v>1760475998604</v>
      </c>
      <c r="B4883" s="2"/>
      <c r="C4883" s="2" t="str">
        <v>0</v>
      </c>
      <c r="D4883" s="2"/>
      <c r="F4883" s="2" t="str">
        <v>0</v>
      </c>
      <c r="I4883" s="3" t="str">
        <f ca="1">IFERROR(__xludf.DUMMYFUNCTION("""COMPUTED_VALUE"""),"Sạch thị Ngọc anh ")</f>
        <v xml:space="preserve">Sạch thị Ngọc anh </v>
      </c>
      <c r="J4883" s="3" t="str">
        <f ca="1">IFERROR(__xludf.DUMMYFUNCTION("""COMPUTED_VALUE"""),"0393207448")</f>
        <v>0393207448</v>
      </c>
      <c r="K4883" s="2" t="str">
        <f ca="1">IFERROR(__xludf.DUMMYFUNCTION("""COMPUTED_VALUE"""),"1760475998604")</f>
        <v>1760475998604</v>
      </c>
    </row>
    <row r="4884" spans="1:11" ht="12.45">
      <c r="A4884" s="2" t="str">
        <f ca="1">IFERROR(__xludf.DUMMYFUNCTION("""COMPUTED_VALUE"""),"1740105201400")</f>
        <v>1740105201400</v>
      </c>
      <c r="B4884" s="2"/>
      <c r="C4884" s="2" t="str">
        <v>0</v>
      </c>
      <c r="D4884" s="2"/>
      <c r="F4884" s="2" t="str">
        <v>0</v>
      </c>
      <c r="I4884" s="3" t="str">
        <f ca="1">IFERROR(__xludf.DUMMYFUNCTION("""COMPUTED_VALUE"""),"Trương Nguyễn Bảo Huy")</f>
        <v>Trương Nguyễn Bảo Huy</v>
      </c>
      <c r="J4884" s="3" t="str">
        <f ca="1">IFERROR(__xludf.DUMMYFUNCTION("""COMPUTED_VALUE"""),"0338212661")</f>
        <v>0338212661</v>
      </c>
      <c r="K4884" s="2" t="str">
        <f ca="1">IFERROR(__xludf.DUMMYFUNCTION("""COMPUTED_VALUE"""),"1740105201400")</f>
        <v>1740105201400</v>
      </c>
    </row>
    <row r="4885" spans="1:11" ht="12.45">
      <c r="A4885" s="2" t="str">
        <f ca="1">IFERROR(__xludf.DUMMYFUNCTION("""COMPUTED_VALUE"""),"1760476145616")</f>
        <v>1760476145616</v>
      </c>
      <c r="B4885" s="2"/>
      <c r="C4885" s="2" t="str">
        <v>0</v>
      </c>
      <c r="D4885" s="2"/>
      <c r="F4885" s="2" t="str">
        <v>0</v>
      </c>
      <c r="I4885" s="3" t="str">
        <f ca="1">IFERROR(__xludf.DUMMYFUNCTION("""COMPUTED_VALUE"""),"Nguyễn Quỳnh Thu Hương ")</f>
        <v xml:space="preserve">Nguyễn Quỳnh Thu Hương </v>
      </c>
      <c r="J4885" s="3" t="str">
        <f ca="1">IFERROR(__xludf.DUMMYFUNCTION("""COMPUTED_VALUE"""),"0829047807")</f>
        <v>0829047807</v>
      </c>
      <c r="K4885" s="2" t="str">
        <f ca="1">IFERROR(__xludf.DUMMYFUNCTION("""COMPUTED_VALUE"""),"1760476145616")</f>
        <v>1760476145616</v>
      </c>
    </row>
    <row r="4886" spans="1:11" ht="12.45">
      <c r="A4886" s="2" t="str">
        <f ca="1">IFERROR(__xludf.DUMMYFUNCTION("""COMPUTED_VALUE"""),"1760476206868")</f>
        <v>1760476206868</v>
      </c>
      <c r="B4886" s="2"/>
      <c r="C4886" s="2" t="str">
        <v>0</v>
      </c>
      <c r="D4886" s="2"/>
      <c r="F4886" s="2" t="str">
        <v>0</v>
      </c>
      <c r="I4886" s="3" t="str">
        <f ca="1">IFERROR(__xludf.DUMMYFUNCTION("""COMPUTED_VALUE"""),"Lương Phương Thảo ")</f>
        <v xml:space="preserve">Lương Phương Thảo </v>
      </c>
      <c r="J4886" s="3" t="str">
        <f ca="1">IFERROR(__xludf.DUMMYFUNCTION("""COMPUTED_VALUE"""),"0862845908")</f>
        <v>0862845908</v>
      </c>
      <c r="K4886" s="2" t="str">
        <f ca="1">IFERROR(__xludf.DUMMYFUNCTION("""COMPUTED_VALUE"""),"1760476206868")</f>
        <v>1760476206868</v>
      </c>
    </row>
    <row r="4887" spans="1:11" ht="12.45">
      <c r="A4887" s="2" t="str">
        <f ca="1">IFERROR(__xludf.DUMMYFUNCTION("""COMPUTED_VALUE"""),"1760476257161")</f>
        <v>1760476257161</v>
      </c>
      <c r="B4887" s="2"/>
      <c r="C4887" s="2" t="str">
        <v>0</v>
      </c>
      <c r="D4887" s="2"/>
      <c r="F4887" s="2" t="str">
        <v>0</v>
      </c>
      <c r="I4887" s="3" t="str">
        <f ca="1">IFERROR(__xludf.DUMMYFUNCTION("""COMPUTED_VALUE"""),"Hoàng Huyền Chi")</f>
        <v>Hoàng Huyền Chi</v>
      </c>
      <c r="J4887" s="3" t="str">
        <f ca="1">IFERROR(__xludf.DUMMYFUNCTION("""COMPUTED_VALUE"""),"0862164748")</f>
        <v>0862164748</v>
      </c>
      <c r="K4887" s="2" t="str">
        <f ca="1">IFERROR(__xludf.DUMMYFUNCTION("""COMPUTED_VALUE"""),"1760476257161")</f>
        <v>1760476257161</v>
      </c>
    </row>
    <row r="4888" spans="1:11" ht="12.45">
      <c r="A4888" s="2" t="str">
        <f ca="1">IFERROR(__xludf.DUMMYFUNCTION("""COMPUTED_VALUE"""),"1760476294184")</f>
        <v>1760476294184</v>
      </c>
      <c r="B4888" s="2"/>
      <c r="C4888" s="2" t="str">
        <v>0</v>
      </c>
      <c r="D4888" s="2"/>
      <c r="F4888" s="2" t="str">
        <v>0</v>
      </c>
      <c r="I4888" s="3" t="str">
        <f ca="1">IFERROR(__xludf.DUMMYFUNCTION("""COMPUTED_VALUE"""),"Đỗ Mỹ Linh")</f>
        <v>Đỗ Mỹ Linh</v>
      </c>
      <c r="J4888" s="3" t="str">
        <f ca="1">IFERROR(__xludf.DUMMYFUNCTION("""COMPUTED_VALUE"""),"0377788840")</f>
        <v>0377788840</v>
      </c>
      <c r="K4888" s="2" t="str">
        <f ca="1">IFERROR(__xludf.DUMMYFUNCTION("""COMPUTED_VALUE"""),"1760476294184")</f>
        <v>1760476294184</v>
      </c>
    </row>
    <row r="4889" spans="1:11" ht="12.45">
      <c r="A4889" s="2" t="str">
        <f ca="1">IFERROR(__xludf.DUMMYFUNCTION("""COMPUTED_VALUE"""),"1760476339872")</f>
        <v>1760476339872</v>
      </c>
      <c r="B4889" s="2"/>
      <c r="C4889" s="2" t="str">
        <v>0</v>
      </c>
      <c r="D4889" s="2"/>
      <c r="F4889" s="2" t="str">
        <v>0</v>
      </c>
      <c r="I4889" s="3" t="str">
        <f ca="1">IFERROR(__xludf.DUMMYFUNCTION("""COMPUTED_VALUE"""),"Vũ Gia Như ")</f>
        <v xml:space="preserve">Vũ Gia Như </v>
      </c>
      <c r="J4889" s="3" t="str">
        <f ca="1">IFERROR(__xludf.DUMMYFUNCTION("""COMPUTED_VALUE"""),"0911393289")</f>
        <v>0911393289</v>
      </c>
      <c r="K4889" s="2" t="str">
        <f ca="1">IFERROR(__xludf.DUMMYFUNCTION("""COMPUTED_VALUE"""),"1760476339872")</f>
        <v>1760476339872</v>
      </c>
    </row>
    <row r="4890" spans="1:11" ht="12.45">
      <c r="A4890" s="2" t="str">
        <f ca="1">IFERROR(__xludf.DUMMYFUNCTION("""COMPUTED_VALUE"""),"1760476397259")</f>
        <v>1760476397259</v>
      </c>
      <c r="B4890" s="2"/>
      <c r="C4890" s="2" t="str">
        <v>0</v>
      </c>
      <c r="D4890" s="2"/>
      <c r="F4890" s="2" t="str">
        <v>0</v>
      </c>
      <c r="I4890" s="3" t="str">
        <f ca="1">IFERROR(__xludf.DUMMYFUNCTION("""COMPUTED_VALUE"""),"Đinh Anh Thư")</f>
        <v>Đinh Anh Thư</v>
      </c>
      <c r="J4890" s="3" t="str">
        <f ca="1">IFERROR(__xludf.DUMMYFUNCTION("""COMPUTED_VALUE"""),"0888285846")</f>
        <v>0888285846</v>
      </c>
      <c r="K4890" s="2" t="str">
        <f ca="1">IFERROR(__xludf.DUMMYFUNCTION("""COMPUTED_VALUE"""),"1760476397259")</f>
        <v>1760476397259</v>
      </c>
    </row>
    <row r="4891" spans="1:11" ht="12.45">
      <c r="A4891" s="2" t="str">
        <f ca="1">IFERROR(__xludf.DUMMYFUNCTION("""COMPUTED_VALUE"""),"1740105259098")</f>
        <v>1740105259098</v>
      </c>
      <c r="B4891" s="2"/>
      <c r="C4891" s="2" t="str">
        <v>0</v>
      </c>
      <c r="D4891" s="2"/>
      <c r="F4891" s="2" t="str">
        <v>0</v>
      </c>
      <c r="I4891" s="3" t="str">
        <f ca="1">IFERROR(__xludf.DUMMYFUNCTION("""COMPUTED_VALUE"""),"Ngô Trương Bảo Trân")</f>
        <v>Ngô Trương Bảo Trân</v>
      </c>
      <c r="J4891" s="3" t="str">
        <f ca="1">IFERROR(__xludf.DUMMYFUNCTION("""COMPUTED_VALUE"""),"0986684202")</f>
        <v>0986684202</v>
      </c>
      <c r="K4891" s="2" t="str">
        <f ca="1">IFERROR(__xludf.DUMMYFUNCTION("""COMPUTED_VALUE"""),"1740105259098")</f>
        <v>1740105259098</v>
      </c>
    </row>
    <row r="4892" spans="1:11" ht="12.45">
      <c r="A4892" s="2" t="str">
        <f ca="1">IFERROR(__xludf.DUMMYFUNCTION("""COMPUTED_VALUE"""),"1740105302953")</f>
        <v>1740105302953</v>
      </c>
      <c r="B4892" s="2"/>
      <c r="C4892" s="2" t="str">
        <v>0</v>
      </c>
      <c r="D4892" s="2"/>
      <c r="F4892" s="2" t="str">
        <v>0</v>
      </c>
      <c r="I4892" s="3" t="str">
        <f ca="1">IFERROR(__xludf.DUMMYFUNCTION("""COMPUTED_VALUE"""),"Lê Thị Mai Trang")</f>
        <v>Lê Thị Mai Trang</v>
      </c>
      <c r="J4892" s="3" t="str">
        <f ca="1">IFERROR(__xludf.DUMMYFUNCTION("""COMPUTED_VALUE"""),"0979390284")</f>
        <v>0979390284</v>
      </c>
      <c r="K4892" s="2" t="str">
        <f ca="1">IFERROR(__xludf.DUMMYFUNCTION("""COMPUTED_VALUE"""),"1740105302953")</f>
        <v>1740105302953</v>
      </c>
    </row>
    <row r="4893" spans="1:11" ht="12.45">
      <c r="A4893" s="2" t="str">
        <f ca="1">IFERROR(__xludf.DUMMYFUNCTION("""COMPUTED_VALUE"""),"1740105357710")</f>
        <v>1740105357710</v>
      </c>
      <c r="B4893" s="2"/>
      <c r="C4893" s="2" t="str">
        <v>0</v>
      </c>
      <c r="D4893" s="2"/>
      <c r="F4893" s="2" t="str">
        <v>0</v>
      </c>
      <c r="I4893" s="3" t="str">
        <f ca="1">IFERROR(__xludf.DUMMYFUNCTION("""COMPUTED_VALUE"""),"Phạm Vũ Phương Thảo")</f>
        <v>Phạm Vũ Phương Thảo</v>
      </c>
      <c r="J4893" s="3" t="str">
        <f ca="1">IFERROR(__xludf.DUMMYFUNCTION("""COMPUTED_VALUE"""),"0983504502")</f>
        <v>0983504502</v>
      </c>
      <c r="K4893" s="2" t="str">
        <f ca="1">IFERROR(__xludf.DUMMYFUNCTION("""COMPUTED_VALUE"""),"1740105357710")</f>
        <v>1740105357710</v>
      </c>
    </row>
    <row r="4894" spans="1:11" ht="12.45">
      <c r="A4894" s="2" t="str">
        <f ca="1">IFERROR(__xludf.DUMMYFUNCTION("""COMPUTED_VALUE"""),"1740105406102")</f>
        <v>1740105406102</v>
      </c>
      <c r="B4894" s="2"/>
      <c r="C4894" s="2" t="str">
        <v>0</v>
      </c>
      <c r="D4894" s="2"/>
      <c r="F4894" s="2" t="str">
        <v>0</v>
      </c>
      <c r="I4894" s="3" t="str">
        <f ca="1">IFERROR(__xludf.DUMMYFUNCTION("""COMPUTED_VALUE"""),"Trần Đăng Huy")</f>
        <v>Trần Đăng Huy</v>
      </c>
      <c r="J4894" s="3" t="str">
        <f ca="1">IFERROR(__xludf.DUMMYFUNCTION("""COMPUTED_VALUE"""),"0973683726")</f>
        <v>0973683726</v>
      </c>
      <c r="K4894" s="2" t="str">
        <f ca="1">IFERROR(__xludf.DUMMYFUNCTION("""COMPUTED_VALUE"""),"1740105406102")</f>
        <v>1740105406102</v>
      </c>
    </row>
    <row r="4895" spans="1:11" ht="12.45">
      <c r="A4895" s="2" t="str">
        <f ca="1">IFERROR(__xludf.DUMMYFUNCTION("""COMPUTED_VALUE"""),"1740105435298")</f>
        <v>1740105435298</v>
      </c>
      <c r="B4895" s="2"/>
      <c r="C4895" s="2" t="str">
        <v>0</v>
      </c>
      <c r="D4895" s="2"/>
      <c r="F4895" s="2" t="str">
        <v>0</v>
      </c>
      <c r="I4895" s="3" t="str">
        <f ca="1">IFERROR(__xludf.DUMMYFUNCTION("""COMPUTED_VALUE"""),"Nguyễn Văn Trọng ")</f>
        <v xml:space="preserve">Nguyễn Văn Trọng </v>
      </c>
      <c r="J4895" s="3" t="str">
        <f ca="1">IFERROR(__xludf.DUMMYFUNCTION("""COMPUTED_VALUE"""),"0352444311")</f>
        <v>0352444311</v>
      </c>
      <c r="K4895" s="2" t="str">
        <f ca="1">IFERROR(__xludf.DUMMYFUNCTION("""COMPUTED_VALUE"""),"1740105435298")</f>
        <v>1740105435298</v>
      </c>
    </row>
    <row r="4896" spans="1:11" ht="12.45">
      <c r="A4896" s="2" t="str">
        <f ca="1">IFERROR(__xludf.DUMMYFUNCTION("""COMPUTED_VALUE"""),"1740105485644")</f>
        <v>1740105485644</v>
      </c>
      <c r="B4896" s="2"/>
      <c r="C4896" s="2" t="str">
        <v>0</v>
      </c>
      <c r="D4896" s="2"/>
      <c r="F4896" s="2" t="str">
        <v>0</v>
      </c>
      <c r="I4896" s="3" t="str">
        <f ca="1">IFERROR(__xludf.DUMMYFUNCTION("""COMPUTED_VALUE"""),"Nguyễn Thị Thùy")</f>
        <v>Nguyễn Thị Thùy</v>
      </c>
      <c r="J4896" s="3" t="str">
        <f ca="1">IFERROR(__xludf.DUMMYFUNCTION("""COMPUTED_VALUE"""),"0368499331")</f>
        <v>0368499331</v>
      </c>
      <c r="K4896" s="2" t="str">
        <f ca="1">IFERROR(__xludf.DUMMYFUNCTION("""COMPUTED_VALUE"""),"1740105485644")</f>
        <v>1740105485644</v>
      </c>
    </row>
    <row r="4897" spans="1:11" ht="12.45">
      <c r="A4897" s="2" t="str">
        <f ca="1">IFERROR(__xludf.DUMMYFUNCTION("""COMPUTED_VALUE"""),"1740105521176")</f>
        <v>1740105521176</v>
      </c>
      <c r="B4897" s="2"/>
      <c r="C4897" s="2" t="str">
        <v>0</v>
      </c>
      <c r="D4897" s="2"/>
      <c r="F4897" s="2" t="str">
        <v>0</v>
      </c>
      <c r="I4897" s="3" t="str">
        <f ca="1">IFERROR(__xludf.DUMMYFUNCTION("""COMPUTED_VALUE"""),"Đặng Võ Thiên Kim")</f>
        <v>Đặng Võ Thiên Kim</v>
      </c>
      <c r="J4897" s="3" t="str">
        <f ca="1">IFERROR(__xludf.DUMMYFUNCTION("""COMPUTED_VALUE"""),"0776656860")</f>
        <v>0776656860</v>
      </c>
      <c r="K4897" s="2" t="str">
        <f ca="1">IFERROR(__xludf.DUMMYFUNCTION("""COMPUTED_VALUE"""),"1740105521176")</f>
        <v>1740105521176</v>
      </c>
    </row>
    <row r="4898" spans="1:11" ht="12.45">
      <c r="A4898" s="2" t="str">
        <f ca="1">IFERROR(__xludf.DUMMYFUNCTION("""COMPUTED_VALUE"""),"1740105561423")</f>
        <v>1740105561423</v>
      </c>
      <c r="B4898" s="2"/>
      <c r="C4898" s="2" t="str">
        <v>0</v>
      </c>
      <c r="D4898" s="2"/>
      <c r="F4898" s="2" t="str">
        <v>0</v>
      </c>
      <c r="I4898" s="3" t="str">
        <f ca="1">IFERROR(__xludf.DUMMYFUNCTION("""COMPUTED_VALUE"""),"Nguyễn Anh Tuấn")</f>
        <v>Nguyễn Anh Tuấn</v>
      </c>
      <c r="J4898" s="3" t="str">
        <f ca="1">IFERROR(__xludf.DUMMYFUNCTION("""COMPUTED_VALUE"""),"0832296341")</f>
        <v>0832296341</v>
      </c>
      <c r="K4898" s="2" t="str">
        <f ca="1">IFERROR(__xludf.DUMMYFUNCTION("""COMPUTED_VALUE"""),"1740105561423")</f>
        <v>1740105561423</v>
      </c>
    </row>
    <row r="4899" spans="1:11" ht="12.45">
      <c r="A4899" s="2" t="str">
        <f ca="1">IFERROR(__xludf.DUMMYFUNCTION("""COMPUTED_VALUE"""),"1740105618155")</f>
        <v>1740105618155</v>
      </c>
      <c r="B4899" s="2"/>
      <c r="C4899" s="2" t="str">
        <v>0</v>
      </c>
      <c r="D4899" s="2"/>
      <c r="F4899" s="2" t="str">
        <v>0</v>
      </c>
      <c r="I4899" s="3" t="str">
        <f ca="1">IFERROR(__xludf.DUMMYFUNCTION("""COMPUTED_VALUE"""),"Hoàng Khánh Linh ")</f>
        <v xml:space="preserve">Hoàng Khánh Linh </v>
      </c>
      <c r="J4899" s="3" t="str">
        <f ca="1">IFERROR(__xludf.DUMMYFUNCTION("""COMPUTED_VALUE"""),"0346826008")</f>
        <v>0346826008</v>
      </c>
      <c r="K4899" s="2" t="str">
        <f ca="1">IFERROR(__xludf.DUMMYFUNCTION("""COMPUTED_VALUE"""),"1740105618155")</f>
        <v>1740105618155</v>
      </c>
    </row>
    <row r="4900" spans="1:11" ht="12.45">
      <c r="A4900" s="2" t="str">
        <f ca="1">IFERROR(__xludf.DUMMYFUNCTION("""COMPUTED_VALUE"""),"1740105669049")</f>
        <v>1740105669049</v>
      </c>
      <c r="B4900" s="2"/>
      <c r="C4900" s="2" t="str">
        <v>0</v>
      </c>
      <c r="D4900" s="2"/>
      <c r="F4900" s="2" t="str">
        <v>0</v>
      </c>
      <c r="I4900" s="3" t="str">
        <f ca="1">IFERROR(__xludf.DUMMYFUNCTION("""COMPUTED_VALUE"""),"Nguyễn Kim Ngân ")</f>
        <v xml:space="preserve">Nguyễn Kim Ngân </v>
      </c>
      <c r="J4900" s="3" t="str">
        <f ca="1">IFERROR(__xludf.DUMMYFUNCTION("""COMPUTED_VALUE"""),"0348532320")</f>
        <v>0348532320</v>
      </c>
      <c r="K4900" s="2" t="str">
        <f ca="1">IFERROR(__xludf.DUMMYFUNCTION("""COMPUTED_VALUE"""),"1740105669049")</f>
        <v>1740105669049</v>
      </c>
    </row>
    <row r="4901" spans="1:11" ht="12.45">
      <c r="A4901" s="2" t="str">
        <f ca="1">IFERROR(__xludf.DUMMYFUNCTION("""COMPUTED_VALUE"""),"1740105718407")</f>
        <v>1740105718407</v>
      </c>
      <c r="B4901" s="2"/>
      <c r="C4901" s="2" t="str">
        <v>0</v>
      </c>
      <c r="D4901" s="2"/>
      <c r="F4901" s="2" t="str">
        <v>0</v>
      </c>
      <c r="I4901" s="3" t="str">
        <f ca="1">IFERROR(__xludf.DUMMYFUNCTION("""COMPUTED_VALUE"""),"Giáp Gia Tiến")</f>
        <v>Giáp Gia Tiến</v>
      </c>
      <c r="J4901" s="3" t="str">
        <f ca="1">IFERROR(__xludf.DUMMYFUNCTION("""COMPUTED_VALUE"""),"0982322399")</f>
        <v>0982322399</v>
      </c>
      <c r="K4901" s="2" t="str">
        <f ca="1">IFERROR(__xludf.DUMMYFUNCTION("""COMPUTED_VALUE"""),"1740105718407")</f>
        <v>1740105718407</v>
      </c>
    </row>
    <row r="4902" spans="1:11" ht="12.45">
      <c r="A4902" s="2" t="str">
        <f ca="1">IFERROR(__xludf.DUMMYFUNCTION("""COMPUTED_VALUE"""),"1740105760103")</f>
        <v>1740105760103</v>
      </c>
      <c r="B4902" s="2"/>
      <c r="C4902" s="2" t="str">
        <v>0</v>
      </c>
      <c r="D4902" s="2"/>
      <c r="F4902" s="2" t="str">
        <v>0</v>
      </c>
      <c r="I4902" s="3" t="str">
        <f ca="1">IFERROR(__xludf.DUMMYFUNCTION("""COMPUTED_VALUE"""),"Nguyễn Quỳnh Anh")</f>
        <v>Nguyễn Quỳnh Anh</v>
      </c>
      <c r="J4902" s="3" t="str">
        <f ca="1">IFERROR(__xludf.DUMMYFUNCTION("""COMPUTED_VALUE"""),"0364450540")</f>
        <v>0364450540</v>
      </c>
      <c r="K4902" s="2" t="str">
        <f ca="1">IFERROR(__xludf.DUMMYFUNCTION("""COMPUTED_VALUE"""),"1740105760103")</f>
        <v>1740105760103</v>
      </c>
    </row>
    <row r="4903" spans="1:11" ht="12.45">
      <c r="A4903" s="2" t="str">
        <f ca="1">IFERROR(__xludf.DUMMYFUNCTION("""COMPUTED_VALUE"""),"1740105797025")</f>
        <v>1740105797025</v>
      </c>
      <c r="B4903" s="2"/>
      <c r="C4903" s="2" t="str">
        <v>0</v>
      </c>
      <c r="D4903" s="2"/>
      <c r="F4903" s="2" t="str">
        <v>0</v>
      </c>
      <c r="I4903" s="3" t="str">
        <f ca="1">IFERROR(__xludf.DUMMYFUNCTION("""COMPUTED_VALUE"""),"Nguyễn Khánh Quỳnh")</f>
        <v>Nguyễn Khánh Quỳnh</v>
      </c>
      <c r="J4903" s="3" t="str">
        <f ca="1">IFERROR(__xludf.DUMMYFUNCTION("""COMPUTED_VALUE"""),"0943026035")</f>
        <v>0943026035</v>
      </c>
      <c r="K4903" s="2" t="str">
        <f ca="1">IFERROR(__xludf.DUMMYFUNCTION("""COMPUTED_VALUE"""),"1740105797025")</f>
        <v>1740105797025</v>
      </c>
    </row>
    <row r="4904" spans="1:11" ht="12.45">
      <c r="A4904" s="2" t="str">
        <f ca="1">IFERROR(__xludf.DUMMYFUNCTION("""COMPUTED_VALUE"""),"1740105834723")</f>
        <v>1740105834723</v>
      </c>
      <c r="B4904" s="2"/>
      <c r="C4904" s="2" t="str">
        <v>0</v>
      </c>
      <c r="D4904" s="2"/>
      <c r="F4904" s="2" t="str">
        <v>0</v>
      </c>
      <c r="I4904" s="3" t="str">
        <f ca="1">IFERROR(__xludf.DUMMYFUNCTION("""COMPUTED_VALUE"""),"Lê Minh Quân ")</f>
        <v xml:space="preserve">Lê Minh Quân </v>
      </c>
      <c r="J4904" s="3" t="str">
        <f ca="1">IFERROR(__xludf.DUMMYFUNCTION("""COMPUTED_VALUE"""),"0938752814")</f>
        <v>0938752814</v>
      </c>
      <c r="K4904" s="2" t="str">
        <f ca="1">IFERROR(__xludf.DUMMYFUNCTION("""COMPUTED_VALUE"""),"1740105834723")</f>
        <v>1740105834723</v>
      </c>
    </row>
    <row r="4905" spans="1:11" ht="12.45">
      <c r="A4905" s="2" t="str">
        <f ca="1">IFERROR(__xludf.DUMMYFUNCTION("""COMPUTED_VALUE"""),"1740105873362")</f>
        <v>1740105873362</v>
      </c>
      <c r="B4905" s="2"/>
      <c r="C4905" s="2" t="str">
        <v>0</v>
      </c>
      <c r="D4905" s="2"/>
      <c r="F4905" s="2" t="str">
        <v>0</v>
      </c>
      <c r="I4905" s="3" t="str">
        <f ca="1">IFERROR(__xludf.DUMMYFUNCTION("""COMPUTED_VALUE"""),"Trương Di Lâm")</f>
        <v>Trương Di Lâm</v>
      </c>
      <c r="J4905" s="3" t="str">
        <f ca="1">IFERROR(__xludf.DUMMYFUNCTION("""COMPUTED_VALUE"""),"0935926378")</f>
        <v>0935926378</v>
      </c>
      <c r="K4905" s="2" t="str">
        <f ca="1">IFERROR(__xludf.DUMMYFUNCTION("""COMPUTED_VALUE"""),"1740105873362")</f>
        <v>1740105873362</v>
      </c>
    </row>
    <row r="4906" spans="1:11" ht="12.45">
      <c r="A4906" s="2" t="str">
        <f ca="1">IFERROR(__xludf.DUMMYFUNCTION("""COMPUTED_VALUE"""),"1740105913571")</f>
        <v>1740105913571</v>
      </c>
      <c r="B4906" s="2"/>
      <c r="C4906" s="2" t="str">
        <v>0</v>
      </c>
      <c r="D4906" s="2"/>
      <c r="F4906" s="2" t="str">
        <v>0</v>
      </c>
      <c r="I4906" s="3" t="str">
        <f ca="1">IFERROR(__xludf.DUMMYFUNCTION("""COMPUTED_VALUE"""),"Trương thanh lan ")</f>
        <v xml:space="preserve">Trương thanh lan </v>
      </c>
      <c r="J4906" s="3" t="str">
        <f ca="1">IFERROR(__xludf.DUMMYFUNCTION("""COMPUTED_VALUE"""),"0776435279")</f>
        <v>0776435279</v>
      </c>
      <c r="K4906" s="2" t="str">
        <f ca="1">IFERROR(__xludf.DUMMYFUNCTION("""COMPUTED_VALUE"""),"1740105913571")</f>
        <v>1740105913571</v>
      </c>
    </row>
    <row r="4907" spans="1:11" ht="12.45">
      <c r="A4907" s="2" t="str">
        <f ca="1">IFERROR(__xludf.DUMMYFUNCTION("""COMPUTED_VALUE"""),"1740105963994")</f>
        <v>1740105963994</v>
      </c>
      <c r="B4907" s="2"/>
      <c r="C4907" s="2" t="str">
        <v>0</v>
      </c>
      <c r="D4907" s="2"/>
      <c r="F4907" s="2" t="str">
        <v>0</v>
      </c>
      <c r="I4907" s="3" t="str">
        <f ca="1">IFERROR(__xludf.DUMMYFUNCTION("""COMPUTED_VALUE"""),"Huỳnh Phương Huỳnh")</f>
        <v>Huỳnh Phương Huỳnh</v>
      </c>
      <c r="J4907" s="3" t="str">
        <f ca="1">IFERROR(__xludf.DUMMYFUNCTION("""COMPUTED_VALUE"""),"0352735486")</f>
        <v>0352735486</v>
      </c>
      <c r="K4907" s="2" t="str">
        <f ca="1">IFERROR(__xludf.DUMMYFUNCTION("""COMPUTED_VALUE"""),"1740105963994")</f>
        <v>1740105963994</v>
      </c>
    </row>
    <row r="4908" spans="1:11" ht="12.45">
      <c r="A4908" s="2" t="str">
        <f ca="1">IFERROR(__xludf.DUMMYFUNCTION("""COMPUTED_VALUE"""),"1740106009133")</f>
        <v>1740106009133</v>
      </c>
      <c r="B4908" s="2"/>
      <c r="C4908" s="2" t="str">
        <v>0</v>
      </c>
      <c r="D4908" s="2"/>
      <c r="F4908" s="2" t="str">
        <v>0</v>
      </c>
      <c r="I4908" s="3" t="str">
        <f ca="1">IFERROR(__xludf.DUMMYFUNCTION("""COMPUTED_VALUE"""),"Nguyễn Thị Diệu Linh")</f>
        <v>Nguyễn Thị Diệu Linh</v>
      </c>
      <c r="J4908" s="3" t="str">
        <f ca="1">IFERROR(__xludf.DUMMYFUNCTION("""COMPUTED_VALUE"""),"0973068623")</f>
        <v>0973068623</v>
      </c>
      <c r="K4908" s="2" t="str">
        <f ca="1">IFERROR(__xludf.DUMMYFUNCTION("""COMPUTED_VALUE"""),"1740106009133")</f>
        <v>1740106009133</v>
      </c>
    </row>
    <row r="4909" spans="1:11" ht="12.45">
      <c r="A4909" s="2" t="str">
        <f ca="1">IFERROR(__xludf.DUMMYFUNCTION("""COMPUTED_VALUE"""),"1740106053845")</f>
        <v>1740106053845</v>
      </c>
      <c r="B4909" s="2"/>
      <c r="C4909" s="2" t="str">
        <v>0</v>
      </c>
      <c r="D4909" s="2"/>
      <c r="F4909" s="2" t="str">
        <v>0</v>
      </c>
      <c r="I4909" s="3" t="str">
        <f ca="1">IFERROR(__xludf.DUMMYFUNCTION("""COMPUTED_VALUE"""),"Nguyễn Thị Huyền Diệu ")</f>
        <v xml:space="preserve">Nguyễn Thị Huyền Diệu </v>
      </c>
      <c r="J4909" s="3" t="str">
        <f ca="1">IFERROR(__xludf.DUMMYFUNCTION("""COMPUTED_VALUE"""),"0325196040")</f>
        <v>0325196040</v>
      </c>
      <c r="K4909" s="2" t="str">
        <f ca="1">IFERROR(__xludf.DUMMYFUNCTION("""COMPUTED_VALUE"""),"1740106053845")</f>
        <v>1740106053845</v>
      </c>
    </row>
    <row r="4910" spans="1:11" ht="12.45">
      <c r="A4910" s="2" t="str">
        <f ca="1">IFERROR(__xludf.DUMMYFUNCTION("""COMPUTED_VALUE"""),"1740106104177")</f>
        <v>1740106104177</v>
      </c>
      <c r="B4910" s="2"/>
      <c r="C4910" s="2" t="str">
        <v>0</v>
      </c>
      <c r="D4910" s="2"/>
      <c r="F4910" s="2" t="str">
        <v>0</v>
      </c>
      <c r="I4910" s="3" t="str">
        <f ca="1">IFERROR(__xludf.DUMMYFUNCTION("""COMPUTED_VALUE"""),"Nguyễn Thuỷ Tiên")</f>
        <v>Nguyễn Thuỷ Tiên</v>
      </c>
      <c r="J4910" s="3" t="str">
        <f ca="1">IFERROR(__xludf.DUMMYFUNCTION("""COMPUTED_VALUE"""),"0393634357")</f>
        <v>0393634357</v>
      </c>
      <c r="K4910" s="2" t="str">
        <f ca="1">IFERROR(__xludf.DUMMYFUNCTION("""COMPUTED_VALUE"""),"1740106104177")</f>
        <v>1740106104177</v>
      </c>
    </row>
    <row r="4911" spans="1:11" ht="12.45">
      <c r="A4911" s="2" t="str">
        <f ca="1">IFERROR(__xludf.DUMMYFUNCTION("""COMPUTED_VALUE"""),"1740106143923")</f>
        <v>1740106143923</v>
      </c>
      <c r="B4911" s="2"/>
      <c r="C4911" s="2" t="str">
        <v>0</v>
      </c>
      <c r="D4911" s="2"/>
      <c r="F4911" s="2" t="str">
        <v>0</v>
      </c>
      <c r="I4911" s="3" t="str">
        <f ca="1">IFERROR(__xludf.DUMMYFUNCTION("""COMPUTED_VALUE"""),"Đặng Ngọc Vàng ")</f>
        <v xml:space="preserve">Đặng Ngọc Vàng </v>
      </c>
      <c r="J4911" s="3" t="str">
        <f ca="1">IFERROR(__xludf.DUMMYFUNCTION("""COMPUTED_VALUE"""),"0765194471")</f>
        <v>0765194471</v>
      </c>
      <c r="K4911" s="2" t="str">
        <f ca="1">IFERROR(__xludf.DUMMYFUNCTION("""COMPUTED_VALUE"""),"1740106143923")</f>
        <v>1740106143923</v>
      </c>
    </row>
    <row r="4912" spans="1:11" ht="12.45">
      <c r="A4912" s="2" t="str">
        <f ca="1">IFERROR(__xludf.DUMMYFUNCTION("""COMPUTED_VALUE"""),"1740106198001")</f>
        <v>1740106198001</v>
      </c>
      <c r="B4912" s="2"/>
      <c r="C4912" s="2" t="str">
        <v>0</v>
      </c>
      <c r="D4912" s="2"/>
      <c r="F4912" s="2" t="str">
        <v>0</v>
      </c>
      <c r="I4912" s="3" t="str">
        <f ca="1">IFERROR(__xludf.DUMMYFUNCTION("""COMPUTED_VALUE"""),"Gia Bảo")</f>
        <v>Gia Bảo</v>
      </c>
      <c r="J4912" s="3" t="str">
        <f ca="1">IFERROR(__xludf.DUMMYFUNCTION("""COMPUTED_VALUE"""),"0969505611")</f>
        <v>0969505611</v>
      </c>
      <c r="K4912" s="2" t="str">
        <f ca="1">IFERROR(__xludf.DUMMYFUNCTION("""COMPUTED_VALUE"""),"1740106198001")</f>
        <v>1740106198001</v>
      </c>
    </row>
    <row r="4913" spans="1:11" ht="12.45">
      <c r="A4913" s="2" t="str">
        <f ca="1">IFERROR(__xludf.DUMMYFUNCTION("""COMPUTED_VALUE"""),"1740106229566")</f>
        <v>1740106229566</v>
      </c>
      <c r="B4913" s="2"/>
      <c r="C4913" s="2" t="str">
        <v>0</v>
      </c>
      <c r="D4913" s="2"/>
      <c r="F4913" s="2" t="str">
        <v>0</v>
      </c>
      <c r="I4913" s="3" t="str">
        <f ca="1">IFERROR(__xludf.DUMMYFUNCTION("""COMPUTED_VALUE"""),"Đỗ Hà Minh Thư")</f>
        <v>Đỗ Hà Minh Thư</v>
      </c>
      <c r="J4913" s="3" t="str">
        <f ca="1">IFERROR(__xludf.DUMMYFUNCTION("""COMPUTED_VALUE"""),"0348212392")</f>
        <v>0348212392</v>
      </c>
      <c r="K4913" s="2" t="str">
        <f ca="1">IFERROR(__xludf.DUMMYFUNCTION("""COMPUTED_VALUE"""),"1740106229566")</f>
        <v>1740106229566</v>
      </c>
    </row>
    <row r="4914" spans="1:11" ht="12.45">
      <c r="A4914" s="2" t="str">
        <f ca="1">IFERROR(__xludf.DUMMYFUNCTION("""COMPUTED_VALUE"""),"1740106269342")</f>
        <v>1740106269342</v>
      </c>
      <c r="B4914" s="2"/>
      <c r="C4914" s="2" t="str">
        <v>0</v>
      </c>
      <c r="D4914" s="2"/>
      <c r="F4914" s="2" t="str">
        <v>0</v>
      </c>
      <c r="I4914" s="3" t="str">
        <f ca="1">IFERROR(__xludf.DUMMYFUNCTION("""COMPUTED_VALUE"""),"Ngô Thái Bình Minh")</f>
        <v>Ngô Thái Bình Minh</v>
      </c>
      <c r="J4914" s="3" t="str">
        <f ca="1">IFERROR(__xludf.DUMMYFUNCTION("""COMPUTED_VALUE"""),"0852660323")</f>
        <v>0852660323</v>
      </c>
      <c r="K4914" s="2" t="str">
        <f ca="1">IFERROR(__xludf.DUMMYFUNCTION("""COMPUTED_VALUE"""),"1740106269342")</f>
        <v>1740106269342</v>
      </c>
    </row>
    <row r="4915" spans="1:11" ht="12.45">
      <c r="A4915" s="2" t="str">
        <f ca="1">IFERROR(__xludf.DUMMYFUNCTION("""COMPUTED_VALUE"""),"1740106309262")</f>
        <v>1740106309262</v>
      </c>
      <c r="B4915" s="2"/>
      <c r="C4915" s="2" t="str">
        <v>0</v>
      </c>
      <c r="D4915" s="2"/>
      <c r="F4915" s="2" t="str">
        <v>0</v>
      </c>
      <c r="I4915" s="3" t="str">
        <f ca="1">IFERROR(__xludf.DUMMYFUNCTION("""COMPUTED_VALUE"""),"Trần Thị Yến Ngọc")</f>
        <v>Trần Thị Yến Ngọc</v>
      </c>
      <c r="J4915" s="3" t="str">
        <f ca="1">IFERROR(__xludf.DUMMYFUNCTION("""COMPUTED_VALUE"""),"0376461737")</f>
        <v>0376461737</v>
      </c>
      <c r="K4915" s="2" t="str">
        <f ca="1">IFERROR(__xludf.DUMMYFUNCTION("""COMPUTED_VALUE"""),"1740106309262")</f>
        <v>1740106309262</v>
      </c>
    </row>
    <row r="4916" spans="1:11" ht="12.45">
      <c r="A4916" s="2" t="str">
        <f ca="1">IFERROR(__xludf.DUMMYFUNCTION("""COMPUTED_VALUE"""),"1740106354290")</f>
        <v>1740106354290</v>
      </c>
      <c r="B4916" s="2"/>
      <c r="C4916" s="2" t="str">
        <v>0</v>
      </c>
      <c r="D4916" s="2"/>
      <c r="F4916" s="2" t="str">
        <v>0</v>
      </c>
      <c r="I4916" s="3" t="str">
        <f ca="1">IFERROR(__xludf.DUMMYFUNCTION("""COMPUTED_VALUE"""),"Bùi Hà My")</f>
        <v>Bùi Hà My</v>
      </c>
      <c r="J4916" s="3" t="str">
        <f ca="1">IFERROR(__xludf.DUMMYFUNCTION("""COMPUTED_VALUE"""),"0965492540")</f>
        <v>0965492540</v>
      </c>
      <c r="K4916" s="2" t="str">
        <f ca="1">IFERROR(__xludf.DUMMYFUNCTION("""COMPUTED_VALUE"""),"1740106354290")</f>
        <v>1740106354290</v>
      </c>
    </row>
    <row r="4917" spans="1:11" ht="12.45">
      <c r="A4917" s="2" t="str">
        <f ca="1">IFERROR(__xludf.DUMMYFUNCTION("""COMPUTED_VALUE"""),"1740106398286")</f>
        <v>1740106398286</v>
      </c>
      <c r="B4917" s="2"/>
      <c r="C4917" s="2" t="str">
        <v>0</v>
      </c>
      <c r="D4917" s="2"/>
      <c r="F4917" s="2" t="str">
        <v>0</v>
      </c>
      <c r="I4917" s="3" t="str">
        <f ca="1">IFERROR(__xludf.DUMMYFUNCTION("""COMPUTED_VALUE"""),"Nguyễn Ngọc Kim Ngân")</f>
        <v>Nguyễn Ngọc Kim Ngân</v>
      </c>
      <c r="J4917" s="3" t="str">
        <f ca="1">IFERROR(__xludf.DUMMYFUNCTION("""COMPUTED_VALUE"""),"0384441542")</f>
        <v>0384441542</v>
      </c>
      <c r="K4917" s="2" t="str">
        <f ca="1">IFERROR(__xludf.DUMMYFUNCTION("""COMPUTED_VALUE"""),"1740106398286")</f>
        <v>1740106398286</v>
      </c>
    </row>
    <row r="4918" spans="1:11" ht="12.45">
      <c r="A4918" s="2" t="str">
        <f ca="1">IFERROR(__xludf.DUMMYFUNCTION("""COMPUTED_VALUE"""),"1740106432100")</f>
        <v>1740106432100</v>
      </c>
      <c r="B4918" s="2"/>
      <c r="C4918" s="2" t="str">
        <v>0</v>
      </c>
      <c r="D4918" s="2"/>
      <c r="F4918" s="2" t="str">
        <v>0</v>
      </c>
      <c r="I4918" s="3" t="str">
        <f ca="1">IFERROR(__xludf.DUMMYFUNCTION("""COMPUTED_VALUE"""),"Nguyễn Ngọc Đan Thy")</f>
        <v>Nguyễn Ngọc Đan Thy</v>
      </c>
      <c r="J4918" s="3" t="str">
        <f ca="1">IFERROR(__xludf.DUMMYFUNCTION("""COMPUTED_VALUE"""),"0325642812")</f>
        <v>0325642812</v>
      </c>
      <c r="K4918" s="2" t="str">
        <f ca="1">IFERROR(__xludf.DUMMYFUNCTION("""COMPUTED_VALUE"""),"1740106432100")</f>
        <v>1740106432100</v>
      </c>
    </row>
    <row r="4919" spans="1:11" ht="12.45">
      <c r="A4919" s="2" t="str">
        <f ca="1">IFERROR(__xludf.DUMMYFUNCTION("""COMPUTED_VALUE"""),"1740106463937")</f>
        <v>1740106463937</v>
      </c>
      <c r="B4919" s="2"/>
      <c r="C4919" s="2" t="str">
        <v>0</v>
      </c>
      <c r="D4919" s="2"/>
      <c r="F4919" s="2" t="str">
        <v>0</v>
      </c>
      <c r="I4919" s="3" t="str">
        <f ca="1">IFERROR(__xludf.DUMMYFUNCTION("""COMPUTED_VALUE"""),"Nguyễn Phùng Ngọc Linh")</f>
        <v>Nguyễn Phùng Ngọc Linh</v>
      </c>
      <c r="J4919" s="3" t="str">
        <f ca="1">IFERROR(__xludf.DUMMYFUNCTION("""COMPUTED_VALUE"""),"0345936712")</f>
        <v>0345936712</v>
      </c>
      <c r="K4919" s="2" t="str">
        <f ca="1">IFERROR(__xludf.DUMMYFUNCTION("""COMPUTED_VALUE"""),"1740106463937")</f>
        <v>1740106463937</v>
      </c>
    </row>
    <row r="4920" spans="1:11" ht="12.45">
      <c r="A4920" s="2" t="str">
        <f ca="1">IFERROR(__xludf.DUMMYFUNCTION("""COMPUTED_VALUE"""),"1740106501238")</f>
        <v>1740106501238</v>
      </c>
      <c r="B4920" s="2"/>
      <c r="C4920" s="2" t="str">
        <v>0</v>
      </c>
      <c r="D4920" s="2"/>
      <c r="F4920" s="2" t="str">
        <v>0</v>
      </c>
      <c r="I4920" s="3" t="str">
        <f ca="1">IFERROR(__xludf.DUMMYFUNCTION("""COMPUTED_VALUE"""),"Nguyễn Huyền Trang ")</f>
        <v xml:space="preserve">Nguyễn Huyền Trang </v>
      </c>
      <c r="J4920" s="3" t="str">
        <f ca="1">IFERROR(__xludf.DUMMYFUNCTION("""COMPUTED_VALUE"""),"0932300676")</f>
        <v>0932300676</v>
      </c>
      <c r="K4920" s="2" t="str">
        <f ca="1">IFERROR(__xludf.DUMMYFUNCTION("""COMPUTED_VALUE"""),"1740106501238")</f>
        <v>1740106501238</v>
      </c>
    </row>
    <row r="4921" spans="1:11" ht="12.45">
      <c r="A4921" s="2" t="str">
        <f ca="1">IFERROR(__xludf.DUMMYFUNCTION("""COMPUTED_VALUE"""),"1740106542563")</f>
        <v>1740106542563</v>
      </c>
      <c r="B4921" s="2"/>
      <c r="C4921" s="2" t="str">
        <v>0</v>
      </c>
      <c r="D4921" s="2"/>
      <c r="F4921" s="2" t="str">
        <v>0</v>
      </c>
      <c r="I4921" s="3" t="str">
        <f ca="1">IFERROR(__xludf.DUMMYFUNCTION("""COMPUTED_VALUE"""),"Dương Vân Anh ")</f>
        <v xml:space="preserve">Dương Vân Anh </v>
      </c>
      <c r="J4921" s="3" t="str">
        <f ca="1">IFERROR(__xludf.DUMMYFUNCTION("""COMPUTED_VALUE"""),"0964324677")</f>
        <v>0964324677</v>
      </c>
      <c r="K4921" s="2" t="str">
        <f ca="1">IFERROR(__xludf.DUMMYFUNCTION("""COMPUTED_VALUE"""),"1740106542563")</f>
        <v>1740106542563</v>
      </c>
    </row>
    <row r="4922" spans="1:11" ht="12.45">
      <c r="A4922" s="2" t="str">
        <f ca="1">IFERROR(__xludf.DUMMYFUNCTION("""COMPUTED_VALUE"""),"1740106575928")</f>
        <v>1740106575928</v>
      </c>
      <c r="B4922" s="2"/>
      <c r="C4922" s="2" t="str">
        <v>0</v>
      </c>
      <c r="D4922" s="2"/>
      <c r="F4922" s="2" t="str">
        <v>0</v>
      </c>
      <c r="I4922" s="3" t="str">
        <f ca="1">IFERROR(__xludf.DUMMYFUNCTION("""COMPUTED_VALUE"""),"Hồ Thị Thu Vân ")</f>
        <v xml:space="preserve">Hồ Thị Thu Vân </v>
      </c>
      <c r="J4922" s="3" t="str">
        <f ca="1">IFERROR(__xludf.DUMMYFUNCTION("""COMPUTED_VALUE"""),"0355617063")</f>
        <v>0355617063</v>
      </c>
      <c r="K4922" s="2" t="str">
        <f ca="1">IFERROR(__xludf.DUMMYFUNCTION("""COMPUTED_VALUE"""),"1740106575928")</f>
        <v>1740106575928</v>
      </c>
    </row>
    <row r="4923" spans="1:11" ht="12.45">
      <c r="A4923" s="2" t="str">
        <f ca="1">IFERROR(__xludf.DUMMYFUNCTION("""COMPUTED_VALUE"""),"1740106616288")</f>
        <v>1740106616288</v>
      </c>
      <c r="B4923" s="2"/>
      <c r="C4923" s="2" t="str">
        <v>0</v>
      </c>
      <c r="D4923" s="2"/>
      <c r="F4923" s="2" t="str">
        <v>0</v>
      </c>
      <c r="I4923" s="3" t="str">
        <f ca="1">IFERROR(__xludf.DUMMYFUNCTION("""COMPUTED_VALUE"""),"Nguyễn Thị Ngọc Hà")</f>
        <v>Nguyễn Thị Ngọc Hà</v>
      </c>
      <c r="J4923" s="3" t="str">
        <f ca="1">IFERROR(__xludf.DUMMYFUNCTION("""COMPUTED_VALUE"""),"0392467026")</f>
        <v>0392467026</v>
      </c>
      <c r="K4923" s="2" t="str">
        <f ca="1">IFERROR(__xludf.DUMMYFUNCTION("""COMPUTED_VALUE"""),"1740106616288")</f>
        <v>1740106616288</v>
      </c>
    </row>
    <row r="4924" spans="1:11" ht="12.45">
      <c r="A4924" s="2" t="str">
        <f ca="1">IFERROR(__xludf.DUMMYFUNCTION("""COMPUTED_VALUE"""),"1740106664386")</f>
        <v>1740106664386</v>
      </c>
      <c r="B4924" s="2"/>
      <c r="C4924" s="2" t="str">
        <v>0</v>
      </c>
      <c r="D4924" s="2"/>
      <c r="F4924" s="2" t="str">
        <v>0</v>
      </c>
      <c r="I4924" s="3" t="str">
        <f ca="1">IFERROR(__xludf.DUMMYFUNCTION("""COMPUTED_VALUE"""),"Phạm Thị Thanh Tâm ")</f>
        <v xml:space="preserve">Phạm Thị Thanh Tâm </v>
      </c>
      <c r="J4924" s="3" t="str">
        <f ca="1">IFERROR(__xludf.DUMMYFUNCTION("""COMPUTED_VALUE"""),"0983514473")</f>
        <v>0983514473</v>
      </c>
      <c r="K4924" s="2" t="str">
        <f ca="1">IFERROR(__xludf.DUMMYFUNCTION("""COMPUTED_VALUE"""),"1740106664386")</f>
        <v>1740106664386</v>
      </c>
    </row>
    <row r="4925" spans="1:11" ht="12.45">
      <c r="A4925" s="2" t="str">
        <f ca="1">IFERROR(__xludf.DUMMYFUNCTION("""COMPUTED_VALUE"""),"1740106704367")</f>
        <v>1740106704367</v>
      </c>
      <c r="B4925" s="2"/>
      <c r="C4925" s="2" t="str">
        <v>0</v>
      </c>
      <c r="D4925" s="2"/>
      <c r="F4925" s="2" t="str">
        <v>0</v>
      </c>
      <c r="I4925" s="3" t="str">
        <f ca="1">IFERROR(__xludf.DUMMYFUNCTION("""COMPUTED_VALUE"""),"Hoàng Hà Vy")</f>
        <v>Hoàng Hà Vy</v>
      </c>
      <c r="J4925" s="3" t="str">
        <f ca="1">IFERROR(__xludf.DUMMYFUNCTION("""COMPUTED_VALUE"""),"0387969083")</f>
        <v>0387969083</v>
      </c>
      <c r="K4925" s="2" t="str">
        <f ca="1">IFERROR(__xludf.DUMMYFUNCTION("""COMPUTED_VALUE"""),"1740106704367")</f>
        <v>1740106704367</v>
      </c>
    </row>
    <row r="4926" spans="1:11" ht="12.45">
      <c r="A4926" s="2" t="str">
        <f ca="1">IFERROR(__xludf.DUMMYFUNCTION("""COMPUTED_VALUE"""),"1740106747134")</f>
        <v>1740106747134</v>
      </c>
      <c r="B4926" s="2"/>
      <c r="C4926" s="2" t="str">
        <v>0</v>
      </c>
      <c r="D4926" s="2"/>
      <c r="F4926" s="2" t="str">
        <v>0</v>
      </c>
      <c r="I4926" s="3" t="str">
        <f ca="1">IFERROR(__xludf.DUMMYFUNCTION("""COMPUTED_VALUE"""),"Nguyễn Thùy Châm ")</f>
        <v xml:space="preserve">Nguyễn Thùy Châm </v>
      </c>
      <c r="J4926" s="3" t="str">
        <f ca="1">IFERROR(__xludf.DUMMYFUNCTION("""COMPUTED_VALUE"""),"0867523315")</f>
        <v>0867523315</v>
      </c>
      <c r="K4926" s="2" t="str">
        <f ca="1">IFERROR(__xludf.DUMMYFUNCTION("""COMPUTED_VALUE"""),"1740106747134")</f>
        <v>1740106747134</v>
      </c>
    </row>
    <row r="4927" spans="1:11" ht="12.45">
      <c r="A4927" s="2" t="str">
        <f ca="1">IFERROR(__xludf.DUMMYFUNCTION("""COMPUTED_VALUE"""),"1740106790045")</f>
        <v>1740106790045</v>
      </c>
      <c r="B4927" s="2"/>
      <c r="C4927" s="2" t="str">
        <v>0</v>
      </c>
      <c r="D4927" s="2"/>
      <c r="F4927" s="2" t="str">
        <v>0</v>
      </c>
      <c r="I4927" s="3" t="str">
        <f ca="1">IFERROR(__xludf.DUMMYFUNCTION("""COMPUTED_VALUE"""),"Trần nguyễn tuấn anh")</f>
        <v>Trần nguyễn tuấn anh</v>
      </c>
      <c r="J4927" s="3" t="str">
        <f ca="1">IFERROR(__xludf.DUMMYFUNCTION("""COMPUTED_VALUE"""),"0907592886")</f>
        <v>0907592886</v>
      </c>
      <c r="K4927" s="2" t="str">
        <f ca="1">IFERROR(__xludf.DUMMYFUNCTION("""COMPUTED_VALUE"""),"1740106790045")</f>
        <v>1740106790045</v>
      </c>
    </row>
    <row r="4928" spans="1:11" ht="12.45">
      <c r="A4928" s="2" t="str">
        <f ca="1">IFERROR(__xludf.DUMMYFUNCTION("""COMPUTED_VALUE"""),"1740106822994")</f>
        <v>1740106822994</v>
      </c>
      <c r="B4928" s="2"/>
      <c r="C4928" s="2" t="str">
        <v>0</v>
      </c>
      <c r="D4928" s="2"/>
      <c r="F4928" s="2" t="str">
        <v>0</v>
      </c>
      <c r="I4928" s="3" t="str">
        <f ca="1">IFERROR(__xludf.DUMMYFUNCTION("""COMPUTED_VALUE"""),"Phạm Trần Quỳnh Như")</f>
        <v>Phạm Trần Quỳnh Như</v>
      </c>
      <c r="J4928" s="3" t="str">
        <f ca="1">IFERROR(__xludf.DUMMYFUNCTION("""COMPUTED_VALUE"""),"0377495339")</f>
        <v>0377495339</v>
      </c>
      <c r="K4928" s="2" t="str">
        <f ca="1">IFERROR(__xludf.DUMMYFUNCTION("""COMPUTED_VALUE"""),"1740106822994")</f>
        <v>1740106822994</v>
      </c>
    </row>
    <row r="4929" spans="1:11" ht="12.45">
      <c r="A4929" s="2" t="str">
        <f ca="1">IFERROR(__xludf.DUMMYFUNCTION("""COMPUTED_VALUE"""),"1740106858062")</f>
        <v>1740106858062</v>
      </c>
      <c r="B4929" s="2"/>
      <c r="C4929" s="2" t="str">
        <v>0</v>
      </c>
      <c r="D4929" s="2"/>
      <c r="F4929" s="2" t="str">
        <v>0</v>
      </c>
      <c r="I4929" s="3" t="str">
        <f ca="1">IFERROR(__xludf.DUMMYFUNCTION("""COMPUTED_VALUE"""),"Nguyễn Thị Thu Hà")</f>
        <v>Nguyễn Thị Thu Hà</v>
      </c>
      <c r="J4929" s="3" t="str">
        <f ca="1">IFERROR(__xludf.DUMMYFUNCTION("""COMPUTED_VALUE"""),"0348817927")</f>
        <v>0348817927</v>
      </c>
      <c r="K4929" s="2" t="str">
        <f ca="1">IFERROR(__xludf.DUMMYFUNCTION("""COMPUTED_VALUE"""),"1740106858062")</f>
        <v>1740106858062</v>
      </c>
    </row>
    <row r="4930" spans="1:11" ht="12.45">
      <c r="A4930" s="2" t="str">
        <f ca="1">IFERROR(__xludf.DUMMYFUNCTION("""COMPUTED_VALUE"""),"1740106895553")</f>
        <v>1740106895553</v>
      </c>
      <c r="B4930" s="2"/>
      <c r="C4930" s="2" t="str">
        <v>0</v>
      </c>
      <c r="D4930" s="2"/>
      <c r="F4930" s="2" t="str">
        <v>0</v>
      </c>
      <c r="I4930" s="3" t="str">
        <f ca="1">IFERROR(__xludf.DUMMYFUNCTION("""COMPUTED_VALUE"""),"Nguyễn Mạnh Thiệu")</f>
        <v>Nguyễn Mạnh Thiệu</v>
      </c>
      <c r="J4930" s="3" t="str">
        <f ca="1">IFERROR(__xludf.DUMMYFUNCTION("""COMPUTED_VALUE"""),"0936919048")</f>
        <v>0936919048</v>
      </c>
      <c r="K4930" s="2" t="str">
        <f ca="1">IFERROR(__xludf.DUMMYFUNCTION("""COMPUTED_VALUE"""),"1740106895553")</f>
        <v>1740106895553</v>
      </c>
    </row>
    <row r="4931" spans="1:11" ht="12.45">
      <c r="A4931" s="2" t="str">
        <f ca="1">IFERROR(__xludf.DUMMYFUNCTION("""COMPUTED_VALUE"""),"1740106939704")</f>
        <v>1740106939704</v>
      </c>
      <c r="B4931" s="2"/>
      <c r="C4931" s="2" t="str">
        <v>0</v>
      </c>
      <c r="D4931" s="2"/>
      <c r="F4931" s="2" t="str">
        <v>0</v>
      </c>
      <c r="I4931" s="3" t="str">
        <f ca="1">IFERROR(__xludf.DUMMYFUNCTION("""COMPUTED_VALUE"""),"Ngô Đặng Hoàng Ngân ")</f>
        <v xml:space="preserve">Ngô Đặng Hoàng Ngân </v>
      </c>
      <c r="J4931" s="3" t="str">
        <f ca="1">IFERROR(__xludf.DUMMYFUNCTION("""COMPUTED_VALUE"""),"0363599982")</f>
        <v>0363599982</v>
      </c>
      <c r="K4931" s="2" t="str">
        <f ca="1">IFERROR(__xludf.DUMMYFUNCTION("""COMPUTED_VALUE"""),"1740106939704")</f>
        <v>1740106939704</v>
      </c>
    </row>
    <row r="4932" spans="1:11" ht="12.45">
      <c r="A4932" s="2" t="str">
        <f ca="1">IFERROR(__xludf.DUMMYFUNCTION("""COMPUTED_VALUE"""),"1740106984177")</f>
        <v>1740106984177</v>
      </c>
      <c r="B4932" s="2"/>
      <c r="C4932" s="2" t="str">
        <v>0</v>
      </c>
      <c r="D4932" s="2"/>
      <c r="F4932" s="2" t="str">
        <v>0</v>
      </c>
      <c r="I4932" s="3" t="str">
        <f ca="1">IFERROR(__xludf.DUMMYFUNCTION("""COMPUTED_VALUE"""),"Nguyễn Diệp Khánh Trường")</f>
        <v>Nguyễn Diệp Khánh Trường</v>
      </c>
      <c r="J4932" s="3" t="str">
        <f ca="1">IFERROR(__xludf.DUMMYFUNCTION("""COMPUTED_VALUE"""),"0903344644")</f>
        <v>0903344644</v>
      </c>
      <c r="K4932" s="2" t="str">
        <f ca="1">IFERROR(__xludf.DUMMYFUNCTION("""COMPUTED_VALUE"""),"1740106984177")</f>
        <v>1740106984177</v>
      </c>
    </row>
    <row r="4933" spans="1:11" ht="12.45">
      <c r="A4933" s="2" t="str">
        <f ca="1">IFERROR(__xludf.DUMMYFUNCTION("""COMPUTED_VALUE"""),"1740107025601")</f>
        <v>1740107025601</v>
      </c>
      <c r="B4933" s="2"/>
      <c r="C4933" s="2" t="str">
        <v>0</v>
      </c>
      <c r="D4933" s="2"/>
      <c r="F4933" s="2" t="str">
        <v>0</v>
      </c>
      <c r="I4933" s="3" t="str">
        <f ca="1">IFERROR(__xludf.DUMMYFUNCTION("""COMPUTED_VALUE"""),"Ngô Thị Thanh Xuân")</f>
        <v>Ngô Thị Thanh Xuân</v>
      </c>
      <c r="J4933" s="3" t="str">
        <f ca="1">IFERROR(__xludf.DUMMYFUNCTION("""COMPUTED_VALUE"""),"0986246928")</f>
        <v>0986246928</v>
      </c>
      <c r="K4933" s="2" t="str">
        <f ca="1">IFERROR(__xludf.DUMMYFUNCTION("""COMPUTED_VALUE"""),"1740107025601")</f>
        <v>1740107025601</v>
      </c>
    </row>
    <row r="4934" spans="1:11" ht="12.45">
      <c r="A4934" s="2" t="str">
        <f ca="1">IFERROR(__xludf.DUMMYFUNCTION("""COMPUTED_VALUE"""),"1740107071707")</f>
        <v>1740107071707</v>
      </c>
      <c r="B4934" s="2"/>
      <c r="C4934" s="2" t="str">
        <v>0</v>
      </c>
      <c r="D4934" s="2"/>
      <c r="F4934" s="2" t="str">
        <v>0</v>
      </c>
      <c r="I4934" s="3" t="str">
        <f ca="1">IFERROR(__xludf.DUMMYFUNCTION("""COMPUTED_VALUE"""),"Khổng Lê Thanh Trúc")</f>
        <v>Khổng Lê Thanh Trúc</v>
      </c>
      <c r="J4934" s="3" t="str">
        <f ca="1">IFERROR(__xludf.DUMMYFUNCTION("""COMPUTED_VALUE"""),"0931101107")</f>
        <v>0931101107</v>
      </c>
      <c r="K4934" s="2" t="str">
        <f ca="1">IFERROR(__xludf.DUMMYFUNCTION("""COMPUTED_VALUE"""),"1740107071707")</f>
        <v>1740107071707</v>
      </c>
    </row>
    <row r="4935" spans="1:11" ht="12.45">
      <c r="A4935" s="2" t="str">
        <f ca="1">IFERROR(__xludf.DUMMYFUNCTION("""COMPUTED_VALUE"""),"1740107108243")</f>
        <v>1740107108243</v>
      </c>
      <c r="B4935" s="2"/>
      <c r="C4935" s="2" t="str">
        <v>0</v>
      </c>
      <c r="D4935" s="2"/>
      <c r="F4935" s="2" t="str">
        <v>0</v>
      </c>
      <c r="I4935" s="3" t="str">
        <f ca="1">IFERROR(__xludf.DUMMYFUNCTION("""COMPUTED_VALUE"""),"Nguyễn Phương Thảo")</f>
        <v>Nguyễn Phương Thảo</v>
      </c>
      <c r="J4935" s="3" t="str">
        <f ca="1">IFERROR(__xludf.DUMMYFUNCTION("""COMPUTED_VALUE"""),"0972612607")</f>
        <v>0972612607</v>
      </c>
      <c r="K4935" s="2" t="str">
        <f ca="1">IFERROR(__xludf.DUMMYFUNCTION("""COMPUTED_VALUE"""),"1740107108243")</f>
        <v>1740107108243</v>
      </c>
    </row>
    <row r="4936" spans="1:11" ht="12.45">
      <c r="A4936" s="2" t="str">
        <f ca="1">IFERROR(__xludf.DUMMYFUNCTION("""COMPUTED_VALUE"""),"1740107151443")</f>
        <v>1740107151443</v>
      </c>
      <c r="B4936" s="2"/>
      <c r="C4936" s="2" t="str">
        <v>0</v>
      </c>
      <c r="D4936" s="2"/>
      <c r="F4936" s="2" t="str">
        <v>0</v>
      </c>
      <c r="I4936" s="3" t="str">
        <f ca="1">IFERROR(__xludf.DUMMYFUNCTION("""COMPUTED_VALUE"""),"Vũ Thảo Lâm ")</f>
        <v xml:space="preserve">Vũ Thảo Lâm </v>
      </c>
      <c r="J4936" s="3" t="str">
        <f ca="1">IFERROR(__xludf.DUMMYFUNCTION("""COMPUTED_VALUE"""),"0352921085")</f>
        <v>0352921085</v>
      </c>
      <c r="K4936" s="2" t="str">
        <f ca="1">IFERROR(__xludf.DUMMYFUNCTION("""COMPUTED_VALUE"""),"1740107151443")</f>
        <v>1740107151443</v>
      </c>
    </row>
    <row r="4937" spans="1:11" ht="12.45">
      <c r="A4937" s="2" t="str">
        <f ca="1">IFERROR(__xludf.DUMMYFUNCTION("""COMPUTED_VALUE"""),"1740107187877")</f>
        <v>1740107187877</v>
      </c>
      <c r="B4937" s="2"/>
      <c r="C4937" s="2" t="str">
        <v>0</v>
      </c>
      <c r="D4937" s="2"/>
      <c r="F4937" s="2" t="str">
        <v>0</v>
      </c>
      <c r="I4937" s="3" t="str">
        <f ca="1">IFERROR(__xludf.DUMMYFUNCTION("""COMPUTED_VALUE"""),"Phạm Hương Giang")</f>
        <v>Phạm Hương Giang</v>
      </c>
      <c r="J4937" s="3" t="str">
        <f ca="1">IFERROR(__xludf.DUMMYFUNCTION("""COMPUTED_VALUE"""),"0787303988")</f>
        <v>0787303988</v>
      </c>
      <c r="K4937" s="2" t="str">
        <f ca="1">IFERROR(__xludf.DUMMYFUNCTION("""COMPUTED_VALUE"""),"1740107187877")</f>
        <v>1740107187877</v>
      </c>
    </row>
    <row r="4938" spans="1:11" ht="12.45">
      <c r="A4938" s="2" t="str">
        <f ca="1">IFERROR(__xludf.DUMMYFUNCTION("""COMPUTED_VALUE"""),"1740107226799")</f>
        <v>1740107226799</v>
      </c>
      <c r="B4938" s="2"/>
      <c r="C4938" s="2" t="str">
        <v>0</v>
      </c>
      <c r="D4938" s="2"/>
      <c r="F4938" s="2" t="str">
        <v>0</v>
      </c>
      <c r="I4938" s="3" t="str">
        <f ca="1">IFERROR(__xludf.DUMMYFUNCTION("""COMPUTED_VALUE"""),"Lê Khánh Linh")</f>
        <v>Lê Khánh Linh</v>
      </c>
      <c r="J4938" s="3" t="str">
        <f ca="1">IFERROR(__xludf.DUMMYFUNCTION("""COMPUTED_VALUE"""),"0867985202")</f>
        <v>0867985202</v>
      </c>
      <c r="K4938" s="2" t="str">
        <f ca="1">IFERROR(__xludf.DUMMYFUNCTION("""COMPUTED_VALUE"""),"1740107226799")</f>
        <v>1740107226799</v>
      </c>
    </row>
    <row r="4939" spans="1:11" ht="12.45">
      <c r="A4939" s="2" t="str">
        <f ca="1">IFERROR(__xludf.DUMMYFUNCTION("""COMPUTED_VALUE"""),"1740107255627")</f>
        <v>1740107255627</v>
      </c>
      <c r="B4939" s="2"/>
      <c r="C4939" s="2" t="str">
        <v>0</v>
      </c>
      <c r="D4939" s="2"/>
      <c r="F4939" s="2" t="str">
        <v>0</v>
      </c>
      <c r="I4939" s="3" t="str">
        <f ca="1">IFERROR(__xludf.DUMMYFUNCTION("""COMPUTED_VALUE"""),"Ngô Thành Quy")</f>
        <v>Ngô Thành Quy</v>
      </c>
      <c r="J4939" s="3" t="str">
        <f ca="1">IFERROR(__xludf.DUMMYFUNCTION("""COMPUTED_VALUE"""),"0375817037")</f>
        <v>0375817037</v>
      </c>
      <c r="K4939" s="2" t="str">
        <f ca="1">IFERROR(__xludf.DUMMYFUNCTION("""COMPUTED_VALUE"""),"1740107255627")</f>
        <v>1740107255627</v>
      </c>
    </row>
    <row r="4940" spans="1:11" ht="12.45">
      <c r="A4940" s="2" t="str">
        <f ca="1">IFERROR(__xludf.DUMMYFUNCTION("""COMPUTED_VALUE"""),"1740107297391")</f>
        <v>1740107297391</v>
      </c>
      <c r="B4940" s="2"/>
      <c r="C4940" s="2" t="str">
        <v>0</v>
      </c>
      <c r="D4940" s="2"/>
      <c r="F4940" s="2" t="str">
        <v>0</v>
      </c>
      <c r="I4940" s="3" t="str">
        <f ca="1">IFERROR(__xludf.DUMMYFUNCTION("""COMPUTED_VALUE"""),"Diệp Khánh Linh")</f>
        <v>Diệp Khánh Linh</v>
      </c>
      <c r="J4940" s="3" t="str">
        <f ca="1">IFERROR(__xludf.DUMMYFUNCTION("""COMPUTED_VALUE"""),"0822770407")</f>
        <v>0822770407</v>
      </c>
      <c r="K4940" s="2" t="str">
        <f ca="1">IFERROR(__xludf.DUMMYFUNCTION("""COMPUTED_VALUE"""),"1740107297391")</f>
        <v>1740107297391</v>
      </c>
    </row>
    <row r="4941" spans="1:11" ht="12.45">
      <c r="A4941" s="2" t="str">
        <f ca="1">IFERROR(__xludf.DUMMYFUNCTION("""COMPUTED_VALUE"""),"1740107329351")</f>
        <v>1740107329351</v>
      </c>
      <c r="B4941" s="2"/>
      <c r="C4941" s="2" t="str">
        <v>0</v>
      </c>
      <c r="D4941" s="2"/>
      <c r="F4941" s="2" t="str">
        <v>0</v>
      </c>
      <c r="I4941" s="3" t="str">
        <f ca="1">IFERROR(__xludf.DUMMYFUNCTION("""COMPUTED_VALUE"""),"Nguyễn Thủy Tiên")</f>
        <v>Nguyễn Thủy Tiên</v>
      </c>
      <c r="J4941" s="3" t="str">
        <f ca="1">IFERROR(__xludf.DUMMYFUNCTION("""COMPUTED_VALUE"""),"0979890501")</f>
        <v>0979890501</v>
      </c>
      <c r="K4941" s="2" t="str">
        <f ca="1">IFERROR(__xludf.DUMMYFUNCTION("""COMPUTED_VALUE"""),"1740107329351")</f>
        <v>1740107329351</v>
      </c>
    </row>
    <row r="4942" spans="1:11" ht="12.45">
      <c r="A4942" s="2" t="str">
        <f ca="1">IFERROR(__xludf.DUMMYFUNCTION("""COMPUTED_VALUE"""),"1740107362821")</f>
        <v>1740107362821</v>
      </c>
      <c r="B4942" s="2"/>
      <c r="C4942" s="2" t="str">
        <v>0</v>
      </c>
      <c r="D4942" s="2"/>
      <c r="F4942" s="2" t="str">
        <v>0</v>
      </c>
      <c r="I4942" s="3" t="str">
        <f ca="1">IFERROR(__xludf.DUMMYFUNCTION("""COMPUTED_VALUE"""),"Lê Thị Ngân Khánh")</f>
        <v>Lê Thị Ngân Khánh</v>
      </c>
      <c r="J4942" s="3" t="str">
        <f ca="1">IFERROR(__xludf.DUMMYFUNCTION("""COMPUTED_VALUE"""),"0983287880")</f>
        <v>0983287880</v>
      </c>
      <c r="K4942" s="2" t="str">
        <f ca="1">IFERROR(__xludf.DUMMYFUNCTION("""COMPUTED_VALUE"""),"1740107362821")</f>
        <v>1740107362821</v>
      </c>
    </row>
    <row r="4943" spans="1:11" ht="12.45">
      <c r="A4943" s="2" t="str">
        <f ca="1">IFERROR(__xludf.DUMMYFUNCTION("""COMPUTED_VALUE"""),"1740107405434")</f>
        <v>1740107405434</v>
      </c>
      <c r="B4943" s="2"/>
      <c r="C4943" s="2" t="str">
        <v>0</v>
      </c>
      <c r="D4943" s="2"/>
      <c r="F4943" s="2" t="str">
        <v>0</v>
      </c>
      <c r="I4943" s="3" t="str">
        <f ca="1">IFERROR(__xludf.DUMMYFUNCTION("""COMPUTED_VALUE"""),"Đặng Hương Trà")</f>
        <v>Đặng Hương Trà</v>
      </c>
      <c r="J4943" s="3" t="str">
        <f ca="1">IFERROR(__xludf.DUMMYFUNCTION("""COMPUTED_VALUE"""),"0886682898")</f>
        <v>0886682898</v>
      </c>
      <c r="K4943" s="2" t="str">
        <f ca="1">IFERROR(__xludf.DUMMYFUNCTION("""COMPUTED_VALUE"""),"1740107405434")</f>
        <v>1740107405434</v>
      </c>
    </row>
    <row r="4944" spans="1:11" ht="12.45">
      <c r="A4944" s="2" t="str">
        <f ca="1">IFERROR(__xludf.DUMMYFUNCTION("""COMPUTED_VALUE"""),"1740107452076")</f>
        <v>1740107452076</v>
      </c>
      <c r="B4944" s="2"/>
      <c r="C4944" s="2" t="str">
        <v>0</v>
      </c>
      <c r="D4944" s="2"/>
      <c r="F4944" s="2" t="str">
        <v>0</v>
      </c>
      <c r="I4944" s="3" t="str">
        <f ca="1">IFERROR(__xludf.DUMMYFUNCTION("""COMPUTED_VALUE"""),"Trương Hà Anh")</f>
        <v>Trương Hà Anh</v>
      </c>
      <c r="J4944" s="3" t="str">
        <f ca="1">IFERROR(__xludf.DUMMYFUNCTION("""COMPUTED_VALUE"""),"0346863898")</f>
        <v>0346863898</v>
      </c>
      <c r="K4944" s="2" t="str">
        <f ca="1">IFERROR(__xludf.DUMMYFUNCTION("""COMPUTED_VALUE"""),"1740107452076")</f>
        <v>1740107452076</v>
      </c>
    </row>
    <row r="4945" spans="1:11" ht="12.45">
      <c r="A4945" s="2" t="str">
        <f ca="1">IFERROR(__xludf.DUMMYFUNCTION("""COMPUTED_VALUE"""),"1740107496764")</f>
        <v>1740107496764</v>
      </c>
      <c r="B4945" s="2"/>
      <c r="C4945" s="2" t="str">
        <v>0</v>
      </c>
      <c r="D4945" s="2"/>
      <c r="F4945" s="2" t="str">
        <v>0</v>
      </c>
      <c r="I4945" s="3" t="str">
        <f ca="1">IFERROR(__xludf.DUMMYFUNCTION("""COMPUTED_VALUE"""),"Lê Võ Minh An")</f>
        <v>Lê Võ Minh An</v>
      </c>
      <c r="J4945" s="3" t="str">
        <f ca="1">IFERROR(__xludf.DUMMYFUNCTION("""COMPUTED_VALUE"""),"0985125261")</f>
        <v>0985125261</v>
      </c>
      <c r="K4945" s="2" t="str">
        <f ca="1">IFERROR(__xludf.DUMMYFUNCTION("""COMPUTED_VALUE"""),"1740107496764")</f>
        <v>1740107496764</v>
      </c>
    </row>
    <row r="4946" spans="1:11" ht="12.45">
      <c r="A4946" s="2" t="str">
        <f ca="1">IFERROR(__xludf.DUMMYFUNCTION("""COMPUTED_VALUE"""),"1740107530364")</f>
        <v>1740107530364</v>
      </c>
      <c r="B4946" s="2"/>
      <c r="C4946" s="2" t="str">
        <v>0</v>
      </c>
      <c r="D4946" s="2"/>
      <c r="F4946" s="2" t="str">
        <v>0</v>
      </c>
      <c r="I4946" s="3" t="str">
        <f ca="1">IFERROR(__xludf.DUMMYFUNCTION("""COMPUTED_VALUE"""),"Nguyễn Hữu Chiến")</f>
        <v>Nguyễn Hữu Chiến</v>
      </c>
      <c r="J4946" s="3" t="str">
        <f ca="1">IFERROR(__xludf.DUMMYFUNCTION("""COMPUTED_VALUE"""),"0368174290")</f>
        <v>0368174290</v>
      </c>
      <c r="K4946" s="2" t="str">
        <f ca="1">IFERROR(__xludf.DUMMYFUNCTION("""COMPUTED_VALUE"""),"1740107530364")</f>
        <v>1740107530364</v>
      </c>
    </row>
    <row r="4947" spans="1:11" ht="12.45">
      <c r="A4947" s="2" t="str">
        <f ca="1">IFERROR(__xludf.DUMMYFUNCTION("""COMPUTED_VALUE"""),"1740332041128")</f>
        <v>1740332041128</v>
      </c>
      <c r="B4947" s="2"/>
      <c r="C4947" s="2" t="str">
        <v>0</v>
      </c>
      <c r="D4947" s="2"/>
      <c r="F4947" s="2" t="str">
        <v>0</v>
      </c>
      <c r="I4947" s="3" t="str">
        <f ca="1">IFERROR(__xludf.DUMMYFUNCTION("""COMPUTED_VALUE"""),"Y hà thiện")</f>
        <v>Y hà thiện</v>
      </c>
      <c r="J4947" s="3" t="str">
        <f ca="1">IFERROR(__xludf.DUMMYFUNCTION("""COMPUTED_VALUE"""),"0912155711")</f>
        <v>0912155711</v>
      </c>
      <c r="K4947" s="2" t="str">
        <f ca="1">IFERROR(__xludf.DUMMYFUNCTION("""COMPUTED_VALUE"""),"1740332041128")</f>
        <v>1740332041128</v>
      </c>
    </row>
    <row r="4948" spans="1:11" ht="12.45">
      <c r="A4948" s="2" t="str">
        <f ca="1">IFERROR(__xludf.DUMMYFUNCTION("""COMPUTED_VALUE"""),"1740107594830")</f>
        <v>1740107594830</v>
      </c>
      <c r="B4948" s="2"/>
      <c r="C4948" s="2" t="str">
        <v>0</v>
      </c>
      <c r="D4948" s="2"/>
      <c r="F4948" s="2" t="str">
        <v>0</v>
      </c>
      <c r="I4948" s="3" t="str">
        <f ca="1">IFERROR(__xludf.DUMMYFUNCTION("""COMPUTED_VALUE"""),"Vũ Thị Thuỳ Trang ")</f>
        <v xml:space="preserve">Vũ Thị Thuỳ Trang </v>
      </c>
      <c r="J4948" s="3" t="str">
        <f ca="1">IFERROR(__xludf.DUMMYFUNCTION("""COMPUTED_VALUE"""),"0789150072")</f>
        <v>0789150072</v>
      </c>
      <c r="K4948" s="2" t="str">
        <f ca="1">IFERROR(__xludf.DUMMYFUNCTION("""COMPUTED_VALUE"""),"1740107594830")</f>
        <v>1740107594830</v>
      </c>
    </row>
    <row r="4949" spans="1:11" ht="12.45">
      <c r="A4949" s="2" t="str">
        <f ca="1">IFERROR(__xludf.DUMMYFUNCTION("""COMPUTED_VALUE"""),"1740107637373")</f>
        <v>1740107637373</v>
      </c>
      <c r="B4949" s="2"/>
      <c r="C4949" s="2" t="str">
        <v>0</v>
      </c>
      <c r="D4949" s="2"/>
      <c r="F4949" s="2" t="str">
        <v>0</v>
      </c>
      <c r="I4949" s="3" t="str">
        <f ca="1">IFERROR(__xludf.DUMMYFUNCTION("""COMPUTED_VALUE"""),"Võ Yến Nhi")</f>
        <v>Võ Yến Nhi</v>
      </c>
      <c r="J4949" s="3" t="str">
        <f ca="1">IFERROR(__xludf.DUMMYFUNCTION("""COMPUTED_VALUE"""),"0963290976")</f>
        <v>0963290976</v>
      </c>
      <c r="K4949" s="2" t="str">
        <f ca="1">IFERROR(__xludf.DUMMYFUNCTION("""COMPUTED_VALUE"""),"1740107637373")</f>
        <v>1740107637373</v>
      </c>
    </row>
    <row r="4950" spans="1:11" ht="12.45">
      <c r="A4950" s="2" t="str">
        <f ca="1">IFERROR(__xludf.DUMMYFUNCTION("""COMPUTED_VALUE"""),"1740107677526")</f>
        <v>1740107677526</v>
      </c>
      <c r="B4950" s="2"/>
      <c r="C4950" s="2" t="str">
        <v>0</v>
      </c>
      <c r="D4950" s="2"/>
      <c r="F4950" s="2" t="str">
        <v>0</v>
      </c>
      <c r="I4950" s="3" t="str">
        <f ca="1">IFERROR(__xludf.DUMMYFUNCTION("""COMPUTED_VALUE"""),"Nguyễn Quỳnh Phương Trang")</f>
        <v>Nguyễn Quỳnh Phương Trang</v>
      </c>
      <c r="J4950" s="3" t="str">
        <f ca="1">IFERROR(__xludf.DUMMYFUNCTION("""COMPUTED_VALUE"""),"0356367034")</f>
        <v>0356367034</v>
      </c>
      <c r="K4950" s="2" t="str">
        <f ca="1">IFERROR(__xludf.DUMMYFUNCTION("""COMPUTED_VALUE"""),"1740107677526")</f>
        <v>1740107677526</v>
      </c>
    </row>
    <row r="4951" spans="1:11" ht="12.45">
      <c r="A4951" s="2" t="str">
        <f ca="1">IFERROR(__xludf.DUMMYFUNCTION("""COMPUTED_VALUE"""),"1740107706914")</f>
        <v>1740107706914</v>
      </c>
      <c r="B4951" s="2"/>
      <c r="C4951" s="2" t="str">
        <v>0</v>
      </c>
      <c r="D4951" s="2"/>
      <c r="F4951" s="2" t="str">
        <v>0</v>
      </c>
      <c r="I4951" s="3" t="str">
        <f ca="1">IFERROR(__xludf.DUMMYFUNCTION("""COMPUTED_VALUE"""),"Hà Hải Anh")</f>
        <v>Hà Hải Anh</v>
      </c>
      <c r="J4951" s="3" t="str">
        <f ca="1">IFERROR(__xludf.DUMMYFUNCTION("""COMPUTED_VALUE"""),"0972859581")</f>
        <v>0972859581</v>
      </c>
      <c r="K4951" s="2" t="str">
        <f ca="1">IFERROR(__xludf.DUMMYFUNCTION("""COMPUTED_VALUE"""),"1740107706914")</f>
        <v>1740107706914</v>
      </c>
    </row>
    <row r="4952" spans="1:11" ht="12.45">
      <c r="A4952" s="2" t="str">
        <f ca="1">IFERROR(__xludf.DUMMYFUNCTION("""COMPUTED_VALUE"""),"1740107736763")</f>
        <v>1740107736763</v>
      </c>
      <c r="B4952" s="2"/>
      <c r="C4952" s="2" t="str">
        <v>0</v>
      </c>
      <c r="D4952" s="2"/>
      <c r="F4952" s="2" t="str">
        <v>0</v>
      </c>
      <c r="I4952" s="3" t="str">
        <f ca="1">IFERROR(__xludf.DUMMYFUNCTION("""COMPUTED_VALUE"""),"Nguyễn Phan Quỳnh Như ")</f>
        <v xml:space="preserve">Nguyễn Phan Quỳnh Như </v>
      </c>
      <c r="J4952" s="3" t="str">
        <f ca="1">IFERROR(__xludf.DUMMYFUNCTION("""COMPUTED_VALUE"""),"0347294191")</f>
        <v>0347294191</v>
      </c>
      <c r="K4952" s="2" t="str">
        <f ca="1">IFERROR(__xludf.DUMMYFUNCTION("""COMPUTED_VALUE"""),"1740107736763")</f>
        <v>1740107736763</v>
      </c>
    </row>
    <row r="4953" spans="1:11" ht="12.45">
      <c r="A4953" s="2" t="str">
        <f ca="1">IFERROR(__xludf.DUMMYFUNCTION("""COMPUTED_VALUE"""),"1740107777003")</f>
        <v>1740107777003</v>
      </c>
      <c r="B4953" s="2"/>
      <c r="C4953" s="2" t="str">
        <v>0</v>
      </c>
      <c r="D4953" s="2"/>
      <c r="F4953" s="2" t="str">
        <v>0</v>
      </c>
      <c r="I4953" s="3" t="str">
        <f ca="1">IFERROR(__xludf.DUMMYFUNCTION("""COMPUTED_VALUE"""),"Đoàn Thị Kim Chi")</f>
        <v>Đoàn Thị Kim Chi</v>
      </c>
      <c r="J4953" s="3" t="str">
        <f ca="1">IFERROR(__xludf.DUMMYFUNCTION("""COMPUTED_VALUE"""),"0974971802")</f>
        <v>0974971802</v>
      </c>
      <c r="K4953" s="2" t="str">
        <f ca="1">IFERROR(__xludf.DUMMYFUNCTION("""COMPUTED_VALUE"""),"1740107777003")</f>
        <v>1740107777003</v>
      </c>
    </row>
    <row r="4954" spans="1:11" ht="12.45">
      <c r="A4954" s="2" t="str">
        <f ca="1">IFERROR(__xludf.DUMMYFUNCTION("""COMPUTED_VALUE"""),"1740107816693")</f>
        <v>1740107816693</v>
      </c>
      <c r="B4954" s="2"/>
      <c r="C4954" s="2" t="str">
        <v>0</v>
      </c>
      <c r="D4954" s="2"/>
      <c r="F4954" s="2" t="str">
        <v>0</v>
      </c>
      <c r="I4954" s="3" t="str">
        <f ca="1">IFERROR(__xludf.DUMMYFUNCTION("""COMPUTED_VALUE"""),"Nguyễn Thị Dạ Thảo ")</f>
        <v xml:space="preserve">Nguyễn Thị Dạ Thảo </v>
      </c>
      <c r="J4954" s="3" t="str">
        <f ca="1">IFERROR(__xludf.DUMMYFUNCTION("""COMPUTED_VALUE"""),"0397057842")</f>
        <v>0397057842</v>
      </c>
      <c r="K4954" s="2" t="str">
        <f ca="1">IFERROR(__xludf.DUMMYFUNCTION("""COMPUTED_VALUE"""),"1740107816693")</f>
        <v>1740107816693</v>
      </c>
    </row>
    <row r="4955" spans="1:11" ht="12.45">
      <c r="A4955" s="2" t="str">
        <f ca="1">IFERROR(__xludf.DUMMYFUNCTION("""COMPUTED_VALUE"""),"1740107854596")</f>
        <v>1740107854596</v>
      </c>
      <c r="B4955" s="2"/>
      <c r="C4955" s="2" t="str">
        <v>0</v>
      </c>
      <c r="D4955" s="2"/>
      <c r="F4955" s="2" t="str">
        <v>0</v>
      </c>
      <c r="I4955" s="3" t="str">
        <f ca="1">IFERROR(__xludf.DUMMYFUNCTION("""COMPUTED_VALUE"""),"Nguyễn Ngọc Anh ")</f>
        <v xml:space="preserve">Nguyễn Ngọc Anh </v>
      </c>
      <c r="J4955" s="3" t="str">
        <f ca="1">IFERROR(__xludf.DUMMYFUNCTION("""COMPUTED_VALUE"""),"0915755128")</f>
        <v>0915755128</v>
      </c>
      <c r="K4955" s="2" t="str">
        <f ca="1">IFERROR(__xludf.DUMMYFUNCTION("""COMPUTED_VALUE"""),"1740107854596")</f>
        <v>1740107854596</v>
      </c>
    </row>
    <row r="4956" spans="1:11" ht="12.45">
      <c r="A4956" s="2" t="str">
        <f ca="1">IFERROR(__xludf.DUMMYFUNCTION("""COMPUTED_VALUE"""),"1740107897846")</f>
        <v>1740107897846</v>
      </c>
      <c r="B4956" s="2"/>
      <c r="C4956" s="2" t="str">
        <v>0</v>
      </c>
      <c r="D4956" s="2"/>
      <c r="F4956" s="2" t="str">
        <v>0</v>
      </c>
      <c r="I4956" s="2"/>
      <c r="J4956" s="3" t="str">
        <f ca="1">IFERROR(__xludf.DUMMYFUNCTION("""COMPUTED_VALUE"""),"0973816847")</f>
        <v>0973816847</v>
      </c>
      <c r="K4956" s="2" t="str">
        <f ca="1">IFERROR(__xludf.DUMMYFUNCTION("""COMPUTED_VALUE"""),"1740107897846")</f>
        <v>1740107897846</v>
      </c>
    </row>
    <row r="4957" spans="1:11" ht="12.45">
      <c r="A4957" s="2" t="str">
        <f ca="1">IFERROR(__xludf.DUMMYFUNCTION("""COMPUTED_VALUE"""),"1740107930206")</f>
        <v>1740107930206</v>
      </c>
      <c r="B4957" s="2"/>
      <c r="C4957" s="2" t="str">
        <v>0</v>
      </c>
      <c r="D4957" s="2"/>
      <c r="F4957" s="2" t="str">
        <v>0</v>
      </c>
      <c r="I4957" s="3" t="str">
        <f ca="1">IFERROR(__xludf.DUMMYFUNCTION("""COMPUTED_VALUE"""),"Ma Thị Phương Anh")</f>
        <v>Ma Thị Phương Anh</v>
      </c>
      <c r="J4957" s="3" t="str">
        <f ca="1">IFERROR(__xludf.DUMMYFUNCTION("""COMPUTED_VALUE"""),"0822952696")</f>
        <v>0822952696</v>
      </c>
      <c r="K4957" s="2" t="str">
        <f ca="1">IFERROR(__xludf.DUMMYFUNCTION("""COMPUTED_VALUE"""),"1740107930206")</f>
        <v>1740107930206</v>
      </c>
    </row>
    <row r="4958" spans="1:11" ht="12.45">
      <c r="A4958" s="2" t="str">
        <f ca="1">IFERROR(__xludf.DUMMYFUNCTION("""COMPUTED_VALUE"""),"1740107963860")</f>
        <v>1740107963860</v>
      </c>
      <c r="B4958" s="2"/>
      <c r="C4958" s="2" t="str">
        <v>0</v>
      </c>
      <c r="D4958" s="2"/>
      <c r="F4958" s="2" t="str">
        <v>0</v>
      </c>
      <c r="I4958" s="3" t="str">
        <f ca="1">IFERROR(__xludf.DUMMYFUNCTION("""COMPUTED_VALUE"""),"Trịnh Thị Ánh ")</f>
        <v xml:space="preserve">Trịnh Thị Ánh </v>
      </c>
      <c r="J4958" s="3" t="str">
        <f ca="1">IFERROR(__xludf.DUMMYFUNCTION("""COMPUTED_VALUE"""),"0868461023")</f>
        <v>0868461023</v>
      </c>
      <c r="K4958" s="2" t="str">
        <f ca="1">IFERROR(__xludf.DUMMYFUNCTION("""COMPUTED_VALUE"""),"1740107963860")</f>
        <v>1740107963860</v>
      </c>
    </row>
    <row r="4959" spans="1:11" ht="12.45">
      <c r="A4959" s="2" t="str">
        <f ca="1">IFERROR(__xludf.DUMMYFUNCTION("""COMPUTED_VALUE"""),"1740107994985")</f>
        <v>1740107994985</v>
      </c>
      <c r="B4959" s="2"/>
      <c r="C4959" s="2" t="str">
        <v>0</v>
      </c>
      <c r="D4959" s="2"/>
      <c r="F4959" s="2" t="str">
        <v>0</v>
      </c>
      <c r="I4959" s="3" t="str">
        <f ca="1">IFERROR(__xludf.DUMMYFUNCTION("""COMPUTED_VALUE"""),"Lưu Xuân Ngọc")</f>
        <v>Lưu Xuân Ngọc</v>
      </c>
      <c r="J4959" s="3" t="str">
        <f ca="1">IFERROR(__xludf.DUMMYFUNCTION("""COMPUTED_VALUE"""),"0338114430")</f>
        <v>0338114430</v>
      </c>
      <c r="K4959" s="2" t="str">
        <f ca="1">IFERROR(__xludf.DUMMYFUNCTION("""COMPUTED_VALUE"""),"1740107994985")</f>
        <v>1740107994985</v>
      </c>
    </row>
    <row r="4960" spans="1:11" ht="12.45">
      <c r="A4960" s="2" t="str">
        <f ca="1">IFERROR(__xludf.DUMMYFUNCTION("""COMPUTED_VALUE"""),"1740108034813")</f>
        <v>1740108034813</v>
      </c>
      <c r="B4960" s="2"/>
      <c r="C4960" s="2" t="str">
        <v>0</v>
      </c>
      <c r="D4960" s="2"/>
      <c r="F4960" s="2" t="str">
        <v>0</v>
      </c>
      <c r="I4960" s="3" t="str">
        <f ca="1">IFERROR(__xludf.DUMMYFUNCTION("""COMPUTED_VALUE"""),"Bùi Trung Đức ")</f>
        <v xml:space="preserve">Bùi Trung Đức </v>
      </c>
      <c r="J4960" s="3" t="str">
        <f ca="1">IFERROR(__xludf.DUMMYFUNCTION("""COMPUTED_VALUE"""),"0862020880")</f>
        <v>0862020880</v>
      </c>
      <c r="K4960" s="2" t="str">
        <f ca="1">IFERROR(__xludf.DUMMYFUNCTION("""COMPUTED_VALUE"""),"1740108034813")</f>
        <v>1740108034813</v>
      </c>
    </row>
    <row r="4961" spans="1:11" ht="12.45">
      <c r="A4961" s="2" t="str">
        <f ca="1">IFERROR(__xludf.DUMMYFUNCTION("""COMPUTED_VALUE"""),"1740108069337")</f>
        <v>1740108069337</v>
      </c>
      <c r="B4961" s="2"/>
      <c r="C4961" s="2" t="str">
        <v>0</v>
      </c>
      <c r="D4961" s="2"/>
      <c r="F4961" s="2" t="str">
        <v>0</v>
      </c>
      <c r="I4961" s="3" t="str">
        <f ca="1">IFERROR(__xludf.DUMMYFUNCTION("""COMPUTED_VALUE"""),"Lương Thị Ngọc Ánh")</f>
        <v>Lương Thị Ngọc Ánh</v>
      </c>
      <c r="J4961" s="3" t="str">
        <f ca="1">IFERROR(__xludf.DUMMYFUNCTION("""COMPUTED_VALUE"""),"0357687140")</f>
        <v>0357687140</v>
      </c>
      <c r="K4961" s="2" t="str">
        <f ca="1">IFERROR(__xludf.DUMMYFUNCTION("""COMPUTED_VALUE"""),"1740108069337")</f>
        <v>1740108069337</v>
      </c>
    </row>
    <row r="4962" spans="1:11" ht="12.45">
      <c r="A4962" s="2" t="str">
        <f ca="1">IFERROR(__xludf.DUMMYFUNCTION("""COMPUTED_VALUE"""),"1740108103187")</f>
        <v>1740108103187</v>
      </c>
      <c r="B4962" s="2"/>
      <c r="C4962" s="2" t="str">
        <v>0</v>
      </c>
      <c r="D4962" s="2"/>
      <c r="F4962" s="2" t="str">
        <v>0</v>
      </c>
      <c r="I4962" s="3" t="str">
        <f ca="1">IFERROR(__xludf.DUMMYFUNCTION("""COMPUTED_VALUE"""),"Vương Thị Bích Ngọc")</f>
        <v>Vương Thị Bích Ngọc</v>
      </c>
      <c r="J4962" s="3" t="str">
        <f ca="1">IFERROR(__xludf.DUMMYFUNCTION("""COMPUTED_VALUE"""),"0334419102")</f>
        <v>0334419102</v>
      </c>
      <c r="K4962" s="2" t="str">
        <f ca="1">IFERROR(__xludf.DUMMYFUNCTION("""COMPUTED_VALUE"""),"1740108103187")</f>
        <v>1740108103187</v>
      </c>
    </row>
    <row r="4963" spans="1:11" ht="12.45">
      <c r="A4963" s="2" t="str">
        <f ca="1">IFERROR(__xludf.DUMMYFUNCTION("""COMPUTED_VALUE"""),"1740108151250")</f>
        <v>1740108151250</v>
      </c>
      <c r="B4963" s="2"/>
      <c r="C4963" s="2" t="str">
        <v>0</v>
      </c>
      <c r="D4963" s="2"/>
      <c r="F4963" s="2" t="str">
        <v>0</v>
      </c>
      <c r="I4963" s="3" t="str">
        <f ca="1">IFERROR(__xludf.DUMMYFUNCTION("""COMPUTED_VALUE"""),"Đặng Thuỳ Trâm")</f>
        <v>Đặng Thuỳ Trâm</v>
      </c>
      <c r="J4963" s="3" t="str">
        <f ca="1">IFERROR(__xludf.DUMMYFUNCTION("""COMPUTED_VALUE"""),"0334824765")</f>
        <v>0334824765</v>
      </c>
      <c r="K4963" s="2" t="str">
        <f ca="1">IFERROR(__xludf.DUMMYFUNCTION("""COMPUTED_VALUE"""),"1740108151250")</f>
        <v>1740108151250</v>
      </c>
    </row>
    <row r="4964" spans="1:11" ht="12.45">
      <c r="A4964" s="2" t="str">
        <f ca="1">IFERROR(__xludf.DUMMYFUNCTION("""COMPUTED_VALUE"""),"1740108203198")</f>
        <v>1740108203198</v>
      </c>
      <c r="B4964" s="2"/>
      <c r="C4964" s="2" t="str">
        <v>0</v>
      </c>
      <c r="D4964" s="2"/>
      <c r="F4964" s="2" t="str">
        <v>0</v>
      </c>
      <c r="I4964" s="3" t="str">
        <f ca="1">IFERROR(__xludf.DUMMYFUNCTION("""COMPUTED_VALUE"""),"Hoàng Lê Thanh Trang")</f>
        <v>Hoàng Lê Thanh Trang</v>
      </c>
      <c r="J4964" s="3" t="str">
        <f ca="1">IFERROR(__xludf.DUMMYFUNCTION("""COMPUTED_VALUE"""),"0981086594")</f>
        <v>0981086594</v>
      </c>
      <c r="K4964" s="2" t="str">
        <f ca="1">IFERROR(__xludf.DUMMYFUNCTION("""COMPUTED_VALUE"""),"1740108203198")</f>
        <v>1740108203198</v>
      </c>
    </row>
    <row r="4965" spans="1:11" ht="12.45">
      <c r="A4965" s="2" t="str">
        <f ca="1">IFERROR(__xludf.DUMMYFUNCTION("""COMPUTED_VALUE"""),"1740108259755")</f>
        <v>1740108259755</v>
      </c>
      <c r="B4965" s="2"/>
      <c r="C4965" s="2" t="str">
        <v>0</v>
      </c>
      <c r="D4965" s="2"/>
      <c r="F4965" s="2" t="str">
        <v>0</v>
      </c>
      <c r="I4965" s="3" t="str">
        <f ca="1">IFERROR(__xludf.DUMMYFUNCTION("""COMPUTED_VALUE"""),"Vũ Thuỳ Trang")</f>
        <v>Vũ Thuỳ Trang</v>
      </c>
      <c r="J4965" s="3" t="str">
        <f ca="1">IFERROR(__xludf.DUMMYFUNCTION("""COMPUTED_VALUE"""),"0767054791")</f>
        <v>0767054791</v>
      </c>
      <c r="K4965" s="2" t="str">
        <f ca="1">IFERROR(__xludf.DUMMYFUNCTION("""COMPUTED_VALUE"""),"1740108259755")</f>
        <v>1740108259755</v>
      </c>
    </row>
    <row r="4966" spans="1:11" ht="12.45">
      <c r="A4966" s="2" t="str">
        <f ca="1">IFERROR(__xludf.DUMMYFUNCTION("""COMPUTED_VALUE"""),"1740108303301")</f>
        <v>1740108303301</v>
      </c>
      <c r="B4966" s="2"/>
      <c r="C4966" s="2" t="str">
        <v>0</v>
      </c>
      <c r="D4966" s="2"/>
      <c r="F4966" s="2" t="str">
        <v>0</v>
      </c>
      <c r="I4966" s="3" t="str">
        <f ca="1">IFERROR(__xludf.DUMMYFUNCTION("""COMPUTED_VALUE"""),"Nguyễn Khánh Chi")</f>
        <v>Nguyễn Khánh Chi</v>
      </c>
      <c r="J4966" s="3" t="str">
        <f ca="1">IFERROR(__xludf.DUMMYFUNCTION("""COMPUTED_VALUE"""),"0962305581")</f>
        <v>0962305581</v>
      </c>
      <c r="K4966" s="2" t="str">
        <f ca="1">IFERROR(__xludf.DUMMYFUNCTION("""COMPUTED_VALUE"""),"1740108303301")</f>
        <v>1740108303301</v>
      </c>
    </row>
    <row r="4967" spans="1:11" ht="12.45">
      <c r="A4967" s="2" t="str">
        <f ca="1">IFERROR(__xludf.DUMMYFUNCTION("""COMPUTED_VALUE"""),"1740108346863")</f>
        <v>1740108346863</v>
      </c>
      <c r="B4967" s="2"/>
      <c r="C4967" s="2" t="str">
        <v>0</v>
      </c>
      <c r="D4967" s="2"/>
      <c r="F4967" s="2" t="str">
        <v>0</v>
      </c>
      <c r="I4967" s="3" t="str">
        <f ca="1">IFERROR(__xludf.DUMMYFUNCTION("""COMPUTED_VALUE"""),"NGUYỄN THỊ LAN ANH")</f>
        <v>NGUYỄN THỊ LAN ANH</v>
      </c>
      <c r="J4967" s="3" t="str">
        <f ca="1">IFERROR(__xludf.DUMMYFUNCTION("""COMPUTED_VALUE"""),"0343039189")</f>
        <v>0343039189</v>
      </c>
      <c r="K4967" s="2" t="str">
        <f ca="1">IFERROR(__xludf.DUMMYFUNCTION("""COMPUTED_VALUE"""),"1740108346863")</f>
        <v>1740108346863</v>
      </c>
    </row>
    <row r="4968" spans="1:11" ht="12.45">
      <c r="A4968" s="2" t="str">
        <f ca="1">IFERROR(__xludf.DUMMYFUNCTION("""COMPUTED_VALUE"""),"1740108382277")</f>
        <v>1740108382277</v>
      </c>
      <c r="B4968" s="2"/>
      <c r="C4968" s="2" t="str">
        <v>0</v>
      </c>
      <c r="D4968" s="2"/>
      <c r="F4968" s="2" t="str">
        <v>0</v>
      </c>
      <c r="I4968" s="3" t="str">
        <f ca="1">IFERROR(__xludf.DUMMYFUNCTION("""COMPUTED_VALUE"""),"Nguyễn Ngọc Linh Đan")</f>
        <v>Nguyễn Ngọc Linh Đan</v>
      </c>
      <c r="J4968" s="3" t="str">
        <f ca="1">IFERROR(__xludf.DUMMYFUNCTION("""COMPUTED_VALUE"""),"0356196272")</f>
        <v>0356196272</v>
      </c>
      <c r="K4968" s="2" t="str">
        <f ca="1">IFERROR(__xludf.DUMMYFUNCTION("""COMPUTED_VALUE"""),"1740108382277")</f>
        <v>1740108382277</v>
      </c>
    </row>
    <row r="4969" spans="1:11" ht="12.45">
      <c r="A4969" s="2" t="str">
        <f ca="1">IFERROR(__xludf.DUMMYFUNCTION("""COMPUTED_VALUE"""),"1740330499359")</f>
        <v>1740330499359</v>
      </c>
      <c r="B4969" s="2"/>
      <c r="C4969" s="2" t="str">
        <v>0</v>
      </c>
      <c r="D4969" s="2"/>
      <c r="F4969" s="2" t="str">
        <v>0</v>
      </c>
      <c r="I4969" s="3" t="str">
        <f ca="1">IFERROR(__xludf.DUMMYFUNCTION("""COMPUTED_VALUE"""),"Nguyễn Như Quỳnh")</f>
        <v>Nguyễn Như Quỳnh</v>
      </c>
      <c r="J4969" s="3" t="str">
        <f ca="1">IFERROR(__xludf.DUMMYFUNCTION("""COMPUTED_VALUE"""),"0878168533")</f>
        <v>0878168533</v>
      </c>
      <c r="K4969" s="2" t="str">
        <f ca="1">IFERROR(__xludf.DUMMYFUNCTION("""COMPUTED_VALUE"""),"1740330499359")</f>
        <v>1740330499359</v>
      </c>
    </row>
    <row r="4970" spans="1:11" ht="12.45">
      <c r="A4970" s="2" t="str">
        <f ca="1">IFERROR(__xludf.DUMMYFUNCTION("""COMPUTED_VALUE"""),"1740330538272")</f>
        <v>1740330538272</v>
      </c>
      <c r="B4970" s="2"/>
      <c r="C4970" s="2" t="str">
        <v>0</v>
      </c>
      <c r="D4970" s="2"/>
      <c r="F4970" s="2" t="str">
        <v>0</v>
      </c>
      <c r="I4970" s="3" t="str">
        <f ca="1">IFERROR(__xludf.DUMMYFUNCTION("""COMPUTED_VALUE"""),"Ksor Quỳnh Hương ")</f>
        <v xml:space="preserve">Ksor Quỳnh Hương </v>
      </c>
      <c r="J4970" s="3" t="str">
        <f ca="1">IFERROR(__xludf.DUMMYFUNCTION("""COMPUTED_VALUE"""),"0348256902")</f>
        <v>0348256902</v>
      </c>
      <c r="K4970" s="2" t="str">
        <f ca="1">IFERROR(__xludf.DUMMYFUNCTION("""COMPUTED_VALUE"""),"1740330538272")</f>
        <v>1740330538272</v>
      </c>
    </row>
    <row r="4971" spans="1:11" ht="12.45">
      <c r="A4971" s="2" t="str">
        <f ca="1">IFERROR(__xludf.DUMMYFUNCTION("""COMPUTED_VALUE"""),"1740330579718")</f>
        <v>1740330579718</v>
      </c>
      <c r="B4971" s="2"/>
      <c r="C4971" s="2" t="str">
        <v>0</v>
      </c>
      <c r="D4971" s="2"/>
      <c r="F4971" s="2" t="str">
        <v>0</v>
      </c>
      <c r="I4971" s="3" t="str">
        <f ca="1">IFERROR(__xludf.DUMMYFUNCTION("""COMPUTED_VALUE"""),"Nguyễn Trần Khánh Vy")</f>
        <v>Nguyễn Trần Khánh Vy</v>
      </c>
      <c r="J4971" s="3" t="str">
        <f ca="1">IFERROR(__xludf.DUMMYFUNCTION("""COMPUTED_VALUE"""),"0983297176")</f>
        <v>0983297176</v>
      </c>
      <c r="K4971" s="2" t="str">
        <f ca="1">IFERROR(__xludf.DUMMYFUNCTION("""COMPUTED_VALUE"""),"1740330579718")</f>
        <v>1740330579718</v>
      </c>
    </row>
    <row r="4972" spans="1:11" ht="12.45">
      <c r="A4972" s="2" t="str">
        <f ca="1">IFERROR(__xludf.DUMMYFUNCTION("""COMPUTED_VALUE"""),"1740330624455")</f>
        <v>1740330624455</v>
      </c>
      <c r="B4972" s="2"/>
      <c r="C4972" s="2" t="str">
        <v>0</v>
      </c>
      <c r="D4972" s="2"/>
      <c r="F4972" s="2" t="str">
        <v>0</v>
      </c>
      <c r="I4972" s="3" t="str">
        <f ca="1">IFERROR(__xludf.DUMMYFUNCTION("""COMPUTED_VALUE"""),"Đỗ Lâm Thư")</f>
        <v>Đỗ Lâm Thư</v>
      </c>
      <c r="J4972" s="3" t="str">
        <f ca="1">IFERROR(__xludf.DUMMYFUNCTION("""COMPUTED_VALUE"""),"0398750664")</f>
        <v>0398750664</v>
      </c>
      <c r="K4972" s="2" t="str">
        <f ca="1">IFERROR(__xludf.DUMMYFUNCTION("""COMPUTED_VALUE"""),"1740330624455")</f>
        <v>1740330624455</v>
      </c>
    </row>
    <row r="4973" spans="1:11" ht="12.45">
      <c r="A4973" s="2" t="str">
        <f ca="1">IFERROR(__xludf.DUMMYFUNCTION("""COMPUTED_VALUE"""),"1740330672710")</f>
        <v>1740330672710</v>
      </c>
      <c r="B4973" s="2"/>
      <c r="C4973" s="2" t="str">
        <v>0</v>
      </c>
      <c r="D4973" s="2"/>
      <c r="F4973" s="2" t="str">
        <v>0</v>
      </c>
      <c r="I4973" s="3" t="str">
        <f ca="1">IFERROR(__xludf.DUMMYFUNCTION("""COMPUTED_VALUE"""),"Nguyễn Thị Mỹ An ")</f>
        <v xml:space="preserve">Nguyễn Thị Mỹ An </v>
      </c>
      <c r="J4973" s="3" t="str">
        <f ca="1">IFERROR(__xludf.DUMMYFUNCTION("""COMPUTED_VALUE"""),"0364566540")</f>
        <v>0364566540</v>
      </c>
      <c r="K4973" s="2" t="str">
        <f ca="1">IFERROR(__xludf.DUMMYFUNCTION("""COMPUTED_VALUE"""),"1740330672710")</f>
        <v>1740330672710</v>
      </c>
    </row>
    <row r="4974" spans="1:11" ht="12.45">
      <c r="A4974" s="2" t="str">
        <f ca="1">IFERROR(__xludf.DUMMYFUNCTION("""COMPUTED_VALUE"""),"1740330726125")</f>
        <v>1740330726125</v>
      </c>
      <c r="B4974" s="2"/>
      <c r="C4974" s="2" t="str">
        <v>0</v>
      </c>
      <c r="D4974" s="2"/>
      <c r="F4974" s="2" t="str">
        <v>0</v>
      </c>
      <c r="I4974" s="3" t="str">
        <f ca="1">IFERROR(__xludf.DUMMYFUNCTION("""COMPUTED_VALUE"""),"Lê Thị Ngọc An ")</f>
        <v xml:space="preserve">Lê Thị Ngọc An </v>
      </c>
      <c r="J4974" s="3" t="str">
        <f ca="1">IFERROR(__xludf.DUMMYFUNCTION("""COMPUTED_VALUE"""),"0963262800")</f>
        <v>0963262800</v>
      </c>
      <c r="K4974" s="2" t="str">
        <f ca="1">IFERROR(__xludf.DUMMYFUNCTION("""COMPUTED_VALUE"""),"1740330726125")</f>
        <v>1740330726125</v>
      </c>
    </row>
    <row r="4975" spans="1:11" ht="12.45">
      <c r="A4975" s="2" t="str">
        <f ca="1">IFERROR(__xludf.DUMMYFUNCTION("""COMPUTED_VALUE"""),"1740330771014")</f>
        <v>1740330771014</v>
      </c>
      <c r="B4975" s="2"/>
      <c r="C4975" s="2" t="str">
        <v>0</v>
      </c>
      <c r="D4975" s="2"/>
      <c r="F4975" s="2" t="str">
        <v>0</v>
      </c>
      <c r="I4975" s="3" t="str">
        <f ca="1">IFERROR(__xludf.DUMMYFUNCTION("""COMPUTED_VALUE"""),"Phan Trang")</f>
        <v>Phan Trang</v>
      </c>
      <c r="J4975" s="3" t="str">
        <f ca="1">IFERROR(__xludf.DUMMYFUNCTION("""COMPUTED_VALUE"""),"0369396084")</f>
        <v>0369396084</v>
      </c>
      <c r="K4975" s="2" t="str">
        <f ca="1">IFERROR(__xludf.DUMMYFUNCTION("""COMPUTED_VALUE"""),"1740330771014")</f>
        <v>1740330771014</v>
      </c>
    </row>
    <row r="4976" spans="1:11" ht="12.45">
      <c r="A4976" s="2" t="str">
        <f ca="1">IFERROR(__xludf.DUMMYFUNCTION("""COMPUTED_VALUE"""),"1740330841444")</f>
        <v>1740330841444</v>
      </c>
      <c r="B4976" s="2"/>
      <c r="C4976" s="2" t="str">
        <v>0</v>
      </c>
      <c r="D4976" s="2"/>
      <c r="F4976" s="2" t="str">
        <v>0</v>
      </c>
      <c r="I4976" s="3" t="str">
        <f ca="1">IFERROR(__xludf.DUMMYFUNCTION("""COMPUTED_VALUE"""),"Phạm Trần Gia Kiệt")</f>
        <v>Phạm Trần Gia Kiệt</v>
      </c>
      <c r="J4976" s="3" t="str">
        <f ca="1">IFERROR(__xludf.DUMMYFUNCTION("""COMPUTED_VALUE"""),"0333531772")</f>
        <v>0333531772</v>
      </c>
      <c r="K4976" s="2" t="str">
        <f ca="1">IFERROR(__xludf.DUMMYFUNCTION("""COMPUTED_VALUE"""),"1740330841444")</f>
        <v>1740330841444</v>
      </c>
    </row>
    <row r="4977" spans="1:11" ht="12.45">
      <c r="A4977" s="2" t="str">
        <f ca="1">IFERROR(__xludf.DUMMYFUNCTION("""COMPUTED_VALUE"""),"1740330926963")</f>
        <v>1740330926963</v>
      </c>
      <c r="B4977" s="2"/>
      <c r="C4977" s="2" t="str">
        <v>0</v>
      </c>
      <c r="D4977" s="2"/>
      <c r="F4977" s="2" t="str">
        <v>0</v>
      </c>
      <c r="I4977" s="3" t="str">
        <f ca="1">IFERROR(__xludf.DUMMYFUNCTION("""COMPUTED_VALUE"""),"Nguyễn Thị Ngọc Thoa ")</f>
        <v xml:space="preserve">Nguyễn Thị Ngọc Thoa </v>
      </c>
      <c r="J4977" s="3" t="str">
        <f ca="1">IFERROR(__xludf.DUMMYFUNCTION("""COMPUTED_VALUE"""),"0349738247")</f>
        <v>0349738247</v>
      </c>
      <c r="K4977" s="2" t="str">
        <f ca="1">IFERROR(__xludf.DUMMYFUNCTION("""COMPUTED_VALUE"""),"1740330926963")</f>
        <v>1740330926963</v>
      </c>
    </row>
    <row r="4978" spans="1:11" ht="12.45">
      <c r="A4978" s="2" t="str">
        <f ca="1">IFERROR(__xludf.DUMMYFUNCTION("""COMPUTED_VALUE"""),"1740331003326")</f>
        <v>1740331003326</v>
      </c>
      <c r="B4978" s="2"/>
      <c r="C4978" s="2" t="str">
        <v>0</v>
      </c>
      <c r="D4978" s="2"/>
      <c r="F4978" s="2" t="str">
        <v>0</v>
      </c>
      <c r="I4978" s="3" t="str">
        <f ca="1">IFERROR(__xludf.DUMMYFUNCTION("""COMPUTED_VALUE"""),"Đỗ Đoàn Diệu Vy")</f>
        <v>Đỗ Đoàn Diệu Vy</v>
      </c>
      <c r="J4978" s="3" t="str">
        <f ca="1">IFERROR(__xludf.DUMMYFUNCTION("""COMPUTED_VALUE"""),"0343522569")</f>
        <v>0343522569</v>
      </c>
      <c r="K4978" s="2" t="str">
        <f ca="1">IFERROR(__xludf.DUMMYFUNCTION("""COMPUTED_VALUE"""),"1740331003326")</f>
        <v>1740331003326</v>
      </c>
    </row>
    <row r="4979" spans="1:11" ht="12.45">
      <c r="A4979" s="2" t="str">
        <f ca="1">IFERROR(__xludf.DUMMYFUNCTION("""COMPUTED_VALUE"""),"1740331053261")</f>
        <v>1740331053261</v>
      </c>
      <c r="B4979" s="2"/>
      <c r="C4979" s="2" t="str">
        <v>0</v>
      </c>
      <c r="D4979" s="2"/>
      <c r="F4979" s="2" t="str">
        <v>0</v>
      </c>
      <c r="I4979" s="3" t="str">
        <f ca="1">IFERROR(__xludf.DUMMYFUNCTION("""COMPUTED_VALUE"""),"Nguyễn Lê Hoàng Long")</f>
        <v>Nguyễn Lê Hoàng Long</v>
      </c>
      <c r="J4979" s="3" t="str">
        <f ca="1">IFERROR(__xludf.DUMMYFUNCTION("""COMPUTED_VALUE"""),"0902307837")</f>
        <v>0902307837</v>
      </c>
      <c r="K4979" s="2" t="str">
        <f ca="1">IFERROR(__xludf.DUMMYFUNCTION("""COMPUTED_VALUE"""),"1740331053261")</f>
        <v>1740331053261</v>
      </c>
    </row>
    <row r="4980" spans="1:11" ht="12.45">
      <c r="A4980" s="2" t="str">
        <f ca="1">IFERROR(__xludf.DUMMYFUNCTION("""COMPUTED_VALUE"""),"1740331079361")</f>
        <v>1740331079361</v>
      </c>
      <c r="B4980" s="2"/>
      <c r="C4980" s="2" t="str">
        <v>0</v>
      </c>
      <c r="D4980" s="2"/>
      <c r="F4980" s="2" t="str">
        <v>0</v>
      </c>
      <c r="I4980" s="3" t="str">
        <f ca="1">IFERROR(__xludf.DUMMYFUNCTION("""COMPUTED_VALUE"""),"Bùi Nguyễn Biên Thuỳ")</f>
        <v>Bùi Nguyễn Biên Thuỳ</v>
      </c>
      <c r="J4980" s="3" t="str">
        <f ca="1">IFERROR(__xludf.DUMMYFUNCTION("""COMPUTED_VALUE"""),"0338718107")</f>
        <v>0338718107</v>
      </c>
      <c r="K4980" s="2" t="str">
        <f ca="1">IFERROR(__xludf.DUMMYFUNCTION("""COMPUTED_VALUE"""),"1740331079361")</f>
        <v>1740331079361</v>
      </c>
    </row>
    <row r="4981" spans="1:11" ht="12.45">
      <c r="A4981" s="2" t="str">
        <f ca="1">IFERROR(__xludf.DUMMYFUNCTION("""COMPUTED_VALUE"""),"1740331126391")</f>
        <v>1740331126391</v>
      </c>
      <c r="B4981" s="2"/>
      <c r="C4981" s="2" t="str">
        <v>0</v>
      </c>
      <c r="D4981" s="2"/>
      <c r="F4981" s="2" t="str">
        <v>0</v>
      </c>
      <c r="I4981" s="3" t="str">
        <f ca="1">IFERROR(__xludf.DUMMYFUNCTION("""COMPUTED_VALUE"""),"Nguyễn Thị Huyền Phương")</f>
        <v>Nguyễn Thị Huyền Phương</v>
      </c>
      <c r="J4981" s="3" t="str">
        <f ca="1">IFERROR(__xludf.DUMMYFUNCTION("""COMPUTED_VALUE"""),"0986780683")</f>
        <v>0986780683</v>
      </c>
      <c r="K4981" s="2" t="str">
        <f ca="1">IFERROR(__xludf.DUMMYFUNCTION("""COMPUTED_VALUE"""),"1740331126391")</f>
        <v>1740331126391</v>
      </c>
    </row>
    <row r="4982" spans="1:11" ht="12.45">
      <c r="A4982" s="2" t="str">
        <f ca="1">IFERROR(__xludf.DUMMYFUNCTION("""COMPUTED_VALUE"""),"1740331194278")</f>
        <v>1740331194278</v>
      </c>
      <c r="B4982" s="2"/>
      <c r="C4982" s="2" t="str">
        <v>0</v>
      </c>
      <c r="D4982" s="2"/>
      <c r="F4982" s="2" t="str">
        <v>0</v>
      </c>
      <c r="I4982" s="3" t="str">
        <f ca="1">IFERROR(__xludf.DUMMYFUNCTION("""COMPUTED_VALUE"""),"Đồng Thị Trà My")</f>
        <v>Đồng Thị Trà My</v>
      </c>
      <c r="J4982" s="3" t="str">
        <f ca="1">IFERROR(__xludf.DUMMYFUNCTION("""COMPUTED_VALUE"""),"0382428577")</f>
        <v>0382428577</v>
      </c>
      <c r="K4982" s="2" t="str">
        <f ca="1">IFERROR(__xludf.DUMMYFUNCTION("""COMPUTED_VALUE"""),"1740331194278")</f>
        <v>1740331194278</v>
      </c>
    </row>
    <row r="4983" spans="1:11" ht="12.45">
      <c r="A4983" s="2" t="str">
        <f ca="1">IFERROR(__xludf.DUMMYFUNCTION("""COMPUTED_VALUE"""),"1740331242547")</f>
        <v>1740331242547</v>
      </c>
      <c r="B4983" s="2"/>
      <c r="C4983" s="2" t="str">
        <v>0</v>
      </c>
      <c r="D4983" s="2"/>
      <c r="F4983" s="2" t="str">
        <v>0</v>
      </c>
      <c r="I4983" s="3" t="str">
        <f ca="1">IFERROR(__xludf.DUMMYFUNCTION("""COMPUTED_VALUE"""),"duong ngoc mai phương ")</f>
        <v xml:space="preserve">duong ngoc mai phương </v>
      </c>
      <c r="J4983" s="3" t="str">
        <f ca="1">IFERROR(__xludf.DUMMYFUNCTION("""COMPUTED_VALUE"""),"0347172181")</f>
        <v>0347172181</v>
      </c>
      <c r="K4983" s="2" t="str">
        <f ca="1">IFERROR(__xludf.DUMMYFUNCTION("""COMPUTED_VALUE"""),"1740331242547")</f>
        <v>1740331242547</v>
      </c>
    </row>
    <row r="4984" spans="1:11" ht="12.45">
      <c r="A4984" s="2" t="str">
        <f ca="1">IFERROR(__xludf.DUMMYFUNCTION("""COMPUTED_VALUE"""),"1740331279331")</f>
        <v>1740331279331</v>
      </c>
      <c r="B4984" s="2"/>
      <c r="C4984" s="2" t="str">
        <v>0</v>
      </c>
      <c r="D4984" s="2"/>
      <c r="F4984" s="2" t="str">
        <v>0</v>
      </c>
      <c r="I4984" s="3" t="str">
        <f ca="1">IFERROR(__xludf.DUMMYFUNCTION("""COMPUTED_VALUE"""),"Nguyễn Thị Trâm Anh")</f>
        <v>Nguyễn Thị Trâm Anh</v>
      </c>
      <c r="J4984" s="3" t="str">
        <f ca="1">IFERROR(__xludf.DUMMYFUNCTION("""COMPUTED_VALUE"""),"0912500807")</f>
        <v>0912500807</v>
      </c>
      <c r="K4984" s="2" t="str">
        <f ca="1">IFERROR(__xludf.DUMMYFUNCTION("""COMPUTED_VALUE"""),"1740331279331")</f>
        <v>1740331279331</v>
      </c>
    </row>
    <row r="4985" spans="1:11" ht="12.45">
      <c r="A4985" s="2" t="str">
        <f ca="1">IFERROR(__xludf.DUMMYFUNCTION("""COMPUTED_VALUE"""),"1740331318893")</f>
        <v>1740331318893</v>
      </c>
      <c r="B4985" s="2"/>
      <c r="C4985" s="2" t="str">
        <v>0</v>
      </c>
      <c r="D4985" s="2"/>
      <c r="F4985" s="2" t="str">
        <v>0</v>
      </c>
      <c r="I4985" s="3" t="str">
        <f ca="1">IFERROR(__xludf.DUMMYFUNCTION("""COMPUTED_VALUE"""),"Nguyễn Lâm Yến Ngọc")</f>
        <v>Nguyễn Lâm Yến Ngọc</v>
      </c>
      <c r="J4985" s="3" t="str">
        <f ca="1">IFERROR(__xludf.DUMMYFUNCTION("""COMPUTED_VALUE"""),"0945329433")</f>
        <v>0945329433</v>
      </c>
      <c r="K4985" s="2" t="str">
        <f ca="1">IFERROR(__xludf.DUMMYFUNCTION("""COMPUTED_VALUE"""),"1740331318893")</f>
        <v>1740331318893</v>
      </c>
    </row>
    <row r="4986" spans="1:11" ht="12.45">
      <c r="A4986" s="2" t="str">
        <f ca="1">IFERROR(__xludf.DUMMYFUNCTION("""COMPUTED_VALUE"""),"1740331345567")</f>
        <v>1740331345567</v>
      </c>
      <c r="B4986" s="2"/>
      <c r="C4986" s="2" t="str">
        <v>0</v>
      </c>
      <c r="D4986" s="2"/>
      <c r="F4986" s="2" t="str">
        <v>0</v>
      </c>
      <c r="I4986" s="3" t="str">
        <f ca="1">IFERROR(__xludf.DUMMYFUNCTION("""COMPUTED_VALUE"""),"Phan Thị Thuỳ Linh")</f>
        <v>Phan Thị Thuỳ Linh</v>
      </c>
      <c r="J4986" s="3" t="str">
        <f ca="1">IFERROR(__xludf.DUMMYFUNCTION("""COMPUTED_VALUE"""),"0971053236")</f>
        <v>0971053236</v>
      </c>
      <c r="K4986" s="2" t="str">
        <f ca="1">IFERROR(__xludf.DUMMYFUNCTION("""COMPUTED_VALUE"""),"1740331345567")</f>
        <v>1740331345567</v>
      </c>
    </row>
    <row r="4987" spans="1:11" ht="12.45">
      <c r="A4987" s="2" t="str">
        <f ca="1">IFERROR(__xludf.DUMMYFUNCTION("""COMPUTED_VALUE"""),"1740331380813")</f>
        <v>1740331380813</v>
      </c>
      <c r="B4987" s="2"/>
      <c r="C4987" s="2" t="str">
        <v>0</v>
      </c>
      <c r="D4987" s="2"/>
      <c r="F4987" s="2" t="str">
        <v>0</v>
      </c>
      <c r="I4987" s="3" t="str">
        <f ca="1">IFERROR(__xludf.DUMMYFUNCTION("""COMPUTED_VALUE"""),"Nguyễn Thị Yến Nhi")</f>
        <v>Nguyễn Thị Yến Nhi</v>
      </c>
      <c r="J4987" s="3" t="str">
        <f ca="1">IFERROR(__xludf.DUMMYFUNCTION("""COMPUTED_VALUE"""),"0363957187")</f>
        <v>0363957187</v>
      </c>
      <c r="K4987" s="2" t="str">
        <f ca="1">IFERROR(__xludf.DUMMYFUNCTION("""COMPUTED_VALUE"""),"1740331380813")</f>
        <v>1740331380813</v>
      </c>
    </row>
    <row r="4988" spans="1:11" ht="12.45">
      <c r="A4988" s="2" t="str">
        <f ca="1">IFERROR(__xludf.DUMMYFUNCTION("""COMPUTED_VALUE"""),"1740331414451")</f>
        <v>1740331414451</v>
      </c>
      <c r="B4988" s="2"/>
      <c r="C4988" s="2" t="str">
        <v>0</v>
      </c>
      <c r="D4988" s="2"/>
      <c r="F4988" s="2" t="str">
        <v>0</v>
      </c>
      <c r="I4988" s="3" t="str">
        <f ca="1">IFERROR(__xludf.DUMMYFUNCTION("""COMPUTED_VALUE"""),"Nguyễn Ngân Thảo")</f>
        <v>Nguyễn Ngân Thảo</v>
      </c>
      <c r="J4988" s="3" t="str">
        <f ca="1">IFERROR(__xludf.DUMMYFUNCTION("""COMPUTED_VALUE"""),"0347885043")</f>
        <v>0347885043</v>
      </c>
      <c r="K4988" s="2" t="str">
        <f ca="1">IFERROR(__xludf.DUMMYFUNCTION("""COMPUTED_VALUE"""),"1740331414451")</f>
        <v>1740331414451</v>
      </c>
    </row>
    <row r="4989" spans="1:11" ht="12.45">
      <c r="A4989" s="2" t="str">
        <f ca="1">IFERROR(__xludf.DUMMYFUNCTION("""COMPUTED_VALUE"""),"1740331452341")</f>
        <v>1740331452341</v>
      </c>
      <c r="B4989" s="2"/>
      <c r="C4989" s="2" t="str">
        <v>0</v>
      </c>
      <c r="D4989" s="2"/>
      <c r="F4989" s="2" t="str">
        <v>0</v>
      </c>
      <c r="I4989" s="3" t="str">
        <f ca="1">IFERROR(__xludf.DUMMYFUNCTION("""COMPUTED_VALUE"""),"Trịnh Hà Vy")</f>
        <v>Trịnh Hà Vy</v>
      </c>
      <c r="J4989" s="3" t="str">
        <f ca="1">IFERROR(__xludf.DUMMYFUNCTION("""COMPUTED_VALUE"""),"0975438197")</f>
        <v>0975438197</v>
      </c>
      <c r="K4989" s="2" t="str">
        <f ca="1">IFERROR(__xludf.DUMMYFUNCTION("""COMPUTED_VALUE"""),"1740331452341")</f>
        <v>1740331452341</v>
      </c>
    </row>
    <row r="4990" spans="1:11" ht="12.45">
      <c r="A4990" s="2" t="str">
        <f ca="1">IFERROR(__xludf.DUMMYFUNCTION("""COMPUTED_VALUE"""),"1740331490236")</f>
        <v>1740331490236</v>
      </c>
      <c r="B4990" s="2"/>
      <c r="C4990" s="2" t="str">
        <v>0</v>
      </c>
      <c r="D4990" s="2"/>
      <c r="F4990" s="2" t="str">
        <v>0</v>
      </c>
      <c r="I4990" s="3" t="str">
        <f ca="1">IFERROR(__xludf.DUMMYFUNCTION("""COMPUTED_VALUE"""),"nguyễn linh trang")</f>
        <v>nguyễn linh trang</v>
      </c>
      <c r="J4990" s="3" t="str">
        <f ca="1">IFERROR(__xludf.DUMMYFUNCTION("""COMPUTED_VALUE"""),"0372375888")</f>
        <v>0372375888</v>
      </c>
      <c r="K4990" s="2" t="str">
        <f ca="1">IFERROR(__xludf.DUMMYFUNCTION("""COMPUTED_VALUE"""),"1740331490236")</f>
        <v>1740331490236</v>
      </c>
    </row>
    <row r="4991" spans="1:11" ht="12.45">
      <c r="A4991" s="2" t="str">
        <f ca="1">IFERROR(__xludf.DUMMYFUNCTION("""COMPUTED_VALUE"""),"1740331528835")</f>
        <v>1740331528835</v>
      </c>
      <c r="B4991" s="2"/>
      <c r="C4991" s="2" t="str">
        <v>0</v>
      </c>
      <c r="D4991" s="2"/>
      <c r="F4991" s="2" t="str">
        <v>0</v>
      </c>
      <c r="I4991" s="3" t="str">
        <f ca="1">IFERROR(__xludf.DUMMYFUNCTION("""COMPUTED_VALUE"""),"Bùi Thị Hà Phương")</f>
        <v>Bùi Thị Hà Phương</v>
      </c>
      <c r="J4991" s="3" t="str">
        <f ca="1">IFERROR(__xludf.DUMMYFUNCTION("""COMPUTED_VALUE"""),"0966425538")</f>
        <v>0966425538</v>
      </c>
      <c r="K4991" s="2" t="str">
        <f ca="1">IFERROR(__xludf.DUMMYFUNCTION("""COMPUTED_VALUE"""),"1740331528835")</f>
        <v>1740331528835</v>
      </c>
    </row>
    <row r="4992" spans="1:11" ht="12.45">
      <c r="A4992" s="2" t="str">
        <f ca="1">IFERROR(__xludf.DUMMYFUNCTION("""COMPUTED_VALUE"""),"1740331574415")</f>
        <v>1740331574415</v>
      </c>
      <c r="B4992" s="2"/>
      <c r="C4992" s="2" t="str">
        <v>0</v>
      </c>
      <c r="D4992" s="2"/>
      <c r="F4992" s="2" t="str">
        <v>0</v>
      </c>
      <c r="I4992" s="3" t="str">
        <f ca="1">IFERROR(__xludf.DUMMYFUNCTION("""COMPUTED_VALUE"""),"Trần Long Nhật")</f>
        <v>Trần Long Nhật</v>
      </c>
      <c r="J4992" s="3" t="str">
        <f ca="1">IFERROR(__xludf.DUMMYFUNCTION("""COMPUTED_VALUE"""),"0869000248")</f>
        <v>0869000248</v>
      </c>
      <c r="K4992" s="2" t="str">
        <f ca="1">IFERROR(__xludf.DUMMYFUNCTION("""COMPUTED_VALUE"""),"1740331574415")</f>
        <v>1740331574415</v>
      </c>
    </row>
    <row r="4993" spans="1:11" ht="12.45">
      <c r="A4993" s="2" t="str">
        <f ca="1">IFERROR(__xludf.DUMMYFUNCTION("""COMPUTED_VALUE"""),"1740331614077")</f>
        <v>1740331614077</v>
      </c>
      <c r="B4993" s="2"/>
      <c r="C4993" s="2" t="str">
        <v>0</v>
      </c>
      <c r="D4993" s="2"/>
      <c r="F4993" s="2" t="str">
        <v>0</v>
      </c>
      <c r="I4993" s="3" t="str">
        <f ca="1">IFERROR(__xludf.DUMMYFUNCTION("""COMPUTED_VALUE"""),"Nguyễn Phương Thuý")</f>
        <v>Nguyễn Phương Thuý</v>
      </c>
      <c r="J4993" s="3" t="str">
        <f ca="1">IFERROR(__xludf.DUMMYFUNCTION("""COMPUTED_VALUE"""),"0383471901")</f>
        <v>0383471901</v>
      </c>
      <c r="K4993" s="2" t="str">
        <f ca="1">IFERROR(__xludf.DUMMYFUNCTION("""COMPUTED_VALUE"""),"1740331614077")</f>
        <v>1740331614077</v>
      </c>
    </row>
    <row r="4994" spans="1:11" ht="12.45">
      <c r="A4994" s="2" t="str">
        <f ca="1">IFERROR(__xludf.DUMMYFUNCTION("""COMPUTED_VALUE"""),"1740331662426")</f>
        <v>1740331662426</v>
      </c>
      <c r="B4994" s="2"/>
      <c r="C4994" s="2" t="str">
        <v>0</v>
      </c>
      <c r="D4994" s="2"/>
      <c r="F4994" s="2" t="str">
        <v>0</v>
      </c>
      <c r="I4994" s="3" t="str">
        <f ca="1">IFERROR(__xludf.DUMMYFUNCTION("""COMPUTED_VALUE"""),"Trương Thị Cẩm Tú")</f>
        <v>Trương Thị Cẩm Tú</v>
      </c>
      <c r="J4994" s="3" t="str">
        <f ca="1">IFERROR(__xludf.DUMMYFUNCTION("""COMPUTED_VALUE"""),"0344350357")</f>
        <v>0344350357</v>
      </c>
      <c r="K4994" s="2" t="str">
        <f ca="1">IFERROR(__xludf.DUMMYFUNCTION("""COMPUTED_VALUE"""),"1740331662426")</f>
        <v>1740331662426</v>
      </c>
    </row>
    <row r="4995" spans="1:11" ht="12.45">
      <c r="A4995" s="2" t="str">
        <f ca="1">IFERROR(__xludf.DUMMYFUNCTION("""COMPUTED_VALUE"""),"1740331687988")</f>
        <v>1740331687988</v>
      </c>
      <c r="B4995" s="2"/>
      <c r="C4995" s="2" t="str">
        <v>0</v>
      </c>
      <c r="D4995" s="2"/>
      <c r="F4995" s="2" t="str">
        <v>0</v>
      </c>
      <c r="I4995" s="3" t="str">
        <f ca="1">IFERROR(__xludf.DUMMYFUNCTION("""COMPUTED_VALUE"""),"Nguyễn Sông Hương")</f>
        <v>Nguyễn Sông Hương</v>
      </c>
      <c r="J4995" s="3" t="str">
        <f ca="1">IFERROR(__xludf.DUMMYFUNCTION("""COMPUTED_VALUE"""),"0965700209")</f>
        <v>0965700209</v>
      </c>
      <c r="K4995" s="2" t="str">
        <f ca="1">IFERROR(__xludf.DUMMYFUNCTION("""COMPUTED_VALUE"""),"1740331687988")</f>
        <v>1740331687988</v>
      </c>
    </row>
    <row r="4996" spans="1:11" ht="12.45">
      <c r="A4996" s="2" t="str">
        <f ca="1">IFERROR(__xludf.DUMMYFUNCTION("""COMPUTED_VALUE"""),"1740331733289")</f>
        <v>1740331733289</v>
      </c>
      <c r="B4996" s="2"/>
      <c r="C4996" s="2" t="str">
        <v>0</v>
      </c>
      <c r="D4996" s="2"/>
      <c r="F4996" s="2" t="str">
        <v>0</v>
      </c>
      <c r="I4996" s="3" t="str">
        <f ca="1">IFERROR(__xludf.DUMMYFUNCTION("""COMPUTED_VALUE"""),"Bành Hương Giang")</f>
        <v>Bành Hương Giang</v>
      </c>
      <c r="J4996" s="3" t="str">
        <f ca="1">IFERROR(__xludf.DUMMYFUNCTION("""COMPUTED_VALUE"""),"0376721281")</f>
        <v>0376721281</v>
      </c>
      <c r="K4996" s="2" t="str">
        <f ca="1">IFERROR(__xludf.DUMMYFUNCTION("""COMPUTED_VALUE"""),"1740331733289")</f>
        <v>1740331733289</v>
      </c>
    </row>
    <row r="4997" spans="1:11" ht="12.45">
      <c r="A4997" s="2" t="str">
        <f ca="1">IFERROR(__xludf.DUMMYFUNCTION("""COMPUTED_VALUE"""),"1740331769886")</f>
        <v>1740331769886</v>
      </c>
      <c r="B4997" s="2"/>
      <c r="C4997" s="2" t="str">
        <v>0</v>
      </c>
      <c r="D4997" s="2"/>
      <c r="F4997" s="2" t="str">
        <v>0</v>
      </c>
      <c r="I4997" s="3" t="str">
        <f ca="1">IFERROR(__xludf.DUMMYFUNCTION("""COMPUTED_VALUE"""),"Trần Nguyễn Thy Uyên")</f>
        <v>Trần Nguyễn Thy Uyên</v>
      </c>
      <c r="J4997" s="3" t="str">
        <f ca="1">IFERROR(__xludf.DUMMYFUNCTION("""COMPUTED_VALUE"""),"0965390377")</f>
        <v>0965390377</v>
      </c>
      <c r="K4997" s="2" t="str">
        <f ca="1">IFERROR(__xludf.DUMMYFUNCTION("""COMPUTED_VALUE"""),"1740331769886")</f>
        <v>1740331769886</v>
      </c>
    </row>
    <row r="4998" spans="1:11" ht="12.45">
      <c r="A4998" s="2" t="str">
        <f ca="1">IFERROR(__xludf.DUMMYFUNCTION("""COMPUTED_VALUE"""),"1740331825831")</f>
        <v>1740331825831</v>
      </c>
      <c r="B4998" s="2"/>
      <c r="C4998" s="2" t="str">
        <v>0</v>
      </c>
      <c r="D4998" s="2"/>
      <c r="F4998" s="2" t="str">
        <v>0</v>
      </c>
      <c r="I4998" s="3" t="str">
        <f ca="1">IFERROR(__xludf.DUMMYFUNCTION("""COMPUTED_VALUE"""),"Nguyễn Đại")</f>
        <v>Nguyễn Đại</v>
      </c>
      <c r="J4998" s="3" t="str">
        <f ca="1">IFERROR(__xludf.DUMMYFUNCTION("""COMPUTED_VALUE"""),"0815234958")</f>
        <v>0815234958</v>
      </c>
      <c r="K4998" s="2" t="str">
        <f ca="1">IFERROR(__xludf.DUMMYFUNCTION("""COMPUTED_VALUE"""),"1740331825831")</f>
        <v>1740331825831</v>
      </c>
    </row>
    <row r="4999" spans="1:11" ht="12.45">
      <c r="A4999" s="2" t="str">
        <f ca="1">IFERROR(__xludf.DUMMYFUNCTION("""COMPUTED_VALUE"""),"1740331869640")</f>
        <v>1740331869640</v>
      </c>
      <c r="B4999" s="2"/>
      <c r="C4999" s="2" t="str">
        <v>0</v>
      </c>
      <c r="D4999" s="2"/>
      <c r="F4999" s="2" t="str">
        <v>0</v>
      </c>
      <c r="I4999" s="3" t="str">
        <f ca="1">IFERROR(__xludf.DUMMYFUNCTION("""COMPUTED_VALUE"""),"Lê Ngọc Khả Hân ")</f>
        <v xml:space="preserve">Lê Ngọc Khả Hân </v>
      </c>
      <c r="J4999" s="3" t="str">
        <f ca="1">IFERROR(__xludf.DUMMYFUNCTION("""COMPUTED_VALUE"""),"0364092181")</f>
        <v>0364092181</v>
      </c>
      <c r="K4999" s="2" t="str">
        <f ca="1">IFERROR(__xludf.DUMMYFUNCTION("""COMPUTED_VALUE"""),"1740331869640")</f>
        <v>1740331869640</v>
      </c>
    </row>
    <row r="5000" spans="1:11" ht="12.45">
      <c r="A5000" s="2" t="str">
        <f ca="1">IFERROR(__xludf.DUMMYFUNCTION("""COMPUTED_VALUE"""),"1740331922940")</f>
        <v>1740331922940</v>
      </c>
      <c r="B5000" s="2"/>
      <c r="C5000" s="2" t="str">
        <v>0</v>
      </c>
      <c r="D5000" s="2"/>
      <c r="F5000" s="2" t="str">
        <v>0</v>
      </c>
      <c r="I5000" s="3" t="str">
        <f ca="1">IFERROR(__xludf.DUMMYFUNCTION("""COMPUTED_VALUE"""),"Bùi Thị Thu Phương")</f>
        <v>Bùi Thị Thu Phương</v>
      </c>
      <c r="J5000" s="3" t="str">
        <f ca="1">IFERROR(__xludf.DUMMYFUNCTION("""COMPUTED_VALUE"""),"0946882810")</f>
        <v>0946882810</v>
      </c>
      <c r="K5000" s="2" t="str">
        <f ca="1">IFERROR(__xludf.DUMMYFUNCTION("""COMPUTED_VALUE"""),"1740331922940")</f>
        <v>1740331922940</v>
      </c>
    </row>
    <row r="5001" spans="1:11" ht="12.45">
      <c r="A5001" s="2" t="str">
        <f ca="1">IFERROR(__xludf.DUMMYFUNCTION("""COMPUTED_VALUE"""),"1740331969831")</f>
        <v>1740331969831</v>
      </c>
      <c r="B5001" s="2"/>
      <c r="C5001" s="2" t="str">
        <v>0</v>
      </c>
      <c r="D5001" s="2"/>
      <c r="F5001" s="2" t="str">
        <v>0</v>
      </c>
      <c r="I5001" s="3" t="str">
        <f ca="1">IFERROR(__xludf.DUMMYFUNCTION("""COMPUTED_VALUE"""),"Lê Võ Lam Linh")</f>
        <v>Lê Võ Lam Linh</v>
      </c>
      <c r="J5001" s="3" t="str">
        <f ca="1">IFERROR(__xludf.DUMMYFUNCTION("""COMPUTED_VALUE"""),"0838989489")</f>
        <v>0838989489</v>
      </c>
      <c r="K5001" s="2" t="str">
        <f ca="1">IFERROR(__xludf.DUMMYFUNCTION("""COMPUTED_VALUE"""),"1740331969831")</f>
        <v>1740331969831</v>
      </c>
    </row>
    <row r="5002" spans="1:11" ht="12.45">
      <c r="A5002" s="2" t="str">
        <f ca="1">IFERROR(__xludf.DUMMYFUNCTION("""COMPUTED_VALUE"""),"1740332007236")</f>
        <v>1740332007236</v>
      </c>
      <c r="B5002" s="2"/>
      <c r="C5002" s="2" t="str">
        <v>0</v>
      </c>
      <c r="D5002" s="2"/>
      <c r="F5002" s="2" t="str">
        <v>0</v>
      </c>
      <c r="I5002" s="3" t="str">
        <f ca="1">IFERROR(__xludf.DUMMYFUNCTION("""COMPUTED_VALUE"""),"Lê Tùng Đỗ Quyên")</f>
        <v>Lê Tùng Đỗ Quyên</v>
      </c>
      <c r="J5002" s="3" t="str">
        <f ca="1">IFERROR(__xludf.DUMMYFUNCTION("""COMPUTED_VALUE"""),"0833586138")</f>
        <v>0833586138</v>
      </c>
      <c r="K5002" s="2" t="str">
        <f ca="1">IFERROR(__xludf.DUMMYFUNCTION("""COMPUTED_VALUE"""),"1740332007236")</f>
        <v>1740332007236</v>
      </c>
    </row>
    <row r="5003" spans="1:11" ht="12.45">
      <c r="A5003" s="2" t="str">
        <f ca="1">IFERROR(__xludf.DUMMYFUNCTION("""COMPUTED_VALUE"""),"1740332041128")</f>
        <v>1740332041128</v>
      </c>
      <c r="B5003" s="2"/>
      <c r="C5003" s="2" t="str">
        <v>0</v>
      </c>
      <c r="D5003" s="2"/>
      <c r="F5003" s="2" t="str">
        <v>0</v>
      </c>
      <c r="I5003" s="3" t="str">
        <f ca="1">IFERROR(__xludf.DUMMYFUNCTION("""COMPUTED_VALUE"""),"Phạm Đình Hậu")</f>
        <v>Phạm Đình Hậu</v>
      </c>
      <c r="J5003" s="3" t="str">
        <f ca="1">IFERROR(__xludf.DUMMYFUNCTION("""COMPUTED_VALUE"""),"0971578849")</f>
        <v>0971578849</v>
      </c>
      <c r="K5003" s="2" t="str">
        <f ca="1">IFERROR(__xludf.DUMMYFUNCTION("""COMPUTED_VALUE"""),"1740332041128")</f>
        <v>1740332041128</v>
      </c>
    </row>
    <row r="5004" spans="1:11" ht="12.45">
      <c r="A5004" s="2" t="str">
        <f ca="1">IFERROR(__xludf.DUMMYFUNCTION("""COMPUTED_VALUE"""),"1740332074433")</f>
        <v>1740332074433</v>
      </c>
      <c r="B5004" s="2"/>
      <c r="C5004" s="2" t="str">
        <v>0</v>
      </c>
      <c r="D5004" s="2"/>
      <c r="F5004" s="2" t="str">
        <v>0</v>
      </c>
      <c r="I5004" s="3" t="str">
        <f ca="1">IFERROR(__xludf.DUMMYFUNCTION("""COMPUTED_VALUE"""),"Hoàng Anh Thư ")</f>
        <v xml:space="preserve">Hoàng Anh Thư </v>
      </c>
      <c r="J5004" s="3" t="str">
        <f ca="1">IFERROR(__xludf.DUMMYFUNCTION("""COMPUTED_VALUE"""),"0904213254")</f>
        <v>0904213254</v>
      </c>
      <c r="K5004" s="2" t="str">
        <f ca="1">IFERROR(__xludf.DUMMYFUNCTION("""COMPUTED_VALUE"""),"1740332074433")</f>
        <v>1740332074433</v>
      </c>
    </row>
    <row r="5005" spans="1:11" ht="12.45">
      <c r="A5005" s="2" t="str">
        <f ca="1">IFERROR(__xludf.DUMMYFUNCTION("""COMPUTED_VALUE"""),"1740332109947")</f>
        <v>1740332109947</v>
      </c>
      <c r="B5005" s="2"/>
      <c r="C5005" s="2" t="str">
        <v>0</v>
      </c>
      <c r="D5005" s="2"/>
      <c r="F5005" s="2" t="str">
        <v>0</v>
      </c>
      <c r="I5005" s="3" t="str">
        <f ca="1">IFERROR(__xludf.DUMMYFUNCTION("""COMPUTED_VALUE"""),"Nguyễn Thị Bích Nhật")</f>
        <v>Nguyễn Thị Bích Nhật</v>
      </c>
      <c r="J5005" s="3" t="str">
        <f ca="1">IFERROR(__xludf.DUMMYFUNCTION("""COMPUTED_VALUE"""),"0377886811")</f>
        <v>0377886811</v>
      </c>
      <c r="K5005" s="2" t="str">
        <f ca="1">IFERROR(__xludf.DUMMYFUNCTION("""COMPUTED_VALUE"""),"1740332109947")</f>
        <v>1740332109947</v>
      </c>
    </row>
    <row r="5006" spans="1:11" ht="12.45">
      <c r="A5006" s="2" t="str">
        <f ca="1">IFERROR(__xludf.DUMMYFUNCTION("""COMPUTED_VALUE"""),"1740332142374")</f>
        <v>1740332142374</v>
      </c>
      <c r="B5006" s="2"/>
      <c r="C5006" s="2" t="str">
        <v>0</v>
      </c>
      <c r="D5006" s="2"/>
      <c r="F5006" s="2" t="str">
        <v>0</v>
      </c>
      <c r="I5006" s="3" t="str">
        <f ca="1">IFERROR(__xludf.DUMMYFUNCTION("""COMPUTED_VALUE"""),"Phùng Thị Kim Chi")</f>
        <v>Phùng Thị Kim Chi</v>
      </c>
      <c r="J5006" s="3" t="str">
        <f ca="1">IFERROR(__xludf.DUMMYFUNCTION("""COMPUTED_VALUE"""),"0336776093")</f>
        <v>0336776093</v>
      </c>
      <c r="K5006" s="2" t="str">
        <f ca="1">IFERROR(__xludf.DUMMYFUNCTION("""COMPUTED_VALUE"""),"1740332142374")</f>
        <v>1740332142374</v>
      </c>
    </row>
    <row r="5007" spans="1:11" ht="12.45">
      <c r="A5007" s="2" t="str">
        <f ca="1">IFERROR(__xludf.DUMMYFUNCTION("""COMPUTED_VALUE"""),"1740332183940")</f>
        <v>1740332183940</v>
      </c>
      <c r="B5007" s="2"/>
      <c r="C5007" s="2" t="str">
        <v>0</v>
      </c>
      <c r="D5007" s="2"/>
      <c r="F5007" s="2" t="str">
        <v>0</v>
      </c>
      <c r="I5007" s="3" t="str">
        <f ca="1">IFERROR(__xludf.DUMMYFUNCTION("""COMPUTED_VALUE"""),"Lê Thị Quỳnh Hương")</f>
        <v>Lê Thị Quỳnh Hương</v>
      </c>
      <c r="J5007" s="3" t="str">
        <f ca="1">IFERROR(__xludf.DUMMYFUNCTION("""COMPUTED_VALUE"""),"0842257238")</f>
        <v>0842257238</v>
      </c>
      <c r="K5007" s="2" t="str">
        <f ca="1">IFERROR(__xludf.DUMMYFUNCTION("""COMPUTED_VALUE"""),"1740332183940")</f>
        <v>1740332183940</v>
      </c>
    </row>
    <row r="5008" spans="1:11" ht="12.45">
      <c r="A5008" s="2" t="str">
        <f ca="1">IFERROR(__xludf.DUMMYFUNCTION("""COMPUTED_VALUE"""),"1740332221688")</f>
        <v>1740332221688</v>
      </c>
      <c r="B5008" s="2"/>
      <c r="C5008" s="2" t="str">
        <v>0</v>
      </c>
      <c r="D5008" s="2"/>
      <c r="F5008" s="2" t="str">
        <v>0</v>
      </c>
      <c r="I5008" s="3" t="str">
        <f ca="1">IFERROR(__xludf.DUMMYFUNCTION("""COMPUTED_VALUE"""),"Hồ Linh")</f>
        <v>Hồ Linh</v>
      </c>
      <c r="J5008" s="3" t="str">
        <f ca="1">IFERROR(__xludf.DUMMYFUNCTION("""COMPUTED_VALUE"""),"0929417910")</f>
        <v>0929417910</v>
      </c>
      <c r="K5008" s="2" t="str">
        <f ca="1">IFERROR(__xludf.DUMMYFUNCTION("""COMPUTED_VALUE"""),"1740332221688")</f>
        <v>1740332221688</v>
      </c>
    </row>
    <row r="5009" spans="1:11" ht="12.45">
      <c r="A5009" s="2" t="str">
        <f ca="1">IFERROR(__xludf.DUMMYFUNCTION("""COMPUTED_VALUE"""),"1740332263815")</f>
        <v>1740332263815</v>
      </c>
      <c r="B5009" s="2"/>
      <c r="C5009" s="2" t="str">
        <v>0</v>
      </c>
      <c r="D5009" s="2"/>
      <c r="F5009" s="2" t="str">
        <v>0</v>
      </c>
      <c r="I5009" s="3" t="str">
        <f ca="1">IFERROR(__xludf.DUMMYFUNCTION("""COMPUTED_VALUE"""),"Quách Tịnh Nghi")</f>
        <v>Quách Tịnh Nghi</v>
      </c>
      <c r="J5009" s="3" t="str">
        <f ca="1">IFERROR(__xludf.DUMMYFUNCTION("""COMPUTED_VALUE"""),"0325493202")</f>
        <v>0325493202</v>
      </c>
      <c r="K5009" s="2" t="str">
        <f ca="1">IFERROR(__xludf.DUMMYFUNCTION("""COMPUTED_VALUE"""),"1740332263815")</f>
        <v>1740332263815</v>
      </c>
    </row>
    <row r="5010" spans="1:11" ht="12.45">
      <c r="A5010" s="2" t="str">
        <f ca="1">IFERROR(__xludf.DUMMYFUNCTION("""COMPUTED_VALUE"""),"1740332314392")</f>
        <v>1740332314392</v>
      </c>
      <c r="B5010" s="2"/>
      <c r="C5010" s="2" t="str">
        <v>0</v>
      </c>
      <c r="D5010" s="2"/>
      <c r="F5010" s="2" t="str">
        <v>0</v>
      </c>
      <c r="I5010" s="3" t="str">
        <f ca="1">IFERROR(__xludf.DUMMYFUNCTION("""COMPUTED_VALUE"""),"Nông Trung Kiên")</f>
        <v>Nông Trung Kiên</v>
      </c>
      <c r="J5010" s="3" t="str">
        <f ca="1">IFERROR(__xludf.DUMMYFUNCTION("""COMPUTED_VALUE"""),"8482320020")</f>
        <v>8482320020</v>
      </c>
      <c r="K5010" s="2" t="str">
        <f ca="1">IFERROR(__xludf.DUMMYFUNCTION("""COMPUTED_VALUE"""),"1740332314392")</f>
        <v>1740332314392</v>
      </c>
    </row>
    <row r="5011" spans="1:11" ht="12.45">
      <c r="A5011" s="2" t="str">
        <f ca="1">IFERROR(__xludf.DUMMYFUNCTION("""COMPUTED_VALUE"""),"1740332347793")</f>
        <v>1740332347793</v>
      </c>
      <c r="B5011" s="2"/>
      <c r="C5011" s="2" t="str">
        <v>0</v>
      </c>
      <c r="D5011" s="2"/>
      <c r="F5011" s="2" t="str">
        <v>0</v>
      </c>
      <c r="I5011" s="3" t="str">
        <f ca="1">IFERROR(__xludf.DUMMYFUNCTION("""COMPUTED_VALUE"""),"Nguyễn Hoàng Như Quỳnh")</f>
        <v>Nguyễn Hoàng Như Quỳnh</v>
      </c>
      <c r="J5011" s="3" t="str">
        <f ca="1">IFERROR(__xludf.DUMMYFUNCTION("""COMPUTED_VALUE"""),"0946523341")</f>
        <v>0946523341</v>
      </c>
      <c r="K5011" s="2" t="str">
        <f ca="1">IFERROR(__xludf.DUMMYFUNCTION("""COMPUTED_VALUE"""),"1740332347793")</f>
        <v>1740332347793</v>
      </c>
    </row>
    <row r="5012" spans="1:11" ht="12.45">
      <c r="A5012" s="2" t="str">
        <f ca="1">IFERROR(__xludf.DUMMYFUNCTION("""COMPUTED_VALUE"""),"1740332396088")</f>
        <v>1740332396088</v>
      </c>
      <c r="B5012" s="2"/>
      <c r="C5012" s="2" t="str">
        <v>0</v>
      </c>
      <c r="D5012" s="2"/>
      <c r="F5012" s="2" t="str">
        <v>0</v>
      </c>
      <c r="I5012" s="3" t="str">
        <f ca="1">IFERROR(__xludf.DUMMYFUNCTION("""COMPUTED_VALUE"""),"Ngô Vũ Lan Anh")</f>
        <v>Ngô Vũ Lan Anh</v>
      </c>
      <c r="J5012" s="3" t="str">
        <f ca="1">IFERROR(__xludf.DUMMYFUNCTION("""COMPUTED_VALUE"""),"0834026664")</f>
        <v>0834026664</v>
      </c>
      <c r="K5012" s="2" t="str">
        <f ca="1">IFERROR(__xludf.DUMMYFUNCTION("""COMPUTED_VALUE"""),"1740332396088")</f>
        <v>1740332396088</v>
      </c>
    </row>
    <row r="5013" spans="1:11" ht="12.45">
      <c r="A5013" s="2" t="str">
        <f ca="1">IFERROR(__xludf.DUMMYFUNCTION("""COMPUTED_VALUE"""),"1740332426448")</f>
        <v>1740332426448</v>
      </c>
      <c r="B5013" s="2"/>
      <c r="C5013" s="2" t="str">
        <v>0</v>
      </c>
      <c r="D5013" s="2"/>
      <c r="F5013" s="2" t="str">
        <v>0</v>
      </c>
      <c r="I5013" s="3" t="str">
        <f ca="1">IFERROR(__xludf.DUMMYFUNCTION("""COMPUTED_VALUE"""),"Trương Hương Giang")</f>
        <v>Trương Hương Giang</v>
      </c>
      <c r="J5013" s="3" t="str">
        <f ca="1">IFERROR(__xludf.DUMMYFUNCTION("""COMPUTED_VALUE"""),"0388962078")</f>
        <v>0388962078</v>
      </c>
      <c r="K5013" s="2" t="str">
        <f ca="1">IFERROR(__xludf.DUMMYFUNCTION("""COMPUTED_VALUE"""),"1740332426448")</f>
        <v>1740332426448</v>
      </c>
    </row>
    <row r="5014" spans="1:11" ht="12.45">
      <c r="A5014" s="2" t="str">
        <f ca="1">IFERROR(__xludf.DUMMYFUNCTION("""COMPUTED_VALUE"""),"1740332472213")</f>
        <v>1740332472213</v>
      </c>
      <c r="B5014" s="2"/>
      <c r="C5014" s="2" t="str">
        <v>0</v>
      </c>
      <c r="D5014" s="2"/>
      <c r="F5014" s="2" t="str">
        <v>0</v>
      </c>
      <c r="I5014" s="3" t="str">
        <f ca="1">IFERROR(__xludf.DUMMYFUNCTION("""COMPUTED_VALUE"""),"Lê Khắc Minh")</f>
        <v>Lê Khắc Minh</v>
      </c>
      <c r="J5014" s="3" t="str">
        <f ca="1">IFERROR(__xludf.DUMMYFUNCTION("""COMPUTED_VALUE"""),"0379046025")</f>
        <v>0379046025</v>
      </c>
      <c r="K5014" s="2" t="str">
        <f ca="1">IFERROR(__xludf.DUMMYFUNCTION("""COMPUTED_VALUE"""),"1740332472213")</f>
        <v>1740332472213</v>
      </c>
    </row>
    <row r="5015" spans="1:11" ht="12.45">
      <c r="A5015" s="2" t="str">
        <f ca="1">IFERROR(__xludf.DUMMYFUNCTION("""COMPUTED_VALUE"""),"1740332518169")</f>
        <v>1740332518169</v>
      </c>
      <c r="B5015" s="2"/>
      <c r="C5015" s="2" t="str">
        <v>0</v>
      </c>
      <c r="D5015" s="2"/>
      <c r="F5015" s="2" t="str">
        <v>0</v>
      </c>
      <c r="I5015" s="3" t="str">
        <f ca="1">IFERROR(__xludf.DUMMYFUNCTION("""COMPUTED_VALUE"""),"Lê Thị Yến Vi")</f>
        <v>Lê Thị Yến Vi</v>
      </c>
      <c r="J5015" s="3" t="str">
        <f ca="1">IFERROR(__xludf.DUMMYFUNCTION("""COMPUTED_VALUE"""),"0777325024")</f>
        <v>0777325024</v>
      </c>
      <c r="K5015" s="2" t="str">
        <f ca="1">IFERROR(__xludf.DUMMYFUNCTION("""COMPUTED_VALUE"""),"1740332518169")</f>
        <v>1740332518169</v>
      </c>
    </row>
    <row r="5016" spans="1:11" ht="12.45">
      <c r="A5016" s="2" t="str">
        <f ca="1">IFERROR(__xludf.DUMMYFUNCTION("""COMPUTED_VALUE"""),"1740332554604")</f>
        <v>1740332554604</v>
      </c>
      <c r="B5016" s="2"/>
      <c r="C5016" s="2" t="str">
        <v>0</v>
      </c>
      <c r="D5016" s="2"/>
      <c r="F5016" s="2" t="str">
        <v>0</v>
      </c>
      <c r="I5016" s="3" t="str">
        <f ca="1">IFERROR(__xludf.DUMMYFUNCTION("""COMPUTED_VALUE"""),"Lê Ngọc Minh")</f>
        <v>Lê Ngọc Minh</v>
      </c>
      <c r="J5016" s="3" t="str">
        <f ca="1">IFERROR(__xludf.DUMMYFUNCTION("""COMPUTED_VALUE"""),"0898489562")</f>
        <v>0898489562</v>
      </c>
      <c r="K5016" s="2" t="str">
        <f ca="1">IFERROR(__xludf.DUMMYFUNCTION("""COMPUTED_VALUE"""),"1740332554604")</f>
        <v>1740332554604</v>
      </c>
    </row>
    <row r="5017" spans="1:11" ht="12.45">
      <c r="A5017" s="2" t="str">
        <f ca="1">IFERROR(__xludf.DUMMYFUNCTION("""COMPUTED_VALUE"""),"1740332594040")</f>
        <v>1740332594040</v>
      </c>
      <c r="B5017" s="2"/>
      <c r="C5017" s="2" t="str">
        <v>0</v>
      </c>
      <c r="D5017" s="2"/>
      <c r="F5017" s="2" t="str">
        <v>0</v>
      </c>
      <c r="I5017" s="3" t="str">
        <f ca="1">IFERROR(__xludf.DUMMYFUNCTION("""COMPUTED_VALUE"""),"Đoàn Thị Thúy Vy ")</f>
        <v xml:space="preserve">Đoàn Thị Thúy Vy </v>
      </c>
      <c r="J5017" s="3" t="str">
        <f ca="1">IFERROR(__xludf.DUMMYFUNCTION("""COMPUTED_VALUE"""),"0846449489")</f>
        <v>0846449489</v>
      </c>
      <c r="K5017" s="2" t="str">
        <f ca="1">IFERROR(__xludf.DUMMYFUNCTION("""COMPUTED_VALUE"""),"1740332594040")</f>
        <v>1740332594040</v>
      </c>
    </row>
    <row r="5018" spans="1:11" ht="12.45">
      <c r="A5018" s="2" t="str">
        <f ca="1">IFERROR(__xludf.DUMMYFUNCTION("""COMPUTED_VALUE"""),"1740332640544")</f>
        <v>1740332640544</v>
      </c>
      <c r="B5018" s="2"/>
      <c r="C5018" s="2" t="str">
        <v>0</v>
      </c>
      <c r="D5018" s="2"/>
      <c r="F5018" s="2" t="str">
        <v>0</v>
      </c>
      <c r="I5018" s="3" t="str">
        <f ca="1">IFERROR(__xludf.DUMMYFUNCTION("""COMPUTED_VALUE"""),"Nguyễn Thành Lộc")</f>
        <v>Nguyễn Thành Lộc</v>
      </c>
      <c r="J5018" s="3" t="str">
        <f ca="1">IFERROR(__xludf.DUMMYFUNCTION("""COMPUTED_VALUE"""),"0387702604")</f>
        <v>0387702604</v>
      </c>
      <c r="K5018" s="2" t="str">
        <f ca="1">IFERROR(__xludf.DUMMYFUNCTION("""COMPUTED_VALUE"""),"1740332640544")</f>
        <v>1740332640544</v>
      </c>
    </row>
    <row r="5019" spans="1:11" ht="12.45">
      <c r="A5019" s="2" t="str">
        <f ca="1">IFERROR(__xludf.DUMMYFUNCTION("""COMPUTED_VALUE"""),"1740332687612")</f>
        <v>1740332687612</v>
      </c>
      <c r="B5019" s="2"/>
      <c r="C5019" s="2" t="str">
        <v>0</v>
      </c>
      <c r="D5019" s="2"/>
      <c r="F5019" s="2" t="str">
        <v>0</v>
      </c>
      <c r="I5019" s="3" t="str">
        <f ca="1">IFERROR(__xludf.DUMMYFUNCTION("""COMPUTED_VALUE"""),"Nguyễn Ngọc Bảo Hân ")</f>
        <v xml:space="preserve">Nguyễn Ngọc Bảo Hân </v>
      </c>
      <c r="J5019" s="3" t="str">
        <f ca="1">IFERROR(__xludf.DUMMYFUNCTION("""COMPUTED_VALUE"""),"0352234314")</f>
        <v>0352234314</v>
      </c>
      <c r="K5019" s="2" t="str">
        <f ca="1">IFERROR(__xludf.DUMMYFUNCTION("""COMPUTED_VALUE"""),"1740332687612")</f>
        <v>1740332687612</v>
      </c>
    </row>
    <row r="5020" spans="1:11" ht="12.45">
      <c r="A5020" s="2" t="str">
        <f ca="1">IFERROR(__xludf.DUMMYFUNCTION("""COMPUTED_VALUE"""),"1740332736903")</f>
        <v>1740332736903</v>
      </c>
      <c r="B5020" s="2"/>
      <c r="C5020" s="2" t="str">
        <v>0</v>
      </c>
      <c r="D5020" s="2"/>
      <c r="F5020" s="2" t="str">
        <v>0</v>
      </c>
      <c r="I5020" s="3" t="str">
        <f ca="1">IFERROR(__xludf.DUMMYFUNCTION("""COMPUTED_VALUE"""),"Nguyễn xuân sơn")</f>
        <v>Nguyễn xuân sơn</v>
      </c>
      <c r="J5020" s="3" t="str">
        <f ca="1">IFERROR(__xludf.DUMMYFUNCTION("""COMPUTED_VALUE"""),"0826478486")</f>
        <v>0826478486</v>
      </c>
      <c r="K5020" s="2" t="str">
        <f ca="1">IFERROR(__xludf.DUMMYFUNCTION("""COMPUTED_VALUE"""),"1740332736903")</f>
        <v>1740332736903</v>
      </c>
    </row>
    <row r="5021" spans="1:11" ht="12.45">
      <c r="A5021" s="2" t="str">
        <f ca="1">IFERROR(__xludf.DUMMYFUNCTION("""COMPUTED_VALUE"""),"1740332785053")</f>
        <v>1740332785053</v>
      </c>
      <c r="B5021" s="2"/>
      <c r="C5021" s="2" t="str">
        <v>0</v>
      </c>
      <c r="D5021" s="2"/>
      <c r="F5021" s="2" t="str">
        <v>0</v>
      </c>
      <c r="I5021" s="3" t="str">
        <f ca="1">IFERROR(__xludf.DUMMYFUNCTION("""COMPUTED_VALUE"""),"Lương Hiếu Ngọc")</f>
        <v>Lương Hiếu Ngọc</v>
      </c>
      <c r="J5021" s="3" t="str">
        <f ca="1">IFERROR(__xludf.DUMMYFUNCTION("""COMPUTED_VALUE"""),"0328902196")</f>
        <v>0328902196</v>
      </c>
      <c r="K5021" s="2" t="str">
        <f ca="1">IFERROR(__xludf.DUMMYFUNCTION("""COMPUTED_VALUE"""),"1740332785053")</f>
        <v>1740332785053</v>
      </c>
    </row>
    <row r="5022" spans="1:11" ht="12.45">
      <c r="A5022" s="2" t="str">
        <f ca="1">IFERROR(__xludf.DUMMYFUNCTION("""COMPUTED_VALUE"""),"1740332825270")</f>
        <v>1740332825270</v>
      </c>
      <c r="B5022" s="2"/>
      <c r="C5022" s="2" t="str">
        <v>0</v>
      </c>
      <c r="D5022" s="2"/>
      <c r="F5022" s="2" t="str">
        <v>0</v>
      </c>
      <c r="I5022" s="3" t="str">
        <f ca="1">IFERROR(__xludf.DUMMYFUNCTION("""COMPUTED_VALUE"""),"Trần Thị Như Ý ")</f>
        <v xml:space="preserve">Trần Thị Như Ý </v>
      </c>
      <c r="J5022" s="3" t="str">
        <f ca="1">IFERROR(__xludf.DUMMYFUNCTION("""COMPUTED_VALUE"""),"0973151875")</f>
        <v>0973151875</v>
      </c>
      <c r="K5022" s="2" t="str">
        <f ca="1">IFERROR(__xludf.DUMMYFUNCTION("""COMPUTED_VALUE"""),"1740332825270")</f>
        <v>1740332825270</v>
      </c>
    </row>
    <row r="5023" spans="1:11" ht="12.45">
      <c r="A5023" s="2" t="str">
        <f ca="1">IFERROR(__xludf.DUMMYFUNCTION("""COMPUTED_VALUE"""),"1740332870577")</f>
        <v>1740332870577</v>
      </c>
      <c r="B5023" s="2"/>
      <c r="C5023" s="2" t="str">
        <v>0</v>
      </c>
      <c r="D5023" s="2"/>
      <c r="F5023" s="2" t="str">
        <v>0</v>
      </c>
      <c r="I5023" s="3" t="str">
        <f ca="1">IFERROR(__xludf.DUMMYFUNCTION("""COMPUTED_VALUE"""),"Ngô Ngọc Phương Thảo")</f>
        <v>Ngô Ngọc Phương Thảo</v>
      </c>
      <c r="J5023" s="3" t="str">
        <f ca="1">IFERROR(__xludf.DUMMYFUNCTION("""COMPUTED_VALUE"""),"0977581307")</f>
        <v>0977581307</v>
      </c>
      <c r="K5023" s="2" t="str">
        <f ca="1">IFERROR(__xludf.DUMMYFUNCTION("""COMPUTED_VALUE"""),"1740332870577")</f>
        <v>1740332870577</v>
      </c>
    </row>
    <row r="5024" spans="1:11" ht="12.45">
      <c r="A5024" s="2" t="str">
        <f ca="1">IFERROR(__xludf.DUMMYFUNCTION("""COMPUTED_VALUE"""),"1740332947810")</f>
        <v>1740332947810</v>
      </c>
      <c r="B5024" s="2"/>
      <c r="C5024" s="2" t="str">
        <v>0</v>
      </c>
      <c r="D5024" s="2"/>
      <c r="F5024" s="2" t="str">
        <v>0</v>
      </c>
      <c r="I5024" s="3" t="str">
        <f ca="1">IFERROR(__xludf.DUMMYFUNCTION("""COMPUTED_VALUE"""),"Hồ Thị Bảo Trâm")</f>
        <v>Hồ Thị Bảo Trâm</v>
      </c>
      <c r="J5024" s="3" t="str">
        <f ca="1">IFERROR(__xludf.DUMMYFUNCTION("""COMPUTED_VALUE"""),"0343442988")</f>
        <v>0343442988</v>
      </c>
      <c r="K5024" s="2" t="str">
        <f ca="1">IFERROR(__xludf.DUMMYFUNCTION("""COMPUTED_VALUE"""),"1740332947810")</f>
        <v>1740332947810</v>
      </c>
    </row>
    <row r="5025" spans="1:11" ht="12.45">
      <c r="A5025" s="2" t="str">
        <f ca="1">IFERROR(__xludf.DUMMYFUNCTION("""COMPUTED_VALUE"""),"1740333004751")</f>
        <v>1740333004751</v>
      </c>
      <c r="B5025" s="2"/>
      <c r="C5025" s="2" t="str">
        <v>0</v>
      </c>
      <c r="D5025" s="2"/>
      <c r="F5025" s="2" t="str">
        <v>0</v>
      </c>
      <c r="I5025" s="3" t="str">
        <f ca="1">IFERROR(__xludf.DUMMYFUNCTION("""COMPUTED_VALUE"""),"Nguyễn Anh Thư ")</f>
        <v xml:space="preserve">Nguyễn Anh Thư </v>
      </c>
      <c r="J5025" s="3" t="str">
        <f ca="1">IFERROR(__xludf.DUMMYFUNCTION("""COMPUTED_VALUE"""),"0369650671")</f>
        <v>0369650671</v>
      </c>
      <c r="K5025" s="2" t="str">
        <f ca="1">IFERROR(__xludf.DUMMYFUNCTION("""COMPUTED_VALUE"""),"1740333004751")</f>
        <v>1740333004751</v>
      </c>
    </row>
    <row r="5026" spans="1:11" ht="12.45">
      <c r="A5026" s="2" t="str">
        <f ca="1">IFERROR(__xludf.DUMMYFUNCTION("""COMPUTED_VALUE"""),"1740333070712")</f>
        <v>1740333070712</v>
      </c>
      <c r="B5026" s="2"/>
      <c r="C5026" s="2" t="str">
        <v>0</v>
      </c>
      <c r="D5026" s="2"/>
      <c r="F5026" s="2" t="str">
        <v>0</v>
      </c>
      <c r="I5026" s="3" t="str">
        <f ca="1">IFERROR(__xludf.DUMMYFUNCTION("""COMPUTED_VALUE"""),"Nguyễn Thanh Trí")</f>
        <v>Nguyễn Thanh Trí</v>
      </c>
      <c r="J5026" s="3" t="str">
        <f ca="1">IFERROR(__xludf.DUMMYFUNCTION("""COMPUTED_VALUE"""),"0867781060")</f>
        <v>0867781060</v>
      </c>
      <c r="K5026" s="2" t="str">
        <f ca="1">IFERROR(__xludf.DUMMYFUNCTION("""COMPUTED_VALUE"""),"1740333070712")</f>
        <v>1740333070712</v>
      </c>
    </row>
    <row r="5027" spans="1:11" ht="12.45">
      <c r="A5027" s="2" t="str">
        <f ca="1">IFERROR(__xludf.DUMMYFUNCTION("""COMPUTED_VALUE"""),"1740333129315")</f>
        <v>1740333129315</v>
      </c>
      <c r="B5027" s="2"/>
      <c r="C5027" s="2" t="str">
        <v>0</v>
      </c>
      <c r="D5027" s="2"/>
      <c r="F5027" s="2" t="str">
        <v>0</v>
      </c>
      <c r="I5027" s="3" t="str">
        <f ca="1">IFERROR(__xludf.DUMMYFUNCTION("""COMPUTED_VALUE"""),"Võ Thị Thu Thuyền")</f>
        <v>Võ Thị Thu Thuyền</v>
      </c>
      <c r="J5027" s="3" t="str">
        <f ca="1">IFERROR(__xludf.DUMMYFUNCTION("""COMPUTED_VALUE"""),"0984482127")</f>
        <v>0984482127</v>
      </c>
      <c r="K5027" s="2" t="str">
        <f ca="1">IFERROR(__xludf.DUMMYFUNCTION("""COMPUTED_VALUE"""),"1740333129315")</f>
        <v>1740333129315</v>
      </c>
    </row>
    <row r="5028" spans="1:11" ht="12.45">
      <c r="A5028" s="2" t="str">
        <f ca="1">IFERROR(__xludf.DUMMYFUNCTION("""COMPUTED_VALUE"""),"1740333170680")</f>
        <v>1740333170680</v>
      </c>
      <c r="B5028" s="2"/>
      <c r="C5028" s="2" t="str">
        <v>0</v>
      </c>
      <c r="D5028" s="2"/>
      <c r="F5028" s="2" t="str">
        <v>0</v>
      </c>
      <c r="I5028" s="3" t="str">
        <f ca="1">IFERROR(__xludf.DUMMYFUNCTION("""COMPUTED_VALUE"""),"Ngô Thị Trà My")</f>
        <v>Ngô Thị Trà My</v>
      </c>
      <c r="J5028" s="3" t="str">
        <f ca="1">IFERROR(__xludf.DUMMYFUNCTION("""COMPUTED_VALUE"""),"0986014830")</f>
        <v>0986014830</v>
      </c>
      <c r="K5028" s="2" t="str">
        <f ca="1">IFERROR(__xludf.DUMMYFUNCTION("""COMPUTED_VALUE"""),"1740333170680")</f>
        <v>1740333170680</v>
      </c>
    </row>
    <row r="5029" spans="1:11" ht="12.45">
      <c r="A5029" s="2" t="str">
        <f ca="1">IFERROR(__xludf.DUMMYFUNCTION("""COMPUTED_VALUE"""),"1740333211583")</f>
        <v>1740333211583</v>
      </c>
      <c r="B5029" s="2"/>
      <c r="C5029" s="2" t="str">
        <v>0</v>
      </c>
      <c r="D5029" s="2"/>
      <c r="F5029" s="2" t="str">
        <v>0</v>
      </c>
      <c r="I5029" s="3" t="str">
        <f ca="1">IFERROR(__xludf.DUMMYFUNCTION("""COMPUTED_VALUE"""),"Trần An Duy Trường")</f>
        <v>Trần An Duy Trường</v>
      </c>
      <c r="J5029" s="3" t="str">
        <f ca="1">IFERROR(__xludf.DUMMYFUNCTION("""COMPUTED_VALUE"""),"0768084220")</f>
        <v>0768084220</v>
      </c>
      <c r="K5029" s="2" t="str">
        <f ca="1">IFERROR(__xludf.DUMMYFUNCTION("""COMPUTED_VALUE"""),"1740333211583")</f>
        <v>1740333211583</v>
      </c>
    </row>
    <row r="5030" spans="1:11" ht="12.45">
      <c r="A5030" s="2" t="str">
        <f ca="1">IFERROR(__xludf.DUMMYFUNCTION("""COMPUTED_VALUE"""),"1740333251929")</f>
        <v>1740333251929</v>
      </c>
      <c r="B5030" s="2"/>
      <c r="C5030" s="2" t="str">
        <v>0</v>
      </c>
      <c r="D5030" s="2"/>
      <c r="F5030" s="2" t="str">
        <v>0</v>
      </c>
      <c r="I5030" s="3" t="str">
        <f ca="1">IFERROR(__xludf.DUMMYFUNCTION("""COMPUTED_VALUE"""),"Nguyễn Thị Diệu Hương")</f>
        <v>Nguyễn Thị Diệu Hương</v>
      </c>
      <c r="J5030" s="3" t="str">
        <f ca="1">IFERROR(__xludf.DUMMYFUNCTION("""COMPUTED_VALUE"""),"0836816330")</f>
        <v>0836816330</v>
      </c>
      <c r="K5030" s="2" t="str">
        <f ca="1">IFERROR(__xludf.DUMMYFUNCTION("""COMPUTED_VALUE"""),"1740333251929")</f>
        <v>1740333251929</v>
      </c>
    </row>
    <row r="5031" spans="1:11" ht="12.45">
      <c r="A5031" s="2" t="str">
        <f ca="1">IFERROR(__xludf.DUMMYFUNCTION("""COMPUTED_VALUE"""),"1740333290639")</f>
        <v>1740333290639</v>
      </c>
      <c r="B5031" s="2"/>
      <c r="C5031" s="2" t="str">
        <v>0</v>
      </c>
      <c r="D5031" s="2"/>
      <c r="F5031" s="2" t="str">
        <v>0</v>
      </c>
      <c r="I5031" s="3" t="str">
        <f ca="1">IFERROR(__xludf.DUMMYFUNCTION("""COMPUTED_VALUE"""),"Lê Thị Thùy Ngân ")</f>
        <v xml:space="preserve">Lê Thị Thùy Ngân </v>
      </c>
      <c r="J5031" s="3" t="str">
        <f ca="1">IFERROR(__xludf.DUMMYFUNCTION("""COMPUTED_VALUE"""),"0706107639")</f>
        <v>0706107639</v>
      </c>
      <c r="K5031" s="2" t="str">
        <f ca="1">IFERROR(__xludf.DUMMYFUNCTION("""COMPUTED_VALUE"""),"1740333290639")</f>
        <v>1740333290639</v>
      </c>
    </row>
    <row r="5032" spans="1:11" ht="12.45">
      <c r="A5032" s="2" t="str">
        <f ca="1">IFERROR(__xludf.DUMMYFUNCTION("""COMPUTED_VALUE"""),"1740333333035")</f>
        <v>1740333333035</v>
      </c>
      <c r="B5032" s="2"/>
      <c r="C5032" s="2" t="str">
        <v>0</v>
      </c>
      <c r="D5032" s="2"/>
      <c r="F5032" s="2" t="str">
        <v>0</v>
      </c>
      <c r="I5032" s="3" t="str">
        <f ca="1">IFERROR(__xludf.DUMMYFUNCTION("""COMPUTED_VALUE"""),"Nguyễn Thị Thuỳ Dung")</f>
        <v>Nguyễn Thị Thuỳ Dung</v>
      </c>
      <c r="J5032" s="3" t="str">
        <f ca="1">IFERROR(__xludf.DUMMYFUNCTION("""COMPUTED_VALUE"""),"0362348861")</f>
        <v>0362348861</v>
      </c>
      <c r="K5032" s="2" t="str">
        <f ca="1">IFERROR(__xludf.DUMMYFUNCTION("""COMPUTED_VALUE"""),"1740333333035")</f>
        <v>1740333333035</v>
      </c>
    </row>
    <row r="5033" spans="1:11" ht="12.45">
      <c r="A5033" s="2" t="str">
        <f ca="1">IFERROR(__xludf.DUMMYFUNCTION("""COMPUTED_VALUE"""),"1740333365639")</f>
        <v>1740333365639</v>
      </c>
      <c r="B5033" s="2"/>
      <c r="C5033" s="2" t="str">
        <v>0</v>
      </c>
      <c r="D5033" s="2"/>
      <c r="F5033" s="2" t="str">
        <v>0</v>
      </c>
      <c r="I5033" s="3" t="str">
        <f ca="1">IFERROR(__xludf.DUMMYFUNCTION("""COMPUTED_VALUE"""),"Võ NGUYỄN Quỳnh Như ")</f>
        <v xml:space="preserve">Võ NGUYỄN Quỳnh Như </v>
      </c>
      <c r="J5033" s="3" t="str">
        <f ca="1">IFERROR(__xludf.DUMMYFUNCTION("""COMPUTED_VALUE"""),"0917537055")</f>
        <v>0917537055</v>
      </c>
      <c r="K5033" s="2" t="str">
        <f ca="1">IFERROR(__xludf.DUMMYFUNCTION("""COMPUTED_VALUE"""),"1740333365639")</f>
        <v>1740333365639</v>
      </c>
    </row>
    <row r="5034" spans="1:11" ht="12.45">
      <c r="A5034" s="2" t="str">
        <f ca="1">IFERROR(__xludf.DUMMYFUNCTION("""COMPUTED_VALUE"""),"1740333408121")</f>
        <v>1740333408121</v>
      </c>
      <c r="B5034" s="2"/>
      <c r="C5034" s="2" t="str">
        <v>0</v>
      </c>
      <c r="D5034" s="2"/>
      <c r="F5034" s="2" t="str">
        <v>0</v>
      </c>
      <c r="I5034" s="3" t="str">
        <f ca="1">IFERROR(__xludf.DUMMYFUNCTION("""COMPUTED_VALUE"""),"Lê Thị Tường Vy")</f>
        <v>Lê Thị Tường Vy</v>
      </c>
      <c r="J5034" s="3" t="str">
        <f ca="1">IFERROR(__xludf.DUMMYFUNCTION("""COMPUTED_VALUE"""),"0816327838")</f>
        <v>0816327838</v>
      </c>
      <c r="K5034" s="2" t="str">
        <f ca="1">IFERROR(__xludf.DUMMYFUNCTION("""COMPUTED_VALUE"""),"1740333408121")</f>
        <v>1740333408121</v>
      </c>
    </row>
    <row r="5035" spans="1:11" ht="12.45">
      <c r="A5035" s="2" t="str">
        <f ca="1">IFERROR(__xludf.DUMMYFUNCTION("""COMPUTED_VALUE"""),"1761523368960")</f>
        <v>1761523368960</v>
      </c>
      <c r="B5035" s="2"/>
      <c r="C5035" s="2" t="str">
        <v>0</v>
      </c>
      <c r="D5035" s="2"/>
      <c r="F5035" s="2" t="str">
        <v>0</v>
      </c>
      <c r="I5035" s="3" t="str">
        <f ca="1">IFERROR(__xludf.DUMMYFUNCTION("""COMPUTED_VALUE"""),"Chu Thị Yến")</f>
        <v>Chu Thị Yến</v>
      </c>
      <c r="J5035" s="3" t="str">
        <f ca="1">IFERROR(__xludf.DUMMYFUNCTION("""COMPUTED_VALUE"""),"0393223328")</f>
        <v>0393223328</v>
      </c>
      <c r="K5035" s="2" t="str">
        <f ca="1">IFERROR(__xludf.DUMMYFUNCTION("""COMPUTED_VALUE"""),"1761523368960")</f>
        <v>1761523368960</v>
      </c>
    </row>
    <row r="5036" spans="1:11" ht="12.45">
      <c r="A5036" s="2" t="str">
        <f ca="1">IFERROR(__xludf.DUMMYFUNCTION("""COMPUTED_VALUE"""),"1740333455362")</f>
        <v>1740333455362</v>
      </c>
      <c r="B5036" s="2"/>
      <c r="C5036" s="2" t="str">
        <v>0</v>
      </c>
      <c r="D5036" s="2"/>
      <c r="F5036" s="2" t="str">
        <v>0</v>
      </c>
      <c r="I5036" s="3" t="str">
        <f ca="1">IFERROR(__xludf.DUMMYFUNCTION("""COMPUTED_VALUE"""),"Phạm Thị Minh Tâm")</f>
        <v>Phạm Thị Minh Tâm</v>
      </c>
      <c r="J5036" s="3" t="str">
        <f ca="1">IFERROR(__xludf.DUMMYFUNCTION("""COMPUTED_VALUE"""),"0386482289")</f>
        <v>0386482289</v>
      </c>
      <c r="K5036" s="2" t="str">
        <f ca="1">IFERROR(__xludf.DUMMYFUNCTION("""COMPUTED_VALUE"""),"1740333455362")</f>
        <v>1740333455362</v>
      </c>
    </row>
    <row r="5037" spans="1:11" ht="12.45">
      <c r="A5037" s="2" t="str">
        <f ca="1">IFERROR(__xludf.DUMMYFUNCTION("""COMPUTED_VALUE"""),"1740333530295")</f>
        <v>1740333530295</v>
      </c>
      <c r="B5037" s="2"/>
      <c r="C5037" s="2" t="str">
        <v>0</v>
      </c>
      <c r="D5037" s="2"/>
      <c r="F5037" s="2" t="str">
        <v>0</v>
      </c>
      <c r="I5037" s="3" t="str">
        <f ca="1">IFERROR(__xludf.DUMMYFUNCTION("""COMPUTED_VALUE"""),"Phạm Võ Quỳnh Hương ")</f>
        <v xml:space="preserve">Phạm Võ Quỳnh Hương </v>
      </c>
      <c r="J5037" s="3" t="str">
        <f ca="1">IFERROR(__xludf.DUMMYFUNCTION("""COMPUTED_VALUE"""),"0325205597")</f>
        <v>0325205597</v>
      </c>
      <c r="K5037" s="2" t="str">
        <f ca="1">IFERROR(__xludf.DUMMYFUNCTION("""COMPUTED_VALUE"""),"1740333530295")</f>
        <v>1740333530295</v>
      </c>
    </row>
    <row r="5038" spans="1:11" ht="12.45">
      <c r="A5038" s="2" t="str">
        <f ca="1">IFERROR(__xludf.DUMMYFUNCTION("""COMPUTED_VALUE"""),"1740333579212")</f>
        <v>1740333579212</v>
      </c>
      <c r="B5038" s="2"/>
      <c r="C5038" s="2" t="str">
        <v>0</v>
      </c>
      <c r="D5038" s="2"/>
      <c r="F5038" s="2" t="str">
        <v>0</v>
      </c>
      <c r="I5038" s="3" t="str">
        <f ca="1">IFERROR(__xludf.DUMMYFUNCTION("""COMPUTED_VALUE"""),"Lưu mạnh cường ")</f>
        <v xml:space="preserve">Lưu mạnh cường </v>
      </c>
      <c r="J5038" s="3" t="str">
        <f ca="1">IFERROR(__xludf.DUMMYFUNCTION("""COMPUTED_VALUE"""),"0947990036")</f>
        <v>0947990036</v>
      </c>
      <c r="K5038" s="2" t="str">
        <f ca="1">IFERROR(__xludf.DUMMYFUNCTION("""COMPUTED_VALUE"""),"1740333579212")</f>
        <v>1740333579212</v>
      </c>
    </row>
    <row r="5039" spans="1:11" ht="12.45">
      <c r="A5039" s="2" t="str">
        <f ca="1">IFERROR(__xludf.DUMMYFUNCTION("""COMPUTED_VALUE"""),"1740333612601")</f>
        <v>1740333612601</v>
      </c>
      <c r="B5039" s="2"/>
      <c r="C5039" s="2" t="str">
        <v>0</v>
      </c>
      <c r="D5039" s="2"/>
      <c r="F5039" s="2" t="str">
        <v>0</v>
      </c>
      <c r="I5039" s="3" t="str">
        <f ca="1">IFERROR(__xludf.DUMMYFUNCTION("""COMPUTED_VALUE"""),"Nguyễn Minh Thư")</f>
        <v>Nguyễn Minh Thư</v>
      </c>
      <c r="J5039" s="3" t="str">
        <f ca="1">IFERROR(__xludf.DUMMYFUNCTION("""COMPUTED_VALUE"""),"0333933715")</f>
        <v>0333933715</v>
      </c>
      <c r="K5039" s="2" t="str">
        <f ca="1">IFERROR(__xludf.DUMMYFUNCTION("""COMPUTED_VALUE"""),"1740333612601")</f>
        <v>1740333612601</v>
      </c>
    </row>
    <row r="5040" spans="1:11" ht="12.45">
      <c r="A5040" s="2" t="str">
        <f ca="1">IFERROR(__xludf.DUMMYFUNCTION("""COMPUTED_VALUE"""),"1740333649944")</f>
        <v>1740333649944</v>
      </c>
      <c r="B5040" s="2"/>
      <c r="C5040" s="2" t="str">
        <v>0</v>
      </c>
      <c r="D5040" s="2"/>
      <c r="F5040" s="2" t="str">
        <v>0</v>
      </c>
      <c r="I5040" s="3" t="str">
        <f ca="1">IFERROR(__xludf.DUMMYFUNCTION("""COMPUTED_VALUE"""),"Nguyễn Thị Thu Hiền")</f>
        <v>Nguyễn Thị Thu Hiền</v>
      </c>
      <c r="J5040" s="3" t="str">
        <f ca="1">IFERROR(__xludf.DUMMYFUNCTION("""COMPUTED_VALUE"""),"0399071891")</f>
        <v>0399071891</v>
      </c>
      <c r="K5040" s="2" t="str">
        <f ca="1">IFERROR(__xludf.DUMMYFUNCTION("""COMPUTED_VALUE"""),"1740333649944")</f>
        <v>1740333649944</v>
      </c>
    </row>
    <row r="5041" spans="1:11" ht="12.45">
      <c r="A5041" s="2" t="str">
        <f ca="1">IFERROR(__xludf.DUMMYFUNCTION("""COMPUTED_VALUE"""),"1740333705914")</f>
        <v>1740333705914</v>
      </c>
      <c r="B5041" s="2"/>
      <c r="C5041" s="2" t="str">
        <v>0</v>
      </c>
      <c r="D5041" s="2"/>
      <c r="F5041" s="2" t="str">
        <v>0</v>
      </c>
      <c r="I5041" s="3" t="str">
        <f ca="1">IFERROR(__xludf.DUMMYFUNCTION("""COMPUTED_VALUE"""),"Nguyễn Đỗ Vàng Anh")</f>
        <v>Nguyễn Đỗ Vàng Anh</v>
      </c>
      <c r="J5041" s="3" t="str">
        <f ca="1">IFERROR(__xludf.DUMMYFUNCTION("""COMPUTED_VALUE"""),"0972339281")</f>
        <v>0972339281</v>
      </c>
      <c r="K5041" s="2" t="str">
        <f ca="1">IFERROR(__xludf.DUMMYFUNCTION("""COMPUTED_VALUE"""),"1740333705914")</f>
        <v>1740333705914</v>
      </c>
    </row>
    <row r="5042" spans="1:11" ht="12.45">
      <c r="A5042" s="2" t="str">
        <f ca="1">IFERROR(__xludf.DUMMYFUNCTION("""COMPUTED_VALUE"""),"1740333771992")</f>
        <v>1740333771992</v>
      </c>
      <c r="B5042" s="2"/>
      <c r="C5042" s="2" t="str">
        <v>0</v>
      </c>
      <c r="D5042" s="2"/>
      <c r="F5042" s="2" t="str">
        <v>0</v>
      </c>
      <c r="I5042" s="3" t="str">
        <f ca="1">IFERROR(__xludf.DUMMYFUNCTION("""COMPUTED_VALUE"""),"Trần Nguyễn Anh Thư ")</f>
        <v xml:space="preserve">Trần Nguyễn Anh Thư </v>
      </c>
      <c r="J5042" s="3" t="str">
        <f ca="1">IFERROR(__xludf.DUMMYFUNCTION("""COMPUTED_VALUE"""),"0845382486")</f>
        <v>0845382486</v>
      </c>
      <c r="K5042" s="2" t="str">
        <f ca="1">IFERROR(__xludf.DUMMYFUNCTION("""COMPUTED_VALUE"""),"1740333771992")</f>
        <v>1740333771992</v>
      </c>
    </row>
    <row r="5043" spans="1:11" ht="12.45">
      <c r="A5043" s="2" t="str">
        <f ca="1">IFERROR(__xludf.DUMMYFUNCTION("""COMPUTED_VALUE"""),"1740333832658")</f>
        <v>1740333832658</v>
      </c>
      <c r="B5043" s="2"/>
      <c r="C5043" s="2" t="str">
        <v>0</v>
      </c>
      <c r="D5043" s="2"/>
      <c r="F5043" s="2" t="str">
        <v>0</v>
      </c>
      <c r="I5043" s="3" t="str">
        <f ca="1">IFERROR(__xludf.DUMMYFUNCTION("""COMPUTED_VALUE"""),"Nguyễn Hải Yến")</f>
        <v>Nguyễn Hải Yến</v>
      </c>
      <c r="J5043" s="3" t="str">
        <f ca="1">IFERROR(__xludf.DUMMYFUNCTION("""COMPUTED_VALUE"""),"0867614089")</f>
        <v>0867614089</v>
      </c>
      <c r="K5043" s="2" t="str">
        <f ca="1">IFERROR(__xludf.DUMMYFUNCTION("""COMPUTED_VALUE"""),"1740333832658")</f>
        <v>1740333832658</v>
      </c>
    </row>
    <row r="5044" spans="1:11" ht="12.45">
      <c r="A5044" s="2" t="str">
        <f ca="1">IFERROR(__xludf.DUMMYFUNCTION("""COMPUTED_VALUE"""),"1740333896601")</f>
        <v>1740333896601</v>
      </c>
      <c r="B5044" s="2"/>
      <c r="C5044" s="2" t="str">
        <v>0</v>
      </c>
      <c r="D5044" s="2"/>
      <c r="F5044" s="2" t="str">
        <v>0</v>
      </c>
      <c r="I5044" s="3" t="str">
        <f ca="1">IFERROR(__xludf.DUMMYFUNCTION("""COMPUTED_VALUE"""),"Nguyễn Quỳnh Trang")</f>
        <v>Nguyễn Quỳnh Trang</v>
      </c>
      <c r="J5044" s="3" t="str">
        <f ca="1">IFERROR(__xludf.DUMMYFUNCTION("""COMPUTED_VALUE"""),"0359869497")</f>
        <v>0359869497</v>
      </c>
      <c r="K5044" s="2" t="str">
        <f ca="1">IFERROR(__xludf.DUMMYFUNCTION("""COMPUTED_VALUE"""),"1740333896601")</f>
        <v>1740333896601</v>
      </c>
    </row>
    <row r="5045" spans="1:11" ht="12.45">
      <c r="A5045" s="2" t="str">
        <f ca="1">IFERROR(__xludf.DUMMYFUNCTION("""COMPUTED_VALUE"""),"1740333955086")</f>
        <v>1740333955086</v>
      </c>
      <c r="B5045" s="2"/>
      <c r="C5045" s="2" t="str">
        <v>0</v>
      </c>
      <c r="D5045" s="2"/>
      <c r="F5045" s="2" t="str">
        <v>0</v>
      </c>
      <c r="I5045" s="3" t="str">
        <f ca="1">IFERROR(__xludf.DUMMYFUNCTION("""COMPUTED_VALUE"""),"Hoàng Thị Mỹ Tâm")</f>
        <v>Hoàng Thị Mỹ Tâm</v>
      </c>
      <c r="J5045" s="3" t="str">
        <f ca="1">IFERROR(__xludf.DUMMYFUNCTION("""COMPUTED_VALUE"""),"0965748998")</f>
        <v>0965748998</v>
      </c>
      <c r="K5045" s="2" t="str">
        <f ca="1">IFERROR(__xludf.DUMMYFUNCTION("""COMPUTED_VALUE"""),"1740333955086")</f>
        <v>1740333955086</v>
      </c>
    </row>
    <row r="5046" spans="1:11" ht="12.45">
      <c r="A5046" s="2" t="str">
        <f ca="1">IFERROR(__xludf.DUMMYFUNCTION("""COMPUTED_VALUE"""),"1740334002339")</f>
        <v>1740334002339</v>
      </c>
      <c r="B5046" s="2"/>
      <c r="C5046" s="2" t="str">
        <v>0</v>
      </c>
      <c r="D5046" s="2"/>
      <c r="F5046" s="2" t="str">
        <v>0</v>
      </c>
      <c r="I5046" s="3" t="str">
        <f ca="1">IFERROR(__xludf.DUMMYFUNCTION("""COMPUTED_VALUE"""),"NGUYỄN THỊ YẾN NHI")</f>
        <v>NGUYỄN THỊ YẾN NHI</v>
      </c>
      <c r="J5046" s="3" t="str">
        <f ca="1">IFERROR(__xludf.DUMMYFUNCTION("""COMPUTED_VALUE"""),"0943885006")</f>
        <v>0943885006</v>
      </c>
      <c r="K5046" s="2" t="str">
        <f ca="1">IFERROR(__xludf.DUMMYFUNCTION("""COMPUTED_VALUE"""),"1740334002339")</f>
        <v>1740334002339</v>
      </c>
    </row>
    <row r="5047" spans="1:11" ht="12.45">
      <c r="A5047" s="2" t="str">
        <f ca="1">IFERROR(__xludf.DUMMYFUNCTION("""COMPUTED_VALUE"""),"1740334042643")</f>
        <v>1740334042643</v>
      </c>
      <c r="B5047" s="2"/>
      <c r="C5047" s="2" t="str">
        <v>0</v>
      </c>
      <c r="D5047" s="2"/>
      <c r="F5047" s="2" t="str">
        <v>0</v>
      </c>
      <c r="I5047" s="3" t="str">
        <f ca="1">IFERROR(__xludf.DUMMYFUNCTION("""COMPUTED_VALUE"""),"Phạm Thị Thùy Linh ")</f>
        <v xml:space="preserve">Phạm Thị Thùy Linh </v>
      </c>
      <c r="J5047" s="3" t="str">
        <f ca="1">IFERROR(__xludf.DUMMYFUNCTION("""COMPUTED_VALUE"""),"0963046158")</f>
        <v>0963046158</v>
      </c>
      <c r="K5047" s="2" t="str">
        <f ca="1">IFERROR(__xludf.DUMMYFUNCTION("""COMPUTED_VALUE"""),"1740334042643")</f>
        <v>1740334042643</v>
      </c>
    </row>
    <row r="5048" spans="1:11" ht="12.45">
      <c r="A5048" s="2" t="str">
        <f ca="1">IFERROR(__xludf.DUMMYFUNCTION("""COMPUTED_VALUE"""),"1740334086329")</f>
        <v>1740334086329</v>
      </c>
      <c r="B5048" s="2"/>
      <c r="C5048" s="2" t="str">
        <v>0</v>
      </c>
      <c r="D5048" s="2"/>
      <c r="F5048" s="2" t="str">
        <v>0</v>
      </c>
      <c r="I5048" s="3" t="str">
        <f ca="1">IFERROR(__xludf.DUMMYFUNCTION("""COMPUTED_VALUE"""),"Trần Ngọc Như ")</f>
        <v xml:space="preserve">Trần Ngọc Như </v>
      </c>
      <c r="J5048" s="3" t="str">
        <f ca="1">IFERROR(__xludf.DUMMYFUNCTION("""COMPUTED_VALUE"""),"0934408098")</f>
        <v>0934408098</v>
      </c>
      <c r="K5048" s="2" t="str">
        <f ca="1">IFERROR(__xludf.DUMMYFUNCTION("""COMPUTED_VALUE"""),"1740334086329")</f>
        <v>1740334086329</v>
      </c>
    </row>
    <row r="5049" spans="1:11" ht="12.45">
      <c r="A5049" s="2" t="str">
        <f ca="1">IFERROR(__xludf.DUMMYFUNCTION("""COMPUTED_VALUE"""),"1740334127610")</f>
        <v>1740334127610</v>
      </c>
      <c r="B5049" s="2"/>
      <c r="C5049" s="2" t="str">
        <v>0</v>
      </c>
      <c r="D5049" s="2"/>
      <c r="F5049" s="2" t="str">
        <v>0</v>
      </c>
      <c r="I5049" s="3" t="str">
        <f ca="1">IFERROR(__xludf.DUMMYFUNCTION("""COMPUTED_VALUE"""),"Trần Văn Khải")</f>
        <v>Trần Văn Khải</v>
      </c>
      <c r="J5049" s="3" t="str">
        <f ca="1">IFERROR(__xludf.DUMMYFUNCTION("""COMPUTED_VALUE"""),"0774636817")</f>
        <v>0774636817</v>
      </c>
      <c r="K5049" s="2" t="str">
        <f ca="1">IFERROR(__xludf.DUMMYFUNCTION("""COMPUTED_VALUE"""),"1740334127610")</f>
        <v>1740334127610</v>
      </c>
    </row>
    <row r="5050" spans="1:11" ht="12.45">
      <c r="A5050" s="2" t="str">
        <f ca="1">IFERROR(__xludf.DUMMYFUNCTION("""COMPUTED_VALUE"""),"1740334166883")</f>
        <v>1740334166883</v>
      </c>
      <c r="B5050" s="2"/>
      <c r="C5050" s="2" t="str">
        <v>0</v>
      </c>
      <c r="D5050" s="2"/>
      <c r="F5050" s="2" t="str">
        <v>0</v>
      </c>
      <c r="I5050" s="3" t="str">
        <f ca="1">IFERROR(__xludf.DUMMYFUNCTION("""COMPUTED_VALUE"""),"Nguyễn thanh khiết")</f>
        <v>Nguyễn thanh khiết</v>
      </c>
      <c r="J5050" s="3" t="str">
        <f ca="1">IFERROR(__xludf.DUMMYFUNCTION("""COMPUTED_VALUE"""),"0939619472")</f>
        <v>0939619472</v>
      </c>
      <c r="K5050" s="2" t="str">
        <f ca="1">IFERROR(__xludf.DUMMYFUNCTION("""COMPUTED_VALUE"""),"1740334166883")</f>
        <v>1740334166883</v>
      </c>
    </row>
    <row r="5051" spans="1:11" ht="12.45">
      <c r="A5051" s="2" t="str">
        <f ca="1">IFERROR(__xludf.DUMMYFUNCTION("""COMPUTED_VALUE"""),"1740334228555")</f>
        <v>1740334228555</v>
      </c>
      <c r="B5051" s="2"/>
      <c r="C5051" s="2" t="str">
        <v>0</v>
      </c>
      <c r="D5051" s="2"/>
      <c r="F5051" s="2" t="str">
        <v>0</v>
      </c>
      <c r="I5051" s="3" t="str">
        <f ca="1">IFERROR(__xludf.DUMMYFUNCTION("""COMPUTED_VALUE"""),"Bùi Thị Xuân Giang")</f>
        <v>Bùi Thị Xuân Giang</v>
      </c>
      <c r="J5051" s="3" t="str">
        <f ca="1">IFERROR(__xludf.DUMMYFUNCTION("""COMPUTED_VALUE"""),"0333730163")</f>
        <v>0333730163</v>
      </c>
      <c r="K5051" s="2" t="str">
        <f ca="1">IFERROR(__xludf.DUMMYFUNCTION("""COMPUTED_VALUE"""),"1740334228555")</f>
        <v>1740334228555</v>
      </c>
    </row>
    <row r="5052" spans="1:11" ht="12.45">
      <c r="A5052" s="2" t="str">
        <f ca="1">IFERROR(__xludf.DUMMYFUNCTION("""COMPUTED_VALUE"""),"1740334260460")</f>
        <v>1740334260460</v>
      </c>
      <c r="B5052" s="2"/>
      <c r="C5052" s="2" t="str">
        <v>0</v>
      </c>
      <c r="D5052" s="2"/>
      <c r="F5052" s="2" t="str">
        <v>0</v>
      </c>
      <c r="I5052" s="3" t="str">
        <f ca="1">IFERROR(__xludf.DUMMYFUNCTION("""COMPUTED_VALUE"""),"Nguyễn Đặng Thuỳ An")</f>
        <v>Nguyễn Đặng Thuỳ An</v>
      </c>
      <c r="J5052" s="3" t="str">
        <f ca="1">IFERROR(__xludf.DUMMYFUNCTION("""COMPUTED_VALUE"""),"0935065059")</f>
        <v>0935065059</v>
      </c>
      <c r="K5052" s="2" t="str">
        <f ca="1">IFERROR(__xludf.DUMMYFUNCTION("""COMPUTED_VALUE"""),"1740334260460")</f>
        <v>1740334260460</v>
      </c>
    </row>
    <row r="5053" spans="1:11" ht="12.45">
      <c r="A5053" s="2" t="str">
        <f ca="1">IFERROR(__xludf.DUMMYFUNCTION("""COMPUTED_VALUE"""),"1740334303268")</f>
        <v>1740334303268</v>
      </c>
      <c r="B5053" s="2"/>
      <c r="C5053" s="2" t="str">
        <v>0</v>
      </c>
      <c r="D5053" s="2"/>
      <c r="F5053" s="2" t="str">
        <v>0</v>
      </c>
      <c r="I5053" s="3" t="str">
        <f ca="1">IFERROR(__xludf.DUMMYFUNCTION("""COMPUTED_VALUE"""),"Trần Phương Thuý")</f>
        <v>Trần Phương Thuý</v>
      </c>
      <c r="J5053" s="3" t="str">
        <f ca="1">IFERROR(__xludf.DUMMYFUNCTION("""COMPUTED_VALUE"""),"0822327471")</f>
        <v>0822327471</v>
      </c>
      <c r="K5053" s="2" t="str">
        <f ca="1">IFERROR(__xludf.DUMMYFUNCTION("""COMPUTED_VALUE"""),"1740334303268")</f>
        <v>1740334303268</v>
      </c>
    </row>
    <row r="5054" spans="1:11" ht="12.45">
      <c r="A5054" s="2" t="str">
        <f ca="1">IFERROR(__xludf.DUMMYFUNCTION("""COMPUTED_VALUE"""),"1740334364771")</f>
        <v>1740334364771</v>
      </c>
      <c r="B5054" s="2"/>
      <c r="C5054" s="2" t="str">
        <v>0</v>
      </c>
      <c r="D5054" s="2"/>
      <c r="F5054" s="2" t="str">
        <v>0</v>
      </c>
      <c r="I5054" s="3" t="str">
        <f ca="1">IFERROR(__xludf.DUMMYFUNCTION("""COMPUTED_VALUE"""),"Lê Trà My")</f>
        <v>Lê Trà My</v>
      </c>
      <c r="J5054" s="3" t="str">
        <f ca="1">IFERROR(__xludf.DUMMYFUNCTION("""COMPUTED_VALUE"""),"0367857697")</f>
        <v>0367857697</v>
      </c>
      <c r="K5054" s="2" t="str">
        <f ca="1">IFERROR(__xludf.DUMMYFUNCTION("""COMPUTED_VALUE"""),"1740334364771")</f>
        <v>1740334364771</v>
      </c>
    </row>
    <row r="5055" spans="1:11" ht="12.45">
      <c r="A5055" s="2" t="str">
        <f ca="1">IFERROR(__xludf.DUMMYFUNCTION("""COMPUTED_VALUE"""),"1740334419818")</f>
        <v>1740334419818</v>
      </c>
      <c r="B5055" s="2"/>
      <c r="C5055" s="2" t="str">
        <v>0</v>
      </c>
      <c r="D5055" s="2"/>
      <c r="F5055" s="2" t="str">
        <v>0</v>
      </c>
      <c r="I5055" s="3" t="str">
        <f ca="1">IFERROR(__xludf.DUMMYFUNCTION("""COMPUTED_VALUE"""),"Nguyễn Trương Nam Phương")</f>
        <v>Nguyễn Trương Nam Phương</v>
      </c>
      <c r="J5055" s="3" t="str">
        <f ca="1">IFERROR(__xludf.DUMMYFUNCTION("""COMPUTED_VALUE"""),"0903197638")</f>
        <v>0903197638</v>
      </c>
      <c r="K5055" s="2" t="str">
        <f ca="1">IFERROR(__xludf.DUMMYFUNCTION("""COMPUTED_VALUE"""),"1740334419818")</f>
        <v>1740334419818</v>
      </c>
    </row>
    <row r="5056" spans="1:11" ht="12.45">
      <c r="A5056" s="2" t="str">
        <f ca="1">IFERROR(__xludf.DUMMYFUNCTION("""COMPUTED_VALUE"""),"1740334465230")</f>
        <v>1740334465230</v>
      </c>
      <c r="B5056" s="2"/>
      <c r="C5056" s="2" t="str">
        <v>0</v>
      </c>
      <c r="D5056" s="2"/>
      <c r="F5056" s="2" t="str">
        <v>0</v>
      </c>
      <c r="I5056" s="3" t="str">
        <f ca="1">IFERROR(__xludf.DUMMYFUNCTION("""COMPUTED_VALUE"""),"Trần Thị Định ")</f>
        <v xml:space="preserve">Trần Thị Định </v>
      </c>
      <c r="J5056" s="3" t="str">
        <f ca="1">IFERROR(__xludf.DUMMYFUNCTION("""COMPUTED_VALUE"""),"0357200844")</f>
        <v>0357200844</v>
      </c>
      <c r="K5056" s="2" t="str">
        <f ca="1">IFERROR(__xludf.DUMMYFUNCTION("""COMPUTED_VALUE"""),"1740334465230")</f>
        <v>1740334465230</v>
      </c>
    </row>
    <row r="5057" spans="1:11" ht="12.45">
      <c r="A5057" s="2" t="str">
        <f ca="1">IFERROR(__xludf.DUMMYFUNCTION("""COMPUTED_VALUE"""),"1740334504191")</f>
        <v>1740334504191</v>
      </c>
      <c r="B5057" s="2"/>
      <c r="C5057" s="2" t="str">
        <v>0</v>
      </c>
      <c r="D5057" s="2"/>
      <c r="F5057" s="2" t="str">
        <v>0</v>
      </c>
      <c r="I5057" s="3" t="str">
        <f ca="1">IFERROR(__xludf.DUMMYFUNCTION("""COMPUTED_VALUE"""),"Nguyễn Quốc Quân")</f>
        <v>Nguyễn Quốc Quân</v>
      </c>
      <c r="J5057" s="3" t="str">
        <f ca="1">IFERROR(__xludf.DUMMYFUNCTION("""COMPUTED_VALUE"""),"0708794385")</f>
        <v>0708794385</v>
      </c>
      <c r="K5057" s="2" t="str">
        <f ca="1">IFERROR(__xludf.DUMMYFUNCTION("""COMPUTED_VALUE"""),"1740334504191")</f>
        <v>1740334504191</v>
      </c>
    </row>
    <row r="5058" spans="1:11" ht="12.45">
      <c r="A5058" s="2" t="str">
        <f ca="1">IFERROR(__xludf.DUMMYFUNCTION("""COMPUTED_VALUE"""),"1740334551078")</f>
        <v>1740334551078</v>
      </c>
      <c r="B5058" s="2"/>
      <c r="C5058" s="2" t="str">
        <v>0</v>
      </c>
      <c r="D5058" s="2"/>
      <c r="F5058" s="2" t="str">
        <v>0</v>
      </c>
      <c r="I5058" s="3" t="str">
        <f ca="1">IFERROR(__xludf.DUMMYFUNCTION("""COMPUTED_VALUE"""),"Nguyễn Thị Thuỳ Trang")</f>
        <v>Nguyễn Thị Thuỳ Trang</v>
      </c>
      <c r="J5058" s="3" t="str">
        <f ca="1">IFERROR(__xludf.DUMMYFUNCTION("""COMPUTED_VALUE"""),"0394555047")</f>
        <v>0394555047</v>
      </c>
      <c r="K5058" s="2" t="str">
        <f ca="1">IFERROR(__xludf.DUMMYFUNCTION("""COMPUTED_VALUE"""),"1740334551078")</f>
        <v>1740334551078</v>
      </c>
    </row>
    <row r="5059" spans="1:11" ht="12.45">
      <c r="A5059" s="2" t="str">
        <f ca="1">IFERROR(__xludf.DUMMYFUNCTION("""COMPUTED_VALUE"""),"1740334587800")</f>
        <v>1740334587800</v>
      </c>
      <c r="B5059" s="2"/>
      <c r="C5059" s="2" t="str">
        <v>0</v>
      </c>
      <c r="D5059" s="2"/>
      <c r="F5059" s="2" t="str">
        <v>0</v>
      </c>
      <c r="I5059" s="3" t="str">
        <f ca="1">IFERROR(__xludf.DUMMYFUNCTION("""COMPUTED_VALUE"""),"Trần Thị Tú Uyên ")</f>
        <v xml:space="preserve">Trần Thị Tú Uyên </v>
      </c>
      <c r="J5059" s="3" t="str">
        <f ca="1">IFERROR(__xludf.DUMMYFUNCTION("""COMPUTED_VALUE"""),"0825875919")</f>
        <v>0825875919</v>
      </c>
      <c r="K5059" s="2" t="str">
        <f ca="1">IFERROR(__xludf.DUMMYFUNCTION("""COMPUTED_VALUE"""),"1740334587800")</f>
        <v>1740334587800</v>
      </c>
    </row>
    <row r="5060" spans="1:11" ht="12.45">
      <c r="A5060" s="2" t="str">
        <f ca="1">IFERROR(__xludf.DUMMYFUNCTION("""COMPUTED_VALUE"""),"1740334639181")</f>
        <v>1740334639181</v>
      </c>
      <c r="B5060" s="2"/>
      <c r="C5060" s="2" t="str">
        <v>0</v>
      </c>
      <c r="D5060" s="2"/>
      <c r="F5060" s="2" t="str">
        <v>0</v>
      </c>
      <c r="I5060" s="3" t="str">
        <f ca="1">IFERROR(__xludf.DUMMYFUNCTION("""COMPUTED_VALUE"""),"Nông Thị Vân Dung")</f>
        <v>Nông Thị Vân Dung</v>
      </c>
      <c r="J5060" s="3" t="str">
        <f ca="1">IFERROR(__xludf.DUMMYFUNCTION("""COMPUTED_VALUE"""),"0373226008")</f>
        <v>0373226008</v>
      </c>
      <c r="K5060" s="2" t="str">
        <f ca="1">IFERROR(__xludf.DUMMYFUNCTION("""COMPUTED_VALUE"""),"1740334639181")</f>
        <v>1740334639181</v>
      </c>
    </row>
    <row r="5061" spans="1:11" ht="12.45">
      <c r="A5061" s="2" t="str">
        <f ca="1">IFERROR(__xludf.DUMMYFUNCTION("""COMPUTED_VALUE"""),"1740334674773")</f>
        <v>1740334674773</v>
      </c>
      <c r="B5061" s="2"/>
      <c r="C5061" s="2" t="str">
        <v>0</v>
      </c>
      <c r="D5061" s="2"/>
      <c r="F5061" s="2" t="str">
        <v>0</v>
      </c>
      <c r="I5061" s="3" t="str">
        <f ca="1">IFERROR(__xludf.DUMMYFUNCTION("""COMPUTED_VALUE"""),"Nguyễn Ngọc Bảo Anh ")</f>
        <v xml:space="preserve">Nguyễn Ngọc Bảo Anh </v>
      </c>
      <c r="J5061" s="3" t="str">
        <f ca="1">IFERROR(__xludf.DUMMYFUNCTION("""COMPUTED_VALUE"""),"0982455423")</f>
        <v>0982455423</v>
      </c>
      <c r="K5061" s="2" t="str">
        <f ca="1">IFERROR(__xludf.DUMMYFUNCTION("""COMPUTED_VALUE"""),"1740334674773")</f>
        <v>1740334674773</v>
      </c>
    </row>
    <row r="5062" spans="1:11" ht="12.45">
      <c r="A5062" s="2" t="str">
        <f ca="1">IFERROR(__xludf.DUMMYFUNCTION("""COMPUTED_VALUE"""),"1740334703622")</f>
        <v>1740334703622</v>
      </c>
      <c r="B5062" s="2"/>
      <c r="C5062" s="2" t="str">
        <v>0</v>
      </c>
      <c r="D5062" s="2"/>
      <c r="F5062" s="2" t="str">
        <v>0</v>
      </c>
      <c r="I5062" s="3" t="str">
        <f ca="1">IFERROR(__xludf.DUMMYFUNCTION("""COMPUTED_VALUE"""),"Lê Việt Trinh")</f>
        <v>Lê Việt Trinh</v>
      </c>
      <c r="J5062" s="3" t="str">
        <f ca="1">IFERROR(__xludf.DUMMYFUNCTION("""COMPUTED_VALUE"""),"0388076150")</f>
        <v>0388076150</v>
      </c>
      <c r="K5062" s="2" t="str">
        <f ca="1">IFERROR(__xludf.DUMMYFUNCTION("""COMPUTED_VALUE"""),"1740334703622")</f>
        <v>1740334703622</v>
      </c>
    </row>
    <row r="5063" spans="1:11" ht="12.45">
      <c r="A5063" s="2" t="str">
        <f ca="1">IFERROR(__xludf.DUMMYFUNCTION("""COMPUTED_VALUE"""),"1740334737979")</f>
        <v>1740334737979</v>
      </c>
      <c r="B5063" s="2"/>
      <c r="C5063" s="2" t="str">
        <v>0</v>
      </c>
      <c r="D5063" s="2"/>
      <c r="F5063" s="2" t="str">
        <v>0</v>
      </c>
      <c r="I5063" s="3" t="str">
        <f ca="1">IFERROR(__xludf.DUMMYFUNCTION("""COMPUTED_VALUE"""),"Nguyễn Minh Thư ")</f>
        <v xml:space="preserve">Nguyễn Minh Thư </v>
      </c>
      <c r="J5063" s="3" t="str">
        <f ca="1">IFERROR(__xludf.DUMMYFUNCTION("""COMPUTED_VALUE"""),"0366397648")</f>
        <v>0366397648</v>
      </c>
      <c r="K5063" s="2" t="str">
        <f ca="1">IFERROR(__xludf.DUMMYFUNCTION("""COMPUTED_VALUE"""),"1740334737979")</f>
        <v>1740334737979</v>
      </c>
    </row>
    <row r="5064" spans="1:11" ht="12.45">
      <c r="A5064" s="2" t="str">
        <f ca="1">IFERROR(__xludf.DUMMYFUNCTION("""COMPUTED_VALUE"""),"1740334781851")</f>
        <v>1740334781851</v>
      </c>
      <c r="B5064" s="2"/>
      <c r="C5064" s="2" t="str">
        <v>0</v>
      </c>
      <c r="D5064" s="2"/>
      <c r="F5064" s="2" t="str">
        <v>0</v>
      </c>
      <c r="I5064" s="3" t="str">
        <f ca="1">IFERROR(__xludf.DUMMYFUNCTION("""COMPUTED_VALUE"""),"Đào Diễm Phương Anh")</f>
        <v>Đào Diễm Phương Anh</v>
      </c>
      <c r="J5064" s="3" t="str">
        <f ca="1">IFERROR(__xludf.DUMMYFUNCTION("""COMPUTED_VALUE"""),"0325869240")</f>
        <v>0325869240</v>
      </c>
      <c r="K5064" s="2" t="str">
        <f ca="1">IFERROR(__xludf.DUMMYFUNCTION("""COMPUTED_VALUE"""),"1740334781851")</f>
        <v>1740334781851</v>
      </c>
    </row>
    <row r="5065" spans="1:11" ht="12.45">
      <c r="A5065" s="2" t="str">
        <f ca="1">IFERROR(__xludf.DUMMYFUNCTION("""COMPUTED_VALUE"""),"1740334814055")</f>
        <v>1740334814055</v>
      </c>
      <c r="B5065" s="2"/>
      <c r="C5065" s="2" t="str">
        <v>0</v>
      </c>
      <c r="D5065" s="2"/>
      <c r="F5065" s="2" t="str">
        <v>0</v>
      </c>
      <c r="I5065" s="3" t="str">
        <f ca="1">IFERROR(__xludf.DUMMYFUNCTION("""COMPUTED_VALUE"""),"Huỳnh Mai Khanh")</f>
        <v>Huỳnh Mai Khanh</v>
      </c>
      <c r="J5065" s="3" t="str">
        <f ca="1">IFERROR(__xludf.DUMMYFUNCTION("""COMPUTED_VALUE"""),"0584039139")</f>
        <v>0584039139</v>
      </c>
      <c r="K5065" s="2" t="str">
        <f ca="1">IFERROR(__xludf.DUMMYFUNCTION("""COMPUTED_VALUE"""),"1740334814055")</f>
        <v>1740334814055</v>
      </c>
    </row>
    <row r="5066" spans="1:11" ht="12.45">
      <c r="A5066" s="2" t="str">
        <f ca="1">IFERROR(__xludf.DUMMYFUNCTION("""COMPUTED_VALUE"""),"1740334875900")</f>
        <v>1740334875900</v>
      </c>
      <c r="B5066" s="2"/>
      <c r="C5066" s="2" t="str">
        <v>0</v>
      </c>
      <c r="D5066" s="2"/>
      <c r="F5066" s="2" t="str">
        <v>0</v>
      </c>
      <c r="I5066" s="3" t="str">
        <f ca="1">IFERROR(__xludf.DUMMYFUNCTION("""COMPUTED_VALUE"""),"Nguyễn Vân Anh")</f>
        <v>Nguyễn Vân Anh</v>
      </c>
      <c r="J5066" s="3" t="str">
        <f ca="1">IFERROR(__xludf.DUMMYFUNCTION("""COMPUTED_VALUE"""),"0844848269")</f>
        <v>0844848269</v>
      </c>
      <c r="K5066" s="2" t="str">
        <f ca="1">IFERROR(__xludf.DUMMYFUNCTION("""COMPUTED_VALUE"""),"1740334875900")</f>
        <v>1740334875900</v>
      </c>
    </row>
    <row r="5067" spans="1:11" ht="12.45">
      <c r="A5067" s="2" t="str">
        <f ca="1">IFERROR(__xludf.DUMMYFUNCTION("""COMPUTED_VALUE"""),"1740334913529")</f>
        <v>1740334913529</v>
      </c>
      <c r="B5067" s="2"/>
      <c r="C5067" s="2" t="str">
        <v>0</v>
      </c>
      <c r="D5067" s="2"/>
      <c r="F5067" s="2" t="str">
        <v>0</v>
      </c>
      <c r="I5067" s="3" t="str">
        <f ca="1">IFERROR(__xludf.DUMMYFUNCTION("""COMPUTED_VALUE"""),"Nguyễn Tùng Dương ")</f>
        <v xml:space="preserve">Nguyễn Tùng Dương </v>
      </c>
      <c r="J5067" s="3" t="str">
        <f ca="1">IFERROR(__xludf.DUMMYFUNCTION("""COMPUTED_VALUE"""),"0866039537")</f>
        <v>0866039537</v>
      </c>
      <c r="K5067" s="2" t="str">
        <f ca="1">IFERROR(__xludf.DUMMYFUNCTION("""COMPUTED_VALUE"""),"1740334913529")</f>
        <v>1740334913529</v>
      </c>
    </row>
    <row r="5068" spans="1:11" ht="12.45">
      <c r="A5068" s="2" t="str">
        <f ca="1">IFERROR(__xludf.DUMMYFUNCTION("""COMPUTED_VALUE"""),"1740334948165")</f>
        <v>1740334948165</v>
      </c>
      <c r="B5068" s="2"/>
      <c r="C5068" s="2" t="str">
        <v>0</v>
      </c>
      <c r="D5068" s="2"/>
      <c r="F5068" s="2" t="str">
        <v>0</v>
      </c>
      <c r="I5068" s="3" t="str">
        <f ca="1">IFERROR(__xludf.DUMMYFUNCTION("""COMPUTED_VALUE"""),"Đặng Bích Ngọc ")</f>
        <v xml:space="preserve">Đặng Bích Ngọc </v>
      </c>
      <c r="J5068" s="3" t="str">
        <f ca="1">IFERROR(__xludf.DUMMYFUNCTION("""COMPUTED_VALUE"""),"0379319416")</f>
        <v>0379319416</v>
      </c>
      <c r="K5068" s="2" t="str">
        <f ca="1">IFERROR(__xludf.DUMMYFUNCTION("""COMPUTED_VALUE"""),"1740334948165")</f>
        <v>1740334948165</v>
      </c>
    </row>
    <row r="5069" spans="1:11" ht="12.45">
      <c r="A5069" s="2" t="str">
        <f ca="1">IFERROR(__xludf.DUMMYFUNCTION("""COMPUTED_VALUE"""),"Không giao sách")</f>
        <v>Không giao sách</v>
      </c>
      <c r="B5069" s="2"/>
      <c r="C5069" s="2" t="str">
        <v>0</v>
      </c>
      <c r="D5069" s="2"/>
      <c r="F5069" s="2" t="str">
        <v>0</v>
      </c>
      <c r="I5069" s="3" t="str">
        <f ca="1">IFERROR(__xludf.DUMMYFUNCTION("""COMPUTED_VALUE"""),"Đặng Bích Ngọc ")</f>
        <v xml:space="preserve">Đặng Bích Ngọc </v>
      </c>
      <c r="J5069" s="3" t="str">
        <f ca="1">IFERROR(__xludf.DUMMYFUNCTION("""COMPUTED_VALUE"""),"0379319416")</f>
        <v>0379319416</v>
      </c>
      <c r="K5069" s="2" t="str">
        <f ca="1">IFERROR(__xludf.DUMMYFUNCTION("""COMPUTED_VALUE"""),"Không giao sách")</f>
        <v>Không giao sách</v>
      </c>
    </row>
    <row r="5070" spans="1:11" ht="12.45">
      <c r="A5070" s="2" t="str">
        <f ca="1">IFERROR(__xludf.DUMMYFUNCTION("""COMPUTED_VALUE"""),"1740334980822")</f>
        <v>1740334980822</v>
      </c>
      <c r="B5070" s="2"/>
      <c r="C5070" s="2" t="str">
        <v>0</v>
      </c>
      <c r="D5070" s="2"/>
      <c r="F5070" s="2" t="str">
        <v>0</v>
      </c>
      <c r="I5070" s="3" t="str">
        <f ca="1">IFERROR(__xludf.DUMMYFUNCTION("""COMPUTED_VALUE"""),"Võ Phạm Khánh Ngân")</f>
        <v>Võ Phạm Khánh Ngân</v>
      </c>
      <c r="J5070" s="3" t="str">
        <f ca="1">IFERROR(__xludf.DUMMYFUNCTION("""COMPUTED_VALUE"""),"0842724472")</f>
        <v>0842724472</v>
      </c>
      <c r="K5070" s="2" t="str">
        <f ca="1">IFERROR(__xludf.DUMMYFUNCTION("""COMPUTED_VALUE"""),"1740334980822")</f>
        <v>1740334980822</v>
      </c>
    </row>
    <row r="5071" spans="1:11" ht="12.45">
      <c r="A5071" s="2" t="str">
        <f ca="1">IFERROR(__xludf.DUMMYFUNCTION("""COMPUTED_VALUE"""),"1741816837243")</f>
        <v>1741816837243</v>
      </c>
      <c r="B5071" s="2"/>
      <c r="C5071" s="2" t="str">
        <v>0</v>
      </c>
      <c r="D5071" s="2"/>
      <c r="F5071" s="2" t="str">
        <v>0</v>
      </c>
      <c r="I5071" s="3" t="str">
        <f ca="1">IFERROR(__xludf.DUMMYFUNCTION("""COMPUTED_VALUE"""),"Lê hoàng hải")</f>
        <v>Lê hoàng hải</v>
      </c>
      <c r="J5071" s="3" t="str">
        <f ca="1">IFERROR(__xludf.DUMMYFUNCTION("""COMPUTED_VALUE"""),"0814582311")</f>
        <v>0814582311</v>
      </c>
      <c r="K5071" s="2" t="str">
        <f ca="1">IFERROR(__xludf.DUMMYFUNCTION("""COMPUTED_VALUE"""),"1741816837243")</f>
        <v>1741816837243</v>
      </c>
    </row>
    <row r="5072" spans="1:11" ht="12.45">
      <c r="A5072" s="2" t="str">
        <f ca="1">IFERROR(__xludf.DUMMYFUNCTION("""COMPUTED_VALUE"""),"1741816893853")</f>
        <v>1741816893853</v>
      </c>
      <c r="B5072" s="2"/>
      <c r="C5072" s="2" t="str">
        <v>0</v>
      </c>
      <c r="D5072" s="2"/>
      <c r="F5072" s="2" t="str">
        <v>0</v>
      </c>
      <c r="I5072" s="3" t="str">
        <f ca="1">IFERROR(__xludf.DUMMYFUNCTION("""COMPUTED_VALUE"""),"Nguyễn Ngọc Thảo")</f>
        <v>Nguyễn Ngọc Thảo</v>
      </c>
      <c r="J5072" s="3" t="str">
        <f ca="1">IFERROR(__xludf.DUMMYFUNCTION("""COMPUTED_VALUE"""),"0988131682")</f>
        <v>0988131682</v>
      </c>
      <c r="K5072" s="2" t="str">
        <f ca="1">IFERROR(__xludf.DUMMYFUNCTION("""COMPUTED_VALUE"""),"1741816893853")</f>
        <v>1741816893853</v>
      </c>
    </row>
    <row r="5073" spans="1:11" ht="12.45">
      <c r="A5073" s="2" t="str">
        <f ca="1">IFERROR(__xludf.DUMMYFUNCTION("""COMPUTED_VALUE"""),"1741816959468")</f>
        <v>1741816959468</v>
      </c>
      <c r="B5073" s="2"/>
      <c r="C5073" s="2" t="str">
        <v>0</v>
      </c>
      <c r="D5073" s="2"/>
      <c r="F5073" s="2" t="str">
        <v>0</v>
      </c>
      <c r="I5073" s="3" t="str">
        <f ca="1">IFERROR(__xludf.DUMMYFUNCTION("""COMPUTED_VALUE"""),"Nguyễn Đoàn Phương Uyên")</f>
        <v>Nguyễn Đoàn Phương Uyên</v>
      </c>
      <c r="J5073" s="3" t="str">
        <f ca="1">IFERROR(__xludf.DUMMYFUNCTION("""COMPUTED_VALUE"""),"0395905318")</f>
        <v>0395905318</v>
      </c>
      <c r="K5073" s="2" t="str">
        <f ca="1">IFERROR(__xludf.DUMMYFUNCTION("""COMPUTED_VALUE"""),"1741816959468")</f>
        <v>1741816959468</v>
      </c>
    </row>
    <row r="5074" spans="1:11" ht="12.45">
      <c r="A5074" s="2" t="str">
        <f ca="1">IFERROR(__xludf.DUMMYFUNCTION("""COMPUTED_VALUE"""),"1741817010124")</f>
        <v>1741817010124</v>
      </c>
      <c r="B5074" s="2"/>
      <c r="C5074" s="2" t="str">
        <v>0</v>
      </c>
      <c r="D5074" s="2"/>
      <c r="F5074" s="2" t="str">
        <v>0</v>
      </c>
      <c r="I5074" s="3" t="str">
        <f ca="1">IFERROR(__xludf.DUMMYFUNCTION("""COMPUTED_VALUE"""),"LÊ Việt Hoàng ")</f>
        <v xml:space="preserve">LÊ Việt Hoàng </v>
      </c>
      <c r="J5074" s="3" t="str">
        <f ca="1">IFERROR(__xludf.DUMMYFUNCTION("""COMPUTED_VALUE"""),"0352964233")</f>
        <v>0352964233</v>
      </c>
      <c r="K5074" s="2" t="str">
        <f ca="1">IFERROR(__xludf.DUMMYFUNCTION("""COMPUTED_VALUE"""),"1741817010124")</f>
        <v>1741817010124</v>
      </c>
    </row>
    <row r="5075" spans="1:11" ht="12.45">
      <c r="A5075" s="2" t="str">
        <f ca="1">IFERROR(__xludf.DUMMYFUNCTION("""COMPUTED_VALUE"""),"1741817075645")</f>
        <v>1741817075645</v>
      </c>
      <c r="B5075" s="2"/>
      <c r="C5075" s="2" t="str">
        <v>0</v>
      </c>
      <c r="D5075" s="2"/>
      <c r="F5075" s="2" t="str">
        <v>0</v>
      </c>
      <c r="I5075" s="3" t="str">
        <f ca="1">IFERROR(__xludf.DUMMYFUNCTION("""COMPUTED_VALUE"""),"Lê Nguyễn Huỳnh Trâm ")</f>
        <v xml:space="preserve">Lê Nguyễn Huỳnh Trâm </v>
      </c>
      <c r="J5075" s="3" t="str">
        <f ca="1">IFERROR(__xludf.DUMMYFUNCTION("""COMPUTED_VALUE"""),"0385680507")</f>
        <v>0385680507</v>
      </c>
      <c r="K5075" s="2" t="str">
        <f ca="1">IFERROR(__xludf.DUMMYFUNCTION("""COMPUTED_VALUE"""),"1741817075645")</f>
        <v>1741817075645</v>
      </c>
    </row>
    <row r="5076" spans="1:11" ht="12.45">
      <c r="A5076" s="2" t="str">
        <f ca="1">IFERROR(__xludf.DUMMYFUNCTION("""COMPUTED_VALUE"""),"1741817150265")</f>
        <v>1741817150265</v>
      </c>
      <c r="B5076" s="2"/>
      <c r="C5076" s="2" t="str">
        <v>0</v>
      </c>
      <c r="D5076" s="2"/>
      <c r="F5076" s="2" t="str">
        <v>0</v>
      </c>
      <c r="I5076" s="3" t="str">
        <f ca="1">IFERROR(__xludf.DUMMYFUNCTION("""COMPUTED_VALUE"""),"Nguyễn Phương Anh ")</f>
        <v xml:space="preserve">Nguyễn Phương Anh </v>
      </c>
      <c r="J5076" s="3" t="str">
        <f ca="1">IFERROR(__xludf.DUMMYFUNCTION("""COMPUTED_VALUE"""),"0862206018")</f>
        <v>0862206018</v>
      </c>
      <c r="K5076" s="2" t="str">
        <f ca="1">IFERROR(__xludf.DUMMYFUNCTION("""COMPUTED_VALUE"""),"1741817150265")</f>
        <v>1741817150265</v>
      </c>
    </row>
    <row r="5077" spans="1:11" ht="12.45">
      <c r="A5077" s="2" t="str">
        <f ca="1">IFERROR(__xludf.DUMMYFUNCTION("""COMPUTED_VALUE"""),"1741817193983")</f>
        <v>1741817193983</v>
      </c>
      <c r="B5077" s="2"/>
      <c r="C5077" s="2" t="str">
        <v>0</v>
      </c>
      <c r="D5077" s="2"/>
      <c r="F5077" s="2" t="str">
        <v>0</v>
      </c>
      <c r="I5077" s="3" t="str">
        <f ca="1">IFERROR(__xludf.DUMMYFUNCTION("""COMPUTED_VALUE"""),"Lành Thị Bạch Dương")</f>
        <v>Lành Thị Bạch Dương</v>
      </c>
      <c r="J5077" s="3" t="str">
        <f ca="1">IFERROR(__xludf.DUMMYFUNCTION("""COMPUTED_VALUE"""),"0366515495")</f>
        <v>0366515495</v>
      </c>
      <c r="K5077" s="2" t="str">
        <f ca="1">IFERROR(__xludf.DUMMYFUNCTION("""COMPUTED_VALUE"""),"1741817193983")</f>
        <v>1741817193983</v>
      </c>
    </row>
    <row r="5078" spans="1:11" ht="12.45">
      <c r="A5078" s="2" t="str">
        <f ca="1">IFERROR(__xludf.DUMMYFUNCTION("""COMPUTED_VALUE"""),"1741817239583")</f>
        <v>1741817239583</v>
      </c>
      <c r="B5078" s="2"/>
      <c r="C5078" s="2" t="str">
        <v>0</v>
      </c>
      <c r="D5078" s="2"/>
      <c r="F5078" s="2" t="str">
        <v>0</v>
      </c>
      <c r="I5078" s="3" t="str">
        <f ca="1">IFERROR(__xludf.DUMMYFUNCTION("""COMPUTED_VALUE"""),"Giang Thuỳ Dương")</f>
        <v>Giang Thuỳ Dương</v>
      </c>
      <c r="J5078" s="3" t="str">
        <f ca="1">IFERROR(__xludf.DUMMYFUNCTION("""COMPUTED_VALUE"""),"0327178807")</f>
        <v>0327178807</v>
      </c>
      <c r="K5078" s="2" t="str">
        <f ca="1">IFERROR(__xludf.DUMMYFUNCTION("""COMPUTED_VALUE"""),"1741817239583")</f>
        <v>1741817239583</v>
      </c>
    </row>
    <row r="5079" spans="1:11" ht="12.45">
      <c r="A5079" s="2" t="str">
        <f ca="1">IFERROR(__xludf.DUMMYFUNCTION("""COMPUTED_VALUE"""),"1741817298578")</f>
        <v>1741817298578</v>
      </c>
      <c r="B5079" s="2"/>
      <c r="C5079" s="2" t="str">
        <v>0</v>
      </c>
      <c r="D5079" s="2"/>
      <c r="F5079" s="2" t="str">
        <v>0</v>
      </c>
      <c r="I5079" s="3" t="str">
        <f ca="1">IFERROR(__xludf.DUMMYFUNCTION("""COMPUTED_VALUE"""),"Đỗ Tố Như")</f>
        <v>Đỗ Tố Như</v>
      </c>
      <c r="J5079" s="3" t="str">
        <f ca="1">IFERROR(__xludf.DUMMYFUNCTION("""COMPUTED_VALUE"""),"0394060568")</f>
        <v>0394060568</v>
      </c>
      <c r="K5079" s="2" t="str">
        <f ca="1">IFERROR(__xludf.DUMMYFUNCTION("""COMPUTED_VALUE"""),"1741817298578")</f>
        <v>1741817298578</v>
      </c>
    </row>
    <row r="5080" spans="1:11" ht="12.45">
      <c r="A5080" s="2" t="str">
        <f ca="1">IFERROR(__xludf.DUMMYFUNCTION("""COMPUTED_VALUE"""),"1741817355798")</f>
        <v>1741817355798</v>
      </c>
      <c r="B5080" s="2"/>
      <c r="C5080" s="2" t="str">
        <v>0</v>
      </c>
      <c r="D5080" s="2"/>
      <c r="F5080" s="2" t="str">
        <v>0</v>
      </c>
      <c r="I5080" s="3" t="str">
        <f ca="1">IFERROR(__xludf.DUMMYFUNCTION("""COMPUTED_VALUE"""),"Dương Thị Nhã Phương")</f>
        <v>Dương Thị Nhã Phương</v>
      </c>
      <c r="J5080" s="3" t="str">
        <f ca="1">IFERROR(__xludf.DUMMYFUNCTION("""COMPUTED_VALUE"""),"0375116524")</f>
        <v>0375116524</v>
      </c>
      <c r="K5080" s="2" t="str">
        <f ca="1">IFERROR(__xludf.DUMMYFUNCTION("""COMPUTED_VALUE"""),"1741817355798")</f>
        <v>1741817355798</v>
      </c>
    </row>
    <row r="5081" spans="1:11" ht="12.45">
      <c r="A5081" s="2" t="str">
        <f ca="1">IFERROR(__xludf.DUMMYFUNCTION("""COMPUTED_VALUE"""),"1741817420208")</f>
        <v>1741817420208</v>
      </c>
      <c r="B5081" s="2"/>
      <c r="C5081" s="2" t="str">
        <v>0</v>
      </c>
      <c r="D5081" s="2"/>
      <c r="F5081" s="2" t="str">
        <v>0</v>
      </c>
      <c r="I5081" s="3" t="str">
        <f ca="1">IFERROR(__xludf.DUMMYFUNCTION("""COMPUTED_VALUE"""),"Đinh Thị Hồng Diễm")</f>
        <v>Đinh Thị Hồng Diễm</v>
      </c>
      <c r="J5081" s="3" t="str">
        <f ca="1">IFERROR(__xludf.DUMMYFUNCTION("""COMPUTED_VALUE"""),"0328143778")</f>
        <v>0328143778</v>
      </c>
      <c r="K5081" s="2" t="str">
        <f ca="1">IFERROR(__xludf.DUMMYFUNCTION("""COMPUTED_VALUE"""),"1741817420208")</f>
        <v>1741817420208</v>
      </c>
    </row>
    <row r="5082" spans="1:11" ht="12.45">
      <c r="A5082" s="2" t="str">
        <f ca="1">IFERROR(__xludf.DUMMYFUNCTION("""COMPUTED_VALUE"""),"1741817466815")</f>
        <v>1741817466815</v>
      </c>
      <c r="B5082" s="2"/>
      <c r="C5082" s="2" t="str">
        <v>0</v>
      </c>
      <c r="D5082" s="2"/>
      <c r="F5082" s="2" t="str">
        <v>0</v>
      </c>
      <c r="I5082" s="3" t="str">
        <f ca="1">IFERROR(__xludf.DUMMYFUNCTION("""COMPUTED_VALUE"""),"Trần Khánh Linh")</f>
        <v>Trần Khánh Linh</v>
      </c>
      <c r="J5082" s="3" t="str">
        <f ca="1">IFERROR(__xludf.DUMMYFUNCTION("""COMPUTED_VALUE"""),"0363949816")</f>
        <v>0363949816</v>
      </c>
      <c r="K5082" s="2" t="str">
        <f ca="1">IFERROR(__xludf.DUMMYFUNCTION("""COMPUTED_VALUE"""),"1741817466815")</f>
        <v>1741817466815</v>
      </c>
    </row>
    <row r="5083" spans="1:11" ht="12.45">
      <c r="A5083" s="2" t="str">
        <f ca="1">IFERROR(__xludf.DUMMYFUNCTION("""COMPUTED_VALUE"""),"1741817518433")</f>
        <v>1741817518433</v>
      </c>
      <c r="B5083" s="2"/>
      <c r="C5083" s="2" t="str">
        <v>0</v>
      </c>
      <c r="D5083" s="2"/>
      <c r="F5083" s="2" t="str">
        <v>0</v>
      </c>
      <c r="I5083" s="3" t="str">
        <f ca="1">IFERROR(__xludf.DUMMYFUNCTION("""COMPUTED_VALUE"""),"nguyễn diệu thái")</f>
        <v>nguyễn diệu thái</v>
      </c>
      <c r="J5083" s="3" t="str">
        <f ca="1">IFERROR(__xludf.DUMMYFUNCTION("""COMPUTED_VALUE"""),"0342574179")</f>
        <v>0342574179</v>
      </c>
      <c r="K5083" s="2" t="str">
        <f ca="1">IFERROR(__xludf.DUMMYFUNCTION("""COMPUTED_VALUE"""),"1741817518433")</f>
        <v>1741817518433</v>
      </c>
    </row>
    <row r="5084" spans="1:11" ht="12.45">
      <c r="A5084" s="2" t="str">
        <f ca="1">IFERROR(__xludf.DUMMYFUNCTION("""COMPUTED_VALUE"""),"1741817571603")</f>
        <v>1741817571603</v>
      </c>
      <c r="B5084" s="2"/>
      <c r="C5084" s="2" t="str">
        <v>0</v>
      </c>
      <c r="D5084" s="2"/>
      <c r="F5084" s="2" t="str">
        <v>0</v>
      </c>
      <c r="I5084" s="3" t="str">
        <f ca="1">IFERROR(__xludf.DUMMYFUNCTION("""COMPUTED_VALUE"""),"Đặng Anh Duy")</f>
        <v>Đặng Anh Duy</v>
      </c>
      <c r="J5084" s="3" t="str">
        <f ca="1">IFERROR(__xludf.DUMMYFUNCTION("""COMPUTED_VALUE"""),"0925227447")</f>
        <v>0925227447</v>
      </c>
      <c r="K5084" s="2" t="str">
        <f ca="1">IFERROR(__xludf.DUMMYFUNCTION("""COMPUTED_VALUE"""),"1741817571603")</f>
        <v>1741817571603</v>
      </c>
    </row>
    <row r="5085" spans="1:11" ht="12.45">
      <c r="A5085" s="2" t="str">
        <f ca="1">IFERROR(__xludf.DUMMYFUNCTION("""COMPUTED_VALUE"""),"1741817606784")</f>
        <v>1741817606784</v>
      </c>
      <c r="B5085" s="2"/>
      <c r="C5085" s="2" t="str">
        <v>0</v>
      </c>
      <c r="D5085" s="2"/>
      <c r="F5085" s="2" t="str">
        <v>0</v>
      </c>
      <c r="I5085" s="3" t="str">
        <f ca="1">IFERROR(__xludf.DUMMYFUNCTION("""COMPUTED_VALUE"""),"Bùi Ngọc Yến Nhi")</f>
        <v>Bùi Ngọc Yến Nhi</v>
      </c>
      <c r="J5085" s="3" t="str">
        <f ca="1">IFERROR(__xludf.DUMMYFUNCTION("""COMPUTED_VALUE"""),"0823142007")</f>
        <v>0823142007</v>
      </c>
      <c r="K5085" s="2" t="str">
        <f ca="1">IFERROR(__xludf.DUMMYFUNCTION("""COMPUTED_VALUE"""),"1741817606784")</f>
        <v>1741817606784</v>
      </c>
    </row>
    <row r="5086" spans="1:11" ht="12.45">
      <c r="A5086" s="2" t="str">
        <f ca="1">IFERROR(__xludf.DUMMYFUNCTION("""COMPUTED_VALUE"""),"1741817664160")</f>
        <v>1741817664160</v>
      </c>
      <c r="B5086" s="2"/>
      <c r="C5086" s="2" t="str">
        <v>0</v>
      </c>
      <c r="D5086" s="2"/>
      <c r="F5086" s="2" t="str">
        <v>0</v>
      </c>
      <c r="I5086" s="3" t="str">
        <f ca="1">IFERROR(__xludf.DUMMYFUNCTION("""COMPUTED_VALUE"""),"phan vũ phương thảo ")</f>
        <v xml:space="preserve">phan vũ phương thảo </v>
      </c>
      <c r="J5086" s="3" t="str">
        <f ca="1">IFERROR(__xludf.DUMMYFUNCTION("""COMPUTED_VALUE"""),"0813900545")</f>
        <v>0813900545</v>
      </c>
      <c r="K5086" s="2" t="str">
        <f ca="1">IFERROR(__xludf.DUMMYFUNCTION("""COMPUTED_VALUE"""),"1741817664160")</f>
        <v>1741817664160</v>
      </c>
    </row>
    <row r="5087" spans="1:11" ht="12.45">
      <c r="A5087" s="2" t="str">
        <f ca="1">IFERROR(__xludf.DUMMYFUNCTION("""COMPUTED_VALUE"""),"1741817738921")</f>
        <v>1741817738921</v>
      </c>
      <c r="B5087" s="2"/>
      <c r="C5087" s="2" t="str">
        <v>0</v>
      </c>
      <c r="D5087" s="2"/>
      <c r="F5087" s="2" t="str">
        <v>0</v>
      </c>
      <c r="I5087" s="3" t="str">
        <f ca="1">IFERROR(__xludf.DUMMYFUNCTION("""COMPUTED_VALUE"""),"Quảng Khánh Băng")</f>
        <v>Quảng Khánh Băng</v>
      </c>
      <c r="J5087" s="3" t="str">
        <f ca="1">IFERROR(__xludf.DUMMYFUNCTION("""COMPUTED_VALUE"""),"0337649776")</f>
        <v>0337649776</v>
      </c>
      <c r="K5087" s="2" t="str">
        <f ca="1">IFERROR(__xludf.DUMMYFUNCTION("""COMPUTED_VALUE"""),"1741817738921")</f>
        <v>1741817738921</v>
      </c>
    </row>
    <row r="5088" spans="1:11" ht="12.45">
      <c r="A5088" s="2" t="str">
        <f ca="1">IFERROR(__xludf.DUMMYFUNCTION("""COMPUTED_VALUE"""),"1741817780044")</f>
        <v>1741817780044</v>
      </c>
      <c r="B5088" s="2"/>
      <c r="C5088" s="2" t="str">
        <v>0</v>
      </c>
      <c r="D5088" s="2"/>
      <c r="F5088" s="2" t="str">
        <v>0</v>
      </c>
      <c r="I5088" s="3" t="str">
        <f ca="1">IFERROR(__xludf.DUMMYFUNCTION("""COMPUTED_VALUE"""),"Trần Xuân Bách Hợp")</f>
        <v>Trần Xuân Bách Hợp</v>
      </c>
      <c r="J5088" s="3" t="str">
        <f ca="1">IFERROR(__xludf.DUMMYFUNCTION("""COMPUTED_VALUE"""),"0902969882")</f>
        <v>0902969882</v>
      </c>
      <c r="K5088" s="2" t="str">
        <f ca="1">IFERROR(__xludf.DUMMYFUNCTION("""COMPUTED_VALUE"""),"1741817780044")</f>
        <v>1741817780044</v>
      </c>
    </row>
    <row r="5089" spans="1:11" ht="12.45">
      <c r="A5089" s="2" t="str">
        <f ca="1">IFERROR(__xludf.DUMMYFUNCTION("""COMPUTED_VALUE"""),"1741817838566")</f>
        <v>1741817838566</v>
      </c>
      <c r="B5089" s="2"/>
      <c r="C5089" s="2" t="str">
        <v>0</v>
      </c>
      <c r="D5089" s="2"/>
      <c r="F5089" s="2" t="str">
        <v>0</v>
      </c>
      <c r="I5089" s="3" t="str">
        <f ca="1">IFERROR(__xludf.DUMMYFUNCTION("""COMPUTED_VALUE"""),"Nguyễn Phạm Tuyết Minh ")</f>
        <v xml:space="preserve">Nguyễn Phạm Tuyết Minh </v>
      </c>
      <c r="J5089" s="3" t="str">
        <f ca="1">IFERROR(__xludf.DUMMYFUNCTION("""COMPUTED_VALUE"""),"0846553366")</f>
        <v>0846553366</v>
      </c>
      <c r="K5089" s="2" t="str">
        <f ca="1">IFERROR(__xludf.DUMMYFUNCTION("""COMPUTED_VALUE"""),"1741817838566")</f>
        <v>1741817838566</v>
      </c>
    </row>
    <row r="5090" spans="1:11" ht="12.45">
      <c r="A5090" s="2" t="str">
        <f ca="1">IFERROR(__xludf.DUMMYFUNCTION("""COMPUTED_VALUE"""),"1741817873862")</f>
        <v>1741817873862</v>
      </c>
      <c r="B5090" s="2"/>
      <c r="C5090" s="2" t="str">
        <v>0</v>
      </c>
      <c r="D5090" s="2"/>
      <c r="F5090" s="2" t="str">
        <v>0</v>
      </c>
      <c r="I5090" s="3" t="str">
        <f ca="1">IFERROR(__xludf.DUMMYFUNCTION("""COMPUTED_VALUE"""),"Lưu Thảo Anh")</f>
        <v>Lưu Thảo Anh</v>
      </c>
      <c r="J5090" s="3" t="str">
        <f ca="1">IFERROR(__xludf.DUMMYFUNCTION("""COMPUTED_VALUE"""),"0971782225")</f>
        <v>0971782225</v>
      </c>
      <c r="K5090" s="2" t="str">
        <f ca="1">IFERROR(__xludf.DUMMYFUNCTION("""COMPUTED_VALUE"""),"1741817873862")</f>
        <v>1741817873862</v>
      </c>
    </row>
    <row r="5091" spans="1:11" ht="12.45">
      <c r="A5091" s="2" t="str">
        <f ca="1">IFERROR(__xludf.DUMMYFUNCTION("""COMPUTED_VALUE"""),"1741817932005")</f>
        <v>1741817932005</v>
      </c>
      <c r="B5091" s="2"/>
      <c r="C5091" s="2" t="str">
        <v>0</v>
      </c>
      <c r="D5091" s="2"/>
      <c r="F5091" s="2" t="str">
        <v>0</v>
      </c>
      <c r="I5091" s="3" t="str">
        <f ca="1">IFERROR(__xludf.DUMMYFUNCTION("""COMPUTED_VALUE"""),"Nguyễn Thị Thu Ngân")</f>
        <v>Nguyễn Thị Thu Ngân</v>
      </c>
      <c r="J5091" s="3" t="str">
        <f ca="1">IFERROR(__xludf.DUMMYFUNCTION("""COMPUTED_VALUE"""),"0353472461")</f>
        <v>0353472461</v>
      </c>
      <c r="K5091" s="2" t="str">
        <f ca="1">IFERROR(__xludf.DUMMYFUNCTION("""COMPUTED_VALUE"""),"1741817932005")</f>
        <v>1741817932005</v>
      </c>
    </row>
    <row r="5092" spans="1:11" ht="12.45">
      <c r="A5092" s="2" t="str">
        <f ca="1">IFERROR(__xludf.DUMMYFUNCTION("""COMPUTED_VALUE"""),"1741817979417")</f>
        <v>1741817979417</v>
      </c>
      <c r="B5092" s="2"/>
      <c r="C5092" s="2" t="str">
        <v>0</v>
      </c>
      <c r="D5092" s="2"/>
      <c r="F5092" s="2" t="str">
        <v>0</v>
      </c>
      <c r="I5092" s="3" t="str">
        <f ca="1">IFERROR(__xludf.DUMMYFUNCTION("""COMPUTED_VALUE"""),"Huỳnh Thị Thu An ")</f>
        <v xml:space="preserve">Huỳnh Thị Thu An </v>
      </c>
      <c r="J5092" s="3" t="str">
        <f ca="1">IFERROR(__xludf.DUMMYFUNCTION("""COMPUTED_VALUE"""),"0934141495")</f>
        <v>0934141495</v>
      </c>
      <c r="K5092" s="2" t="str">
        <f ca="1">IFERROR(__xludf.DUMMYFUNCTION("""COMPUTED_VALUE"""),"1741817979417")</f>
        <v>1741817979417</v>
      </c>
    </row>
    <row r="5093" spans="1:11" ht="12.45">
      <c r="A5093" s="2" t="str">
        <f ca="1">IFERROR(__xludf.DUMMYFUNCTION("""COMPUTED_VALUE"""),"1741818039679")</f>
        <v>1741818039679</v>
      </c>
      <c r="B5093" s="2"/>
      <c r="C5093" s="2" t="str">
        <v>0</v>
      </c>
      <c r="D5093" s="2"/>
      <c r="F5093" s="2" t="str">
        <v>0</v>
      </c>
      <c r="I5093" s="3" t="str">
        <f ca="1">IFERROR(__xludf.DUMMYFUNCTION("""COMPUTED_VALUE"""),"Phạm Phương Thảo")</f>
        <v>Phạm Phương Thảo</v>
      </c>
      <c r="J5093" s="3" t="str">
        <f ca="1">IFERROR(__xludf.DUMMYFUNCTION("""COMPUTED_VALUE"""),"0983006300")</f>
        <v>0983006300</v>
      </c>
      <c r="K5093" s="2" t="str">
        <f ca="1">IFERROR(__xludf.DUMMYFUNCTION("""COMPUTED_VALUE"""),"1741818039679")</f>
        <v>1741818039679</v>
      </c>
    </row>
    <row r="5094" spans="1:11" ht="12.45">
      <c r="A5094" s="2" t="str">
        <f ca="1">IFERROR(__xludf.DUMMYFUNCTION("""COMPUTED_VALUE"""),"1741818113854")</f>
        <v>1741818113854</v>
      </c>
      <c r="B5094" s="2"/>
      <c r="C5094" s="2" t="str">
        <v>0</v>
      </c>
      <c r="D5094" s="2"/>
      <c r="F5094" s="2" t="str">
        <v>0</v>
      </c>
      <c r="I5094" s="3" t="str">
        <f ca="1">IFERROR(__xludf.DUMMYFUNCTION("""COMPUTED_VALUE"""),"NGUYỄN LÊ PHƯƠNG ANH")</f>
        <v>NGUYỄN LÊ PHƯƠNG ANH</v>
      </c>
      <c r="J5094" s="3" t="str">
        <f ca="1">IFERROR(__xludf.DUMMYFUNCTION("""COMPUTED_VALUE"""),"0972828878")</f>
        <v>0972828878</v>
      </c>
      <c r="K5094" s="2" t="str">
        <f ca="1">IFERROR(__xludf.DUMMYFUNCTION("""COMPUTED_VALUE"""),"1741818113854")</f>
        <v>1741818113854</v>
      </c>
    </row>
    <row r="5095" spans="1:11" ht="12.45">
      <c r="A5095" s="2" t="str">
        <f ca="1">IFERROR(__xludf.DUMMYFUNCTION("""COMPUTED_VALUE"""),"1741818163449")</f>
        <v>1741818163449</v>
      </c>
      <c r="B5095" s="2"/>
      <c r="C5095" s="2" t="str">
        <v>0</v>
      </c>
      <c r="D5095" s="2"/>
      <c r="F5095" s="2" t="str">
        <v>0</v>
      </c>
      <c r="I5095" s="3" t="str">
        <f ca="1">IFERROR(__xludf.DUMMYFUNCTION("""COMPUTED_VALUE"""),"Nguyễn Ngọc Phương Nhi")</f>
        <v>Nguyễn Ngọc Phương Nhi</v>
      </c>
      <c r="J5095" s="3" t="str">
        <f ca="1">IFERROR(__xludf.DUMMYFUNCTION("""COMPUTED_VALUE"""),"0938770956")</f>
        <v>0938770956</v>
      </c>
      <c r="K5095" s="2" t="str">
        <f ca="1">IFERROR(__xludf.DUMMYFUNCTION("""COMPUTED_VALUE"""),"1741818163449")</f>
        <v>1741818163449</v>
      </c>
    </row>
    <row r="5096" spans="1:11" ht="12.45">
      <c r="A5096" s="2" t="str">
        <f ca="1">IFERROR(__xludf.DUMMYFUNCTION("""COMPUTED_VALUE"""),"1741818227447")</f>
        <v>1741818227447</v>
      </c>
      <c r="B5096" s="2"/>
      <c r="C5096" s="2" t="str">
        <v>0</v>
      </c>
      <c r="D5096" s="2"/>
      <c r="F5096" s="2" t="str">
        <v>0</v>
      </c>
      <c r="I5096" s="3" t="str">
        <f ca="1">IFERROR(__xludf.DUMMYFUNCTION("""COMPUTED_VALUE"""),"Phạm Thị Thu Phương")</f>
        <v>Phạm Thị Thu Phương</v>
      </c>
      <c r="J5096" s="3" t="str">
        <f ca="1">IFERROR(__xludf.DUMMYFUNCTION("""COMPUTED_VALUE"""),"0982958715")</f>
        <v>0982958715</v>
      </c>
      <c r="K5096" s="2" t="str">
        <f ca="1">IFERROR(__xludf.DUMMYFUNCTION("""COMPUTED_VALUE"""),"1741818227447")</f>
        <v>1741818227447</v>
      </c>
    </row>
    <row r="5097" spans="1:11" ht="12.45">
      <c r="A5097" s="2" t="str">
        <f ca="1">IFERROR(__xludf.DUMMYFUNCTION("""COMPUTED_VALUE"""),"1741818260509")</f>
        <v>1741818260509</v>
      </c>
      <c r="B5097" s="2"/>
      <c r="C5097" s="2" t="str">
        <v>0</v>
      </c>
      <c r="D5097" s="2"/>
      <c r="F5097" s="2" t="str">
        <v>0</v>
      </c>
      <c r="I5097" s="3" t="str">
        <f ca="1">IFERROR(__xludf.DUMMYFUNCTION("""COMPUTED_VALUE"""),"Nguyễn Văn Hải")</f>
        <v>Nguyễn Văn Hải</v>
      </c>
      <c r="J5097" s="3" t="str">
        <f ca="1">IFERROR(__xludf.DUMMYFUNCTION("""COMPUTED_VALUE"""),"0989294873")</f>
        <v>0989294873</v>
      </c>
      <c r="K5097" s="2" t="str">
        <f ca="1">IFERROR(__xludf.DUMMYFUNCTION("""COMPUTED_VALUE"""),"1741818260509")</f>
        <v>1741818260509</v>
      </c>
    </row>
    <row r="5098" spans="1:11" ht="12.45">
      <c r="A5098" s="2" t="str">
        <f ca="1">IFERROR(__xludf.DUMMYFUNCTION("""COMPUTED_VALUE"""),"1741818309368")</f>
        <v>1741818309368</v>
      </c>
      <c r="B5098" s="2"/>
      <c r="C5098" s="2" t="str">
        <v>0</v>
      </c>
      <c r="D5098" s="2"/>
      <c r="F5098" s="2" t="str">
        <v>0</v>
      </c>
      <c r="I5098" s="3" t="str">
        <f ca="1">IFERROR(__xludf.DUMMYFUNCTION("""COMPUTED_VALUE"""),"Phan Hồng Loan")</f>
        <v>Phan Hồng Loan</v>
      </c>
      <c r="J5098" s="3" t="str">
        <f ca="1">IFERROR(__xludf.DUMMYFUNCTION("""COMPUTED_VALUE"""),"0868960703")</f>
        <v>0868960703</v>
      </c>
      <c r="K5098" s="2" t="str">
        <f ca="1">IFERROR(__xludf.DUMMYFUNCTION("""COMPUTED_VALUE"""),"1741818309368")</f>
        <v>1741818309368</v>
      </c>
    </row>
    <row r="5099" spans="1:11" ht="12.45">
      <c r="A5099" s="2" t="str">
        <f ca="1">IFERROR(__xludf.DUMMYFUNCTION("""COMPUTED_VALUE"""),"1741818358191")</f>
        <v>1741818358191</v>
      </c>
      <c r="B5099" s="2"/>
      <c r="C5099" s="2" t="str">
        <v>0</v>
      </c>
      <c r="D5099" s="2"/>
      <c r="F5099" s="2" t="str">
        <v>0</v>
      </c>
      <c r="I5099" s="3" t="str">
        <f ca="1">IFERROR(__xludf.DUMMYFUNCTION("""COMPUTED_VALUE"""),"Trần Bích Trà")</f>
        <v>Trần Bích Trà</v>
      </c>
      <c r="J5099" s="3" t="str">
        <f ca="1">IFERROR(__xludf.DUMMYFUNCTION("""COMPUTED_VALUE"""),"0347194815")</f>
        <v>0347194815</v>
      </c>
      <c r="K5099" s="2" t="str">
        <f ca="1">IFERROR(__xludf.DUMMYFUNCTION("""COMPUTED_VALUE"""),"1741818358191")</f>
        <v>1741818358191</v>
      </c>
    </row>
    <row r="5100" spans="1:11" ht="12.45">
      <c r="A5100" s="2" t="str">
        <f ca="1">IFERROR(__xludf.DUMMYFUNCTION("""COMPUTED_VALUE"""),"1741818425347")</f>
        <v>1741818425347</v>
      </c>
      <c r="B5100" s="2"/>
      <c r="C5100" s="2" t="str">
        <v>0</v>
      </c>
      <c r="D5100" s="2"/>
      <c r="F5100" s="2" t="str">
        <v>0</v>
      </c>
      <c r="I5100" s="3" t="str">
        <f ca="1">IFERROR(__xludf.DUMMYFUNCTION("""COMPUTED_VALUE"""),"Lê Ngọc Phương Nhi ")</f>
        <v xml:space="preserve">Lê Ngọc Phương Nhi </v>
      </c>
      <c r="J5100" s="3" t="str">
        <f ca="1">IFERROR(__xludf.DUMMYFUNCTION("""COMPUTED_VALUE"""),"0935609795")</f>
        <v>0935609795</v>
      </c>
      <c r="K5100" s="2" t="str">
        <f ca="1">IFERROR(__xludf.DUMMYFUNCTION("""COMPUTED_VALUE"""),"1741818425347")</f>
        <v>1741818425347</v>
      </c>
    </row>
    <row r="5101" spans="1:11" ht="12.45">
      <c r="A5101" s="2" t="str">
        <f ca="1">IFERROR(__xludf.DUMMYFUNCTION("""COMPUTED_VALUE"""),"1741818481260")</f>
        <v>1741818481260</v>
      </c>
      <c r="B5101" s="2"/>
      <c r="C5101" s="2" t="str">
        <v>0</v>
      </c>
      <c r="D5101" s="2"/>
      <c r="F5101" s="2" t="str">
        <v>0</v>
      </c>
      <c r="I5101" s="3" t="str">
        <f ca="1">IFERROR(__xludf.DUMMYFUNCTION("""COMPUTED_VALUE"""),"Lê Bảo Anh Thư")</f>
        <v>Lê Bảo Anh Thư</v>
      </c>
      <c r="J5101" s="3" t="str">
        <f ca="1">IFERROR(__xludf.DUMMYFUNCTION("""COMPUTED_VALUE"""),"0373518248")</f>
        <v>0373518248</v>
      </c>
      <c r="K5101" s="2" t="str">
        <f ca="1">IFERROR(__xludf.DUMMYFUNCTION("""COMPUTED_VALUE"""),"1741818481260")</f>
        <v>1741818481260</v>
      </c>
    </row>
    <row r="5102" spans="1:11" ht="12.45">
      <c r="A5102" s="2" t="str">
        <f ca="1">IFERROR(__xludf.DUMMYFUNCTION("""COMPUTED_VALUE"""),"1741818544771")</f>
        <v>1741818544771</v>
      </c>
      <c r="B5102" s="2"/>
      <c r="C5102" s="2" t="str">
        <v>0</v>
      </c>
      <c r="D5102" s="2"/>
      <c r="F5102" s="2" t="str">
        <v>0</v>
      </c>
      <c r="I5102" s="3" t="str">
        <f ca="1">IFERROR(__xludf.DUMMYFUNCTION("""COMPUTED_VALUE"""),"Nguyễn Trần Phương Anh ")</f>
        <v xml:space="preserve">Nguyễn Trần Phương Anh </v>
      </c>
      <c r="J5102" s="3" t="str">
        <f ca="1">IFERROR(__xludf.DUMMYFUNCTION("""COMPUTED_VALUE"""),"0968923020")</f>
        <v>0968923020</v>
      </c>
      <c r="K5102" s="2" t="str">
        <f ca="1">IFERROR(__xludf.DUMMYFUNCTION("""COMPUTED_VALUE"""),"1741818544771")</f>
        <v>1741818544771</v>
      </c>
    </row>
    <row r="5103" spans="1:11" ht="12.45">
      <c r="A5103" s="2" t="str">
        <f ca="1">IFERROR(__xludf.DUMMYFUNCTION("""COMPUTED_VALUE"""),"1741818597991")</f>
        <v>1741818597991</v>
      </c>
      <c r="B5103" s="2"/>
      <c r="C5103" s="2" t="str">
        <v>0</v>
      </c>
      <c r="D5103" s="2"/>
      <c r="F5103" s="2" t="str">
        <v>0</v>
      </c>
      <c r="I5103" s="3" t="str">
        <f ca="1">IFERROR(__xludf.DUMMYFUNCTION("""COMPUTED_VALUE"""),"Lương Ngọc Ánh")</f>
        <v>Lương Ngọc Ánh</v>
      </c>
      <c r="J5103" s="3" t="str">
        <f ca="1">IFERROR(__xludf.DUMMYFUNCTION("""COMPUTED_VALUE"""),"0981415026")</f>
        <v>0981415026</v>
      </c>
      <c r="K5103" s="2" t="str">
        <f ca="1">IFERROR(__xludf.DUMMYFUNCTION("""COMPUTED_VALUE"""),"1741818597991")</f>
        <v>1741818597991</v>
      </c>
    </row>
    <row r="5104" spans="1:11" ht="12.45">
      <c r="A5104" s="2" t="str">
        <f ca="1">IFERROR(__xludf.DUMMYFUNCTION("""COMPUTED_VALUE"""),"1741818678086")</f>
        <v>1741818678086</v>
      </c>
      <c r="B5104" s="2"/>
      <c r="C5104" s="2" t="str">
        <v>0</v>
      </c>
      <c r="D5104" s="2"/>
      <c r="F5104" s="2" t="str">
        <v>0</v>
      </c>
      <c r="I5104" s="3" t="str">
        <f ca="1">IFERROR(__xludf.DUMMYFUNCTION("""COMPUTED_VALUE"""),"Lê Mai Trang")</f>
        <v>Lê Mai Trang</v>
      </c>
      <c r="J5104" s="3" t="str">
        <f ca="1">IFERROR(__xludf.DUMMYFUNCTION("""COMPUTED_VALUE"""),"0913426889")</f>
        <v>0913426889</v>
      </c>
      <c r="K5104" s="2" t="str">
        <f ca="1">IFERROR(__xludf.DUMMYFUNCTION("""COMPUTED_VALUE"""),"1741818678086")</f>
        <v>1741818678086</v>
      </c>
    </row>
    <row r="5105" spans="1:11" ht="12.45">
      <c r="A5105" s="2" t="str">
        <f ca="1">IFERROR(__xludf.DUMMYFUNCTION("""COMPUTED_VALUE"""),"1741818734373")</f>
        <v>1741818734373</v>
      </c>
      <c r="B5105" s="2"/>
      <c r="C5105" s="2" t="str">
        <v>0</v>
      </c>
      <c r="D5105" s="2"/>
      <c r="F5105" s="2" t="str">
        <v>0</v>
      </c>
      <c r="I5105" s="3" t="str">
        <f ca="1">IFERROR(__xludf.DUMMYFUNCTION("""COMPUTED_VALUE"""),"Nguyễn Thị Hoài Ngân")</f>
        <v>Nguyễn Thị Hoài Ngân</v>
      </c>
      <c r="J5105" s="3" t="str">
        <f ca="1">IFERROR(__xludf.DUMMYFUNCTION("""COMPUTED_VALUE"""),"0909186095")</f>
        <v>0909186095</v>
      </c>
      <c r="K5105" s="2" t="str">
        <f ca="1">IFERROR(__xludf.DUMMYFUNCTION("""COMPUTED_VALUE"""),"1741818734373")</f>
        <v>1741818734373</v>
      </c>
    </row>
    <row r="5106" spans="1:11" ht="12.45">
      <c r="A5106" s="2" t="str">
        <f ca="1">IFERROR(__xludf.DUMMYFUNCTION("""COMPUTED_VALUE"""),"1741818809794")</f>
        <v>1741818809794</v>
      </c>
      <c r="B5106" s="2"/>
      <c r="C5106" s="2" t="str">
        <v>0</v>
      </c>
      <c r="D5106" s="2"/>
      <c r="F5106" s="2" t="str">
        <v>0</v>
      </c>
      <c r="I5106" s="3" t="str">
        <f ca="1">IFERROR(__xludf.DUMMYFUNCTION("""COMPUTED_VALUE"""),"Phạm Uyên Nhi")</f>
        <v>Phạm Uyên Nhi</v>
      </c>
      <c r="J5106" s="3" t="str">
        <f ca="1">IFERROR(__xludf.DUMMYFUNCTION("""COMPUTED_VALUE"""),"0795356338")</f>
        <v>0795356338</v>
      </c>
      <c r="K5106" s="2" t="str">
        <f ca="1">IFERROR(__xludf.DUMMYFUNCTION("""COMPUTED_VALUE"""),"1741818809794")</f>
        <v>1741818809794</v>
      </c>
    </row>
    <row r="5107" spans="1:11" ht="12.45">
      <c r="A5107" s="2" t="str">
        <f ca="1">IFERROR(__xludf.DUMMYFUNCTION("""COMPUTED_VALUE"""),"1741818855244")</f>
        <v>1741818855244</v>
      </c>
      <c r="B5107" s="2"/>
      <c r="C5107" s="2" t="str">
        <v>0</v>
      </c>
      <c r="D5107" s="2"/>
      <c r="F5107" s="2" t="str">
        <v>0</v>
      </c>
      <c r="I5107" s="3" t="str">
        <f ca="1">IFERROR(__xludf.DUMMYFUNCTION("""COMPUTED_VALUE"""),"Cao Thị Nhật Hạ ")</f>
        <v xml:space="preserve">Cao Thị Nhật Hạ </v>
      </c>
      <c r="J5107" s="3" t="str">
        <f ca="1">IFERROR(__xludf.DUMMYFUNCTION("""COMPUTED_VALUE"""),"0704842213")</f>
        <v>0704842213</v>
      </c>
      <c r="K5107" s="2" t="str">
        <f ca="1">IFERROR(__xludf.DUMMYFUNCTION("""COMPUTED_VALUE"""),"1741818855244")</f>
        <v>1741818855244</v>
      </c>
    </row>
    <row r="5108" spans="1:11" ht="12.45">
      <c r="A5108" s="2" t="str">
        <f ca="1">IFERROR(__xludf.DUMMYFUNCTION("""COMPUTED_VALUE"""),"1741818898373")</f>
        <v>1741818898373</v>
      </c>
      <c r="B5108" s="2"/>
      <c r="C5108" s="2" t="str">
        <v>0</v>
      </c>
      <c r="D5108" s="2"/>
      <c r="F5108" s="2" t="str">
        <v>0</v>
      </c>
      <c r="I5108" s="3" t="str">
        <f ca="1">IFERROR(__xludf.DUMMYFUNCTION("""COMPUTED_VALUE"""),"Nguyễn Ngọc Huyền")</f>
        <v>Nguyễn Ngọc Huyền</v>
      </c>
      <c r="J5108" s="3" t="str">
        <f ca="1">IFERROR(__xludf.DUMMYFUNCTION("""COMPUTED_VALUE"""),"0332053819")</f>
        <v>0332053819</v>
      </c>
      <c r="K5108" s="2" t="str">
        <f ca="1">IFERROR(__xludf.DUMMYFUNCTION("""COMPUTED_VALUE"""),"1741818898373")</f>
        <v>1741818898373</v>
      </c>
    </row>
    <row r="5109" spans="1:11" ht="12.45">
      <c r="A5109" s="2" t="str">
        <f ca="1">IFERROR(__xludf.DUMMYFUNCTION("""COMPUTED_VALUE"""),"1741818946104")</f>
        <v>1741818946104</v>
      </c>
      <c r="B5109" s="2"/>
      <c r="C5109" s="2" t="str">
        <v>0</v>
      </c>
      <c r="D5109" s="2"/>
      <c r="F5109" s="2" t="str">
        <v>0</v>
      </c>
      <c r="I5109" s="3" t="str">
        <f ca="1">IFERROR(__xludf.DUMMYFUNCTION("""COMPUTED_VALUE"""),"Nguyễn Thu Hằng ")</f>
        <v xml:space="preserve">Nguyễn Thu Hằng </v>
      </c>
      <c r="J5109" s="3" t="str">
        <f ca="1">IFERROR(__xludf.DUMMYFUNCTION("""COMPUTED_VALUE"""),"0984153630")</f>
        <v>0984153630</v>
      </c>
      <c r="K5109" s="2" t="str">
        <f ca="1">IFERROR(__xludf.DUMMYFUNCTION("""COMPUTED_VALUE"""),"1741818946104")</f>
        <v>1741818946104</v>
      </c>
    </row>
    <row r="5110" spans="1:11" ht="12.45">
      <c r="A5110" s="2" t="str">
        <f ca="1">IFERROR(__xludf.DUMMYFUNCTION("""COMPUTED_VALUE"""),"1741818989242")</f>
        <v>1741818989242</v>
      </c>
      <c r="B5110" s="2"/>
      <c r="C5110" s="2" t="str">
        <v>0</v>
      </c>
      <c r="D5110" s="2"/>
      <c r="F5110" s="2" t="str">
        <v>0</v>
      </c>
      <c r="I5110" s="3" t="str">
        <f ca="1">IFERROR(__xludf.DUMMYFUNCTION("""COMPUTED_VALUE"""),"Bùi Thu Trang")</f>
        <v>Bùi Thu Trang</v>
      </c>
      <c r="J5110" s="3" t="str">
        <f ca="1">IFERROR(__xludf.DUMMYFUNCTION("""COMPUTED_VALUE"""),"0836380407")</f>
        <v>0836380407</v>
      </c>
      <c r="K5110" s="2" t="str">
        <f ca="1">IFERROR(__xludf.DUMMYFUNCTION("""COMPUTED_VALUE"""),"1741818989242")</f>
        <v>1741818989242</v>
      </c>
    </row>
    <row r="5111" spans="1:11" ht="12.45">
      <c r="A5111" s="2" t="str">
        <f ca="1">IFERROR(__xludf.DUMMYFUNCTION("""COMPUTED_VALUE"""),"1741819038242")</f>
        <v>1741819038242</v>
      </c>
      <c r="B5111" s="2"/>
      <c r="C5111" s="2" t="str">
        <v>0</v>
      </c>
      <c r="D5111" s="2"/>
      <c r="F5111" s="2" t="str">
        <v>0</v>
      </c>
      <c r="I5111" s="3" t="str">
        <f ca="1">IFERROR(__xludf.DUMMYFUNCTION("""COMPUTED_VALUE"""),"Hoàng Ngọc Quyên")</f>
        <v>Hoàng Ngọc Quyên</v>
      </c>
      <c r="J5111" s="3" t="str">
        <f ca="1">IFERROR(__xludf.DUMMYFUNCTION("""COMPUTED_VALUE"""),"0813010759")</f>
        <v>0813010759</v>
      </c>
      <c r="K5111" s="2" t="str">
        <f ca="1">IFERROR(__xludf.DUMMYFUNCTION("""COMPUTED_VALUE"""),"1741819038242")</f>
        <v>1741819038242</v>
      </c>
    </row>
    <row r="5112" spans="1:11" ht="12.45">
      <c r="A5112" s="2" t="str">
        <f ca="1">IFERROR(__xludf.DUMMYFUNCTION("""COMPUTED_VALUE"""),"1741819104387")</f>
        <v>1741819104387</v>
      </c>
      <c r="B5112" s="2"/>
      <c r="C5112" s="2" t="str">
        <v>0</v>
      </c>
      <c r="D5112" s="2"/>
      <c r="F5112" s="2" t="str">
        <v>0</v>
      </c>
      <c r="I5112" s="3" t="str">
        <f ca="1">IFERROR(__xludf.DUMMYFUNCTION("""COMPUTED_VALUE"""),"Nguyễn Minh Anh ")</f>
        <v xml:space="preserve">Nguyễn Minh Anh </v>
      </c>
      <c r="J5112" s="3" t="str">
        <f ca="1">IFERROR(__xludf.DUMMYFUNCTION("""COMPUTED_VALUE"""),"0866806207")</f>
        <v>0866806207</v>
      </c>
      <c r="K5112" s="2" t="str">
        <f ca="1">IFERROR(__xludf.DUMMYFUNCTION("""COMPUTED_VALUE"""),"1741819104387")</f>
        <v>1741819104387</v>
      </c>
    </row>
    <row r="5113" spans="1:11" ht="12.45">
      <c r="A5113" s="2" t="str">
        <f ca="1">IFERROR(__xludf.DUMMYFUNCTION("""COMPUTED_VALUE"""),"1741819163086")</f>
        <v>1741819163086</v>
      </c>
      <c r="B5113" s="2"/>
      <c r="C5113" s="2" t="str">
        <v>0</v>
      </c>
      <c r="D5113" s="2"/>
      <c r="F5113" s="2" t="str">
        <v>0</v>
      </c>
      <c r="I5113" s="3" t="str">
        <f ca="1">IFERROR(__xludf.DUMMYFUNCTION("""COMPUTED_VALUE"""),"Phạm Hiền An ")</f>
        <v xml:space="preserve">Phạm Hiền An </v>
      </c>
      <c r="J5113" s="3" t="str">
        <f ca="1">IFERROR(__xludf.DUMMYFUNCTION("""COMPUTED_VALUE"""),"0349253695")</f>
        <v>0349253695</v>
      </c>
      <c r="K5113" s="2" t="str">
        <f ca="1">IFERROR(__xludf.DUMMYFUNCTION("""COMPUTED_VALUE"""),"1741819163086")</f>
        <v>1741819163086</v>
      </c>
    </row>
    <row r="5114" spans="1:11" ht="12.45">
      <c r="A5114" s="2" t="str">
        <f ca="1">IFERROR(__xludf.DUMMYFUNCTION("""COMPUTED_VALUE"""),"1741819207070")</f>
        <v>1741819207070</v>
      </c>
      <c r="B5114" s="2"/>
      <c r="C5114" s="2" t="str">
        <v>0</v>
      </c>
      <c r="D5114" s="2"/>
      <c r="F5114" s="2" t="str">
        <v>0</v>
      </c>
      <c r="I5114" s="3" t="str">
        <f ca="1">IFERROR(__xludf.DUMMYFUNCTION("""COMPUTED_VALUE"""),"Vòng Gia Nghi")</f>
        <v>Vòng Gia Nghi</v>
      </c>
      <c r="J5114" s="3" t="str">
        <f ca="1">IFERROR(__xludf.DUMMYFUNCTION("""COMPUTED_VALUE"""),"0913157175")</f>
        <v>0913157175</v>
      </c>
      <c r="K5114" s="2" t="str">
        <f ca="1">IFERROR(__xludf.DUMMYFUNCTION("""COMPUTED_VALUE"""),"1741819207070")</f>
        <v>1741819207070</v>
      </c>
    </row>
    <row r="5115" spans="1:11" ht="12.45">
      <c r="A5115" s="2" t="str">
        <f ca="1">IFERROR(__xludf.DUMMYFUNCTION("""COMPUTED_VALUE"""),"1741819268433")</f>
        <v>1741819268433</v>
      </c>
      <c r="B5115" s="2"/>
      <c r="C5115" s="2" t="str">
        <v>0</v>
      </c>
      <c r="D5115" s="2"/>
      <c r="F5115" s="2" t="str">
        <v>0</v>
      </c>
      <c r="I5115" s="3" t="str">
        <f ca="1">IFERROR(__xludf.DUMMYFUNCTION("""COMPUTED_VALUE"""),"Nguyễn Phương Hoa")</f>
        <v>Nguyễn Phương Hoa</v>
      </c>
      <c r="J5115" s="3" t="str">
        <f ca="1">IFERROR(__xludf.DUMMYFUNCTION("""COMPUTED_VALUE"""),"0392506398")</f>
        <v>0392506398</v>
      </c>
      <c r="K5115" s="2" t="str">
        <f ca="1">IFERROR(__xludf.DUMMYFUNCTION("""COMPUTED_VALUE"""),"1741819268433")</f>
        <v>1741819268433</v>
      </c>
    </row>
    <row r="5116" spans="1:11" ht="12.45">
      <c r="A5116" s="2" t="str">
        <f ca="1">IFERROR(__xludf.DUMMYFUNCTION("""COMPUTED_VALUE"""),"1741819328575")</f>
        <v>1741819328575</v>
      </c>
      <c r="B5116" s="2"/>
      <c r="C5116" s="2" t="str">
        <v>0</v>
      </c>
      <c r="D5116" s="2"/>
      <c r="F5116" s="2" t="str">
        <v>0</v>
      </c>
      <c r="I5116" s="3" t="str">
        <f ca="1">IFERROR(__xludf.DUMMYFUNCTION("""COMPUTED_VALUE"""),"Phan Huỳnh Anh Thư")</f>
        <v>Phan Huỳnh Anh Thư</v>
      </c>
      <c r="J5116" s="3" t="str">
        <f ca="1">IFERROR(__xludf.DUMMYFUNCTION("""COMPUTED_VALUE"""),"0839772144")</f>
        <v>0839772144</v>
      </c>
      <c r="K5116" s="2" t="str">
        <f ca="1">IFERROR(__xludf.DUMMYFUNCTION("""COMPUTED_VALUE"""),"1741819328575")</f>
        <v>1741819328575</v>
      </c>
    </row>
    <row r="5117" spans="1:11" ht="12.45">
      <c r="A5117" s="2" t="str">
        <f ca="1">IFERROR(__xludf.DUMMYFUNCTION("""COMPUTED_VALUE"""),"1741819380920")</f>
        <v>1741819380920</v>
      </c>
      <c r="B5117" s="2"/>
      <c r="C5117" s="2" t="str">
        <v>0</v>
      </c>
      <c r="D5117" s="2"/>
      <c r="F5117" s="2" t="str">
        <v>0</v>
      </c>
      <c r="I5117" s="3" t="str">
        <f ca="1">IFERROR(__xludf.DUMMYFUNCTION("""COMPUTED_VALUE"""),"Lê Quốc Huy ")</f>
        <v xml:space="preserve">Lê Quốc Huy </v>
      </c>
      <c r="J5117" s="3" t="str">
        <f ca="1">IFERROR(__xludf.DUMMYFUNCTION("""COMPUTED_VALUE"""),"0866847253")</f>
        <v>0866847253</v>
      </c>
      <c r="K5117" s="2" t="str">
        <f ca="1">IFERROR(__xludf.DUMMYFUNCTION("""COMPUTED_VALUE"""),"1741819380920")</f>
        <v>1741819380920</v>
      </c>
    </row>
    <row r="5118" spans="1:11" ht="12.45">
      <c r="A5118" s="2" t="str">
        <f ca="1">IFERROR(__xludf.DUMMYFUNCTION("""COMPUTED_VALUE"""),"1741819439575")</f>
        <v>1741819439575</v>
      </c>
      <c r="B5118" s="2"/>
      <c r="C5118" s="2" t="str">
        <v>0</v>
      </c>
      <c r="D5118" s="2"/>
      <c r="F5118" s="2" t="str">
        <v>0</v>
      </c>
      <c r="I5118" s="3" t="str">
        <f ca="1">IFERROR(__xludf.DUMMYFUNCTION("""COMPUTED_VALUE""")," Đỗ Ngọc Kiều Trâm")</f>
        <v xml:space="preserve"> Đỗ Ngọc Kiều Trâm</v>
      </c>
      <c r="J5118" s="3" t="str">
        <f ca="1">IFERROR(__xludf.DUMMYFUNCTION("""COMPUTED_VALUE"""),"0965417145")</f>
        <v>0965417145</v>
      </c>
      <c r="K5118" s="2" t="str">
        <f ca="1">IFERROR(__xludf.DUMMYFUNCTION("""COMPUTED_VALUE"""),"1741819439575")</f>
        <v>1741819439575</v>
      </c>
    </row>
    <row r="5119" spans="1:11" ht="12.45">
      <c r="A5119" s="2" t="str">
        <f ca="1">IFERROR(__xludf.DUMMYFUNCTION("""COMPUTED_VALUE"""),"1741819513909")</f>
        <v>1741819513909</v>
      </c>
      <c r="B5119" s="2"/>
      <c r="C5119" s="2" t="str">
        <v>0</v>
      </c>
      <c r="D5119" s="2"/>
      <c r="F5119" s="2" t="str">
        <v>0</v>
      </c>
      <c r="I5119" s="3" t="str">
        <f ca="1">IFERROR(__xludf.DUMMYFUNCTION("""COMPUTED_VALUE"""),"Trương Tuấn Đạt")</f>
        <v>Trương Tuấn Đạt</v>
      </c>
      <c r="J5119" s="3" t="str">
        <f ca="1">IFERROR(__xludf.DUMMYFUNCTION("""COMPUTED_VALUE"""),"0349768705")</f>
        <v>0349768705</v>
      </c>
      <c r="K5119" s="2" t="str">
        <f ca="1">IFERROR(__xludf.DUMMYFUNCTION("""COMPUTED_VALUE"""),"1741819513909")</f>
        <v>1741819513909</v>
      </c>
    </row>
    <row r="5120" spans="1:11" ht="12.45">
      <c r="A5120" s="2" t="str">
        <f ca="1">IFERROR(__xludf.DUMMYFUNCTION("""COMPUTED_VALUE"""),"1741819559962")</f>
        <v>1741819559962</v>
      </c>
      <c r="B5120" s="2"/>
      <c r="C5120" s="2" t="str">
        <v>0</v>
      </c>
      <c r="D5120" s="2"/>
      <c r="F5120" s="2" t="str">
        <v>0</v>
      </c>
      <c r="I5120" s="3" t="str">
        <f ca="1">IFERROR(__xludf.DUMMYFUNCTION("""COMPUTED_VALUE"""),"Phùng Thị Ngọc Ánh")</f>
        <v>Phùng Thị Ngọc Ánh</v>
      </c>
      <c r="J5120" s="3" t="str">
        <f ca="1">IFERROR(__xludf.DUMMYFUNCTION("""COMPUTED_VALUE"""),"0326120305")</f>
        <v>0326120305</v>
      </c>
      <c r="K5120" s="2" t="str">
        <f ca="1">IFERROR(__xludf.DUMMYFUNCTION("""COMPUTED_VALUE"""),"1741819559962")</f>
        <v>1741819559962</v>
      </c>
    </row>
    <row r="5121" spans="1:11" ht="12.45">
      <c r="A5121" s="2" t="str">
        <f ca="1">IFERROR(__xludf.DUMMYFUNCTION("""COMPUTED_VALUE"""),"1741819608726")</f>
        <v>1741819608726</v>
      </c>
      <c r="B5121" s="2"/>
      <c r="C5121" s="2" t="str">
        <v>0</v>
      </c>
      <c r="D5121" s="2"/>
      <c r="F5121" s="2" t="str">
        <v>0</v>
      </c>
      <c r="I5121" s="3" t="str">
        <f ca="1">IFERROR(__xludf.DUMMYFUNCTION("""COMPUTED_VALUE"""),"Lưu Nguyễn Kim Dung")</f>
        <v>Lưu Nguyễn Kim Dung</v>
      </c>
      <c r="J5121" s="3" t="str">
        <f ca="1">IFERROR(__xludf.DUMMYFUNCTION("""COMPUTED_VALUE"""),"0949251878")</f>
        <v>0949251878</v>
      </c>
      <c r="K5121" s="2" t="str">
        <f ca="1">IFERROR(__xludf.DUMMYFUNCTION("""COMPUTED_VALUE"""),"1741819608726")</f>
        <v>1741819608726</v>
      </c>
    </row>
    <row r="5122" spans="1:11" ht="12.45">
      <c r="A5122" s="2" t="str">
        <f ca="1">IFERROR(__xludf.DUMMYFUNCTION("""COMPUTED_VALUE"""),"1741819654785")</f>
        <v>1741819654785</v>
      </c>
      <c r="B5122" s="2"/>
      <c r="C5122" s="2" t="str">
        <v>0</v>
      </c>
      <c r="D5122" s="2"/>
      <c r="F5122" s="2" t="str">
        <v>0</v>
      </c>
      <c r="I5122" s="3" t="str">
        <f ca="1">IFERROR(__xludf.DUMMYFUNCTION("""COMPUTED_VALUE"""),"Lò Thu Uyên")</f>
        <v>Lò Thu Uyên</v>
      </c>
      <c r="J5122" s="3" t="str">
        <f ca="1">IFERROR(__xludf.DUMMYFUNCTION("""COMPUTED_VALUE"""),"0394812007")</f>
        <v>0394812007</v>
      </c>
      <c r="K5122" s="2" t="str">
        <f ca="1">IFERROR(__xludf.DUMMYFUNCTION("""COMPUTED_VALUE"""),"1741819654785")</f>
        <v>1741819654785</v>
      </c>
    </row>
    <row r="5123" spans="1:11" ht="12.45">
      <c r="A5123" s="2" t="str">
        <f ca="1">IFERROR(__xludf.DUMMYFUNCTION("""COMPUTED_VALUE"""),"1741819719196")</f>
        <v>1741819719196</v>
      </c>
      <c r="B5123" s="2"/>
      <c r="C5123" s="2" t="str">
        <v>0</v>
      </c>
      <c r="D5123" s="2"/>
      <c r="F5123" s="2" t="str">
        <v>0</v>
      </c>
      <c r="I5123" s="3" t="str">
        <f ca="1">IFERROR(__xludf.DUMMYFUNCTION("""COMPUTED_VALUE"""),"Lương đoàn quang huy")</f>
        <v>Lương đoàn quang huy</v>
      </c>
      <c r="J5123" s="3" t="str">
        <f ca="1">IFERROR(__xludf.DUMMYFUNCTION("""COMPUTED_VALUE"""),"0333305424")</f>
        <v>0333305424</v>
      </c>
      <c r="K5123" s="2" t="str">
        <f ca="1">IFERROR(__xludf.DUMMYFUNCTION("""COMPUTED_VALUE"""),"1741819719196")</f>
        <v>1741819719196</v>
      </c>
    </row>
    <row r="5124" spans="1:11" ht="12.45">
      <c r="A5124" s="2" t="str">
        <f ca="1">IFERROR(__xludf.DUMMYFUNCTION("""COMPUTED_VALUE"""),"1741819797950")</f>
        <v>1741819797950</v>
      </c>
      <c r="B5124" s="2"/>
      <c r="C5124" s="2" t="str">
        <v>0</v>
      </c>
      <c r="D5124" s="2"/>
      <c r="F5124" s="2" t="str">
        <v>0</v>
      </c>
      <c r="I5124" s="3" t="str">
        <f ca="1">IFERROR(__xludf.DUMMYFUNCTION("""COMPUTED_VALUE"""),"Bành Phương Vy")</f>
        <v>Bành Phương Vy</v>
      </c>
      <c r="J5124" s="3" t="str">
        <f ca="1">IFERROR(__xludf.DUMMYFUNCTION("""COMPUTED_VALUE"""),"0939772763")</f>
        <v>0939772763</v>
      </c>
      <c r="K5124" s="2" t="str">
        <f ca="1">IFERROR(__xludf.DUMMYFUNCTION("""COMPUTED_VALUE"""),"1741819797950")</f>
        <v>1741819797950</v>
      </c>
    </row>
    <row r="5125" spans="1:11" ht="12.45">
      <c r="A5125" s="2" t="str">
        <f ca="1">IFERROR(__xludf.DUMMYFUNCTION("""COMPUTED_VALUE"""),"1741819842811")</f>
        <v>1741819842811</v>
      </c>
      <c r="B5125" s="2"/>
      <c r="C5125" s="2" t="str">
        <v>0</v>
      </c>
      <c r="D5125" s="2"/>
      <c r="F5125" s="2" t="str">
        <v>0</v>
      </c>
      <c r="I5125" s="3" t="str">
        <f ca="1">IFERROR(__xludf.DUMMYFUNCTION("""COMPUTED_VALUE"""),"Vương Thị Tuyết ")</f>
        <v xml:space="preserve">Vương Thị Tuyết </v>
      </c>
      <c r="J5125" s="3" t="str">
        <f ca="1">IFERROR(__xludf.DUMMYFUNCTION("""COMPUTED_VALUE"""),"0866145988")</f>
        <v>0866145988</v>
      </c>
      <c r="K5125" s="2" t="str">
        <f ca="1">IFERROR(__xludf.DUMMYFUNCTION("""COMPUTED_VALUE"""),"1741819842811")</f>
        <v>1741819842811</v>
      </c>
    </row>
    <row r="5126" spans="1:11" ht="12.45">
      <c r="A5126" s="2" t="str">
        <f ca="1">IFERROR(__xludf.DUMMYFUNCTION("""COMPUTED_VALUE"""),"1741819878746")</f>
        <v>1741819878746</v>
      </c>
      <c r="B5126" s="2"/>
      <c r="C5126" s="2" t="str">
        <v>0</v>
      </c>
      <c r="D5126" s="2"/>
      <c r="F5126" s="2" t="str">
        <v>0</v>
      </c>
      <c r="I5126" s="3" t="str">
        <f ca="1">IFERROR(__xludf.DUMMYFUNCTION("""COMPUTED_VALUE"""),"Nguyễn Phương Thảo")</f>
        <v>Nguyễn Phương Thảo</v>
      </c>
      <c r="J5126" s="3" t="str">
        <f ca="1">IFERROR(__xludf.DUMMYFUNCTION("""COMPUTED_VALUE"""),"0865388851")</f>
        <v>0865388851</v>
      </c>
      <c r="K5126" s="2" t="str">
        <f ca="1">IFERROR(__xludf.DUMMYFUNCTION("""COMPUTED_VALUE"""),"1741819878746")</f>
        <v>1741819878746</v>
      </c>
    </row>
    <row r="5127" spans="1:11" ht="12.45">
      <c r="A5127" s="2" t="str">
        <f ca="1">IFERROR(__xludf.DUMMYFUNCTION("""COMPUTED_VALUE"""),"1741819941703")</f>
        <v>1741819941703</v>
      </c>
      <c r="B5127" s="2"/>
      <c r="C5127" s="2" t="str">
        <v>0</v>
      </c>
      <c r="D5127" s="2"/>
      <c r="F5127" s="2" t="str">
        <v>0</v>
      </c>
      <c r="I5127" s="3" t="str">
        <f ca="1">IFERROR(__xludf.DUMMYFUNCTION("""COMPUTED_VALUE"""),"Phạm Hồng Anh")</f>
        <v>Phạm Hồng Anh</v>
      </c>
      <c r="J5127" s="3" t="str">
        <f ca="1">IFERROR(__xludf.DUMMYFUNCTION("""COMPUTED_VALUE"""),"0937479229")</f>
        <v>0937479229</v>
      </c>
      <c r="K5127" s="2" t="str">
        <f ca="1">IFERROR(__xludf.DUMMYFUNCTION("""COMPUTED_VALUE"""),"1741819941703")</f>
        <v>1741819941703</v>
      </c>
    </row>
    <row r="5128" spans="1:11" ht="12.45">
      <c r="A5128" s="2" t="str">
        <f ca="1">IFERROR(__xludf.DUMMYFUNCTION("""COMPUTED_VALUE"""),"1741820016365")</f>
        <v>1741820016365</v>
      </c>
      <c r="B5128" s="2"/>
      <c r="C5128" s="2" t="str">
        <v>0</v>
      </c>
      <c r="D5128" s="2"/>
      <c r="F5128" s="2" t="str">
        <v>0</v>
      </c>
      <c r="I5128" s="3" t="str">
        <f ca="1">IFERROR(__xludf.DUMMYFUNCTION("""COMPUTED_VALUE"""),"Hoàng Diệu Linh")</f>
        <v>Hoàng Diệu Linh</v>
      </c>
      <c r="J5128" s="3" t="str">
        <f ca="1">IFERROR(__xludf.DUMMYFUNCTION("""COMPUTED_VALUE"""),"0933285145")</f>
        <v>0933285145</v>
      </c>
      <c r="K5128" s="2" t="str">
        <f ca="1">IFERROR(__xludf.DUMMYFUNCTION("""COMPUTED_VALUE"""),"1741820016365")</f>
        <v>1741820016365</v>
      </c>
    </row>
    <row r="5129" spans="1:11" ht="12.45">
      <c r="A5129" s="2" t="str">
        <f ca="1">IFERROR(__xludf.DUMMYFUNCTION("""COMPUTED_VALUE"""),"1741820066234")</f>
        <v>1741820066234</v>
      </c>
      <c r="B5129" s="2"/>
      <c r="C5129" s="2" t="str">
        <v>0</v>
      </c>
      <c r="D5129" s="2"/>
      <c r="F5129" s="2" t="str">
        <v>0</v>
      </c>
      <c r="I5129" s="3" t="str">
        <f ca="1">IFERROR(__xludf.DUMMYFUNCTION("""COMPUTED_VALUE"""),"Hứa Thị Quỳnh Trang ")</f>
        <v xml:space="preserve">Hứa Thị Quỳnh Trang </v>
      </c>
      <c r="J5129" s="3" t="str">
        <f ca="1">IFERROR(__xludf.DUMMYFUNCTION("""COMPUTED_VALUE"""),"0358659418")</f>
        <v>0358659418</v>
      </c>
      <c r="K5129" s="2" t="str">
        <f ca="1">IFERROR(__xludf.DUMMYFUNCTION("""COMPUTED_VALUE"""),"1741820066234")</f>
        <v>1741820066234</v>
      </c>
    </row>
    <row r="5130" spans="1:11" ht="12.45">
      <c r="A5130" s="2" t="str">
        <f ca="1">IFERROR(__xludf.DUMMYFUNCTION("""COMPUTED_VALUE"""),"1741820110509")</f>
        <v>1741820110509</v>
      </c>
      <c r="B5130" s="2"/>
      <c r="C5130" s="2" t="str">
        <v>0</v>
      </c>
      <c r="D5130" s="2"/>
      <c r="F5130" s="2" t="str">
        <v>0</v>
      </c>
      <c r="I5130" s="3" t="str">
        <f ca="1">IFERROR(__xludf.DUMMYFUNCTION("""COMPUTED_VALUE"""),"Phan Khánh Huyền")</f>
        <v>Phan Khánh Huyền</v>
      </c>
      <c r="J5130" s="3" t="str">
        <f ca="1">IFERROR(__xludf.DUMMYFUNCTION("""COMPUTED_VALUE"""),"0813040116")</f>
        <v>0813040116</v>
      </c>
      <c r="K5130" s="2" t="str">
        <f ca="1">IFERROR(__xludf.DUMMYFUNCTION("""COMPUTED_VALUE"""),"1741820110509")</f>
        <v>1741820110509</v>
      </c>
    </row>
    <row r="5131" spans="1:11" ht="12.45">
      <c r="A5131" s="2" t="str">
        <f ca="1">IFERROR(__xludf.DUMMYFUNCTION("""COMPUTED_VALUE"""),"1741820172528")</f>
        <v>1741820172528</v>
      </c>
      <c r="B5131" s="2"/>
      <c r="C5131" s="2" t="str">
        <v>0</v>
      </c>
      <c r="D5131" s="2"/>
      <c r="F5131" s="2" t="str">
        <v>0</v>
      </c>
      <c r="I5131" s="3" t="str">
        <f ca="1">IFERROR(__xludf.DUMMYFUNCTION("""COMPUTED_VALUE"""),"Nguyễn Quỳnh Trang ")</f>
        <v xml:space="preserve">Nguyễn Quỳnh Trang </v>
      </c>
      <c r="J5131" s="3" t="str">
        <f ca="1">IFERROR(__xludf.DUMMYFUNCTION("""COMPUTED_VALUE"""),"0382808966")</f>
        <v>0382808966</v>
      </c>
      <c r="K5131" s="2" t="str">
        <f ca="1">IFERROR(__xludf.DUMMYFUNCTION("""COMPUTED_VALUE"""),"1741820172528")</f>
        <v>1741820172528</v>
      </c>
    </row>
    <row r="5132" spans="1:11" ht="12.45">
      <c r="A5132" s="2" t="str">
        <f ca="1">IFERROR(__xludf.DUMMYFUNCTION("""COMPUTED_VALUE"""),"1741820255679")</f>
        <v>1741820255679</v>
      </c>
      <c r="B5132" s="2"/>
      <c r="C5132" s="2" t="str">
        <v>0</v>
      </c>
      <c r="D5132" s="2"/>
      <c r="F5132" s="2" t="str">
        <v>0</v>
      </c>
      <c r="I5132" s="3" t="str">
        <f ca="1">IFERROR(__xludf.DUMMYFUNCTION("""COMPUTED_VALUE"""),"Hà thanh chúc")</f>
        <v>Hà thanh chúc</v>
      </c>
      <c r="J5132" s="3" t="str">
        <f ca="1">IFERROR(__xludf.DUMMYFUNCTION("""COMPUTED_VALUE"""),"0333387936")</f>
        <v>0333387936</v>
      </c>
      <c r="K5132" s="2" t="str">
        <f ca="1">IFERROR(__xludf.DUMMYFUNCTION("""COMPUTED_VALUE"""),"1741820255679")</f>
        <v>1741820255679</v>
      </c>
    </row>
    <row r="5133" spans="1:11" ht="12.45">
      <c r="A5133" s="2" t="str">
        <f ca="1">IFERROR(__xludf.DUMMYFUNCTION("""COMPUTED_VALUE"""),"1741820298698")</f>
        <v>1741820298698</v>
      </c>
      <c r="B5133" s="2"/>
      <c r="C5133" s="2" t="str">
        <v>0</v>
      </c>
      <c r="D5133" s="2"/>
      <c r="F5133" s="2" t="str">
        <v>0</v>
      </c>
      <c r="I5133" s="3" t="str">
        <f ca="1">IFERROR(__xludf.DUMMYFUNCTION("""COMPUTED_VALUE"""),"Trần Quyên Anh ")</f>
        <v xml:space="preserve">Trần Quyên Anh </v>
      </c>
      <c r="J5133" s="3" t="str">
        <f ca="1">IFERROR(__xludf.DUMMYFUNCTION("""COMPUTED_VALUE"""),"0848456118")</f>
        <v>0848456118</v>
      </c>
      <c r="K5133" s="2" t="str">
        <f ca="1">IFERROR(__xludf.DUMMYFUNCTION("""COMPUTED_VALUE"""),"1741820298698")</f>
        <v>1741820298698</v>
      </c>
    </row>
    <row r="5134" spans="1:11" ht="12.45">
      <c r="A5134" s="2" t="str">
        <f ca="1">IFERROR(__xludf.DUMMYFUNCTION("""COMPUTED_VALUE"""),"1741820386778")</f>
        <v>1741820386778</v>
      </c>
      <c r="B5134" s="2"/>
      <c r="C5134" s="2" t="str">
        <v>0</v>
      </c>
      <c r="D5134" s="2"/>
      <c r="F5134" s="2" t="str">
        <v>0</v>
      </c>
      <c r="I5134" s="3" t="str">
        <f ca="1">IFERROR(__xludf.DUMMYFUNCTION("""COMPUTED_VALUE"""),"nguyễn thị kim anh ")</f>
        <v xml:space="preserve">nguyễn thị kim anh </v>
      </c>
      <c r="J5134" s="3" t="str">
        <f ca="1">IFERROR(__xludf.DUMMYFUNCTION("""COMPUTED_VALUE"""),"0971610230")</f>
        <v>0971610230</v>
      </c>
      <c r="K5134" s="2" t="str">
        <f ca="1">IFERROR(__xludf.DUMMYFUNCTION("""COMPUTED_VALUE"""),"1741820386778")</f>
        <v>1741820386778</v>
      </c>
    </row>
    <row r="5135" spans="1:11" ht="12.45">
      <c r="A5135" s="2" t="str">
        <f ca="1">IFERROR(__xludf.DUMMYFUNCTION("""COMPUTED_VALUE"""),"1741820448334")</f>
        <v>1741820448334</v>
      </c>
      <c r="B5135" s="2"/>
      <c r="C5135" s="2" t="str">
        <v>0</v>
      </c>
      <c r="D5135" s="2"/>
      <c r="F5135" s="2" t="str">
        <v>0</v>
      </c>
      <c r="I5135" s="3" t="str">
        <f ca="1">IFERROR(__xludf.DUMMYFUNCTION("""COMPUTED_VALUE"""),"Đỗ Kim Ngân")</f>
        <v>Đỗ Kim Ngân</v>
      </c>
      <c r="J5135" s="3" t="str">
        <f ca="1">IFERROR(__xludf.DUMMYFUNCTION("""COMPUTED_VALUE"""),"0362918996")</f>
        <v>0362918996</v>
      </c>
      <c r="K5135" s="2" t="str">
        <f ca="1">IFERROR(__xludf.DUMMYFUNCTION("""COMPUTED_VALUE"""),"1741820448334")</f>
        <v>1741820448334</v>
      </c>
    </row>
    <row r="5136" spans="1:11" ht="12.45">
      <c r="A5136" s="2" t="str">
        <f ca="1">IFERROR(__xludf.DUMMYFUNCTION("""COMPUTED_VALUE"""),"1741820493131")</f>
        <v>1741820493131</v>
      </c>
      <c r="B5136" s="2"/>
      <c r="C5136" s="2" t="str">
        <v>0</v>
      </c>
      <c r="D5136" s="2"/>
      <c r="F5136" s="2" t="str">
        <v>0</v>
      </c>
      <c r="I5136" s="3" t="str">
        <f ca="1">IFERROR(__xludf.DUMMYFUNCTION("""COMPUTED_VALUE"""),"Vũ Trần Ngân Thương")</f>
        <v>Vũ Trần Ngân Thương</v>
      </c>
      <c r="J5136" s="3" t="str">
        <f ca="1">IFERROR(__xludf.DUMMYFUNCTION("""COMPUTED_VALUE"""),"0343486259")</f>
        <v>0343486259</v>
      </c>
      <c r="K5136" s="2" t="str">
        <f ca="1">IFERROR(__xludf.DUMMYFUNCTION("""COMPUTED_VALUE"""),"1741820493131")</f>
        <v>1741820493131</v>
      </c>
    </row>
    <row r="5137" spans="1:11" ht="12.45">
      <c r="A5137" s="2" t="str">
        <f ca="1">IFERROR(__xludf.DUMMYFUNCTION("""COMPUTED_VALUE"""),"1741820557650")</f>
        <v>1741820557650</v>
      </c>
      <c r="B5137" s="2"/>
      <c r="C5137" s="2" t="str">
        <v>0</v>
      </c>
      <c r="D5137" s="2"/>
      <c r="F5137" s="2" t="str">
        <v>0</v>
      </c>
      <c r="I5137" s="3" t="str">
        <f ca="1">IFERROR(__xludf.DUMMYFUNCTION("""COMPUTED_VALUE"""),"Nguyễn Hồng Minh")</f>
        <v>Nguyễn Hồng Minh</v>
      </c>
      <c r="J5137" s="3" t="str">
        <f ca="1">IFERROR(__xludf.DUMMYFUNCTION("""COMPUTED_VALUE"""),"0901797763")</f>
        <v>0901797763</v>
      </c>
      <c r="K5137" s="2" t="str">
        <f ca="1">IFERROR(__xludf.DUMMYFUNCTION("""COMPUTED_VALUE"""),"1741820557650")</f>
        <v>1741820557650</v>
      </c>
    </row>
    <row r="5138" spans="1:11" ht="12.45">
      <c r="A5138" s="2" t="str">
        <f ca="1">IFERROR(__xludf.DUMMYFUNCTION("""COMPUTED_VALUE"""),"1741820610019")</f>
        <v>1741820610019</v>
      </c>
      <c r="B5138" s="2"/>
      <c r="C5138" s="2" t="str">
        <v>0</v>
      </c>
      <c r="D5138" s="2"/>
      <c r="F5138" s="2" t="str">
        <v>0</v>
      </c>
      <c r="I5138" s="3" t="str">
        <f ca="1">IFERROR(__xludf.DUMMYFUNCTION("""COMPUTED_VALUE"""),"Nguyễn Thế Vinh")</f>
        <v>Nguyễn Thế Vinh</v>
      </c>
      <c r="J5138" s="3" t="str">
        <f ca="1">IFERROR(__xludf.DUMMYFUNCTION("""COMPUTED_VALUE"""),"0971543851")</f>
        <v>0971543851</v>
      </c>
      <c r="K5138" s="2" t="str">
        <f ca="1">IFERROR(__xludf.DUMMYFUNCTION("""COMPUTED_VALUE"""),"1741820610019")</f>
        <v>1741820610019</v>
      </c>
    </row>
    <row r="5139" spans="1:11" ht="12.45">
      <c r="A5139" s="2" t="str">
        <f ca="1">IFERROR(__xludf.DUMMYFUNCTION("""COMPUTED_VALUE"""),"1741820669983")</f>
        <v>1741820669983</v>
      </c>
      <c r="B5139" s="2"/>
      <c r="C5139" s="2" t="str">
        <v>0</v>
      </c>
      <c r="D5139" s="2"/>
      <c r="F5139" s="2" t="str">
        <v>0</v>
      </c>
      <c r="I5139" s="3" t="str">
        <f ca="1">IFERROR(__xludf.DUMMYFUNCTION("""COMPUTED_VALUE"""),"Nguyễn Hà Linh")</f>
        <v>Nguyễn Hà Linh</v>
      </c>
      <c r="J5139" s="3" t="str">
        <f ca="1">IFERROR(__xludf.DUMMYFUNCTION("""COMPUTED_VALUE"""),"0355021007")</f>
        <v>0355021007</v>
      </c>
      <c r="K5139" s="2" t="str">
        <f ca="1">IFERROR(__xludf.DUMMYFUNCTION("""COMPUTED_VALUE"""),"1741820669983")</f>
        <v>1741820669983</v>
      </c>
    </row>
    <row r="5140" spans="1:11" ht="12.45">
      <c r="A5140" s="2" t="str">
        <f ca="1">IFERROR(__xludf.DUMMYFUNCTION("""COMPUTED_VALUE"""),"1741820738563")</f>
        <v>1741820738563</v>
      </c>
      <c r="B5140" s="2"/>
      <c r="C5140" s="2" t="str">
        <v>0</v>
      </c>
      <c r="D5140" s="2"/>
      <c r="F5140" s="2" t="str">
        <v>0</v>
      </c>
      <c r="I5140" s="3" t="str">
        <f ca="1">IFERROR(__xludf.DUMMYFUNCTION("""COMPUTED_VALUE"""),"Lê Thị Thúy Tình")</f>
        <v>Lê Thị Thúy Tình</v>
      </c>
      <c r="J5140" s="3" t="str">
        <f ca="1">IFERROR(__xludf.DUMMYFUNCTION("""COMPUTED_VALUE"""),"0868265715")</f>
        <v>0868265715</v>
      </c>
      <c r="K5140" s="2" t="str">
        <f ca="1">IFERROR(__xludf.DUMMYFUNCTION("""COMPUTED_VALUE"""),"1741820738563")</f>
        <v>1741820738563</v>
      </c>
    </row>
    <row r="5141" spans="1:11" ht="12.45">
      <c r="A5141" s="2" t="str">
        <f ca="1">IFERROR(__xludf.DUMMYFUNCTION("""COMPUTED_VALUE"""),"1741820797012")</f>
        <v>1741820797012</v>
      </c>
      <c r="B5141" s="2"/>
      <c r="C5141" s="2" t="str">
        <v>0</v>
      </c>
      <c r="D5141" s="2"/>
      <c r="F5141" s="2" t="str">
        <v>0</v>
      </c>
      <c r="I5141" s="3" t="str">
        <f ca="1">IFERROR(__xludf.DUMMYFUNCTION("""COMPUTED_VALUE"""),"Nguyễn Phương Anh ")</f>
        <v xml:space="preserve">Nguyễn Phương Anh </v>
      </c>
      <c r="J5141" s="3" t="str">
        <f ca="1">IFERROR(__xludf.DUMMYFUNCTION("""COMPUTED_VALUE"""),"0384472657")</f>
        <v>0384472657</v>
      </c>
      <c r="K5141" s="2" t="str">
        <f ca="1">IFERROR(__xludf.DUMMYFUNCTION("""COMPUTED_VALUE"""),"1741820797012")</f>
        <v>1741820797012</v>
      </c>
    </row>
    <row r="5142" spans="1:11" ht="12.45">
      <c r="A5142" s="2" t="str">
        <f ca="1">IFERROR(__xludf.DUMMYFUNCTION("""COMPUTED_VALUE"""),"1741820866579")</f>
        <v>1741820866579</v>
      </c>
      <c r="B5142" s="2"/>
      <c r="C5142" s="2" t="str">
        <v>0</v>
      </c>
      <c r="D5142" s="2"/>
      <c r="F5142" s="2" t="str">
        <v>0</v>
      </c>
      <c r="I5142" s="3" t="str">
        <f ca="1">IFERROR(__xludf.DUMMYFUNCTION("""COMPUTED_VALUE"""),"Hoàng xuân mạnh ")</f>
        <v xml:space="preserve">Hoàng xuân mạnh </v>
      </c>
      <c r="J5142" s="3" t="str">
        <f ca="1">IFERROR(__xludf.DUMMYFUNCTION("""COMPUTED_VALUE"""),"0398599330")</f>
        <v>0398599330</v>
      </c>
      <c r="K5142" s="2" t="str">
        <f ca="1">IFERROR(__xludf.DUMMYFUNCTION("""COMPUTED_VALUE"""),"1741820866579")</f>
        <v>1741820866579</v>
      </c>
    </row>
    <row r="5143" spans="1:11" ht="12.45">
      <c r="A5143" s="2" t="str">
        <f ca="1">IFERROR(__xludf.DUMMYFUNCTION("""COMPUTED_VALUE"""),"1741820936676")</f>
        <v>1741820936676</v>
      </c>
      <c r="B5143" s="2"/>
      <c r="C5143" s="2" t="str">
        <v>0</v>
      </c>
      <c r="D5143" s="2"/>
      <c r="F5143" s="2" t="str">
        <v>0</v>
      </c>
      <c r="I5143" s="3" t="str">
        <f ca="1">IFERROR(__xludf.DUMMYFUNCTION("""COMPUTED_VALUE"""),"Trần Nguyễn Kiều Trinh")</f>
        <v>Trần Nguyễn Kiều Trinh</v>
      </c>
      <c r="J5143" s="3" t="str">
        <f ca="1">IFERROR(__xludf.DUMMYFUNCTION("""COMPUTED_VALUE"""),"0369950046")</f>
        <v>0369950046</v>
      </c>
      <c r="K5143" s="2" t="str">
        <f ca="1">IFERROR(__xludf.DUMMYFUNCTION("""COMPUTED_VALUE"""),"1741820936676")</f>
        <v>1741820936676</v>
      </c>
    </row>
    <row r="5144" spans="1:11" ht="12.45">
      <c r="A5144" s="2" t="str">
        <f ca="1">IFERROR(__xludf.DUMMYFUNCTION("""COMPUTED_VALUE"""),"1741821015405")</f>
        <v>1741821015405</v>
      </c>
      <c r="B5144" s="2"/>
      <c r="C5144" s="2" t="str">
        <v>0</v>
      </c>
      <c r="D5144" s="2"/>
      <c r="F5144" s="2" t="str">
        <v>0</v>
      </c>
      <c r="I5144" s="3" t="str">
        <f ca="1">IFERROR(__xludf.DUMMYFUNCTION("""COMPUTED_VALUE"""),"Đỗ Ngọc Như Phúc ")</f>
        <v xml:space="preserve">Đỗ Ngọc Như Phúc </v>
      </c>
      <c r="J5144" s="3" t="str">
        <f ca="1">IFERROR(__xludf.DUMMYFUNCTION("""COMPUTED_VALUE"""),"0945572189")</f>
        <v>0945572189</v>
      </c>
      <c r="K5144" s="2" t="str">
        <f ca="1">IFERROR(__xludf.DUMMYFUNCTION("""COMPUTED_VALUE"""),"1741821015405")</f>
        <v>1741821015405</v>
      </c>
    </row>
    <row r="5145" spans="1:11" ht="12.45">
      <c r="A5145" s="2" t="str">
        <f ca="1">IFERROR(__xludf.DUMMYFUNCTION("""COMPUTED_VALUE"""),"1741821071089")</f>
        <v>1741821071089</v>
      </c>
      <c r="B5145" s="2"/>
      <c r="C5145" s="2" t="str">
        <v>0</v>
      </c>
      <c r="D5145" s="2"/>
      <c r="F5145" s="2" t="str">
        <v>0</v>
      </c>
      <c r="I5145" s="3" t="str">
        <f ca="1">IFERROR(__xludf.DUMMYFUNCTION("""COMPUTED_VALUE"""),"Đỗ Thị Trang ")</f>
        <v xml:space="preserve">Đỗ Thị Trang </v>
      </c>
      <c r="J5145" s="3" t="str">
        <f ca="1">IFERROR(__xludf.DUMMYFUNCTION("""COMPUTED_VALUE"""),"0336483507")</f>
        <v>0336483507</v>
      </c>
      <c r="K5145" s="2" t="str">
        <f ca="1">IFERROR(__xludf.DUMMYFUNCTION("""COMPUTED_VALUE"""),"1741821071089")</f>
        <v>1741821071089</v>
      </c>
    </row>
    <row r="5146" spans="1:11" ht="12.45">
      <c r="A5146" s="2" t="str">
        <f ca="1">IFERROR(__xludf.DUMMYFUNCTION("""COMPUTED_VALUE"""),"1741821145087")</f>
        <v>1741821145087</v>
      </c>
      <c r="B5146" s="2"/>
      <c r="C5146" s="2" t="str">
        <v>0</v>
      </c>
      <c r="D5146" s="2"/>
      <c r="F5146" s="2" t="str">
        <v>0</v>
      </c>
      <c r="I5146" s="3" t="str">
        <f ca="1">IFERROR(__xludf.DUMMYFUNCTION("""COMPUTED_VALUE"""),"Nguyễn Thị Kiều Châu ")</f>
        <v xml:space="preserve">Nguyễn Thị Kiều Châu </v>
      </c>
      <c r="J5146" s="3" t="str">
        <f ca="1">IFERROR(__xludf.DUMMYFUNCTION("""COMPUTED_VALUE"""),"0877921007")</f>
        <v>0877921007</v>
      </c>
      <c r="K5146" s="2" t="str">
        <f ca="1">IFERROR(__xludf.DUMMYFUNCTION("""COMPUTED_VALUE"""),"1741821145087")</f>
        <v>1741821145087</v>
      </c>
    </row>
    <row r="5147" spans="1:11" ht="12.45">
      <c r="A5147" s="2" t="str">
        <f ca="1">IFERROR(__xludf.DUMMYFUNCTION("""COMPUTED_VALUE"""),"1741821195253")</f>
        <v>1741821195253</v>
      </c>
      <c r="B5147" s="2"/>
      <c r="C5147" s="2" t="str">
        <v>0</v>
      </c>
      <c r="D5147" s="2"/>
      <c r="F5147" s="2" t="str">
        <v>0</v>
      </c>
      <c r="I5147" s="3" t="str">
        <f ca="1">IFERROR(__xludf.DUMMYFUNCTION("""COMPUTED_VALUE"""),"Lê Minh Quân")</f>
        <v>Lê Minh Quân</v>
      </c>
      <c r="J5147" s="3" t="str">
        <f ca="1">IFERROR(__xludf.DUMMYFUNCTION("""COMPUTED_VALUE"""),"0326806680")</f>
        <v>0326806680</v>
      </c>
      <c r="K5147" s="2" t="str">
        <f ca="1">IFERROR(__xludf.DUMMYFUNCTION("""COMPUTED_VALUE"""),"1741821195253")</f>
        <v>1741821195253</v>
      </c>
    </row>
    <row r="5148" spans="1:11" ht="12.45">
      <c r="A5148" s="2" t="str">
        <f ca="1">IFERROR(__xludf.DUMMYFUNCTION("""COMPUTED_VALUE"""),"1741821250369")</f>
        <v>1741821250369</v>
      </c>
      <c r="B5148" s="2"/>
      <c r="C5148" s="2" t="str">
        <v>0</v>
      </c>
      <c r="D5148" s="2"/>
      <c r="F5148" s="2" t="str">
        <v>0</v>
      </c>
      <c r="I5148" s="3" t="str">
        <f ca="1">IFERROR(__xludf.DUMMYFUNCTION("""COMPUTED_VALUE"""),"Lê Thị Bảo Yến ")</f>
        <v xml:space="preserve">Lê Thị Bảo Yến </v>
      </c>
      <c r="J5148" s="3" t="str">
        <f ca="1">IFERROR(__xludf.DUMMYFUNCTION("""COMPUTED_VALUE"""),"0396381785")</f>
        <v>0396381785</v>
      </c>
      <c r="K5148" s="2" t="str">
        <f ca="1">IFERROR(__xludf.DUMMYFUNCTION("""COMPUTED_VALUE"""),"1741821250369")</f>
        <v>1741821250369</v>
      </c>
    </row>
    <row r="5149" spans="1:11" ht="12.45">
      <c r="A5149" s="2" t="str">
        <f ca="1">IFERROR(__xludf.DUMMYFUNCTION("""COMPUTED_VALUE"""),"1741821295094")</f>
        <v>1741821295094</v>
      </c>
      <c r="B5149" s="2"/>
      <c r="C5149" s="2" t="str">
        <v>0</v>
      </c>
      <c r="D5149" s="2"/>
      <c r="F5149" s="2" t="str">
        <v>0</v>
      </c>
      <c r="I5149" s="3" t="str">
        <f ca="1">IFERROR(__xludf.DUMMYFUNCTION("""COMPUTED_VALUE"""),"Võ Hoàng Quỳnh Nhi")</f>
        <v>Võ Hoàng Quỳnh Nhi</v>
      </c>
      <c r="J5149" s="3" t="str">
        <f ca="1">IFERROR(__xludf.DUMMYFUNCTION("""COMPUTED_VALUE"""),"0369547768")</f>
        <v>0369547768</v>
      </c>
      <c r="K5149" s="2" t="str">
        <f ca="1">IFERROR(__xludf.DUMMYFUNCTION("""COMPUTED_VALUE"""),"1741821295094")</f>
        <v>1741821295094</v>
      </c>
    </row>
    <row r="5150" spans="1:11" ht="12.45">
      <c r="A5150" s="2" t="str">
        <f ca="1">IFERROR(__xludf.DUMMYFUNCTION("""COMPUTED_VALUE"""),"1741821341968")</f>
        <v>1741821341968</v>
      </c>
      <c r="B5150" s="2"/>
      <c r="C5150" s="2" t="str">
        <v>0</v>
      </c>
      <c r="D5150" s="2"/>
      <c r="F5150" s="2" t="str">
        <v>0</v>
      </c>
      <c r="I5150" s="3" t="str">
        <f ca="1">IFERROR(__xludf.DUMMYFUNCTION("""COMPUTED_VALUE"""),"Hoàng Yến Nhi")</f>
        <v>Hoàng Yến Nhi</v>
      </c>
      <c r="J5150" s="3" t="str">
        <f ca="1">IFERROR(__xludf.DUMMYFUNCTION("""COMPUTED_VALUE"""),"0776150580")</f>
        <v>0776150580</v>
      </c>
      <c r="K5150" s="2" t="str">
        <f ca="1">IFERROR(__xludf.DUMMYFUNCTION("""COMPUTED_VALUE"""),"1741821341968")</f>
        <v>1741821341968</v>
      </c>
    </row>
    <row r="5151" spans="1:11" ht="12.45">
      <c r="A5151" s="2" t="str">
        <f ca="1">IFERROR(__xludf.DUMMYFUNCTION("""COMPUTED_VALUE"""),"1741821397773")</f>
        <v>1741821397773</v>
      </c>
      <c r="B5151" s="2"/>
      <c r="C5151" s="2" t="str">
        <v>0</v>
      </c>
      <c r="D5151" s="2"/>
      <c r="F5151" s="2" t="str">
        <v>0</v>
      </c>
      <c r="I5151" s="3" t="str">
        <f ca="1">IFERROR(__xludf.DUMMYFUNCTION("""COMPUTED_VALUE"""),"Trần Thị Quyền ")</f>
        <v xml:space="preserve">Trần Thị Quyền </v>
      </c>
      <c r="J5151" s="3" t="str">
        <f ca="1">IFERROR(__xludf.DUMMYFUNCTION("""COMPUTED_VALUE"""),"0964024351")</f>
        <v>0964024351</v>
      </c>
      <c r="K5151" s="2" t="str">
        <f ca="1">IFERROR(__xludf.DUMMYFUNCTION("""COMPUTED_VALUE"""),"1741821397773")</f>
        <v>1741821397773</v>
      </c>
    </row>
    <row r="5152" spans="1:11" ht="12.45">
      <c r="A5152" s="2" t="str">
        <f ca="1">IFERROR(__xludf.DUMMYFUNCTION("""COMPUTED_VALUE"""),"1741821440463")</f>
        <v>1741821440463</v>
      </c>
      <c r="B5152" s="2"/>
      <c r="C5152" s="2" t="str">
        <v>0</v>
      </c>
      <c r="D5152" s="2"/>
      <c r="F5152" s="2" t="str">
        <v>0</v>
      </c>
      <c r="I5152" s="3" t="str">
        <f ca="1">IFERROR(__xludf.DUMMYFUNCTION("""COMPUTED_VALUE"""),"Lê Thị Hồng Gấm ")</f>
        <v xml:space="preserve">Lê Thị Hồng Gấm </v>
      </c>
      <c r="J5152" s="3" t="str">
        <f ca="1">IFERROR(__xludf.DUMMYFUNCTION("""COMPUTED_VALUE"""),"0764422157")</f>
        <v>0764422157</v>
      </c>
      <c r="K5152" s="2" t="str">
        <f ca="1">IFERROR(__xludf.DUMMYFUNCTION("""COMPUTED_VALUE"""),"1741821440463")</f>
        <v>1741821440463</v>
      </c>
    </row>
    <row r="5153" spans="1:11" ht="12.45">
      <c r="A5153" s="2">
        <f ca="1">IFERROR(__xludf.DUMMYFUNCTION("""COMPUTED_VALUE"""),1743090569625)</f>
        <v>1743090569625</v>
      </c>
      <c r="B5153" s="2"/>
      <c r="C5153" s="2" t="str">
        <v>0</v>
      </c>
      <c r="D5153" s="2"/>
      <c r="F5153" s="2" t="str">
        <v>0</v>
      </c>
      <c r="I5153" s="3" t="str">
        <f ca="1">IFERROR(__xludf.DUMMYFUNCTION("""COMPUTED_VALUE"""),"Tống Khánh Linh")</f>
        <v>Tống Khánh Linh</v>
      </c>
      <c r="J5153" s="3" t="str">
        <f ca="1">IFERROR(__xludf.DUMMYFUNCTION("""COMPUTED_VALUE"""),"0986335902")</f>
        <v>0986335902</v>
      </c>
      <c r="K5153" s="2">
        <f ca="1">IFERROR(__xludf.DUMMYFUNCTION("""COMPUTED_VALUE"""),1743090569625)</f>
        <v>1743090569625</v>
      </c>
    </row>
    <row r="5154" spans="1:11" ht="12.45">
      <c r="A5154" s="2" t="str">
        <f ca="1">IFERROR(__xludf.DUMMYFUNCTION("""COMPUTED_VALUE"""),"1741821532812")</f>
        <v>1741821532812</v>
      </c>
      <c r="B5154" s="2"/>
      <c r="C5154" s="2" t="str">
        <v>0</v>
      </c>
      <c r="D5154" s="2"/>
      <c r="F5154" s="2" t="str">
        <v>0</v>
      </c>
      <c r="I5154" s="3" t="str">
        <f ca="1">IFERROR(__xludf.DUMMYFUNCTION("""COMPUTED_VALUE"""),"Nguyễn Ngọc Bảo Trâm")</f>
        <v>Nguyễn Ngọc Bảo Trâm</v>
      </c>
      <c r="J5154" s="3" t="str">
        <f ca="1">IFERROR(__xludf.DUMMYFUNCTION("""COMPUTED_VALUE"""),"0962271707")</f>
        <v>0962271707</v>
      </c>
      <c r="K5154" s="2" t="str">
        <f ca="1">IFERROR(__xludf.DUMMYFUNCTION("""COMPUTED_VALUE"""),"1741821532812")</f>
        <v>1741821532812</v>
      </c>
    </row>
    <row r="5155" spans="1:11" ht="12.45">
      <c r="A5155" s="2" t="str">
        <f ca="1">IFERROR(__xludf.DUMMYFUNCTION("""COMPUTED_VALUE"""),"1741821578765")</f>
        <v>1741821578765</v>
      </c>
      <c r="B5155" s="2"/>
      <c r="C5155" s="2" t="str">
        <v>0</v>
      </c>
      <c r="D5155" s="2"/>
      <c r="F5155" s="2" t="str">
        <v>0</v>
      </c>
      <c r="I5155" s="3" t="str">
        <f ca="1">IFERROR(__xludf.DUMMYFUNCTION("""COMPUTED_VALUE"""),"Phạm Hồ Kim Ngân")</f>
        <v>Phạm Hồ Kim Ngân</v>
      </c>
      <c r="J5155" s="3" t="str">
        <f ca="1">IFERROR(__xludf.DUMMYFUNCTION("""COMPUTED_VALUE"""),"0988371389")</f>
        <v>0988371389</v>
      </c>
      <c r="K5155" s="2" t="str">
        <f ca="1">IFERROR(__xludf.DUMMYFUNCTION("""COMPUTED_VALUE"""),"1741821578765")</f>
        <v>1741821578765</v>
      </c>
    </row>
    <row r="5156" spans="1:11" ht="12.45">
      <c r="A5156" s="2" t="str">
        <f ca="1">IFERROR(__xludf.DUMMYFUNCTION("""COMPUTED_VALUE"""),"1741821657067")</f>
        <v>1741821657067</v>
      </c>
      <c r="B5156" s="2"/>
      <c r="C5156" s="2" t="str">
        <v>0</v>
      </c>
      <c r="D5156" s="2"/>
      <c r="F5156" s="2" t="str">
        <v>0</v>
      </c>
      <c r="I5156" s="3" t="str">
        <f ca="1">IFERROR(__xludf.DUMMYFUNCTION("""COMPUTED_VALUE"""),"Nguyễn Thị Thùy Linh")</f>
        <v>Nguyễn Thị Thùy Linh</v>
      </c>
      <c r="J5156" s="3" t="str">
        <f ca="1">IFERROR(__xludf.DUMMYFUNCTION("""COMPUTED_VALUE"""),"0376123756")</f>
        <v>0376123756</v>
      </c>
      <c r="K5156" s="2" t="str">
        <f ca="1">IFERROR(__xludf.DUMMYFUNCTION("""COMPUTED_VALUE"""),"1741821657067")</f>
        <v>1741821657067</v>
      </c>
    </row>
    <row r="5157" spans="1:11" ht="12.45">
      <c r="A5157" s="2" t="str">
        <f ca="1">IFERROR(__xludf.DUMMYFUNCTION("""COMPUTED_VALUE"""),"1741821732377")</f>
        <v>1741821732377</v>
      </c>
      <c r="B5157" s="2"/>
      <c r="C5157" s="2" t="str">
        <v>0</v>
      </c>
      <c r="D5157" s="2"/>
      <c r="F5157" s="2" t="str">
        <v>0</v>
      </c>
      <c r="I5157" s="3" t="str">
        <f ca="1">IFERROR(__xludf.DUMMYFUNCTION("""COMPUTED_VALUE"""),"Trần Hoàng Đạt")</f>
        <v>Trần Hoàng Đạt</v>
      </c>
      <c r="J5157" s="3" t="str">
        <f ca="1">IFERROR(__xludf.DUMMYFUNCTION("""COMPUTED_VALUE"""),"0796985211")</f>
        <v>0796985211</v>
      </c>
      <c r="K5157" s="2" t="str">
        <f ca="1">IFERROR(__xludf.DUMMYFUNCTION("""COMPUTED_VALUE"""),"1741821732377")</f>
        <v>1741821732377</v>
      </c>
    </row>
    <row r="5158" spans="1:11" ht="12.45">
      <c r="A5158" s="2" t="str">
        <f ca="1">IFERROR(__xludf.DUMMYFUNCTION("""COMPUTED_VALUE"""),"1741821828633")</f>
        <v>1741821828633</v>
      </c>
      <c r="B5158" s="2"/>
      <c r="C5158" s="2" t="str">
        <v>0</v>
      </c>
      <c r="D5158" s="2"/>
      <c r="F5158" s="2" t="str">
        <v>0</v>
      </c>
      <c r="I5158" s="3" t="str">
        <f ca="1">IFERROR(__xludf.DUMMYFUNCTION("""COMPUTED_VALUE"""),"LÊ THỊ HOÀI")</f>
        <v>LÊ THỊ HOÀI</v>
      </c>
      <c r="J5158" s="3" t="str">
        <f ca="1">IFERROR(__xludf.DUMMYFUNCTION("""COMPUTED_VALUE"""),"0326945547")</f>
        <v>0326945547</v>
      </c>
      <c r="K5158" s="2" t="str">
        <f ca="1">IFERROR(__xludf.DUMMYFUNCTION("""COMPUTED_VALUE"""),"1741821828633")</f>
        <v>1741821828633</v>
      </c>
    </row>
    <row r="5159" spans="1:11" ht="12.45">
      <c r="A5159" s="2" t="str">
        <f ca="1">IFERROR(__xludf.DUMMYFUNCTION("""COMPUTED_VALUE"""),"1741821917766")</f>
        <v>1741821917766</v>
      </c>
      <c r="B5159" s="2"/>
      <c r="C5159" s="2" t="str">
        <v>0</v>
      </c>
      <c r="D5159" s="2"/>
      <c r="F5159" s="2" t="str">
        <v>0</v>
      </c>
      <c r="I5159" s="3" t="str">
        <f ca="1">IFERROR(__xludf.DUMMYFUNCTION("""COMPUTED_VALUE"""),"Bùi Thu Hà")</f>
        <v>Bùi Thu Hà</v>
      </c>
      <c r="J5159" s="3" t="str">
        <f ca="1">IFERROR(__xludf.DUMMYFUNCTION("""COMPUTED_VALUE"""),"0977075759")</f>
        <v>0977075759</v>
      </c>
      <c r="K5159" s="2" t="str">
        <f ca="1">IFERROR(__xludf.DUMMYFUNCTION("""COMPUTED_VALUE"""),"1741821917766")</f>
        <v>1741821917766</v>
      </c>
    </row>
    <row r="5160" spans="1:11" ht="12.45">
      <c r="A5160" s="2" t="str">
        <f ca="1">IFERROR(__xludf.DUMMYFUNCTION("""COMPUTED_VALUE"""),"1741821978157")</f>
        <v>1741821978157</v>
      </c>
      <c r="B5160" s="2"/>
      <c r="C5160" s="2" t="str">
        <v>0</v>
      </c>
      <c r="D5160" s="2"/>
      <c r="F5160" s="2" t="str">
        <v>0</v>
      </c>
      <c r="I5160" s="3" t="str">
        <f ca="1">IFERROR(__xludf.DUMMYFUNCTION("""COMPUTED_VALUE"""),"Phan thị Thảo my")</f>
        <v>Phan thị Thảo my</v>
      </c>
      <c r="J5160" s="3" t="str">
        <f ca="1">IFERROR(__xludf.DUMMYFUNCTION("""COMPUTED_VALUE"""),"0332178820")</f>
        <v>0332178820</v>
      </c>
      <c r="K5160" s="2" t="str">
        <f ca="1">IFERROR(__xludf.DUMMYFUNCTION("""COMPUTED_VALUE"""),"1741821978157")</f>
        <v>1741821978157</v>
      </c>
    </row>
    <row r="5161" spans="1:11" ht="12.45">
      <c r="A5161" s="2" t="str">
        <f ca="1">IFERROR(__xludf.DUMMYFUNCTION("""COMPUTED_VALUE"""),"1741822018821")</f>
        <v>1741822018821</v>
      </c>
      <c r="B5161" s="2"/>
      <c r="C5161" s="2" t="str">
        <v>0</v>
      </c>
      <c r="D5161" s="2"/>
      <c r="F5161" s="2" t="str">
        <v>0</v>
      </c>
      <c r="I5161" s="3" t="str">
        <f ca="1">IFERROR(__xludf.DUMMYFUNCTION("""COMPUTED_VALUE"""),"Trần Thị Kim Tường")</f>
        <v>Trần Thị Kim Tường</v>
      </c>
      <c r="J5161" s="3" t="str">
        <f ca="1">IFERROR(__xludf.DUMMYFUNCTION("""COMPUTED_VALUE"""),"0768416900")</f>
        <v>0768416900</v>
      </c>
      <c r="K5161" s="2" t="str">
        <f ca="1">IFERROR(__xludf.DUMMYFUNCTION("""COMPUTED_VALUE"""),"1741822018821")</f>
        <v>1741822018821</v>
      </c>
    </row>
    <row r="5162" spans="1:11" ht="12.45">
      <c r="A5162" s="2" t="str">
        <f ca="1">IFERROR(__xludf.DUMMYFUNCTION("""COMPUTED_VALUE"""),"1741822088665")</f>
        <v>1741822088665</v>
      </c>
      <c r="B5162" s="2"/>
      <c r="C5162" s="2" t="str">
        <v>0</v>
      </c>
      <c r="D5162" s="2"/>
      <c r="F5162" s="2" t="str">
        <v>0</v>
      </c>
      <c r="I5162" s="3" t="str">
        <f ca="1">IFERROR(__xludf.DUMMYFUNCTION("""COMPUTED_VALUE"""),"Nguyễn Ngọc Hà My")</f>
        <v>Nguyễn Ngọc Hà My</v>
      </c>
      <c r="J5162" s="3" t="str">
        <f ca="1">IFERROR(__xludf.DUMMYFUNCTION("""COMPUTED_VALUE"""),"0394771690")</f>
        <v>0394771690</v>
      </c>
      <c r="K5162" s="2" t="str">
        <f ca="1">IFERROR(__xludf.DUMMYFUNCTION("""COMPUTED_VALUE"""),"1741822088665")</f>
        <v>1741822088665</v>
      </c>
    </row>
    <row r="5163" spans="1:11" ht="12.45">
      <c r="A5163" s="2" t="str">
        <f ca="1">IFERROR(__xludf.DUMMYFUNCTION("""COMPUTED_VALUE"""),"1741822167941")</f>
        <v>1741822167941</v>
      </c>
      <c r="B5163" s="2"/>
      <c r="C5163" s="2" t="str">
        <v>0</v>
      </c>
      <c r="D5163" s="2"/>
      <c r="F5163" s="2" t="str">
        <v>0</v>
      </c>
      <c r="I5163" s="3" t="str">
        <f ca="1">IFERROR(__xludf.DUMMYFUNCTION("""COMPUTED_VALUE"""),"Bùi Minh Hạnh")</f>
        <v>Bùi Minh Hạnh</v>
      </c>
      <c r="J5163" s="3" t="str">
        <f ca="1">IFERROR(__xludf.DUMMYFUNCTION("""COMPUTED_VALUE"""),"0523681229")</f>
        <v>0523681229</v>
      </c>
      <c r="K5163" s="2" t="str">
        <f ca="1">IFERROR(__xludf.DUMMYFUNCTION("""COMPUTED_VALUE"""),"1741822167941")</f>
        <v>1741822167941</v>
      </c>
    </row>
    <row r="5164" spans="1:11" ht="12.45">
      <c r="A5164" s="2" t="str">
        <f ca="1">IFERROR(__xludf.DUMMYFUNCTION("""COMPUTED_VALUE"""),"1741822254290")</f>
        <v>1741822254290</v>
      </c>
      <c r="B5164" s="2"/>
      <c r="C5164" s="2" t="str">
        <v>0</v>
      </c>
      <c r="D5164" s="2"/>
      <c r="F5164" s="2" t="str">
        <v>0</v>
      </c>
      <c r="I5164" s="3" t="str">
        <f ca="1">IFERROR(__xludf.DUMMYFUNCTION("""COMPUTED_VALUE"""),"Phan Nguyễn Linh Tường ")</f>
        <v xml:space="preserve">Phan Nguyễn Linh Tường </v>
      </c>
      <c r="J5164" s="3" t="str">
        <f ca="1">IFERROR(__xludf.DUMMYFUNCTION("""COMPUTED_VALUE"""),"0817894588")</f>
        <v>0817894588</v>
      </c>
      <c r="K5164" s="2" t="str">
        <f ca="1">IFERROR(__xludf.DUMMYFUNCTION("""COMPUTED_VALUE"""),"1741822254290")</f>
        <v>1741822254290</v>
      </c>
    </row>
    <row r="5165" spans="1:11" ht="12.45">
      <c r="A5165" s="2" t="str">
        <f ca="1">IFERROR(__xludf.DUMMYFUNCTION("""COMPUTED_VALUE"""),"1741822298149")</f>
        <v>1741822298149</v>
      </c>
      <c r="B5165" s="2"/>
      <c r="C5165" s="2" t="str">
        <v>0</v>
      </c>
      <c r="D5165" s="2"/>
      <c r="F5165" s="2" t="str">
        <v>0</v>
      </c>
      <c r="I5165" s="3" t="str">
        <f ca="1">IFERROR(__xludf.DUMMYFUNCTION("""COMPUTED_VALUE"""),"Nguyễn Bảo Trâm ")</f>
        <v xml:space="preserve">Nguyễn Bảo Trâm </v>
      </c>
      <c r="J5165" s="3" t="str">
        <f ca="1">IFERROR(__xludf.DUMMYFUNCTION("""COMPUTED_VALUE"""),"0333048243")</f>
        <v>0333048243</v>
      </c>
      <c r="K5165" s="2" t="str">
        <f ca="1">IFERROR(__xludf.DUMMYFUNCTION("""COMPUTED_VALUE"""),"1741822298149")</f>
        <v>1741822298149</v>
      </c>
    </row>
    <row r="5166" spans="1:11" ht="12.45">
      <c r="A5166" s="2" t="str">
        <f ca="1">IFERROR(__xludf.DUMMYFUNCTION("""COMPUTED_VALUE"""),"1741822381968")</f>
        <v>1741822381968</v>
      </c>
      <c r="B5166" s="2"/>
      <c r="C5166" s="2" t="str">
        <v>0</v>
      </c>
      <c r="D5166" s="2"/>
      <c r="F5166" s="2" t="str">
        <v>0</v>
      </c>
      <c r="I5166" s="3" t="str">
        <f ca="1">IFERROR(__xludf.DUMMYFUNCTION("""COMPUTED_VALUE"""),"Nguyễn Thị Kim Chi")</f>
        <v>Nguyễn Thị Kim Chi</v>
      </c>
      <c r="J5166" s="3" t="str">
        <f ca="1">IFERROR(__xludf.DUMMYFUNCTION("""COMPUTED_VALUE"""),"0941046861")</f>
        <v>0941046861</v>
      </c>
      <c r="K5166" s="2" t="str">
        <f ca="1">IFERROR(__xludf.DUMMYFUNCTION("""COMPUTED_VALUE"""),"1741822381968")</f>
        <v>1741822381968</v>
      </c>
    </row>
    <row r="5167" spans="1:11" ht="12.45">
      <c r="A5167" s="2" t="str">
        <f ca="1">IFERROR(__xludf.DUMMYFUNCTION("""COMPUTED_VALUE"""),"1741822416466")</f>
        <v>1741822416466</v>
      </c>
      <c r="B5167" s="2"/>
      <c r="C5167" s="2" t="str">
        <v>0</v>
      </c>
      <c r="D5167" s="2"/>
      <c r="F5167" s="2" t="str">
        <v>0</v>
      </c>
      <c r="I5167" s="3" t="str">
        <f ca="1">IFERROR(__xludf.DUMMYFUNCTION("""COMPUTED_VALUE"""),"Nguyễn Thị Mai Phương")</f>
        <v>Nguyễn Thị Mai Phương</v>
      </c>
      <c r="J5167" s="3" t="str">
        <f ca="1">IFERROR(__xludf.DUMMYFUNCTION("""COMPUTED_VALUE"""),"0396354665")</f>
        <v>0396354665</v>
      </c>
      <c r="K5167" s="2" t="str">
        <f ca="1">IFERROR(__xludf.DUMMYFUNCTION("""COMPUTED_VALUE"""),"1741822416466")</f>
        <v>1741822416466</v>
      </c>
    </row>
    <row r="5168" spans="1:11" ht="12.45">
      <c r="A5168" s="2" t="str">
        <f ca="1">IFERROR(__xludf.DUMMYFUNCTION("""COMPUTED_VALUE"""),"1741822455382")</f>
        <v>1741822455382</v>
      </c>
      <c r="B5168" s="2"/>
      <c r="C5168" s="2" t="str">
        <v>0</v>
      </c>
      <c r="D5168" s="2"/>
      <c r="F5168" s="2" t="str">
        <v>0</v>
      </c>
      <c r="I5168" s="3" t="str">
        <f ca="1">IFERROR(__xludf.DUMMYFUNCTION("""COMPUTED_VALUE"""),"Nguyễn Thị Khánh Ly")</f>
        <v>Nguyễn Thị Khánh Ly</v>
      </c>
      <c r="J5168" s="3" t="str">
        <f ca="1">IFERROR(__xludf.DUMMYFUNCTION("""COMPUTED_VALUE"""),"0949669193")</f>
        <v>0949669193</v>
      </c>
      <c r="K5168" s="2" t="str">
        <f ca="1">IFERROR(__xludf.DUMMYFUNCTION("""COMPUTED_VALUE"""),"1741822455382")</f>
        <v>1741822455382</v>
      </c>
    </row>
    <row r="5169" spans="1:11" ht="12.45">
      <c r="A5169" s="2" t="str">
        <f ca="1">IFERROR(__xludf.DUMMYFUNCTION("""COMPUTED_VALUE"""),"1741822572263")</f>
        <v>1741822572263</v>
      </c>
      <c r="B5169" s="2"/>
      <c r="C5169" s="2" t="str">
        <v>0</v>
      </c>
      <c r="D5169" s="2"/>
      <c r="F5169" s="2" t="str">
        <v>0</v>
      </c>
      <c r="I5169" s="3" t="str">
        <f ca="1">IFERROR(__xludf.DUMMYFUNCTION("""COMPUTED_VALUE"""),"Trần Cao Thanh Nguyên ")</f>
        <v xml:space="preserve">Trần Cao Thanh Nguyên </v>
      </c>
      <c r="J5169" s="3" t="str">
        <f ca="1">IFERROR(__xludf.DUMMYFUNCTION("""COMPUTED_VALUE"""),"0378863056")</f>
        <v>0378863056</v>
      </c>
      <c r="K5169" s="2" t="str">
        <f ca="1">IFERROR(__xludf.DUMMYFUNCTION("""COMPUTED_VALUE"""),"1741822572263")</f>
        <v>1741822572263</v>
      </c>
    </row>
    <row r="5170" spans="1:11" ht="12.45">
      <c r="A5170" s="2" t="str">
        <f ca="1">IFERROR(__xludf.DUMMYFUNCTION("""COMPUTED_VALUE"""),"1741822635576")</f>
        <v>1741822635576</v>
      </c>
      <c r="B5170" s="2"/>
      <c r="C5170" s="2" t="str">
        <v>0</v>
      </c>
      <c r="D5170" s="2"/>
      <c r="F5170" s="2" t="str">
        <v>0</v>
      </c>
      <c r="I5170" s="3" t="str">
        <f ca="1">IFERROR(__xludf.DUMMYFUNCTION("""COMPUTED_VALUE"""),"Nguyễn Ngọc Bảo Thy")</f>
        <v>Nguyễn Ngọc Bảo Thy</v>
      </c>
      <c r="J5170" s="3" t="str">
        <f ca="1">IFERROR(__xludf.DUMMYFUNCTION("""COMPUTED_VALUE"""),"0355207491")</f>
        <v>0355207491</v>
      </c>
      <c r="K5170" s="2" t="str">
        <f ca="1">IFERROR(__xludf.DUMMYFUNCTION("""COMPUTED_VALUE"""),"1741822635576")</f>
        <v>1741822635576</v>
      </c>
    </row>
    <row r="5171" spans="1:11" ht="12.45">
      <c r="A5171" s="2" t="str">
        <f ca="1">IFERROR(__xludf.DUMMYFUNCTION("""COMPUTED_VALUE"""),"1742651443619")</f>
        <v>1742651443619</v>
      </c>
      <c r="B5171" s="2"/>
      <c r="C5171" s="2" t="str">
        <v>0</v>
      </c>
      <c r="D5171" s="2"/>
      <c r="F5171" s="2" t="str">
        <v>0</v>
      </c>
      <c r="I5171" s="3" t="str">
        <f ca="1">IFERROR(__xludf.DUMMYFUNCTION("""COMPUTED_VALUE"""),"Bùi Phạm Quỳnh Hoa ")</f>
        <v xml:space="preserve">Bùi Phạm Quỳnh Hoa </v>
      </c>
      <c r="J5171" s="3" t="str">
        <f ca="1">IFERROR(__xludf.DUMMYFUNCTION("""COMPUTED_VALUE"""),"0943223146")</f>
        <v>0943223146</v>
      </c>
      <c r="K5171" s="2" t="str">
        <f ca="1">IFERROR(__xludf.DUMMYFUNCTION("""COMPUTED_VALUE"""),"1742651443619")</f>
        <v>1742651443619</v>
      </c>
    </row>
    <row r="5172" spans="1:11" ht="12.45">
      <c r="A5172" s="2" t="str">
        <f ca="1">IFERROR(__xludf.DUMMYFUNCTION("""COMPUTED_VALUE"""),"1742651489963")</f>
        <v>1742651489963</v>
      </c>
      <c r="B5172" s="2"/>
      <c r="C5172" s="2" t="str">
        <v>0</v>
      </c>
      <c r="D5172" s="2"/>
      <c r="F5172" s="2" t="str">
        <v>0</v>
      </c>
      <c r="I5172" s="3" t="str">
        <f ca="1">IFERROR(__xludf.DUMMYFUNCTION("""COMPUTED_VALUE"""),"Nguyễn Khánh Huyền ")</f>
        <v xml:space="preserve">Nguyễn Khánh Huyền </v>
      </c>
      <c r="J5172" s="3" t="str">
        <f ca="1">IFERROR(__xludf.DUMMYFUNCTION("""COMPUTED_VALUE"""),"0934759127")</f>
        <v>0934759127</v>
      </c>
      <c r="K5172" s="2" t="str">
        <f ca="1">IFERROR(__xludf.DUMMYFUNCTION("""COMPUTED_VALUE"""),"1742651489963")</f>
        <v>1742651489963</v>
      </c>
    </row>
    <row r="5173" spans="1:11" ht="12.45">
      <c r="A5173" s="2" t="str">
        <f ca="1">IFERROR(__xludf.DUMMYFUNCTION("""COMPUTED_VALUE"""),"1742651528021")</f>
        <v>1742651528021</v>
      </c>
      <c r="B5173" s="2"/>
      <c r="C5173" s="2" t="str">
        <v>0</v>
      </c>
      <c r="D5173" s="2"/>
      <c r="F5173" s="2" t="str">
        <v>0</v>
      </c>
      <c r="I5173" s="3" t="str">
        <f ca="1">IFERROR(__xludf.DUMMYFUNCTION("""COMPUTED_VALUE"""),"Nguyễn Ngọc Bảo Châm ")</f>
        <v xml:space="preserve">Nguyễn Ngọc Bảo Châm </v>
      </c>
      <c r="J5173" s="3" t="str">
        <f ca="1">IFERROR(__xludf.DUMMYFUNCTION("""COMPUTED_VALUE"""),"0358443507")</f>
        <v>0358443507</v>
      </c>
      <c r="K5173" s="2" t="str">
        <f ca="1">IFERROR(__xludf.DUMMYFUNCTION("""COMPUTED_VALUE"""),"1742651528021")</f>
        <v>1742651528021</v>
      </c>
    </row>
    <row r="5174" spans="1:11" ht="12.45">
      <c r="A5174" s="2" t="str">
        <f ca="1">IFERROR(__xludf.DUMMYFUNCTION("""COMPUTED_VALUE"""),"1742651579549")</f>
        <v>1742651579549</v>
      </c>
      <c r="B5174" s="2"/>
      <c r="C5174" s="2" t="str">
        <v>0</v>
      </c>
      <c r="D5174" s="2"/>
      <c r="F5174" s="2" t="str">
        <v>0</v>
      </c>
      <c r="I5174" s="3" t="str">
        <f ca="1">IFERROR(__xludf.DUMMYFUNCTION("""COMPUTED_VALUE"""),"Đào Thị Thùy Giang")</f>
        <v>Đào Thị Thùy Giang</v>
      </c>
      <c r="J5174" s="3" t="str">
        <f ca="1">IFERROR(__xludf.DUMMYFUNCTION("""COMPUTED_VALUE"""),"0867062523")</f>
        <v>0867062523</v>
      </c>
      <c r="K5174" s="2" t="str">
        <f ca="1">IFERROR(__xludf.DUMMYFUNCTION("""COMPUTED_VALUE"""),"1742651579549")</f>
        <v>1742651579549</v>
      </c>
    </row>
    <row r="5175" spans="1:11" ht="12.45">
      <c r="A5175" s="2" t="str">
        <f ca="1">IFERROR(__xludf.DUMMYFUNCTION("""COMPUTED_VALUE"""),"1742651631755")</f>
        <v>1742651631755</v>
      </c>
      <c r="B5175" s="2"/>
      <c r="C5175" s="2" t="str">
        <v>0</v>
      </c>
      <c r="D5175" s="2"/>
      <c r="F5175" s="2" t="str">
        <v>0</v>
      </c>
      <c r="I5175" s="3" t="str">
        <f ca="1">IFERROR(__xludf.DUMMYFUNCTION("""COMPUTED_VALUE"""),"Nguyễn Phương Linh")</f>
        <v>Nguyễn Phương Linh</v>
      </c>
      <c r="J5175" s="3" t="str">
        <f ca="1">IFERROR(__xludf.DUMMYFUNCTION("""COMPUTED_VALUE"""),"0704413209")</f>
        <v>0704413209</v>
      </c>
      <c r="K5175" s="2" t="str">
        <f ca="1">IFERROR(__xludf.DUMMYFUNCTION("""COMPUTED_VALUE"""),"1742651631755")</f>
        <v>1742651631755</v>
      </c>
    </row>
    <row r="5176" spans="1:11" ht="12.45">
      <c r="A5176" s="2" t="str">
        <f ca="1">IFERROR(__xludf.DUMMYFUNCTION("""COMPUTED_VALUE"""),"1742651679935")</f>
        <v>1742651679935</v>
      </c>
      <c r="B5176" s="2"/>
      <c r="C5176" s="2" t="str">
        <v>0</v>
      </c>
      <c r="D5176" s="2"/>
      <c r="F5176" s="2" t="str">
        <v>0</v>
      </c>
      <c r="I5176" s="3" t="str">
        <f ca="1">IFERROR(__xludf.DUMMYFUNCTION("""COMPUTED_VALUE"""),"Nguyễn Hữu Thắng")</f>
        <v>Nguyễn Hữu Thắng</v>
      </c>
      <c r="J5176" s="3" t="str">
        <f ca="1">IFERROR(__xludf.DUMMYFUNCTION("""COMPUTED_VALUE"""),"0968219520")</f>
        <v>0968219520</v>
      </c>
      <c r="K5176" s="2" t="str">
        <f ca="1">IFERROR(__xludf.DUMMYFUNCTION("""COMPUTED_VALUE"""),"1742651679935")</f>
        <v>1742651679935</v>
      </c>
    </row>
    <row r="5177" spans="1:11" ht="12.45">
      <c r="A5177" s="2" t="str">
        <f ca="1">IFERROR(__xludf.DUMMYFUNCTION("""COMPUTED_VALUE"""),"1742651738295")</f>
        <v>1742651738295</v>
      </c>
      <c r="B5177" s="2"/>
      <c r="C5177" s="2" t="str">
        <v>0</v>
      </c>
      <c r="D5177" s="2"/>
      <c r="F5177" s="2" t="str">
        <v>0</v>
      </c>
      <c r="I5177" s="3" t="str">
        <f ca="1">IFERROR(__xludf.DUMMYFUNCTION("""COMPUTED_VALUE"""),"Cao Thùy Linh ")</f>
        <v xml:space="preserve">Cao Thùy Linh </v>
      </c>
      <c r="J5177" s="3" t="str">
        <f ca="1">IFERROR(__xludf.DUMMYFUNCTION("""COMPUTED_VALUE"""),"0384805832")</f>
        <v>0384805832</v>
      </c>
      <c r="K5177" s="2" t="str">
        <f ca="1">IFERROR(__xludf.DUMMYFUNCTION("""COMPUTED_VALUE"""),"1742651738295")</f>
        <v>1742651738295</v>
      </c>
    </row>
    <row r="5178" spans="1:11" ht="12.45">
      <c r="A5178" s="2" t="str">
        <f ca="1">IFERROR(__xludf.DUMMYFUNCTION("""COMPUTED_VALUE"""),"1742651788592")</f>
        <v>1742651788592</v>
      </c>
      <c r="B5178" s="2"/>
      <c r="C5178" s="2" t="str">
        <v>0</v>
      </c>
      <c r="D5178" s="2"/>
      <c r="F5178" s="2" t="str">
        <v>0</v>
      </c>
      <c r="I5178" s="3" t="str">
        <f ca="1">IFERROR(__xludf.DUMMYFUNCTION("""COMPUTED_VALUE"""),"Vũ Lan Anh")</f>
        <v>Vũ Lan Anh</v>
      </c>
      <c r="J5178" s="3" t="str">
        <f ca="1">IFERROR(__xludf.DUMMYFUNCTION("""COMPUTED_VALUE"""),"0985070458")</f>
        <v>0985070458</v>
      </c>
      <c r="K5178" s="2" t="str">
        <f ca="1">IFERROR(__xludf.DUMMYFUNCTION("""COMPUTED_VALUE"""),"1742651788592")</f>
        <v>1742651788592</v>
      </c>
    </row>
    <row r="5179" spans="1:11" ht="12.45">
      <c r="A5179" s="2" t="str">
        <f ca="1">IFERROR(__xludf.DUMMYFUNCTION("""COMPUTED_VALUE"""),"1742651849449")</f>
        <v>1742651849449</v>
      </c>
      <c r="B5179" s="2"/>
      <c r="C5179" s="2" t="str">
        <v>0</v>
      </c>
      <c r="D5179" s="2"/>
      <c r="F5179" s="2" t="str">
        <v>0</v>
      </c>
      <c r="I5179" s="3" t="str">
        <f ca="1">IFERROR(__xludf.DUMMYFUNCTION("""COMPUTED_VALUE"""),"Bùi Thị Xuân Quý")</f>
        <v>Bùi Thị Xuân Quý</v>
      </c>
      <c r="J5179" s="3" t="str">
        <f ca="1">IFERROR(__xludf.DUMMYFUNCTION("""COMPUTED_VALUE"""),"0348792283")</f>
        <v>0348792283</v>
      </c>
      <c r="K5179" s="2" t="str">
        <f ca="1">IFERROR(__xludf.DUMMYFUNCTION("""COMPUTED_VALUE"""),"1742651849449")</f>
        <v>1742651849449</v>
      </c>
    </row>
    <row r="5180" spans="1:11" ht="12.45">
      <c r="A5180" s="2" t="str">
        <f ca="1">IFERROR(__xludf.DUMMYFUNCTION("""COMPUTED_VALUE"""),"1742651897697")</f>
        <v>1742651897697</v>
      </c>
      <c r="B5180" s="2"/>
      <c r="C5180" s="2" t="str">
        <v>0</v>
      </c>
      <c r="D5180" s="2"/>
      <c r="F5180" s="2" t="str">
        <v>0</v>
      </c>
      <c r="I5180" s="3" t="str">
        <f ca="1">IFERROR(__xludf.DUMMYFUNCTION("""COMPUTED_VALUE"""),"Nguyễn Huy Đạt")</f>
        <v>Nguyễn Huy Đạt</v>
      </c>
      <c r="J5180" s="3" t="str">
        <f ca="1">IFERROR(__xludf.DUMMYFUNCTION("""COMPUTED_VALUE"""),"0384027504")</f>
        <v>0384027504</v>
      </c>
      <c r="K5180" s="2" t="str">
        <f ca="1">IFERROR(__xludf.DUMMYFUNCTION("""COMPUTED_VALUE"""),"1742651897697")</f>
        <v>1742651897697</v>
      </c>
    </row>
    <row r="5181" spans="1:11" ht="12.45">
      <c r="A5181" s="2" t="str">
        <f ca="1">IFERROR(__xludf.DUMMYFUNCTION("""COMPUTED_VALUE"""),"1742651949747")</f>
        <v>1742651949747</v>
      </c>
      <c r="B5181" s="2"/>
      <c r="C5181" s="2" t="str">
        <v>0</v>
      </c>
      <c r="D5181" s="2"/>
      <c r="F5181" s="2" t="str">
        <v>0</v>
      </c>
      <c r="I5181" s="3" t="str">
        <f ca="1">IFERROR(__xludf.DUMMYFUNCTION("""COMPUTED_VALUE"""),"Vì Anh Vũ")</f>
        <v>Vì Anh Vũ</v>
      </c>
      <c r="J5181" s="3" t="str">
        <f ca="1">IFERROR(__xludf.DUMMYFUNCTION("""COMPUTED_VALUE"""),"0354408735")</f>
        <v>0354408735</v>
      </c>
      <c r="K5181" s="2" t="str">
        <f ca="1">IFERROR(__xludf.DUMMYFUNCTION("""COMPUTED_VALUE"""),"1742651949747")</f>
        <v>1742651949747</v>
      </c>
    </row>
    <row r="5182" spans="1:11" ht="12.45">
      <c r="A5182" s="2" t="str">
        <f ca="1">IFERROR(__xludf.DUMMYFUNCTION("""COMPUTED_VALUE"""),"1742652012782")</f>
        <v>1742652012782</v>
      </c>
      <c r="B5182" s="2"/>
      <c r="C5182" s="2" t="str">
        <v>0</v>
      </c>
      <c r="D5182" s="2"/>
      <c r="F5182" s="2" t="str">
        <v>0</v>
      </c>
      <c r="I5182" s="3" t="str">
        <f ca="1">IFERROR(__xludf.DUMMYFUNCTION("""COMPUTED_VALUE"""),"Bùi Ngọc Mai")</f>
        <v>Bùi Ngọc Mai</v>
      </c>
      <c r="J5182" s="3" t="str">
        <f ca="1">IFERROR(__xludf.DUMMYFUNCTION("""COMPUTED_VALUE"""),"0848866036")</f>
        <v>0848866036</v>
      </c>
      <c r="K5182" s="2" t="str">
        <f ca="1">IFERROR(__xludf.DUMMYFUNCTION("""COMPUTED_VALUE"""),"1742652012782")</f>
        <v>1742652012782</v>
      </c>
    </row>
    <row r="5183" spans="1:11" ht="12.45">
      <c r="A5183" s="2" t="str">
        <f ca="1">IFERROR(__xludf.DUMMYFUNCTION("""COMPUTED_VALUE"""),"1742652059653")</f>
        <v>1742652059653</v>
      </c>
      <c r="B5183" s="2"/>
      <c r="C5183" s="2" t="str">
        <v>0</v>
      </c>
      <c r="D5183" s="2"/>
      <c r="F5183" s="2" t="str">
        <v>0</v>
      </c>
      <c r="I5183" s="3" t="str">
        <f ca="1">IFERROR(__xludf.DUMMYFUNCTION("""COMPUTED_VALUE"""),"Nguyễn Thùy Trang ")</f>
        <v xml:space="preserve">Nguyễn Thùy Trang </v>
      </c>
      <c r="J5183" s="3" t="str">
        <f ca="1">IFERROR(__xludf.DUMMYFUNCTION("""COMPUTED_VALUE"""),"0971940758")</f>
        <v>0971940758</v>
      </c>
      <c r="K5183" s="2" t="str">
        <f ca="1">IFERROR(__xludf.DUMMYFUNCTION("""COMPUTED_VALUE"""),"1742652059653")</f>
        <v>1742652059653</v>
      </c>
    </row>
    <row r="5184" spans="1:11" ht="12.45">
      <c r="A5184" s="2" t="str">
        <f ca="1">IFERROR(__xludf.DUMMYFUNCTION("""COMPUTED_VALUE"""),"1742652102136")</f>
        <v>1742652102136</v>
      </c>
      <c r="B5184" s="2"/>
      <c r="C5184" s="2" t="str">
        <v>0</v>
      </c>
      <c r="D5184" s="2"/>
      <c r="F5184" s="2" t="str">
        <v>0</v>
      </c>
      <c r="I5184" s="3" t="str">
        <f ca="1">IFERROR(__xludf.DUMMYFUNCTION("""COMPUTED_VALUE"""),"Nguyễn Hà Thanh")</f>
        <v>Nguyễn Hà Thanh</v>
      </c>
      <c r="J5184" s="3" t="str">
        <f ca="1">IFERROR(__xludf.DUMMYFUNCTION("""COMPUTED_VALUE"""),"0987307098")</f>
        <v>0987307098</v>
      </c>
      <c r="K5184" s="2" t="str">
        <f ca="1">IFERROR(__xludf.DUMMYFUNCTION("""COMPUTED_VALUE"""),"1742652102136")</f>
        <v>1742652102136</v>
      </c>
    </row>
    <row r="5185" spans="1:11" ht="12.45">
      <c r="A5185" s="2" t="str">
        <f ca="1">IFERROR(__xludf.DUMMYFUNCTION("""COMPUTED_VALUE"""),"1742652149012")</f>
        <v>1742652149012</v>
      </c>
      <c r="B5185" s="2"/>
      <c r="C5185" s="2" t="str">
        <v>0</v>
      </c>
      <c r="D5185" s="2"/>
      <c r="F5185" s="2" t="str">
        <v>0</v>
      </c>
      <c r="I5185" s="3" t="str">
        <f ca="1">IFERROR(__xludf.DUMMYFUNCTION("""COMPUTED_VALUE"""),"Đặng Thái Thùy Dương")</f>
        <v>Đặng Thái Thùy Dương</v>
      </c>
      <c r="J5185" s="3" t="str">
        <f ca="1">IFERROR(__xludf.DUMMYFUNCTION("""COMPUTED_VALUE"""),"0917203269")</f>
        <v>0917203269</v>
      </c>
      <c r="K5185" s="2" t="str">
        <f ca="1">IFERROR(__xludf.DUMMYFUNCTION("""COMPUTED_VALUE"""),"1742652149012")</f>
        <v>1742652149012</v>
      </c>
    </row>
    <row r="5186" spans="1:11" ht="12.45">
      <c r="A5186" s="2" t="str">
        <f ca="1">IFERROR(__xludf.DUMMYFUNCTION("""COMPUTED_VALUE"""),"1742652194649")</f>
        <v>1742652194649</v>
      </c>
      <c r="B5186" s="2"/>
      <c r="C5186" s="2" t="str">
        <v>0</v>
      </c>
      <c r="D5186" s="2"/>
      <c r="F5186" s="2" t="str">
        <v>0</v>
      </c>
      <c r="I5186" s="3" t="str">
        <f ca="1">IFERROR(__xludf.DUMMYFUNCTION("""COMPUTED_VALUE"""),"Phạm Thị Kim Mỹ")</f>
        <v>Phạm Thị Kim Mỹ</v>
      </c>
      <c r="J5186" s="3" t="str">
        <f ca="1">IFERROR(__xludf.DUMMYFUNCTION("""COMPUTED_VALUE"""),"0369524663")</f>
        <v>0369524663</v>
      </c>
      <c r="K5186" s="2" t="str">
        <f ca="1">IFERROR(__xludf.DUMMYFUNCTION("""COMPUTED_VALUE"""),"1742652194649")</f>
        <v>1742652194649</v>
      </c>
    </row>
    <row r="5187" spans="1:11" ht="12.45">
      <c r="A5187" s="2" t="str">
        <f ca="1">IFERROR(__xludf.DUMMYFUNCTION("""COMPUTED_VALUE"""),"1742652246216")</f>
        <v>1742652246216</v>
      </c>
      <c r="B5187" s="2"/>
      <c r="C5187" s="2" t="str">
        <v>0</v>
      </c>
      <c r="D5187" s="2"/>
      <c r="F5187" s="2" t="str">
        <v>0</v>
      </c>
      <c r="I5187" s="3" t="str">
        <f ca="1">IFERROR(__xludf.DUMMYFUNCTION("""COMPUTED_VALUE"""),"Huỳnh thị kiều trinh")</f>
        <v>Huỳnh thị kiều trinh</v>
      </c>
      <c r="J5187" s="3" t="str">
        <f ca="1">IFERROR(__xludf.DUMMYFUNCTION("""COMPUTED_VALUE"""),"0925721047")</f>
        <v>0925721047</v>
      </c>
      <c r="K5187" s="2" t="str">
        <f ca="1">IFERROR(__xludf.DUMMYFUNCTION("""COMPUTED_VALUE"""),"1742652246216")</f>
        <v>1742652246216</v>
      </c>
    </row>
    <row r="5188" spans="1:11" ht="12.45">
      <c r="A5188" s="2" t="str">
        <f ca="1">IFERROR(__xludf.DUMMYFUNCTION("""COMPUTED_VALUE"""),"1742652296506")</f>
        <v>1742652296506</v>
      </c>
      <c r="B5188" s="2"/>
      <c r="C5188" s="2" t="str">
        <v>0</v>
      </c>
      <c r="D5188" s="2"/>
      <c r="F5188" s="2" t="str">
        <v>0</v>
      </c>
      <c r="I5188" s="3" t="str">
        <f ca="1">IFERROR(__xludf.DUMMYFUNCTION("""COMPUTED_VALUE"""),"Phan Thị Kim Trâm")</f>
        <v>Phan Thị Kim Trâm</v>
      </c>
      <c r="J5188" s="3" t="str">
        <f ca="1">IFERROR(__xludf.DUMMYFUNCTION("""COMPUTED_VALUE"""),"0394727043")</f>
        <v>0394727043</v>
      </c>
      <c r="K5188" s="2" t="str">
        <f ca="1">IFERROR(__xludf.DUMMYFUNCTION("""COMPUTED_VALUE"""),"1742652296506")</f>
        <v>1742652296506</v>
      </c>
    </row>
    <row r="5189" spans="1:11" ht="12.45">
      <c r="A5189" s="2" t="str">
        <f ca="1">IFERROR(__xludf.DUMMYFUNCTION("""COMPUTED_VALUE"""),"1742652343993")</f>
        <v>1742652343993</v>
      </c>
      <c r="B5189" s="2"/>
      <c r="C5189" s="2" t="str">
        <v>0</v>
      </c>
      <c r="D5189" s="2"/>
      <c r="F5189" s="2" t="str">
        <v>0</v>
      </c>
      <c r="I5189" s="3" t="str">
        <f ca="1">IFERROR(__xludf.DUMMYFUNCTION("""COMPUTED_VALUE"""),"Nông Thị Thúy ")</f>
        <v xml:space="preserve">Nông Thị Thúy </v>
      </c>
      <c r="J5189" s="3" t="str">
        <f ca="1">IFERROR(__xludf.DUMMYFUNCTION("""COMPUTED_VALUE"""),"0356226074")</f>
        <v>0356226074</v>
      </c>
      <c r="K5189" s="2" t="str">
        <f ca="1">IFERROR(__xludf.DUMMYFUNCTION("""COMPUTED_VALUE"""),"1742652343993")</f>
        <v>1742652343993</v>
      </c>
    </row>
    <row r="5190" spans="1:11" ht="12.45">
      <c r="A5190" s="2" t="str">
        <f ca="1">IFERROR(__xludf.DUMMYFUNCTION("""COMPUTED_VALUE"""),"1742652402045")</f>
        <v>1742652402045</v>
      </c>
      <c r="B5190" s="2"/>
      <c r="C5190" s="2" t="str">
        <v>0</v>
      </c>
      <c r="D5190" s="2"/>
      <c r="F5190" s="2" t="str">
        <v>0</v>
      </c>
      <c r="I5190" s="3" t="str">
        <f ca="1">IFERROR(__xludf.DUMMYFUNCTION("""COMPUTED_VALUE"""),"Đinh Bảo Trâm")</f>
        <v>Đinh Bảo Trâm</v>
      </c>
      <c r="J5190" s="3" t="str">
        <f ca="1">IFERROR(__xludf.DUMMYFUNCTION("""COMPUTED_VALUE"""),"0392741052")</f>
        <v>0392741052</v>
      </c>
      <c r="K5190" s="2" t="str">
        <f ca="1">IFERROR(__xludf.DUMMYFUNCTION("""COMPUTED_VALUE"""),"1742652402045")</f>
        <v>1742652402045</v>
      </c>
    </row>
    <row r="5191" spans="1:11" ht="12.45">
      <c r="A5191" s="2" t="str">
        <f ca="1">IFERROR(__xludf.DUMMYFUNCTION("""COMPUTED_VALUE"""),"1742652442378")</f>
        <v>1742652442378</v>
      </c>
      <c r="B5191" s="2"/>
      <c r="C5191" s="2" t="str">
        <v>0</v>
      </c>
      <c r="D5191" s="2"/>
      <c r="F5191" s="2" t="str">
        <v>0</v>
      </c>
      <c r="I5191" s="3" t="str">
        <f ca="1">IFERROR(__xludf.DUMMYFUNCTION("""COMPUTED_VALUE"""),"Nguyễn Thị Ngọc Ánh ")</f>
        <v xml:space="preserve">Nguyễn Thị Ngọc Ánh </v>
      </c>
      <c r="J5191" s="3" t="str">
        <f ca="1">IFERROR(__xludf.DUMMYFUNCTION("""COMPUTED_VALUE"""),"0858090161")</f>
        <v>0858090161</v>
      </c>
      <c r="K5191" s="2" t="str">
        <f ca="1">IFERROR(__xludf.DUMMYFUNCTION("""COMPUTED_VALUE"""),"1742652442378")</f>
        <v>1742652442378</v>
      </c>
    </row>
    <row r="5192" spans="1:11" ht="12.45">
      <c r="A5192" s="2" t="str">
        <f ca="1">IFERROR(__xludf.DUMMYFUNCTION("""COMPUTED_VALUE"""),"1742652485633")</f>
        <v>1742652485633</v>
      </c>
      <c r="B5192" s="2"/>
      <c r="C5192" s="2" t="str">
        <v>0</v>
      </c>
      <c r="D5192" s="2"/>
      <c r="F5192" s="2" t="str">
        <v>0</v>
      </c>
      <c r="I5192" s="3" t="str">
        <f ca="1">IFERROR(__xludf.DUMMYFUNCTION("""COMPUTED_VALUE"""),"Trần Hứa An Bình")</f>
        <v>Trần Hứa An Bình</v>
      </c>
      <c r="J5192" s="3" t="str">
        <f ca="1">IFERROR(__xludf.DUMMYFUNCTION("""COMPUTED_VALUE"""),"0944861108")</f>
        <v>0944861108</v>
      </c>
      <c r="K5192" s="2" t="str">
        <f ca="1">IFERROR(__xludf.DUMMYFUNCTION("""COMPUTED_VALUE"""),"1742652485633")</f>
        <v>1742652485633</v>
      </c>
    </row>
    <row r="5193" spans="1:11" ht="12.45">
      <c r="A5193" s="2" t="str">
        <f ca="1">IFERROR(__xludf.DUMMYFUNCTION("""COMPUTED_VALUE"""),"1742652549663")</f>
        <v>1742652549663</v>
      </c>
      <c r="B5193" s="2"/>
      <c r="C5193" s="2" t="str">
        <v>0</v>
      </c>
      <c r="D5193" s="2"/>
      <c r="F5193" s="2" t="str">
        <v>0</v>
      </c>
      <c r="I5193" s="3" t="str">
        <f ca="1">IFERROR(__xludf.DUMMYFUNCTION("""COMPUTED_VALUE"""),"Huỳnh Nam Phương")</f>
        <v>Huỳnh Nam Phương</v>
      </c>
      <c r="J5193" s="3" t="str">
        <f ca="1">IFERROR(__xludf.DUMMYFUNCTION("""COMPUTED_VALUE"""),"0916211031")</f>
        <v>0916211031</v>
      </c>
      <c r="K5193" s="2" t="str">
        <f ca="1">IFERROR(__xludf.DUMMYFUNCTION("""COMPUTED_VALUE"""),"1742652549663")</f>
        <v>1742652549663</v>
      </c>
    </row>
    <row r="5194" spans="1:11" ht="12.45">
      <c r="A5194" s="2" t="str">
        <f ca="1">IFERROR(__xludf.DUMMYFUNCTION("""COMPUTED_VALUE"""),"1742652593212")</f>
        <v>1742652593212</v>
      </c>
      <c r="B5194" s="2"/>
      <c r="C5194" s="2" t="str">
        <v>0</v>
      </c>
      <c r="D5194" s="2"/>
      <c r="F5194" s="2" t="str">
        <v>0</v>
      </c>
      <c r="I5194" s="3" t="str">
        <f ca="1">IFERROR(__xludf.DUMMYFUNCTION("""COMPUTED_VALUE"""),"Nhữ Thị Thu Phương")</f>
        <v>Nhữ Thị Thu Phương</v>
      </c>
      <c r="J5194" s="3" t="str">
        <f ca="1">IFERROR(__xludf.DUMMYFUNCTION("""COMPUTED_VALUE"""),"0336940389")</f>
        <v>0336940389</v>
      </c>
      <c r="K5194" s="2" t="str">
        <f ca="1">IFERROR(__xludf.DUMMYFUNCTION("""COMPUTED_VALUE"""),"1742652593212")</f>
        <v>1742652593212</v>
      </c>
    </row>
    <row r="5195" spans="1:11" ht="12.45">
      <c r="A5195" s="2" t="str">
        <f ca="1">IFERROR(__xludf.DUMMYFUNCTION("""COMPUTED_VALUE"""),"1742652641254")</f>
        <v>1742652641254</v>
      </c>
      <c r="B5195" s="2"/>
      <c r="C5195" s="2" t="str">
        <v>0</v>
      </c>
      <c r="D5195" s="2"/>
      <c r="F5195" s="2" t="str">
        <v>0</v>
      </c>
      <c r="I5195" s="3" t="str">
        <f ca="1">IFERROR(__xludf.DUMMYFUNCTION("""COMPUTED_VALUE"""),"Lý Yến Phương")</f>
        <v>Lý Yến Phương</v>
      </c>
      <c r="J5195" s="3" t="str">
        <f ca="1">IFERROR(__xludf.DUMMYFUNCTION("""COMPUTED_VALUE"""),"0833532302")</f>
        <v>0833532302</v>
      </c>
      <c r="K5195" s="2" t="str">
        <f ca="1">IFERROR(__xludf.DUMMYFUNCTION("""COMPUTED_VALUE"""),"1742652641254")</f>
        <v>1742652641254</v>
      </c>
    </row>
    <row r="5196" spans="1:11" ht="12.45">
      <c r="A5196" s="2" t="str">
        <f ca="1">IFERROR(__xludf.DUMMYFUNCTION("""COMPUTED_VALUE"""),"1759203465156")</f>
        <v>1759203465156</v>
      </c>
      <c r="B5196" s="2"/>
      <c r="C5196" s="2" t="str">
        <v>0</v>
      </c>
      <c r="D5196" s="2"/>
      <c r="F5196" s="2" t="str">
        <v>0</v>
      </c>
      <c r="I5196" s="3" t="str">
        <f ca="1">IFERROR(__xludf.DUMMYFUNCTION("""COMPUTED_VALUE"""),"Phan Tất Hoàng Dương")</f>
        <v>Phan Tất Hoàng Dương</v>
      </c>
      <c r="J5196" s="3" t="str">
        <f ca="1">IFERROR(__xludf.DUMMYFUNCTION("""COMPUTED_VALUE"""),"0562263637")</f>
        <v>0562263637</v>
      </c>
      <c r="K5196" s="2" t="str">
        <f ca="1">IFERROR(__xludf.DUMMYFUNCTION("""COMPUTED_VALUE"""),"1759203465156")</f>
        <v>1759203465156</v>
      </c>
    </row>
    <row r="5197" spans="1:11" ht="12.45">
      <c r="A5197" s="2" t="str">
        <f ca="1">IFERROR(__xludf.DUMMYFUNCTION("""COMPUTED_VALUE"""),"1742652724865")</f>
        <v>1742652724865</v>
      </c>
      <c r="B5197" s="2"/>
      <c r="C5197" s="2" t="str">
        <v>0</v>
      </c>
      <c r="D5197" s="2"/>
      <c r="F5197" s="2" t="str">
        <v>0</v>
      </c>
      <c r="I5197" s="3" t="str">
        <f ca="1">IFERROR(__xludf.DUMMYFUNCTION("""COMPUTED_VALUE"""),"Ngô Nhật Nam")</f>
        <v>Ngô Nhật Nam</v>
      </c>
      <c r="J5197" s="3" t="str">
        <f ca="1">IFERROR(__xludf.DUMMYFUNCTION("""COMPUTED_VALUE"""),"0328033017")</f>
        <v>0328033017</v>
      </c>
      <c r="K5197" s="2" t="str">
        <f ca="1">IFERROR(__xludf.DUMMYFUNCTION("""COMPUTED_VALUE"""),"1742652724865")</f>
        <v>1742652724865</v>
      </c>
    </row>
    <row r="5198" spans="1:11" ht="12.45">
      <c r="A5198" s="2" t="str">
        <f ca="1">IFERROR(__xludf.DUMMYFUNCTION("""COMPUTED_VALUE"""),"1742652785326")</f>
        <v>1742652785326</v>
      </c>
      <c r="B5198" s="2"/>
      <c r="C5198" s="2" t="str">
        <v>0</v>
      </c>
      <c r="D5198" s="2"/>
      <c r="F5198" s="2" t="str">
        <v>0</v>
      </c>
      <c r="I5198" s="3" t="str">
        <f ca="1">IFERROR(__xludf.DUMMYFUNCTION("""COMPUTED_VALUE"""),"Lê Nguyễn Ngọc Trân ")</f>
        <v xml:space="preserve">Lê Nguyễn Ngọc Trân </v>
      </c>
      <c r="J5198" s="3" t="str">
        <f ca="1">IFERROR(__xludf.DUMMYFUNCTION("""COMPUTED_VALUE"""),"0765475001")</f>
        <v>0765475001</v>
      </c>
      <c r="K5198" s="2" t="str">
        <f ca="1">IFERROR(__xludf.DUMMYFUNCTION("""COMPUTED_VALUE"""),"1742652785326")</f>
        <v>1742652785326</v>
      </c>
    </row>
    <row r="5199" spans="1:11" ht="12.45">
      <c r="A5199" s="2" t="str">
        <f ca="1">IFERROR(__xludf.DUMMYFUNCTION("""COMPUTED_VALUE"""),"1742652839557")</f>
        <v>1742652839557</v>
      </c>
      <c r="B5199" s="2"/>
      <c r="C5199" s="2" t="str">
        <v>0</v>
      </c>
      <c r="D5199" s="2"/>
      <c r="F5199" s="2" t="str">
        <v>0</v>
      </c>
      <c r="I5199" s="3" t="str">
        <f ca="1">IFERROR(__xludf.DUMMYFUNCTION("""COMPUTED_VALUE"""),"Trần Thị Kim Ngân ")</f>
        <v xml:space="preserve">Trần Thị Kim Ngân </v>
      </c>
      <c r="J5199" s="3" t="str">
        <f ca="1">IFERROR(__xludf.DUMMYFUNCTION("""COMPUTED_VALUE"""),"0333372179")</f>
        <v>0333372179</v>
      </c>
      <c r="K5199" s="2" t="str">
        <f ca="1">IFERROR(__xludf.DUMMYFUNCTION("""COMPUTED_VALUE"""),"1742652839557")</f>
        <v>1742652839557</v>
      </c>
    </row>
    <row r="5200" spans="1:11" ht="12.45">
      <c r="A5200" s="2" t="str">
        <f ca="1">IFERROR(__xludf.DUMMYFUNCTION("""COMPUTED_VALUE"""),"1742652889647")</f>
        <v>1742652889647</v>
      </c>
      <c r="B5200" s="2"/>
      <c r="C5200" s="2" t="str">
        <v>0</v>
      </c>
      <c r="D5200" s="2"/>
      <c r="F5200" s="2" t="str">
        <v>0</v>
      </c>
      <c r="I5200" s="3" t="str">
        <f ca="1">IFERROR(__xludf.DUMMYFUNCTION("""COMPUTED_VALUE"""),"Mai Nguyễn Tường Vy ")</f>
        <v xml:space="preserve">Mai Nguyễn Tường Vy </v>
      </c>
      <c r="J5200" s="3" t="str">
        <f ca="1">IFERROR(__xludf.DUMMYFUNCTION("""COMPUTED_VALUE"""),"0966867622")</f>
        <v>0966867622</v>
      </c>
      <c r="K5200" s="2" t="str">
        <f ca="1">IFERROR(__xludf.DUMMYFUNCTION("""COMPUTED_VALUE"""),"1742652889647")</f>
        <v>1742652889647</v>
      </c>
    </row>
    <row r="5201" spans="1:11" ht="12.45">
      <c r="A5201" s="2" t="str">
        <f ca="1">IFERROR(__xludf.DUMMYFUNCTION("""COMPUTED_VALUE"""),"1742652950244")</f>
        <v>1742652950244</v>
      </c>
      <c r="B5201" s="2"/>
      <c r="C5201" s="2" t="str">
        <v>0</v>
      </c>
      <c r="D5201" s="2"/>
      <c r="F5201" s="2" t="str">
        <v>0</v>
      </c>
      <c r="I5201" s="3" t="str">
        <f ca="1">IFERROR(__xludf.DUMMYFUNCTION("""COMPUTED_VALUE"""),"Nguyễn Thị Hồng Na ")</f>
        <v xml:space="preserve">Nguyễn Thị Hồng Na </v>
      </c>
      <c r="J5201" s="3" t="str">
        <f ca="1">IFERROR(__xludf.DUMMYFUNCTION("""COMPUTED_VALUE"""),"0359929518")</f>
        <v>0359929518</v>
      </c>
      <c r="K5201" s="2" t="str">
        <f ca="1">IFERROR(__xludf.DUMMYFUNCTION("""COMPUTED_VALUE"""),"1742652950244")</f>
        <v>1742652950244</v>
      </c>
    </row>
    <row r="5202" spans="1:11" ht="12.45">
      <c r="A5202" s="2" t="str">
        <f ca="1">IFERROR(__xludf.DUMMYFUNCTION("""COMPUTED_VALUE"""),"1742653006873")</f>
        <v>1742653006873</v>
      </c>
      <c r="B5202" s="2"/>
      <c r="C5202" s="2" t="str">
        <v>0</v>
      </c>
      <c r="D5202" s="2"/>
      <c r="F5202" s="2" t="str">
        <v>0</v>
      </c>
      <c r="I5202" s="3" t="str">
        <f ca="1">IFERROR(__xludf.DUMMYFUNCTION("""COMPUTED_VALUE"""),"Nguyễn Thị Thuỳ Dương")</f>
        <v>Nguyễn Thị Thuỳ Dương</v>
      </c>
      <c r="J5202" s="3" t="str">
        <f ca="1">IFERROR(__xludf.DUMMYFUNCTION("""COMPUTED_VALUE"""),"0362058978")</f>
        <v>0362058978</v>
      </c>
      <c r="K5202" s="2" t="str">
        <f ca="1">IFERROR(__xludf.DUMMYFUNCTION("""COMPUTED_VALUE"""),"1742653006873")</f>
        <v>1742653006873</v>
      </c>
    </row>
    <row r="5203" spans="1:11" ht="12.45">
      <c r="A5203" s="2" t="str">
        <f ca="1">IFERROR(__xludf.DUMMYFUNCTION("""COMPUTED_VALUE"""),"1742653058354")</f>
        <v>1742653058354</v>
      </c>
      <c r="B5203" s="2"/>
      <c r="C5203" s="2" t="str">
        <v>0</v>
      </c>
      <c r="D5203" s="2"/>
      <c r="F5203" s="2" t="str">
        <v>0</v>
      </c>
      <c r="I5203" s="3" t="str">
        <f ca="1">IFERROR(__xludf.DUMMYFUNCTION("""COMPUTED_VALUE"""),"Nguyễn Thuỳ Linh")</f>
        <v>Nguyễn Thuỳ Linh</v>
      </c>
      <c r="J5203" s="3" t="str">
        <f ca="1">IFERROR(__xludf.DUMMYFUNCTION("""COMPUTED_VALUE"""),"0703542488")</f>
        <v>0703542488</v>
      </c>
      <c r="K5203" s="2" t="str">
        <f ca="1">IFERROR(__xludf.DUMMYFUNCTION("""COMPUTED_VALUE"""),"1742653058354")</f>
        <v>1742653058354</v>
      </c>
    </row>
    <row r="5204" spans="1:11" ht="12.45">
      <c r="A5204" s="2" t="str">
        <f ca="1">IFERROR(__xludf.DUMMYFUNCTION("""COMPUTED_VALUE"""),"1742653137257")</f>
        <v>1742653137257</v>
      </c>
      <c r="B5204" s="2"/>
      <c r="C5204" s="2" t="str">
        <v>0</v>
      </c>
      <c r="D5204" s="2"/>
      <c r="F5204" s="2" t="str">
        <v>0</v>
      </c>
      <c r="I5204" s="3" t="str">
        <f ca="1">IFERROR(__xludf.DUMMYFUNCTION("""COMPUTED_VALUE"""),"Thái Thị Khánh Huyền ")</f>
        <v xml:space="preserve">Thái Thị Khánh Huyền </v>
      </c>
      <c r="J5204" s="3" t="str">
        <f ca="1">IFERROR(__xludf.DUMMYFUNCTION("""COMPUTED_VALUE"""),"0389725827")</f>
        <v>0389725827</v>
      </c>
      <c r="K5204" s="2" t="str">
        <f ca="1">IFERROR(__xludf.DUMMYFUNCTION("""COMPUTED_VALUE"""),"1742653137257")</f>
        <v>1742653137257</v>
      </c>
    </row>
    <row r="5205" spans="1:11" ht="12.45">
      <c r="A5205" s="2" t="str">
        <f ca="1">IFERROR(__xludf.DUMMYFUNCTION("""COMPUTED_VALUE"""),"1742653176271")</f>
        <v>1742653176271</v>
      </c>
      <c r="B5205" s="2"/>
      <c r="C5205" s="2" t="str">
        <v>0</v>
      </c>
      <c r="D5205" s="2"/>
      <c r="F5205" s="2" t="str">
        <v>0</v>
      </c>
      <c r="I5205" s="3" t="str">
        <f ca="1">IFERROR(__xludf.DUMMYFUNCTION("""COMPUTED_VALUE"""),"Nguyễn Xuân Thùy")</f>
        <v>Nguyễn Xuân Thùy</v>
      </c>
      <c r="J5205" s="3" t="str">
        <f ca="1">IFERROR(__xludf.DUMMYFUNCTION("""COMPUTED_VALUE"""),"0523249455")</f>
        <v>0523249455</v>
      </c>
      <c r="K5205" s="2" t="str">
        <f ca="1">IFERROR(__xludf.DUMMYFUNCTION("""COMPUTED_VALUE"""),"1742653176271")</f>
        <v>1742653176271</v>
      </c>
    </row>
    <row r="5206" spans="1:11" ht="12.45">
      <c r="A5206" s="2" t="str">
        <f ca="1">IFERROR(__xludf.DUMMYFUNCTION("""COMPUTED_VALUE"""),"1742653227548")</f>
        <v>1742653227548</v>
      </c>
      <c r="B5206" s="2"/>
      <c r="C5206" s="2" t="str">
        <v>0</v>
      </c>
      <c r="D5206" s="2"/>
      <c r="F5206" s="2" t="str">
        <v>0</v>
      </c>
      <c r="I5206" s="3" t="str">
        <f ca="1">IFERROR(__xludf.DUMMYFUNCTION("""COMPUTED_VALUE"""),"Phùng Kim Mai")</f>
        <v>Phùng Kim Mai</v>
      </c>
      <c r="J5206" s="3" t="str">
        <f ca="1">IFERROR(__xludf.DUMMYFUNCTION("""COMPUTED_VALUE"""),"0362081141")</f>
        <v>0362081141</v>
      </c>
      <c r="K5206" s="2" t="str">
        <f ca="1">IFERROR(__xludf.DUMMYFUNCTION("""COMPUTED_VALUE"""),"1742653227548")</f>
        <v>1742653227548</v>
      </c>
    </row>
    <row r="5207" spans="1:11" ht="12.45">
      <c r="A5207" s="2" t="str">
        <f ca="1">IFERROR(__xludf.DUMMYFUNCTION("""COMPUTED_VALUE"""),"1742653277407")</f>
        <v>1742653277407</v>
      </c>
      <c r="B5207" s="2"/>
      <c r="C5207" s="2" t="str">
        <v>0</v>
      </c>
      <c r="D5207" s="2"/>
      <c r="F5207" s="2" t="str">
        <v>0</v>
      </c>
      <c r="I5207" s="3" t="str">
        <f ca="1">IFERROR(__xludf.DUMMYFUNCTION("""COMPUTED_VALUE"""),"Nguyễn Tất Trọng")</f>
        <v>Nguyễn Tất Trọng</v>
      </c>
      <c r="J5207" s="3" t="str">
        <f ca="1">IFERROR(__xludf.DUMMYFUNCTION("""COMPUTED_VALUE"""),"0367771381")</f>
        <v>0367771381</v>
      </c>
      <c r="K5207" s="2" t="str">
        <f ca="1">IFERROR(__xludf.DUMMYFUNCTION("""COMPUTED_VALUE"""),"1742653277407")</f>
        <v>1742653277407</v>
      </c>
    </row>
    <row r="5208" spans="1:11" ht="12.45">
      <c r="A5208" s="2" t="str">
        <f ca="1">IFERROR(__xludf.DUMMYFUNCTION("""COMPUTED_VALUE"""),"1742653338278")</f>
        <v>1742653338278</v>
      </c>
      <c r="B5208" s="2"/>
      <c r="C5208" s="2" t="str">
        <v>0</v>
      </c>
      <c r="D5208" s="2"/>
      <c r="F5208" s="2" t="str">
        <v>0</v>
      </c>
      <c r="I5208" s="3" t="str">
        <f ca="1">IFERROR(__xludf.DUMMYFUNCTION("""COMPUTED_VALUE"""),"Bạch Phương Linh")</f>
        <v>Bạch Phương Linh</v>
      </c>
      <c r="J5208" s="3" t="str">
        <f ca="1">IFERROR(__xludf.DUMMYFUNCTION("""COMPUTED_VALUE"""),"8483351588")</f>
        <v>8483351588</v>
      </c>
      <c r="K5208" s="2" t="str">
        <f ca="1">IFERROR(__xludf.DUMMYFUNCTION("""COMPUTED_VALUE"""),"1742653338278")</f>
        <v>1742653338278</v>
      </c>
    </row>
    <row r="5209" spans="1:11" ht="12.45">
      <c r="A5209" s="2" t="str">
        <f ca="1">IFERROR(__xludf.DUMMYFUNCTION("""COMPUTED_VALUE"""),"1742653385799")</f>
        <v>1742653385799</v>
      </c>
      <c r="B5209" s="2"/>
      <c r="C5209" s="2" t="str">
        <v>0</v>
      </c>
      <c r="D5209" s="2"/>
      <c r="F5209" s="2" t="str">
        <v>0</v>
      </c>
      <c r="I5209" s="3" t="str">
        <f ca="1">IFERROR(__xludf.DUMMYFUNCTION("""COMPUTED_VALUE"""),"Lê Ngọc Diệp ")</f>
        <v xml:space="preserve">Lê Ngọc Diệp </v>
      </c>
      <c r="J5209" s="3" t="str">
        <f ca="1">IFERROR(__xludf.DUMMYFUNCTION("""COMPUTED_VALUE"""),"0966261598")</f>
        <v>0966261598</v>
      </c>
      <c r="K5209" s="2" t="str">
        <f ca="1">IFERROR(__xludf.DUMMYFUNCTION("""COMPUTED_VALUE"""),"1742653385799")</f>
        <v>1742653385799</v>
      </c>
    </row>
    <row r="5210" spans="1:11" ht="12.45">
      <c r="A5210" s="2" t="str">
        <f ca="1">IFERROR(__xludf.DUMMYFUNCTION("""COMPUTED_VALUE"""),"1742653420365")</f>
        <v>1742653420365</v>
      </c>
      <c r="B5210" s="2"/>
      <c r="C5210" s="2" t="str">
        <v>0</v>
      </c>
      <c r="D5210" s="2"/>
      <c r="F5210" s="2" t="str">
        <v>0</v>
      </c>
      <c r="I5210" s="3" t="str">
        <f ca="1">IFERROR(__xludf.DUMMYFUNCTION("""COMPUTED_VALUE"""),"Huỳnh Phương Nguyên")</f>
        <v>Huỳnh Phương Nguyên</v>
      </c>
      <c r="J5210" s="3" t="str">
        <f ca="1">IFERROR(__xludf.DUMMYFUNCTION("""COMPUTED_VALUE"""),"0917989424")</f>
        <v>0917989424</v>
      </c>
      <c r="K5210" s="2" t="str">
        <f ca="1">IFERROR(__xludf.DUMMYFUNCTION("""COMPUTED_VALUE"""),"1742653420365")</f>
        <v>1742653420365</v>
      </c>
    </row>
    <row r="5211" spans="1:11" ht="12.45">
      <c r="A5211" s="2" t="str">
        <f ca="1">IFERROR(__xludf.DUMMYFUNCTION("""COMPUTED_VALUE"""),"1742653461850")</f>
        <v>1742653461850</v>
      </c>
      <c r="B5211" s="2"/>
      <c r="C5211" s="2" t="str">
        <v>0</v>
      </c>
      <c r="D5211" s="2"/>
      <c r="F5211" s="2" t="str">
        <v>0</v>
      </c>
      <c r="I5211" s="3" t="str">
        <f ca="1">IFERROR(__xludf.DUMMYFUNCTION("""COMPUTED_VALUE"""),"Lê Thị Hương Giang ")</f>
        <v xml:space="preserve">Lê Thị Hương Giang </v>
      </c>
      <c r="J5211" s="3" t="str">
        <f ca="1">IFERROR(__xludf.DUMMYFUNCTION("""COMPUTED_VALUE"""),"0383512655")</f>
        <v>0383512655</v>
      </c>
      <c r="K5211" s="2" t="str">
        <f ca="1">IFERROR(__xludf.DUMMYFUNCTION("""COMPUTED_VALUE"""),"1742653461850")</f>
        <v>1742653461850</v>
      </c>
    </row>
    <row r="5212" spans="1:11" ht="12.45">
      <c r="A5212" s="2" t="str">
        <f ca="1">IFERROR(__xludf.DUMMYFUNCTION("""COMPUTED_VALUE"""),"1742653507772")</f>
        <v>1742653507772</v>
      </c>
      <c r="B5212" s="2"/>
      <c r="C5212" s="2" t="str">
        <v>0</v>
      </c>
      <c r="D5212" s="2"/>
      <c r="F5212" s="2" t="str">
        <v>0</v>
      </c>
      <c r="I5212" s="3" t="str">
        <f ca="1">IFERROR(__xludf.DUMMYFUNCTION("""COMPUTED_VALUE"""),"Võ Thị Minh Thư")</f>
        <v>Võ Thị Minh Thư</v>
      </c>
      <c r="J5212" s="3" t="str">
        <f ca="1">IFERROR(__xludf.DUMMYFUNCTION("""COMPUTED_VALUE"""),"0353297154")</f>
        <v>0353297154</v>
      </c>
      <c r="K5212" s="2" t="str">
        <f ca="1">IFERROR(__xludf.DUMMYFUNCTION("""COMPUTED_VALUE"""),"1742653507772")</f>
        <v>1742653507772</v>
      </c>
    </row>
    <row r="5213" spans="1:11" ht="12.45">
      <c r="A5213" s="2" t="str">
        <f ca="1">IFERROR(__xludf.DUMMYFUNCTION("""COMPUTED_VALUE"""),"1742653554947")</f>
        <v>1742653554947</v>
      </c>
      <c r="B5213" s="2"/>
      <c r="C5213" s="2" t="str">
        <v>0</v>
      </c>
      <c r="D5213" s="2"/>
      <c r="F5213" s="2" t="str">
        <v>0</v>
      </c>
      <c r="I5213" s="3" t="str">
        <f ca="1">IFERROR(__xludf.DUMMYFUNCTION("""COMPUTED_VALUE"""),"Vũ Thị Minh Phương")</f>
        <v>Vũ Thị Minh Phương</v>
      </c>
      <c r="J5213" s="3" t="str">
        <f ca="1">IFERROR(__xludf.DUMMYFUNCTION("""COMPUTED_VALUE"""),"0971375182")</f>
        <v>0971375182</v>
      </c>
      <c r="K5213" s="2" t="str">
        <f ca="1">IFERROR(__xludf.DUMMYFUNCTION("""COMPUTED_VALUE"""),"1742653554947")</f>
        <v>1742653554947</v>
      </c>
    </row>
    <row r="5214" spans="1:11" ht="12.45">
      <c r="A5214" s="2" t="str">
        <f ca="1">IFERROR(__xludf.DUMMYFUNCTION("""COMPUTED_VALUE"""),"1742653601516")</f>
        <v>1742653601516</v>
      </c>
      <c r="B5214" s="2"/>
      <c r="C5214" s="2" t="str">
        <v>0</v>
      </c>
      <c r="D5214" s="2"/>
      <c r="F5214" s="2" t="str">
        <v>0</v>
      </c>
      <c r="I5214" s="3" t="str">
        <f ca="1">IFERROR(__xludf.DUMMYFUNCTION("""COMPUTED_VALUE"""),"Nguyễn Thị Băng Tuyết ")</f>
        <v xml:space="preserve">Nguyễn Thị Băng Tuyết </v>
      </c>
      <c r="J5214" s="3" t="str">
        <f ca="1">IFERROR(__xludf.DUMMYFUNCTION("""COMPUTED_VALUE"""),"0984653045")</f>
        <v>0984653045</v>
      </c>
      <c r="K5214" s="2" t="str">
        <f ca="1">IFERROR(__xludf.DUMMYFUNCTION("""COMPUTED_VALUE"""),"1742653601516")</f>
        <v>1742653601516</v>
      </c>
    </row>
    <row r="5215" spans="1:11" ht="12.45">
      <c r="A5215" s="2" t="str">
        <f ca="1">IFERROR(__xludf.DUMMYFUNCTION("""COMPUTED_VALUE"""),"1742653663657")</f>
        <v>1742653663657</v>
      </c>
      <c r="B5215" s="2"/>
      <c r="C5215" s="2" t="str">
        <v>0</v>
      </c>
      <c r="D5215" s="2"/>
      <c r="F5215" s="2" t="str">
        <v>0</v>
      </c>
      <c r="I5215" s="3" t="str">
        <f ca="1">IFERROR(__xludf.DUMMYFUNCTION("""COMPUTED_VALUE"""),"Nguyễn Thị Phúc Lộc ")</f>
        <v xml:space="preserve">Nguyễn Thị Phúc Lộc </v>
      </c>
      <c r="J5215" s="3" t="str">
        <f ca="1">IFERROR(__xludf.DUMMYFUNCTION("""COMPUTED_VALUE"""),"0374982807")</f>
        <v>0374982807</v>
      </c>
      <c r="K5215" s="2" t="str">
        <f ca="1">IFERROR(__xludf.DUMMYFUNCTION("""COMPUTED_VALUE"""),"1742653663657")</f>
        <v>1742653663657</v>
      </c>
    </row>
    <row r="5216" spans="1:11" ht="12.45">
      <c r="A5216" s="2" t="str">
        <f ca="1">IFERROR(__xludf.DUMMYFUNCTION("""COMPUTED_VALUE"""),"1742653704752")</f>
        <v>1742653704752</v>
      </c>
      <c r="B5216" s="2"/>
      <c r="C5216" s="2" t="str">
        <v>0</v>
      </c>
      <c r="D5216" s="2"/>
      <c r="F5216" s="2" t="str">
        <v>0</v>
      </c>
      <c r="I5216" s="3" t="str">
        <f ca="1">IFERROR(__xludf.DUMMYFUNCTION("""COMPUTED_VALUE"""),"Lê Thị Việt Anh")</f>
        <v>Lê Thị Việt Anh</v>
      </c>
      <c r="J5216" s="3" t="str">
        <f ca="1">IFERROR(__xludf.DUMMYFUNCTION("""COMPUTED_VALUE"""),"0392893800")</f>
        <v>0392893800</v>
      </c>
      <c r="K5216" s="2" t="str">
        <f ca="1">IFERROR(__xludf.DUMMYFUNCTION("""COMPUTED_VALUE"""),"1742653704752")</f>
        <v>1742653704752</v>
      </c>
    </row>
    <row r="5217" spans="1:11" ht="12.45">
      <c r="A5217" s="2" t="str">
        <f ca="1">IFERROR(__xludf.DUMMYFUNCTION("""COMPUTED_VALUE"""),"1742653759933")</f>
        <v>1742653759933</v>
      </c>
      <c r="B5217" s="2"/>
      <c r="C5217" s="2" t="str">
        <v>0</v>
      </c>
      <c r="D5217" s="2"/>
      <c r="F5217" s="2" t="str">
        <v>0</v>
      </c>
      <c r="I5217" s="3" t="str">
        <f ca="1">IFERROR(__xludf.DUMMYFUNCTION("""COMPUTED_VALUE"""),"Nguyễn Ngọc Gia Bảo")</f>
        <v>Nguyễn Ngọc Gia Bảo</v>
      </c>
      <c r="J5217" s="3" t="str">
        <f ca="1">IFERROR(__xludf.DUMMYFUNCTION("""COMPUTED_VALUE"""),"0866121007")</f>
        <v>0866121007</v>
      </c>
      <c r="K5217" s="2" t="str">
        <f ca="1">IFERROR(__xludf.DUMMYFUNCTION("""COMPUTED_VALUE"""),"1742653759933")</f>
        <v>1742653759933</v>
      </c>
    </row>
    <row r="5218" spans="1:11" ht="12.45">
      <c r="A5218" s="2" t="str">
        <f ca="1">IFERROR(__xludf.DUMMYFUNCTION("""COMPUTED_VALUE"""),"1742653813839")</f>
        <v>1742653813839</v>
      </c>
      <c r="B5218" s="2"/>
      <c r="C5218" s="2" t="str">
        <v>0</v>
      </c>
      <c r="D5218" s="2"/>
      <c r="F5218" s="2" t="str">
        <v>0</v>
      </c>
      <c r="I5218" s="3" t="str">
        <f ca="1">IFERROR(__xludf.DUMMYFUNCTION("""COMPUTED_VALUE"""),"Đinh Nguyễn Thiên An")</f>
        <v>Đinh Nguyễn Thiên An</v>
      </c>
      <c r="J5218" s="3" t="str">
        <f ca="1">IFERROR(__xludf.DUMMYFUNCTION("""COMPUTED_VALUE"""),"0948889617")</f>
        <v>0948889617</v>
      </c>
      <c r="K5218" s="2" t="str">
        <f ca="1">IFERROR(__xludf.DUMMYFUNCTION("""COMPUTED_VALUE"""),"1742653813839")</f>
        <v>1742653813839</v>
      </c>
    </row>
    <row r="5219" spans="1:11" ht="12.45">
      <c r="A5219" s="2" t="str">
        <f ca="1">IFERROR(__xludf.DUMMYFUNCTION("""COMPUTED_VALUE"""),"1742653859694")</f>
        <v>1742653859694</v>
      </c>
      <c r="B5219" s="2"/>
      <c r="C5219" s="2" t="str">
        <v>0</v>
      </c>
      <c r="D5219" s="2"/>
      <c r="F5219" s="2" t="str">
        <v>0</v>
      </c>
      <c r="I5219" s="3" t="str">
        <f ca="1">IFERROR(__xludf.DUMMYFUNCTION("""COMPUTED_VALUE"""),"Giang Cẩm Ly")</f>
        <v>Giang Cẩm Ly</v>
      </c>
      <c r="J5219" s="3" t="str">
        <f ca="1">IFERROR(__xludf.DUMMYFUNCTION("""COMPUTED_VALUE"""),"0985986531")</f>
        <v>0985986531</v>
      </c>
      <c r="K5219" s="2" t="str">
        <f ca="1">IFERROR(__xludf.DUMMYFUNCTION("""COMPUTED_VALUE"""),"1742653859694")</f>
        <v>1742653859694</v>
      </c>
    </row>
    <row r="5220" spans="1:11" ht="12.45">
      <c r="A5220" s="2" t="str">
        <f ca="1">IFERROR(__xludf.DUMMYFUNCTION("""COMPUTED_VALUE"""),"1742653917004")</f>
        <v>1742653917004</v>
      </c>
      <c r="B5220" s="2"/>
      <c r="C5220" s="2" t="str">
        <v>0</v>
      </c>
      <c r="D5220" s="2"/>
      <c r="F5220" s="2" t="str">
        <v>0</v>
      </c>
      <c r="I5220" s="3" t="str">
        <f ca="1">IFERROR(__xludf.DUMMYFUNCTION("""COMPUTED_VALUE"""),"Trần Thị Ngọc Khanh")</f>
        <v>Trần Thị Ngọc Khanh</v>
      </c>
      <c r="J5220" s="3" t="str">
        <f ca="1">IFERROR(__xludf.DUMMYFUNCTION("""COMPUTED_VALUE"""),"0962190786")</f>
        <v>0962190786</v>
      </c>
      <c r="K5220" s="2" t="str">
        <f ca="1">IFERROR(__xludf.DUMMYFUNCTION("""COMPUTED_VALUE"""),"1742653917004")</f>
        <v>1742653917004</v>
      </c>
    </row>
    <row r="5221" spans="1:11" ht="12.45">
      <c r="A5221" s="2" t="str">
        <f ca="1">IFERROR(__xludf.DUMMYFUNCTION("""COMPUTED_VALUE"""),"1742653975165")</f>
        <v>1742653975165</v>
      </c>
      <c r="B5221" s="2"/>
      <c r="C5221" s="2" t="str">
        <v>0</v>
      </c>
      <c r="D5221" s="2"/>
      <c r="F5221" s="2" t="str">
        <v>0</v>
      </c>
      <c r="I5221" s="3" t="str">
        <f ca="1">IFERROR(__xludf.DUMMYFUNCTION("""COMPUTED_VALUE"""),"Hoàng Kiều Linh")</f>
        <v>Hoàng Kiều Linh</v>
      </c>
      <c r="J5221" s="3" t="str">
        <f ca="1">IFERROR(__xludf.DUMMYFUNCTION("""COMPUTED_VALUE"""),"0387837207")</f>
        <v>0387837207</v>
      </c>
      <c r="K5221" s="2" t="str">
        <f ca="1">IFERROR(__xludf.DUMMYFUNCTION("""COMPUTED_VALUE"""),"1742653975165")</f>
        <v>1742653975165</v>
      </c>
    </row>
    <row r="5222" spans="1:11" ht="12.45">
      <c r="A5222" s="2" t="str">
        <f ca="1">IFERROR(__xludf.DUMMYFUNCTION("""COMPUTED_VALUE"""),"1742654020579")</f>
        <v>1742654020579</v>
      </c>
      <c r="B5222" s="2"/>
      <c r="C5222" s="2" t="str">
        <v>0</v>
      </c>
      <c r="D5222" s="2"/>
      <c r="F5222" s="2" t="str">
        <v>0</v>
      </c>
      <c r="I5222" s="3" t="str">
        <f ca="1">IFERROR(__xludf.DUMMYFUNCTION("""COMPUTED_VALUE"""),"Nguyễn Phương Linh")</f>
        <v>Nguyễn Phương Linh</v>
      </c>
      <c r="J5222" s="3" t="str">
        <f ca="1">IFERROR(__xludf.DUMMYFUNCTION("""COMPUTED_VALUE"""),"0766583313")</f>
        <v>0766583313</v>
      </c>
      <c r="K5222" s="2" t="str">
        <f ca="1">IFERROR(__xludf.DUMMYFUNCTION("""COMPUTED_VALUE"""),"1742654020579")</f>
        <v>1742654020579</v>
      </c>
    </row>
    <row r="5223" spans="1:11" ht="12.45">
      <c r="A5223" s="2" t="str">
        <f ca="1">IFERROR(__xludf.DUMMYFUNCTION("""COMPUTED_VALUE"""),"1742654054628")</f>
        <v>1742654054628</v>
      </c>
      <c r="B5223" s="2"/>
      <c r="C5223" s="2" t="str">
        <v>0</v>
      </c>
      <c r="D5223" s="2"/>
      <c r="F5223" s="2" t="str">
        <v>0</v>
      </c>
      <c r="I5223" s="3" t="str">
        <f ca="1">IFERROR(__xludf.DUMMYFUNCTION("""COMPUTED_VALUE"""),"Phạm Như Quỳnh")</f>
        <v>Phạm Như Quỳnh</v>
      </c>
      <c r="J5223" s="3" t="str">
        <f ca="1">IFERROR(__xludf.DUMMYFUNCTION("""COMPUTED_VALUE"""),"0898407247")</f>
        <v>0898407247</v>
      </c>
      <c r="K5223" s="2" t="str">
        <f ca="1">IFERROR(__xludf.DUMMYFUNCTION("""COMPUTED_VALUE"""),"1742654054628")</f>
        <v>1742654054628</v>
      </c>
    </row>
    <row r="5224" spans="1:11" ht="12.45">
      <c r="A5224" s="2" t="str">
        <f ca="1">IFERROR(__xludf.DUMMYFUNCTION("""COMPUTED_VALUE"""),"1742654106124")</f>
        <v>1742654106124</v>
      </c>
      <c r="B5224" s="2"/>
      <c r="C5224" s="2" t="str">
        <v>0</v>
      </c>
      <c r="D5224" s="2"/>
      <c r="F5224" s="2" t="str">
        <v>0</v>
      </c>
      <c r="I5224" s="3" t="str">
        <f ca="1">IFERROR(__xludf.DUMMYFUNCTION("""COMPUTED_VALUE"""),"Trần Thị Thu Linh")</f>
        <v>Trần Thị Thu Linh</v>
      </c>
      <c r="J5224" s="3" t="str">
        <f ca="1">IFERROR(__xludf.DUMMYFUNCTION("""COMPUTED_VALUE"""),"0869200729")</f>
        <v>0869200729</v>
      </c>
      <c r="K5224" s="2" t="str">
        <f ca="1">IFERROR(__xludf.DUMMYFUNCTION("""COMPUTED_VALUE"""),"1742654106124")</f>
        <v>1742654106124</v>
      </c>
    </row>
    <row r="5225" spans="1:11" ht="12.45">
      <c r="A5225" s="2">
        <f ca="1">IFERROR(__xludf.DUMMYFUNCTION("""COMPUTED_VALUE"""),1743090633843)</f>
        <v>1743090633843</v>
      </c>
      <c r="B5225" s="2"/>
      <c r="C5225" s="2" t="str">
        <v>0</v>
      </c>
      <c r="D5225" s="2"/>
      <c r="F5225" s="2" t="str">
        <v>0</v>
      </c>
      <c r="I5225" s="3" t="str">
        <f ca="1">IFERROR(__xludf.DUMMYFUNCTION("""COMPUTED_VALUE"""),"Thảo Vy")</f>
        <v>Thảo Vy</v>
      </c>
      <c r="J5225" s="3" t="str">
        <f ca="1">IFERROR(__xludf.DUMMYFUNCTION("""COMPUTED_VALUE"""),"0353545376")</f>
        <v>0353545376</v>
      </c>
      <c r="K5225" s="2">
        <f ca="1">IFERROR(__xludf.DUMMYFUNCTION("""COMPUTED_VALUE"""),1743090633843)</f>
        <v>1743090633843</v>
      </c>
    </row>
    <row r="5226" spans="1:11" ht="12.45">
      <c r="A5226" s="2" t="str">
        <f ca="1">IFERROR(__xludf.DUMMYFUNCTION("""COMPUTED_VALUE"""),"1742654175001")</f>
        <v>1742654175001</v>
      </c>
      <c r="B5226" s="2"/>
      <c r="C5226" s="2" t="str">
        <v>0</v>
      </c>
      <c r="D5226" s="2"/>
      <c r="F5226" s="2" t="str">
        <v>0</v>
      </c>
      <c r="I5226" s="3" t="str">
        <f ca="1">IFERROR(__xludf.DUMMYFUNCTION("""COMPUTED_VALUE"""),"Huỳnh Thị Ngọc Ánh")</f>
        <v>Huỳnh Thị Ngọc Ánh</v>
      </c>
      <c r="J5226" s="3" t="str">
        <f ca="1">IFERROR(__xludf.DUMMYFUNCTION("""COMPUTED_VALUE"""),"0707635419")</f>
        <v>0707635419</v>
      </c>
      <c r="K5226" s="2" t="str">
        <f ca="1">IFERROR(__xludf.DUMMYFUNCTION("""COMPUTED_VALUE"""),"1742654175001")</f>
        <v>1742654175001</v>
      </c>
    </row>
    <row r="5227" spans="1:11" ht="12.45">
      <c r="A5227" s="2" t="str">
        <f ca="1">IFERROR(__xludf.DUMMYFUNCTION("""COMPUTED_VALUE"""),"1742654233420")</f>
        <v>1742654233420</v>
      </c>
      <c r="B5227" s="2"/>
      <c r="C5227" s="2" t="str">
        <v>0</v>
      </c>
      <c r="D5227" s="2"/>
      <c r="F5227" s="2" t="str">
        <v>0</v>
      </c>
      <c r="I5227" s="3" t="str">
        <f ca="1">IFERROR(__xludf.DUMMYFUNCTION("""COMPUTED_VALUE"""),"Nông Huyền Mơ ")</f>
        <v xml:space="preserve">Nông Huyền Mơ </v>
      </c>
      <c r="J5227" s="3" t="str">
        <f ca="1">IFERROR(__xludf.DUMMYFUNCTION("""COMPUTED_VALUE"""),"0904430497")</f>
        <v>0904430497</v>
      </c>
      <c r="K5227" s="2" t="str">
        <f ca="1">IFERROR(__xludf.DUMMYFUNCTION("""COMPUTED_VALUE"""),"1742654233420")</f>
        <v>1742654233420</v>
      </c>
    </row>
    <row r="5228" spans="1:11" ht="12.45">
      <c r="A5228" s="2" t="str">
        <f ca="1">IFERROR(__xludf.DUMMYFUNCTION("""COMPUTED_VALUE"""),"1742654282127")</f>
        <v>1742654282127</v>
      </c>
      <c r="B5228" s="2"/>
      <c r="C5228" s="2" t="str">
        <v>0</v>
      </c>
      <c r="D5228" s="2"/>
      <c r="F5228" s="2" t="str">
        <v>0</v>
      </c>
      <c r="I5228" s="3" t="str">
        <f ca="1">IFERROR(__xludf.DUMMYFUNCTION("""COMPUTED_VALUE"""),"Chung Yến Nhi")</f>
        <v>Chung Yến Nhi</v>
      </c>
      <c r="J5228" s="3" t="str">
        <f ca="1">IFERROR(__xludf.DUMMYFUNCTION("""COMPUTED_VALUE"""),"0853510898")</f>
        <v>0853510898</v>
      </c>
      <c r="K5228" s="2" t="str">
        <f ca="1">IFERROR(__xludf.DUMMYFUNCTION("""COMPUTED_VALUE"""),"1742654282127")</f>
        <v>1742654282127</v>
      </c>
    </row>
    <row r="5229" spans="1:11" ht="12.45">
      <c r="A5229" s="2" t="str">
        <f ca="1">IFERROR(__xludf.DUMMYFUNCTION("""COMPUTED_VALUE"""),"1742654324876")</f>
        <v>1742654324876</v>
      </c>
      <c r="B5229" s="2"/>
      <c r="C5229" s="2" t="str">
        <v>0</v>
      </c>
      <c r="D5229" s="2"/>
      <c r="F5229" s="2" t="str">
        <v>0</v>
      </c>
      <c r="I5229" s="3" t="str">
        <f ca="1">IFERROR(__xludf.DUMMYFUNCTION("""COMPUTED_VALUE"""),"Đinh Công Gia Bảo")</f>
        <v>Đinh Công Gia Bảo</v>
      </c>
      <c r="J5229" s="3" t="str">
        <f ca="1">IFERROR(__xludf.DUMMYFUNCTION("""COMPUTED_VALUE"""),"0982285188")</f>
        <v>0982285188</v>
      </c>
      <c r="K5229" s="2" t="str">
        <f ca="1">IFERROR(__xludf.DUMMYFUNCTION("""COMPUTED_VALUE"""),"1742654324876")</f>
        <v>1742654324876</v>
      </c>
    </row>
    <row r="5230" spans="1:11" ht="12.45">
      <c r="A5230" s="2" t="str">
        <f ca="1">IFERROR(__xludf.DUMMYFUNCTION("""COMPUTED_VALUE"""),"1742654361871")</f>
        <v>1742654361871</v>
      </c>
      <c r="B5230" s="2"/>
      <c r="C5230" s="2" t="str">
        <v>0</v>
      </c>
      <c r="D5230" s="2"/>
      <c r="F5230" s="2" t="str">
        <v>0</v>
      </c>
      <c r="I5230" s="3" t="str">
        <f ca="1">IFERROR(__xludf.DUMMYFUNCTION("""COMPUTED_VALUE"""),"Đinh Thị Thanh Hải")</f>
        <v>Đinh Thị Thanh Hải</v>
      </c>
      <c r="J5230" s="3" t="str">
        <f ca="1">IFERROR(__xludf.DUMMYFUNCTION("""COMPUTED_VALUE"""),"0375653474")</f>
        <v>0375653474</v>
      </c>
      <c r="K5230" s="2" t="str">
        <f ca="1">IFERROR(__xludf.DUMMYFUNCTION("""COMPUTED_VALUE"""),"1742654361871")</f>
        <v>1742654361871</v>
      </c>
    </row>
    <row r="5231" spans="1:11" ht="12.45">
      <c r="A5231" s="2" t="str">
        <f ca="1">IFERROR(__xludf.DUMMYFUNCTION("""COMPUTED_VALUE"""),"1759203511979")</f>
        <v>1759203511979</v>
      </c>
      <c r="B5231" s="2"/>
      <c r="C5231" s="2" t="str">
        <v>0</v>
      </c>
      <c r="D5231" s="2"/>
      <c r="F5231" s="2" t="str">
        <v>0</v>
      </c>
      <c r="I5231" s="3" t="str">
        <f ca="1">IFERROR(__xludf.DUMMYFUNCTION("""COMPUTED_VALUE"""),"Bùi Thị Lan Hường")</f>
        <v>Bùi Thị Lan Hường</v>
      </c>
      <c r="J5231" s="3" t="str">
        <f ca="1">IFERROR(__xludf.DUMMYFUNCTION("""COMPUTED_VALUE"""),"0384654688")</f>
        <v>0384654688</v>
      </c>
      <c r="K5231" s="2" t="str">
        <f ca="1">IFERROR(__xludf.DUMMYFUNCTION("""COMPUTED_VALUE"""),"1759203511979")</f>
        <v>1759203511979</v>
      </c>
    </row>
    <row r="5232" spans="1:11" ht="12.45">
      <c r="A5232" s="2" t="str">
        <f ca="1">IFERROR(__xludf.DUMMYFUNCTION("""COMPUTED_VALUE"""),"1742654410348")</f>
        <v>1742654410348</v>
      </c>
      <c r="B5232" s="2"/>
      <c r="C5232" s="2" t="str">
        <v>0</v>
      </c>
      <c r="D5232" s="2"/>
      <c r="F5232" s="2" t="str">
        <v>0</v>
      </c>
      <c r="I5232" s="3" t="str">
        <f ca="1">IFERROR(__xludf.DUMMYFUNCTION("""COMPUTED_VALUE"""),"Hà Ngọc Ánh")</f>
        <v>Hà Ngọc Ánh</v>
      </c>
      <c r="J5232" s="3" t="str">
        <f ca="1">IFERROR(__xludf.DUMMYFUNCTION("""COMPUTED_VALUE"""),"0349685355")</f>
        <v>0349685355</v>
      </c>
      <c r="K5232" s="2" t="str">
        <f ca="1">IFERROR(__xludf.DUMMYFUNCTION("""COMPUTED_VALUE"""),"1742654410348")</f>
        <v>1742654410348</v>
      </c>
    </row>
    <row r="5233" spans="1:11" ht="12.45">
      <c r="A5233" s="2" t="str">
        <f ca="1">IFERROR(__xludf.DUMMYFUNCTION("""COMPUTED_VALUE"""),"1759203601799")</f>
        <v>1759203601799</v>
      </c>
      <c r="B5233" s="2"/>
      <c r="C5233" s="2" t="str">
        <v>0</v>
      </c>
      <c r="D5233" s="2"/>
      <c r="F5233" s="2" t="str">
        <v>0</v>
      </c>
      <c r="I5233" s="3" t="str">
        <f ca="1">IFERROR(__xludf.DUMMYFUNCTION("""COMPUTED_VALUE"""),"Phan Thị Lan Anh")</f>
        <v>Phan Thị Lan Anh</v>
      </c>
      <c r="J5233" s="3" t="str">
        <f ca="1">IFERROR(__xludf.DUMMYFUNCTION("""COMPUTED_VALUE"""),"0347403224")</f>
        <v>0347403224</v>
      </c>
      <c r="K5233" s="2" t="str">
        <f ca="1">IFERROR(__xludf.DUMMYFUNCTION("""COMPUTED_VALUE"""),"1759203601799")</f>
        <v>1759203601799</v>
      </c>
    </row>
    <row r="5234" spans="1:11" ht="12.45">
      <c r="A5234" s="2" t="str">
        <f ca="1">IFERROR(__xludf.DUMMYFUNCTION("""COMPUTED_VALUE"""),"1742654462590")</f>
        <v>1742654462590</v>
      </c>
      <c r="B5234" s="2"/>
      <c r="C5234" s="2" t="str">
        <v>0</v>
      </c>
      <c r="D5234" s="2"/>
      <c r="F5234" s="2" t="str">
        <v>0</v>
      </c>
      <c r="I5234" s="3" t="str">
        <f ca="1">IFERROR(__xludf.DUMMYFUNCTION("""COMPUTED_VALUE"""),"Cam ngọc bảo như ")</f>
        <v xml:space="preserve">Cam ngọc bảo như </v>
      </c>
      <c r="J5234" s="3" t="str">
        <f ca="1">IFERROR(__xludf.DUMMYFUNCTION("""COMPUTED_VALUE"""),"0938449360")</f>
        <v>0938449360</v>
      </c>
      <c r="K5234" s="2" t="str">
        <f ca="1">IFERROR(__xludf.DUMMYFUNCTION("""COMPUTED_VALUE"""),"1742654462590")</f>
        <v>1742654462590</v>
      </c>
    </row>
    <row r="5235" spans="1:11" ht="12.45">
      <c r="A5235" s="2" t="str">
        <f ca="1">IFERROR(__xludf.DUMMYFUNCTION("""COMPUTED_VALUE"""),"1759203661228")</f>
        <v>1759203661228</v>
      </c>
      <c r="B5235" s="2"/>
      <c r="C5235" s="2" t="str">
        <v>0</v>
      </c>
      <c r="D5235" s="2"/>
      <c r="F5235" s="2" t="str">
        <v>0</v>
      </c>
      <c r="I5235" s="3" t="str">
        <f ca="1">IFERROR(__xludf.DUMMYFUNCTION("""COMPUTED_VALUE"""),"Bùi Mỹ Dung")</f>
        <v>Bùi Mỹ Dung</v>
      </c>
      <c r="J5235" s="3" t="str">
        <f ca="1">IFERROR(__xludf.DUMMYFUNCTION("""COMPUTED_VALUE"""),"0862286911")</f>
        <v>0862286911</v>
      </c>
      <c r="K5235" s="2" t="str">
        <f ca="1">IFERROR(__xludf.DUMMYFUNCTION("""COMPUTED_VALUE"""),"1759203661228")</f>
        <v>1759203661228</v>
      </c>
    </row>
    <row r="5236" spans="1:11" ht="12.45">
      <c r="A5236" s="2" t="str">
        <f ca="1">IFERROR(__xludf.DUMMYFUNCTION("""COMPUTED_VALUE"""),"1742654509982")</f>
        <v>1742654509982</v>
      </c>
      <c r="B5236" s="2"/>
      <c r="C5236" s="2" t="str">
        <v>0</v>
      </c>
      <c r="D5236" s="2"/>
      <c r="F5236" s="2" t="str">
        <v>0</v>
      </c>
      <c r="I5236" s="3" t="str">
        <f ca="1">IFERROR(__xludf.DUMMYFUNCTION("""COMPUTED_VALUE"""),"Nguyễn Quỳnh Nga ")</f>
        <v xml:space="preserve">Nguyễn Quỳnh Nga </v>
      </c>
      <c r="J5236" s="3" t="str">
        <f ca="1">IFERROR(__xludf.DUMMYFUNCTION("""COMPUTED_VALUE"""),"0392832436")</f>
        <v>0392832436</v>
      </c>
      <c r="K5236" s="2" t="str">
        <f ca="1">IFERROR(__xludf.DUMMYFUNCTION("""COMPUTED_VALUE"""),"1742654509982")</f>
        <v>1742654509982</v>
      </c>
    </row>
    <row r="5237" spans="1:11" ht="12.45">
      <c r="A5237" s="2" t="str">
        <f ca="1">IFERROR(__xludf.DUMMYFUNCTION("""COMPUTED_VALUE"""),"1759203729688")</f>
        <v>1759203729688</v>
      </c>
      <c r="B5237" s="2"/>
      <c r="C5237" s="2" t="str">
        <v>0</v>
      </c>
      <c r="D5237" s="2"/>
      <c r="F5237" s="2" t="str">
        <v>0</v>
      </c>
      <c r="I5237" s="3" t="str">
        <f ca="1">IFERROR(__xludf.DUMMYFUNCTION("""COMPUTED_VALUE"""),"Vũ Hoàng Anh")</f>
        <v>Vũ Hoàng Anh</v>
      </c>
      <c r="J5237" s="3" t="str">
        <f ca="1">IFERROR(__xludf.DUMMYFUNCTION("""COMPUTED_VALUE"""),"0325689737")</f>
        <v>0325689737</v>
      </c>
      <c r="K5237" s="2" t="str">
        <f ca="1">IFERROR(__xludf.DUMMYFUNCTION("""COMPUTED_VALUE"""),"1759203729688")</f>
        <v>1759203729688</v>
      </c>
    </row>
    <row r="5238" spans="1:11" ht="12.45">
      <c r="A5238" s="2" t="str">
        <f ca="1">IFERROR(__xludf.DUMMYFUNCTION("""COMPUTED_VALUE"""),"1742654575795")</f>
        <v>1742654575795</v>
      </c>
      <c r="B5238" s="2"/>
      <c r="C5238" s="2" t="str">
        <v>0</v>
      </c>
      <c r="D5238" s="2"/>
      <c r="F5238" s="2" t="str">
        <v>0</v>
      </c>
      <c r="I5238" s="3" t="str">
        <f ca="1">IFERROR(__xludf.DUMMYFUNCTION("""COMPUTED_VALUE"""),"Trần Hồ Yến Vy ")</f>
        <v xml:space="preserve">Trần Hồ Yến Vy </v>
      </c>
      <c r="J5238" s="3" t="str">
        <f ca="1">IFERROR(__xludf.DUMMYFUNCTION("""COMPUTED_VALUE"""),"0963117360")</f>
        <v>0963117360</v>
      </c>
      <c r="K5238" s="2" t="str">
        <f ca="1">IFERROR(__xludf.DUMMYFUNCTION("""COMPUTED_VALUE"""),"1742654575795")</f>
        <v>1742654575795</v>
      </c>
    </row>
    <row r="5239" spans="1:11" ht="12.45">
      <c r="A5239" s="2" t="str">
        <f ca="1">IFERROR(__xludf.DUMMYFUNCTION("""COMPUTED_VALUE"""),"1759203828442")</f>
        <v>1759203828442</v>
      </c>
      <c r="B5239" s="2"/>
      <c r="C5239" s="2" t="str">
        <v>0</v>
      </c>
      <c r="D5239" s="2"/>
      <c r="F5239" s="2" t="str">
        <v>0</v>
      </c>
      <c r="I5239" s="3" t="str">
        <f ca="1">IFERROR(__xludf.DUMMYFUNCTION("""COMPUTED_VALUE"""),"Rơ châm Hành ")</f>
        <v xml:space="preserve">Rơ châm Hành </v>
      </c>
      <c r="J5239" s="3" t="str">
        <f ca="1">IFERROR(__xludf.DUMMYFUNCTION("""COMPUTED_VALUE"""),"0912367143")</f>
        <v>0912367143</v>
      </c>
      <c r="K5239" s="2" t="str">
        <f ca="1">IFERROR(__xludf.DUMMYFUNCTION("""COMPUTED_VALUE"""),"1759203828442")</f>
        <v>1759203828442</v>
      </c>
    </row>
    <row r="5240" spans="1:11" ht="12.45">
      <c r="A5240" s="2" t="str">
        <f ca="1">IFERROR(__xludf.DUMMYFUNCTION("""COMPUTED_VALUE"""),"1759203934706")</f>
        <v>1759203934706</v>
      </c>
      <c r="B5240" s="2"/>
      <c r="C5240" s="2" t="str">
        <v>0</v>
      </c>
      <c r="D5240" s="2"/>
      <c r="F5240" s="2" t="str">
        <v>0</v>
      </c>
      <c r="I5240" s="3" t="str">
        <f ca="1">IFERROR(__xludf.DUMMYFUNCTION("""COMPUTED_VALUE"""),"Nguyễn Ngọc Trâm Anh")</f>
        <v>Nguyễn Ngọc Trâm Anh</v>
      </c>
      <c r="J5240" s="3" t="str">
        <f ca="1">IFERROR(__xludf.DUMMYFUNCTION("""COMPUTED_VALUE"""),"0906975099")</f>
        <v>0906975099</v>
      </c>
      <c r="K5240" s="2" t="str">
        <f ca="1">IFERROR(__xludf.DUMMYFUNCTION("""COMPUTED_VALUE"""),"1759203934706")</f>
        <v>1759203934706</v>
      </c>
    </row>
    <row r="5241" spans="1:11" ht="12.45">
      <c r="A5241" s="2" t="str">
        <f ca="1">IFERROR(__xludf.DUMMYFUNCTION("""COMPUTED_VALUE"""),"1759204009286")</f>
        <v>1759204009286</v>
      </c>
      <c r="B5241" s="2"/>
      <c r="C5241" s="2" t="str">
        <v>0</v>
      </c>
      <c r="D5241" s="2"/>
      <c r="F5241" s="2" t="str">
        <v>0</v>
      </c>
      <c r="I5241" s="3" t="str">
        <f ca="1">IFERROR(__xludf.DUMMYFUNCTION("""COMPUTED_VALUE"""),"Trần Huỳnh Đôn")</f>
        <v>Trần Huỳnh Đôn</v>
      </c>
      <c r="J5241" s="3" t="str">
        <f ca="1">IFERROR(__xludf.DUMMYFUNCTION("""COMPUTED_VALUE"""),"0332670930")</f>
        <v>0332670930</v>
      </c>
      <c r="K5241" s="2" t="str">
        <f ca="1">IFERROR(__xludf.DUMMYFUNCTION("""COMPUTED_VALUE"""),"1759204009286")</f>
        <v>1759204009286</v>
      </c>
    </row>
    <row r="5242" spans="1:11" ht="12.45">
      <c r="A5242" s="2" t="str">
        <f ca="1">IFERROR(__xludf.DUMMYFUNCTION("""COMPUTED_VALUE"""),"1742654624951")</f>
        <v>1742654624951</v>
      </c>
      <c r="B5242" s="2"/>
      <c r="C5242" s="2" t="str">
        <v>0</v>
      </c>
      <c r="D5242" s="2"/>
      <c r="F5242" s="2" t="str">
        <v>0</v>
      </c>
      <c r="I5242" s="3" t="str">
        <f ca="1">IFERROR(__xludf.DUMMYFUNCTION("""COMPUTED_VALUE"""),"Quách Thị Thư ")</f>
        <v xml:space="preserve">Quách Thị Thư </v>
      </c>
      <c r="J5242" s="3" t="str">
        <f ca="1">IFERROR(__xludf.DUMMYFUNCTION("""COMPUTED_VALUE"""),"0946692181")</f>
        <v>0946692181</v>
      </c>
      <c r="K5242" s="2" t="str">
        <f ca="1">IFERROR(__xludf.DUMMYFUNCTION("""COMPUTED_VALUE"""),"1742654624951")</f>
        <v>1742654624951</v>
      </c>
    </row>
    <row r="5243" spans="1:11" ht="12.45">
      <c r="A5243" s="2" t="str">
        <f ca="1">IFERROR(__xludf.DUMMYFUNCTION("""COMPUTED_VALUE"""),"1742654672073")</f>
        <v>1742654672073</v>
      </c>
      <c r="B5243" s="2"/>
      <c r="C5243" s="2" t="str">
        <v>0</v>
      </c>
      <c r="D5243" s="2"/>
      <c r="F5243" s="2" t="str">
        <v>0</v>
      </c>
      <c r="I5243" s="3" t="str">
        <f ca="1">IFERROR(__xludf.DUMMYFUNCTION("""COMPUTED_VALUE"""),"Nguyễn Thị Yến Vy ")</f>
        <v xml:space="preserve">Nguyễn Thị Yến Vy </v>
      </c>
      <c r="J5243" s="3" t="str">
        <f ca="1">IFERROR(__xludf.DUMMYFUNCTION("""COMPUTED_VALUE"""),"0385309698")</f>
        <v>0385309698</v>
      </c>
      <c r="K5243" s="2" t="str">
        <f ca="1">IFERROR(__xludf.DUMMYFUNCTION("""COMPUTED_VALUE"""),"1742654672073")</f>
        <v>1742654672073</v>
      </c>
    </row>
    <row r="5244" spans="1:11" ht="12.45">
      <c r="A5244" s="2" t="str">
        <f ca="1">IFERROR(__xludf.DUMMYFUNCTION("""COMPUTED_VALUE"""),"1742654736232")</f>
        <v>1742654736232</v>
      </c>
      <c r="B5244" s="2"/>
      <c r="C5244" s="2" t="str">
        <v>0</v>
      </c>
      <c r="D5244" s="2"/>
      <c r="F5244" s="2" t="str">
        <v>0</v>
      </c>
      <c r="I5244" s="3" t="str">
        <f ca="1">IFERROR(__xludf.DUMMYFUNCTION("""COMPUTED_VALUE"""),"Đặng Vũ Gia Hưng")</f>
        <v>Đặng Vũ Gia Hưng</v>
      </c>
      <c r="J5244" s="3" t="str">
        <f ca="1">IFERROR(__xludf.DUMMYFUNCTION("""COMPUTED_VALUE"""),"0865645829")</f>
        <v>0865645829</v>
      </c>
      <c r="K5244" s="2" t="str">
        <f ca="1">IFERROR(__xludf.DUMMYFUNCTION("""COMPUTED_VALUE"""),"1742654736232")</f>
        <v>1742654736232</v>
      </c>
    </row>
    <row r="5245" spans="1:11" ht="12.45">
      <c r="A5245" s="2" t="str">
        <f ca="1">IFERROR(__xludf.DUMMYFUNCTION("""COMPUTED_VALUE"""),"1759204079022")</f>
        <v>1759204079022</v>
      </c>
      <c r="B5245" s="2"/>
      <c r="C5245" s="2" t="str">
        <v>0</v>
      </c>
      <c r="D5245" s="2"/>
      <c r="F5245" s="2" t="str">
        <v>0</v>
      </c>
      <c r="I5245" s="3" t="str">
        <f ca="1">IFERROR(__xludf.DUMMYFUNCTION("""COMPUTED_VALUE"""),"Trần Chúc An")</f>
        <v>Trần Chúc An</v>
      </c>
      <c r="J5245" s="3" t="str">
        <f ca="1">IFERROR(__xludf.DUMMYFUNCTION("""COMPUTED_VALUE"""),"0832328045")</f>
        <v>0832328045</v>
      </c>
      <c r="K5245" s="2" t="str">
        <f ca="1">IFERROR(__xludf.DUMMYFUNCTION("""COMPUTED_VALUE"""),"1759204079022")</f>
        <v>1759204079022</v>
      </c>
    </row>
    <row r="5246" spans="1:11" ht="12.45">
      <c r="A5246" s="2" t="str">
        <f ca="1">IFERROR(__xludf.DUMMYFUNCTION("""COMPUTED_VALUE"""),"1759204190276")</f>
        <v>1759204190276</v>
      </c>
      <c r="B5246" s="2"/>
      <c r="C5246" s="2" t="str">
        <v>0</v>
      </c>
      <c r="D5246" s="2"/>
      <c r="F5246" s="2" t="str">
        <v>0</v>
      </c>
      <c r="I5246" s="3" t="str">
        <f ca="1">IFERROR(__xludf.DUMMYFUNCTION("""COMPUTED_VALUE"""),"Phạm Ánh Hằng")</f>
        <v>Phạm Ánh Hằng</v>
      </c>
      <c r="J5246" s="3" t="str">
        <f ca="1">IFERROR(__xludf.DUMMYFUNCTION("""COMPUTED_VALUE"""),"0824408982")</f>
        <v>0824408982</v>
      </c>
      <c r="K5246" s="2" t="str">
        <f ca="1">IFERROR(__xludf.DUMMYFUNCTION("""COMPUTED_VALUE"""),"1759204190276")</f>
        <v>1759204190276</v>
      </c>
    </row>
    <row r="5247" spans="1:11" ht="12.45">
      <c r="A5247" s="2" t="str">
        <f ca="1">IFERROR(__xludf.DUMMYFUNCTION("""COMPUTED_VALUE"""),"1742654777628")</f>
        <v>1742654777628</v>
      </c>
      <c r="B5247" s="2"/>
      <c r="C5247" s="2" t="str">
        <v>0</v>
      </c>
      <c r="D5247" s="2"/>
      <c r="F5247" s="2" t="str">
        <v>0</v>
      </c>
      <c r="I5247" s="3" t="str">
        <f ca="1">IFERROR(__xludf.DUMMYFUNCTION("""COMPUTED_VALUE"""),"Nguyễn Triệu Quy ")</f>
        <v xml:space="preserve">Nguyễn Triệu Quy </v>
      </c>
      <c r="J5247" s="3" t="str">
        <f ca="1">IFERROR(__xludf.DUMMYFUNCTION("""COMPUTED_VALUE"""),"0915097972")</f>
        <v>0915097972</v>
      </c>
      <c r="K5247" s="2" t="str">
        <f ca="1">IFERROR(__xludf.DUMMYFUNCTION("""COMPUTED_VALUE"""),"1742654777628")</f>
        <v>1742654777628</v>
      </c>
    </row>
    <row r="5248" spans="1:11" ht="12.45">
      <c r="A5248" s="2" t="str">
        <f ca="1">IFERROR(__xludf.DUMMYFUNCTION("""COMPUTED_VALUE"""),"1742654818590")</f>
        <v>1742654818590</v>
      </c>
      <c r="B5248" s="2"/>
      <c r="C5248" s="2" t="str">
        <v>0</v>
      </c>
      <c r="D5248" s="2"/>
      <c r="F5248" s="2" t="str">
        <v>0</v>
      </c>
      <c r="I5248" s="3" t="str">
        <f ca="1">IFERROR(__xludf.DUMMYFUNCTION("""COMPUTED_VALUE"""),"Hoàng Phương Linh ")</f>
        <v xml:space="preserve">Hoàng Phương Linh </v>
      </c>
      <c r="J5248" s="3" t="str">
        <f ca="1">IFERROR(__xludf.DUMMYFUNCTION("""COMPUTED_VALUE"""),"0345985788")</f>
        <v>0345985788</v>
      </c>
      <c r="K5248" s="2" t="str">
        <f ca="1">IFERROR(__xludf.DUMMYFUNCTION("""COMPUTED_VALUE"""),"1742654818590")</f>
        <v>1742654818590</v>
      </c>
    </row>
    <row r="5249" spans="1:11" ht="12.45">
      <c r="A5249" s="2" t="str">
        <f ca="1">IFERROR(__xludf.DUMMYFUNCTION("""COMPUTED_VALUE"""),"1742654869860")</f>
        <v>1742654869860</v>
      </c>
      <c r="B5249" s="2"/>
      <c r="C5249" s="2" t="str">
        <v>0</v>
      </c>
      <c r="D5249" s="2"/>
      <c r="F5249" s="2" t="str">
        <v>0</v>
      </c>
      <c r="I5249" s="3" t="str">
        <f ca="1">IFERROR(__xludf.DUMMYFUNCTION("""COMPUTED_VALUE"""),"Phạm Phương Thuý")</f>
        <v>Phạm Phương Thuý</v>
      </c>
      <c r="J5249" s="3" t="str">
        <f ca="1">IFERROR(__xludf.DUMMYFUNCTION("""COMPUTED_VALUE"""),"0326157174")</f>
        <v>0326157174</v>
      </c>
      <c r="K5249" s="2" t="str">
        <f ca="1">IFERROR(__xludf.DUMMYFUNCTION("""COMPUTED_VALUE"""),"1742654869860")</f>
        <v>1742654869860</v>
      </c>
    </row>
    <row r="5250" spans="1:11" ht="12.45">
      <c r="A5250" s="2" t="str">
        <f ca="1">IFERROR(__xludf.DUMMYFUNCTION("""COMPUTED_VALUE"""),"1742654945580")</f>
        <v>1742654945580</v>
      </c>
      <c r="B5250" s="2"/>
      <c r="C5250" s="2" t="str">
        <v>0</v>
      </c>
      <c r="D5250" s="2"/>
      <c r="F5250" s="2" t="str">
        <v>0</v>
      </c>
      <c r="I5250" s="3" t="str">
        <f ca="1">IFERROR(__xludf.DUMMYFUNCTION("""COMPUTED_VALUE"""),"Nguyễn Đức Việt ")</f>
        <v xml:space="preserve">Nguyễn Đức Việt </v>
      </c>
      <c r="J5250" s="3" t="str">
        <f ca="1">IFERROR(__xludf.DUMMYFUNCTION("""COMPUTED_VALUE"""),"0358398890")</f>
        <v>0358398890</v>
      </c>
      <c r="K5250" s="2" t="str">
        <f ca="1">IFERROR(__xludf.DUMMYFUNCTION("""COMPUTED_VALUE"""),"1742654945580")</f>
        <v>1742654945580</v>
      </c>
    </row>
    <row r="5251" spans="1:11" ht="12.45">
      <c r="A5251" s="2" t="str">
        <f ca="1">IFERROR(__xludf.DUMMYFUNCTION("""COMPUTED_VALUE"""),"1759204281145")</f>
        <v>1759204281145</v>
      </c>
      <c r="B5251" s="2"/>
      <c r="C5251" s="2" t="str">
        <v>0</v>
      </c>
      <c r="D5251" s="2"/>
      <c r="F5251" s="2" t="str">
        <v>0</v>
      </c>
      <c r="I5251" s="3" t="str">
        <f ca="1">IFERROR(__xludf.DUMMYFUNCTION("""COMPUTED_VALUE"""),"Dương Thảo Anh")</f>
        <v>Dương Thảo Anh</v>
      </c>
      <c r="J5251" s="3" t="str">
        <f ca="1">IFERROR(__xludf.DUMMYFUNCTION("""COMPUTED_VALUE"""),"0366030160")</f>
        <v>0366030160</v>
      </c>
      <c r="K5251" s="2" t="str">
        <f ca="1">IFERROR(__xludf.DUMMYFUNCTION("""COMPUTED_VALUE"""),"1759204281145")</f>
        <v>1759204281145</v>
      </c>
    </row>
    <row r="5252" spans="1:11" ht="12.45">
      <c r="A5252" s="2" t="str">
        <f ca="1">IFERROR(__xludf.DUMMYFUNCTION("""COMPUTED_VALUE"""),"1742654985725")</f>
        <v>1742654985725</v>
      </c>
      <c r="B5252" s="2"/>
      <c r="C5252" s="2" t="str">
        <v>0</v>
      </c>
      <c r="D5252" s="2"/>
      <c r="F5252" s="2" t="str">
        <v>0</v>
      </c>
      <c r="I5252" s="3" t="str">
        <f ca="1">IFERROR(__xludf.DUMMYFUNCTION("""COMPUTED_VALUE"""),"Nguyễn Trần Nhật Quang")</f>
        <v>Nguyễn Trần Nhật Quang</v>
      </c>
      <c r="J5252" s="3" t="str">
        <f ca="1">IFERROR(__xludf.DUMMYFUNCTION("""COMPUTED_VALUE"""),"8496999890")</f>
        <v>8496999890</v>
      </c>
      <c r="K5252" s="2" t="str">
        <f ca="1">IFERROR(__xludf.DUMMYFUNCTION("""COMPUTED_VALUE"""),"1742654985725")</f>
        <v>1742654985725</v>
      </c>
    </row>
    <row r="5253" spans="1:11" ht="12.45">
      <c r="A5253" s="2" t="str">
        <f ca="1">IFERROR(__xludf.DUMMYFUNCTION("""COMPUTED_VALUE"""),"1742655025787")</f>
        <v>1742655025787</v>
      </c>
      <c r="B5253" s="2"/>
      <c r="C5253" s="2" t="str">
        <v>0</v>
      </c>
      <c r="D5253" s="2"/>
      <c r="F5253" s="2" t="str">
        <v>0</v>
      </c>
      <c r="I5253" s="3" t="str">
        <f ca="1">IFERROR(__xludf.DUMMYFUNCTION("""COMPUTED_VALUE"""),"Nguyễn Thị Thuý Hồng")</f>
        <v>Nguyễn Thị Thuý Hồng</v>
      </c>
      <c r="J5253" s="3" t="str">
        <f ca="1">IFERROR(__xludf.DUMMYFUNCTION("""COMPUTED_VALUE"""),"0927201253")</f>
        <v>0927201253</v>
      </c>
      <c r="K5253" s="2" t="str">
        <f ca="1">IFERROR(__xludf.DUMMYFUNCTION("""COMPUTED_VALUE"""),"1742655025787")</f>
        <v>1742655025787</v>
      </c>
    </row>
    <row r="5254" spans="1:11" ht="12.45">
      <c r="A5254" s="2" t="str">
        <f ca="1">IFERROR(__xludf.DUMMYFUNCTION("""COMPUTED_VALUE"""),"1742655065348")</f>
        <v>1742655065348</v>
      </c>
      <c r="B5254" s="2"/>
      <c r="C5254" s="2" t="str">
        <v>0</v>
      </c>
      <c r="D5254" s="2"/>
      <c r="F5254" s="2" t="str">
        <v>0</v>
      </c>
      <c r="I5254" s="3" t="str">
        <f ca="1">IFERROR(__xludf.DUMMYFUNCTION("""COMPUTED_VALUE"""),"Ngô Dương Quyền ")</f>
        <v xml:space="preserve">Ngô Dương Quyền </v>
      </c>
      <c r="J5254" s="3" t="str">
        <f ca="1">IFERROR(__xludf.DUMMYFUNCTION("""COMPUTED_VALUE"""),"0985037542")</f>
        <v>0985037542</v>
      </c>
      <c r="K5254" s="2" t="str">
        <f ca="1">IFERROR(__xludf.DUMMYFUNCTION("""COMPUTED_VALUE"""),"1742655065348")</f>
        <v>1742655065348</v>
      </c>
    </row>
    <row r="5255" spans="1:11" ht="12.45">
      <c r="A5255" s="2" t="str">
        <f ca="1">IFERROR(__xludf.DUMMYFUNCTION("""COMPUTED_VALUE"""),"1742655101617")</f>
        <v>1742655101617</v>
      </c>
      <c r="B5255" s="2"/>
      <c r="C5255" s="2" t="str">
        <v>0</v>
      </c>
      <c r="D5255" s="2"/>
      <c r="F5255" s="2" t="str">
        <v>0</v>
      </c>
      <c r="I5255" s="3" t="str">
        <f ca="1">IFERROR(__xludf.DUMMYFUNCTION("""COMPUTED_VALUE"""),"Phạm Thế Duy")</f>
        <v>Phạm Thế Duy</v>
      </c>
      <c r="J5255" s="3" t="str">
        <f ca="1">IFERROR(__xludf.DUMMYFUNCTION("""COMPUTED_VALUE"""),"0325677629")</f>
        <v>0325677629</v>
      </c>
      <c r="K5255" s="2" t="str">
        <f ca="1">IFERROR(__xludf.DUMMYFUNCTION("""COMPUTED_VALUE"""),"1742655101617")</f>
        <v>1742655101617</v>
      </c>
    </row>
    <row r="5256" spans="1:11" ht="12.45">
      <c r="A5256" s="2" t="str">
        <f ca="1">IFERROR(__xludf.DUMMYFUNCTION("""COMPUTED_VALUE"""),"1742655136802")</f>
        <v>1742655136802</v>
      </c>
      <c r="B5256" s="2"/>
      <c r="C5256" s="2" t="str">
        <v>0</v>
      </c>
      <c r="D5256" s="2"/>
      <c r="F5256" s="2" t="str">
        <v>0</v>
      </c>
      <c r="I5256" s="3" t="str">
        <f ca="1">IFERROR(__xludf.DUMMYFUNCTION("""COMPUTED_VALUE"""),"Trần Ngọc Thanh Thảo")</f>
        <v>Trần Ngọc Thanh Thảo</v>
      </c>
      <c r="J5256" s="3" t="str">
        <f ca="1">IFERROR(__xludf.DUMMYFUNCTION("""COMPUTED_VALUE"""),"0703197007")</f>
        <v>0703197007</v>
      </c>
      <c r="K5256" s="2" t="str">
        <f ca="1">IFERROR(__xludf.DUMMYFUNCTION("""COMPUTED_VALUE"""),"1742655136802")</f>
        <v>1742655136802</v>
      </c>
    </row>
    <row r="5257" spans="1:11" ht="12.45">
      <c r="A5257" s="2" t="str">
        <f ca="1">IFERROR(__xludf.DUMMYFUNCTION("""COMPUTED_VALUE"""),"1742655169118")</f>
        <v>1742655169118</v>
      </c>
      <c r="B5257" s="2"/>
      <c r="C5257" s="2" t="str">
        <v>0</v>
      </c>
      <c r="D5257" s="2"/>
      <c r="F5257" s="2" t="str">
        <v>0</v>
      </c>
      <c r="I5257" s="3" t="str">
        <f ca="1">IFERROR(__xludf.DUMMYFUNCTION("""COMPUTED_VALUE"""),"ĐẶNG THỊ THU THUỶ")</f>
        <v>ĐẶNG THỊ THU THUỶ</v>
      </c>
      <c r="J5257" s="3" t="str">
        <f ca="1">IFERROR(__xludf.DUMMYFUNCTION("""COMPUTED_VALUE"""),"0977229106")</f>
        <v>0977229106</v>
      </c>
      <c r="K5257" s="2" t="str">
        <f ca="1">IFERROR(__xludf.DUMMYFUNCTION("""COMPUTED_VALUE"""),"1742655169118")</f>
        <v>1742655169118</v>
      </c>
    </row>
    <row r="5258" spans="1:11" ht="12.45">
      <c r="A5258" s="2" t="str">
        <f ca="1">IFERROR(__xludf.DUMMYFUNCTION("""COMPUTED_VALUE"""),"1742655209499")</f>
        <v>1742655209499</v>
      </c>
      <c r="B5258" s="2"/>
      <c r="C5258" s="2" t="str">
        <v>0</v>
      </c>
      <c r="D5258" s="2"/>
      <c r="F5258" s="2" t="str">
        <v>0</v>
      </c>
      <c r="I5258" s="3" t="str">
        <f ca="1">IFERROR(__xludf.DUMMYFUNCTION("""COMPUTED_VALUE"""),"Nguyễn Ngọc Kiều")</f>
        <v>Nguyễn Ngọc Kiều</v>
      </c>
      <c r="J5258" s="3" t="str">
        <f ca="1">IFERROR(__xludf.DUMMYFUNCTION("""COMPUTED_VALUE"""),"0346538871")</f>
        <v>0346538871</v>
      </c>
      <c r="K5258" s="2" t="str">
        <f ca="1">IFERROR(__xludf.DUMMYFUNCTION("""COMPUTED_VALUE"""),"1742655209499")</f>
        <v>1742655209499</v>
      </c>
    </row>
    <row r="5259" spans="1:11" ht="12.45">
      <c r="A5259" s="2" t="str">
        <f ca="1">IFERROR(__xludf.DUMMYFUNCTION("""COMPUTED_VALUE"""),"1742655239112")</f>
        <v>1742655239112</v>
      </c>
      <c r="B5259" s="2"/>
      <c r="C5259" s="2" t="str">
        <v>0</v>
      </c>
      <c r="D5259" s="2"/>
      <c r="F5259" s="2" t="str">
        <v>0</v>
      </c>
      <c r="I5259" s="3" t="str">
        <f ca="1">IFERROR(__xludf.DUMMYFUNCTION("""COMPUTED_VALUE"""),"Hồ Nguyễn Anh Thư ")</f>
        <v xml:space="preserve">Hồ Nguyễn Anh Thư </v>
      </c>
      <c r="J5259" s="3" t="str">
        <f ca="1">IFERROR(__xludf.DUMMYFUNCTION("""COMPUTED_VALUE"""),"0924717999")</f>
        <v>0924717999</v>
      </c>
      <c r="K5259" s="2" t="str">
        <f ca="1">IFERROR(__xludf.DUMMYFUNCTION("""COMPUTED_VALUE"""),"1742655239112")</f>
        <v>1742655239112</v>
      </c>
    </row>
    <row r="5260" spans="1:11" ht="12.45">
      <c r="A5260" s="2" t="str">
        <f ca="1">IFERROR(__xludf.DUMMYFUNCTION("""COMPUTED_VALUE"""),"1742655290872")</f>
        <v>1742655290872</v>
      </c>
      <c r="B5260" s="2"/>
      <c r="C5260" s="2" t="str">
        <v>0</v>
      </c>
      <c r="D5260" s="2"/>
      <c r="F5260" s="2" t="str">
        <v>0</v>
      </c>
      <c r="I5260" s="3" t="str">
        <f ca="1">IFERROR(__xludf.DUMMYFUNCTION("""COMPUTED_VALUE"""),"LÊ VĂN CÔNG ")</f>
        <v xml:space="preserve">LÊ VĂN CÔNG </v>
      </c>
      <c r="J5260" s="3" t="str">
        <f ca="1">IFERROR(__xludf.DUMMYFUNCTION("""COMPUTED_VALUE"""),"0393168807")</f>
        <v>0393168807</v>
      </c>
      <c r="K5260" s="2" t="str">
        <f ca="1">IFERROR(__xludf.DUMMYFUNCTION("""COMPUTED_VALUE"""),"1742655290872")</f>
        <v>1742655290872</v>
      </c>
    </row>
    <row r="5261" spans="1:11" ht="12.45">
      <c r="A5261" s="2" t="str">
        <f ca="1">IFERROR(__xludf.DUMMYFUNCTION("""COMPUTED_VALUE"""),"1742655340658")</f>
        <v>1742655340658</v>
      </c>
      <c r="B5261" s="2"/>
      <c r="C5261" s="2" t="str">
        <v>0</v>
      </c>
      <c r="D5261" s="2"/>
      <c r="F5261" s="2" t="str">
        <v>0</v>
      </c>
      <c r="I5261" s="3" t="str">
        <f ca="1">IFERROR(__xludf.DUMMYFUNCTION("""COMPUTED_VALUE"""),"Nguyễn Đức Anh")</f>
        <v>Nguyễn Đức Anh</v>
      </c>
      <c r="J5261" s="3" t="str">
        <f ca="1">IFERROR(__xludf.DUMMYFUNCTION("""COMPUTED_VALUE"""),"0362089590")</f>
        <v>0362089590</v>
      </c>
      <c r="K5261" s="2" t="str">
        <f ca="1">IFERROR(__xludf.DUMMYFUNCTION("""COMPUTED_VALUE"""),"1742655340658")</f>
        <v>1742655340658</v>
      </c>
    </row>
    <row r="5262" spans="1:11" ht="12.45">
      <c r="A5262" s="2" t="str">
        <f ca="1">IFERROR(__xludf.DUMMYFUNCTION("""COMPUTED_VALUE"""),"1742655382348")</f>
        <v>1742655382348</v>
      </c>
      <c r="B5262" s="2"/>
      <c r="C5262" s="2" t="str">
        <v>0</v>
      </c>
      <c r="D5262" s="2"/>
      <c r="F5262" s="2" t="str">
        <v>0</v>
      </c>
      <c r="I5262" s="3" t="str">
        <f ca="1">IFERROR(__xludf.DUMMYFUNCTION("""COMPUTED_VALUE"""),"Nguyễn Thị Hồng Nhung ")</f>
        <v xml:space="preserve">Nguyễn Thị Hồng Nhung </v>
      </c>
      <c r="J5262" s="3" t="str">
        <f ca="1">IFERROR(__xludf.DUMMYFUNCTION("""COMPUTED_VALUE"""),"0974000463")</f>
        <v>0974000463</v>
      </c>
      <c r="K5262" s="2" t="str">
        <f ca="1">IFERROR(__xludf.DUMMYFUNCTION("""COMPUTED_VALUE"""),"1742655382348")</f>
        <v>1742655382348</v>
      </c>
    </row>
    <row r="5263" spans="1:11" ht="12.45">
      <c r="A5263" s="2" t="str">
        <f ca="1">IFERROR(__xludf.DUMMYFUNCTION("""COMPUTED_VALUE"""),"1742655423556")</f>
        <v>1742655423556</v>
      </c>
      <c r="B5263" s="2"/>
      <c r="C5263" s="2" t="str">
        <v>0</v>
      </c>
      <c r="D5263" s="2"/>
      <c r="F5263" s="2" t="str">
        <v>0</v>
      </c>
      <c r="I5263" s="3" t="str">
        <f ca="1">IFERROR(__xludf.DUMMYFUNCTION("""COMPUTED_VALUE"""),"Đỗ Bích Ngọc")</f>
        <v>Đỗ Bích Ngọc</v>
      </c>
      <c r="J5263" s="3" t="str">
        <f ca="1">IFERROR(__xludf.DUMMYFUNCTION("""COMPUTED_VALUE"""),"0945565166")</f>
        <v>0945565166</v>
      </c>
      <c r="K5263" s="2" t="str">
        <f ca="1">IFERROR(__xludf.DUMMYFUNCTION("""COMPUTED_VALUE"""),"1742655423556")</f>
        <v>1742655423556</v>
      </c>
    </row>
    <row r="5264" spans="1:11" ht="12.45">
      <c r="A5264" s="2" t="str">
        <f ca="1">IFERROR(__xludf.DUMMYFUNCTION("""COMPUTED_VALUE"""),"1742655474850")</f>
        <v>1742655474850</v>
      </c>
      <c r="B5264" s="2"/>
      <c r="C5264" s="2" t="str">
        <v>0</v>
      </c>
      <c r="D5264" s="2"/>
      <c r="F5264" s="2" t="str">
        <v>0</v>
      </c>
      <c r="I5264" s="3" t="str">
        <f ca="1">IFERROR(__xludf.DUMMYFUNCTION("""COMPUTED_VALUE"""),"NGUYỄN THỊ NGỌC ")</f>
        <v xml:space="preserve">NGUYỄN THỊ NGỌC </v>
      </c>
      <c r="J5264" s="3" t="str">
        <f ca="1">IFERROR(__xludf.DUMMYFUNCTION("""COMPUTED_VALUE"""),"0985375923")</f>
        <v>0985375923</v>
      </c>
      <c r="K5264" s="2" t="str">
        <f ca="1">IFERROR(__xludf.DUMMYFUNCTION("""COMPUTED_VALUE"""),"1742655474850")</f>
        <v>1742655474850</v>
      </c>
    </row>
    <row r="5265" spans="1:11" ht="12.45">
      <c r="A5265" s="2" t="str">
        <f ca="1">IFERROR(__xludf.DUMMYFUNCTION("""COMPUTED_VALUE"""),"1742655502813")</f>
        <v>1742655502813</v>
      </c>
      <c r="B5265" s="2"/>
      <c r="C5265" s="2" t="str">
        <v>0</v>
      </c>
      <c r="D5265" s="2"/>
      <c r="F5265" s="2" t="str">
        <v>0</v>
      </c>
      <c r="I5265" s="3" t="str">
        <f ca="1">IFERROR(__xludf.DUMMYFUNCTION("""COMPUTED_VALUE"""),"Nguyễn Phương Thuý")</f>
        <v>Nguyễn Phương Thuý</v>
      </c>
      <c r="J5265" s="3" t="str">
        <f ca="1">IFERROR(__xludf.DUMMYFUNCTION("""COMPUTED_VALUE"""),"0387426244")</f>
        <v>0387426244</v>
      </c>
      <c r="K5265" s="2" t="str">
        <f ca="1">IFERROR(__xludf.DUMMYFUNCTION("""COMPUTED_VALUE"""),"1742655502813")</f>
        <v>1742655502813</v>
      </c>
    </row>
    <row r="5266" spans="1:11" ht="12.45">
      <c r="A5266" s="2" t="str">
        <f ca="1">IFERROR(__xludf.DUMMYFUNCTION("""COMPUTED_VALUE"""),"1742655530225")</f>
        <v>1742655530225</v>
      </c>
      <c r="B5266" s="2"/>
      <c r="C5266" s="2" t="str">
        <v>0</v>
      </c>
      <c r="D5266" s="2"/>
      <c r="F5266" s="2" t="str">
        <v>0</v>
      </c>
      <c r="I5266" s="3" t="str">
        <f ca="1">IFERROR(__xludf.DUMMYFUNCTION("""COMPUTED_VALUE"""),"Vũ Vân Anh")</f>
        <v>Vũ Vân Anh</v>
      </c>
      <c r="J5266" s="3" t="str">
        <f ca="1">IFERROR(__xludf.DUMMYFUNCTION("""COMPUTED_VALUE"""),"0961179763")</f>
        <v>0961179763</v>
      </c>
      <c r="K5266" s="2" t="str">
        <f ca="1">IFERROR(__xludf.DUMMYFUNCTION("""COMPUTED_VALUE"""),"1742655530225")</f>
        <v>1742655530225</v>
      </c>
    </row>
    <row r="5267" spans="1:11" ht="12.45">
      <c r="A5267" s="2" t="str">
        <f ca="1">IFERROR(__xludf.DUMMYFUNCTION("""COMPUTED_VALUE"""),"1742655570039")</f>
        <v>1742655570039</v>
      </c>
      <c r="B5267" s="2"/>
      <c r="C5267" s="2" t="str">
        <v>0</v>
      </c>
      <c r="D5267" s="2"/>
      <c r="F5267" s="2" t="str">
        <v>0</v>
      </c>
      <c r="I5267" s="3" t="str">
        <f ca="1">IFERROR(__xludf.DUMMYFUNCTION("""COMPUTED_VALUE"""),"Đinh Thùy Dương ")</f>
        <v xml:space="preserve">Đinh Thùy Dương </v>
      </c>
      <c r="J5267" s="3" t="str">
        <f ca="1">IFERROR(__xludf.DUMMYFUNCTION("""COMPUTED_VALUE"""),"0915963608")</f>
        <v>0915963608</v>
      </c>
      <c r="K5267" s="2" t="str">
        <f ca="1">IFERROR(__xludf.DUMMYFUNCTION("""COMPUTED_VALUE"""),"1742655570039")</f>
        <v>1742655570039</v>
      </c>
    </row>
    <row r="5268" spans="1:11" ht="12.45">
      <c r="A5268" s="2" t="str">
        <f ca="1">IFERROR(__xludf.DUMMYFUNCTION("""COMPUTED_VALUE"""),"1742655594560")</f>
        <v>1742655594560</v>
      </c>
      <c r="B5268" s="2"/>
      <c r="C5268" s="2" t="str">
        <v>0</v>
      </c>
      <c r="D5268" s="2"/>
      <c r="F5268" s="2" t="str">
        <v>0</v>
      </c>
      <c r="I5268" s="3" t="str">
        <f ca="1">IFERROR(__xludf.DUMMYFUNCTION("""COMPUTED_VALUE"""),"Trần Thị Ngọc Anh")</f>
        <v>Trần Thị Ngọc Anh</v>
      </c>
      <c r="J5268" s="3" t="str">
        <f ca="1">IFERROR(__xludf.DUMMYFUNCTION("""COMPUTED_VALUE"""),"0326202007")</f>
        <v>0326202007</v>
      </c>
      <c r="K5268" s="2" t="str">
        <f ca="1">IFERROR(__xludf.DUMMYFUNCTION("""COMPUTED_VALUE"""),"1742655594560")</f>
        <v>1742655594560</v>
      </c>
    </row>
    <row r="5269" spans="1:11" ht="12.45">
      <c r="A5269" s="2" t="str">
        <f ca="1">IFERROR(__xludf.DUMMYFUNCTION("""COMPUTED_VALUE"""),"1742655628769")</f>
        <v>1742655628769</v>
      </c>
      <c r="B5269" s="2"/>
      <c r="C5269" s="2" t="str">
        <v>0</v>
      </c>
      <c r="D5269" s="2"/>
      <c r="F5269" s="2" t="str">
        <v>0</v>
      </c>
      <c r="I5269" s="3" t="str">
        <f ca="1">IFERROR(__xludf.DUMMYFUNCTION("""COMPUTED_VALUE"""),"Nguyễn Thảo ")</f>
        <v xml:space="preserve">Nguyễn Thảo </v>
      </c>
      <c r="J5269" s="3" t="str">
        <f ca="1">IFERROR(__xludf.DUMMYFUNCTION("""COMPUTED_VALUE"""),"0962965972")</f>
        <v>0962965972</v>
      </c>
      <c r="K5269" s="2" t="str">
        <f ca="1">IFERROR(__xludf.DUMMYFUNCTION("""COMPUTED_VALUE"""),"1742655628769")</f>
        <v>1742655628769</v>
      </c>
    </row>
    <row r="5270" spans="1:11" ht="12.45">
      <c r="A5270" s="2" t="str">
        <f ca="1">IFERROR(__xludf.DUMMYFUNCTION("""COMPUTED_VALUE"""),"1742655670333")</f>
        <v>1742655670333</v>
      </c>
      <c r="B5270" s="2"/>
      <c r="C5270" s="2" t="str">
        <v>0</v>
      </c>
      <c r="D5270" s="2"/>
      <c r="F5270" s="2" t="str">
        <v>0</v>
      </c>
      <c r="I5270" s="3" t="str">
        <f ca="1">IFERROR(__xludf.DUMMYFUNCTION("""COMPUTED_VALUE"""),"Nguyễn Như Quỳnh")</f>
        <v>Nguyễn Như Quỳnh</v>
      </c>
      <c r="J5270" s="3" t="str">
        <f ca="1">IFERROR(__xludf.DUMMYFUNCTION("""COMPUTED_VALUE"""),"0398168007")</f>
        <v>0398168007</v>
      </c>
      <c r="K5270" s="2" t="str">
        <f ca="1">IFERROR(__xludf.DUMMYFUNCTION("""COMPUTED_VALUE"""),"1742655670333")</f>
        <v>1742655670333</v>
      </c>
    </row>
    <row r="5271" spans="1:11" ht="12.45">
      <c r="A5271" s="2" t="str">
        <f ca="1">IFERROR(__xludf.DUMMYFUNCTION("""COMPUTED_VALUE"""),"1742655715740")</f>
        <v>1742655715740</v>
      </c>
      <c r="B5271" s="2"/>
      <c r="C5271" s="2" t="str">
        <v>0</v>
      </c>
      <c r="D5271" s="2"/>
      <c r="F5271" s="2" t="str">
        <v>0</v>
      </c>
      <c r="I5271" s="3" t="str">
        <f ca="1">IFERROR(__xludf.DUMMYFUNCTION("""COMPUTED_VALUE"""),"Nguyễn Trà Giang")</f>
        <v>Nguyễn Trà Giang</v>
      </c>
      <c r="J5271" s="3" t="str">
        <f ca="1">IFERROR(__xludf.DUMMYFUNCTION("""COMPUTED_VALUE"""),"0943446669")</f>
        <v>0943446669</v>
      </c>
      <c r="K5271" s="2" t="str">
        <f ca="1">IFERROR(__xludf.DUMMYFUNCTION("""COMPUTED_VALUE"""),"1742655715740")</f>
        <v>1742655715740</v>
      </c>
    </row>
    <row r="5272" spans="1:11" ht="12.45">
      <c r="A5272" s="2" t="str">
        <f ca="1">IFERROR(__xludf.DUMMYFUNCTION("""COMPUTED_VALUE"""),"1742655761087")</f>
        <v>1742655761087</v>
      </c>
      <c r="B5272" s="2"/>
      <c r="C5272" s="2" t="str">
        <v>0</v>
      </c>
      <c r="D5272" s="2"/>
      <c r="F5272" s="2" t="str">
        <v>0</v>
      </c>
      <c r="I5272" s="3" t="str">
        <f ca="1">IFERROR(__xludf.DUMMYFUNCTION("""COMPUTED_VALUE"""),"Đỗ Ngọc Anh")</f>
        <v>Đỗ Ngọc Anh</v>
      </c>
      <c r="J5272" s="3" t="str">
        <f ca="1">IFERROR(__xludf.DUMMYFUNCTION("""COMPUTED_VALUE"""),"0986509192")</f>
        <v>0986509192</v>
      </c>
      <c r="K5272" s="2" t="str">
        <f ca="1">IFERROR(__xludf.DUMMYFUNCTION("""COMPUTED_VALUE"""),"1742655761087")</f>
        <v>1742655761087</v>
      </c>
    </row>
    <row r="5273" spans="1:11" ht="12.45">
      <c r="A5273" s="2" t="str">
        <f ca="1">IFERROR(__xludf.DUMMYFUNCTION("""COMPUTED_VALUE"""),"1742655803325")</f>
        <v>1742655803325</v>
      </c>
      <c r="B5273" s="2"/>
      <c r="C5273" s="2" t="str">
        <v>0</v>
      </c>
      <c r="D5273" s="2"/>
      <c r="F5273" s="2" t="str">
        <v>0</v>
      </c>
      <c r="I5273" s="3" t="str">
        <f ca="1">IFERROR(__xludf.DUMMYFUNCTION("""COMPUTED_VALUE"""),"Vũ Quang Nam")</f>
        <v>Vũ Quang Nam</v>
      </c>
      <c r="J5273" s="3" t="str">
        <f ca="1">IFERROR(__xludf.DUMMYFUNCTION("""COMPUTED_VALUE"""),"0945758207")</f>
        <v>0945758207</v>
      </c>
      <c r="K5273" s="2" t="str">
        <f ca="1">IFERROR(__xludf.DUMMYFUNCTION("""COMPUTED_VALUE"""),"1742655803325")</f>
        <v>1742655803325</v>
      </c>
    </row>
    <row r="5274" spans="1:11" ht="12.45">
      <c r="A5274" s="2" t="str">
        <f ca="1">IFERROR(__xludf.DUMMYFUNCTION("""COMPUTED_VALUE"""),"1742655838373")</f>
        <v>1742655838373</v>
      </c>
      <c r="B5274" s="2"/>
      <c r="C5274" s="2" t="str">
        <v>0</v>
      </c>
      <c r="D5274" s="2"/>
      <c r="F5274" s="2" t="str">
        <v>0</v>
      </c>
      <c r="I5274" s="3" t="str">
        <f ca="1">IFERROR(__xludf.DUMMYFUNCTION("""COMPUTED_VALUE"""),"Đoàn Trọng Tuấn")</f>
        <v>Đoàn Trọng Tuấn</v>
      </c>
      <c r="J5274" s="3" t="str">
        <f ca="1">IFERROR(__xludf.DUMMYFUNCTION("""COMPUTED_VALUE"""),"0835887725")</f>
        <v>0835887725</v>
      </c>
      <c r="K5274" s="2" t="str">
        <f ca="1">IFERROR(__xludf.DUMMYFUNCTION("""COMPUTED_VALUE"""),"1742655838373")</f>
        <v>1742655838373</v>
      </c>
    </row>
    <row r="5275" spans="1:11" ht="12.45">
      <c r="A5275" s="2" t="str">
        <f ca="1">IFERROR(__xludf.DUMMYFUNCTION("""COMPUTED_VALUE"""),"1742655876291")</f>
        <v>1742655876291</v>
      </c>
      <c r="B5275" s="2"/>
      <c r="C5275" s="2" t="str">
        <v>0</v>
      </c>
      <c r="D5275" s="2"/>
      <c r="F5275" s="2" t="str">
        <v>0</v>
      </c>
      <c r="I5275" s="3" t="str">
        <f ca="1">IFERROR(__xludf.DUMMYFUNCTION("""COMPUTED_VALUE"""),"Nguyễn Ngọc Anh Thư ")</f>
        <v xml:space="preserve">Nguyễn Ngọc Anh Thư </v>
      </c>
      <c r="J5275" s="3" t="str">
        <f ca="1">IFERROR(__xludf.DUMMYFUNCTION("""COMPUTED_VALUE"""),"0901445748")</f>
        <v>0901445748</v>
      </c>
      <c r="K5275" s="2" t="str">
        <f ca="1">IFERROR(__xludf.DUMMYFUNCTION("""COMPUTED_VALUE"""),"1742655876291")</f>
        <v>1742655876291</v>
      </c>
    </row>
    <row r="5276" spans="1:11" ht="12.45">
      <c r="A5276" s="2" t="str">
        <f ca="1">IFERROR(__xludf.DUMMYFUNCTION("""COMPUTED_VALUE"""),"1742655931961")</f>
        <v>1742655931961</v>
      </c>
      <c r="B5276" s="2"/>
      <c r="C5276" s="2" t="str">
        <v>0</v>
      </c>
      <c r="D5276" s="2"/>
      <c r="F5276" s="2" t="str">
        <v>0</v>
      </c>
      <c r="I5276" s="3" t="str">
        <f ca="1">IFERROR(__xludf.DUMMYFUNCTION("""COMPUTED_VALUE"""),"Nguyễn Hương Ly ")</f>
        <v xml:space="preserve">Nguyễn Hương Ly </v>
      </c>
      <c r="J5276" s="3" t="str">
        <f ca="1">IFERROR(__xludf.DUMMYFUNCTION("""COMPUTED_VALUE"""),"0888179419")</f>
        <v>0888179419</v>
      </c>
      <c r="K5276" s="2" t="str">
        <f ca="1">IFERROR(__xludf.DUMMYFUNCTION("""COMPUTED_VALUE"""),"1742655931961")</f>
        <v>1742655931961</v>
      </c>
    </row>
    <row r="5277" spans="1:11" ht="12.45">
      <c r="A5277" s="2" t="str">
        <f ca="1">IFERROR(__xludf.DUMMYFUNCTION("""COMPUTED_VALUE"""),"1742655983458")</f>
        <v>1742655983458</v>
      </c>
      <c r="B5277" s="2"/>
      <c r="C5277" s="2" t="str">
        <v>0</v>
      </c>
      <c r="D5277" s="2"/>
      <c r="F5277" s="2" t="str">
        <v>0</v>
      </c>
      <c r="I5277" s="3" t="str">
        <f ca="1">IFERROR(__xludf.DUMMYFUNCTION("""COMPUTED_VALUE"""),"Trần Đặng Như Ngọc")</f>
        <v>Trần Đặng Như Ngọc</v>
      </c>
      <c r="J5277" s="3" t="str">
        <f ca="1">IFERROR(__xludf.DUMMYFUNCTION("""COMPUTED_VALUE"""),"0767522639")</f>
        <v>0767522639</v>
      </c>
      <c r="K5277" s="2" t="str">
        <f ca="1">IFERROR(__xludf.DUMMYFUNCTION("""COMPUTED_VALUE"""),"1742655983458")</f>
        <v>1742655983458</v>
      </c>
    </row>
    <row r="5278" spans="1:11" ht="12.45">
      <c r="A5278" s="2" t="str">
        <f ca="1">IFERROR(__xludf.DUMMYFUNCTION("""COMPUTED_VALUE"""),"1742656020972")</f>
        <v>1742656020972</v>
      </c>
      <c r="B5278" s="2"/>
      <c r="C5278" s="2" t="str">
        <v>0</v>
      </c>
      <c r="D5278" s="2"/>
      <c r="F5278" s="2" t="str">
        <v>0</v>
      </c>
      <c r="I5278" s="3" t="str">
        <f ca="1">IFERROR(__xludf.DUMMYFUNCTION("""COMPUTED_VALUE"""),"Huỳnh Bảo Anh")</f>
        <v>Huỳnh Bảo Anh</v>
      </c>
      <c r="J5278" s="3" t="str">
        <f ca="1">IFERROR(__xludf.DUMMYFUNCTION("""COMPUTED_VALUE"""),"0967135063")</f>
        <v>0967135063</v>
      </c>
      <c r="K5278" s="2" t="str">
        <f ca="1">IFERROR(__xludf.DUMMYFUNCTION("""COMPUTED_VALUE"""),"1742656020972")</f>
        <v>1742656020972</v>
      </c>
    </row>
    <row r="5279" spans="1:11" ht="12.45">
      <c r="A5279" s="2" t="str">
        <f ca="1">IFERROR(__xludf.DUMMYFUNCTION("""COMPUTED_VALUE"""),"1742656071873")</f>
        <v>1742656071873</v>
      </c>
      <c r="B5279" s="2"/>
      <c r="C5279" s="2" t="str">
        <v>0</v>
      </c>
      <c r="D5279" s="2"/>
      <c r="F5279" s="2" t="str">
        <v>0</v>
      </c>
      <c r="I5279" s="3" t="str">
        <f ca="1">IFERROR(__xludf.DUMMYFUNCTION("""COMPUTED_VALUE"""),"Lê Thị Hương Luyến ")</f>
        <v xml:space="preserve">Lê Thị Hương Luyến </v>
      </c>
      <c r="J5279" s="3" t="str">
        <f ca="1">IFERROR(__xludf.DUMMYFUNCTION("""COMPUTED_VALUE"""),"0327133118")</f>
        <v>0327133118</v>
      </c>
      <c r="K5279" s="2" t="str">
        <f ca="1">IFERROR(__xludf.DUMMYFUNCTION("""COMPUTED_VALUE"""),"1742656071873")</f>
        <v>1742656071873</v>
      </c>
    </row>
    <row r="5280" spans="1:11" ht="12.45">
      <c r="A5280" s="2" t="str">
        <f ca="1">IFERROR(__xludf.DUMMYFUNCTION("""COMPUTED_VALUE"""),"1742656126317")</f>
        <v>1742656126317</v>
      </c>
      <c r="B5280" s="2"/>
      <c r="C5280" s="2" t="str">
        <v>0</v>
      </c>
      <c r="D5280" s="2"/>
      <c r="F5280" s="2" t="str">
        <v>0</v>
      </c>
      <c r="I5280" s="3" t="str">
        <f ca="1">IFERROR(__xludf.DUMMYFUNCTION("""COMPUTED_VALUE"""),"Hoàng Yến Nhi")</f>
        <v>Hoàng Yến Nhi</v>
      </c>
      <c r="J5280" s="3" t="str">
        <f ca="1">IFERROR(__xludf.DUMMYFUNCTION("""COMPUTED_VALUE"""),"0961376007")</f>
        <v>0961376007</v>
      </c>
      <c r="K5280" s="2" t="str">
        <f ca="1">IFERROR(__xludf.DUMMYFUNCTION("""COMPUTED_VALUE"""),"1742656126317")</f>
        <v>1742656126317</v>
      </c>
    </row>
    <row r="5281" spans="1:11" ht="12.45">
      <c r="A5281" s="2" t="str">
        <f ca="1">IFERROR(__xludf.DUMMYFUNCTION("""COMPUTED_VALUE"""),"1742656170037")</f>
        <v>1742656170037</v>
      </c>
      <c r="B5281" s="2"/>
      <c r="C5281" s="2" t="str">
        <v>0</v>
      </c>
      <c r="D5281" s="2"/>
      <c r="F5281" s="2" t="str">
        <v>0</v>
      </c>
      <c r="I5281" s="3" t="str">
        <f ca="1">IFERROR(__xludf.DUMMYFUNCTION("""COMPUTED_VALUE"""),"Phạm Ngọc Mai Trang")</f>
        <v>Phạm Ngọc Mai Trang</v>
      </c>
      <c r="J5281" s="3" t="str">
        <f ca="1">IFERROR(__xludf.DUMMYFUNCTION("""COMPUTED_VALUE"""),"0976891980")</f>
        <v>0976891980</v>
      </c>
      <c r="K5281" s="2" t="str">
        <f ca="1">IFERROR(__xludf.DUMMYFUNCTION("""COMPUTED_VALUE"""),"1742656170037")</f>
        <v>1742656170037</v>
      </c>
    </row>
    <row r="5282" spans="1:11" ht="12.45">
      <c r="A5282" s="2" t="str">
        <f ca="1">IFERROR(__xludf.DUMMYFUNCTION("""COMPUTED_VALUE"""),"1759036904865")</f>
        <v>1759036904865</v>
      </c>
      <c r="B5282" s="2"/>
      <c r="C5282" s="2" t="str">
        <v>0</v>
      </c>
      <c r="D5282" s="2"/>
      <c r="F5282" s="2" t="str">
        <v>0</v>
      </c>
      <c r="I5282" s="3" t="str">
        <f ca="1">IFERROR(__xludf.DUMMYFUNCTION("""COMPUTED_VALUE"""),"Tri Ngọc Quỳnh Hương")</f>
        <v>Tri Ngọc Quỳnh Hương</v>
      </c>
      <c r="J5282" s="3" t="str">
        <f ca="1">IFERROR(__xludf.DUMMYFUNCTION("""COMPUTED_VALUE"""),"0797140907")</f>
        <v>0797140907</v>
      </c>
      <c r="K5282" s="2" t="str">
        <f ca="1">IFERROR(__xludf.DUMMYFUNCTION("""COMPUTED_VALUE"""),"1759036904865")</f>
        <v>1759036904865</v>
      </c>
    </row>
    <row r="5283" spans="1:11" ht="12.45">
      <c r="A5283" s="2" t="str">
        <f ca="1">IFERROR(__xludf.DUMMYFUNCTION("""COMPUTED_VALUE"""),"1759036961689")</f>
        <v>1759036961689</v>
      </c>
      <c r="B5283" s="2"/>
      <c r="C5283" s="2" t="str">
        <v>0</v>
      </c>
      <c r="D5283" s="2"/>
      <c r="F5283" s="2" t="str">
        <v>0</v>
      </c>
      <c r="I5283" s="3" t="str">
        <f ca="1">IFERROR(__xludf.DUMMYFUNCTION("""COMPUTED_VALUE"""),"Thái Thị Trà My")</f>
        <v>Thái Thị Trà My</v>
      </c>
      <c r="J5283" s="3" t="str">
        <f ca="1">IFERROR(__xludf.DUMMYFUNCTION("""COMPUTED_VALUE"""),"0905394851")</f>
        <v>0905394851</v>
      </c>
      <c r="K5283" s="2" t="str">
        <f ca="1">IFERROR(__xludf.DUMMYFUNCTION("""COMPUTED_VALUE"""),"1759036961689")</f>
        <v>1759036961689</v>
      </c>
    </row>
    <row r="5284" spans="1:11" ht="12.45">
      <c r="A5284" s="2" t="str">
        <f ca="1">IFERROR(__xludf.DUMMYFUNCTION("""COMPUTED_VALUE"""),"1759037006561")</f>
        <v>1759037006561</v>
      </c>
      <c r="B5284" s="2"/>
      <c r="C5284" s="2" t="str">
        <v>0</v>
      </c>
      <c r="D5284" s="2"/>
      <c r="F5284" s="2" t="str">
        <v>0</v>
      </c>
      <c r="I5284" s="3" t="str">
        <f ca="1">IFERROR(__xludf.DUMMYFUNCTION("""COMPUTED_VALUE"""),"Trần Tiểu Quyên")</f>
        <v>Trần Tiểu Quyên</v>
      </c>
      <c r="J5284" s="3" t="str">
        <f ca="1">IFERROR(__xludf.DUMMYFUNCTION("""COMPUTED_VALUE"""),"0383426760")</f>
        <v>0383426760</v>
      </c>
      <c r="K5284" s="2" t="str">
        <f ca="1">IFERROR(__xludf.DUMMYFUNCTION("""COMPUTED_VALUE"""),"1759037006561")</f>
        <v>1759037006561</v>
      </c>
    </row>
    <row r="5285" spans="1:11" ht="12.45">
      <c r="A5285" s="2" t="str">
        <f ca="1">IFERROR(__xludf.DUMMYFUNCTION("""COMPUTED_VALUE"""),"1759037074896")</f>
        <v>1759037074896</v>
      </c>
      <c r="B5285" s="2"/>
      <c r="C5285" s="2" t="str">
        <v>0</v>
      </c>
      <c r="D5285" s="2"/>
      <c r="F5285" s="2" t="str">
        <v>0</v>
      </c>
      <c r="I5285" s="3" t="str">
        <f ca="1">IFERROR(__xludf.DUMMYFUNCTION("""COMPUTED_VALUE"""),"Bùi Thị Minh Phương")</f>
        <v>Bùi Thị Minh Phương</v>
      </c>
      <c r="J5285" s="3" t="str">
        <f ca="1">IFERROR(__xludf.DUMMYFUNCTION("""COMPUTED_VALUE"""),"0969216485")</f>
        <v>0969216485</v>
      </c>
      <c r="K5285" s="2" t="str">
        <f ca="1">IFERROR(__xludf.DUMMYFUNCTION("""COMPUTED_VALUE"""),"1759037074896")</f>
        <v>1759037074896</v>
      </c>
    </row>
    <row r="5286" spans="1:11" ht="12.45">
      <c r="A5286" s="2" t="str">
        <f ca="1">IFERROR(__xludf.DUMMYFUNCTION("""COMPUTED_VALUE"""),"1759037111494")</f>
        <v>1759037111494</v>
      </c>
      <c r="B5286" s="2"/>
      <c r="C5286" s="2" t="str">
        <v>0</v>
      </c>
      <c r="D5286" s="2"/>
      <c r="F5286" s="2" t="str">
        <v>0</v>
      </c>
      <c r="I5286" s="3" t="str">
        <f ca="1">IFERROR(__xludf.DUMMYFUNCTION("""COMPUTED_VALUE"""),"Thái Thanh Lam")</f>
        <v>Thái Thanh Lam</v>
      </c>
      <c r="J5286" s="3" t="str">
        <f ca="1">IFERROR(__xludf.DUMMYFUNCTION("""COMPUTED_VALUE"""),"0835629985")</f>
        <v>0835629985</v>
      </c>
      <c r="K5286" s="2" t="str">
        <f ca="1">IFERROR(__xludf.DUMMYFUNCTION("""COMPUTED_VALUE"""),"1759037111494")</f>
        <v>1759037111494</v>
      </c>
    </row>
    <row r="5287" spans="1:11" ht="12.45">
      <c r="A5287" s="2" t="str">
        <f ca="1">IFERROR(__xludf.DUMMYFUNCTION("""COMPUTED_VALUE"""),"1759037151595")</f>
        <v>1759037151595</v>
      </c>
      <c r="B5287" s="2"/>
      <c r="C5287" s="2" t="str">
        <v>0</v>
      </c>
      <c r="D5287" s="2"/>
      <c r="F5287" s="2" t="str">
        <v>0</v>
      </c>
      <c r="I5287" s="3" t="str">
        <f ca="1">IFERROR(__xludf.DUMMYFUNCTION("""COMPUTED_VALUE"""),"Nguyễn Như Phương ")</f>
        <v xml:space="preserve">Nguyễn Như Phương </v>
      </c>
      <c r="J5287" s="3" t="str">
        <f ca="1">IFERROR(__xludf.DUMMYFUNCTION("""COMPUTED_VALUE"""),"0835690355")</f>
        <v>0835690355</v>
      </c>
      <c r="K5287" s="2" t="str">
        <f ca="1">IFERROR(__xludf.DUMMYFUNCTION("""COMPUTED_VALUE"""),"1759037151595")</f>
        <v>1759037151595</v>
      </c>
    </row>
    <row r="5288" spans="1:11" ht="12.45">
      <c r="A5288" s="2" t="str">
        <f ca="1">IFERROR(__xludf.DUMMYFUNCTION("""COMPUTED_VALUE"""),"1759037183215")</f>
        <v>1759037183215</v>
      </c>
      <c r="B5288" s="2"/>
      <c r="C5288" s="2" t="str">
        <v>0</v>
      </c>
      <c r="D5288" s="2"/>
      <c r="F5288" s="2" t="str">
        <v>0</v>
      </c>
      <c r="I5288" s="3" t="str">
        <f ca="1">IFERROR(__xludf.DUMMYFUNCTION("""COMPUTED_VALUE"""),"Trần Linh Chi")</f>
        <v>Trần Linh Chi</v>
      </c>
      <c r="J5288" s="3" t="str">
        <f ca="1">IFERROR(__xludf.DUMMYFUNCTION("""COMPUTED_VALUE"""),"0374485767")</f>
        <v>0374485767</v>
      </c>
      <c r="K5288" s="2" t="str">
        <f ca="1">IFERROR(__xludf.DUMMYFUNCTION("""COMPUTED_VALUE"""),"1759037183215")</f>
        <v>1759037183215</v>
      </c>
    </row>
    <row r="5289" spans="1:11" ht="12.45">
      <c r="A5289" s="2" t="str">
        <f ca="1">IFERROR(__xludf.DUMMYFUNCTION("""COMPUTED_VALUE"""),"1759037246864")</f>
        <v>1759037246864</v>
      </c>
      <c r="B5289" s="2"/>
      <c r="C5289" s="2" t="str">
        <v>0</v>
      </c>
      <c r="D5289" s="2"/>
      <c r="F5289" s="2" t="str">
        <v>0</v>
      </c>
      <c r="I5289" s="3" t="str">
        <f ca="1">IFERROR(__xludf.DUMMYFUNCTION("""COMPUTED_VALUE"""),"Lê Dỗ Hoàng Anh Trọng")</f>
        <v>Lê Dỗ Hoàng Anh Trọng</v>
      </c>
      <c r="J5289" s="3" t="str">
        <f ca="1">IFERROR(__xludf.DUMMYFUNCTION("""COMPUTED_VALUE"""),"0388494902")</f>
        <v>0388494902</v>
      </c>
      <c r="K5289" s="2" t="str">
        <f ca="1">IFERROR(__xludf.DUMMYFUNCTION("""COMPUTED_VALUE"""),"1759037246864")</f>
        <v>1759037246864</v>
      </c>
    </row>
    <row r="5290" spans="1:11" ht="12.45">
      <c r="A5290" s="2" t="str">
        <f ca="1">IFERROR(__xludf.DUMMYFUNCTION("""COMPUTED_VALUE"""),"1759037291723")</f>
        <v>1759037291723</v>
      </c>
      <c r="B5290" s="2"/>
      <c r="C5290" s="2" t="str">
        <v>0</v>
      </c>
      <c r="D5290" s="2"/>
      <c r="F5290" s="2" t="str">
        <v>0</v>
      </c>
      <c r="I5290" s="3" t="str">
        <f ca="1">IFERROR(__xludf.DUMMYFUNCTION("""COMPUTED_VALUE"""),"Phạm Hoa Trúc")</f>
        <v>Phạm Hoa Trúc</v>
      </c>
      <c r="J5290" s="3" t="str">
        <f ca="1">IFERROR(__xludf.DUMMYFUNCTION("""COMPUTED_VALUE"""),"0824045541")</f>
        <v>0824045541</v>
      </c>
      <c r="K5290" s="2" t="str">
        <f ca="1">IFERROR(__xludf.DUMMYFUNCTION("""COMPUTED_VALUE"""),"1759037291723")</f>
        <v>1759037291723</v>
      </c>
    </row>
    <row r="5291" spans="1:11" ht="12.45">
      <c r="A5291" s="2" t="str">
        <f ca="1">IFERROR(__xludf.DUMMYFUNCTION("""COMPUTED_VALUE"""),"1759037319887")</f>
        <v>1759037319887</v>
      </c>
      <c r="B5291" s="2"/>
      <c r="C5291" s="2" t="str">
        <v>0</v>
      </c>
      <c r="D5291" s="2"/>
      <c r="F5291" s="2" t="str">
        <v>0</v>
      </c>
      <c r="I5291" s="3" t="str">
        <f ca="1">IFERROR(__xludf.DUMMYFUNCTION("""COMPUTED_VALUE"""),"Nguyễn Thu Trà")</f>
        <v>Nguyễn Thu Trà</v>
      </c>
      <c r="J5291" s="3" t="str">
        <f ca="1">IFERROR(__xludf.DUMMYFUNCTION("""COMPUTED_VALUE"""),"0377804923")</f>
        <v>0377804923</v>
      </c>
      <c r="K5291" s="2" t="str">
        <f ca="1">IFERROR(__xludf.DUMMYFUNCTION("""COMPUTED_VALUE"""),"1759037319887")</f>
        <v>1759037319887</v>
      </c>
    </row>
    <row r="5292" spans="1:11" ht="12.45">
      <c r="A5292" s="2" t="str">
        <f ca="1">IFERROR(__xludf.DUMMYFUNCTION("""COMPUTED_VALUE"""),"1759037370852")</f>
        <v>1759037370852</v>
      </c>
      <c r="B5292" s="2"/>
      <c r="C5292" s="2" t="str">
        <v>0</v>
      </c>
      <c r="D5292" s="2"/>
      <c r="F5292" s="2" t="str">
        <v>0</v>
      </c>
      <c r="I5292" s="3" t="str">
        <f ca="1">IFERROR(__xludf.DUMMYFUNCTION("""COMPUTED_VALUE"""),"Hoàng Huỳnh Ngọc Hân")</f>
        <v>Hoàng Huỳnh Ngọc Hân</v>
      </c>
      <c r="J5292" s="3" t="str">
        <f ca="1">IFERROR(__xludf.DUMMYFUNCTION("""COMPUTED_VALUE"""),"0772473520")</f>
        <v>0772473520</v>
      </c>
      <c r="K5292" s="2" t="str">
        <f ca="1">IFERROR(__xludf.DUMMYFUNCTION("""COMPUTED_VALUE"""),"1759037370852")</f>
        <v>1759037370852</v>
      </c>
    </row>
    <row r="5293" spans="1:11" ht="12.45">
      <c r="A5293" s="2" t="str">
        <f ca="1">IFERROR(__xludf.DUMMYFUNCTION("""COMPUTED_VALUE"""),"1759037408701")</f>
        <v>1759037408701</v>
      </c>
      <c r="B5293" s="2"/>
      <c r="C5293" s="2" t="str">
        <v>0</v>
      </c>
      <c r="D5293" s="2"/>
      <c r="F5293" s="2" t="str">
        <v>0</v>
      </c>
      <c r="I5293" s="3" t="str">
        <f ca="1">IFERROR(__xludf.DUMMYFUNCTION("""COMPUTED_VALUE"""),"Tạ Thị Hoàng Anh")</f>
        <v>Tạ Thị Hoàng Anh</v>
      </c>
      <c r="J5293" s="3" t="str">
        <f ca="1">IFERROR(__xludf.DUMMYFUNCTION("""COMPUTED_VALUE"""),"0387790921")</f>
        <v>0387790921</v>
      </c>
      <c r="K5293" s="2" t="str">
        <f ca="1">IFERROR(__xludf.DUMMYFUNCTION("""COMPUTED_VALUE"""),"1759037408701")</f>
        <v>1759037408701</v>
      </c>
    </row>
    <row r="5294" spans="1:11" ht="12.45">
      <c r="A5294" s="2" t="str">
        <f ca="1">IFERROR(__xludf.DUMMYFUNCTION("""COMPUTED_VALUE"""),"1759037446808")</f>
        <v>1759037446808</v>
      </c>
      <c r="B5294" s="2"/>
      <c r="C5294" s="2" t="str">
        <v>0</v>
      </c>
      <c r="D5294" s="2"/>
      <c r="F5294" s="2" t="str">
        <v>0</v>
      </c>
      <c r="I5294" s="3" t="str">
        <f ca="1">IFERROR(__xludf.DUMMYFUNCTION("""COMPUTED_VALUE"""),"Trần Khánh hòa ")</f>
        <v xml:space="preserve">Trần Khánh hòa </v>
      </c>
      <c r="J5294" s="3" t="str">
        <f ca="1">IFERROR(__xludf.DUMMYFUNCTION("""COMPUTED_VALUE"""),"8498222584")</f>
        <v>8498222584</v>
      </c>
      <c r="K5294" s="2" t="str">
        <f ca="1">IFERROR(__xludf.DUMMYFUNCTION("""COMPUTED_VALUE"""),"1759037446808")</f>
        <v>1759037446808</v>
      </c>
    </row>
    <row r="5295" spans="1:11" ht="12.45">
      <c r="A5295" s="2" t="str">
        <f ca="1">IFERROR(__xludf.DUMMYFUNCTION("""COMPUTED_VALUE"""),"1759037487035")</f>
        <v>1759037487035</v>
      </c>
      <c r="B5295" s="2"/>
      <c r="C5295" s="2" t="str">
        <v>0</v>
      </c>
      <c r="D5295" s="2"/>
      <c r="F5295" s="2" t="str">
        <v>0</v>
      </c>
      <c r="I5295" s="3" t="str">
        <f ca="1">IFERROR(__xludf.DUMMYFUNCTION("""COMPUTED_VALUE"""),"Trần Thị Thúy Hằng ")</f>
        <v xml:space="preserve">Trần Thị Thúy Hằng </v>
      </c>
      <c r="J5295" s="3" t="str">
        <f ca="1">IFERROR(__xludf.DUMMYFUNCTION("""COMPUTED_VALUE"""),"0356771330")</f>
        <v>0356771330</v>
      </c>
      <c r="K5295" s="2" t="str">
        <f ca="1">IFERROR(__xludf.DUMMYFUNCTION("""COMPUTED_VALUE"""),"1759037487035")</f>
        <v>1759037487035</v>
      </c>
    </row>
    <row r="5296" spans="1:11" ht="12.45">
      <c r="A5296" s="2" t="str">
        <f ca="1">IFERROR(__xludf.DUMMYFUNCTION("""COMPUTED_VALUE"""),"1759037544315")</f>
        <v>1759037544315</v>
      </c>
      <c r="B5296" s="2"/>
      <c r="C5296" s="2" t="str">
        <v>0</v>
      </c>
      <c r="D5296" s="2"/>
      <c r="F5296" s="2" t="str">
        <v>0</v>
      </c>
      <c r="I5296" s="3" t="str">
        <f ca="1">IFERROR(__xludf.DUMMYFUNCTION("""COMPUTED_VALUE"""),"Bùi Thị Trang Nhung")</f>
        <v>Bùi Thị Trang Nhung</v>
      </c>
      <c r="J5296" s="3" t="str">
        <f ca="1">IFERROR(__xludf.DUMMYFUNCTION("""COMPUTED_VALUE"""),"0898730441")</f>
        <v>0898730441</v>
      </c>
      <c r="K5296" s="2" t="str">
        <f ca="1">IFERROR(__xludf.DUMMYFUNCTION("""COMPUTED_VALUE"""),"1759037544315")</f>
        <v>1759037544315</v>
      </c>
    </row>
    <row r="5297" spans="1:11" ht="12.45">
      <c r="A5297" s="2" t="str">
        <f ca="1">IFERROR(__xludf.DUMMYFUNCTION("""COMPUTED_VALUE"""),"1759037584252")</f>
        <v>1759037584252</v>
      </c>
      <c r="B5297" s="2"/>
      <c r="C5297" s="2" t="str">
        <v>0</v>
      </c>
      <c r="D5297" s="2"/>
      <c r="F5297" s="2" t="str">
        <v>0</v>
      </c>
      <c r="I5297" s="3" t="str">
        <f ca="1">IFERROR(__xludf.DUMMYFUNCTION("""COMPUTED_VALUE"""),"Nguyễn Xuân Trường")</f>
        <v>Nguyễn Xuân Trường</v>
      </c>
      <c r="J5297" s="3" t="str">
        <f ca="1">IFERROR(__xludf.DUMMYFUNCTION("""COMPUTED_VALUE"""),"0865218135")</f>
        <v>0865218135</v>
      </c>
      <c r="K5297" s="2" t="str">
        <f ca="1">IFERROR(__xludf.DUMMYFUNCTION("""COMPUTED_VALUE"""),"1759037584252")</f>
        <v>1759037584252</v>
      </c>
    </row>
    <row r="5298" spans="1:11" ht="12.45">
      <c r="A5298" s="2" t="str">
        <f ca="1">IFERROR(__xludf.DUMMYFUNCTION("""COMPUTED_VALUE"""),"1759037628530")</f>
        <v>1759037628530</v>
      </c>
      <c r="B5298" s="2"/>
      <c r="C5298" s="2" t="str">
        <v>0</v>
      </c>
      <c r="D5298" s="2"/>
      <c r="F5298" s="2" t="str">
        <v>0</v>
      </c>
      <c r="I5298" s="3" t="str">
        <f ca="1">IFERROR(__xludf.DUMMYFUNCTION("""COMPUTED_VALUE"""),"Nguyễn Thị Yến Linh")</f>
        <v>Nguyễn Thị Yến Linh</v>
      </c>
      <c r="J5298" s="3" t="str">
        <f ca="1">IFERROR(__xludf.DUMMYFUNCTION("""COMPUTED_VALUE"""),"0961850363")</f>
        <v>0961850363</v>
      </c>
      <c r="K5298" s="2" t="str">
        <f ca="1">IFERROR(__xludf.DUMMYFUNCTION("""COMPUTED_VALUE"""),"1759037628530")</f>
        <v>1759037628530</v>
      </c>
    </row>
    <row r="5299" spans="1:11" ht="12.45">
      <c r="A5299" s="2" t="str">
        <f ca="1">IFERROR(__xludf.DUMMYFUNCTION("""COMPUTED_VALUE"""),"1759037662267")</f>
        <v>1759037662267</v>
      </c>
      <c r="B5299" s="2"/>
      <c r="C5299" s="2" t="str">
        <v>0</v>
      </c>
      <c r="D5299" s="2"/>
      <c r="F5299" s="2" t="str">
        <v>0</v>
      </c>
      <c r="I5299" s="3" t="str">
        <f ca="1">IFERROR(__xludf.DUMMYFUNCTION("""COMPUTED_VALUE"""),"Nguyễn Thị Khánh Linh")</f>
        <v>Nguyễn Thị Khánh Linh</v>
      </c>
      <c r="J5299" s="3" t="str">
        <f ca="1">IFERROR(__xludf.DUMMYFUNCTION("""COMPUTED_VALUE"""),"0364542415")</f>
        <v>0364542415</v>
      </c>
      <c r="K5299" s="2" t="str">
        <f ca="1">IFERROR(__xludf.DUMMYFUNCTION("""COMPUTED_VALUE"""),"1759037662267")</f>
        <v>1759037662267</v>
      </c>
    </row>
    <row r="5300" spans="1:11" ht="12.45">
      <c r="A5300" s="2" t="str">
        <f ca="1">IFERROR(__xludf.DUMMYFUNCTION("""COMPUTED_VALUE"""),"1759037697462")</f>
        <v>1759037697462</v>
      </c>
      <c r="B5300" s="2"/>
      <c r="C5300" s="2" t="str">
        <v>0</v>
      </c>
      <c r="D5300" s="2"/>
      <c r="F5300" s="2" t="str">
        <v>0</v>
      </c>
      <c r="I5300" s="3" t="str">
        <f ca="1">IFERROR(__xludf.DUMMYFUNCTION("""COMPUTED_VALUE"""),"Nguyễn Ngọc Anh Khoa ")</f>
        <v xml:space="preserve">Nguyễn Ngọc Anh Khoa </v>
      </c>
      <c r="J5300" s="3" t="str">
        <f ca="1">IFERROR(__xludf.DUMMYFUNCTION("""COMPUTED_VALUE"""),"0792865671")</f>
        <v>0792865671</v>
      </c>
      <c r="K5300" s="2" t="str">
        <f ca="1">IFERROR(__xludf.DUMMYFUNCTION("""COMPUTED_VALUE"""),"1759037697462")</f>
        <v>1759037697462</v>
      </c>
    </row>
    <row r="5301" spans="1:11" ht="12.45">
      <c r="A5301" s="2" t="str">
        <f ca="1">IFERROR(__xludf.DUMMYFUNCTION("""COMPUTED_VALUE"""),"1759037732565")</f>
        <v>1759037732565</v>
      </c>
      <c r="B5301" s="2"/>
      <c r="C5301" s="2" t="str">
        <v>0</v>
      </c>
      <c r="D5301" s="2"/>
      <c r="F5301" s="2" t="str">
        <v>0</v>
      </c>
      <c r="I5301" s="3" t="str">
        <f ca="1">IFERROR(__xludf.DUMMYFUNCTION("""COMPUTED_VALUE"""),"Trịnh Thùy Dương")</f>
        <v>Trịnh Thùy Dương</v>
      </c>
      <c r="J5301" s="3" t="str">
        <f ca="1">IFERROR(__xludf.DUMMYFUNCTION("""COMPUTED_VALUE"""),"0833640620")</f>
        <v>0833640620</v>
      </c>
      <c r="K5301" s="2" t="str">
        <f ca="1">IFERROR(__xludf.DUMMYFUNCTION("""COMPUTED_VALUE"""),"1759037732565")</f>
        <v>1759037732565</v>
      </c>
    </row>
    <row r="5302" spans="1:11" ht="12.45">
      <c r="A5302" s="2" t="str">
        <f ca="1">IFERROR(__xludf.DUMMYFUNCTION("""COMPUTED_VALUE"""),"Không giao sách")</f>
        <v>Không giao sách</v>
      </c>
      <c r="B5302" s="2"/>
      <c r="C5302" s="2" t="str">
        <v>0</v>
      </c>
      <c r="D5302" s="2"/>
      <c r="F5302" s="2" t="str">
        <v>0</v>
      </c>
      <c r="I5302" s="3" t="str">
        <f ca="1">IFERROR(__xludf.DUMMYFUNCTION("""COMPUTED_VALUE"""),"Nguyễn Thị Thanh Xuân")</f>
        <v>Nguyễn Thị Thanh Xuân</v>
      </c>
      <c r="J5302" s="3" t="str">
        <f ca="1">IFERROR(__xludf.DUMMYFUNCTION("""COMPUTED_VALUE"""),"0961093574")</f>
        <v>0961093574</v>
      </c>
      <c r="K5302" s="2" t="str">
        <f ca="1">IFERROR(__xludf.DUMMYFUNCTION("""COMPUTED_VALUE"""),"Không giao sách")</f>
        <v>Không giao sách</v>
      </c>
    </row>
    <row r="5303" spans="1:11" ht="12.45">
      <c r="A5303" s="2" t="str">
        <f ca="1">IFERROR(__xludf.DUMMYFUNCTION("""COMPUTED_VALUE"""),"1759037783143")</f>
        <v>1759037783143</v>
      </c>
      <c r="B5303" s="2"/>
      <c r="C5303" s="2" t="str">
        <v>0</v>
      </c>
      <c r="D5303" s="2"/>
      <c r="F5303" s="2" t="str">
        <v>0</v>
      </c>
      <c r="I5303" s="3" t="str">
        <f ca="1">IFERROR(__xludf.DUMMYFUNCTION("""COMPUTED_VALUE"""),"Võ lê minh thư")</f>
        <v>Võ lê minh thư</v>
      </c>
      <c r="J5303" s="3" t="str">
        <f ca="1">IFERROR(__xludf.DUMMYFUNCTION("""COMPUTED_VALUE"""),"0898363122")</f>
        <v>0898363122</v>
      </c>
      <c r="K5303" s="2" t="str">
        <f ca="1">IFERROR(__xludf.DUMMYFUNCTION("""COMPUTED_VALUE"""),"1759037783143")</f>
        <v>1759037783143</v>
      </c>
    </row>
    <row r="5304" spans="1:11" ht="12.45">
      <c r="A5304" s="2" t="str">
        <f ca="1">IFERROR(__xludf.DUMMYFUNCTION("""COMPUTED_VALUE"""),"1759037828384")</f>
        <v>1759037828384</v>
      </c>
      <c r="B5304" s="2"/>
      <c r="C5304" s="2" t="str">
        <v>0</v>
      </c>
      <c r="D5304" s="2"/>
      <c r="F5304" s="2" t="str">
        <v>0</v>
      </c>
      <c r="I5304" s="3" t="str">
        <f ca="1">IFERROR(__xludf.DUMMYFUNCTION("""COMPUTED_VALUE"""),"lê thị thuý phương ")</f>
        <v xml:space="preserve">lê thị thuý phương </v>
      </c>
      <c r="J5304" s="3" t="str">
        <f ca="1">IFERROR(__xludf.DUMMYFUNCTION("""COMPUTED_VALUE"""),"0948760286")</f>
        <v>0948760286</v>
      </c>
      <c r="K5304" s="2" t="str">
        <f ca="1">IFERROR(__xludf.DUMMYFUNCTION("""COMPUTED_VALUE"""),"1759037828384")</f>
        <v>1759037828384</v>
      </c>
    </row>
    <row r="5305" spans="1:11" ht="12.45">
      <c r="A5305" s="2" t="str">
        <f ca="1">IFERROR(__xludf.DUMMYFUNCTION("""COMPUTED_VALUE"""),"1759037858897")</f>
        <v>1759037858897</v>
      </c>
      <c r="B5305" s="2"/>
      <c r="C5305" s="2" t="str">
        <v>0</v>
      </c>
      <c r="D5305" s="2"/>
      <c r="F5305" s="2" t="str">
        <v>0</v>
      </c>
      <c r="I5305" s="3" t="str">
        <f ca="1">IFERROR(__xludf.DUMMYFUNCTION("""COMPUTED_VALUE"""),"Hồ Dương Yến Nhi")</f>
        <v>Hồ Dương Yến Nhi</v>
      </c>
      <c r="J5305" s="3" t="str">
        <f ca="1">IFERROR(__xludf.DUMMYFUNCTION("""COMPUTED_VALUE"""),"0913016363")</f>
        <v>0913016363</v>
      </c>
      <c r="K5305" s="2" t="str">
        <f ca="1">IFERROR(__xludf.DUMMYFUNCTION("""COMPUTED_VALUE"""),"1759037858897")</f>
        <v>1759037858897</v>
      </c>
    </row>
    <row r="5306" spans="1:11" ht="12.45">
      <c r="A5306" s="2" t="str">
        <f ca="1">IFERROR(__xludf.DUMMYFUNCTION("""COMPUTED_VALUE"""),"không ship sách")</f>
        <v>không ship sách</v>
      </c>
      <c r="B5306" s="2"/>
      <c r="C5306" s="2" t="str">
        <v>0</v>
      </c>
      <c r="D5306" s="2"/>
      <c r="F5306" s="2" t="str">
        <v>0</v>
      </c>
      <c r="I5306" s="3" t="str">
        <f ca="1">IFERROR(__xludf.DUMMYFUNCTION("""COMPUTED_VALUE"""),"Sơn Thị Kim Phương")</f>
        <v>Sơn Thị Kim Phương</v>
      </c>
      <c r="J5306" s="3" t="str">
        <f ca="1">IFERROR(__xludf.DUMMYFUNCTION("""COMPUTED_VALUE"""),"0373709354")</f>
        <v>0373709354</v>
      </c>
      <c r="K5306" s="2" t="str">
        <f ca="1">IFERROR(__xludf.DUMMYFUNCTION("""COMPUTED_VALUE"""),"không ship sách")</f>
        <v>không ship sách</v>
      </c>
    </row>
    <row r="5307" spans="1:11" ht="12.45">
      <c r="A5307" s="2" t="str">
        <f ca="1">IFERROR(__xludf.DUMMYFUNCTION("""COMPUTED_VALUE"""),"1759037896608")</f>
        <v>1759037896608</v>
      </c>
      <c r="B5307" s="2"/>
      <c r="C5307" s="2" t="str">
        <v>0</v>
      </c>
      <c r="D5307" s="2"/>
      <c r="F5307" s="2" t="str">
        <v>0</v>
      </c>
      <c r="I5307" s="3" t="str">
        <f ca="1">IFERROR(__xludf.DUMMYFUNCTION("""COMPUTED_VALUE"""),"Trịnh Thị Huế ")</f>
        <v xml:space="preserve">Trịnh Thị Huế </v>
      </c>
      <c r="J5307" s="3" t="str">
        <f ca="1">IFERROR(__xludf.DUMMYFUNCTION("""COMPUTED_VALUE"""),"0847939998")</f>
        <v>0847939998</v>
      </c>
      <c r="K5307" s="2" t="str">
        <f ca="1">IFERROR(__xludf.DUMMYFUNCTION("""COMPUTED_VALUE"""),"1759037896608")</f>
        <v>1759037896608</v>
      </c>
    </row>
    <row r="5308" spans="1:11" ht="12.45">
      <c r="A5308" s="2" t="str">
        <f ca="1">IFERROR(__xludf.DUMMYFUNCTION("""COMPUTED_VALUE"""),"1759037934561")</f>
        <v>1759037934561</v>
      </c>
      <c r="B5308" s="2"/>
      <c r="C5308" s="2" t="str">
        <v>0</v>
      </c>
      <c r="D5308" s="2"/>
      <c r="F5308" s="2" t="str">
        <v>0</v>
      </c>
      <c r="I5308" s="3" t="str">
        <f ca="1">IFERROR(__xludf.DUMMYFUNCTION("""COMPUTED_VALUE"""),"Đỗ Thành Đạt")</f>
        <v>Đỗ Thành Đạt</v>
      </c>
      <c r="J5308" s="3" t="str">
        <f ca="1">IFERROR(__xludf.DUMMYFUNCTION("""COMPUTED_VALUE"""),"0333880132")</f>
        <v>0333880132</v>
      </c>
      <c r="K5308" s="2" t="str">
        <f ca="1">IFERROR(__xludf.DUMMYFUNCTION("""COMPUTED_VALUE"""),"1759037934561")</f>
        <v>1759037934561</v>
      </c>
    </row>
    <row r="5309" spans="1:11" ht="12.45">
      <c r="A5309" s="2" t="str">
        <f ca="1">IFERROR(__xludf.DUMMYFUNCTION("""COMPUTED_VALUE"""),"1759037986685")</f>
        <v>1759037986685</v>
      </c>
      <c r="B5309" s="2"/>
      <c r="C5309" s="2" t="str">
        <v>0</v>
      </c>
      <c r="D5309" s="2"/>
      <c r="F5309" s="2" t="str">
        <v>0</v>
      </c>
      <c r="I5309" s="3" t="str">
        <f ca="1">IFERROR(__xludf.DUMMYFUNCTION("""COMPUTED_VALUE"""),"Phạm Thanh Kiều")</f>
        <v>Phạm Thanh Kiều</v>
      </c>
      <c r="J5309" s="3" t="str">
        <f ca="1">IFERROR(__xludf.DUMMYFUNCTION("""COMPUTED_VALUE"""),"0522056157")</f>
        <v>0522056157</v>
      </c>
      <c r="K5309" s="2" t="str">
        <f ca="1">IFERROR(__xludf.DUMMYFUNCTION("""COMPUTED_VALUE"""),"1759037986685")</f>
        <v>1759037986685</v>
      </c>
    </row>
    <row r="5310" spans="1:11" ht="12.45">
      <c r="A5310" s="2" t="str">
        <f ca="1">IFERROR(__xludf.DUMMYFUNCTION("""COMPUTED_VALUE"""),"1759038026251")</f>
        <v>1759038026251</v>
      </c>
      <c r="B5310" s="2"/>
      <c r="C5310" s="2" t="str">
        <v>0</v>
      </c>
      <c r="D5310" s="2"/>
      <c r="F5310" s="2" t="str">
        <v>0</v>
      </c>
      <c r="I5310" s="3" t="str">
        <f ca="1">IFERROR(__xludf.DUMMYFUNCTION("""COMPUTED_VALUE"""),"Trần Mai Lý")</f>
        <v>Trần Mai Lý</v>
      </c>
      <c r="J5310" s="3" t="str">
        <f ca="1">IFERROR(__xludf.DUMMYFUNCTION("""COMPUTED_VALUE"""),"0389186826")</f>
        <v>0389186826</v>
      </c>
      <c r="K5310" s="2" t="str">
        <f ca="1">IFERROR(__xludf.DUMMYFUNCTION("""COMPUTED_VALUE"""),"1759038026251")</f>
        <v>1759038026251</v>
      </c>
    </row>
    <row r="5311" spans="1:11" ht="12.45">
      <c r="A5311" s="2" t="str">
        <f ca="1">IFERROR(__xludf.DUMMYFUNCTION("""COMPUTED_VALUE"""),"1759038093810")</f>
        <v>1759038093810</v>
      </c>
      <c r="B5311" s="2"/>
      <c r="C5311" s="2" t="str">
        <v>0</v>
      </c>
      <c r="D5311" s="2"/>
      <c r="F5311" s="2" t="str">
        <v>0</v>
      </c>
      <c r="I5311" s="3" t="str">
        <f ca="1">IFERROR(__xludf.DUMMYFUNCTION("""COMPUTED_VALUE"""),"Nguyễn Thị Mỹ Linh")</f>
        <v>Nguyễn Thị Mỹ Linh</v>
      </c>
      <c r="J5311" s="3" t="str">
        <f ca="1">IFERROR(__xludf.DUMMYFUNCTION("""COMPUTED_VALUE"""),"0399848389")</f>
        <v>0399848389</v>
      </c>
      <c r="K5311" s="2" t="str">
        <f ca="1">IFERROR(__xludf.DUMMYFUNCTION("""COMPUTED_VALUE"""),"1759038093810")</f>
        <v>1759038093810</v>
      </c>
    </row>
    <row r="5312" spans="1:11" ht="12.45">
      <c r="A5312" s="2" t="str">
        <f ca="1">IFERROR(__xludf.DUMMYFUNCTION("""COMPUTED_VALUE"""),"1759038133549")</f>
        <v>1759038133549</v>
      </c>
      <c r="B5312" s="2"/>
      <c r="C5312" s="2" t="str">
        <v>0</v>
      </c>
      <c r="D5312" s="2"/>
      <c r="F5312" s="2" t="str">
        <v>0</v>
      </c>
      <c r="I5312" s="3" t="str">
        <f ca="1">IFERROR(__xludf.DUMMYFUNCTION("""COMPUTED_VALUE"""),"Đặng Mỹ Ngọc")</f>
        <v>Đặng Mỹ Ngọc</v>
      </c>
      <c r="J5312" s="3" t="str">
        <f ca="1">IFERROR(__xludf.DUMMYFUNCTION("""COMPUTED_VALUE"""),"0961101868")</f>
        <v>0961101868</v>
      </c>
      <c r="K5312" s="2" t="str">
        <f ca="1">IFERROR(__xludf.DUMMYFUNCTION("""COMPUTED_VALUE"""),"1759038133549")</f>
        <v>1759038133549</v>
      </c>
    </row>
    <row r="5313" spans="1:11" ht="12.45">
      <c r="A5313" s="2" t="str">
        <f ca="1">IFERROR(__xludf.DUMMYFUNCTION("""COMPUTED_VALUE"""),"1759038168157")</f>
        <v>1759038168157</v>
      </c>
      <c r="B5313" s="2"/>
      <c r="C5313" s="2" t="str">
        <v>0</v>
      </c>
      <c r="D5313" s="2"/>
      <c r="F5313" s="2" t="str">
        <v>0</v>
      </c>
      <c r="I5313" s="3" t="str">
        <f ca="1">IFERROR(__xludf.DUMMYFUNCTION("""COMPUTED_VALUE"""),"Nguyễn Thị Khánh Linh")</f>
        <v>Nguyễn Thị Khánh Linh</v>
      </c>
      <c r="J5313" s="3" t="str">
        <f ca="1">IFERROR(__xludf.DUMMYFUNCTION("""COMPUTED_VALUE"""),"0964854574")</f>
        <v>0964854574</v>
      </c>
      <c r="K5313" s="2" t="str">
        <f ca="1">IFERROR(__xludf.DUMMYFUNCTION("""COMPUTED_VALUE"""),"1759038168157")</f>
        <v>1759038168157</v>
      </c>
    </row>
    <row r="5314" spans="1:11" ht="12.45">
      <c r="A5314" s="2" t="str">
        <f ca="1">IFERROR(__xludf.DUMMYFUNCTION("""COMPUTED_VALUE"""),"1759038206086")</f>
        <v>1759038206086</v>
      </c>
      <c r="B5314" s="2"/>
      <c r="C5314" s="2" t="str">
        <v>0</v>
      </c>
      <c r="D5314" s="2"/>
      <c r="F5314" s="2" t="str">
        <v>0</v>
      </c>
      <c r="I5314" s="3" t="str">
        <f ca="1">IFERROR(__xludf.DUMMYFUNCTION("""COMPUTED_VALUE"""),"Mai Quốc Đại")</f>
        <v>Mai Quốc Đại</v>
      </c>
      <c r="J5314" s="3" t="str">
        <f ca="1">IFERROR(__xludf.DUMMYFUNCTION("""COMPUTED_VALUE"""),"0832109778")</f>
        <v>0832109778</v>
      </c>
      <c r="K5314" s="2" t="str">
        <f ca="1">IFERROR(__xludf.DUMMYFUNCTION("""COMPUTED_VALUE"""),"1759038206086")</f>
        <v>1759038206086</v>
      </c>
    </row>
    <row r="5315" spans="1:11" ht="12.45">
      <c r="A5315" s="2" t="str">
        <f ca="1">IFERROR(__xludf.DUMMYFUNCTION("""COMPUTED_VALUE"""),"1759038239585")</f>
        <v>1759038239585</v>
      </c>
      <c r="B5315" s="2"/>
      <c r="C5315" s="2" t="str">
        <v>0</v>
      </c>
      <c r="D5315" s="2"/>
      <c r="F5315" s="2" t="str">
        <v>0</v>
      </c>
      <c r="I5315" s="3" t="str">
        <f ca="1">IFERROR(__xludf.DUMMYFUNCTION("""COMPUTED_VALUE"""),"Nguyễn Thị Thu Hà")</f>
        <v>Nguyễn Thị Thu Hà</v>
      </c>
      <c r="J5315" s="3" t="str">
        <f ca="1">IFERROR(__xludf.DUMMYFUNCTION("""COMPUTED_VALUE"""),"0336359683")</f>
        <v>0336359683</v>
      </c>
      <c r="K5315" s="2" t="str">
        <f ca="1">IFERROR(__xludf.DUMMYFUNCTION("""COMPUTED_VALUE"""),"1759038239585")</f>
        <v>1759038239585</v>
      </c>
    </row>
    <row r="5316" spans="1:11" ht="12.45">
      <c r="A5316" s="2" t="str">
        <f ca="1">IFERROR(__xludf.DUMMYFUNCTION("""COMPUTED_VALUE"""),"1759038289391")</f>
        <v>1759038289391</v>
      </c>
      <c r="B5316" s="2"/>
      <c r="C5316" s="2" t="str">
        <v>0</v>
      </c>
      <c r="D5316" s="2"/>
      <c r="F5316" s="2" t="str">
        <v>0</v>
      </c>
      <c r="I5316" s="3" t="str">
        <f ca="1">IFERROR(__xludf.DUMMYFUNCTION("""COMPUTED_VALUE"""),"Đỗ Vũ Như Quỳnh")</f>
        <v>Đỗ Vũ Như Quỳnh</v>
      </c>
      <c r="J5316" s="3" t="str">
        <f ca="1">IFERROR(__xludf.DUMMYFUNCTION("""COMPUTED_VALUE"""),"0398619737")</f>
        <v>0398619737</v>
      </c>
      <c r="K5316" s="2" t="str">
        <f ca="1">IFERROR(__xludf.DUMMYFUNCTION("""COMPUTED_VALUE"""),"1759038289391")</f>
        <v>1759038289391</v>
      </c>
    </row>
    <row r="5317" spans="1:11" ht="12.45">
      <c r="A5317" s="2" t="str">
        <f ca="1">IFERROR(__xludf.DUMMYFUNCTION("""COMPUTED_VALUE"""),"1759038350340")</f>
        <v>1759038350340</v>
      </c>
      <c r="B5317" s="2"/>
      <c r="C5317" s="2" t="str">
        <v>0</v>
      </c>
      <c r="D5317" s="2"/>
      <c r="F5317" s="2" t="str">
        <v>0</v>
      </c>
      <c r="I5317" s="3" t="str">
        <f ca="1">IFERROR(__xludf.DUMMYFUNCTION("""COMPUTED_VALUE"""),"Phạm Hoàng Phi")</f>
        <v>Phạm Hoàng Phi</v>
      </c>
      <c r="J5317" s="3" t="str">
        <f ca="1">IFERROR(__xludf.DUMMYFUNCTION("""COMPUTED_VALUE"""),"0978200768")</f>
        <v>0978200768</v>
      </c>
      <c r="K5317" s="2" t="str">
        <f ca="1">IFERROR(__xludf.DUMMYFUNCTION("""COMPUTED_VALUE"""),"1759038350340")</f>
        <v>1759038350340</v>
      </c>
    </row>
    <row r="5318" spans="1:11" ht="12.45">
      <c r="A5318" s="2" t="str">
        <f ca="1">IFERROR(__xludf.DUMMYFUNCTION("""COMPUTED_VALUE"""),"1759038403307")</f>
        <v>1759038403307</v>
      </c>
      <c r="B5318" s="2"/>
      <c r="C5318" s="2" t="str">
        <v>0</v>
      </c>
      <c r="D5318" s="2"/>
      <c r="F5318" s="2" t="str">
        <v>0</v>
      </c>
      <c r="I5318" s="3" t="str">
        <f ca="1">IFERROR(__xludf.DUMMYFUNCTION("""COMPUTED_VALUE"""),"Nguyễn Lê Huyền Trang ")</f>
        <v xml:space="preserve">Nguyễn Lê Huyền Trang </v>
      </c>
      <c r="J5318" s="3" t="str">
        <f ca="1">IFERROR(__xludf.DUMMYFUNCTION("""COMPUTED_VALUE"""),"0961934676")</f>
        <v>0961934676</v>
      </c>
      <c r="K5318" s="2" t="str">
        <f ca="1">IFERROR(__xludf.DUMMYFUNCTION("""COMPUTED_VALUE"""),"1759038403307")</f>
        <v>1759038403307</v>
      </c>
    </row>
    <row r="5319" spans="1:11" ht="12.45">
      <c r="A5319" s="2" t="str">
        <f ca="1">IFERROR(__xludf.DUMMYFUNCTION("""COMPUTED_VALUE"""),"1759038431398")</f>
        <v>1759038431398</v>
      </c>
      <c r="B5319" s="2"/>
      <c r="C5319" s="2" t="str">
        <v>0</v>
      </c>
      <c r="D5319" s="2"/>
      <c r="F5319" s="2" t="str">
        <v>0</v>
      </c>
      <c r="I5319" s="3" t="str">
        <f ca="1">IFERROR(__xludf.DUMMYFUNCTION("""COMPUTED_VALUE"""),"Mai Lê Bảo Trâm")</f>
        <v>Mai Lê Bảo Trâm</v>
      </c>
      <c r="J5319" s="3" t="str">
        <f ca="1">IFERROR(__xludf.DUMMYFUNCTION("""COMPUTED_VALUE"""),"0848270507")</f>
        <v>0848270507</v>
      </c>
      <c r="K5319" s="2" t="str">
        <f ca="1">IFERROR(__xludf.DUMMYFUNCTION("""COMPUTED_VALUE"""),"1759038431398")</f>
        <v>1759038431398</v>
      </c>
    </row>
    <row r="5320" spans="1:11" ht="12.45">
      <c r="A5320" s="2" t="str">
        <f ca="1">IFERROR(__xludf.DUMMYFUNCTION("""COMPUTED_VALUE"""),"1759038462788")</f>
        <v>1759038462788</v>
      </c>
      <c r="B5320" s="2"/>
      <c r="C5320" s="2" t="str">
        <v>0</v>
      </c>
      <c r="D5320" s="2"/>
      <c r="F5320" s="2" t="str">
        <v>0</v>
      </c>
      <c r="I5320" s="3" t="str">
        <f ca="1">IFERROR(__xludf.DUMMYFUNCTION("""COMPUTED_VALUE"""),"Mai Huy Thái")</f>
        <v>Mai Huy Thái</v>
      </c>
      <c r="J5320" s="3" t="str">
        <f ca="1">IFERROR(__xludf.DUMMYFUNCTION("""COMPUTED_VALUE"""),"0938433160")</f>
        <v>0938433160</v>
      </c>
      <c r="K5320" s="2" t="str">
        <f ca="1">IFERROR(__xludf.DUMMYFUNCTION("""COMPUTED_VALUE"""),"1759038462788")</f>
        <v>1759038462788</v>
      </c>
    </row>
    <row r="5321" spans="1:11" ht="12.45">
      <c r="A5321" s="2" t="str">
        <f ca="1">IFERROR(__xludf.DUMMYFUNCTION("""COMPUTED_VALUE"""),"Không gửi sách")</f>
        <v>Không gửi sách</v>
      </c>
      <c r="B5321" s="2"/>
      <c r="C5321" s="2" t="str">
        <v>0</v>
      </c>
      <c r="D5321" s="2"/>
      <c r="F5321" s="2" t="str">
        <v>0</v>
      </c>
      <c r="I5321" s="3" t="str">
        <f ca="1">IFERROR(__xludf.DUMMYFUNCTION("""COMPUTED_VALUE"""),"Nguyễn Hồng Vân")</f>
        <v>Nguyễn Hồng Vân</v>
      </c>
      <c r="J5321" s="3" t="str">
        <f ca="1">IFERROR(__xludf.DUMMYFUNCTION("""COMPUTED_VALUE"""),"0987668039")</f>
        <v>0987668039</v>
      </c>
      <c r="K5321" s="2" t="str">
        <f ca="1">IFERROR(__xludf.DUMMYFUNCTION("""COMPUTED_VALUE"""),"Không gửi sách")</f>
        <v>Không gửi sách</v>
      </c>
    </row>
    <row r="5322" spans="1:11" ht="12.45">
      <c r="A5322" s="2" t="str">
        <f ca="1">IFERROR(__xludf.DUMMYFUNCTION("""COMPUTED_VALUE"""),"1759038500893")</f>
        <v>1759038500893</v>
      </c>
      <c r="B5322" s="2"/>
      <c r="C5322" s="2" t="str">
        <v>0</v>
      </c>
      <c r="D5322" s="2"/>
      <c r="F5322" s="2" t="str">
        <v>0</v>
      </c>
      <c r="I5322" s="3" t="str">
        <f ca="1">IFERROR(__xludf.DUMMYFUNCTION("""COMPUTED_VALUE"""),"Nguyễn Thị Mỹ Duyên")</f>
        <v>Nguyễn Thị Mỹ Duyên</v>
      </c>
      <c r="J5322" s="3" t="str">
        <f ca="1">IFERROR(__xludf.DUMMYFUNCTION("""COMPUTED_VALUE"""),"0947745209")</f>
        <v>0947745209</v>
      </c>
      <c r="K5322" s="2" t="str">
        <f ca="1">IFERROR(__xludf.DUMMYFUNCTION("""COMPUTED_VALUE"""),"1759038500893")</f>
        <v>1759038500893</v>
      </c>
    </row>
    <row r="5323" spans="1:11" ht="12.45">
      <c r="A5323" s="2" t="str">
        <f ca="1">IFERROR(__xludf.DUMMYFUNCTION("""COMPUTED_VALUE"""),"1759038536819")</f>
        <v>1759038536819</v>
      </c>
      <c r="B5323" s="2"/>
      <c r="C5323" s="2" t="str">
        <v>0</v>
      </c>
      <c r="D5323" s="2"/>
      <c r="F5323" s="2" t="str">
        <v>0</v>
      </c>
      <c r="I5323" s="3" t="str">
        <f ca="1">IFERROR(__xludf.DUMMYFUNCTION("""COMPUTED_VALUE"""),"Trần Ngọc Trâm")</f>
        <v>Trần Ngọc Trâm</v>
      </c>
      <c r="J5323" s="3" t="str">
        <f ca="1">IFERROR(__xludf.DUMMYFUNCTION("""COMPUTED_VALUE"""),"0364087647")</f>
        <v>0364087647</v>
      </c>
      <c r="K5323" s="2" t="str">
        <f ca="1">IFERROR(__xludf.DUMMYFUNCTION("""COMPUTED_VALUE"""),"1759038536819")</f>
        <v>1759038536819</v>
      </c>
    </row>
    <row r="5324" spans="1:11" ht="12.45">
      <c r="A5324" s="2" t="str">
        <f ca="1">IFERROR(__xludf.DUMMYFUNCTION("""COMPUTED_VALUE"""),"1759038572598")</f>
        <v>1759038572598</v>
      </c>
      <c r="B5324" s="2"/>
      <c r="C5324" s="2" t="str">
        <v>0</v>
      </c>
      <c r="D5324" s="2"/>
      <c r="F5324" s="2" t="str">
        <v>0</v>
      </c>
      <c r="I5324" s="3" t="str">
        <f ca="1">IFERROR(__xludf.DUMMYFUNCTION("""COMPUTED_VALUE"""),"Phạm Phương Dung")</f>
        <v>Phạm Phương Dung</v>
      </c>
      <c r="J5324" s="3" t="str">
        <f ca="1">IFERROR(__xludf.DUMMYFUNCTION("""COMPUTED_VALUE"""),"0337089099")</f>
        <v>0337089099</v>
      </c>
      <c r="K5324" s="2" t="str">
        <f ca="1">IFERROR(__xludf.DUMMYFUNCTION("""COMPUTED_VALUE"""),"1759038572598")</f>
        <v>1759038572598</v>
      </c>
    </row>
    <row r="5325" spans="1:11" ht="12.45">
      <c r="A5325" s="2" t="str">
        <f ca="1">IFERROR(__xludf.DUMMYFUNCTION("""COMPUTED_VALUE"""),"1759038611217")</f>
        <v>1759038611217</v>
      </c>
      <c r="B5325" s="2"/>
      <c r="C5325" s="2" t="str">
        <v>0</v>
      </c>
      <c r="D5325" s="2"/>
      <c r="F5325" s="2" t="str">
        <v>0</v>
      </c>
      <c r="I5325" s="3" t="str">
        <f ca="1">IFERROR(__xludf.DUMMYFUNCTION("""COMPUTED_VALUE"""),"Hoàng Gia Huy ")</f>
        <v xml:space="preserve">Hoàng Gia Huy </v>
      </c>
      <c r="J5325" s="3" t="str">
        <f ca="1">IFERROR(__xludf.DUMMYFUNCTION("""COMPUTED_VALUE"""),"0359478188")</f>
        <v>0359478188</v>
      </c>
      <c r="K5325" s="2" t="str">
        <f ca="1">IFERROR(__xludf.DUMMYFUNCTION("""COMPUTED_VALUE"""),"1759038611217")</f>
        <v>1759038611217</v>
      </c>
    </row>
    <row r="5326" spans="1:11" ht="12.45">
      <c r="A5326" s="2" t="str">
        <f ca="1">IFERROR(__xludf.DUMMYFUNCTION("""COMPUTED_VALUE"""),"1759038644990")</f>
        <v>1759038644990</v>
      </c>
      <c r="B5326" s="2"/>
      <c r="C5326" s="2" t="str">
        <v>0</v>
      </c>
      <c r="D5326" s="2"/>
      <c r="F5326" s="2" t="str">
        <v>0</v>
      </c>
      <c r="I5326" s="3" t="str">
        <f ca="1">IFERROR(__xludf.DUMMYFUNCTION("""COMPUTED_VALUE"""),"Nguyễn Hàng Y")</f>
        <v>Nguyễn Hàng Y</v>
      </c>
      <c r="J5326" s="3" t="str">
        <f ca="1">IFERROR(__xludf.DUMMYFUNCTION("""COMPUTED_VALUE"""),"0973348084")</f>
        <v>0973348084</v>
      </c>
      <c r="K5326" s="2" t="str">
        <f ca="1">IFERROR(__xludf.DUMMYFUNCTION("""COMPUTED_VALUE"""),"1759038644990")</f>
        <v>1759038644990</v>
      </c>
    </row>
    <row r="5327" spans="1:11" ht="12.45">
      <c r="A5327" s="2" t="str">
        <f ca="1">IFERROR(__xludf.DUMMYFUNCTION("""COMPUTED_VALUE"""),"1759038691060")</f>
        <v>1759038691060</v>
      </c>
      <c r="B5327" s="2"/>
      <c r="C5327" s="2" t="str">
        <v>0</v>
      </c>
      <c r="D5327" s="2"/>
      <c r="F5327" s="2" t="str">
        <v>0</v>
      </c>
      <c r="I5327" s="3" t="str">
        <f ca="1">IFERROR(__xludf.DUMMYFUNCTION("""COMPUTED_VALUE"""),"Đỗ thị thu thuỷ")</f>
        <v>Đỗ thị thu thuỷ</v>
      </c>
      <c r="J5327" s="3" t="str">
        <f ca="1">IFERROR(__xludf.DUMMYFUNCTION("""COMPUTED_VALUE"""),"0335547893")</f>
        <v>0335547893</v>
      </c>
      <c r="K5327" s="2" t="str">
        <f ca="1">IFERROR(__xludf.DUMMYFUNCTION("""COMPUTED_VALUE"""),"1759038691060")</f>
        <v>1759038691060</v>
      </c>
    </row>
    <row r="5328" spans="1:11" ht="12.45">
      <c r="A5328" s="2" t="str">
        <f ca="1">IFERROR(__xludf.DUMMYFUNCTION("""COMPUTED_VALUE"""),"1759038742058")</f>
        <v>1759038742058</v>
      </c>
      <c r="B5328" s="2"/>
      <c r="C5328" s="2" t="str">
        <v>0</v>
      </c>
      <c r="D5328" s="2"/>
      <c r="F5328" s="2" t="str">
        <v>0</v>
      </c>
      <c r="I5328" s="3" t="str">
        <f ca="1">IFERROR(__xludf.DUMMYFUNCTION("""COMPUTED_VALUE"""),"Triệu Thị Thu Hiền ")</f>
        <v xml:space="preserve">Triệu Thị Thu Hiền </v>
      </c>
      <c r="J5328" s="3" t="str">
        <f ca="1">IFERROR(__xludf.DUMMYFUNCTION("""COMPUTED_VALUE"""),"0333599537")</f>
        <v>0333599537</v>
      </c>
      <c r="K5328" s="2" t="str">
        <f ca="1">IFERROR(__xludf.DUMMYFUNCTION("""COMPUTED_VALUE"""),"1759038742058")</f>
        <v>1759038742058</v>
      </c>
    </row>
    <row r="5329" spans="1:11" ht="12.45">
      <c r="A5329" s="2" t="str">
        <f ca="1">IFERROR(__xludf.DUMMYFUNCTION("""COMPUTED_VALUE"""),"1759038798294")</f>
        <v>1759038798294</v>
      </c>
      <c r="B5329" s="2"/>
      <c r="C5329" s="2" t="str">
        <v>0</v>
      </c>
      <c r="D5329" s="2"/>
      <c r="F5329" s="2" t="str">
        <v>0</v>
      </c>
      <c r="I5329" s="3" t="str">
        <f ca="1">IFERROR(__xludf.DUMMYFUNCTION("""COMPUTED_VALUE"""),"Nguyễn Ngọc Gia Hân")</f>
        <v>Nguyễn Ngọc Gia Hân</v>
      </c>
      <c r="J5329" s="3" t="str">
        <f ca="1">IFERROR(__xludf.DUMMYFUNCTION("""COMPUTED_VALUE"""),"0862032549")</f>
        <v>0862032549</v>
      </c>
      <c r="K5329" s="2" t="str">
        <f ca="1">IFERROR(__xludf.DUMMYFUNCTION("""COMPUTED_VALUE"""),"1759038798294")</f>
        <v>1759038798294</v>
      </c>
    </row>
    <row r="5330" spans="1:11" ht="12.45">
      <c r="A5330" s="2" t="str">
        <f ca="1">IFERROR(__xludf.DUMMYFUNCTION("""COMPUTED_VALUE"""),"1759038853952")</f>
        <v>1759038853952</v>
      </c>
      <c r="B5330" s="2"/>
      <c r="C5330" s="2" t="str">
        <v>0</v>
      </c>
      <c r="D5330" s="2"/>
      <c r="F5330" s="2" t="str">
        <v>0</v>
      </c>
      <c r="I5330" s="3" t="str">
        <f ca="1">IFERROR(__xludf.DUMMYFUNCTION("""COMPUTED_VALUE"""),"Hà Như Nguyệt")</f>
        <v>Hà Như Nguyệt</v>
      </c>
      <c r="J5330" s="3" t="str">
        <f ca="1">IFERROR(__xludf.DUMMYFUNCTION("""COMPUTED_VALUE"""),"0399680252")</f>
        <v>0399680252</v>
      </c>
      <c r="K5330" s="2" t="str">
        <f ca="1">IFERROR(__xludf.DUMMYFUNCTION("""COMPUTED_VALUE"""),"1759038853952")</f>
        <v>1759038853952</v>
      </c>
    </row>
    <row r="5331" spans="1:11" ht="12.45">
      <c r="A5331" s="2" t="str">
        <f ca="1">IFERROR(__xludf.DUMMYFUNCTION("""COMPUTED_VALUE"""),"1759038877323")</f>
        <v>1759038877323</v>
      </c>
      <c r="B5331" s="2"/>
      <c r="C5331" s="2" t="str">
        <v>0</v>
      </c>
      <c r="D5331" s="2"/>
      <c r="F5331" s="2" t="str">
        <v>0</v>
      </c>
      <c r="I5331" s="3" t="str">
        <f ca="1">IFERROR(__xludf.DUMMYFUNCTION("""COMPUTED_VALUE"""),"Trịnh ngọc diệu thương ")</f>
        <v xml:space="preserve">Trịnh ngọc diệu thương </v>
      </c>
      <c r="J5331" s="3" t="str">
        <f ca="1">IFERROR(__xludf.DUMMYFUNCTION("""COMPUTED_VALUE"""),"0915799315")</f>
        <v>0915799315</v>
      </c>
      <c r="K5331" s="2" t="str">
        <f ca="1">IFERROR(__xludf.DUMMYFUNCTION("""COMPUTED_VALUE"""),"1759038877323")</f>
        <v>1759038877323</v>
      </c>
    </row>
    <row r="5332" spans="1:11" ht="12.45">
      <c r="A5332" s="2" t="str">
        <f ca="1">IFERROR(__xludf.DUMMYFUNCTION("""COMPUTED_VALUE"""),"1759038912129")</f>
        <v>1759038912129</v>
      </c>
      <c r="B5332" s="2"/>
      <c r="C5332" s="2" t="str">
        <v>0</v>
      </c>
      <c r="D5332" s="2"/>
      <c r="F5332" s="2" t="str">
        <v>0</v>
      </c>
      <c r="I5332" s="3" t="str">
        <f ca="1">IFERROR(__xludf.DUMMYFUNCTION("""COMPUTED_VALUE"""),"Nguyễn Lê Mai Phương ")</f>
        <v xml:space="preserve">Nguyễn Lê Mai Phương </v>
      </c>
      <c r="J5332" s="3" t="str">
        <f ca="1">IFERROR(__xludf.DUMMYFUNCTION("""COMPUTED_VALUE"""),"0963825127")</f>
        <v>0963825127</v>
      </c>
      <c r="K5332" s="2" t="str">
        <f ca="1">IFERROR(__xludf.DUMMYFUNCTION("""COMPUTED_VALUE"""),"1759038912129")</f>
        <v>1759038912129</v>
      </c>
    </row>
    <row r="5333" spans="1:11" ht="12.45">
      <c r="A5333" s="2" t="str">
        <f ca="1">IFERROR(__xludf.DUMMYFUNCTION("""COMPUTED_VALUE"""),"1759038953699")</f>
        <v>1759038953699</v>
      </c>
      <c r="B5333" s="2"/>
      <c r="C5333" s="2" t="str">
        <v>0</v>
      </c>
      <c r="D5333" s="2"/>
      <c r="F5333" s="2" t="str">
        <v>0</v>
      </c>
      <c r="I5333" s="3" t="str">
        <f ca="1">IFERROR(__xludf.DUMMYFUNCTION("""COMPUTED_VALUE"""),"Cao huỳnh tuyết nga")</f>
        <v>Cao huỳnh tuyết nga</v>
      </c>
      <c r="J5333" s="3" t="str">
        <f ca="1">IFERROR(__xludf.DUMMYFUNCTION("""COMPUTED_VALUE"""),"0792179530")</f>
        <v>0792179530</v>
      </c>
      <c r="K5333" s="2" t="str">
        <f ca="1">IFERROR(__xludf.DUMMYFUNCTION("""COMPUTED_VALUE"""),"1759038953699")</f>
        <v>1759038953699</v>
      </c>
    </row>
    <row r="5334" spans="1:11" ht="12.45">
      <c r="A5334" s="2" t="str">
        <f ca="1">IFERROR(__xludf.DUMMYFUNCTION("""COMPUTED_VALUE"""),"1759038985879")</f>
        <v>1759038985879</v>
      </c>
      <c r="B5334" s="2"/>
      <c r="C5334" s="2" t="str">
        <v>0</v>
      </c>
      <c r="D5334" s="2"/>
      <c r="F5334" s="2" t="str">
        <v>0</v>
      </c>
      <c r="I5334" s="3" t="str">
        <f ca="1">IFERROR(__xludf.DUMMYFUNCTION("""COMPUTED_VALUE"""),"Dương Khánh Ly")</f>
        <v>Dương Khánh Ly</v>
      </c>
      <c r="J5334" s="3" t="str">
        <f ca="1">IFERROR(__xludf.DUMMYFUNCTION("""COMPUTED_VALUE"""),"0326869125")</f>
        <v>0326869125</v>
      </c>
      <c r="K5334" s="2" t="str">
        <f ca="1">IFERROR(__xludf.DUMMYFUNCTION("""COMPUTED_VALUE"""),"1759038985879")</f>
        <v>1759038985879</v>
      </c>
    </row>
    <row r="5335" spans="1:11" ht="12.45">
      <c r="A5335" s="2" t="str">
        <f ca="1">IFERROR(__xludf.DUMMYFUNCTION("""COMPUTED_VALUE"""),"1759039020467")</f>
        <v>1759039020467</v>
      </c>
      <c r="B5335" s="2"/>
      <c r="C5335" s="2" t="str">
        <v>0</v>
      </c>
      <c r="D5335" s="2"/>
      <c r="F5335" s="2" t="str">
        <v>0</v>
      </c>
      <c r="I5335" s="3" t="str">
        <f ca="1">IFERROR(__xludf.DUMMYFUNCTION("""COMPUTED_VALUE"""),"Trần Nguyễn Hà Ngân")</f>
        <v>Trần Nguyễn Hà Ngân</v>
      </c>
      <c r="J5335" s="3" t="str">
        <f ca="1">IFERROR(__xludf.DUMMYFUNCTION("""COMPUTED_VALUE"""),"0326637142")</f>
        <v>0326637142</v>
      </c>
      <c r="K5335" s="2" t="str">
        <f ca="1">IFERROR(__xludf.DUMMYFUNCTION("""COMPUTED_VALUE"""),"1759039020467")</f>
        <v>1759039020467</v>
      </c>
    </row>
    <row r="5336" spans="1:11" ht="12.45">
      <c r="A5336" s="2" t="str">
        <f ca="1">IFERROR(__xludf.DUMMYFUNCTION("""COMPUTED_VALUE"""),"1759039063930")</f>
        <v>1759039063930</v>
      </c>
      <c r="B5336" s="2"/>
      <c r="C5336" s="2" t="str">
        <v>0</v>
      </c>
      <c r="D5336" s="2"/>
      <c r="F5336" s="2" t="str">
        <v>0</v>
      </c>
      <c r="I5336" s="3" t="str">
        <f ca="1">IFERROR(__xludf.DUMMYFUNCTION("""COMPUTED_VALUE"""),"Nguyễn Thị Hồng Ngọc ")</f>
        <v xml:space="preserve">Nguyễn Thị Hồng Ngọc </v>
      </c>
      <c r="J5336" s="3" t="str">
        <f ca="1">IFERROR(__xludf.DUMMYFUNCTION("""COMPUTED_VALUE"""),"0911172446")</f>
        <v>0911172446</v>
      </c>
      <c r="K5336" s="2" t="str">
        <f ca="1">IFERROR(__xludf.DUMMYFUNCTION("""COMPUTED_VALUE"""),"1759039063930")</f>
        <v>1759039063930</v>
      </c>
    </row>
    <row r="5337" spans="1:11" ht="12.45">
      <c r="A5337" s="2" t="str">
        <f ca="1">IFERROR(__xludf.DUMMYFUNCTION("""COMPUTED_VALUE"""),"1759039111691")</f>
        <v>1759039111691</v>
      </c>
      <c r="B5337" s="2"/>
      <c r="C5337" s="2" t="str">
        <v>0</v>
      </c>
      <c r="D5337" s="2"/>
      <c r="F5337" s="2" t="str">
        <v>0</v>
      </c>
      <c r="I5337" s="3" t="str">
        <f ca="1">IFERROR(__xludf.DUMMYFUNCTION("""COMPUTED_VALUE"""),"Trần Anh Khoa")</f>
        <v>Trần Anh Khoa</v>
      </c>
      <c r="J5337" s="3" t="str">
        <f ca="1">IFERROR(__xludf.DUMMYFUNCTION("""COMPUTED_VALUE"""),"0834622060")</f>
        <v>0834622060</v>
      </c>
      <c r="K5337" s="2" t="str">
        <f ca="1">IFERROR(__xludf.DUMMYFUNCTION("""COMPUTED_VALUE"""),"1759039111691")</f>
        <v>1759039111691</v>
      </c>
    </row>
    <row r="5338" spans="1:11" ht="12.45">
      <c r="A5338" s="2" t="str">
        <f ca="1">IFERROR(__xludf.DUMMYFUNCTION("""COMPUTED_VALUE"""),"1759039142686")</f>
        <v>1759039142686</v>
      </c>
      <c r="B5338" s="2"/>
      <c r="C5338" s="2" t="str">
        <v>0</v>
      </c>
      <c r="D5338" s="2"/>
      <c r="F5338" s="2" t="str">
        <v>0</v>
      </c>
      <c r="I5338" s="3" t="str">
        <f ca="1">IFERROR(__xludf.DUMMYFUNCTION("""COMPUTED_VALUE"""),"Nguyễn Thị Diễm Hằng")</f>
        <v>Nguyễn Thị Diễm Hằng</v>
      </c>
      <c r="J5338" s="3" t="str">
        <f ca="1">IFERROR(__xludf.DUMMYFUNCTION("""COMPUTED_VALUE"""),"0384631063")</f>
        <v>0384631063</v>
      </c>
      <c r="K5338" s="2" t="str">
        <f ca="1">IFERROR(__xludf.DUMMYFUNCTION("""COMPUTED_VALUE"""),"1759039142686")</f>
        <v>1759039142686</v>
      </c>
    </row>
    <row r="5339" spans="1:11" ht="12.45">
      <c r="A5339" s="2" t="str">
        <f ca="1">IFERROR(__xludf.DUMMYFUNCTION("""COMPUTED_VALUE"""),"1759039178540")</f>
        <v>1759039178540</v>
      </c>
      <c r="B5339" s="2"/>
      <c r="C5339" s="2" t="str">
        <v>0</v>
      </c>
      <c r="D5339" s="2"/>
      <c r="F5339" s="2" t="str">
        <v>0</v>
      </c>
      <c r="I5339" s="3" t="str">
        <f ca="1">IFERROR(__xludf.DUMMYFUNCTION("""COMPUTED_VALUE"""),"Lê Hồ Minh Ngọc ")</f>
        <v xml:space="preserve">Lê Hồ Minh Ngọc </v>
      </c>
      <c r="J5339" s="3" t="str">
        <f ca="1">IFERROR(__xludf.DUMMYFUNCTION("""COMPUTED_VALUE"""),"0943505646")</f>
        <v>0943505646</v>
      </c>
      <c r="K5339" s="2" t="str">
        <f ca="1">IFERROR(__xludf.DUMMYFUNCTION("""COMPUTED_VALUE"""),"1759039178540")</f>
        <v>1759039178540</v>
      </c>
    </row>
    <row r="5340" spans="1:11" ht="12.45">
      <c r="A5340" s="2" t="str">
        <f ca="1">IFERROR(__xludf.DUMMYFUNCTION("""COMPUTED_VALUE"""),"Không giao sách")</f>
        <v>Không giao sách</v>
      </c>
      <c r="B5340" s="2"/>
      <c r="C5340" s="2" t="str">
        <v>0</v>
      </c>
      <c r="D5340" s="2"/>
      <c r="F5340" s="2" t="str">
        <v>0</v>
      </c>
      <c r="I5340" s="3" t="str">
        <f ca="1">IFERROR(__xludf.DUMMYFUNCTION("""COMPUTED_VALUE"""),"Nguyễn Hữu Phước Bình ")</f>
        <v xml:space="preserve">Nguyễn Hữu Phước Bình </v>
      </c>
      <c r="J5340" s="3" t="str">
        <f ca="1">IFERROR(__xludf.DUMMYFUNCTION("""COMPUTED_VALUE"""),"0919064034")</f>
        <v>0919064034</v>
      </c>
      <c r="K5340" s="2" t="str">
        <f ca="1">IFERROR(__xludf.DUMMYFUNCTION("""COMPUTED_VALUE"""),"Không giao sách")</f>
        <v>Không giao sách</v>
      </c>
    </row>
    <row r="5341" spans="1:11" ht="12.45">
      <c r="A5341" s="2" t="str">
        <f ca="1">IFERROR(__xludf.DUMMYFUNCTION("""COMPUTED_VALUE"""),"1759039206443")</f>
        <v>1759039206443</v>
      </c>
      <c r="B5341" s="2"/>
      <c r="C5341" s="2" t="str">
        <v>0</v>
      </c>
      <c r="D5341" s="2"/>
      <c r="F5341" s="2" t="str">
        <v>0</v>
      </c>
      <c r="I5341" s="3" t="str">
        <f ca="1">IFERROR(__xludf.DUMMYFUNCTION("""COMPUTED_VALUE"""),"Vũ Quang Huy")</f>
        <v>Vũ Quang Huy</v>
      </c>
      <c r="J5341" s="3" t="str">
        <f ca="1">IFERROR(__xludf.DUMMYFUNCTION("""COMPUTED_VALUE"""),"0985247967")</f>
        <v>0985247967</v>
      </c>
      <c r="K5341" s="2" t="str">
        <f ca="1">IFERROR(__xludf.DUMMYFUNCTION("""COMPUTED_VALUE"""),"1759039206443")</f>
        <v>1759039206443</v>
      </c>
    </row>
    <row r="5342" spans="1:11" ht="12.45">
      <c r="A5342" s="2" t="str">
        <f ca="1">IFERROR(__xludf.DUMMYFUNCTION("""COMPUTED_VALUE"""),"1759039268018")</f>
        <v>1759039268018</v>
      </c>
      <c r="B5342" s="2"/>
      <c r="C5342" s="2" t="str">
        <v>0</v>
      </c>
      <c r="D5342" s="2"/>
      <c r="F5342" s="2" t="str">
        <v>0</v>
      </c>
      <c r="I5342" s="3" t="str">
        <f ca="1">IFERROR(__xludf.DUMMYFUNCTION("""COMPUTED_VALUE"""),"Đinh Bảo Ngọc")</f>
        <v>Đinh Bảo Ngọc</v>
      </c>
      <c r="J5342" s="3" t="str">
        <f ca="1">IFERROR(__xludf.DUMMYFUNCTION("""COMPUTED_VALUE"""),"0962385734")</f>
        <v>0962385734</v>
      </c>
      <c r="K5342" s="2" t="str">
        <f ca="1">IFERROR(__xludf.DUMMYFUNCTION("""COMPUTED_VALUE"""),"1759039268018")</f>
        <v>1759039268018</v>
      </c>
    </row>
    <row r="5343" spans="1:11" ht="12.45">
      <c r="A5343" s="2" t="str">
        <f ca="1">IFERROR(__xludf.DUMMYFUNCTION("""COMPUTED_VALUE"""),"1759039319153")</f>
        <v>1759039319153</v>
      </c>
      <c r="B5343" s="2"/>
      <c r="C5343" s="2" t="str">
        <v>0</v>
      </c>
      <c r="D5343" s="2"/>
      <c r="F5343" s="2" t="str">
        <v>0</v>
      </c>
      <c r="I5343" s="3" t="str">
        <f ca="1">IFERROR(__xludf.DUMMYFUNCTION("""COMPUTED_VALUE"""),"Hoàng Hải Yến")</f>
        <v>Hoàng Hải Yến</v>
      </c>
      <c r="J5343" s="3" t="str">
        <f ca="1">IFERROR(__xludf.DUMMYFUNCTION("""COMPUTED_VALUE"""),"0385941592")</f>
        <v>0385941592</v>
      </c>
      <c r="K5343" s="2" t="str">
        <f ca="1">IFERROR(__xludf.DUMMYFUNCTION("""COMPUTED_VALUE"""),"1759039319153")</f>
        <v>1759039319153</v>
      </c>
    </row>
    <row r="5344" spans="1:11" ht="12.45">
      <c r="A5344" s="2" t="str">
        <f ca="1">IFERROR(__xludf.DUMMYFUNCTION("""COMPUTED_VALUE"""),"Không giao sách")</f>
        <v>Không giao sách</v>
      </c>
      <c r="B5344" s="2"/>
      <c r="C5344" s="2" t="str">
        <v>0</v>
      </c>
      <c r="D5344" s="2"/>
      <c r="F5344" s="2" t="str">
        <v>0</v>
      </c>
      <c r="I5344" s="3" t="str">
        <f ca="1">IFERROR(__xludf.DUMMYFUNCTION("""COMPUTED_VALUE"""),"Dương Thị Nhật Linh")</f>
        <v>Dương Thị Nhật Linh</v>
      </c>
      <c r="J5344" s="3" t="str">
        <f ca="1">IFERROR(__xludf.DUMMYFUNCTION("""COMPUTED_VALUE"""),"0971305215")</f>
        <v>0971305215</v>
      </c>
      <c r="K5344" s="2" t="str">
        <f ca="1">IFERROR(__xludf.DUMMYFUNCTION("""COMPUTED_VALUE"""),"Không giao sách")</f>
        <v>Không giao sách</v>
      </c>
    </row>
    <row r="5345" spans="1:11" ht="12.45">
      <c r="A5345" s="2" t="str">
        <f ca="1">IFERROR(__xludf.DUMMYFUNCTION("""COMPUTED_VALUE"""),"1759039389068")</f>
        <v>1759039389068</v>
      </c>
      <c r="B5345" s="2"/>
      <c r="C5345" s="2" t="str">
        <v>0</v>
      </c>
      <c r="D5345" s="2"/>
      <c r="F5345" s="2" t="str">
        <v>0</v>
      </c>
      <c r="I5345" s="3" t="str">
        <f ca="1">IFERROR(__xludf.DUMMYFUNCTION("""COMPUTED_VALUE"""),"Chu Kim Ngân")</f>
        <v>Chu Kim Ngân</v>
      </c>
      <c r="J5345" s="3" t="str">
        <f ca="1">IFERROR(__xludf.DUMMYFUNCTION("""COMPUTED_VALUE"""),"0867054593")</f>
        <v>0867054593</v>
      </c>
      <c r="K5345" s="2" t="str">
        <f ca="1">IFERROR(__xludf.DUMMYFUNCTION("""COMPUTED_VALUE"""),"1759039389068")</f>
        <v>1759039389068</v>
      </c>
    </row>
    <row r="5346" spans="1:11" ht="12.45">
      <c r="A5346" s="2" t="str">
        <f ca="1">IFERROR(__xludf.DUMMYFUNCTION("""COMPUTED_VALUE"""),"1759039458282")</f>
        <v>1759039458282</v>
      </c>
      <c r="B5346" s="2"/>
      <c r="C5346" s="2" t="str">
        <v>0</v>
      </c>
      <c r="D5346" s="2"/>
      <c r="F5346" s="2" t="str">
        <v>0</v>
      </c>
      <c r="I5346" s="3" t="str">
        <f ca="1">IFERROR(__xludf.DUMMYFUNCTION("""COMPUTED_VALUE"""),"Hà Ngọc Quang")</f>
        <v>Hà Ngọc Quang</v>
      </c>
      <c r="J5346" s="3" t="str">
        <f ca="1">IFERROR(__xludf.DUMMYFUNCTION("""COMPUTED_VALUE"""),"0977605843")</f>
        <v>0977605843</v>
      </c>
      <c r="K5346" s="2" t="str">
        <f ca="1">IFERROR(__xludf.DUMMYFUNCTION("""COMPUTED_VALUE"""),"1759039458282")</f>
        <v>1759039458282</v>
      </c>
    </row>
    <row r="5347" spans="1:11" ht="12.45">
      <c r="A5347" s="2" t="str">
        <f ca="1">IFERROR(__xludf.DUMMYFUNCTION("""COMPUTED_VALUE"""),"1759039519964")</f>
        <v>1759039519964</v>
      </c>
      <c r="B5347" s="2"/>
      <c r="C5347" s="2" t="str">
        <v>0</v>
      </c>
      <c r="D5347" s="2"/>
      <c r="F5347" s="2" t="str">
        <v>0</v>
      </c>
      <c r="I5347" s="3" t="str">
        <f ca="1">IFERROR(__xludf.DUMMYFUNCTION("""COMPUTED_VALUE"""),"Phạm Phương Thảo")</f>
        <v>Phạm Phương Thảo</v>
      </c>
      <c r="J5347" s="3" t="str">
        <f ca="1">IFERROR(__xludf.DUMMYFUNCTION("""COMPUTED_VALUE"""),"0923535212")</f>
        <v>0923535212</v>
      </c>
      <c r="K5347" s="2" t="str">
        <f ca="1">IFERROR(__xludf.DUMMYFUNCTION("""COMPUTED_VALUE"""),"1759039519964")</f>
        <v>1759039519964</v>
      </c>
    </row>
    <row r="5348" spans="1:11" ht="12.45">
      <c r="A5348" s="2" t="str">
        <f ca="1">IFERROR(__xludf.DUMMYFUNCTION("""COMPUTED_VALUE"""),"1759039590940")</f>
        <v>1759039590940</v>
      </c>
      <c r="B5348" s="2"/>
      <c r="C5348" s="2" t="str">
        <v>0</v>
      </c>
      <c r="D5348" s="2"/>
      <c r="F5348" s="2" t="str">
        <v>0</v>
      </c>
      <c r="I5348" s="3" t="str">
        <f ca="1">IFERROR(__xludf.DUMMYFUNCTION("""COMPUTED_VALUE"""),"Nguyễn Tường Vi")</f>
        <v>Nguyễn Tường Vi</v>
      </c>
      <c r="J5348" s="3" t="str">
        <f ca="1">IFERROR(__xludf.DUMMYFUNCTION("""COMPUTED_VALUE"""),"0978304584")</f>
        <v>0978304584</v>
      </c>
      <c r="K5348" s="2" t="str">
        <f ca="1">IFERROR(__xludf.DUMMYFUNCTION("""COMPUTED_VALUE"""),"1759039590940")</f>
        <v>1759039590940</v>
      </c>
    </row>
    <row r="5349" spans="1:11" ht="12.45">
      <c r="A5349" s="2" t="str">
        <f ca="1">IFERROR(__xludf.DUMMYFUNCTION("""COMPUTED_VALUE"""),"1759039641477")</f>
        <v>1759039641477</v>
      </c>
      <c r="B5349" s="2"/>
      <c r="C5349" s="2" t="str">
        <v>0</v>
      </c>
      <c r="D5349" s="2"/>
      <c r="F5349" s="2" t="str">
        <v>0</v>
      </c>
      <c r="I5349" s="3" t="str">
        <f ca="1">IFERROR(__xludf.DUMMYFUNCTION("""COMPUTED_VALUE"""),"Vũ Phú Trọng")</f>
        <v>Vũ Phú Trọng</v>
      </c>
      <c r="J5349" s="3" t="str">
        <f ca="1">IFERROR(__xludf.DUMMYFUNCTION("""COMPUTED_VALUE"""),"0362033347")</f>
        <v>0362033347</v>
      </c>
      <c r="K5349" s="2" t="str">
        <f ca="1">IFERROR(__xludf.DUMMYFUNCTION("""COMPUTED_VALUE"""),"1759039641477")</f>
        <v>1759039641477</v>
      </c>
    </row>
    <row r="5350" spans="1:11" ht="12.45">
      <c r="A5350" s="2" t="str">
        <f ca="1">IFERROR(__xludf.DUMMYFUNCTION("""COMPUTED_VALUE"""),"1759039668849")</f>
        <v>1759039668849</v>
      </c>
      <c r="B5350" s="2"/>
      <c r="C5350" s="2" t="str">
        <v>0</v>
      </c>
      <c r="D5350" s="2"/>
      <c r="F5350" s="2" t="str">
        <v>0</v>
      </c>
      <c r="I5350" s="3" t="str">
        <f ca="1">IFERROR(__xludf.DUMMYFUNCTION("""COMPUTED_VALUE"""),"Đỗ Trung Phát")</f>
        <v>Đỗ Trung Phát</v>
      </c>
      <c r="J5350" s="3" t="str">
        <f ca="1">IFERROR(__xludf.DUMMYFUNCTION("""COMPUTED_VALUE"""),"0357474371")</f>
        <v>0357474371</v>
      </c>
      <c r="K5350" s="2" t="str">
        <f ca="1">IFERROR(__xludf.DUMMYFUNCTION("""COMPUTED_VALUE"""),"1759039668849")</f>
        <v>1759039668849</v>
      </c>
    </row>
    <row r="5351" spans="1:11" ht="12.45">
      <c r="A5351" s="2" t="str">
        <f ca="1">IFERROR(__xludf.DUMMYFUNCTION("""COMPUTED_VALUE"""),"1759039721903")</f>
        <v>1759039721903</v>
      </c>
      <c r="B5351" s="2"/>
      <c r="C5351" s="2" t="str">
        <v>0</v>
      </c>
      <c r="D5351" s="2"/>
      <c r="F5351" s="2" t="str">
        <v>0</v>
      </c>
      <c r="I5351" s="3" t="str">
        <f ca="1">IFERROR(__xludf.DUMMYFUNCTION("""COMPUTED_VALUE"""),"Trần Thị Huyền Trang ")</f>
        <v xml:space="preserve">Trần Thị Huyền Trang </v>
      </c>
      <c r="J5351" s="3" t="str">
        <f ca="1">IFERROR(__xludf.DUMMYFUNCTION("""COMPUTED_VALUE"""),"0832841068")</f>
        <v>0832841068</v>
      </c>
      <c r="K5351" s="2" t="str">
        <f ca="1">IFERROR(__xludf.DUMMYFUNCTION("""COMPUTED_VALUE"""),"1759039721903")</f>
        <v>1759039721903</v>
      </c>
    </row>
    <row r="5352" spans="1:11" ht="12.45">
      <c r="A5352" s="2" t="str">
        <f ca="1">IFERROR(__xludf.DUMMYFUNCTION("""COMPUTED_VALUE"""),"1759039774183")</f>
        <v>1759039774183</v>
      </c>
      <c r="B5352" s="2"/>
      <c r="C5352" s="2" t="str">
        <v>0</v>
      </c>
      <c r="D5352" s="2"/>
      <c r="F5352" s="2" t="str">
        <v>0</v>
      </c>
      <c r="I5352" s="3" t="str">
        <f ca="1">IFERROR(__xludf.DUMMYFUNCTION("""COMPUTED_VALUE"""),"Lại Gia Bảo")</f>
        <v>Lại Gia Bảo</v>
      </c>
      <c r="J5352" s="3" t="str">
        <f ca="1">IFERROR(__xludf.DUMMYFUNCTION("""COMPUTED_VALUE"""),"0855401668")</f>
        <v>0855401668</v>
      </c>
      <c r="K5352" s="2" t="str">
        <f ca="1">IFERROR(__xludf.DUMMYFUNCTION("""COMPUTED_VALUE"""),"1759039774183")</f>
        <v>1759039774183</v>
      </c>
    </row>
    <row r="5353" spans="1:11" ht="12.45">
      <c r="A5353" s="2" t="str">
        <f ca="1">IFERROR(__xludf.DUMMYFUNCTION("""COMPUTED_VALUE"""),"1759039833671")</f>
        <v>1759039833671</v>
      </c>
      <c r="B5353" s="2"/>
      <c r="C5353" s="2" t="str">
        <v>0</v>
      </c>
      <c r="D5353" s="2"/>
      <c r="F5353" s="2" t="str">
        <v>0</v>
      </c>
      <c r="I5353" s="3" t="str">
        <f ca="1">IFERROR(__xludf.DUMMYFUNCTION("""COMPUTED_VALUE"""),"Phan Thị Thanh Ngân ")</f>
        <v xml:space="preserve">Phan Thị Thanh Ngân </v>
      </c>
      <c r="J5353" s="3" t="str">
        <f ca="1">IFERROR(__xludf.DUMMYFUNCTION("""COMPUTED_VALUE"""),"0911346730")</f>
        <v>0911346730</v>
      </c>
      <c r="K5353" s="2" t="str">
        <f ca="1">IFERROR(__xludf.DUMMYFUNCTION("""COMPUTED_VALUE"""),"1759039833671")</f>
        <v>1759039833671</v>
      </c>
    </row>
    <row r="5354" spans="1:11" ht="12.45">
      <c r="A5354" s="2" t="str">
        <f ca="1">IFERROR(__xludf.DUMMYFUNCTION("""COMPUTED_VALUE"""),"1759039879343")</f>
        <v>1759039879343</v>
      </c>
      <c r="B5354" s="2"/>
      <c r="C5354" s="2" t="str">
        <v>0</v>
      </c>
      <c r="D5354" s="2"/>
      <c r="F5354" s="2" t="str">
        <v>0</v>
      </c>
      <c r="I5354" s="3" t="str">
        <f ca="1">IFERROR(__xludf.DUMMYFUNCTION("""COMPUTED_VALUE"""),"Nguyễn Trần Diệu Linh")</f>
        <v>Nguyễn Trần Diệu Linh</v>
      </c>
      <c r="J5354" s="3" t="str">
        <f ca="1">IFERROR(__xludf.DUMMYFUNCTION("""COMPUTED_VALUE"""),"0865967152")</f>
        <v>0865967152</v>
      </c>
      <c r="K5354" s="2" t="str">
        <f ca="1">IFERROR(__xludf.DUMMYFUNCTION("""COMPUTED_VALUE"""),"1759039879343")</f>
        <v>1759039879343</v>
      </c>
    </row>
    <row r="5355" spans="1:11" ht="12.45">
      <c r="A5355" s="2" t="str">
        <f ca="1">IFERROR(__xludf.DUMMYFUNCTION("""COMPUTED_VALUE"""),"1759039917032")</f>
        <v>1759039917032</v>
      </c>
      <c r="B5355" s="2"/>
      <c r="C5355" s="2" t="str">
        <v>0</v>
      </c>
      <c r="D5355" s="2"/>
      <c r="F5355" s="2" t="str">
        <v>0</v>
      </c>
      <c r="I5355" s="3" t="str">
        <f ca="1">IFERROR(__xludf.DUMMYFUNCTION("""COMPUTED_VALUE"""),"Hoàng Yến Vy")</f>
        <v>Hoàng Yến Vy</v>
      </c>
      <c r="J5355" s="3" t="str">
        <f ca="1">IFERROR(__xludf.DUMMYFUNCTION("""COMPUTED_VALUE"""),"0386522773")</f>
        <v>0386522773</v>
      </c>
      <c r="K5355" s="2" t="str">
        <f ca="1">IFERROR(__xludf.DUMMYFUNCTION("""COMPUTED_VALUE"""),"1759039917032")</f>
        <v>1759039917032</v>
      </c>
    </row>
    <row r="5356" spans="1:11" ht="12.45">
      <c r="A5356" s="2" t="str">
        <f ca="1">IFERROR(__xludf.DUMMYFUNCTION("""COMPUTED_VALUE"""),"1759039950347")</f>
        <v>1759039950347</v>
      </c>
      <c r="B5356" s="2"/>
      <c r="C5356" s="2" t="str">
        <v>0</v>
      </c>
      <c r="D5356" s="2"/>
      <c r="F5356" s="2" t="str">
        <v>0</v>
      </c>
      <c r="I5356" s="3" t="str">
        <f ca="1">IFERROR(__xludf.DUMMYFUNCTION("""COMPUTED_VALUE"""),"Nguyễn Bích Hằng")</f>
        <v>Nguyễn Bích Hằng</v>
      </c>
      <c r="J5356" s="3" t="str">
        <f ca="1">IFERROR(__xludf.DUMMYFUNCTION("""COMPUTED_VALUE"""),"0386859462")</f>
        <v>0386859462</v>
      </c>
      <c r="K5356" s="2" t="str">
        <f ca="1">IFERROR(__xludf.DUMMYFUNCTION("""COMPUTED_VALUE"""),"1759039950347")</f>
        <v>1759039950347</v>
      </c>
    </row>
    <row r="5357" spans="1:11" ht="12.45">
      <c r="A5357" s="2" t="str">
        <f ca="1">IFERROR(__xludf.DUMMYFUNCTION("""COMPUTED_VALUE"""),"1759040002160")</f>
        <v>1759040002160</v>
      </c>
      <c r="B5357" s="2"/>
      <c r="C5357" s="2" t="str">
        <v>0</v>
      </c>
      <c r="D5357" s="2"/>
      <c r="F5357" s="2" t="str">
        <v>0</v>
      </c>
      <c r="I5357" s="3" t="str">
        <f ca="1">IFERROR(__xludf.DUMMYFUNCTION("""COMPUTED_VALUE"""),"Huỳnh Lê Trâm Anh ")</f>
        <v xml:space="preserve">Huỳnh Lê Trâm Anh </v>
      </c>
      <c r="J5357" s="3" t="str">
        <f ca="1">IFERROR(__xludf.DUMMYFUNCTION("""COMPUTED_VALUE"""),"0327488945")</f>
        <v>0327488945</v>
      </c>
      <c r="K5357" s="2" t="str">
        <f ca="1">IFERROR(__xludf.DUMMYFUNCTION("""COMPUTED_VALUE"""),"1759040002160")</f>
        <v>1759040002160</v>
      </c>
    </row>
    <row r="5358" spans="1:11" ht="12.45">
      <c r="A5358" s="2" t="str">
        <f ca="1">IFERROR(__xludf.DUMMYFUNCTION("""COMPUTED_VALUE"""),"1759040057097")</f>
        <v>1759040057097</v>
      </c>
      <c r="B5358" s="2"/>
      <c r="C5358" s="2" t="str">
        <v>0</v>
      </c>
      <c r="D5358" s="2"/>
      <c r="F5358" s="2" t="str">
        <v>0</v>
      </c>
      <c r="I5358" s="3" t="str">
        <f ca="1">IFERROR(__xludf.DUMMYFUNCTION("""COMPUTED_VALUE"""),"Lê Thị Kim Huấn")</f>
        <v>Lê Thị Kim Huấn</v>
      </c>
      <c r="J5358" s="3" t="str">
        <f ca="1">IFERROR(__xludf.DUMMYFUNCTION("""COMPUTED_VALUE"""),"0835604764")</f>
        <v>0835604764</v>
      </c>
      <c r="K5358" s="2" t="str">
        <f ca="1">IFERROR(__xludf.DUMMYFUNCTION("""COMPUTED_VALUE"""),"1759040057097")</f>
        <v>1759040057097</v>
      </c>
    </row>
    <row r="5359" spans="1:11" ht="12.45">
      <c r="A5359" s="2" t="str">
        <f ca="1">IFERROR(__xludf.DUMMYFUNCTION("""COMPUTED_VALUE"""),"1759040093931")</f>
        <v>1759040093931</v>
      </c>
      <c r="B5359" s="2"/>
      <c r="C5359" s="2" t="str">
        <v>0</v>
      </c>
      <c r="D5359" s="2"/>
      <c r="F5359" s="2" t="str">
        <v>0</v>
      </c>
      <c r="I5359" s="3" t="str">
        <f ca="1">IFERROR(__xludf.DUMMYFUNCTION("""COMPUTED_VALUE"""),"Lê Minh Hoà")</f>
        <v>Lê Minh Hoà</v>
      </c>
      <c r="J5359" s="3" t="str">
        <f ca="1">IFERROR(__xludf.DUMMYFUNCTION("""COMPUTED_VALUE"""),"0852194826")</f>
        <v>0852194826</v>
      </c>
      <c r="K5359" s="2" t="str">
        <f ca="1">IFERROR(__xludf.DUMMYFUNCTION("""COMPUTED_VALUE"""),"1759040093931")</f>
        <v>1759040093931</v>
      </c>
    </row>
    <row r="5360" spans="1:11" ht="12.45">
      <c r="A5360" s="2" t="str">
        <f ca="1">IFERROR(__xludf.DUMMYFUNCTION("""COMPUTED_VALUE"""),"1759040148020")</f>
        <v>1759040148020</v>
      </c>
      <c r="B5360" s="2"/>
      <c r="C5360" s="2" t="str">
        <v>0</v>
      </c>
      <c r="D5360" s="2"/>
      <c r="F5360" s="2" t="str">
        <v>0</v>
      </c>
      <c r="I5360" s="3" t="str">
        <f ca="1">IFERROR(__xludf.DUMMYFUNCTION("""COMPUTED_VALUE"""),"Bùi Trà My")</f>
        <v>Bùi Trà My</v>
      </c>
      <c r="J5360" s="3" t="str">
        <f ca="1">IFERROR(__xludf.DUMMYFUNCTION("""COMPUTED_VALUE"""),"0368551207")</f>
        <v>0368551207</v>
      </c>
      <c r="K5360" s="2" t="str">
        <f ca="1">IFERROR(__xludf.DUMMYFUNCTION("""COMPUTED_VALUE"""),"1759040148020")</f>
        <v>1759040148020</v>
      </c>
    </row>
    <row r="5361" spans="1:11" ht="12.45">
      <c r="A5361" s="2" t="str">
        <f ca="1">IFERROR(__xludf.DUMMYFUNCTION("""COMPUTED_VALUE"""),"1759040199398")</f>
        <v>1759040199398</v>
      </c>
      <c r="B5361" s="2"/>
      <c r="C5361" s="2" t="str">
        <v>0</v>
      </c>
      <c r="D5361" s="2"/>
      <c r="F5361" s="2" t="str">
        <v>0</v>
      </c>
      <c r="I5361" s="3" t="str">
        <f ca="1">IFERROR(__xludf.DUMMYFUNCTION("""COMPUTED_VALUE"""),"Phạm My như")</f>
        <v>Phạm My như</v>
      </c>
      <c r="J5361" s="3" t="str">
        <f ca="1">IFERROR(__xludf.DUMMYFUNCTION("""COMPUTED_VALUE"""),"0338930673")</f>
        <v>0338930673</v>
      </c>
      <c r="K5361" s="2" t="str">
        <f ca="1">IFERROR(__xludf.DUMMYFUNCTION("""COMPUTED_VALUE"""),"1759040199398")</f>
        <v>1759040199398</v>
      </c>
    </row>
    <row r="5362" spans="1:11" ht="12.45">
      <c r="A5362" s="2" t="str">
        <f ca="1">IFERROR(__xludf.DUMMYFUNCTION("""COMPUTED_VALUE"""),"1759040247124")</f>
        <v>1759040247124</v>
      </c>
      <c r="B5362" s="2"/>
      <c r="C5362" s="2" t="str">
        <v>0</v>
      </c>
      <c r="D5362" s="2"/>
      <c r="F5362" s="2" t="str">
        <v>0</v>
      </c>
      <c r="I5362" s="3" t="str">
        <f ca="1">IFERROR(__xludf.DUMMYFUNCTION("""COMPUTED_VALUE"""),"Phùng Khánh Huyền ")</f>
        <v xml:space="preserve">Phùng Khánh Huyền </v>
      </c>
      <c r="J5362" s="3" t="str">
        <f ca="1">IFERROR(__xludf.DUMMYFUNCTION("""COMPUTED_VALUE"""),"0835490298")</f>
        <v>0835490298</v>
      </c>
      <c r="K5362" s="2" t="str">
        <f ca="1">IFERROR(__xludf.DUMMYFUNCTION("""COMPUTED_VALUE"""),"1759040247124")</f>
        <v>1759040247124</v>
      </c>
    </row>
    <row r="5363" spans="1:11" ht="12.45">
      <c r="A5363" s="2" t="str">
        <f ca="1">IFERROR(__xludf.DUMMYFUNCTION("""COMPUTED_VALUE"""),"1759040285049")</f>
        <v>1759040285049</v>
      </c>
      <c r="B5363" s="2"/>
      <c r="C5363" s="2" t="str">
        <v>0</v>
      </c>
      <c r="D5363" s="2"/>
      <c r="F5363" s="2" t="str">
        <v>0</v>
      </c>
      <c r="I5363" s="3" t="str">
        <f ca="1">IFERROR(__xludf.DUMMYFUNCTION("""COMPUTED_VALUE"""),"Na Na")</f>
        <v>Na Na</v>
      </c>
      <c r="J5363" s="3" t="str">
        <f ca="1">IFERROR(__xludf.DUMMYFUNCTION("""COMPUTED_VALUE"""),"0387705313")</f>
        <v>0387705313</v>
      </c>
      <c r="K5363" s="2" t="str">
        <f ca="1">IFERROR(__xludf.DUMMYFUNCTION("""COMPUTED_VALUE"""),"1759040285049")</f>
        <v>1759040285049</v>
      </c>
    </row>
    <row r="5364" spans="1:11" ht="12.45">
      <c r="A5364" s="2" t="str">
        <f ca="1">IFERROR(__xludf.DUMMYFUNCTION("""COMPUTED_VALUE"""),"1759040325023")</f>
        <v>1759040325023</v>
      </c>
      <c r="B5364" s="2"/>
      <c r="C5364" s="2" t="str">
        <v>0</v>
      </c>
      <c r="D5364" s="2"/>
      <c r="F5364" s="2" t="str">
        <v>0</v>
      </c>
      <c r="I5364" s="3" t="str">
        <f ca="1">IFERROR(__xludf.DUMMYFUNCTION("""COMPUTED_VALUE"""),"NGUYỄN THANH PHÚ")</f>
        <v>NGUYỄN THANH PHÚ</v>
      </c>
      <c r="J5364" s="3" t="str">
        <f ca="1">IFERROR(__xludf.DUMMYFUNCTION("""COMPUTED_VALUE"""),"0337729039")</f>
        <v>0337729039</v>
      </c>
      <c r="K5364" s="2" t="str">
        <f ca="1">IFERROR(__xludf.DUMMYFUNCTION("""COMPUTED_VALUE"""),"1759040325023")</f>
        <v>1759040325023</v>
      </c>
    </row>
    <row r="5365" spans="1:11" ht="12.45">
      <c r="A5365" s="2" t="str">
        <f ca="1">IFERROR(__xludf.DUMMYFUNCTION("""COMPUTED_VALUE"""),"1759040353671")</f>
        <v>1759040353671</v>
      </c>
      <c r="B5365" s="2"/>
      <c r="C5365" s="2" t="str">
        <v>0</v>
      </c>
      <c r="D5365" s="2"/>
      <c r="F5365" s="2" t="str">
        <v>0</v>
      </c>
      <c r="I5365" s="3" t="str">
        <f ca="1">IFERROR(__xludf.DUMMYFUNCTION("""COMPUTED_VALUE"""),"Nguyễn Anh Đức")</f>
        <v>Nguyễn Anh Đức</v>
      </c>
      <c r="J5365" s="3" t="str">
        <f ca="1">IFERROR(__xludf.DUMMYFUNCTION("""COMPUTED_VALUE"""),"0827882303")</f>
        <v>0827882303</v>
      </c>
      <c r="K5365" s="2" t="str">
        <f ca="1">IFERROR(__xludf.DUMMYFUNCTION("""COMPUTED_VALUE"""),"1759040353671")</f>
        <v>1759040353671</v>
      </c>
    </row>
    <row r="5366" spans="1:11" ht="12.45">
      <c r="A5366" s="2" t="str">
        <f ca="1">IFERROR(__xludf.DUMMYFUNCTION("""COMPUTED_VALUE"""),"1759040400988")</f>
        <v>1759040400988</v>
      </c>
      <c r="B5366" s="2"/>
      <c r="C5366" s="2" t="str">
        <v>0</v>
      </c>
      <c r="D5366" s="2"/>
      <c r="F5366" s="2" t="str">
        <v>0</v>
      </c>
      <c r="I5366" s="3" t="str">
        <f ca="1">IFERROR(__xludf.DUMMYFUNCTION("""COMPUTED_VALUE"""),"Huỳnh Nguyễn Gia Hân")</f>
        <v>Huỳnh Nguyễn Gia Hân</v>
      </c>
      <c r="J5366" s="3" t="str">
        <f ca="1">IFERROR(__xludf.DUMMYFUNCTION("""COMPUTED_VALUE"""),"0941853854")</f>
        <v>0941853854</v>
      </c>
      <c r="K5366" s="2" t="str">
        <f ca="1">IFERROR(__xludf.DUMMYFUNCTION("""COMPUTED_VALUE"""),"1759040400988")</f>
        <v>1759040400988</v>
      </c>
    </row>
    <row r="5367" spans="1:11" ht="12.45">
      <c r="A5367" s="2" t="str">
        <f ca="1">IFERROR(__xludf.DUMMYFUNCTION("""COMPUTED_VALUE"""),"1759040467355")</f>
        <v>1759040467355</v>
      </c>
      <c r="B5367" s="2"/>
      <c r="C5367" s="2" t="str">
        <v>0</v>
      </c>
      <c r="D5367" s="2"/>
      <c r="F5367" s="2" t="str">
        <v>0</v>
      </c>
      <c r="I5367" s="3" t="str">
        <f ca="1">IFERROR(__xludf.DUMMYFUNCTION("""COMPUTED_VALUE"""),"Bùi Anh Tú")</f>
        <v>Bùi Anh Tú</v>
      </c>
      <c r="J5367" s="3" t="str">
        <f ca="1">IFERROR(__xludf.DUMMYFUNCTION("""COMPUTED_VALUE"""),"0846015127")</f>
        <v>0846015127</v>
      </c>
      <c r="K5367" s="2" t="str">
        <f ca="1">IFERROR(__xludf.DUMMYFUNCTION("""COMPUTED_VALUE"""),"1759040467355")</f>
        <v>1759040467355</v>
      </c>
    </row>
    <row r="5368" spans="1:11" ht="12.45">
      <c r="A5368" s="2" t="str">
        <f ca="1">IFERROR(__xludf.DUMMYFUNCTION("""COMPUTED_VALUE"""),"1759204407787")</f>
        <v>1759204407787</v>
      </c>
      <c r="B5368" s="2"/>
      <c r="C5368" s="2" t="str">
        <v>0</v>
      </c>
      <c r="D5368" s="2"/>
      <c r="F5368" s="2" t="str">
        <v>0</v>
      </c>
      <c r="I5368" s="3" t="str">
        <f ca="1">IFERROR(__xludf.DUMMYFUNCTION("""COMPUTED_VALUE"""),"Văn Đình Tài")</f>
        <v>Văn Đình Tài</v>
      </c>
      <c r="J5368" s="3" t="str">
        <f ca="1">IFERROR(__xludf.DUMMYFUNCTION("""COMPUTED_VALUE"""),"0848882245")</f>
        <v>0848882245</v>
      </c>
      <c r="K5368" s="2" t="str">
        <f ca="1">IFERROR(__xludf.DUMMYFUNCTION("""COMPUTED_VALUE"""),"1759204407787")</f>
        <v>1759204407787</v>
      </c>
    </row>
    <row r="5369" spans="1:11" ht="12.45">
      <c r="A5369" s="2" t="str">
        <f ca="1">IFERROR(__xludf.DUMMYFUNCTION("""COMPUTED_VALUE"""),"1759040552885")</f>
        <v>1759040552885</v>
      </c>
      <c r="B5369" s="2"/>
      <c r="C5369" s="2" t="str">
        <v>0</v>
      </c>
      <c r="D5369" s="2"/>
      <c r="F5369" s="2" t="str">
        <v>0</v>
      </c>
      <c r="I5369" s="3" t="str">
        <f ca="1">IFERROR(__xludf.DUMMYFUNCTION("""COMPUTED_VALUE"""),"Trần Huy Hoàng")</f>
        <v>Trần Huy Hoàng</v>
      </c>
      <c r="J5369" s="3" t="str">
        <f ca="1">IFERROR(__xludf.DUMMYFUNCTION("""COMPUTED_VALUE"""),"0334033583")</f>
        <v>0334033583</v>
      </c>
      <c r="K5369" s="2" t="str">
        <f ca="1">IFERROR(__xludf.DUMMYFUNCTION("""COMPUTED_VALUE"""),"1759040552885")</f>
        <v>1759040552885</v>
      </c>
    </row>
    <row r="5370" spans="1:11" ht="12.45">
      <c r="A5370" s="2" t="str">
        <f ca="1">IFERROR(__xludf.DUMMYFUNCTION("""COMPUTED_VALUE"""),"1759040613112")</f>
        <v>1759040613112</v>
      </c>
      <c r="B5370" s="2"/>
      <c r="C5370" s="2" t="str">
        <v>0</v>
      </c>
      <c r="D5370" s="2"/>
      <c r="F5370" s="2" t="str">
        <v>0</v>
      </c>
      <c r="I5370" s="3" t="str">
        <f ca="1">IFERROR(__xludf.DUMMYFUNCTION("""COMPUTED_VALUE"""),"Hoàng Ngọc Quỳnh Anh")</f>
        <v>Hoàng Ngọc Quỳnh Anh</v>
      </c>
      <c r="J5370" s="3" t="str">
        <f ca="1">IFERROR(__xludf.DUMMYFUNCTION("""COMPUTED_VALUE"""),"0983129826")</f>
        <v>0983129826</v>
      </c>
      <c r="K5370" s="2" t="str">
        <f ca="1">IFERROR(__xludf.DUMMYFUNCTION("""COMPUTED_VALUE"""),"1759040613112")</f>
        <v>1759040613112</v>
      </c>
    </row>
    <row r="5371" spans="1:11" ht="12.45">
      <c r="A5371" s="2" t="str">
        <f ca="1">IFERROR(__xludf.DUMMYFUNCTION("""COMPUTED_VALUE"""),"1759040683468")</f>
        <v>1759040683468</v>
      </c>
      <c r="B5371" s="2"/>
      <c r="C5371" s="2" t="str">
        <v>0</v>
      </c>
      <c r="D5371" s="2"/>
      <c r="F5371" s="2" t="str">
        <v>0</v>
      </c>
      <c r="I5371" s="3" t="str">
        <f ca="1">IFERROR(__xludf.DUMMYFUNCTION("""COMPUTED_VALUE"""),"Trần Nhật Quang")</f>
        <v>Trần Nhật Quang</v>
      </c>
      <c r="J5371" s="3" t="str">
        <f ca="1">IFERROR(__xludf.DUMMYFUNCTION("""COMPUTED_VALUE"""),"0988630270")</f>
        <v>0988630270</v>
      </c>
      <c r="K5371" s="2" t="str">
        <f ca="1">IFERROR(__xludf.DUMMYFUNCTION("""COMPUTED_VALUE"""),"1759040683468")</f>
        <v>1759040683468</v>
      </c>
    </row>
    <row r="5372" spans="1:11" ht="12.45">
      <c r="A5372" s="2" t="str">
        <f ca="1">IFERROR(__xludf.DUMMYFUNCTION("""COMPUTED_VALUE"""),"1735369387772")</f>
        <v>1735369387772</v>
      </c>
      <c r="B5372" s="2"/>
      <c r="C5372" s="2" t="str">
        <v>0</v>
      </c>
      <c r="D5372" s="2"/>
      <c r="F5372" s="2" t="str">
        <v>0</v>
      </c>
      <c r="I5372" s="3" t="str">
        <f ca="1">IFERROR(__xludf.DUMMYFUNCTION("""COMPUTED_VALUE"""),"Nguyễn Thị Linh Chi")</f>
        <v>Nguyễn Thị Linh Chi</v>
      </c>
      <c r="J5372" s="3" t="str">
        <f ca="1">IFERROR(__xludf.DUMMYFUNCTION("""COMPUTED_VALUE"""),"0399903200")</f>
        <v>0399903200</v>
      </c>
      <c r="K5372" s="2" t="str">
        <f ca="1">IFERROR(__xludf.DUMMYFUNCTION("""COMPUTED_VALUE"""),"1735369387772")</f>
        <v>1735369387772</v>
      </c>
    </row>
    <row r="5373" spans="1:11" ht="12.45">
      <c r="A5373" s="2" t="str">
        <f ca="1">IFERROR(__xludf.DUMMYFUNCTION("""COMPUTED_VALUE"""),"1735369442264")</f>
        <v>1735369442264</v>
      </c>
      <c r="B5373" s="2"/>
      <c r="C5373" s="2" t="str">
        <v>0</v>
      </c>
      <c r="D5373" s="2"/>
      <c r="F5373" s="2" t="str">
        <v>0</v>
      </c>
      <c r="I5373" s="3" t="str">
        <f ca="1">IFERROR(__xludf.DUMMYFUNCTION("""COMPUTED_VALUE"""),"Phạm Ngọc Gia Trang")</f>
        <v>Phạm Ngọc Gia Trang</v>
      </c>
      <c r="J5373" s="3" t="str">
        <f ca="1">IFERROR(__xludf.DUMMYFUNCTION("""COMPUTED_VALUE"""),"0367820723")</f>
        <v>0367820723</v>
      </c>
      <c r="K5373" s="2" t="str">
        <f ca="1">IFERROR(__xludf.DUMMYFUNCTION("""COMPUTED_VALUE"""),"1735369442264")</f>
        <v>1735369442264</v>
      </c>
    </row>
    <row r="5374" spans="1:11" ht="12.45">
      <c r="A5374" s="2" t="str">
        <f ca="1">IFERROR(__xludf.DUMMYFUNCTION("""COMPUTED_VALUE"""),"1735369483231")</f>
        <v>1735369483231</v>
      </c>
      <c r="B5374" s="2"/>
      <c r="C5374" s="2" t="str">
        <v>0</v>
      </c>
      <c r="D5374" s="2"/>
      <c r="F5374" s="2" t="str">
        <v>0</v>
      </c>
      <c r="I5374" s="3" t="str">
        <f ca="1">IFERROR(__xludf.DUMMYFUNCTION("""COMPUTED_VALUE"""),"Trần Mỹ Túc")</f>
        <v>Trần Mỹ Túc</v>
      </c>
      <c r="J5374" s="3" t="str">
        <f ca="1">IFERROR(__xludf.DUMMYFUNCTION("""COMPUTED_VALUE"""),"0858387522")</f>
        <v>0858387522</v>
      </c>
      <c r="K5374" s="2" t="str">
        <f ca="1">IFERROR(__xludf.DUMMYFUNCTION("""COMPUTED_VALUE"""),"1735369483231")</f>
        <v>1735369483231</v>
      </c>
    </row>
    <row r="5375" spans="1:11" ht="12.45">
      <c r="A5375" s="2" t="str">
        <f ca="1">IFERROR(__xludf.DUMMYFUNCTION("""COMPUTED_VALUE"""),"1735369514121")</f>
        <v>1735369514121</v>
      </c>
      <c r="B5375" s="2"/>
      <c r="C5375" s="2" t="str">
        <v>0</v>
      </c>
      <c r="D5375" s="2"/>
      <c r="F5375" s="2" t="str">
        <v>0</v>
      </c>
      <c r="I5375" s="3" t="str">
        <f ca="1">IFERROR(__xludf.DUMMYFUNCTION("""COMPUTED_VALUE"""),"Đinh Thị Lan Thanh")</f>
        <v>Đinh Thị Lan Thanh</v>
      </c>
      <c r="J5375" s="3" t="str">
        <f ca="1">IFERROR(__xludf.DUMMYFUNCTION("""COMPUTED_VALUE"""),"0363227430")</f>
        <v>0363227430</v>
      </c>
      <c r="K5375" s="2" t="str">
        <f ca="1">IFERROR(__xludf.DUMMYFUNCTION("""COMPUTED_VALUE"""),"1735369514121")</f>
        <v>1735369514121</v>
      </c>
    </row>
    <row r="5376" spans="1:11" ht="12.45">
      <c r="A5376" s="2" t="str">
        <f ca="1">IFERROR(__xludf.DUMMYFUNCTION("""COMPUTED_VALUE"""),"1735369550760")</f>
        <v>1735369550760</v>
      </c>
      <c r="B5376" s="2"/>
      <c r="C5376" s="2" t="str">
        <v>0</v>
      </c>
      <c r="D5376" s="2"/>
      <c r="F5376" s="2" t="str">
        <v>0</v>
      </c>
      <c r="I5376" s="3" t="str">
        <f ca="1">IFERROR(__xludf.DUMMYFUNCTION("""COMPUTED_VALUE"""),"Đặng Lê Bảo Trâm")</f>
        <v>Đặng Lê Bảo Trâm</v>
      </c>
      <c r="J5376" s="3" t="str">
        <f ca="1">IFERROR(__xludf.DUMMYFUNCTION("""COMPUTED_VALUE"""),"0817217182")</f>
        <v>0817217182</v>
      </c>
      <c r="K5376" s="2" t="str">
        <f ca="1">IFERROR(__xludf.DUMMYFUNCTION("""COMPUTED_VALUE"""),"1735369550760")</f>
        <v>1735369550760</v>
      </c>
    </row>
    <row r="5377" spans="1:11" ht="12.45">
      <c r="A5377" s="2" t="str">
        <f ca="1">IFERROR(__xludf.DUMMYFUNCTION("""COMPUTED_VALUE"""),"1735369582105")</f>
        <v>1735369582105</v>
      </c>
      <c r="B5377" s="2"/>
      <c r="C5377" s="2" t="str">
        <v>0</v>
      </c>
      <c r="D5377" s="2"/>
      <c r="F5377" s="2" t="str">
        <v>0</v>
      </c>
      <c r="I5377" s="3" t="str">
        <f ca="1">IFERROR(__xludf.DUMMYFUNCTION("""COMPUTED_VALUE"""),"Trần Thanh Ngân")</f>
        <v>Trần Thanh Ngân</v>
      </c>
      <c r="J5377" s="3" t="str">
        <f ca="1">IFERROR(__xludf.DUMMYFUNCTION("""COMPUTED_VALUE"""),"0774425433")</f>
        <v>0774425433</v>
      </c>
      <c r="K5377" s="2" t="str">
        <f ca="1">IFERROR(__xludf.DUMMYFUNCTION("""COMPUTED_VALUE"""),"1735369582105")</f>
        <v>1735369582105</v>
      </c>
    </row>
    <row r="5378" spans="1:11" ht="12.45">
      <c r="A5378" s="2" t="str">
        <f ca="1">IFERROR(__xludf.DUMMYFUNCTION("""COMPUTED_VALUE"""),"1735369629254")</f>
        <v>1735369629254</v>
      </c>
      <c r="B5378" s="2"/>
      <c r="C5378" s="2" t="str">
        <v>0</v>
      </c>
      <c r="D5378" s="2"/>
      <c r="F5378" s="2" t="str">
        <v>0</v>
      </c>
      <c r="I5378" s="3" t="str">
        <f ca="1">IFERROR(__xludf.DUMMYFUNCTION("""COMPUTED_VALUE"""),"Vũ Hải Yến ")</f>
        <v xml:space="preserve">Vũ Hải Yến </v>
      </c>
      <c r="J5378" s="3" t="str">
        <f ca="1">IFERROR(__xludf.DUMMYFUNCTION("""COMPUTED_VALUE"""),"0336040106")</f>
        <v>0336040106</v>
      </c>
      <c r="K5378" s="2" t="str">
        <f ca="1">IFERROR(__xludf.DUMMYFUNCTION("""COMPUTED_VALUE"""),"1735369629254")</f>
        <v>1735369629254</v>
      </c>
    </row>
    <row r="5379" spans="1:11" ht="12.45">
      <c r="A5379" s="2" t="str">
        <f ca="1">IFERROR(__xludf.DUMMYFUNCTION("""COMPUTED_VALUE"""),"1759040738603")</f>
        <v>1759040738603</v>
      </c>
      <c r="B5379" s="2"/>
      <c r="C5379" s="2" t="str">
        <v>0</v>
      </c>
      <c r="D5379" s="2"/>
      <c r="F5379" s="2" t="str">
        <v>0</v>
      </c>
      <c r="I5379" s="3" t="str">
        <f ca="1">IFERROR(__xludf.DUMMYFUNCTION("""COMPUTED_VALUE"""),"Hà Tuấn Kiệt")</f>
        <v>Hà Tuấn Kiệt</v>
      </c>
      <c r="J5379" s="3" t="str">
        <f ca="1">IFERROR(__xludf.DUMMYFUNCTION("""COMPUTED_VALUE"""),"0367150245")</f>
        <v>0367150245</v>
      </c>
      <c r="K5379" s="2" t="str">
        <f ca="1">IFERROR(__xludf.DUMMYFUNCTION("""COMPUTED_VALUE"""),"1759040738603")</f>
        <v>1759040738603</v>
      </c>
    </row>
    <row r="5380" spans="1:11" ht="12.45">
      <c r="A5380" s="2" t="str">
        <f ca="1">IFERROR(__xludf.DUMMYFUNCTION("""COMPUTED_VALUE"""),"1735369659621")</f>
        <v>1735369659621</v>
      </c>
      <c r="B5380" s="2"/>
      <c r="C5380" s="2" t="str">
        <v>0</v>
      </c>
      <c r="D5380" s="2"/>
      <c r="F5380" s="2" t="str">
        <v>0</v>
      </c>
      <c r="I5380" s="3" t="str">
        <f ca="1">IFERROR(__xludf.DUMMYFUNCTION("""COMPUTED_VALUE"""),"Nguyễn Thu Hiền")</f>
        <v>Nguyễn Thu Hiền</v>
      </c>
      <c r="J5380" s="3" t="str">
        <f ca="1">IFERROR(__xludf.DUMMYFUNCTION("""COMPUTED_VALUE"""),"0888340109")</f>
        <v>0888340109</v>
      </c>
      <c r="K5380" s="2" t="str">
        <f ca="1">IFERROR(__xludf.DUMMYFUNCTION("""COMPUTED_VALUE"""),"1735369659621")</f>
        <v>1735369659621</v>
      </c>
    </row>
    <row r="5381" spans="1:11" ht="12.45">
      <c r="A5381" s="2" t="str">
        <f ca="1">IFERROR(__xludf.DUMMYFUNCTION("""COMPUTED_VALUE"""),"1735369707168")</f>
        <v>1735369707168</v>
      </c>
      <c r="B5381" s="2"/>
      <c r="C5381" s="2" t="str">
        <v>0</v>
      </c>
      <c r="D5381" s="2"/>
      <c r="F5381" s="2" t="str">
        <v>0</v>
      </c>
      <c r="I5381" s="3" t="str">
        <f ca="1">IFERROR(__xludf.DUMMYFUNCTION("""COMPUTED_VALUE"""),"Nguyễn Ngọc Duy Anh")</f>
        <v>Nguyễn Ngọc Duy Anh</v>
      </c>
      <c r="J5381" s="3" t="str">
        <f ca="1">IFERROR(__xludf.DUMMYFUNCTION("""COMPUTED_VALUE"""),"0399945883")</f>
        <v>0399945883</v>
      </c>
      <c r="K5381" s="2" t="str">
        <f ca="1">IFERROR(__xludf.DUMMYFUNCTION("""COMPUTED_VALUE"""),"1735369707168")</f>
        <v>1735369707168</v>
      </c>
    </row>
    <row r="5382" spans="1:11" ht="12.45">
      <c r="A5382" s="2" t="str">
        <f ca="1">IFERROR(__xludf.DUMMYFUNCTION("""COMPUTED_VALUE"""),"1759040791457")</f>
        <v>1759040791457</v>
      </c>
      <c r="B5382" s="2"/>
      <c r="C5382" s="2" t="str">
        <v>0</v>
      </c>
      <c r="D5382" s="2"/>
      <c r="F5382" s="2" t="str">
        <v>0</v>
      </c>
      <c r="I5382" s="3" t="str">
        <f ca="1">IFERROR(__xludf.DUMMYFUNCTION("""COMPUTED_VALUE"""),"Hoàng Hải Yến")</f>
        <v>Hoàng Hải Yến</v>
      </c>
      <c r="J5382" s="3" t="str">
        <f ca="1">IFERROR(__xludf.DUMMYFUNCTION("""COMPUTED_VALUE"""),"0765851029")</f>
        <v>0765851029</v>
      </c>
      <c r="K5382" s="2" t="str">
        <f ca="1">IFERROR(__xludf.DUMMYFUNCTION("""COMPUTED_VALUE"""),"1759040791457")</f>
        <v>1759040791457</v>
      </c>
    </row>
    <row r="5383" spans="1:11" ht="12.45">
      <c r="A5383" s="2" t="str">
        <f ca="1">IFERROR(__xludf.DUMMYFUNCTION("""COMPUTED_VALUE"""),"1759040840222")</f>
        <v>1759040840222</v>
      </c>
      <c r="B5383" s="2"/>
      <c r="C5383" s="2" t="str">
        <v>0</v>
      </c>
      <c r="D5383" s="2"/>
      <c r="F5383" s="2" t="str">
        <v>0</v>
      </c>
      <c r="I5383" s="3" t="str">
        <f ca="1">IFERROR(__xludf.DUMMYFUNCTION("""COMPUTED_VALUE"""),"Nguyễn Ngọc Minh Anh")</f>
        <v>Nguyễn Ngọc Minh Anh</v>
      </c>
      <c r="J5383" s="3" t="str">
        <f ca="1">IFERROR(__xludf.DUMMYFUNCTION("""COMPUTED_VALUE"""),"0878102974")</f>
        <v>0878102974</v>
      </c>
      <c r="K5383" s="2" t="str">
        <f ca="1">IFERROR(__xludf.DUMMYFUNCTION("""COMPUTED_VALUE"""),"1759040840222")</f>
        <v>1759040840222</v>
      </c>
    </row>
    <row r="5384" spans="1:11" ht="12.45">
      <c r="A5384" s="2" t="str">
        <f ca="1">IFERROR(__xludf.DUMMYFUNCTION("""COMPUTED_VALUE"""),"1759040881352")</f>
        <v>1759040881352</v>
      </c>
      <c r="B5384" s="2"/>
      <c r="C5384" s="2" t="str">
        <v>0</v>
      </c>
      <c r="D5384" s="2"/>
      <c r="F5384" s="2" t="str">
        <v>0</v>
      </c>
      <c r="I5384" s="3" t="str">
        <f ca="1">IFERROR(__xludf.DUMMYFUNCTION("""COMPUTED_VALUE"""),"Nguyễn việt phương")</f>
        <v>Nguyễn việt phương</v>
      </c>
      <c r="J5384" s="3" t="str">
        <f ca="1">IFERROR(__xludf.DUMMYFUNCTION("""COMPUTED_VALUE"""),"8498802379")</f>
        <v>8498802379</v>
      </c>
      <c r="K5384" s="2" t="str">
        <f ca="1">IFERROR(__xludf.DUMMYFUNCTION("""COMPUTED_VALUE"""),"1759040881352")</f>
        <v>1759040881352</v>
      </c>
    </row>
    <row r="5385" spans="1:11" ht="12.45">
      <c r="A5385" s="2" t="str">
        <f ca="1">IFERROR(__xludf.DUMMYFUNCTION("""COMPUTED_VALUE"""),"1759040919637")</f>
        <v>1759040919637</v>
      </c>
      <c r="B5385" s="2"/>
      <c r="C5385" s="2" t="str">
        <v>0</v>
      </c>
      <c r="D5385" s="2"/>
      <c r="F5385" s="2" t="str">
        <v>0</v>
      </c>
      <c r="I5385" s="3" t="str">
        <f ca="1">IFERROR(__xludf.DUMMYFUNCTION("""COMPUTED_VALUE"""),"Nông Hoàng Long")</f>
        <v>Nông Hoàng Long</v>
      </c>
      <c r="J5385" s="3" t="str">
        <f ca="1">IFERROR(__xludf.DUMMYFUNCTION("""COMPUTED_VALUE"""),"0363541872")</f>
        <v>0363541872</v>
      </c>
      <c r="K5385" s="2" t="str">
        <f ca="1">IFERROR(__xludf.DUMMYFUNCTION("""COMPUTED_VALUE"""),"1759040919637")</f>
        <v>1759040919637</v>
      </c>
    </row>
    <row r="5386" spans="1:11" ht="12.45">
      <c r="A5386" s="2" t="str">
        <f ca="1">IFERROR(__xludf.DUMMYFUNCTION("""COMPUTED_VALUE"""),"1759040988015")</f>
        <v>1759040988015</v>
      </c>
      <c r="B5386" s="2"/>
      <c r="C5386" s="2" t="str">
        <v>0</v>
      </c>
      <c r="D5386" s="2"/>
      <c r="F5386" s="2" t="str">
        <v>0</v>
      </c>
      <c r="I5386" s="3" t="str">
        <f ca="1">IFERROR(__xludf.DUMMYFUNCTION("""COMPUTED_VALUE"""),"Nguyễn phương nam")</f>
        <v>Nguyễn phương nam</v>
      </c>
      <c r="J5386" s="3" t="str">
        <f ca="1">IFERROR(__xludf.DUMMYFUNCTION("""COMPUTED_VALUE"""),"0968059297")</f>
        <v>0968059297</v>
      </c>
      <c r="K5386" s="2" t="str">
        <f ca="1">IFERROR(__xludf.DUMMYFUNCTION("""COMPUTED_VALUE"""),"1759040988015")</f>
        <v>1759040988015</v>
      </c>
    </row>
    <row r="5387" spans="1:11" ht="12.45">
      <c r="A5387" s="2" t="str">
        <f ca="1">IFERROR(__xludf.DUMMYFUNCTION("""COMPUTED_VALUE"""),"1735369742462")</f>
        <v>1735369742462</v>
      </c>
      <c r="B5387" s="2"/>
      <c r="C5387" s="2" t="str">
        <v>0</v>
      </c>
      <c r="D5387" s="2"/>
      <c r="F5387" s="2" t="str">
        <v>0</v>
      </c>
      <c r="I5387" s="3" t="str">
        <f ca="1">IFERROR(__xludf.DUMMYFUNCTION("""COMPUTED_VALUE"""),"Nguyễn Thị Phương Thảo ")</f>
        <v xml:space="preserve">Nguyễn Thị Phương Thảo </v>
      </c>
      <c r="J5387" s="3" t="str">
        <f ca="1">IFERROR(__xludf.DUMMYFUNCTION("""COMPUTED_VALUE"""),"0363030120")</f>
        <v>0363030120</v>
      </c>
      <c r="K5387" s="2" t="str">
        <f ca="1">IFERROR(__xludf.DUMMYFUNCTION("""COMPUTED_VALUE"""),"1735369742462")</f>
        <v>1735369742462</v>
      </c>
    </row>
    <row r="5388" spans="1:11" ht="12.45">
      <c r="A5388" s="2" t="str">
        <f ca="1">IFERROR(__xludf.DUMMYFUNCTION("""COMPUTED_VALUE"""),"1735369780733")</f>
        <v>1735369780733</v>
      </c>
      <c r="B5388" s="2"/>
      <c r="C5388" s="2" t="str">
        <v>0</v>
      </c>
      <c r="D5388" s="2"/>
      <c r="F5388" s="2" t="str">
        <v>0</v>
      </c>
      <c r="I5388" s="3" t="str">
        <f ca="1">IFERROR(__xludf.DUMMYFUNCTION("""COMPUTED_VALUE"""),"Ngô Ánh Dương")</f>
        <v>Ngô Ánh Dương</v>
      </c>
      <c r="J5388" s="3" t="str">
        <f ca="1">IFERROR(__xludf.DUMMYFUNCTION("""COMPUTED_VALUE"""),"0379809355")</f>
        <v>0379809355</v>
      </c>
      <c r="K5388" s="2" t="str">
        <f ca="1">IFERROR(__xludf.DUMMYFUNCTION("""COMPUTED_VALUE"""),"1735369780733")</f>
        <v>1735369780733</v>
      </c>
    </row>
    <row r="5389" spans="1:11" ht="12.45">
      <c r="A5389" s="2" t="str">
        <f ca="1">IFERROR(__xludf.DUMMYFUNCTION("""COMPUTED_VALUE"""),"1735369825729")</f>
        <v>1735369825729</v>
      </c>
      <c r="B5389" s="2"/>
      <c r="C5389" s="2" t="str">
        <v>0</v>
      </c>
      <c r="D5389" s="2"/>
      <c r="F5389" s="2" t="str">
        <v>0</v>
      </c>
      <c r="I5389" s="3" t="str">
        <f ca="1">IFERROR(__xludf.DUMMYFUNCTION("""COMPUTED_VALUE"""),"Trần Thế Bình")</f>
        <v>Trần Thế Bình</v>
      </c>
      <c r="J5389" s="3" t="str">
        <f ca="1">IFERROR(__xludf.DUMMYFUNCTION("""COMPUTED_VALUE"""),"0907792889")</f>
        <v>0907792889</v>
      </c>
      <c r="K5389" s="2" t="str">
        <f ca="1">IFERROR(__xludf.DUMMYFUNCTION("""COMPUTED_VALUE"""),"1735369825729")</f>
        <v>1735369825729</v>
      </c>
    </row>
    <row r="5390" spans="1:11" ht="12.45">
      <c r="A5390" s="2" t="str">
        <f ca="1">IFERROR(__xludf.DUMMYFUNCTION("""COMPUTED_VALUE"""),"1735369871306")</f>
        <v>1735369871306</v>
      </c>
      <c r="B5390" s="2"/>
      <c r="C5390" s="2" t="str">
        <v>0</v>
      </c>
      <c r="D5390" s="2"/>
      <c r="F5390" s="2" t="str">
        <v>0</v>
      </c>
      <c r="I5390" s="3" t="str">
        <f ca="1">IFERROR(__xludf.DUMMYFUNCTION("""COMPUTED_VALUE"""),"Trịnh Hồng Quân ")</f>
        <v xml:space="preserve">Trịnh Hồng Quân </v>
      </c>
      <c r="J5390" s="3" t="str">
        <f ca="1">IFERROR(__xludf.DUMMYFUNCTION("""COMPUTED_VALUE"""),"0985894358")</f>
        <v>0985894358</v>
      </c>
      <c r="K5390" s="2" t="str">
        <f ca="1">IFERROR(__xludf.DUMMYFUNCTION("""COMPUTED_VALUE"""),"1735369871306")</f>
        <v>1735369871306</v>
      </c>
    </row>
    <row r="5391" spans="1:11" ht="12.45">
      <c r="A5391" s="2">
        <f ca="1">IFERROR(__xludf.DUMMYFUNCTION("""COMPUTED_VALUE"""),1734634041985)</f>
        <v>1734634041985</v>
      </c>
      <c r="B5391" s="2"/>
      <c r="C5391" s="2" t="str">
        <v>0</v>
      </c>
      <c r="D5391" s="2"/>
      <c r="F5391" s="2" t="str">
        <v>0</v>
      </c>
      <c r="I5391" s="3" t="str">
        <f ca="1">IFERROR(__xludf.DUMMYFUNCTION("""COMPUTED_VALUE"""),"Nguyễn Khánh Linh")</f>
        <v>Nguyễn Khánh Linh</v>
      </c>
      <c r="J5391" s="3" t="str">
        <f ca="1">IFERROR(__xludf.DUMMYFUNCTION("""COMPUTED_VALUE"""),"0357965228")</f>
        <v>0357965228</v>
      </c>
      <c r="K5391" s="2">
        <f ca="1">IFERROR(__xludf.DUMMYFUNCTION("""COMPUTED_VALUE"""),1734634041985)</f>
        <v>1734634041985</v>
      </c>
    </row>
    <row r="5392" spans="1:11" ht="12.45">
      <c r="A5392" s="2" t="str">
        <f ca="1">IFERROR(__xludf.DUMMYFUNCTION("""COMPUTED_VALUE"""),"1735369928141")</f>
        <v>1735369928141</v>
      </c>
      <c r="B5392" s="2"/>
      <c r="C5392" s="2" t="str">
        <v>0</v>
      </c>
      <c r="D5392" s="2"/>
      <c r="F5392" s="2" t="str">
        <v>0</v>
      </c>
      <c r="I5392" s="3" t="str">
        <f ca="1">IFERROR(__xludf.DUMMYFUNCTION("""COMPUTED_VALUE"""),"Nguyễn Văn Huy")</f>
        <v>Nguyễn Văn Huy</v>
      </c>
      <c r="J5392" s="3" t="str">
        <f ca="1">IFERROR(__xludf.DUMMYFUNCTION("""COMPUTED_VALUE"""),"0383760360")</f>
        <v>0383760360</v>
      </c>
      <c r="K5392" s="2" t="str">
        <f ca="1">IFERROR(__xludf.DUMMYFUNCTION("""COMPUTED_VALUE"""),"1735369928141")</f>
        <v>1735369928141</v>
      </c>
    </row>
    <row r="5393" spans="1:11" ht="12.45">
      <c r="A5393" s="2" t="str">
        <f ca="1">IFERROR(__xludf.DUMMYFUNCTION("""COMPUTED_VALUE"""),"1735369962630")</f>
        <v>1735369962630</v>
      </c>
      <c r="B5393" s="2"/>
      <c r="C5393" s="2" t="str">
        <v>0</v>
      </c>
      <c r="D5393" s="2"/>
      <c r="F5393" s="2" t="str">
        <v>0</v>
      </c>
      <c r="I5393" s="3" t="str">
        <f ca="1">IFERROR(__xludf.DUMMYFUNCTION("""COMPUTED_VALUE"""),"Bùi Thị Trâm Anh")</f>
        <v>Bùi Thị Trâm Anh</v>
      </c>
      <c r="J5393" s="3" t="str">
        <f ca="1">IFERROR(__xludf.DUMMYFUNCTION("""COMPUTED_VALUE"""),"0392621683")</f>
        <v>0392621683</v>
      </c>
      <c r="K5393" s="2" t="str">
        <f ca="1">IFERROR(__xludf.DUMMYFUNCTION("""COMPUTED_VALUE"""),"1735369962630")</f>
        <v>1735369962630</v>
      </c>
    </row>
    <row r="5394" spans="1:11" ht="12.45">
      <c r="A5394" s="2" t="str">
        <f ca="1">IFERROR(__xludf.DUMMYFUNCTION("""COMPUTED_VALUE"""),"1735369992258")</f>
        <v>1735369992258</v>
      </c>
      <c r="B5394" s="2"/>
      <c r="C5394" s="2" t="str">
        <v>0</v>
      </c>
      <c r="D5394" s="2"/>
      <c r="F5394" s="2" t="str">
        <v>0</v>
      </c>
      <c r="I5394" s="3" t="str">
        <f ca="1">IFERROR(__xludf.DUMMYFUNCTION("""COMPUTED_VALUE"""),"Lê Thuỳ Linh")</f>
        <v>Lê Thuỳ Linh</v>
      </c>
      <c r="J5394" s="3" t="str">
        <f ca="1">IFERROR(__xludf.DUMMYFUNCTION("""COMPUTED_VALUE"""),"0379192006")</f>
        <v>0379192006</v>
      </c>
      <c r="K5394" s="2" t="str">
        <f ca="1">IFERROR(__xludf.DUMMYFUNCTION("""COMPUTED_VALUE"""),"1735369992258")</f>
        <v>1735369992258</v>
      </c>
    </row>
    <row r="5395" spans="1:11" ht="12.45">
      <c r="A5395" s="2">
        <f ca="1">IFERROR(__xludf.DUMMYFUNCTION("""COMPUTED_VALUE"""),1743238896162)</f>
        <v>1743238896162</v>
      </c>
      <c r="B5395" s="2"/>
      <c r="C5395" s="2" t="str">
        <v>0</v>
      </c>
      <c r="D5395" s="2"/>
      <c r="F5395" s="2" t="str">
        <v>0</v>
      </c>
      <c r="I5395" s="3" t="str">
        <f ca="1">IFERROR(__xludf.DUMMYFUNCTION("""COMPUTED_VALUE"""),"Lê Anh Thi ")</f>
        <v xml:space="preserve">Lê Anh Thi </v>
      </c>
      <c r="J5395" s="3" t="str">
        <f ca="1">IFERROR(__xludf.DUMMYFUNCTION("""COMPUTED_VALUE"""),"0703442513")</f>
        <v>0703442513</v>
      </c>
      <c r="K5395" s="2">
        <f ca="1">IFERROR(__xludf.DUMMYFUNCTION("""COMPUTED_VALUE"""),1743238896162)</f>
        <v>1743238896162</v>
      </c>
    </row>
    <row r="5396" spans="1:11" ht="12.45">
      <c r="A5396" s="2" t="str">
        <f ca="1">IFERROR(__xludf.DUMMYFUNCTION("""COMPUTED_VALUE"""),"1735370023465")</f>
        <v>1735370023465</v>
      </c>
      <c r="B5396" s="2"/>
      <c r="C5396" s="2" t="str">
        <v>0</v>
      </c>
      <c r="D5396" s="2"/>
      <c r="F5396" s="2" t="str">
        <v>0</v>
      </c>
      <c r="I5396" s="3" t="str">
        <f ca="1">IFERROR(__xludf.DUMMYFUNCTION("""COMPUTED_VALUE"""),"Nguyễn thị tố uyên")</f>
        <v>Nguyễn thị tố uyên</v>
      </c>
      <c r="J5396" s="3" t="str">
        <f ca="1">IFERROR(__xludf.DUMMYFUNCTION("""COMPUTED_VALUE"""),"0354680539")</f>
        <v>0354680539</v>
      </c>
      <c r="K5396" s="2" t="str">
        <f ca="1">IFERROR(__xludf.DUMMYFUNCTION("""COMPUTED_VALUE"""),"1735370023465")</f>
        <v>1735370023465</v>
      </c>
    </row>
    <row r="5397" spans="1:11" ht="12.45">
      <c r="A5397" s="2" t="str">
        <f ca="1">IFERROR(__xludf.DUMMYFUNCTION("""COMPUTED_VALUE"""),"1735370077787")</f>
        <v>1735370077787</v>
      </c>
      <c r="B5397" s="2"/>
      <c r="C5397" s="2" t="str">
        <v>0</v>
      </c>
      <c r="D5397" s="2"/>
      <c r="F5397" s="2" t="str">
        <v>0</v>
      </c>
      <c r="I5397" s="3" t="str">
        <f ca="1">IFERROR(__xludf.DUMMYFUNCTION("""COMPUTED_VALUE"""),"Phùng Trang Nhi")</f>
        <v>Phùng Trang Nhi</v>
      </c>
      <c r="J5397" s="3" t="str">
        <f ca="1">IFERROR(__xludf.DUMMYFUNCTION("""COMPUTED_VALUE"""),"0965375169")</f>
        <v>0965375169</v>
      </c>
      <c r="K5397" s="2" t="str">
        <f ca="1">IFERROR(__xludf.DUMMYFUNCTION("""COMPUTED_VALUE"""),"1735370077787")</f>
        <v>1735370077787</v>
      </c>
    </row>
    <row r="5398" spans="1:11" ht="12.45">
      <c r="A5398" s="2" t="str">
        <f ca="1">IFERROR(__xludf.DUMMYFUNCTION("""COMPUTED_VALUE"""),"1735370128847")</f>
        <v>1735370128847</v>
      </c>
      <c r="B5398" s="2"/>
      <c r="C5398" s="2" t="str">
        <v>0</v>
      </c>
      <c r="D5398" s="2"/>
      <c r="F5398" s="2" t="str">
        <v>0</v>
      </c>
      <c r="I5398" s="3" t="str">
        <f ca="1">IFERROR(__xludf.DUMMYFUNCTION("""COMPUTED_VALUE"""),"Phan Thành Tài")</f>
        <v>Phan Thành Tài</v>
      </c>
      <c r="J5398" s="3" t="str">
        <f ca="1">IFERROR(__xludf.DUMMYFUNCTION("""COMPUTED_VALUE"""),"0914257870")</f>
        <v>0914257870</v>
      </c>
      <c r="K5398" s="2" t="str">
        <f ca="1">IFERROR(__xludf.DUMMYFUNCTION("""COMPUTED_VALUE"""),"1735370128847")</f>
        <v>1735370128847</v>
      </c>
    </row>
    <row r="5399" spans="1:11" ht="12.45">
      <c r="A5399" s="2" t="str">
        <f ca="1">IFERROR(__xludf.DUMMYFUNCTION("""COMPUTED_VALUE"""),"1735370176654")</f>
        <v>1735370176654</v>
      </c>
      <c r="B5399" s="2"/>
      <c r="C5399" s="2" t="str">
        <v>0</v>
      </c>
      <c r="D5399" s="2"/>
      <c r="F5399" s="2" t="str">
        <v>0</v>
      </c>
      <c r="I5399" s="3" t="str">
        <f ca="1">IFERROR(__xludf.DUMMYFUNCTION("""COMPUTED_VALUE"""),"Nguyễn Thuỳ Dung")</f>
        <v>Nguyễn Thuỳ Dung</v>
      </c>
      <c r="J5399" s="3" t="str">
        <f ca="1">IFERROR(__xludf.DUMMYFUNCTION("""COMPUTED_VALUE"""),"0357402537")</f>
        <v>0357402537</v>
      </c>
      <c r="K5399" s="2" t="str">
        <f ca="1">IFERROR(__xludf.DUMMYFUNCTION("""COMPUTED_VALUE"""),"1735370176654")</f>
        <v>1735370176654</v>
      </c>
    </row>
    <row r="5400" spans="1:11" ht="12.45">
      <c r="A5400" s="2" t="str">
        <f ca="1">IFERROR(__xludf.DUMMYFUNCTION("""COMPUTED_VALUE"""),"1735370209766")</f>
        <v>1735370209766</v>
      </c>
      <c r="B5400" s="2"/>
      <c r="C5400" s="2" t="str">
        <v>0</v>
      </c>
      <c r="D5400" s="2"/>
      <c r="F5400" s="2" t="str">
        <v>0</v>
      </c>
      <c r="I5400" s="3" t="str">
        <f ca="1">IFERROR(__xludf.DUMMYFUNCTION("""COMPUTED_VALUE"""),"Lê Thuỵ Phương Uyên")</f>
        <v>Lê Thuỵ Phương Uyên</v>
      </c>
      <c r="J5400" s="3" t="str">
        <f ca="1">IFERROR(__xludf.DUMMYFUNCTION("""COMPUTED_VALUE"""),"0931822896")</f>
        <v>0931822896</v>
      </c>
      <c r="K5400" s="2" t="str">
        <f ca="1">IFERROR(__xludf.DUMMYFUNCTION("""COMPUTED_VALUE"""),"1735370209766")</f>
        <v>1735370209766</v>
      </c>
    </row>
    <row r="5401" spans="1:11" ht="12.45">
      <c r="A5401" s="2" t="str">
        <f ca="1">IFERROR(__xludf.DUMMYFUNCTION("""COMPUTED_VALUE"""),"1735370237444")</f>
        <v>1735370237444</v>
      </c>
      <c r="B5401" s="2"/>
      <c r="C5401" s="2" t="str">
        <v>0</v>
      </c>
      <c r="D5401" s="2"/>
      <c r="F5401" s="2" t="str">
        <v>0</v>
      </c>
      <c r="I5401" s="3" t="str">
        <f ca="1">IFERROR(__xludf.DUMMYFUNCTION("""COMPUTED_VALUE"""),"Nguyễn Ngọc Châu Giang ")</f>
        <v xml:space="preserve">Nguyễn Ngọc Châu Giang </v>
      </c>
      <c r="J5401" s="3" t="str">
        <f ca="1">IFERROR(__xludf.DUMMYFUNCTION("""COMPUTED_VALUE"""),"0365172454")</f>
        <v>0365172454</v>
      </c>
      <c r="K5401" s="2" t="str">
        <f ca="1">IFERROR(__xludf.DUMMYFUNCTION("""COMPUTED_VALUE"""),"1735370237444")</f>
        <v>1735370237444</v>
      </c>
    </row>
    <row r="5402" spans="1:11" ht="12.45">
      <c r="A5402" s="2" t="str">
        <f ca="1">IFERROR(__xludf.DUMMYFUNCTION("""COMPUTED_VALUE"""),"1735370285847")</f>
        <v>1735370285847</v>
      </c>
      <c r="B5402" s="2"/>
      <c r="C5402" s="2" t="str">
        <v>0</v>
      </c>
      <c r="D5402" s="2"/>
      <c r="F5402" s="2" t="str">
        <v>0</v>
      </c>
      <c r="I5402" s="3" t="str">
        <f ca="1">IFERROR(__xludf.DUMMYFUNCTION("""COMPUTED_VALUE"""),"Trần Vũ Gia Nghi")</f>
        <v>Trần Vũ Gia Nghi</v>
      </c>
      <c r="J5402" s="3" t="str">
        <f ca="1">IFERROR(__xludf.DUMMYFUNCTION("""COMPUTED_VALUE"""),"0933498801")</f>
        <v>0933498801</v>
      </c>
      <c r="K5402" s="2" t="str">
        <f ca="1">IFERROR(__xludf.DUMMYFUNCTION("""COMPUTED_VALUE"""),"1735370285847")</f>
        <v>1735370285847</v>
      </c>
    </row>
    <row r="5403" spans="1:11" ht="12.45">
      <c r="A5403" s="2" t="str">
        <f ca="1">IFERROR(__xludf.DUMMYFUNCTION("""COMPUTED_VALUE"""),"1735370341377")</f>
        <v>1735370341377</v>
      </c>
      <c r="B5403" s="2"/>
      <c r="C5403" s="2" t="str">
        <v>0</v>
      </c>
      <c r="D5403" s="2"/>
      <c r="F5403" s="2" t="str">
        <v>0</v>
      </c>
      <c r="I5403" s="3" t="str">
        <f ca="1">IFERROR(__xludf.DUMMYFUNCTION("""COMPUTED_VALUE"""),"Phạm Thị Mai")</f>
        <v>Phạm Thị Mai</v>
      </c>
      <c r="J5403" s="3" t="str">
        <f ca="1">IFERROR(__xludf.DUMMYFUNCTION("""COMPUTED_VALUE"""),"0961668052")</f>
        <v>0961668052</v>
      </c>
      <c r="K5403" s="2" t="str">
        <f ca="1">IFERROR(__xludf.DUMMYFUNCTION("""COMPUTED_VALUE"""),"1735370341377")</f>
        <v>1735370341377</v>
      </c>
    </row>
    <row r="5404" spans="1:11" ht="12.45">
      <c r="A5404" s="2" t="str">
        <f ca="1">IFERROR(__xludf.DUMMYFUNCTION("""COMPUTED_VALUE"""),"1735370368814")</f>
        <v>1735370368814</v>
      </c>
      <c r="B5404" s="2"/>
      <c r="C5404" s="2" t="str">
        <v>0</v>
      </c>
      <c r="D5404" s="2"/>
      <c r="F5404" s="2" t="str">
        <v>0</v>
      </c>
      <c r="I5404" s="3" t="str">
        <f ca="1">IFERROR(__xludf.DUMMYFUNCTION("""COMPUTED_VALUE"""),"Bùi Sao Khuê")</f>
        <v>Bùi Sao Khuê</v>
      </c>
      <c r="J5404" s="3" t="str">
        <f ca="1">IFERROR(__xludf.DUMMYFUNCTION("""COMPUTED_VALUE"""),"0935857642")</f>
        <v>0935857642</v>
      </c>
      <c r="K5404" s="2" t="str">
        <f ca="1">IFERROR(__xludf.DUMMYFUNCTION("""COMPUTED_VALUE"""),"1735370368814")</f>
        <v>1735370368814</v>
      </c>
    </row>
    <row r="5405" spans="1:11" ht="12.45">
      <c r="A5405" s="2" t="str">
        <f ca="1">IFERROR(__xludf.DUMMYFUNCTION("""COMPUTED_VALUE"""),"1735370408624")</f>
        <v>1735370408624</v>
      </c>
      <c r="B5405" s="2"/>
      <c r="C5405" s="2" t="str">
        <v>0</v>
      </c>
      <c r="D5405" s="2"/>
      <c r="F5405" s="2" t="str">
        <v>0</v>
      </c>
      <c r="I5405" s="3" t="str">
        <f ca="1">IFERROR(__xludf.DUMMYFUNCTION("""COMPUTED_VALUE"""),"Nguyễn Thị Thanh Ngân")</f>
        <v>Nguyễn Thị Thanh Ngân</v>
      </c>
      <c r="J5405" s="3" t="str">
        <f ca="1">IFERROR(__xludf.DUMMYFUNCTION("""COMPUTED_VALUE"""),"0775439207")</f>
        <v>0775439207</v>
      </c>
      <c r="K5405" s="2" t="str">
        <f ca="1">IFERROR(__xludf.DUMMYFUNCTION("""COMPUTED_VALUE"""),"1735370408624")</f>
        <v>1735370408624</v>
      </c>
    </row>
    <row r="5406" spans="1:11" ht="12.45">
      <c r="A5406" s="2" t="str">
        <f ca="1">IFERROR(__xludf.DUMMYFUNCTION("""COMPUTED_VALUE"""),"1735370450337")</f>
        <v>1735370450337</v>
      </c>
      <c r="B5406" s="2"/>
      <c r="C5406" s="2" t="str">
        <v>0</v>
      </c>
      <c r="D5406" s="2"/>
      <c r="F5406" s="2" t="str">
        <v>0</v>
      </c>
      <c r="I5406" s="3" t="str">
        <f ca="1">IFERROR(__xludf.DUMMYFUNCTION("""COMPUTED_VALUE"""),"Triệu Duy Khánh")</f>
        <v>Triệu Duy Khánh</v>
      </c>
      <c r="J5406" s="3" t="str">
        <f ca="1">IFERROR(__xludf.DUMMYFUNCTION("""COMPUTED_VALUE"""),"0968932835")</f>
        <v>0968932835</v>
      </c>
      <c r="K5406" s="2" t="str">
        <f ca="1">IFERROR(__xludf.DUMMYFUNCTION("""COMPUTED_VALUE"""),"1735370450337")</f>
        <v>1735370450337</v>
      </c>
    </row>
    <row r="5407" spans="1:11" ht="12.45">
      <c r="A5407" s="2" t="str">
        <f ca="1">IFERROR(__xludf.DUMMYFUNCTION("""COMPUTED_VALUE"""),"1735370480337")</f>
        <v>1735370480337</v>
      </c>
      <c r="B5407" s="2"/>
      <c r="C5407" s="2" t="str">
        <v>0</v>
      </c>
      <c r="D5407" s="2"/>
      <c r="F5407" s="2" t="str">
        <v>0</v>
      </c>
      <c r="I5407" s="3" t="str">
        <f ca="1">IFERROR(__xludf.DUMMYFUNCTION("""COMPUTED_VALUE"""),"Chu Thị Thùy Trang")</f>
        <v>Chu Thị Thùy Trang</v>
      </c>
      <c r="J5407" s="3" t="str">
        <f ca="1">IFERROR(__xludf.DUMMYFUNCTION("""COMPUTED_VALUE"""),"0382102209")</f>
        <v>0382102209</v>
      </c>
      <c r="K5407" s="2" t="str">
        <f ca="1">IFERROR(__xludf.DUMMYFUNCTION("""COMPUTED_VALUE"""),"1735370480337")</f>
        <v>1735370480337</v>
      </c>
    </row>
    <row r="5408" spans="1:11" ht="12.45">
      <c r="A5408" s="2" t="str">
        <f ca="1">IFERROR(__xludf.DUMMYFUNCTION("""COMPUTED_VALUE"""),"1735370530090")</f>
        <v>1735370530090</v>
      </c>
      <c r="B5408" s="2"/>
      <c r="C5408" s="2" t="str">
        <v>0</v>
      </c>
      <c r="D5408" s="2"/>
      <c r="F5408" s="2" t="str">
        <v>0</v>
      </c>
      <c r="I5408" s="3" t="str">
        <f ca="1">IFERROR(__xludf.DUMMYFUNCTION("""COMPUTED_VALUE"""),"Vũ Hoàng Việt")</f>
        <v>Vũ Hoàng Việt</v>
      </c>
      <c r="J5408" s="3" t="str">
        <f ca="1">IFERROR(__xludf.DUMMYFUNCTION("""COMPUTED_VALUE"""),"0343506280")</f>
        <v>0343506280</v>
      </c>
      <c r="K5408" s="2" t="str">
        <f ca="1">IFERROR(__xludf.DUMMYFUNCTION("""COMPUTED_VALUE"""),"1735370530090")</f>
        <v>1735370530090</v>
      </c>
    </row>
    <row r="5409" spans="1:11" ht="12.45">
      <c r="A5409" s="2" t="str">
        <f ca="1">IFERROR(__xludf.DUMMYFUNCTION("""COMPUTED_VALUE"""),"1735370567599")</f>
        <v>1735370567599</v>
      </c>
      <c r="B5409" s="2"/>
      <c r="C5409" s="2" t="str">
        <v>0</v>
      </c>
      <c r="D5409" s="2"/>
      <c r="F5409" s="2" t="str">
        <v>0</v>
      </c>
      <c r="I5409" s="3" t="str">
        <f ca="1">IFERROR(__xludf.DUMMYFUNCTION("""COMPUTED_VALUE"""),"Nguyễn Thị Minh Anh")</f>
        <v>Nguyễn Thị Minh Anh</v>
      </c>
      <c r="J5409" s="3" t="str">
        <f ca="1">IFERROR(__xludf.DUMMYFUNCTION("""COMPUTED_VALUE"""),"0976018094")</f>
        <v>0976018094</v>
      </c>
      <c r="K5409" s="2" t="str">
        <f ca="1">IFERROR(__xludf.DUMMYFUNCTION("""COMPUTED_VALUE"""),"1735370567599")</f>
        <v>1735370567599</v>
      </c>
    </row>
    <row r="5410" spans="1:11" ht="12.45">
      <c r="A5410" s="2" t="str">
        <f ca="1">IFERROR(__xludf.DUMMYFUNCTION("""COMPUTED_VALUE"""),"1735370602119")</f>
        <v>1735370602119</v>
      </c>
      <c r="B5410" s="2"/>
      <c r="C5410" s="2" t="str">
        <v>0</v>
      </c>
      <c r="D5410" s="2"/>
      <c r="F5410" s="2" t="str">
        <v>0</v>
      </c>
      <c r="I5410" s="3" t="str">
        <f ca="1">IFERROR(__xludf.DUMMYFUNCTION("""COMPUTED_VALUE"""),"Nguyễn Kiều Lê Na")</f>
        <v>Nguyễn Kiều Lê Na</v>
      </c>
      <c r="J5410" s="3" t="str">
        <f ca="1">IFERROR(__xludf.DUMMYFUNCTION("""COMPUTED_VALUE"""),"0917028213")</f>
        <v>0917028213</v>
      </c>
      <c r="K5410" s="2" t="str">
        <f ca="1">IFERROR(__xludf.DUMMYFUNCTION("""COMPUTED_VALUE"""),"1735370602119")</f>
        <v>1735370602119</v>
      </c>
    </row>
    <row r="5411" spans="1:11" ht="12.45">
      <c r="A5411" s="2" t="str">
        <f ca="1">IFERROR(__xludf.DUMMYFUNCTION("""COMPUTED_VALUE"""),"1735370645538")</f>
        <v>1735370645538</v>
      </c>
      <c r="B5411" s="2"/>
      <c r="C5411" s="2" t="str">
        <v>0</v>
      </c>
      <c r="D5411" s="2"/>
      <c r="F5411" s="2" t="str">
        <v>0</v>
      </c>
      <c r="I5411" s="3" t="str">
        <f ca="1">IFERROR(__xludf.DUMMYFUNCTION("""COMPUTED_VALUE"""),"Lê Thị Lan Anh")</f>
        <v>Lê Thị Lan Anh</v>
      </c>
      <c r="J5411" s="3" t="str">
        <f ca="1">IFERROR(__xludf.DUMMYFUNCTION("""COMPUTED_VALUE"""),"0913741448")</f>
        <v>0913741448</v>
      </c>
      <c r="K5411" s="2" t="str">
        <f ca="1">IFERROR(__xludf.DUMMYFUNCTION("""COMPUTED_VALUE"""),"1735370645538")</f>
        <v>1735370645538</v>
      </c>
    </row>
    <row r="5412" spans="1:11" ht="12.45">
      <c r="A5412" s="2" t="str">
        <f ca="1">IFERROR(__xludf.DUMMYFUNCTION("""COMPUTED_VALUE"""),"1735370713035")</f>
        <v>1735370713035</v>
      </c>
      <c r="B5412" s="2"/>
      <c r="C5412" s="2" t="str">
        <v>0</v>
      </c>
      <c r="D5412" s="2"/>
      <c r="F5412" s="2" t="str">
        <v>0</v>
      </c>
      <c r="I5412" s="3" t="str">
        <f ca="1">IFERROR(__xludf.DUMMYFUNCTION("""COMPUTED_VALUE"""),"Trần Thị Quỳnh Như")</f>
        <v>Trần Thị Quỳnh Như</v>
      </c>
      <c r="J5412" s="3" t="str">
        <f ca="1">IFERROR(__xludf.DUMMYFUNCTION("""COMPUTED_VALUE"""),"0394640344")</f>
        <v>0394640344</v>
      </c>
      <c r="K5412" s="2" t="str">
        <f ca="1">IFERROR(__xludf.DUMMYFUNCTION("""COMPUTED_VALUE"""),"1735370713035")</f>
        <v>1735370713035</v>
      </c>
    </row>
    <row r="5413" spans="1:11" ht="12.45">
      <c r="A5413" s="2" t="str">
        <f ca="1">IFERROR(__xludf.DUMMYFUNCTION("""COMPUTED_VALUE"""),"1735370742456")</f>
        <v>1735370742456</v>
      </c>
      <c r="B5413" s="2"/>
      <c r="C5413" s="2" t="str">
        <v>0</v>
      </c>
      <c r="D5413" s="2"/>
      <c r="F5413" s="2" t="str">
        <v>0</v>
      </c>
      <c r="I5413" s="3" t="str">
        <f ca="1">IFERROR(__xludf.DUMMYFUNCTION("""COMPUTED_VALUE"""),"Lê Anh Thư")</f>
        <v>Lê Anh Thư</v>
      </c>
      <c r="J5413" s="3" t="str">
        <f ca="1">IFERROR(__xludf.DUMMYFUNCTION("""COMPUTED_VALUE"""),"0797869753")</f>
        <v>0797869753</v>
      </c>
      <c r="K5413" s="2" t="str">
        <f ca="1">IFERROR(__xludf.DUMMYFUNCTION("""COMPUTED_VALUE"""),"1735370742456")</f>
        <v>1735370742456</v>
      </c>
    </row>
    <row r="5414" spans="1:11" ht="12.45">
      <c r="A5414" s="2" t="str">
        <f ca="1">IFERROR(__xludf.DUMMYFUNCTION("""COMPUTED_VALUE"""),"1735370776213")</f>
        <v>1735370776213</v>
      </c>
      <c r="B5414" s="2"/>
      <c r="C5414" s="2" t="str">
        <v>0</v>
      </c>
      <c r="D5414" s="2"/>
      <c r="F5414" s="2" t="str">
        <v>0</v>
      </c>
      <c r="I5414" s="3" t="str">
        <f ca="1">IFERROR(__xludf.DUMMYFUNCTION("""COMPUTED_VALUE"""),"Nguyễn Thị Minh Châu")</f>
        <v>Nguyễn Thị Minh Châu</v>
      </c>
      <c r="J5414" s="3" t="str">
        <f ca="1">IFERROR(__xludf.DUMMYFUNCTION("""COMPUTED_VALUE"""),"0366410794")</f>
        <v>0366410794</v>
      </c>
      <c r="K5414" s="2" t="str">
        <f ca="1">IFERROR(__xludf.DUMMYFUNCTION("""COMPUTED_VALUE"""),"1735370776213")</f>
        <v>1735370776213</v>
      </c>
    </row>
    <row r="5415" spans="1:11" ht="12.45">
      <c r="A5415" s="2" t="str">
        <f ca="1">IFERROR(__xludf.DUMMYFUNCTION("""COMPUTED_VALUE"""),"1735370813142")</f>
        <v>1735370813142</v>
      </c>
      <c r="B5415" s="2"/>
      <c r="C5415" s="2" t="str">
        <v>0</v>
      </c>
      <c r="D5415" s="2"/>
      <c r="F5415" s="2" t="str">
        <v>0</v>
      </c>
      <c r="I5415" s="3" t="str">
        <f ca="1">IFERROR(__xludf.DUMMYFUNCTION("""COMPUTED_VALUE"""),"Lê Thu Minh")</f>
        <v>Lê Thu Minh</v>
      </c>
      <c r="J5415" s="3" t="str">
        <f ca="1">IFERROR(__xludf.DUMMYFUNCTION("""COMPUTED_VALUE"""),"0914473642")</f>
        <v>0914473642</v>
      </c>
      <c r="K5415" s="2" t="str">
        <f ca="1">IFERROR(__xludf.DUMMYFUNCTION("""COMPUTED_VALUE"""),"1735370813142")</f>
        <v>1735370813142</v>
      </c>
    </row>
    <row r="5416" spans="1:11" ht="12.45">
      <c r="A5416" s="2" t="str">
        <f ca="1">IFERROR(__xludf.DUMMYFUNCTION("""COMPUTED_VALUE"""),"1735370853963")</f>
        <v>1735370853963</v>
      </c>
      <c r="B5416" s="2"/>
      <c r="C5416" s="2" t="str">
        <v>0</v>
      </c>
      <c r="D5416" s="2"/>
      <c r="F5416" s="2" t="str">
        <v>0</v>
      </c>
      <c r="I5416" s="3" t="str">
        <f ca="1">IFERROR(__xludf.DUMMYFUNCTION("""COMPUTED_VALUE"""),"Phùng Thị Hồng Anh")</f>
        <v>Phùng Thị Hồng Anh</v>
      </c>
      <c r="J5416" s="3" t="str">
        <f ca="1">IFERROR(__xludf.DUMMYFUNCTION("""COMPUTED_VALUE"""),"0822389956")</f>
        <v>0822389956</v>
      </c>
      <c r="K5416" s="2" t="str">
        <f ca="1">IFERROR(__xludf.DUMMYFUNCTION("""COMPUTED_VALUE"""),"1735370853963")</f>
        <v>1735370853963</v>
      </c>
    </row>
    <row r="5417" spans="1:11" ht="12.45">
      <c r="A5417" s="2" t="str">
        <f ca="1">IFERROR(__xludf.DUMMYFUNCTION("""COMPUTED_VALUE"""),"1735370882240")</f>
        <v>1735370882240</v>
      </c>
      <c r="B5417" s="2"/>
      <c r="C5417" s="2" t="str">
        <v>0</v>
      </c>
      <c r="D5417" s="2"/>
      <c r="F5417" s="2" t="str">
        <v>0</v>
      </c>
      <c r="I5417" s="3" t="str">
        <f ca="1">IFERROR(__xludf.DUMMYFUNCTION("""COMPUTED_VALUE"""),"Trần Cẩm Hà ")</f>
        <v xml:space="preserve">Trần Cẩm Hà </v>
      </c>
      <c r="J5417" s="3" t="str">
        <f ca="1">IFERROR(__xludf.DUMMYFUNCTION("""COMPUTED_VALUE"""),"0909186324")</f>
        <v>0909186324</v>
      </c>
      <c r="K5417" s="2" t="str">
        <f ca="1">IFERROR(__xludf.DUMMYFUNCTION("""COMPUTED_VALUE"""),"1735370882240")</f>
        <v>1735370882240</v>
      </c>
    </row>
    <row r="5418" spans="1:11" ht="12.45">
      <c r="A5418" s="2" t="str">
        <f ca="1">IFERROR(__xludf.DUMMYFUNCTION("""COMPUTED_VALUE"""),"1735370906159")</f>
        <v>1735370906159</v>
      </c>
      <c r="B5418" s="2"/>
      <c r="C5418" s="2" t="str">
        <v>0</v>
      </c>
      <c r="D5418" s="2"/>
      <c r="F5418" s="2" t="str">
        <v>0</v>
      </c>
      <c r="I5418" s="3" t="str">
        <f ca="1">IFERROR(__xludf.DUMMYFUNCTION("""COMPUTED_VALUE"""),"Phạm Ngọc Khánh ")</f>
        <v xml:space="preserve">Phạm Ngọc Khánh </v>
      </c>
      <c r="J5418" s="3" t="str">
        <f ca="1">IFERROR(__xludf.DUMMYFUNCTION("""COMPUTED_VALUE"""),"0967908160")</f>
        <v>0967908160</v>
      </c>
      <c r="K5418" s="2" t="str">
        <f ca="1">IFERROR(__xludf.DUMMYFUNCTION("""COMPUTED_VALUE"""),"1735370906159")</f>
        <v>1735370906159</v>
      </c>
    </row>
    <row r="5419" spans="1:11" ht="12.45">
      <c r="A5419" s="2" t="str">
        <f ca="1">IFERROR(__xludf.DUMMYFUNCTION("""COMPUTED_VALUE"""),"1735370929557")</f>
        <v>1735370929557</v>
      </c>
      <c r="B5419" s="2"/>
      <c r="C5419" s="2" t="str">
        <v>0</v>
      </c>
      <c r="D5419" s="2"/>
      <c r="F5419" s="2" t="str">
        <v>0</v>
      </c>
      <c r="I5419" s="3" t="str">
        <f ca="1">IFERROR(__xludf.DUMMYFUNCTION("""COMPUTED_VALUE"""),"Lê Tấn Beo")</f>
        <v>Lê Tấn Beo</v>
      </c>
      <c r="J5419" s="3" t="str">
        <f ca="1">IFERROR(__xludf.DUMMYFUNCTION("""COMPUTED_VALUE"""),"0962086364")</f>
        <v>0962086364</v>
      </c>
      <c r="K5419" s="2" t="str">
        <f ca="1">IFERROR(__xludf.DUMMYFUNCTION("""COMPUTED_VALUE"""),"1735370929557")</f>
        <v>1735370929557</v>
      </c>
    </row>
    <row r="5420" spans="1:11" ht="12.45">
      <c r="A5420" s="2" t="str">
        <f ca="1">IFERROR(__xludf.DUMMYFUNCTION("""COMPUTED_VALUE"""),"1735370951562")</f>
        <v>1735370951562</v>
      </c>
      <c r="B5420" s="2"/>
      <c r="C5420" s="2" t="str">
        <v>0</v>
      </c>
      <c r="D5420" s="2"/>
      <c r="F5420" s="2" t="str">
        <v>0</v>
      </c>
      <c r="I5420" s="3" t="str">
        <f ca="1">IFERROR(__xludf.DUMMYFUNCTION("""COMPUTED_VALUE"""),"Nguyễn Thanh Huyền")</f>
        <v>Nguyễn Thanh Huyền</v>
      </c>
      <c r="J5420" s="3" t="str">
        <f ca="1">IFERROR(__xludf.DUMMYFUNCTION("""COMPUTED_VALUE"""),"0908162006")</f>
        <v>0908162006</v>
      </c>
      <c r="K5420" s="2" t="str">
        <f ca="1">IFERROR(__xludf.DUMMYFUNCTION("""COMPUTED_VALUE"""),"1735370951562")</f>
        <v>1735370951562</v>
      </c>
    </row>
    <row r="5421" spans="1:11" ht="12.45">
      <c r="A5421" s="2" t="str">
        <f ca="1">IFERROR(__xludf.DUMMYFUNCTION("""COMPUTED_VALUE"""),"1735370973281")</f>
        <v>1735370973281</v>
      </c>
      <c r="B5421" s="2"/>
      <c r="C5421" s="2" t="str">
        <v>0</v>
      </c>
      <c r="D5421" s="2"/>
      <c r="F5421" s="2" t="str">
        <v>0</v>
      </c>
      <c r="I5421" s="3" t="str">
        <f ca="1">IFERROR(__xludf.DUMMYFUNCTION("""COMPUTED_VALUE"""),"Nguyễn Hoàng Hải")</f>
        <v>Nguyễn Hoàng Hải</v>
      </c>
      <c r="J5421" s="3" t="str">
        <f ca="1">IFERROR(__xludf.DUMMYFUNCTION("""COMPUTED_VALUE"""),"0862660507")</f>
        <v>0862660507</v>
      </c>
      <c r="K5421" s="2" t="str">
        <f ca="1">IFERROR(__xludf.DUMMYFUNCTION("""COMPUTED_VALUE"""),"1735370973281")</f>
        <v>1735370973281</v>
      </c>
    </row>
    <row r="5422" spans="1:11" ht="12.45">
      <c r="A5422" s="2" t="str">
        <f ca="1">IFERROR(__xludf.DUMMYFUNCTION("""COMPUTED_VALUE"""),"1735371012962")</f>
        <v>1735371012962</v>
      </c>
      <c r="B5422" s="2"/>
      <c r="C5422" s="2" t="str">
        <v>0</v>
      </c>
      <c r="D5422" s="2"/>
      <c r="F5422" s="2" t="str">
        <v>0</v>
      </c>
      <c r="I5422" s="3" t="str">
        <f ca="1">IFERROR(__xludf.DUMMYFUNCTION("""COMPUTED_VALUE"""),"Nguyễn Bảo Ngọc")</f>
        <v>Nguyễn Bảo Ngọc</v>
      </c>
      <c r="J5422" s="3" t="str">
        <f ca="1">IFERROR(__xludf.DUMMYFUNCTION("""COMPUTED_VALUE"""),"0918417670")</f>
        <v>0918417670</v>
      </c>
      <c r="K5422" s="2" t="str">
        <f ca="1">IFERROR(__xludf.DUMMYFUNCTION("""COMPUTED_VALUE"""),"1735371012962")</f>
        <v>1735371012962</v>
      </c>
    </row>
    <row r="5423" spans="1:11" ht="12.45">
      <c r="A5423" s="2" t="str">
        <f ca="1">IFERROR(__xludf.DUMMYFUNCTION("""COMPUTED_VALUE"""),"1735371051826")</f>
        <v>1735371051826</v>
      </c>
      <c r="B5423" s="2"/>
      <c r="C5423" s="2" t="str">
        <v>0</v>
      </c>
      <c r="D5423" s="2"/>
      <c r="F5423" s="2" t="str">
        <v>0</v>
      </c>
      <c r="I5423" s="3" t="str">
        <f ca="1">IFERROR(__xludf.DUMMYFUNCTION("""COMPUTED_VALUE"""),"Nguyễn Thị Phương Thảo")</f>
        <v>Nguyễn Thị Phương Thảo</v>
      </c>
      <c r="J5423" s="3" t="str">
        <f ca="1">IFERROR(__xludf.DUMMYFUNCTION("""COMPUTED_VALUE"""),"0799036199")</f>
        <v>0799036199</v>
      </c>
      <c r="K5423" s="2" t="str">
        <f ca="1">IFERROR(__xludf.DUMMYFUNCTION("""COMPUTED_VALUE"""),"1735371051826")</f>
        <v>1735371051826</v>
      </c>
    </row>
    <row r="5424" spans="1:11" ht="12.45">
      <c r="A5424" s="2" t="str">
        <f ca="1">IFERROR(__xludf.DUMMYFUNCTION("""COMPUTED_VALUE"""),"1735371083565")</f>
        <v>1735371083565</v>
      </c>
      <c r="B5424" s="2"/>
      <c r="C5424" s="2" t="str">
        <v>0</v>
      </c>
      <c r="D5424" s="2"/>
      <c r="F5424" s="2" t="str">
        <v>0</v>
      </c>
      <c r="I5424" s="3" t="str">
        <f ca="1">IFERROR(__xludf.DUMMYFUNCTION("""COMPUTED_VALUE"""),"Nghiêm Thị Tú Linh")</f>
        <v>Nghiêm Thị Tú Linh</v>
      </c>
      <c r="J5424" s="3" t="str">
        <f ca="1">IFERROR(__xludf.DUMMYFUNCTION("""COMPUTED_VALUE"""),"0829446047")</f>
        <v>0829446047</v>
      </c>
      <c r="K5424" s="2" t="str">
        <f ca="1">IFERROR(__xludf.DUMMYFUNCTION("""COMPUTED_VALUE"""),"1735371083565")</f>
        <v>1735371083565</v>
      </c>
    </row>
    <row r="5425" spans="1:11" ht="12.45">
      <c r="A5425" s="2" t="str">
        <f ca="1">IFERROR(__xludf.DUMMYFUNCTION("""COMPUTED_VALUE"""),"1735371109377")</f>
        <v>1735371109377</v>
      </c>
      <c r="B5425" s="2"/>
      <c r="C5425" s="2" t="str">
        <v>0</v>
      </c>
      <c r="D5425" s="2"/>
      <c r="F5425" s="2" t="str">
        <v>0</v>
      </c>
      <c r="I5425" s="3" t="str">
        <f ca="1">IFERROR(__xludf.DUMMYFUNCTION("""COMPUTED_VALUE"""),"Nguyễn Thị Hiền Linh ")</f>
        <v xml:space="preserve">Nguyễn Thị Hiền Linh </v>
      </c>
      <c r="J5425" s="3" t="str">
        <f ca="1">IFERROR(__xludf.DUMMYFUNCTION("""COMPUTED_VALUE"""),"0983650298")</f>
        <v>0983650298</v>
      </c>
      <c r="K5425" s="2" t="str">
        <f ca="1">IFERROR(__xludf.DUMMYFUNCTION("""COMPUTED_VALUE"""),"1735371109377")</f>
        <v>1735371109377</v>
      </c>
    </row>
    <row r="5426" spans="1:11" ht="12.45">
      <c r="A5426" s="2" t="str">
        <f ca="1">IFERROR(__xludf.DUMMYFUNCTION("""COMPUTED_VALUE"""),"1735371141857")</f>
        <v>1735371141857</v>
      </c>
      <c r="B5426" s="2"/>
      <c r="C5426" s="2" t="str">
        <v>0</v>
      </c>
      <c r="D5426" s="2"/>
      <c r="F5426" s="2" t="str">
        <v>0</v>
      </c>
      <c r="I5426" s="3" t="str">
        <f ca="1">IFERROR(__xludf.DUMMYFUNCTION("""COMPUTED_VALUE"""),"Lê Dương Ngọc Ánh")</f>
        <v>Lê Dương Ngọc Ánh</v>
      </c>
      <c r="J5426" s="3" t="str">
        <f ca="1">IFERROR(__xludf.DUMMYFUNCTION("""COMPUTED_VALUE"""),"0962845112")</f>
        <v>0962845112</v>
      </c>
      <c r="K5426" s="2" t="str">
        <f ca="1">IFERROR(__xludf.DUMMYFUNCTION("""COMPUTED_VALUE"""),"1735371141857")</f>
        <v>1735371141857</v>
      </c>
    </row>
    <row r="5427" spans="1:11" ht="12.45">
      <c r="A5427" s="2" t="str">
        <f ca="1">IFERROR(__xludf.DUMMYFUNCTION("""COMPUTED_VALUE"""),"1735371178980")</f>
        <v>1735371178980</v>
      </c>
      <c r="B5427" s="2"/>
      <c r="C5427" s="2" t="str">
        <v>0</v>
      </c>
      <c r="D5427" s="2"/>
      <c r="F5427" s="2" t="str">
        <v>0</v>
      </c>
      <c r="I5427" s="3" t="str">
        <f ca="1">IFERROR(__xludf.DUMMYFUNCTION("""COMPUTED_VALUE"""),"Đỗ Văn Lương")</f>
        <v>Đỗ Văn Lương</v>
      </c>
      <c r="J5427" s="3" t="str">
        <f ca="1">IFERROR(__xludf.DUMMYFUNCTION("""COMPUTED_VALUE"""),"0973061460")</f>
        <v>0973061460</v>
      </c>
      <c r="K5427" s="2" t="str">
        <f ca="1">IFERROR(__xludf.DUMMYFUNCTION("""COMPUTED_VALUE"""),"1735371178980")</f>
        <v>1735371178980</v>
      </c>
    </row>
    <row r="5428" spans="1:11" ht="12.45">
      <c r="A5428" s="2" t="str">
        <f ca="1">IFERROR(__xludf.DUMMYFUNCTION("""COMPUTED_VALUE"""),"1735371214978")</f>
        <v>1735371214978</v>
      </c>
      <c r="B5428" s="2"/>
      <c r="C5428" s="2" t="str">
        <v>0</v>
      </c>
      <c r="D5428" s="2"/>
      <c r="F5428" s="2" t="str">
        <v>0</v>
      </c>
      <c r="I5428" s="3" t="str">
        <f ca="1">IFERROR(__xludf.DUMMYFUNCTION("""COMPUTED_VALUE"""),"Võ thị thu")</f>
        <v>Võ thị thu</v>
      </c>
      <c r="J5428" s="3" t="str">
        <f ca="1">IFERROR(__xludf.DUMMYFUNCTION("""COMPUTED_VALUE"""),"0984066993")</f>
        <v>0984066993</v>
      </c>
      <c r="K5428" s="2" t="str">
        <f ca="1">IFERROR(__xludf.DUMMYFUNCTION("""COMPUTED_VALUE"""),"1735371214978")</f>
        <v>1735371214978</v>
      </c>
    </row>
    <row r="5429" spans="1:11" ht="12.45">
      <c r="A5429" s="2" t="str">
        <f ca="1">IFERROR(__xludf.DUMMYFUNCTION("""COMPUTED_VALUE"""),"1735371242688")</f>
        <v>1735371242688</v>
      </c>
      <c r="B5429" s="2"/>
      <c r="C5429" s="2" t="str">
        <v>0</v>
      </c>
      <c r="D5429" s="2"/>
      <c r="F5429" s="2" t="str">
        <v>0</v>
      </c>
      <c r="I5429" s="3" t="str">
        <f ca="1">IFERROR(__xludf.DUMMYFUNCTION("""COMPUTED_VALUE"""),"Trần Nguyễn Minh Trang")</f>
        <v>Trần Nguyễn Minh Trang</v>
      </c>
      <c r="J5429" s="3" t="str">
        <f ca="1">IFERROR(__xludf.DUMMYFUNCTION("""COMPUTED_VALUE"""),"0849150107")</f>
        <v>0849150107</v>
      </c>
      <c r="K5429" s="2" t="str">
        <f ca="1">IFERROR(__xludf.DUMMYFUNCTION("""COMPUTED_VALUE"""),"1735371242688")</f>
        <v>1735371242688</v>
      </c>
    </row>
    <row r="5430" spans="1:11" ht="12.45">
      <c r="A5430" s="2" t="str">
        <f ca="1">IFERROR(__xludf.DUMMYFUNCTION("""COMPUTED_VALUE"""),"1735371281445")</f>
        <v>1735371281445</v>
      </c>
      <c r="B5430" s="2"/>
      <c r="C5430" s="2" t="str">
        <v>0</v>
      </c>
      <c r="D5430" s="2"/>
      <c r="F5430" s="2" t="str">
        <v>0</v>
      </c>
      <c r="I5430" s="3" t="str">
        <f ca="1">IFERROR(__xludf.DUMMYFUNCTION("""COMPUTED_VALUE"""),"Phan Thị Hương Giang")</f>
        <v>Phan Thị Hương Giang</v>
      </c>
      <c r="J5430" s="3" t="str">
        <f ca="1">IFERROR(__xludf.DUMMYFUNCTION("""COMPUTED_VALUE"""),"0833916272")</f>
        <v>0833916272</v>
      </c>
      <c r="K5430" s="2" t="str">
        <f ca="1">IFERROR(__xludf.DUMMYFUNCTION("""COMPUTED_VALUE"""),"1735371281445")</f>
        <v>1735371281445</v>
      </c>
    </row>
    <row r="5431" spans="1:11" ht="12.45">
      <c r="A5431" s="2" t="str">
        <f ca="1">IFERROR(__xludf.DUMMYFUNCTION("""COMPUTED_VALUE"""),"1735371311404")</f>
        <v>1735371311404</v>
      </c>
      <c r="B5431" s="2"/>
      <c r="C5431" s="2" t="str">
        <v>0</v>
      </c>
      <c r="D5431" s="2"/>
      <c r="F5431" s="2" t="str">
        <v>0</v>
      </c>
      <c r="I5431" s="3" t="str">
        <f ca="1">IFERROR(__xludf.DUMMYFUNCTION("""COMPUTED_VALUE"""),"Phạm Thị Quỳnh Như")</f>
        <v>Phạm Thị Quỳnh Như</v>
      </c>
      <c r="J5431" s="3" t="str">
        <f ca="1">IFERROR(__xludf.DUMMYFUNCTION("""COMPUTED_VALUE"""),"0943001820")</f>
        <v>0943001820</v>
      </c>
      <c r="K5431" s="2" t="str">
        <f ca="1">IFERROR(__xludf.DUMMYFUNCTION("""COMPUTED_VALUE"""),"1735371311404")</f>
        <v>1735371311404</v>
      </c>
    </row>
    <row r="5432" spans="1:11" ht="12.45">
      <c r="A5432" s="2" t="str">
        <f ca="1">IFERROR(__xludf.DUMMYFUNCTION("""COMPUTED_VALUE"""),"1735371354553")</f>
        <v>1735371354553</v>
      </c>
      <c r="B5432" s="2"/>
      <c r="C5432" s="2" t="str">
        <v>0</v>
      </c>
      <c r="D5432" s="2"/>
      <c r="F5432" s="2" t="str">
        <v>0</v>
      </c>
      <c r="I5432" s="3" t="str">
        <f ca="1">IFERROR(__xludf.DUMMYFUNCTION("""COMPUTED_VALUE"""),"Trần Lan Anh")</f>
        <v>Trần Lan Anh</v>
      </c>
      <c r="J5432" s="3" t="str">
        <f ca="1">IFERROR(__xludf.DUMMYFUNCTION("""COMPUTED_VALUE"""),"0349017222")</f>
        <v>0349017222</v>
      </c>
      <c r="K5432" s="2" t="str">
        <f ca="1">IFERROR(__xludf.DUMMYFUNCTION("""COMPUTED_VALUE"""),"1735371354553")</f>
        <v>1735371354553</v>
      </c>
    </row>
    <row r="5433" spans="1:11" ht="12.45">
      <c r="A5433" s="2" t="str">
        <f ca="1">IFERROR(__xludf.DUMMYFUNCTION("""COMPUTED_VALUE"""),"1735371393876")</f>
        <v>1735371393876</v>
      </c>
      <c r="B5433" s="2"/>
      <c r="C5433" s="2" t="str">
        <v>0</v>
      </c>
      <c r="D5433" s="2"/>
      <c r="F5433" s="2" t="str">
        <v>0</v>
      </c>
      <c r="I5433" s="3" t="str">
        <f ca="1">IFERROR(__xludf.DUMMYFUNCTION("""COMPUTED_VALUE"""),"Nguyễn Bùi Thùy Linh")</f>
        <v>Nguyễn Bùi Thùy Linh</v>
      </c>
      <c r="J5433" s="3" t="str">
        <f ca="1">IFERROR(__xludf.DUMMYFUNCTION("""COMPUTED_VALUE"""),"0815835162")</f>
        <v>0815835162</v>
      </c>
      <c r="K5433" s="2" t="str">
        <f ca="1">IFERROR(__xludf.DUMMYFUNCTION("""COMPUTED_VALUE"""),"1735371393876")</f>
        <v>1735371393876</v>
      </c>
    </row>
    <row r="5434" spans="1:11" ht="12.45">
      <c r="A5434" s="2" t="str">
        <f ca="1">IFERROR(__xludf.DUMMYFUNCTION("""COMPUTED_VALUE"""),"1735371433173")</f>
        <v>1735371433173</v>
      </c>
      <c r="B5434" s="2"/>
      <c r="C5434" s="2" t="str">
        <v>0</v>
      </c>
      <c r="D5434" s="2"/>
      <c r="F5434" s="2" t="str">
        <v>0</v>
      </c>
      <c r="I5434" s="3" t="str">
        <f ca="1">IFERROR(__xludf.DUMMYFUNCTION("""COMPUTED_VALUE"""),"Nguyễn Bảo Yến")</f>
        <v>Nguyễn Bảo Yến</v>
      </c>
      <c r="J5434" s="3" t="str">
        <f ca="1">IFERROR(__xludf.DUMMYFUNCTION("""COMPUTED_VALUE"""),"0376864465")</f>
        <v>0376864465</v>
      </c>
      <c r="K5434" s="2" t="str">
        <f ca="1">IFERROR(__xludf.DUMMYFUNCTION("""COMPUTED_VALUE"""),"1735371433173")</f>
        <v>1735371433173</v>
      </c>
    </row>
    <row r="5435" spans="1:11" ht="12.45">
      <c r="A5435" s="2" t="str">
        <f ca="1">IFERROR(__xludf.DUMMYFUNCTION("""COMPUTED_VALUE"""),"1735371463544")</f>
        <v>1735371463544</v>
      </c>
      <c r="B5435" s="2"/>
      <c r="C5435" s="2" t="str">
        <v>0</v>
      </c>
      <c r="D5435" s="2"/>
      <c r="F5435" s="2" t="str">
        <v>0</v>
      </c>
      <c r="I5435" s="3" t="str">
        <f ca="1">IFERROR(__xludf.DUMMYFUNCTION("""COMPUTED_VALUE"""),"Thân Thu Thủy ")</f>
        <v xml:space="preserve">Thân Thu Thủy </v>
      </c>
      <c r="J5435" s="3" t="str">
        <f ca="1">IFERROR(__xludf.DUMMYFUNCTION("""COMPUTED_VALUE"""),"0337265457")</f>
        <v>0337265457</v>
      </c>
      <c r="K5435" s="2" t="str">
        <f ca="1">IFERROR(__xludf.DUMMYFUNCTION("""COMPUTED_VALUE"""),"1735371463544")</f>
        <v>1735371463544</v>
      </c>
    </row>
    <row r="5436" spans="1:11" ht="12.45">
      <c r="A5436" s="2" t="str">
        <f ca="1">IFERROR(__xludf.DUMMYFUNCTION("""COMPUTED_VALUE"""),"1735371492603")</f>
        <v>1735371492603</v>
      </c>
      <c r="B5436" s="2"/>
      <c r="C5436" s="2" t="str">
        <v>0</v>
      </c>
      <c r="D5436" s="2"/>
      <c r="F5436" s="2" t="str">
        <v>0</v>
      </c>
      <c r="I5436" s="3" t="str">
        <f ca="1">IFERROR(__xludf.DUMMYFUNCTION("""COMPUTED_VALUE"""),"Hà Hoàng Cường")</f>
        <v>Hà Hoàng Cường</v>
      </c>
      <c r="J5436" s="3" t="str">
        <f ca="1">IFERROR(__xludf.DUMMYFUNCTION("""COMPUTED_VALUE"""),"0868571459")</f>
        <v>0868571459</v>
      </c>
      <c r="K5436" s="2" t="str">
        <f ca="1">IFERROR(__xludf.DUMMYFUNCTION("""COMPUTED_VALUE"""),"1735371492603")</f>
        <v>1735371492603</v>
      </c>
    </row>
    <row r="5437" spans="1:11" ht="12.45">
      <c r="A5437" s="2" t="str">
        <f ca="1">IFERROR(__xludf.DUMMYFUNCTION("""COMPUTED_VALUE"""),"1735371523632")</f>
        <v>1735371523632</v>
      </c>
      <c r="B5437" s="2"/>
      <c r="C5437" s="2" t="str">
        <v>0</v>
      </c>
      <c r="D5437" s="2"/>
      <c r="F5437" s="2" t="str">
        <v>0</v>
      </c>
      <c r="I5437" s="3" t="str">
        <f ca="1">IFERROR(__xludf.DUMMYFUNCTION("""COMPUTED_VALUE"""),"Cao Đinh Hiển")</f>
        <v>Cao Đinh Hiển</v>
      </c>
      <c r="J5437" s="3" t="str">
        <f ca="1">IFERROR(__xludf.DUMMYFUNCTION("""COMPUTED_VALUE"""),"0824294559")</f>
        <v>0824294559</v>
      </c>
      <c r="K5437" s="2" t="str">
        <f ca="1">IFERROR(__xludf.DUMMYFUNCTION("""COMPUTED_VALUE"""),"1735371523632")</f>
        <v>1735371523632</v>
      </c>
    </row>
    <row r="5438" spans="1:11" ht="12.45">
      <c r="A5438" s="2" t="str">
        <f ca="1">IFERROR(__xludf.DUMMYFUNCTION("""COMPUTED_VALUE"""),"1735371584671")</f>
        <v>1735371584671</v>
      </c>
      <c r="B5438" s="2"/>
      <c r="C5438" s="2" t="str">
        <v>0</v>
      </c>
      <c r="D5438" s="2"/>
      <c r="F5438" s="2" t="str">
        <v>0</v>
      </c>
      <c r="I5438" s="3" t="str">
        <f ca="1">IFERROR(__xludf.DUMMYFUNCTION("""COMPUTED_VALUE"""),"Lý Tùng Quang")</f>
        <v>Lý Tùng Quang</v>
      </c>
      <c r="J5438" s="3" t="str">
        <f ca="1">IFERROR(__xludf.DUMMYFUNCTION("""COMPUTED_VALUE"""),"0865711871")</f>
        <v>0865711871</v>
      </c>
      <c r="K5438" s="2" t="str">
        <f ca="1">IFERROR(__xludf.DUMMYFUNCTION("""COMPUTED_VALUE"""),"1735371584671")</f>
        <v>1735371584671</v>
      </c>
    </row>
    <row r="5439" spans="1:11" ht="12.45">
      <c r="A5439" s="2" t="str">
        <f ca="1">IFERROR(__xludf.DUMMYFUNCTION("""COMPUTED_VALUE"""),"1735371633320")</f>
        <v>1735371633320</v>
      </c>
      <c r="B5439" s="2"/>
      <c r="C5439" s="2" t="str">
        <v>0</v>
      </c>
      <c r="D5439" s="2"/>
      <c r="F5439" s="2" t="str">
        <v>0</v>
      </c>
      <c r="I5439" s="3" t="str">
        <f ca="1">IFERROR(__xludf.DUMMYFUNCTION("""COMPUTED_VALUE"""),"Nguyễn Hoàng Quốc Kiệt ")</f>
        <v xml:space="preserve">Nguyễn Hoàng Quốc Kiệt </v>
      </c>
      <c r="J5439" s="3" t="str">
        <f ca="1">IFERROR(__xludf.DUMMYFUNCTION("""COMPUTED_VALUE"""),"0939804389")</f>
        <v>0939804389</v>
      </c>
      <c r="K5439" s="2" t="str">
        <f ca="1">IFERROR(__xludf.DUMMYFUNCTION("""COMPUTED_VALUE"""),"1735371633320")</f>
        <v>1735371633320</v>
      </c>
    </row>
    <row r="5440" spans="1:11" ht="12.45">
      <c r="A5440" s="2" t="str">
        <f ca="1">IFERROR(__xludf.DUMMYFUNCTION("""COMPUTED_VALUE"""),"1735371664050")</f>
        <v>1735371664050</v>
      </c>
      <c r="B5440" s="2"/>
      <c r="C5440" s="2" t="str">
        <v>0</v>
      </c>
      <c r="D5440" s="2"/>
      <c r="F5440" s="2" t="str">
        <v>0</v>
      </c>
      <c r="I5440" s="3" t="str">
        <f ca="1">IFERROR(__xludf.DUMMYFUNCTION("""COMPUTED_VALUE"""),"Nguyễn Thị Thu Thảo")</f>
        <v>Nguyễn Thị Thu Thảo</v>
      </c>
      <c r="J5440" s="3" t="str">
        <f ca="1">IFERROR(__xludf.DUMMYFUNCTION("""COMPUTED_VALUE"""),"0379017004")</f>
        <v>0379017004</v>
      </c>
      <c r="K5440" s="2" t="str">
        <f ca="1">IFERROR(__xludf.DUMMYFUNCTION("""COMPUTED_VALUE"""),"1735371664050")</f>
        <v>1735371664050</v>
      </c>
    </row>
    <row r="5441" spans="1:11" ht="12.45">
      <c r="A5441" s="2" t="str">
        <f ca="1">IFERROR(__xludf.DUMMYFUNCTION("""COMPUTED_VALUE"""),"1735371703222")</f>
        <v>1735371703222</v>
      </c>
      <c r="B5441" s="2"/>
      <c r="C5441" s="2" t="str">
        <v>0</v>
      </c>
      <c r="D5441" s="2"/>
      <c r="F5441" s="2" t="str">
        <v>0</v>
      </c>
      <c r="I5441" s="3" t="str">
        <f ca="1">IFERROR(__xludf.DUMMYFUNCTION("""COMPUTED_VALUE"""),"Lê Phương Thảo")</f>
        <v>Lê Phương Thảo</v>
      </c>
      <c r="J5441" s="3" t="str">
        <f ca="1">IFERROR(__xludf.DUMMYFUNCTION("""COMPUTED_VALUE"""),"0359666596")</f>
        <v>0359666596</v>
      </c>
      <c r="K5441" s="2" t="str">
        <f ca="1">IFERROR(__xludf.DUMMYFUNCTION("""COMPUTED_VALUE"""),"1735371703222")</f>
        <v>1735371703222</v>
      </c>
    </row>
    <row r="5442" spans="1:11" ht="12.45">
      <c r="A5442" s="2" t="str">
        <f ca="1">IFERROR(__xludf.DUMMYFUNCTION("""COMPUTED_VALUE"""),"1735371734060")</f>
        <v>1735371734060</v>
      </c>
      <c r="B5442" s="2"/>
      <c r="C5442" s="2" t="str">
        <v>0</v>
      </c>
      <c r="D5442" s="2"/>
      <c r="F5442" s="2" t="str">
        <v>0</v>
      </c>
      <c r="I5442" s="3" t="str">
        <f ca="1">IFERROR(__xludf.DUMMYFUNCTION("""COMPUTED_VALUE"""),"Nguyễn Khánh Ly")</f>
        <v>Nguyễn Khánh Ly</v>
      </c>
      <c r="J5442" s="3" t="str">
        <f ca="1">IFERROR(__xludf.DUMMYFUNCTION("""COMPUTED_VALUE"""),"0367223608")</f>
        <v>0367223608</v>
      </c>
      <c r="K5442" s="2" t="str">
        <f ca="1">IFERROR(__xludf.DUMMYFUNCTION("""COMPUTED_VALUE"""),"1735371734060")</f>
        <v>1735371734060</v>
      </c>
    </row>
    <row r="5443" spans="1:11" ht="12.45">
      <c r="A5443" s="2" t="str">
        <f ca="1">IFERROR(__xludf.DUMMYFUNCTION("""COMPUTED_VALUE"""),"1735371772128")</f>
        <v>1735371772128</v>
      </c>
      <c r="B5443" s="2"/>
      <c r="C5443" s="2" t="str">
        <v>0</v>
      </c>
      <c r="D5443" s="2"/>
      <c r="F5443" s="2" t="str">
        <v>0</v>
      </c>
      <c r="I5443" s="3" t="str">
        <f ca="1">IFERROR(__xludf.DUMMYFUNCTION("""COMPUTED_VALUE"""),"Thân Thị Bích Ngọc")</f>
        <v>Thân Thị Bích Ngọc</v>
      </c>
      <c r="J5443" s="3" t="str">
        <f ca="1">IFERROR(__xludf.DUMMYFUNCTION("""COMPUTED_VALUE"""),"0961847536")</f>
        <v>0961847536</v>
      </c>
      <c r="K5443" s="2" t="str">
        <f ca="1">IFERROR(__xludf.DUMMYFUNCTION("""COMPUTED_VALUE"""),"1735371772128")</f>
        <v>1735371772128</v>
      </c>
    </row>
    <row r="5444" spans="1:11" ht="12.45">
      <c r="A5444" s="2" t="str">
        <f ca="1">IFERROR(__xludf.DUMMYFUNCTION("""COMPUTED_VALUE"""),"1735371823142")</f>
        <v>1735371823142</v>
      </c>
      <c r="B5444" s="2"/>
      <c r="C5444" s="2" t="str">
        <v>0</v>
      </c>
      <c r="D5444" s="2"/>
      <c r="F5444" s="2" t="str">
        <v>0</v>
      </c>
      <c r="I5444" s="3" t="str">
        <f ca="1">IFERROR(__xludf.DUMMYFUNCTION("""COMPUTED_VALUE"""),"Dương Thị Hải Yến")</f>
        <v>Dương Thị Hải Yến</v>
      </c>
      <c r="J5444" s="3" t="str">
        <f ca="1">IFERROR(__xludf.DUMMYFUNCTION("""COMPUTED_VALUE"""),"0337655737")</f>
        <v>0337655737</v>
      </c>
      <c r="K5444" s="2" t="str">
        <f ca="1">IFERROR(__xludf.DUMMYFUNCTION("""COMPUTED_VALUE"""),"1735371823142")</f>
        <v>1735371823142</v>
      </c>
    </row>
    <row r="5445" spans="1:11" ht="12.45">
      <c r="A5445" s="2" t="str">
        <f ca="1">IFERROR(__xludf.DUMMYFUNCTION("""COMPUTED_VALUE"""),"1735371861858")</f>
        <v>1735371861858</v>
      </c>
      <c r="B5445" s="2"/>
      <c r="C5445" s="2" t="str">
        <v>0</v>
      </c>
      <c r="D5445" s="2"/>
      <c r="F5445" s="2" t="str">
        <v>0</v>
      </c>
      <c r="I5445" s="3" t="str">
        <f ca="1">IFERROR(__xludf.DUMMYFUNCTION("""COMPUTED_VALUE"""),"Trần Cẩm Nguyên")</f>
        <v>Trần Cẩm Nguyên</v>
      </c>
      <c r="J5445" s="3" t="str">
        <f ca="1">IFERROR(__xludf.DUMMYFUNCTION("""COMPUTED_VALUE"""),"0911455736")</f>
        <v>0911455736</v>
      </c>
      <c r="K5445" s="2" t="str">
        <f ca="1">IFERROR(__xludf.DUMMYFUNCTION("""COMPUTED_VALUE"""),"1735371861858")</f>
        <v>1735371861858</v>
      </c>
    </row>
    <row r="5446" spans="1:11" ht="12.45">
      <c r="A5446" s="2" t="str">
        <f ca="1">IFERROR(__xludf.DUMMYFUNCTION("""COMPUTED_VALUE"""),"1735371895156")</f>
        <v>1735371895156</v>
      </c>
      <c r="B5446" s="2"/>
      <c r="C5446" s="2" t="str">
        <v>0</v>
      </c>
      <c r="D5446" s="2"/>
      <c r="F5446" s="2" t="str">
        <v>0</v>
      </c>
      <c r="I5446" s="3" t="str">
        <f ca="1">IFERROR(__xludf.DUMMYFUNCTION("""COMPUTED_VALUE"""),"nguyễn thái châu")</f>
        <v>nguyễn thái châu</v>
      </c>
      <c r="J5446" s="3" t="str">
        <f ca="1">IFERROR(__xludf.DUMMYFUNCTION("""COMPUTED_VALUE"""),"0961781307")</f>
        <v>0961781307</v>
      </c>
      <c r="K5446" s="2" t="str">
        <f ca="1">IFERROR(__xludf.DUMMYFUNCTION("""COMPUTED_VALUE"""),"1735371895156")</f>
        <v>1735371895156</v>
      </c>
    </row>
    <row r="5447" spans="1:11" ht="12.45">
      <c r="A5447" s="2" t="str">
        <f ca="1">IFERROR(__xludf.DUMMYFUNCTION("""COMPUTED_VALUE"""),"1735371932267")</f>
        <v>1735371932267</v>
      </c>
      <c r="B5447" s="2"/>
      <c r="C5447" s="2" t="str">
        <v>0</v>
      </c>
      <c r="D5447" s="2"/>
      <c r="F5447" s="2" t="str">
        <v>0</v>
      </c>
      <c r="I5447" s="3" t="str">
        <f ca="1">IFERROR(__xludf.DUMMYFUNCTION("""COMPUTED_VALUE"""),"Phạm Thị Thanh Huyền ")</f>
        <v xml:space="preserve">Phạm Thị Thanh Huyền </v>
      </c>
      <c r="J5447" s="3" t="str">
        <f ca="1">IFERROR(__xludf.DUMMYFUNCTION("""COMPUTED_VALUE"""),"0868465721")</f>
        <v>0868465721</v>
      </c>
      <c r="K5447" s="2" t="str">
        <f ca="1">IFERROR(__xludf.DUMMYFUNCTION("""COMPUTED_VALUE"""),"1735371932267")</f>
        <v>1735371932267</v>
      </c>
    </row>
    <row r="5448" spans="1:11" ht="12.45">
      <c r="A5448" s="2" t="str">
        <f ca="1">IFERROR(__xludf.DUMMYFUNCTION("""COMPUTED_VALUE"""),"1735371960753")</f>
        <v>1735371960753</v>
      </c>
      <c r="B5448" s="2"/>
      <c r="C5448" s="2" t="str">
        <v>0</v>
      </c>
      <c r="D5448" s="2"/>
      <c r="F5448" s="2" t="str">
        <v>0</v>
      </c>
      <c r="I5448" s="3" t="str">
        <f ca="1">IFERROR(__xludf.DUMMYFUNCTION("""COMPUTED_VALUE"""),"Dương Trúc Quỳnh Anh")</f>
        <v>Dương Trúc Quỳnh Anh</v>
      </c>
      <c r="J5448" s="3" t="str">
        <f ca="1">IFERROR(__xludf.DUMMYFUNCTION("""COMPUTED_VALUE"""),"0866066098")</f>
        <v>0866066098</v>
      </c>
      <c r="K5448" s="2" t="str">
        <f ca="1">IFERROR(__xludf.DUMMYFUNCTION("""COMPUTED_VALUE"""),"1735371960753")</f>
        <v>1735371960753</v>
      </c>
    </row>
    <row r="5449" spans="1:11" ht="12.45">
      <c r="A5449" s="2" t="str">
        <f ca="1">IFERROR(__xludf.DUMMYFUNCTION("""COMPUTED_VALUE"""),"1735371983320")</f>
        <v>1735371983320</v>
      </c>
      <c r="B5449" s="2"/>
      <c r="C5449" s="2" t="str">
        <v>0</v>
      </c>
      <c r="D5449" s="2"/>
      <c r="F5449" s="2" t="str">
        <v>0</v>
      </c>
      <c r="I5449" s="3" t="str">
        <f ca="1">IFERROR(__xludf.DUMMYFUNCTION("""COMPUTED_VALUE"""),"Thái Phạm Hoàng Yến")</f>
        <v>Thái Phạm Hoàng Yến</v>
      </c>
      <c r="J5449" s="3" t="str">
        <f ca="1">IFERROR(__xludf.DUMMYFUNCTION("""COMPUTED_VALUE"""),"0846443468")</f>
        <v>0846443468</v>
      </c>
      <c r="K5449" s="2" t="str">
        <f ca="1">IFERROR(__xludf.DUMMYFUNCTION("""COMPUTED_VALUE"""),"1735371983320")</f>
        <v>1735371983320</v>
      </c>
    </row>
    <row r="5450" spans="1:11" ht="12.45">
      <c r="A5450" s="2" t="str">
        <f ca="1">IFERROR(__xludf.DUMMYFUNCTION("""COMPUTED_VALUE"""),"1735372021277")</f>
        <v>1735372021277</v>
      </c>
      <c r="B5450" s="2"/>
      <c r="C5450" s="2" t="str">
        <v>0</v>
      </c>
      <c r="D5450" s="2"/>
      <c r="F5450" s="2" t="str">
        <v>0</v>
      </c>
      <c r="I5450" s="3" t="str">
        <f ca="1">IFERROR(__xludf.DUMMYFUNCTION("""COMPUTED_VALUE"""),"Nguyễn Tấn Dũng ")</f>
        <v xml:space="preserve">Nguyễn Tấn Dũng </v>
      </c>
      <c r="J5450" s="3" t="str">
        <f ca="1">IFERROR(__xludf.DUMMYFUNCTION("""COMPUTED_VALUE"""),"0359331396")</f>
        <v>0359331396</v>
      </c>
      <c r="K5450" s="2" t="str">
        <f ca="1">IFERROR(__xludf.DUMMYFUNCTION("""COMPUTED_VALUE"""),"1735372021277")</f>
        <v>1735372021277</v>
      </c>
    </row>
    <row r="5451" spans="1:11" ht="12.45">
      <c r="A5451" s="2" t="str">
        <f ca="1">IFERROR(__xludf.DUMMYFUNCTION("""COMPUTED_VALUE"""),"1735372061727")</f>
        <v>1735372061727</v>
      </c>
      <c r="B5451" s="2"/>
      <c r="C5451" s="2" t="str">
        <v>0</v>
      </c>
      <c r="D5451" s="2"/>
      <c r="F5451" s="2" t="str">
        <v>0</v>
      </c>
      <c r="I5451" s="3" t="str">
        <f ca="1">IFERROR(__xludf.DUMMYFUNCTION("""COMPUTED_VALUE"""),"Lê Ngọc")</f>
        <v>Lê Ngọc</v>
      </c>
      <c r="J5451" s="3" t="str">
        <f ca="1">IFERROR(__xludf.DUMMYFUNCTION("""COMPUTED_VALUE"""),"0889540159")</f>
        <v>0889540159</v>
      </c>
      <c r="K5451" s="2" t="str">
        <f ca="1">IFERROR(__xludf.DUMMYFUNCTION("""COMPUTED_VALUE"""),"1735372061727")</f>
        <v>1735372061727</v>
      </c>
    </row>
    <row r="5452" spans="1:11" ht="12.45">
      <c r="A5452" s="2" t="str">
        <f ca="1">IFERROR(__xludf.DUMMYFUNCTION("""COMPUTED_VALUE"""),"1735372089809")</f>
        <v>1735372089809</v>
      </c>
      <c r="B5452" s="2"/>
      <c r="C5452" s="2" t="str">
        <v>0</v>
      </c>
      <c r="D5452" s="2"/>
      <c r="F5452" s="2" t="str">
        <v>0</v>
      </c>
      <c r="I5452" s="3" t="str">
        <f ca="1">IFERROR(__xludf.DUMMYFUNCTION("""COMPUTED_VALUE"""),"Dương Tuấn Dương ")</f>
        <v xml:space="preserve">Dương Tuấn Dương </v>
      </c>
      <c r="J5452" s="3" t="str">
        <f ca="1">IFERROR(__xludf.DUMMYFUNCTION("""COMPUTED_VALUE"""),"0345586910")</f>
        <v>0345586910</v>
      </c>
      <c r="K5452" s="2" t="str">
        <f ca="1">IFERROR(__xludf.DUMMYFUNCTION("""COMPUTED_VALUE"""),"1735372089809")</f>
        <v>1735372089809</v>
      </c>
    </row>
    <row r="5453" spans="1:11" ht="12.45">
      <c r="A5453" s="2" t="str">
        <f ca="1">IFERROR(__xludf.DUMMYFUNCTION("""COMPUTED_VALUE"""),"1735372117747")</f>
        <v>1735372117747</v>
      </c>
      <c r="B5453" s="2"/>
      <c r="C5453" s="2" t="str">
        <v>0</v>
      </c>
      <c r="D5453" s="2"/>
      <c r="F5453" s="2" t="str">
        <v>0</v>
      </c>
      <c r="I5453" s="3" t="str">
        <f ca="1">IFERROR(__xludf.DUMMYFUNCTION("""COMPUTED_VALUE"""),"Thừa Thùy Dương")</f>
        <v>Thừa Thùy Dương</v>
      </c>
      <c r="J5453" s="3" t="str">
        <f ca="1">IFERROR(__xludf.DUMMYFUNCTION("""COMPUTED_VALUE"""),"0898190089")</f>
        <v>0898190089</v>
      </c>
      <c r="K5453" s="2" t="str">
        <f ca="1">IFERROR(__xludf.DUMMYFUNCTION("""COMPUTED_VALUE"""),"1735372117747")</f>
        <v>1735372117747</v>
      </c>
    </row>
    <row r="5454" spans="1:11" ht="12.45">
      <c r="A5454" s="2" t="str">
        <f ca="1">IFERROR(__xludf.DUMMYFUNCTION("""COMPUTED_VALUE"""),"1735372158638")</f>
        <v>1735372158638</v>
      </c>
      <c r="B5454" s="2"/>
      <c r="C5454" s="2" t="str">
        <v>0</v>
      </c>
      <c r="D5454" s="2"/>
      <c r="F5454" s="2" t="str">
        <v>0</v>
      </c>
      <c r="I5454" s="3" t="str">
        <f ca="1">IFERROR(__xludf.DUMMYFUNCTION("""COMPUTED_VALUE"""),"Nguyễn Kim Hiền")</f>
        <v>Nguyễn Kim Hiền</v>
      </c>
      <c r="J5454" s="3" t="str">
        <f ca="1">IFERROR(__xludf.DUMMYFUNCTION("""COMPUTED_VALUE"""),"0377826888")</f>
        <v>0377826888</v>
      </c>
      <c r="K5454" s="2" t="str">
        <f ca="1">IFERROR(__xludf.DUMMYFUNCTION("""COMPUTED_VALUE"""),"1735372158638")</f>
        <v>1735372158638</v>
      </c>
    </row>
    <row r="5455" spans="1:11" ht="12.45">
      <c r="A5455" s="2" t="str">
        <f ca="1">IFERROR(__xludf.DUMMYFUNCTION("""COMPUTED_VALUE"""),"1735372186547")</f>
        <v>1735372186547</v>
      </c>
      <c r="B5455" s="2"/>
      <c r="C5455" s="2" t="str">
        <v>0</v>
      </c>
      <c r="D5455" s="2"/>
      <c r="F5455" s="2" t="str">
        <v>0</v>
      </c>
      <c r="I5455" s="3" t="str">
        <f ca="1">IFERROR(__xludf.DUMMYFUNCTION("""COMPUTED_VALUE"""),"Nguyễn Thị Hoài Sim")</f>
        <v>Nguyễn Thị Hoài Sim</v>
      </c>
      <c r="J5455" s="3" t="str">
        <f ca="1">IFERROR(__xludf.DUMMYFUNCTION("""COMPUTED_VALUE"""),"0378473160")</f>
        <v>0378473160</v>
      </c>
      <c r="K5455" s="2" t="str">
        <f ca="1">IFERROR(__xludf.DUMMYFUNCTION("""COMPUTED_VALUE"""),"1735372186547")</f>
        <v>1735372186547</v>
      </c>
    </row>
    <row r="5456" spans="1:11" ht="12.45">
      <c r="A5456" s="2" t="str">
        <f ca="1">IFERROR(__xludf.DUMMYFUNCTION("""COMPUTED_VALUE"""),"1735372211230")</f>
        <v>1735372211230</v>
      </c>
      <c r="B5456" s="2"/>
      <c r="C5456" s="2" t="str">
        <v>0</v>
      </c>
      <c r="D5456" s="2"/>
      <c r="F5456" s="2" t="str">
        <v>0</v>
      </c>
      <c r="I5456" s="3" t="str">
        <f ca="1">IFERROR(__xludf.DUMMYFUNCTION("""COMPUTED_VALUE"""),"Nguyễn Thị Huyền")</f>
        <v>Nguyễn Thị Huyền</v>
      </c>
      <c r="J5456" s="3" t="str">
        <f ca="1">IFERROR(__xludf.DUMMYFUNCTION("""COMPUTED_VALUE"""),"0865445983")</f>
        <v>0865445983</v>
      </c>
      <c r="K5456" s="2" t="str">
        <f ca="1">IFERROR(__xludf.DUMMYFUNCTION("""COMPUTED_VALUE"""),"1735372211230")</f>
        <v>1735372211230</v>
      </c>
    </row>
    <row r="5457" spans="1:11" ht="12.45">
      <c r="A5457" s="2" t="str">
        <f ca="1">IFERROR(__xludf.DUMMYFUNCTION("""COMPUTED_VALUE"""),"1735372239864")</f>
        <v>1735372239864</v>
      </c>
      <c r="B5457" s="2"/>
      <c r="C5457" s="2" t="str">
        <v>0</v>
      </c>
      <c r="D5457" s="2"/>
      <c r="F5457" s="2" t="str">
        <v>0</v>
      </c>
      <c r="I5457" s="3" t="str">
        <f ca="1">IFERROR(__xludf.DUMMYFUNCTION("""COMPUTED_VALUE"""),"Bùi Ngọc Mỹ")</f>
        <v>Bùi Ngọc Mỹ</v>
      </c>
      <c r="J5457" s="3" t="str">
        <f ca="1">IFERROR(__xludf.DUMMYFUNCTION("""COMPUTED_VALUE"""),"0792487377")</f>
        <v>0792487377</v>
      </c>
      <c r="K5457" s="2" t="str">
        <f ca="1">IFERROR(__xludf.DUMMYFUNCTION("""COMPUTED_VALUE"""),"1735372239864")</f>
        <v>1735372239864</v>
      </c>
    </row>
    <row r="5458" spans="1:11" ht="12.45">
      <c r="A5458" s="2">
        <f ca="1">IFERROR(__xludf.DUMMYFUNCTION("""COMPUTED_VALUE"""),1734634104747)</f>
        <v>1734634104747</v>
      </c>
      <c r="B5458" s="2"/>
      <c r="C5458" s="2" t="str">
        <v>0</v>
      </c>
      <c r="D5458" s="2"/>
      <c r="F5458" s="2" t="str">
        <v>0</v>
      </c>
      <c r="I5458" s="3" t="str">
        <f ca="1">IFERROR(__xludf.DUMMYFUNCTION("""COMPUTED_VALUE"""),"Tuấn Tú")</f>
        <v>Tuấn Tú</v>
      </c>
      <c r="J5458" s="3" t="str">
        <f ca="1">IFERROR(__xludf.DUMMYFUNCTION("""COMPUTED_VALUE"""),"0386550214")</f>
        <v>0386550214</v>
      </c>
      <c r="K5458" s="2">
        <f ca="1">IFERROR(__xludf.DUMMYFUNCTION("""COMPUTED_VALUE"""),1734634104747)</f>
        <v>1734634104747</v>
      </c>
    </row>
    <row r="5459" spans="1:11" ht="12.45">
      <c r="A5459" s="2" t="str">
        <f ca="1">IFERROR(__xludf.DUMMYFUNCTION("""COMPUTED_VALUE"""),"1735372263433")</f>
        <v>1735372263433</v>
      </c>
      <c r="B5459" s="2"/>
      <c r="C5459" s="2" t="str">
        <v>0</v>
      </c>
      <c r="D5459" s="2"/>
      <c r="F5459" s="2" t="str">
        <v>0</v>
      </c>
      <c r="I5459" s="3" t="str">
        <f ca="1">IFERROR(__xludf.DUMMYFUNCTION("""COMPUTED_VALUE"""),"Hoàng Đào Thảo Ly")</f>
        <v>Hoàng Đào Thảo Ly</v>
      </c>
      <c r="J5459" s="3" t="str">
        <f ca="1">IFERROR(__xludf.DUMMYFUNCTION("""COMPUTED_VALUE"""),"0974022878")</f>
        <v>0974022878</v>
      </c>
      <c r="K5459" s="2" t="str">
        <f ca="1">IFERROR(__xludf.DUMMYFUNCTION("""COMPUTED_VALUE"""),"1735372263433")</f>
        <v>1735372263433</v>
      </c>
    </row>
    <row r="5460" spans="1:11" ht="12.45">
      <c r="A5460" s="2" t="str">
        <f ca="1">IFERROR(__xludf.DUMMYFUNCTION("""COMPUTED_VALUE"""),"1735372289788")</f>
        <v>1735372289788</v>
      </c>
      <c r="B5460" s="2"/>
      <c r="C5460" s="2" t="str">
        <v>0</v>
      </c>
      <c r="D5460" s="2"/>
      <c r="F5460" s="2" t="str">
        <v>0</v>
      </c>
      <c r="I5460" s="3" t="str">
        <f ca="1">IFERROR(__xludf.DUMMYFUNCTION("""COMPUTED_VALUE"""),"Mai Ngọc Minh Trân")</f>
        <v>Mai Ngọc Minh Trân</v>
      </c>
      <c r="J5460" s="3" t="str">
        <f ca="1">IFERROR(__xludf.DUMMYFUNCTION("""COMPUTED_VALUE"""),"0936063369")</f>
        <v>0936063369</v>
      </c>
      <c r="K5460" s="2" t="str">
        <f ca="1">IFERROR(__xludf.DUMMYFUNCTION("""COMPUTED_VALUE"""),"1735372289788")</f>
        <v>1735372289788</v>
      </c>
    </row>
    <row r="5461" spans="1:11" ht="12.45">
      <c r="A5461" s="2" t="str">
        <f ca="1">IFERROR(__xludf.DUMMYFUNCTION("""COMPUTED_VALUE"""),"1735372319119")</f>
        <v>1735372319119</v>
      </c>
      <c r="B5461" s="2"/>
      <c r="C5461" s="2" t="str">
        <v>0</v>
      </c>
      <c r="D5461" s="2"/>
      <c r="F5461" s="2" t="str">
        <v>0</v>
      </c>
      <c r="I5461" s="3" t="str">
        <f ca="1">IFERROR(__xludf.DUMMYFUNCTION("""COMPUTED_VALUE"""),"Dương Ngọc Yến Nhi ")</f>
        <v xml:space="preserve">Dương Ngọc Yến Nhi </v>
      </c>
      <c r="J5461" s="3" t="str">
        <f ca="1">IFERROR(__xludf.DUMMYFUNCTION("""COMPUTED_VALUE"""),"0374016467")</f>
        <v>0374016467</v>
      </c>
      <c r="K5461" s="2" t="str">
        <f ca="1">IFERROR(__xludf.DUMMYFUNCTION("""COMPUTED_VALUE"""),"1735372319119")</f>
        <v>1735372319119</v>
      </c>
    </row>
    <row r="5462" spans="1:11" ht="12.45">
      <c r="A5462" s="2" t="str">
        <f ca="1">IFERROR(__xludf.DUMMYFUNCTION("""COMPUTED_VALUE"""),"1735372350566")</f>
        <v>1735372350566</v>
      </c>
      <c r="B5462" s="2"/>
      <c r="C5462" s="2" t="str">
        <v>0</v>
      </c>
      <c r="D5462" s="2"/>
      <c r="F5462" s="2" t="str">
        <v>0</v>
      </c>
      <c r="I5462" s="3" t="str">
        <f ca="1">IFERROR(__xludf.DUMMYFUNCTION("""COMPUTED_VALUE"""),"Trần Thuỳ Dương")</f>
        <v>Trần Thuỳ Dương</v>
      </c>
      <c r="J5462" s="3" t="str">
        <f ca="1">IFERROR(__xludf.DUMMYFUNCTION("""COMPUTED_VALUE"""),"0976576310")</f>
        <v>0976576310</v>
      </c>
      <c r="K5462" s="2" t="str">
        <f ca="1">IFERROR(__xludf.DUMMYFUNCTION("""COMPUTED_VALUE"""),"1735372350566")</f>
        <v>1735372350566</v>
      </c>
    </row>
    <row r="5463" spans="1:11" ht="12.45">
      <c r="A5463" s="2" t="str">
        <f ca="1">IFERROR(__xludf.DUMMYFUNCTION("""COMPUTED_VALUE"""),"1735372393005")</f>
        <v>1735372393005</v>
      </c>
      <c r="B5463" s="2"/>
      <c r="C5463" s="2" t="str">
        <v>0</v>
      </c>
      <c r="D5463" s="2"/>
      <c r="F5463" s="2" t="str">
        <v>0</v>
      </c>
      <c r="I5463" s="3" t="str">
        <f ca="1">IFERROR(__xludf.DUMMYFUNCTION("""COMPUTED_VALUE"""),"Nguyễn Danh Nguyên Huy")</f>
        <v>Nguyễn Danh Nguyên Huy</v>
      </c>
      <c r="J5463" s="3" t="str">
        <f ca="1">IFERROR(__xludf.DUMMYFUNCTION("""COMPUTED_VALUE"""),"0869406445")</f>
        <v>0869406445</v>
      </c>
      <c r="K5463" s="2" t="str">
        <f ca="1">IFERROR(__xludf.DUMMYFUNCTION("""COMPUTED_VALUE"""),"1735372393005")</f>
        <v>1735372393005</v>
      </c>
    </row>
    <row r="5464" spans="1:11" ht="12.45">
      <c r="A5464" s="2" t="str">
        <f ca="1">IFERROR(__xludf.DUMMYFUNCTION("""COMPUTED_VALUE"""),"1735372452558")</f>
        <v>1735372452558</v>
      </c>
      <c r="B5464" s="2"/>
      <c r="C5464" s="2" t="str">
        <v>0</v>
      </c>
      <c r="D5464" s="2"/>
      <c r="F5464" s="2" t="str">
        <v>0</v>
      </c>
      <c r="I5464" s="3" t="str">
        <f ca="1">IFERROR(__xludf.DUMMYFUNCTION("""COMPUTED_VALUE"""),"Phạm Phan Bảo Chi")</f>
        <v>Phạm Phan Bảo Chi</v>
      </c>
      <c r="J5464" s="3" t="str">
        <f ca="1">IFERROR(__xludf.DUMMYFUNCTION("""COMPUTED_VALUE"""),"0915618525")</f>
        <v>0915618525</v>
      </c>
      <c r="K5464" s="2" t="str">
        <f ca="1">IFERROR(__xludf.DUMMYFUNCTION("""COMPUTED_VALUE"""),"1735372452558")</f>
        <v>1735372452558</v>
      </c>
    </row>
    <row r="5465" spans="1:11" ht="12.45">
      <c r="A5465" s="2" t="str">
        <f ca="1">IFERROR(__xludf.DUMMYFUNCTION("""COMPUTED_VALUE"""),"1735372495821")</f>
        <v>1735372495821</v>
      </c>
      <c r="B5465" s="2"/>
      <c r="C5465" s="2" t="str">
        <v>0</v>
      </c>
      <c r="D5465" s="2"/>
      <c r="F5465" s="2" t="str">
        <v>0</v>
      </c>
      <c r="I5465" s="3" t="str">
        <f ca="1">IFERROR(__xludf.DUMMYFUNCTION("""COMPUTED_VALUE"""),"Nguyễn Vũ Minh Hiếu")</f>
        <v>Nguyễn Vũ Minh Hiếu</v>
      </c>
      <c r="J5465" s="3" t="str">
        <f ca="1">IFERROR(__xludf.DUMMYFUNCTION("""COMPUTED_VALUE"""),"0888846205")</f>
        <v>0888846205</v>
      </c>
      <c r="K5465" s="2" t="str">
        <f ca="1">IFERROR(__xludf.DUMMYFUNCTION("""COMPUTED_VALUE"""),"1735372495821")</f>
        <v>1735372495821</v>
      </c>
    </row>
    <row r="5466" spans="1:11" ht="12.45">
      <c r="A5466" s="2" t="str">
        <f ca="1">IFERROR(__xludf.DUMMYFUNCTION("""COMPUTED_VALUE"""),"1735372555437")</f>
        <v>1735372555437</v>
      </c>
      <c r="B5466" s="2"/>
      <c r="C5466" s="2" t="str">
        <v>0</v>
      </c>
      <c r="D5466" s="2"/>
      <c r="F5466" s="2" t="str">
        <v>0</v>
      </c>
      <c r="I5466" s="3" t="str">
        <f ca="1">IFERROR(__xludf.DUMMYFUNCTION("""COMPUTED_VALUE"""),"ĐẶNG ĐÌNH TÙNG ")</f>
        <v xml:space="preserve">ĐẶNG ĐÌNH TÙNG </v>
      </c>
      <c r="J5466" s="3" t="str">
        <f ca="1">IFERROR(__xludf.DUMMYFUNCTION("""COMPUTED_VALUE"""),"0398173207")</f>
        <v>0398173207</v>
      </c>
      <c r="K5466" s="2" t="str">
        <f ca="1">IFERROR(__xludf.DUMMYFUNCTION("""COMPUTED_VALUE"""),"1735372555437")</f>
        <v>1735372555437</v>
      </c>
    </row>
    <row r="5467" spans="1:11" ht="12.45">
      <c r="A5467" s="2" t="str">
        <f ca="1">IFERROR(__xludf.DUMMYFUNCTION("""COMPUTED_VALUE"""),"1735372605731")</f>
        <v>1735372605731</v>
      </c>
      <c r="B5467" s="2"/>
      <c r="C5467" s="2" t="str">
        <v>0</v>
      </c>
      <c r="D5467" s="2"/>
      <c r="F5467" s="2" t="str">
        <v>0</v>
      </c>
      <c r="I5467" s="3" t="str">
        <f ca="1">IFERROR(__xludf.DUMMYFUNCTION("""COMPUTED_VALUE"""),"Trần Võ Quỳnh Phương")</f>
        <v>Trần Võ Quỳnh Phương</v>
      </c>
      <c r="J5467" s="3" t="str">
        <f ca="1">IFERROR(__xludf.DUMMYFUNCTION("""COMPUTED_VALUE"""),"0901153366")</f>
        <v>0901153366</v>
      </c>
      <c r="K5467" s="2" t="str">
        <f ca="1">IFERROR(__xludf.DUMMYFUNCTION("""COMPUTED_VALUE"""),"1735372605731")</f>
        <v>1735372605731</v>
      </c>
    </row>
    <row r="5468" spans="1:11" ht="12.45">
      <c r="A5468" s="2" t="str">
        <f ca="1">IFERROR(__xludf.DUMMYFUNCTION("""COMPUTED_VALUE"""),"1735372683666")</f>
        <v>1735372683666</v>
      </c>
      <c r="B5468" s="2"/>
      <c r="C5468" s="2" t="str">
        <v>0</v>
      </c>
      <c r="D5468" s="2"/>
      <c r="F5468" s="2" t="str">
        <v>0</v>
      </c>
      <c r="I5468" s="3" t="str">
        <f ca="1">IFERROR(__xludf.DUMMYFUNCTION("""COMPUTED_VALUE"""),"Nguyễn Cẩm Tú ")</f>
        <v xml:space="preserve">Nguyễn Cẩm Tú </v>
      </c>
      <c r="J5468" s="3" t="str">
        <f ca="1">IFERROR(__xludf.DUMMYFUNCTION("""COMPUTED_VALUE"""),"0813014207")</f>
        <v>0813014207</v>
      </c>
      <c r="K5468" s="2" t="str">
        <f ca="1">IFERROR(__xludf.DUMMYFUNCTION("""COMPUTED_VALUE"""),"1735372683666")</f>
        <v>1735372683666</v>
      </c>
    </row>
    <row r="5469" spans="1:11" ht="12.45">
      <c r="A5469" s="2" t="str">
        <f ca="1">IFERROR(__xludf.DUMMYFUNCTION("""COMPUTED_VALUE"""),"1735372720098")</f>
        <v>1735372720098</v>
      </c>
      <c r="B5469" s="2"/>
      <c r="C5469" s="2" t="str">
        <v>0</v>
      </c>
      <c r="D5469" s="2"/>
      <c r="F5469" s="2" t="str">
        <v>0</v>
      </c>
      <c r="I5469" s="3" t="str">
        <f ca="1">IFERROR(__xludf.DUMMYFUNCTION("""COMPUTED_VALUE"""),"Đoàn Thị Thanh Nhàn ")</f>
        <v xml:space="preserve">Đoàn Thị Thanh Nhàn </v>
      </c>
      <c r="J5469" s="3" t="str">
        <f ca="1">IFERROR(__xludf.DUMMYFUNCTION("""COMPUTED_VALUE"""),"0373788042")</f>
        <v>0373788042</v>
      </c>
      <c r="K5469" s="2" t="str">
        <f ca="1">IFERROR(__xludf.DUMMYFUNCTION("""COMPUTED_VALUE"""),"1735372720098")</f>
        <v>1735372720098</v>
      </c>
    </row>
    <row r="5470" spans="1:11" ht="12.45">
      <c r="A5470" s="2" t="str">
        <f ca="1">IFERROR(__xludf.DUMMYFUNCTION("""COMPUTED_VALUE"""),"1735372748815")</f>
        <v>1735372748815</v>
      </c>
      <c r="B5470" s="2"/>
      <c r="C5470" s="2" t="str">
        <v>0</v>
      </c>
      <c r="D5470" s="2"/>
      <c r="F5470" s="2" t="str">
        <v>0</v>
      </c>
      <c r="I5470" s="3" t="str">
        <f ca="1">IFERROR(__xludf.DUMMYFUNCTION("""COMPUTED_VALUE"""),"Nguyễn Mai Tố Uyên ")</f>
        <v xml:space="preserve">Nguyễn Mai Tố Uyên </v>
      </c>
      <c r="J5470" s="3" t="str">
        <f ca="1">IFERROR(__xludf.DUMMYFUNCTION("""COMPUTED_VALUE"""),"0387267145")</f>
        <v>0387267145</v>
      </c>
      <c r="K5470" s="2" t="str">
        <f ca="1">IFERROR(__xludf.DUMMYFUNCTION("""COMPUTED_VALUE"""),"1735372748815")</f>
        <v>1735372748815</v>
      </c>
    </row>
    <row r="5471" spans="1:11" ht="12.45">
      <c r="A5471" s="2" t="str">
        <f ca="1">IFERROR(__xludf.DUMMYFUNCTION("""COMPUTED_VALUE"""),"1735372778032")</f>
        <v>1735372778032</v>
      </c>
      <c r="B5471" s="2"/>
      <c r="C5471" s="2" t="str">
        <v>0</v>
      </c>
      <c r="D5471" s="2"/>
      <c r="F5471" s="2" t="str">
        <v>0</v>
      </c>
      <c r="I5471" s="3" t="str">
        <f ca="1">IFERROR(__xludf.DUMMYFUNCTION("""COMPUTED_VALUE"""),"Võ Nguyễn Yến Nhi")</f>
        <v>Võ Nguyễn Yến Nhi</v>
      </c>
      <c r="J5471" s="3" t="str">
        <f ca="1">IFERROR(__xludf.DUMMYFUNCTION("""COMPUTED_VALUE"""),"0775402740")</f>
        <v>0775402740</v>
      </c>
      <c r="K5471" s="2" t="str">
        <f ca="1">IFERROR(__xludf.DUMMYFUNCTION("""COMPUTED_VALUE"""),"1735372778032")</f>
        <v>1735372778032</v>
      </c>
    </row>
    <row r="5472" spans="1:11" ht="12.45">
      <c r="A5472" s="2" t="str">
        <f ca="1">IFERROR(__xludf.DUMMYFUNCTION("""COMPUTED_VALUE"""),"1735372833220")</f>
        <v>1735372833220</v>
      </c>
      <c r="B5472" s="2"/>
      <c r="C5472" s="2" t="str">
        <v>0</v>
      </c>
      <c r="D5472" s="2"/>
      <c r="F5472" s="2" t="str">
        <v>0</v>
      </c>
      <c r="I5472" s="3" t="str">
        <f ca="1">IFERROR(__xludf.DUMMYFUNCTION("""COMPUTED_VALUE"""),"Đồng Minh Anh")</f>
        <v>Đồng Minh Anh</v>
      </c>
      <c r="J5472" s="3" t="str">
        <f ca="1">IFERROR(__xludf.DUMMYFUNCTION("""COMPUTED_VALUE"""),"0969591111")</f>
        <v>0969591111</v>
      </c>
      <c r="K5472" s="2" t="str">
        <f ca="1">IFERROR(__xludf.DUMMYFUNCTION("""COMPUTED_VALUE"""),"1735372833220")</f>
        <v>1735372833220</v>
      </c>
    </row>
    <row r="5473" spans="1:11" ht="12.45">
      <c r="A5473" s="2" t="str">
        <f ca="1">IFERROR(__xludf.DUMMYFUNCTION("""COMPUTED_VALUE"""),"1735372887826")</f>
        <v>1735372887826</v>
      </c>
      <c r="B5473" s="2"/>
      <c r="C5473" s="2" t="str">
        <v>0</v>
      </c>
      <c r="D5473" s="2"/>
      <c r="F5473" s="2" t="str">
        <v>0</v>
      </c>
      <c r="I5473" s="3" t="str">
        <f ca="1">IFERROR(__xludf.DUMMYFUNCTION("""COMPUTED_VALUE"""),"Hồ Hoàng")</f>
        <v>Hồ Hoàng</v>
      </c>
      <c r="J5473" s="3" t="str">
        <f ca="1">IFERROR(__xludf.DUMMYFUNCTION("""COMPUTED_VALUE"""),"0789316418")</f>
        <v>0789316418</v>
      </c>
      <c r="K5473" s="2" t="str">
        <f ca="1">IFERROR(__xludf.DUMMYFUNCTION("""COMPUTED_VALUE"""),"1735372887826")</f>
        <v>1735372887826</v>
      </c>
    </row>
    <row r="5474" spans="1:11" ht="12.45">
      <c r="A5474" s="2" t="str">
        <f ca="1">IFERROR(__xludf.DUMMYFUNCTION("""COMPUTED_VALUE"""),"1735372913594")</f>
        <v>1735372913594</v>
      </c>
      <c r="B5474" s="2"/>
      <c r="C5474" s="2" t="str">
        <v>0</v>
      </c>
      <c r="D5474" s="2"/>
      <c r="F5474" s="2" t="str">
        <v>0</v>
      </c>
      <c r="I5474" s="3" t="str">
        <f ca="1">IFERROR(__xludf.DUMMYFUNCTION("""COMPUTED_VALUE"""),"Hoàng Vũ Thùy Dương ")</f>
        <v xml:space="preserve">Hoàng Vũ Thùy Dương </v>
      </c>
      <c r="J5474" s="3" t="str">
        <f ca="1">IFERROR(__xludf.DUMMYFUNCTION("""COMPUTED_VALUE"""),"0382986484")</f>
        <v>0382986484</v>
      </c>
      <c r="K5474" s="2" t="str">
        <f ca="1">IFERROR(__xludf.DUMMYFUNCTION("""COMPUTED_VALUE"""),"1735372913594")</f>
        <v>1735372913594</v>
      </c>
    </row>
    <row r="5475" spans="1:11" ht="12.45">
      <c r="A5475" s="2" t="str">
        <f ca="1">IFERROR(__xludf.DUMMYFUNCTION("""COMPUTED_VALUE"""),"1735372947439")</f>
        <v>1735372947439</v>
      </c>
      <c r="B5475" s="2"/>
      <c r="C5475" s="2" t="str">
        <v>0</v>
      </c>
      <c r="D5475" s="2"/>
      <c r="F5475" s="2" t="str">
        <v>0</v>
      </c>
      <c r="I5475" s="3" t="str">
        <f ca="1">IFERROR(__xludf.DUMMYFUNCTION("""COMPUTED_VALUE"""),"Nguyễn Thị Huyền Trang")</f>
        <v>Nguyễn Thị Huyền Trang</v>
      </c>
      <c r="J5475" s="3" t="str">
        <f ca="1">IFERROR(__xludf.DUMMYFUNCTION("""COMPUTED_VALUE"""),"0368706208")</f>
        <v>0368706208</v>
      </c>
      <c r="K5475" s="2" t="str">
        <f ca="1">IFERROR(__xludf.DUMMYFUNCTION("""COMPUTED_VALUE"""),"1735372947439")</f>
        <v>1735372947439</v>
      </c>
    </row>
    <row r="5476" spans="1:11" ht="12.45">
      <c r="A5476" s="2" t="str">
        <f ca="1">IFERROR(__xludf.DUMMYFUNCTION("""COMPUTED_VALUE"""),"1735372993802")</f>
        <v>1735372993802</v>
      </c>
      <c r="B5476" s="2"/>
      <c r="C5476" s="2" t="str">
        <v>0</v>
      </c>
      <c r="D5476" s="2"/>
      <c r="F5476" s="2" t="str">
        <v>0</v>
      </c>
      <c r="I5476" s="3" t="str">
        <f ca="1">IFERROR(__xludf.DUMMYFUNCTION("""COMPUTED_VALUE"""),"Nguyễn Thị Như Quỳnh ")</f>
        <v xml:space="preserve">Nguyễn Thị Như Quỳnh </v>
      </c>
      <c r="J5476" s="3" t="str">
        <f ca="1">IFERROR(__xludf.DUMMYFUNCTION("""COMPUTED_VALUE"""),"0396864365")</f>
        <v>0396864365</v>
      </c>
      <c r="K5476" s="2" t="str">
        <f ca="1">IFERROR(__xludf.DUMMYFUNCTION("""COMPUTED_VALUE"""),"1735372993802")</f>
        <v>1735372993802</v>
      </c>
    </row>
    <row r="5477" spans="1:11" ht="12.45">
      <c r="A5477" s="2" t="str">
        <f ca="1">IFERROR(__xludf.DUMMYFUNCTION("""COMPUTED_VALUE"""),"1735373029346")</f>
        <v>1735373029346</v>
      </c>
      <c r="B5477" s="2"/>
      <c r="C5477" s="2" t="str">
        <v>0</v>
      </c>
      <c r="D5477" s="2"/>
      <c r="F5477" s="2" t="str">
        <v>0</v>
      </c>
      <c r="I5477" s="3" t="str">
        <f ca="1">IFERROR(__xludf.DUMMYFUNCTION("""COMPUTED_VALUE"""),"Lê ngọc ly")</f>
        <v>Lê ngọc ly</v>
      </c>
      <c r="J5477" s="3" t="str">
        <f ca="1">IFERROR(__xludf.DUMMYFUNCTION("""COMPUTED_VALUE"""),"0345538382")</f>
        <v>0345538382</v>
      </c>
      <c r="K5477" s="2" t="str">
        <f ca="1">IFERROR(__xludf.DUMMYFUNCTION("""COMPUTED_VALUE"""),"1735373029346")</f>
        <v>1735373029346</v>
      </c>
    </row>
    <row r="5478" spans="1:11" ht="12.45">
      <c r="A5478" s="2" t="str">
        <f ca="1">IFERROR(__xludf.DUMMYFUNCTION("""COMPUTED_VALUE"""),"1735373085804")</f>
        <v>1735373085804</v>
      </c>
      <c r="B5478" s="2"/>
      <c r="C5478" s="2" t="str">
        <v>0</v>
      </c>
      <c r="D5478" s="2"/>
      <c r="F5478" s="2" t="str">
        <v>0</v>
      </c>
      <c r="I5478" s="3" t="str">
        <f ca="1">IFERROR(__xludf.DUMMYFUNCTION("""COMPUTED_VALUE"""),"Nguyễn Thị Mỹ Duyên")</f>
        <v>Nguyễn Thị Mỹ Duyên</v>
      </c>
      <c r="J5478" s="3" t="str">
        <f ca="1">IFERROR(__xludf.DUMMYFUNCTION("""COMPUTED_VALUE"""),"0787713554")</f>
        <v>0787713554</v>
      </c>
      <c r="K5478" s="2" t="str">
        <f ca="1">IFERROR(__xludf.DUMMYFUNCTION("""COMPUTED_VALUE"""),"1735373085804")</f>
        <v>1735373085804</v>
      </c>
    </row>
    <row r="5479" spans="1:11" ht="12.45">
      <c r="A5479" s="2" t="str">
        <f ca="1">IFERROR(__xludf.DUMMYFUNCTION("""COMPUTED_VALUE"""),"1735373130359")</f>
        <v>1735373130359</v>
      </c>
      <c r="B5479" s="2"/>
      <c r="C5479" s="2" t="str">
        <v>0</v>
      </c>
      <c r="D5479" s="2"/>
      <c r="F5479" s="2" t="str">
        <v>0</v>
      </c>
      <c r="I5479" s="3" t="str">
        <f ca="1">IFERROR(__xludf.DUMMYFUNCTION("""COMPUTED_VALUE"""),"Hoàng Thanh Thảo")</f>
        <v>Hoàng Thanh Thảo</v>
      </c>
      <c r="J5479" s="3" t="str">
        <f ca="1">IFERROR(__xludf.DUMMYFUNCTION("""COMPUTED_VALUE"""),"0345849110")</f>
        <v>0345849110</v>
      </c>
      <c r="K5479" s="2" t="str">
        <f ca="1">IFERROR(__xludf.DUMMYFUNCTION("""COMPUTED_VALUE"""),"1735373130359")</f>
        <v>1735373130359</v>
      </c>
    </row>
    <row r="5480" spans="1:11" ht="12.45">
      <c r="A5480" s="2" t="str">
        <f ca="1">IFERROR(__xludf.DUMMYFUNCTION("""COMPUTED_VALUE"""),"1735373172653")</f>
        <v>1735373172653</v>
      </c>
      <c r="B5480" s="2"/>
      <c r="C5480" s="2" t="str">
        <v>0</v>
      </c>
      <c r="D5480" s="2"/>
      <c r="F5480" s="2" t="str">
        <v>0</v>
      </c>
      <c r="I5480" s="3" t="str">
        <f ca="1">IFERROR(__xludf.DUMMYFUNCTION("""COMPUTED_VALUE"""),"Võ Đặng Thu Phương")</f>
        <v>Võ Đặng Thu Phương</v>
      </c>
      <c r="J5480" s="3" t="str">
        <f ca="1">IFERROR(__xludf.DUMMYFUNCTION("""COMPUTED_VALUE"""),"0865182710")</f>
        <v>0865182710</v>
      </c>
      <c r="K5480" s="2" t="str">
        <f ca="1">IFERROR(__xludf.DUMMYFUNCTION("""COMPUTED_VALUE"""),"1735373172653")</f>
        <v>1735373172653</v>
      </c>
    </row>
    <row r="5481" spans="1:11" ht="12.45">
      <c r="A5481" s="2" t="str">
        <f ca="1">IFERROR(__xludf.DUMMYFUNCTION("""COMPUTED_VALUE"""),"1735422386242")</f>
        <v>1735422386242</v>
      </c>
      <c r="B5481" s="2"/>
      <c r="C5481" s="2" t="str">
        <v>0</v>
      </c>
      <c r="D5481" s="2"/>
      <c r="F5481" s="2" t="str">
        <v>0</v>
      </c>
      <c r="I5481" s="3" t="str">
        <f ca="1">IFERROR(__xludf.DUMMYFUNCTION("""COMPUTED_VALUE"""),"Bùi Trần Minh Ngọc")</f>
        <v>Bùi Trần Minh Ngọc</v>
      </c>
      <c r="J5481" s="3" t="str">
        <f ca="1">IFERROR(__xludf.DUMMYFUNCTION("""COMPUTED_VALUE"""),"0869730312")</f>
        <v>0869730312</v>
      </c>
      <c r="K5481" s="2" t="str">
        <f ca="1">IFERROR(__xludf.DUMMYFUNCTION("""COMPUTED_VALUE"""),"1735422386242")</f>
        <v>1735422386242</v>
      </c>
    </row>
    <row r="5482" spans="1:11" ht="12.45">
      <c r="A5482" s="2">
        <f ca="1">IFERROR(__xludf.DUMMYFUNCTION("""COMPUTED_VALUE"""),1734634154520)</f>
        <v>1734634154520</v>
      </c>
      <c r="B5482" s="2"/>
      <c r="C5482" s="2" t="str">
        <v>0</v>
      </c>
      <c r="D5482" s="2"/>
      <c r="F5482" s="2" t="str">
        <v>0</v>
      </c>
      <c r="I5482" s="3" t="str">
        <f ca="1">IFERROR(__xludf.DUMMYFUNCTION("""COMPUTED_VALUE"""),"Nguyễn Đình Bảo")</f>
        <v>Nguyễn Đình Bảo</v>
      </c>
      <c r="J5482" s="3" t="str">
        <f ca="1">IFERROR(__xludf.DUMMYFUNCTION("""COMPUTED_VALUE"""),"0865536828")</f>
        <v>0865536828</v>
      </c>
      <c r="K5482" s="2">
        <f ca="1">IFERROR(__xludf.DUMMYFUNCTION("""COMPUTED_VALUE"""),1734634154520)</f>
        <v>1734634154520</v>
      </c>
    </row>
    <row r="5483" spans="1:11" ht="12.45">
      <c r="A5483" s="2" t="str">
        <f ca="1">IFERROR(__xludf.DUMMYFUNCTION("""COMPUTED_VALUE"""),"1735422418633")</f>
        <v>1735422418633</v>
      </c>
      <c r="B5483" s="2"/>
      <c r="C5483" s="2" t="str">
        <v>0</v>
      </c>
      <c r="D5483" s="2"/>
      <c r="F5483" s="2" t="str">
        <v>0</v>
      </c>
      <c r="I5483" s="3" t="str">
        <f ca="1">IFERROR(__xludf.DUMMYFUNCTION("""COMPUTED_VALUE"""),"Nguyễn Thị Hồng Ân")</f>
        <v>Nguyễn Thị Hồng Ân</v>
      </c>
      <c r="J5483" s="3" t="str">
        <f ca="1">IFERROR(__xludf.DUMMYFUNCTION("""COMPUTED_VALUE"""),"0337464035")</f>
        <v>0337464035</v>
      </c>
      <c r="K5483" s="2" t="str">
        <f ca="1">IFERROR(__xludf.DUMMYFUNCTION("""COMPUTED_VALUE"""),"1735422418633")</f>
        <v>1735422418633</v>
      </c>
    </row>
    <row r="5484" spans="1:11" ht="12.45">
      <c r="A5484" s="2" t="str">
        <f ca="1">IFERROR(__xludf.DUMMYFUNCTION("""COMPUTED_VALUE"""),"1735422469872")</f>
        <v>1735422469872</v>
      </c>
      <c r="B5484" s="2"/>
      <c r="C5484" s="2" t="str">
        <v>0</v>
      </c>
      <c r="D5484" s="2"/>
      <c r="F5484" s="2" t="str">
        <v>0</v>
      </c>
      <c r="I5484" s="3" t="str">
        <f ca="1">IFERROR(__xludf.DUMMYFUNCTION("""COMPUTED_VALUE"""),"Đoàn Diệu My")</f>
        <v>Đoàn Diệu My</v>
      </c>
      <c r="J5484" s="3" t="str">
        <f ca="1">IFERROR(__xludf.DUMMYFUNCTION("""COMPUTED_VALUE"""),"0898625772")</f>
        <v>0898625772</v>
      </c>
      <c r="K5484" s="2" t="str">
        <f ca="1">IFERROR(__xludf.DUMMYFUNCTION("""COMPUTED_VALUE"""),"1735422469872")</f>
        <v>1735422469872</v>
      </c>
    </row>
    <row r="5485" spans="1:11" ht="12.45">
      <c r="A5485" s="2" t="str">
        <f ca="1">IFERROR(__xludf.DUMMYFUNCTION("""COMPUTED_VALUE"""),"1735422499523")</f>
        <v>1735422499523</v>
      </c>
      <c r="B5485" s="2"/>
      <c r="C5485" s="2" t="str">
        <v>0</v>
      </c>
      <c r="D5485" s="2"/>
      <c r="F5485" s="2" t="str">
        <v>0</v>
      </c>
      <c r="I5485" s="3" t="str">
        <f ca="1">IFERROR(__xludf.DUMMYFUNCTION("""COMPUTED_VALUE"""),"Nguyễn Anh Phước ")</f>
        <v xml:space="preserve">Nguyễn Anh Phước </v>
      </c>
      <c r="J5485" s="3" t="str">
        <f ca="1">IFERROR(__xludf.DUMMYFUNCTION("""COMPUTED_VALUE"""),"0988863316")</f>
        <v>0988863316</v>
      </c>
      <c r="K5485" s="2" t="str">
        <f ca="1">IFERROR(__xludf.DUMMYFUNCTION("""COMPUTED_VALUE"""),"1735422499523")</f>
        <v>1735422499523</v>
      </c>
    </row>
    <row r="5486" spans="1:11" ht="12.45">
      <c r="A5486" s="2" t="str">
        <f ca="1">IFERROR(__xludf.DUMMYFUNCTION("""COMPUTED_VALUE"""),"1735422545626")</f>
        <v>1735422545626</v>
      </c>
      <c r="B5486" s="2"/>
      <c r="C5486" s="2" t="str">
        <v>0</v>
      </c>
      <c r="D5486" s="2"/>
      <c r="F5486" s="2" t="str">
        <v>0</v>
      </c>
      <c r="I5486" s="3" t="str">
        <f ca="1">IFERROR(__xludf.DUMMYFUNCTION("""COMPUTED_VALUE"""),"Nguyễn Tuấn An")</f>
        <v>Nguyễn Tuấn An</v>
      </c>
      <c r="J5486" s="3" t="str">
        <f ca="1">IFERROR(__xludf.DUMMYFUNCTION("""COMPUTED_VALUE"""),"0799177608")</f>
        <v>0799177608</v>
      </c>
      <c r="K5486" s="2" t="str">
        <f ca="1">IFERROR(__xludf.DUMMYFUNCTION("""COMPUTED_VALUE"""),"1735422545626")</f>
        <v>1735422545626</v>
      </c>
    </row>
    <row r="5487" spans="1:11" ht="12.45">
      <c r="A5487" s="2" t="str">
        <f ca="1">IFERROR(__xludf.DUMMYFUNCTION("""COMPUTED_VALUE"""),"1735422584400")</f>
        <v>1735422584400</v>
      </c>
      <c r="B5487" s="2"/>
      <c r="C5487" s="2" t="str">
        <v>0</v>
      </c>
      <c r="D5487" s="2"/>
      <c r="F5487" s="2" t="str">
        <v>0</v>
      </c>
      <c r="I5487" s="3" t="str">
        <f ca="1">IFERROR(__xludf.DUMMYFUNCTION("""COMPUTED_VALUE"""),"Nguyễn Đức Trường")</f>
        <v>Nguyễn Đức Trường</v>
      </c>
      <c r="J5487" s="3" t="str">
        <f ca="1">IFERROR(__xludf.DUMMYFUNCTION("""COMPUTED_VALUE"""),"0333945313")</f>
        <v>0333945313</v>
      </c>
      <c r="K5487" s="2" t="str">
        <f ca="1">IFERROR(__xludf.DUMMYFUNCTION("""COMPUTED_VALUE"""),"1735422584400")</f>
        <v>1735422584400</v>
      </c>
    </row>
    <row r="5488" spans="1:11" ht="12.45">
      <c r="A5488" s="2" t="str">
        <f ca="1">IFERROR(__xludf.DUMMYFUNCTION("""COMPUTED_VALUE"""),"1735422608782")</f>
        <v>1735422608782</v>
      </c>
      <c r="B5488" s="2"/>
      <c r="C5488" s="2" t="str">
        <v>0</v>
      </c>
      <c r="D5488" s="2"/>
      <c r="F5488" s="2" t="str">
        <v>0</v>
      </c>
      <c r="I5488" s="3" t="str">
        <f ca="1">IFERROR(__xludf.DUMMYFUNCTION("""COMPUTED_VALUE"""),"Nguyễn Duy Việt Hưng")</f>
        <v>Nguyễn Duy Việt Hưng</v>
      </c>
      <c r="J5488" s="3" t="str">
        <f ca="1">IFERROR(__xludf.DUMMYFUNCTION("""COMPUTED_VALUE"""),"0777936696")</f>
        <v>0777936696</v>
      </c>
      <c r="K5488" s="2" t="str">
        <f ca="1">IFERROR(__xludf.DUMMYFUNCTION("""COMPUTED_VALUE"""),"1735422608782")</f>
        <v>1735422608782</v>
      </c>
    </row>
    <row r="5489" spans="1:11" ht="12.45">
      <c r="A5489" s="2" t="str">
        <f ca="1">IFERROR(__xludf.DUMMYFUNCTION("""COMPUTED_VALUE"""),"1735422640047")</f>
        <v>1735422640047</v>
      </c>
      <c r="B5489" s="2"/>
      <c r="C5489" s="2" t="str">
        <v>0</v>
      </c>
      <c r="D5489" s="2"/>
      <c r="F5489" s="2" t="str">
        <v>0</v>
      </c>
      <c r="I5489" s="3" t="str">
        <f ca="1">IFERROR(__xludf.DUMMYFUNCTION("""COMPUTED_VALUE"""),"Nguyễn Thị Nhung ")</f>
        <v xml:space="preserve">Nguyễn Thị Nhung </v>
      </c>
      <c r="J5489" s="3" t="str">
        <f ca="1">IFERROR(__xludf.DUMMYFUNCTION("""COMPUTED_VALUE"""),"0325746303")</f>
        <v>0325746303</v>
      </c>
      <c r="K5489" s="2" t="str">
        <f ca="1">IFERROR(__xludf.DUMMYFUNCTION("""COMPUTED_VALUE"""),"1735422640047")</f>
        <v>1735422640047</v>
      </c>
    </row>
    <row r="5490" spans="1:11" ht="12.45">
      <c r="A5490" s="2" t="str">
        <f ca="1">IFERROR(__xludf.DUMMYFUNCTION("""COMPUTED_VALUE"""),"1735422665558")</f>
        <v>1735422665558</v>
      </c>
      <c r="B5490" s="2"/>
      <c r="C5490" s="2" t="str">
        <v>0</v>
      </c>
      <c r="D5490" s="2"/>
      <c r="F5490" s="2" t="str">
        <v>0</v>
      </c>
      <c r="I5490" s="3" t="str">
        <f ca="1">IFERROR(__xludf.DUMMYFUNCTION("""COMPUTED_VALUE"""),"Lâm Lê Anh Thư")</f>
        <v>Lâm Lê Anh Thư</v>
      </c>
      <c r="J5490" s="3" t="str">
        <f ca="1">IFERROR(__xludf.DUMMYFUNCTION("""COMPUTED_VALUE"""),"0983089729")</f>
        <v>0983089729</v>
      </c>
      <c r="K5490" s="2" t="str">
        <f ca="1">IFERROR(__xludf.DUMMYFUNCTION("""COMPUTED_VALUE"""),"1735422665558")</f>
        <v>1735422665558</v>
      </c>
    </row>
    <row r="5491" spans="1:11" ht="12.45">
      <c r="A5491" s="2" t="str">
        <f ca="1">IFERROR(__xludf.DUMMYFUNCTION("""COMPUTED_VALUE"""),"1735422689661")</f>
        <v>1735422689661</v>
      </c>
      <c r="B5491" s="2"/>
      <c r="C5491" s="2" t="str">
        <v>0</v>
      </c>
      <c r="D5491" s="2"/>
      <c r="F5491" s="2" t="str">
        <v>0</v>
      </c>
      <c r="I5491" s="3" t="str">
        <f ca="1">IFERROR(__xludf.DUMMYFUNCTION("""COMPUTED_VALUE"""),"Đỗ Hương Giang")</f>
        <v>Đỗ Hương Giang</v>
      </c>
      <c r="J5491" s="3" t="str">
        <f ca="1">IFERROR(__xludf.DUMMYFUNCTION("""COMPUTED_VALUE"""),"0912272806")</f>
        <v>0912272806</v>
      </c>
      <c r="K5491" s="2" t="str">
        <f ca="1">IFERROR(__xludf.DUMMYFUNCTION("""COMPUTED_VALUE"""),"1735422689661")</f>
        <v>1735422689661</v>
      </c>
    </row>
    <row r="5492" spans="1:11" ht="12.45">
      <c r="A5492" s="2" t="str">
        <f ca="1">IFERROR(__xludf.DUMMYFUNCTION("""COMPUTED_VALUE"""),"1735422718315")</f>
        <v>1735422718315</v>
      </c>
      <c r="B5492" s="2"/>
      <c r="C5492" s="2" t="str">
        <v>0</v>
      </c>
      <c r="D5492" s="2"/>
      <c r="F5492" s="2" t="str">
        <v>0</v>
      </c>
      <c r="I5492" s="3" t="str">
        <f ca="1">IFERROR(__xludf.DUMMYFUNCTION("""COMPUTED_VALUE"""),"Trần Anh Tú")</f>
        <v>Trần Anh Tú</v>
      </c>
      <c r="J5492" s="3" t="str">
        <f ca="1">IFERROR(__xludf.DUMMYFUNCTION("""COMPUTED_VALUE"""),"0905385120")</f>
        <v>0905385120</v>
      </c>
      <c r="K5492" s="2" t="str">
        <f ca="1">IFERROR(__xludf.DUMMYFUNCTION("""COMPUTED_VALUE"""),"1735422718315")</f>
        <v>1735422718315</v>
      </c>
    </row>
    <row r="5493" spans="1:11" ht="12.45">
      <c r="A5493" s="2" t="str">
        <f ca="1">IFERROR(__xludf.DUMMYFUNCTION("""COMPUTED_VALUE"""),"1735422753788")</f>
        <v>1735422753788</v>
      </c>
      <c r="B5493" s="2"/>
      <c r="C5493" s="2" t="str">
        <v>0</v>
      </c>
      <c r="D5493" s="2"/>
      <c r="F5493" s="2" t="str">
        <v>0</v>
      </c>
      <c r="I5493" s="3" t="str">
        <f ca="1">IFERROR(__xludf.DUMMYFUNCTION("""COMPUTED_VALUE"""),"Trần Phương Thảo")</f>
        <v>Trần Phương Thảo</v>
      </c>
      <c r="J5493" s="3" t="str">
        <f ca="1">IFERROR(__xludf.DUMMYFUNCTION("""COMPUTED_VALUE"""),"0968816101")</f>
        <v>0968816101</v>
      </c>
      <c r="K5493" s="2" t="str">
        <f ca="1">IFERROR(__xludf.DUMMYFUNCTION("""COMPUTED_VALUE"""),"1735422753788")</f>
        <v>1735422753788</v>
      </c>
    </row>
    <row r="5494" spans="1:11" ht="12.45">
      <c r="A5494" s="2" t="str">
        <f ca="1">IFERROR(__xludf.DUMMYFUNCTION("""COMPUTED_VALUE"""),"1735422786798")</f>
        <v>1735422786798</v>
      </c>
      <c r="B5494" s="2"/>
      <c r="C5494" s="2" t="str">
        <v>0</v>
      </c>
      <c r="D5494" s="2"/>
      <c r="F5494" s="2" t="str">
        <v>0</v>
      </c>
      <c r="I5494" s="3" t="str">
        <f ca="1">IFERROR(__xludf.DUMMYFUNCTION("""COMPUTED_VALUE"""),"Vũ Khánh Huyền")</f>
        <v>Vũ Khánh Huyền</v>
      </c>
      <c r="J5494" s="3" t="str">
        <f ca="1">IFERROR(__xludf.DUMMYFUNCTION("""COMPUTED_VALUE"""),"0987471004")</f>
        <v>0987471004</v>
      </c>
      <c r="K5494" s="2" t="str">
        <f ca="1">IFERROR(__xludf.DUMMYFUNCTION("""COMPUTED_VALUE"""),"1735422786798")</f>
        <v>1735422786798</v>
      </c>
    </row>
    <row r="5495" spans="1:11" ht="12.45">
      <c r="A5495" s="2" t="str">
        <f ca="1">IFERROR(__xludf.DUMMYFUNCTION("""COMPUTED_VALUE"""),"1735422821700")</f>
        <v>1735422821700</v>
      </c>
      <c r="B5495" s="2"/>
      <c r="C5495" s="2" t="str">
        <v>0</v>
      </c>
      <c r="D5495" s="2"/>
      <c r="F5495" s="2" t="str">
        <v>0</v>
      </c>
      <c r="I5495" s="3" t="str">
        <f ca="1">IFERROR(__xludf.DUMMYFUNCTION("""COMPUTED_VALUE"""),"Đinh Ngọc Diệp")</f>
        <v>Đinh Ngọc Diệp</v>
      </c>
      <c r="J5495" s="3" t="str">
        <f ca="1">IFERROR(__xludf.DUMMYFUNCTION("""COMPUTED_VALUE"""),"0367402924")</f>
        <v>0367402924</v>
      </c>
      <c r="K5495" s="2" t="str">
        <f ca="1">IFERROR(__xludf.DUMMYFUNCTION("""COMPUTED_VALUE"""),"1735422821700")</f>
        <v>1735422821700</v>
      </c>
    </row>
    <row r="5496" spans="1:11" ht="12.45">
      <c r="A5496" s="2" t="str">
        <f ca="1">IFERROR(__xludf.DUMMYFUNCTION("""COMPUTED_VALUE"""),"1735422843925")</f>
        <v>1735422843925</v>
      </c>
      <c r="B5496" s="2"/>
      <c r="C5496" s="2" t="str">
        <v>0</v>
      </c>
      <c r="D5496" s="2"/>
      <c r="F5496" s="2" t="str">
        <v>0</v>
      </c>
      <c r="I5496" s="3" t="str">
        <f ca="1">IFERROR(__xludf.DUMMYFUNCTION("""COMPUTED_VALUE"""),"Nguyễn Minh Phương")</f>
        <v>Nguyễn Minh Phương</v>
      </c>
      <c r="J5496" s="3" t="str">
        <f ca="1">IFERROR(__xludf.DUMMYFUNCTION("""COMPUTED_VALUE"""),"0389623280")</f>
        <v>0389623280</v>
      </c>
      <c r="K5496" s="2" t="str">
        <f ca="1">IFERROR(__xludf.DUMMYFUNCTION("""COMPUTED_VALUE"""),"1735422843925")</f>
        <v>1735422843925</v>
      </c>
    </row>
    <row r="5497" spans="1:11" ht="12.45">
      <c r="A5497" s="2" t="str">
        <f ca="1">IFERROR(__xludf.DUMMYFUNCTION("""COMPUTED_VALUE"""),"1735422879729")</f>
        <v>1735422879729</v>
      </c>
      <c r="B5497" s="2"/>
      <c r="C5497" s="2" t="str">
        <v>0</v>
      </c>
      <c r="D5497" s="2"/>
      <c r="F5497" s="2" t="str">
        <v>0</v>
      </c>
      <c r="I5497" s="3" t="str">
        <f ca="1">IFERROR(__xludf.DUMMYFUNCTION("""COMPUTED_VALUE"""),"Nguyễn Thị Diệu Linh ")</f>
        <v xml:space="preserve">Nguyễn Thị Diệu Linh </v>
      </c>
      <c r="J5497" s="3" t="str">
        <f ca="1">IFERROR(__xludf.DUMMYFUNCTION("""COMPUTED_VALUE"""),"0835622559")</f>
        <v>0835622559</v>
      </c>
      <c r="K5497" s="2" t="str">
        <f ca="1">IFERROR(__xludf.DUMMYFUNCTION("""COMPUTED_VALUE"""),"1735422879729")</f>
        <v>1735422879729</v>
      </c>
    </row>
    <row r="5498" spans="1:11" ht="12.45">
      <c r="A5498" s="2" t="str">
        <f ca="1">IFERROR(__xludf.DUMMYFUNCTION("""COMPUTED_VALUE"""),"1735422911694")</f>
        <v>1735422911694</v>
      </c>
      <c r="B5498" s="2"/>
      <c r="C5498" s="2" t="str">
        <v>0</v>
      </c>
      <c r="D5498" s="2"/>
      <c r="F5498" s="2" t="str">
        <v>0</v>
      </c>
      <c r="I5498" s="3" t="str">
        <f ca="1">IFERROR(__xludf.DUMMYFUNCTION("""COMPUTED_VALUE"""),"Tôn Ái Linh")</f>
        <v>Tôn Ái Linh</v>
      </c>
      <c r="J5498" s="3" t="str">
        <f ca="1">IFERROR(__xludf.DUMMYFUNCTION("""COMPUTED_VALUE"""),"0976228566")</f>
        <v>0976228566</v>
      </c>
      <c r="K5498" s="2" t="str">
        <f ca="1">IFERROR(__xludf.DUMMYFUNCTION("""COMPUTED_VALUE"""),"1735422911694")</f>
        <v>1735422911694</v>
      </c>
    </row>
    <row r="5499" spans="1:11" ht="12.45">
      <c r="A5499" s="2">
        <f ca="1">IFERROR(__xludf.DUMMYFUNCTION("""COMPUTED_VALUE"""),1734634201723)</f>
        <v>1734634201723</v>
      </c>
      <c r="B5499" s="2"/>
      <c r="C5499" s="2" t="str">
        <v>0</v>
      </c>
      <c r="D5499" s="2"/>
      <c r="F5499" s="2" t="str">
        <v>0</v>
      </c>
      <c r="I5499" s="3" t="str">
        <f ca="1">IFERROR(__xludf.DUMMYFUNCTION("""COMPUTED_VALUE"""),"Trần Trí Dũng")</f>
        <v>Trần Trí Dũng</v>
      </c>
      <c r="J5499" s="3" t="str">
        <f ca="1">IFERROR(__xludf.DUMMYFUNCTION("""COMPUTED_VALUE"""),"0946232862")</f>
        <v>0946232862</v>
      </c>
      <c r="K5499" s="2">
        <f ca="1">IFERROR(__xludf.DUMMYFUNCTION("""COMPUTED_VALUE"""),1734634201723)</f>
        <v>1734634201723</v>
      </c>
    </row>
    <row r="5500" spans="1:11" ht="12.45">
      <c r="A5500" s="2" t="str">
        <f ca="1">IFERROR(__xludf.DUMMYFUNCTION("""COMPUTED_VALUE"""),"1735422938296")</f>
        <v>1735422938296</v>
      </c>
      <c r="B5500" s="2"/>
      <c r="C5500" s="2" t="str">
        <v>0</v>
      </c>
      <c r="D5500" s="2"/>
      <c r="F5500" s="2" t="str">
        <v>0</v>
      </c>
      <c r="I5500" s="3" t="str">
        <f ca="1">IFERROR(__xludf.DUMMYFUNCTION("""COMPUTED_VALUE"""),"Nguyễn Lê Huy ")</f>
        <v xml:space="preserve">Nguyễn Lê Huy </v>
      </c>
      <c r="J5500" s="3" t="str">
        <f ca="1">IFERROR(__xludf.DUMMYFUNCTION("""COMPUTED_VALUE"""),"0936855557")</f>
        <v>0936855557</v>
      </c>
      <c r="K5500" s="2" t="str">
        <f ca="1">IFERROR(__xludf.DUMMYFUNCTION("""COMPUTED_VALUE"""),"1735422938296")</f>
        <v>1735422938296</v>
      </c>
    </row>
    <row r="5501" spans="1:11" ht="12.45">
      <c r="A5501" s="2" t="str">
        <f ca="1">IFERROR(__xludf.DUMMYFUNCTION("""COMPUTED_VALUE"""),"1735422982078")</f>
        <v>1735422982078</v>
      </c>
      <c r="B5501" s="2"/>
      <c r="C5501" s="2" t="str">
        <v>0</v>
      </c>
      <c r="D5501" s="2"/>
      <c r="F5501" s="2" t="str">
        <v>0</v>
      </c>
      <c r="I5501" s="3" t="str">
        <f ca="1">IFERROR(__xludf.DUMMYFUNCTION("""COMPUTED_VALUE"""),"Dương Ngọc Tuyết Nhi")</f>
        <v>Dương Ngọc Tuyết Nhi</v>
      </c>
      <c r="J5501" s="3" t="str">
        <f ca="1">IFERROR(__xludf.DUMMYFUNCTION("""COMPUTED_VALUE"""),"0349938334")</f>
        <v>0349938334</v>
      </c>
      <c r="K5501" s="2" t="str">
        <f ca="1">IFERROR(__xludf.DUMMYFUNCTION("""COMPUTED_VALUE"""),"1735422982078")</f>
        <v>1735422982078</v>
      </c>
    </row>
    <row r="5502" spans="1:11" ht="12.45">
      <c r="A5502" s="2" t="str">
        <f ca="1">IFERROR(__xludf.DUMMYFUNCTION("""COMPUTED_VALUE"""),"1735423017369")</f>
        <v>1735423017369</v>
      </c>
      <c r="B5502" s="2"/>
      <c r="C5502" s="2" t="str">
        <v>0</v>
      </c>
      <c r="D5502" s="2"/>
      <c r="F5502" s="2" t="str">
        <v>0</v>
      </c>
      <c r="I5502" s="3" t="str">
        <f ca="1">IFERROR(__xludf.DUMMYFUNCTION("""COMPUTED_VALUE"""),"Nguyễn Huỳnh Chí Thiện")</f>
        <v>Nguyễn Huỳnh Chí Thiện</v>
      </c>
      <c r="J5502" s="3" t="str">
        <f ca="1">IFERROR(__xludf.DUMMYFUNCTION("""COMPUTED_VALUE"""),"0765216900")</f>
        <v>0765216900</v>
      </c>
      <c r="K5502" s="2" t="str">
        <f ca="1">IFERROR(__xludf.DUMMYFUNCTION("""COMPUTED_VALUE"""),"1735423017369")</f>
        <v>1735423017369</v>
      </c>
    </row>
    <row r="5503" spans="1:11" ht="12.45">
      <c r="A5503" s="2" t="str">
        <f ca="1">IFERROR(__xludf.DUMMYFUNCTION("""COMPUTED_VALUE"""),"1735423055275")</f>
        <v>1735423055275</v>
      </c>
      <c r="B5503" s="2"/>
      <c r="C5503" s="2" t="str">
        <v>0</v>
      </c>
      <c r="D5503" s="2"/>
      <c r="F5503" s="2" t="str">
        <v>0</v>
      </c>
      <c r="I5503" s="3" t="str">
        <f ca="1">IFERROR(__xludf.DUMMYFUNCTION("""COMPUTED_VALUE"""),"Nguyễn Thảo My ")</f>
        <v xml:space="preserve">Nguyễn Thảo My </v>
      </c>
      <c r="J5503" s="3" t="str">
        <f ca="1">IFERROR(__xludf.DUMMYFUNCTION("""COMPUTED_VALUE"""),"0888461049")</f>
        <v>0888461049</v>
      </c>
      <c r="K5503" s="2" t="str">
        <f ca="1">IFERROR(__xludf.DUMMYFUNCTION("""COMPUTED_VALUE"""),"1735423055275")</f>
        <v>1735423055275</v>
      </c>
    </row>
    <row r="5504" spans="1:11" ht="12.45">
      <c r="A5504" s="2" t="str">
        <f ca="1">IFERROR(__xludf.DUMMYFUNCTION("""COMPUTED_VALUE"""),"1735423101377")</f>
        <v>1735423101377</v>
      </c>
      <c r="B5504" s="2"/>
      <c r="C5504" s="2" t="str">
        <v>0</v>
      </c>
      <c r="D5504" s="2"/>
      <c r="F5504" s="2" t="str">
        <v>0</v>
      </c>
      <c r="I5504" s="3" t="str">
        <f ca="1">IFERROR(__xludf.DUMMYFUNCTION("""COMPUTED_VALUE"""),"Nguyễn Khánh Huyền ")</f>
        <v xml:space="preserve">Nguyễn Khánh Huyền </v>
      </c>
      <c r="J5504" s="3" t="str">
        <f ca="1">IFERROR(__xludf.DUMMYFUNCTION("""COMPUTED_VALUE"""),"8497998691")</f>
        <v>8497998691</v>
      </c>
      <c r="K5504" s="2" t="str">
        <f ca="1">IFERROR(__xludf.DUMMYFUNCTION("""COMPUTED_VALUE"""),"1735423101377")</f>
        <v>1735423101377</v>
      </c>
    </row>
    <row r="5505" spans="1:11" ht="12.45">
      <c r="A5505" s="2" t="str">
        <f ca="1">IFERROR(__xludf.DUMMYFUNCTION("""COMPUTED_VALUE"""),"1735423152624")</f>
        <v>1735423152624</v>
      </c>
      <c r="B5505" s="2"/>
      <c r="C5505" s="2" t="str">
        <v>0</v>
      </c>
      <c r="D5505" s="2"/>
      <c r="F5505" s="2" t="str">
        <v>0</v>
      </c>
      <c r="I5505" s="3" t="str">
        <f ca="1">IFERROR(__xludf.DUMMYFUNCTION("""COMPUTED_VALUE"""),"Nguyễn Thu Phương ")</f>
        <v xml:space="preserve">Nguyễn Thu Phương </v>
      </c>
      <c r="J5505" s="3" t="str">
        <f ca="1">IFERROR(__xludf.DUMMYFUNCTION("""COMPUTED_VALUE"""),"0344105795")</f>
        <v>0344105795</v>
      </c>
      <c r="K5505" s="2" t="str">
        <f ca="1">IFERROR(__xludf.DUMMYFUNCTION("""COMPUTED_VALUE"""),"1735423152624")</f>
        <v>1735423152624</v>
      </c>
    </row>
    <row r="5506" spans="1:11" ht="12.45">
      <c r="A5506" s="2" t="str">
        <f ca="1">IFERROR(__xludf.DUMMYFUNCTION("""COMPUTED_VALUE"""),"1735423244229")</f>
        <v>1735423244229</v>
      </c>
      <c r="B5506" s="2"/>
      <c r="C5506" s="2" t="str">
        <v>0</v>
      </c>
      <c r="D5506" s="2"/>
      <c r="F5506" s="2" t="str">
        <v>0</v>
      </c>
      <c r="I5506" s="3" t="str">
        <f ca="1">IFERROR(__xludf.DUMMYFUNCTION("""COMPUTED_VALUE"""),"Nguyễn Thị Diệp Anh")</f>
        <v>Nguyễn Thị Diệp Anh</v>
      </c>
      <c r="J5506" s="3" t="str">
        <f ca="1">IFERROR(__xludf.DUMMYFUNCTION("""COMPUTED_VALUE"""),"0389122212")</f>
        <v>0389122212</v>
      </c>
      <c r="K5506" s="2" t="str">
        <f ca="1">IFERROR(__xludf.DUMMYFUNCTION("""COMPUTED_VALUE"""),"1735423244229")</f>
        <v>1735423244229</v>
      </c>
    </row>
    <row r="5507" spans="1:11" ht="12.45">
      <c r="A5507" s="2">
        <f ca="1">IFERROR(__xludf.DUMMYFUNCTION("""COMPUTED_VALUE"""),1735782226978)</f>
        <v>1735782226978</v>
      </c>
      <c r="B5507" s="2"/>
      <c r="C5507" s="2" t="str">
        <v>0</v>
      </c>
      <c r="D5507" s="2"/>
      <c r="F5507" s="2" t="str">
        <v>0</v>
      </c>
      <c r="I5507" s="3" t="str">
        <f ca="1">IFERROR(__xludf.DUMMYFUNCTION("""COMPUTED_VALUE"""),"Huỳnh Hồ Mộng Kiều ")</f>
        <v xml:space="preserve">Huỳnh Hồ Mộng Kiều </v>
      </c>
      <c r="J5507" s="3" t="str">
        <f ca="1">IFERROR(__xludf.DUMMYFUNCTION("""COMPUTED_VALUE"""),"0973477754")</f>
        <v>0973477754</v>
      </c>
      <c r="K5507" s="2">
        <f ca="1">IFERROR(__xludf.DUMMYFUNCTION("""COMPUTED_VALUE"""),1735782226978)</f>
        <v>1735782226978</v>
      </c>
    </row>
    <row r="5508" spans="1:11" ht="12.45">
      <c r="A5508" s="2" t="str">
        <f ca="1">IFERROR(__xludf.DUMMYFUNCTION("""COMPUTED_VALUE"""),"1735423303276")</f>
        <v>1735423303276</v>
      </c>
      <c r="B5508" s="2"/>
      <c r="C5508" s="2" t="str">
        <v>0</v>
      </c>
      <c r="D5508" s="2"/>
      <c r="F5508" s="2" t="str">
        <v>0</v>
      </c>
      <c r="I5508" s="3" t="str">
        <f ca="1">IFERROR(__xludf.DUMMYFUNCTION("""COMPUTED_VALUE"""),"Nguyễn Bùi Mai Anh")</f>
        <v>Nguyễn Bùi Mai Anh</v>
      </c>
      <c r="J5508" s="3" t="str">
        <f ca="1">IFERROR(__xludf.DUMMYFUNCTION("""COMPUTED_VALUE"""),"0916734938")</f>
        <v>0916734938</v>
      </c>
      <c r="K5508" s="2" t="str">
        <f ca="1">IFERROR(__xludf.DUMMYFUNCTION("""COMPUTED_VALUE"""),"1735423303276")</f>
        <v>1735423303276</v>
      </c>
    </row>
    <row r="5509" spans="1:11" ht="12.45">
      <c r="A5509" s="2" t="str">
        <f ca="1">IFERROR(__xludf.DUMMYFUNCTION("""COMPUTED_VALUE"""),"1735423336808")</f>
        <v>1735423336808</v>
      </c>
      <c r="B5509" s="2"/>
      <c r="C5509" s="2" t="str">
        <v>0</v>
      </c>
      <c r="D5509" s="2"/>
      <c r="F5509" s="2" t="str">
        <v>0</v>
      </c>
      <c r="I5509" s="3" t="str">
        <f ca="1">IFERROR(__xludf.DUMMYFUNCTION("""COMPUTED_VALUE"""),"Trần Hoàng Lan")</f>
        <v>Trần Hoàng Lan</v>
      </c>
      <c r="J5509" s="3" t="str">
        <f ca="1">IFERROR(__xludf.DUMMYFUNCTION("""COMPUTED_VALUE"""),"0965378322")</f>
        <v>0965378322</v>
      </c>
      <c r="K5509" s="2" t="str">
        <f ca="1">IFERROR(__xludf.DUMMYFUNCTION("""COMPUTED_VALUE"""),"1735423336808")</f>
        <v>1735423336808</v>
      </c>
    </row>
    <row r="5510" spans="1:11" ht="12.45">
      <c r="A5510" s="2" t="str">
        <f ca="1">IFERROR(__xludf.DUMMYFUNCTION("""COMPUTED_VALUE"""),"1735423366241")</f>
        <v>1735423366241</v>
      </c>
      <c r="B5510" s="2"/>
      <c r="C5510" s="2" t="str">
        <v>0</v>
      </c>
      <c r="D5510" s="2"/>
      <c r="F5510" s="2" t="str">
        <v>0</v>
      </c>
      <c r="I5510" s="3" t="str">
        <f ca="1">IFERROR(__xludf.DUMMYFUNCTION("""COMPUTED_VALUE"""),"Cao Lê Thuỷ Tiên")</f>
        <v>Cao Lê Thuỷ Tiên</v>
      </c>
      <c r="J5510" s="3" t="str">
        <f ca="1">IFERROR(__xludf.DUMMYFUNCTION("""COMPUTED_VALUE"""),"0928216586")</f>
        <v>0928216586</v>
      </c>
      <c r="K5510" s="2" t="str">
        <f ca="1">IFERROR(__xludf.DUMMYFUNCTION("""COMPUTED_VALUE"""),"1735423366241")</f>
        <v>1735423366241</v>
      </c>
    </row>
    <row r="5511" spans="1:11" ht="12.45">
      <c r="A5511" s="2" t="str">
        <f ca="1">IFERROR(__xludf.DUMMYFUNCTION("""COMPUTED_VALUE"""),"1735423385666")</f>
        <v>1735423385666</v>
      </c>
      <c r="B5511" s="2"/>
      <c r="C5511" s="2" t="str">
        <v>0</v>
      </c>
      <c r="D5511" s="2"/>
      <c r="F5511" s="2" t="str">
        <v>0</v>
      </c>
      <c r="I5511" s="3" t="str">
        <f ca="1">IFERROR(__xludf.DUMMYFUNCTION("""COMPUTED_VALUE"""),"Nguyễn Minh Long")</f>
        <v>Nguyễn Minh Long</v>
      </c>
      <c r="J5511" s="3" t="str">
        <f ca="1">IFERROR(__xludf.DUMMYFUNCTION("""COMPUTED_VALUE"""),"0334903944")</f>
        <v>0334903944</v>
      </c>
      <c r="K5511" s="2" t="str">
        <f ca="1">IFERROR(__xludf.DUMMYFUNCTION("""COMPUTED_VALUE"""),"1735423385666")</f>
        <v>1735423385666</v>
      </c>
    </row>
    <row r="5512" spans="1:11" ht="12.45">
      <c r="A5512" s="2" t="str">
        <f ca="1">IFERROR(__xludf.DUMMYFUNCTION("""COMPUTED_VALUE"""),"1735423415473")</f>
        <v>1735423415473</v>
      </c>
      <c r="B5512" s="2"/>
      <c r="C5512" s="2" t="str">
        <v>0</v>
      </c>
      <c r="D5512" s="2"/>
      <c r="F5512" s="2" t="str">
        <v>0</v>
      </c>
      <c r="I5512" s="3" t="str">
        <f ca="1">IFERROR(__xludf.DUMMYFUNCTION("""COMPUTED_VALUE"""),"Đặng Nhật Minh")</f>
        <v>Đặng Nhật Minh</v>
      </c>
      <c r="J5512" s="3" t="str">
        <f ca="1">IFERROR(__xludf.DUMMYFUNCTION("""COMPUTED_VALUE"""),"8477998620")</f>
        <v>8477998620</v>
      </c>
      <c r="K5512" s="2" t="str">
        <f ca="1">IFERROR(__xludf.DUMMYFUNCTION("""COMPUTED_VALUE"""),"1735423415473")</f>
        <v>1735423415473</v>
      </c>
    </row>
    <row r="5513" spans="1:11" ht="12.45">
      <c r="A5513" s="2" t="str">
        <f ca="1">IFERROR(__xludf.DUMMYFUNCTION("""COMPUTED_VALUE"""),"1735423472353")</f>
        <v>1735423472353</v>
      </c>
      <c r="B5513" s="2"/>
      <c r="C5513" s="2" t="str">
        <v>0</v>
      </c>
      <c r="D5513" s="2"/>
      <c r="F5513" s="2" t="str">
        <v>0</v>
      </c>
      <c r="I5513" s="3" t="str">
        <f ca="1">IFERROR(__xludf.DUMMYFUNCTION("""COMPUTED_VALUE"""),"Hoàng Thu Hường")</f>
        <v>Hoàng Thu Hường</v>
      </c>
      <c r="J5513" s="3" t="str">
        <f ca="1">IFERROR(__xludf.DUMMYFUNCTION("""COMPUTED_VALUE"""),"0974670819")</f>
        <v>0974670819</v>
      </c>
      <c r="K5513" s="2" t="str">
        <f ca="1">IFERROR(__xludf.DUMMYFUNCTION("""COMPUTED_VALUE"""),"1735423472353")</f>
        <v>1735423472353</v>
      </c>
    </row>
    <row r="5514" spans="1:11" ht="12.45">
      <c r="A5514" s="2" t="str">
        <f ca="1">IFERROR(__xludf.DUMMYFUNCTION("""COMPUTED_VALUE"""),"1735423549365")</f>
        <v>1735423549365</v>
      </c>
      <c r="B5514" s="2"/>
      <c r="C5514" s="2" t="str">
        <v>0</v>
      </c>
      <c r="D5514" s="2"/>
      <c r="F5514" s="2" t="str">
        <v>0</v>
      </c>
      <c r="I5514" s="3" t="str">
        <f ca="1">IFERROR(__xludf.DUMMYFUNCTION("""COMPUTED_VALUE"""),"Nguyễn Thị Diệp Ánh")</f>
        <v>Nguyễn Thị Diệp Ánh</v>
      </c>
      <c r="J5514" s="3" t="str">
        <f ca="1">IFERROR(__xludf.DUMMYFUNCTION("""COMPUTED_VALUE"""),"0817216848")</f>
        <v>0817216848</v>
      </c>
      <c r="K5514" s="2" t="str">
        <f ca="1">IFERROR(__xludf.DUMMYFUNCTION("""COMPUTED_VALUE"""),"1735423549365")</f>
        <v>1735423549365</v>
      </c>
    </row>
    <row r="5515" spans="1:11" ht="12.45">
      <c r="A5515" s="2" t="str">
        <f ca="1">IFERROR(__xludf.DUMMYFUNCTION("""COMPUTED_VALUE"""),"1735423592501")</f>
        <v>1735423592501</v>
      </c>
      <c r="B5515" s="2"/>
      <c r="C5515" s="2" t="str">
        <v>0</v>
      </c>
      <c r="D5515" s="2"/>
      <c r="F5515" s="2" t="str">
        <v>0</v>
      </c>
      <c r="I5515" s="3" t="str">
        <f ca="1">IFERROR(__xludf.DUMMYFUNCTION("""COMPUTED_VALUE"""),"Đào Hồ Nguyên Anh")</f>
        <v>Đào Hồ Nguyên Anh</v>
      </c>
      <c r="J5515" s="3" t="str">
        <f ca="1">IFERROR(__xludf.DUMMYFUNCTION("""COMPUTED_VALUE"""),"0865865499")</f>
        <v>0865865499</v>
      </c>
      <c r="K5515" s="2" t="str">
        <f ca="1">IFERROR(__xludf.DUMMYFUNCTION("""COMPUTED_VALUE"""),"1735423592501")</f>
        <v>1735423592501</v>
      </c>
    </row>
    <row r="5516" spans="1:11" ht="12.45">
      <c r="A5516" s="2" t="str">
        <f ca="1">IFERROR(__xludf.DUMMYFUNCTION("""COMPUTED_VALUE"""),"1735423634262")</f>
        <v>1735423634262</v>
      </c>
      <c r="B5516" s="2"/>
      <c r="C5516" s="2" t="str">
        <v>0</v>
      </c>
      <c r="D5516" s="2"/>
      <c r="F5516" s="2" t="str">
        <v>0</v>
      </c>
      <c r="I5516" s="3" t="str">
        <f ca="1">IFERROR(__xludf.DUMMYFUNCTION("""COMPUTED_VALUE"""),"Nguyễn Ngọc Anh ")</f>
        <v xml:space="preserve">Nguyễn Ngọc Anh </v>
      </c>
      <c r="J5516" s="3" t="str">
        <f ca="1">IFERROR(__xludf.DUMMYFUNCTION("""COMPUTED_VALUE"""),"0989081697")</f>
        <v>0989081697</v>
      </c>
      <c r="K5516" s="2" t="str">
        <f ca="1">IFERROR(__xludf.DUMMYFUNCTION("""COMPUTED_VALUE"""),"1735423634262")</f>
        <v>1735423634262</v>
      </c>
    </row>
    <row r="5517" spans="1:11" ht="12.45">
      <c r="A5517" s="2" t="str">
        <f ca="1">IFERROR(__xludf.DUMMYFUNCTION("""COMPUTED_VALUE"""),"1735423678616")</f>
        <v>1735423678616</v>
      </c>
      <c r="B5517" s="2"/>
      <c r="C5517" s="2" t="str">
        <v>0</v>
      </c>
      <c r="D5517" s="2"/>
      <c r="F5517" s="2" t="str">
        <v>0</v>
      </c>
      <c r="I5517" s="3" t="str">
        <f ca="1">IFERROR(__xludf.DUMMYFUNCTION("""COMPUTED_VALUE"""),"Phạm Quỳnh Mai")</f>
        <v>Phạm Quỳnh Mai</v>
      </c>
      <c r="J5517" s="3" t="str">
        <f ca="1">IFERROR(__xludf.DUMMYFUNCTION("""COMPUTED_VALUE"""),"0775951107")</f>
        <v>0775951107</v>
      </c>
      <c r="K5517" s="2" t="str">
        <f ca="1">IFERROR(__xludf.DUMMYFUNCTION("""COMPUTED_VALUE"""),"1735423678616")</f>
        <v>1735423678616</v>
      </c>
    </row>
    <row r="5518" spans="1:11" ht="12.45">
      <c r="A5518" s="2" t="str">
        <f ca="1">IFERROR(__xludf.DUMMYFUNCTION("""COMPUTED_VALUE"""),"1735423720703")</f>
        <v>1735423720703</v>
      </c>
      <c r="B5518" s="2"/>
      <c r="C5518" s="2" t="str">
        <v>0</v>
      </c>
      <c r="D5518" s="2"/>
      <c r="F5518" s="2" t="str">
        <v>0</v>
      </c>
      <c r="I5518" s="3" t="str">
        <f ca="1">IFERROR(__xludf.DUMMYFUNCTION("""COMPUTED_VALUE"""),"Phạm Lê Gia Bảo")</f>
        <v>Phạm Lê Gia Bảo</v>
      </c>
      <c r="J5518" s="3" t="str">
        <f ca="1">IFERROR(__xludf.DUMMYFUNCTION("""COMPUTED_VALUE"""),"0877792947")</f>
        <v>0877792947</v>
      </c>
      <c r="K5518" s="2" t="str">
        <f ca="1">IFERROR(__xludf.DUMMYFUNCTION("""COMPUTED_VALUE"""),"1735423720703")</f>
        <v>1735423720703</v>
      </c>
    </row>
    <row r="5519" spans="1:11" ht="12.45">
      <c r="A5519" s="2" t="str">
        <f ca="1">IFERROR(__xludf.DUMMYFUNCTION("""COMPUTED_VALUE"""),"1735423767782")</f>
        <v>1735423767782</v>
      </c>
      <c r="B5519" s="2"/>
      <c r="C5519" s="2" t="str">
        <v>0</v>
      </c>
      <c r="D5519" s="2"/>
      <c r="F5519" s="2" t="str">
        <v>0</v>
      </c>
      <c r="I5519" s="3" t="str">
        <f ca="1">IFERROR(__xludf.DUMMYFUNCTION("""COMPUTED_VALUE"""),"Đinh THỊ Trà My")</f>
        <v>Đinh THỊ Trà My</v>
      </c>
      <c r="J5519" s="3" t="str">
        <f ca="1">IFERROR(__xludf.DUMMYFUNCTION("""COMPUTED_VALUE"""),"0378898846")</f>
        <v>0378898846</v>
      </c>
      <c r="K5519" s="2" t="str">
        <f ca="1">IFERROR(__xludf.DUMMYFUNCTION("""COMPUTED_VALUE"""),"1735423767782")</f>
        <v>1735423767782</v>
      </c>
    </row>
    <row r="5520" spans="1:11" ht="12.45">
      <c r="A5520" s="2" t="str">
        <f ca="1">IFERROR(__xludf.DUMMYFUNCTION("""COMPUTED_VALUE"""),"1735423809204")</f>
        <v>1735423809204</v>
      </c>
      <c r="B5520" s="2"/>
      <c r="C5520" s="2" t="str">
        <v>0</v>
      </c>
      <c r="D5520" s="2"/>
      <c r="F5520" s="2" t="str">
        <v>0</v>
      </c>
      <c r="I5520" s="3" t="str">
        <f ca="1">IFERROR(__xludf.DUMMYFUNCTION("""COMPUTED_VALUE"""),"Bùi thị Minh Thu")</f>
        <v>Bùi thị Minh Thu</v>
      </c>
      <c r="J5520" s="3" t="str">
        <f ca="1">IFERROR(__xludf.DUMMYFUNCTION("""COMPUTED_VALUE"""),"0914960726")</f>
        <v>0914960726</v>
      </c>
      <c r="K5520" s="2" t="str">
        <f ca="1">IFERROR(__xludf.DUMMYFUNCTION("""COMPUTED_VALUE"""),"1735423809204")</f>
        <v>1735423809204</v>
      </c>
    </row>
    <row r="5521" spans="1:11" ht="12.45">
      <c r="A5521" s="2" t="str">
        <f ca="1">IFERROR(__xludf.DUMMYFUNCTION("""COMPUTED_VALUE"""),"1735423834144")</f>
        <v>1735423834144</v>
      </c>
      <c r="B5521" s="2"/>
      <c r="C5521" s="2" t="str">
        <v>0</v>
      </c>
      <c r="D5521" s="2"/>
      <c r="F5521" s="2" t="str">
        <v>0</v>
      </c>
      <c r="I5521" s="3" t="str">
        <f ca="1">IFERROR(__xludf.DUMMYFUNCTION("""COMPUTED_VALUE"""),"Nguyễn Thị Phương Anh")</f>
        <v>Nguyễn Thị Phương Anh</v>
      </c>
      <c r="J5521" s="3" t="str">
        <f ca="1">IFERROR(__xludf.DUMMYFUNCTION("""COMPUTED_VALUE"""),"0979068435")</f>
        <v>0979068435</v>
      </c>
      <c r="K5521" s="2" t="str">
        <f ca="1">IFERROR(__xludf.DUMMYFUNCTION("""COMPUTED_VALUE"""),"1735423834144")</f>
        <v>1735423834144</v>
      </c>
    </row>
    <row r="5522" spans="1:11" ht="12.45">
      <c r="A5522" s="2" t="str">
        <f ca="1">IFERROR(__xludf.DUMMYFUNCTION("""COMPUTED_VALUE"""),"1735423879157")</f>
        <v>1735423879157</v>
      </c>
      <c r="B5522" s="2"/>
      <c r="C5522" s="2" t="str">
        <v>0</v>
      </c>
      <c r="D5522" s="2"/>
      <c r="F5522" s="2" t="str">
        <v>0</v>
      </c>
      <c r="I5522" s="3" t="str">
        <f ca="1">IFERROR(__xludf.DUMMYFUNCTION("""COMPUTED_VALUE"""),"Bùi Thuỳ Linh")</f>
        <v>Bùi Thuỳ Linh</v>
      </c>
      <c r="J5522" s="3" t="str">
        <f ca="1">IFERROR(__xludf.DUMMYFUNCTION("""COMPUTED_VALUE"""),"0329823928")</f>
        <v>0329823928</v>
      </c>
      <c r="K5522" s="2" t="str">
        <f ca="1">IFERROR(__xludf.DUMMYFUNCTION("""COMPUTED_VALUE"""),"1735423879157")</f>
        <v>1735423879157</v>
      </c>
    </row>
    <row r="5523" spans="1:11" ht="12.45">
      <c r="A5523" s="2" t="str">
        <f ca="1">IFERROR(__xludf.DUMMYFUNCTION("""COMPUTED_VALUE"""),"1735423935659")</f>
        <v>1735423935659</v>
      </c>
      <c r="B5523" s="2"/>
      <c r="C5523" s="2" t="str">
        <v>0</v>
      </c>
      <c r="D5523" s="2"/>
      <c r="F5523" s="2" t="str">
        <v>0</v>
      </c>
      <c r="I5523" s="3" t="str">
        <f ca="1">IFERROR(__xludf.DUMMYFUNCTION("""COMPUTED_VALUE"""),"Nguyễn Thị Khánh Ly ")</f>
        <v xml:space="preserve">Nguyễn Thị Khánh Ly </v>
      </c>
      <c r="J5523" s="3" t="str">
        <f ca="1">IFERROR(__xludf.DUMMYFUNCTION("""COMPUTED_VALUE"""),"0388820010")</f>
        <v>0388820010</v>
      </c>
      <c r="K5523" s="2" t="str">
        <f ca="1">IFERROR(__xludf.DUMMYFUNCTION("""COMPUTED_VALUE"""),"1735423935659")</f>
        <v>1735423935659</v>
      </c>
    </row>
    <row r="5524" spans="1:11" ht="12.45">
      <c r="A5524" s="2" t="str">
        <f ca="1">IFERROR(__xludf.DUMMYFUNCTION("""COMPUTED_VALUE"""),"1735423964828")</f>
        <v>1735423964828</v>
      </c>
      <c r="B5524" s="2"/>
      <c r="C5524" s="2" t="str">
        <v>0</v>
      </c>
      <c r="D5524" s="2"/>
      <c r="F5524" s="2" t="str">
        <v>0</v>
      </c>
      <c r="I5524" s="3" t="str">
        <f ca="1">IFERROR(__xludf.DUMMYFUNCTION("""COMPUTED_VALUE"""),"Vũ Nguyễn Hiền Thảo ")</f>
        <v xml:space="preserve">Vũ Nguyễn Hiền Thảo </v>
      </c>
      <c r="J5524" s="3" t="str">
        <f ca="1">IFERROR(__xludf.DUMMYFUNCTION("""COMPUTED_VALUE"""),"0569389089")</f>
        <v>0569389089</v>
      </c>
      <c r="K5524" s="2" t="str">
        <f ca="1">IFERROR(__xludf.DUMMYFUNCTION("""COMPUTED_VALUE"""),"1735423964828")</f>
        <v>1735423964828</v>
      </c>
    </row>
    <row r="5525" spans="1:11" ht="12.45">
      <c r="A5525" s="2" t="str">
        <f ca="1">IFERROR(__xludf.DUMMYFUNCTION("""COMPUTED_VALUE"""),"1735423994081")</f>
        <v>1735423994081</v>
      </c>
      <c r="B5525" s="2"/>
      <c r="C5525" s="2" t="str">
        <v>0</v>
      </c>
      <c r="D5525" s="2"/>
      <c r="F5525" s="2" t="str">
        <v>0</v>
      </c>
      <c r="I5525" s="3" t="str">
        <f ca="1">IFERROR(__xludf.DUMMYFUNCTION("""COMPUTED_VALUE"""),"Đoàn mạnh hùng")</f>
        <v>Đoàn mạnh hùng</v>
      </c>
      <c r="J5525" s="3" t="str">
        <f ca="1">IFERROR(__xludf.DUMMYFUNCTION("""COMPUTED_VALUE"""),"0399721590")</f>
        <v>0399721590</v>
      </c>
      <c r="K5525" s="2" t="str">
        <f ca="1">IFERROR(__xludf.DUMMYFUNCTION("""COMPUTED_VALUE"""),"1735423994081")</f>
        <v>1735423994081</v>
      </c>
    </row>
    <row r="5526" spans="1:11" ht="12.45">
      <c r="A5526" s="2" t="str">
        <f ca="1">IFERROR(__xludf.DUMMYFUNCTION("""COMPUTED_VALUE"""),"1735424041622")</f>
        <v>1735424041622</v>
      </c>
      <c r="B5526" s="2"/>
      <c r="C5526" s="2" t="str">
        <v>0</v>
      </c>
      <c r="D5526" s="2"/>
      <c r="F5526" s="2" t="str">
        <v>0</v>
      </c>
      <c r="I5526" s="3" t="str">
        <f ca="1">IFERROR(__xludf.DUMMYFUNCTION("""COMPUTED_VALUE"""),"Phùng Chí Khang")</f>
        <v>Phùng Chí Khang</v>
      </c>
      <c r="J5526" s="3" t="str">
        <f ca="1">IFERROR(__xludf.DUMMYFUNCTION("""COMPUTED_VALUE"""),"0819246263")</f>
        <v>0819246263</v>
      </c>
      <c r="K5526" s="2" t="str">
        <f ca="1">IFERROR(__xludf.DUMMYFUNCTION("""COMPUTED_VALUE"""),"1735424041622")</f>
        <v>1735424041622</v>
      </c>
    </row>
    <row r="5527" spans="1:11" ht="12.45">
      <c r="A5527" s="2">
        <f ca="1">IFERROR(__xludf.DUMMYFUNCTION("""COMPUTED_VALUE"""),1739711053699)</f>
        <v>1739711053699</v>
      </c>
      <c r="B5527" s="2"/>
      <c r="C5527" s="2" t="str">
        <v>0</v>
      </c>
      <c r="D5527" s="2"/>
      <c r="F5527" s="2" t="str">
        <v>0</v>
      </c>
      <c r="I5527" s="3" t="str">
        <f ca="1">IFERROR(__xludf.DUMMYFUNCTION("""COMPUTED_VALUE"""),"Võ Thị Yến Nhi ")</f>
        <v xml:space="preserve">Võ Thị Yến Nhi </v>
      </c>
      <c r="J5527" s="3" t="str">
        <f ca="1">IFERROR(__xludf.DUMMYFUNCTION("""COMPUTED_VALUE"""),"0347477811")</f>
        <v>0347477811</v>
      </c>
      <c r="K5527" s="2">
        <f ca="1">IFERROR(__xludf.DUMMYFUNCTION("""COMPUTED_VALUE"""),1739711053699)</f>
        <v>1739711053699</v>
      </c>
    </row>
    <row r="5528" spans="1:11" ht="12.45">
      <c r="A5528" s="2" t="str">
        <f ca="1">IFERROR(__xludf.DUMMYFUNCTION("""COMPUTED_VALUE"""),"1759041028882")</f>
        <v>1759041028882</v>
      </c>
      <c r="B5528" s="2"/>
      <c r="C5528" s="2" t="str">
        <v>0</v>
      </c>
      <c r="D5528" s="2"/>
      <c r="F5528" s="2" t="str">
        <v>0</v>
      </c>
      <c r="I5528" s="3" t="str">
        <f ca="1">IFERROR(__xludf.DUMMYFUNCTION("""COMPUTED_VALUE"""),"Đào Thu Trang")</f>
        <v>Đào Thu Trang</v>
      </c>
      <c r="J5528" s="3" t="str">
        <f ca="1">IFERROR(__xludf.DUMMYFUNCTION("""COMPUTED_VALUE"""),"0334096021")</f>
        <v>0334096021</v>
      </c>
      <c r="K5528" s="2" t="str">
        <f ca="1">IFERROR(__xludf.DUMMYFUNCTION("""COMPUTED_VALUE"""),"1759041028882")</f>
        <v>1759041028882</v>
      </c>
    </row>
    <row r="5529" spans="1:11" ht="12.45">
      <c r="A5529" s="2" t="str">
        <f ca="1">IFERROR(__xludf.DUMMYFUNCTION("""COMPUTED_VALUE"""),"1759041071778")</f>
        <v>1759041071778</v>
      </c>
      <c r="B5529" s="2"/>
      <c r="C5529" s="2" t="str">
        <v>0</v>
      </c>
      <c r="D5529" s="2"/>
      <c r="F5529" s="2" t="str">
        <v>0</v>
      </c>
      <c r="I5529" s="3" t="str">
        <f ca="1">IFERROR(__xludf.DUMMYFUNCTION("""COMPUTED_VALUE"""),"Trần Thị Thu Hoà ")</f>
        <v xml:space="preserve">Trần Thị Thu Hoà </v>
      </c>
      <c r="J5529" s="3" t="str">
        <f ca="1">IFERROR(__xludf.DUMMYFUNCTION("""COMPUTED_VALUE"""),"0889080620")</f>
        <v>0889080620</v>
      </c>
      <c r="K5529" s="2" t="str">
        <f ca="1">IFERROR(__xludf.DUMMYFUNCTION("""COMPUTED_VALUE"""),"1759041071778")</f>
        <v>1759041071778</v>
      </c>
    </row>
    <row r="5530" spans="1:11" ht="12.45">
      <c r="A5530" s="2" t="str">
        <f ca="1">IFERROR(__xludf.DUMMYFUNCTION("""COMPUTED_VALUE"""),"1759041102120")</f>
        <v>1759041102120</v>
      </c>
      <c r="B5530" s="2"/>
      <c r="C5530" s="2" t="str">
        <v>0</v>
      </c>
      <c r="D5530" s="2"/>
      <c r="F5530" s="2" t="str">
        <v>0</v>
      </c>
      <c r="I5530" s="3" t="str">
        <f ca="1">IFERROR(__xludf.DUMMYFUNCTION("""COMPUTED_VALUE"""),"Mưu Triệu Vy")</f>
        <v>Mưu Triệu Vy</v>
      </c>
      <c r="J5530" s="3" t="str">
        <f ca="1">IFERROR(__xludf.DUMMYFUNCTION("""COMPUTED_VALUE"""),"0358833207")</f>
        <v>0358833207</v>
      </c>
      <c r="K5530" s="2" t="str">
        <f ca="1">IFERROR(__xludf.DUMMYFUNCTION("""COMPUTED_VALUE"""),"1759041102120")</f>
        <v>1759041102120</v>
      </c>
    </row>
    <row r="5531" spans="1:11" ht="12.45">
      <c r="A5531" s="2" t="str">
        <f ca="1">IFERROR(__xludf.DUMMYFUNCTION("""COMPUTED_VALUE"""),"1759041143384")</f>
        <v>1759041143384</v>
      </c>
      <c r="B5531" s="2"/>
      <c r="C5531" s="2" t="str">
        <v>0</v>
      </c>
      <c r="D5531" s="2"/>
      <c r="F5531" s="2" t="str">
        <v>0</v>
      </c>
      <c r="I5531" s="3" t="str">
        <f ca="1">IFERROR(__xludf.DUMMYFUNCTION("""COMPUTED_VALUE"""),"Phạm Thị Diệu Linh ")</f>
        <v xml:space="preserve">Phạm Thị Diệu Linh </v>
      </c>
      <c r="J5531" s="3" t="str">
        <f ca="1">IFERROR(__xludf.DUMMYFUNCTION("""COMPUTED_VALUE"""),"0386844023")</f>
        <v>0386844023</v>
      </c>
      <c r="K5531" s="2" t="str">
        <f ca="1">IFERROR(__xludf.DUMMYFUNCTION("""COMPUTED_VALUE"""),"1759041143384")</f>
        <v>1759041143384</v>
      </c>
    </row>
    <row r="5532" spans="1:11" ht="12.45">
      <c r="A5532" s="2" t="str">
        <f ca="1">IFERROR(__xludf.DUMMYFUNCTION("""COMPUTED_VALUE"""),"1759041197982")</f>
        <v>1759041197982</v>
      </c>
      <c r="B5532" s="2"/>
      <c r="C5532" s="2" t="str">
        <v>0</v>
      </c>
      <c r="D5532" s="2"/>
      <c r="F5532" s="2" t="str">
        <v>0</v>
      </c>
      <c r="I5532" s="3" t="str">
        <f ca="1">IFERROR(__xludf.DUMMYFUNCTION("""COMPUTED_VALUE"""),"Hoàng Nữ Phương Nhi")</f>
        <v>Hoàng Nữ Phương Nhi</v>
      </c>
      <c r="J5532" s="3" t="str">
        <f ca="1">IFERROR(__xludf.DUMMYFUNCTION("""COMPUTED_VALUE"""),"0915305829")</f>
        <v>0915305829</v>
      </c>
      <c r="K5532" s="2" t="str">
        <f ca="1">IFERROR(__xludf.DUMMYFUNCTION("""COMPUTED_VALUE"""),"1759041197982")</f>
        <v>1759041197982</v>
      </c>
    </row>
    <row r="5533" spans="1:11" ht="12.45">
      <c r="A5533" s="2" t="str">
        <f ca="1">IFERROR(__xludf.DUMMYFUNCTION("""COMPUTED_VALUE"""),"1759041253108")</f>
        <v>1759041253108</v>
      </c>
      <c r="B5533" s="2"/>
      <c r="C5533" s="2" t="str">
        <v>0</v>
      </c>
      <c r="D5533" s="2"/>
      <c r="F5533" s="2" t="str">
        <v>0</v>
      </c>
      <c r="I5533" s="3" t="str">
        <f ca="1">IFERROR(__xludf.DUMMYFUNCTION("""COMPUTED_VALUE"""),"Dương Ngọc Hân")</f>
        <v>Dương Ngọc Hân</v>
      </c>
      <c r="J5533" s="3" t="str">
        <f ca="1">IFERROR(__xludf.DUMMYFUNCTION("""COMPUTED_VALUE"""),"0373653405")</f>
        <v>0373653405</v>
      </c>
      <c r="K5533" s="2" t="str">
        <f ca="1">IFERROR(__xludf.DUMMYFUNCTION("""COMPUTED_VALUE"""),"1759041253108")</f>
        <v>1759041253108</v>
      </c>
    </row>
    <row r="5534" spans="1:11" ht="12.45">
      <c r="A5534" s="2" t="str">
        <f ca="1">IFERROR(__xludf.DUMMYFUNCTION("""COMPUTED_VALUE"""),"1735424067324")</f>
        <v>1735424067324</v>
      </c>
      <c r="B5534" s="2"/>
      <c r="C5534" s="2" t="str">
        <v>0</v>
      </c>
      <c r="D5534" s="2"/>
      <c r="F5534" s="2" t="str">
        <v>0</v>
      </c>
      <c r="I5534" s="3" t="str">
        <f ca="1">IFERROR(__xludf.DUMMYFUNCTION("""COMPUTED_VALUE"""),"Nguyễn Ngọc Hà Anh")</f>
        <v>Nguyễn Ngọc Hà Anh</v>
      </c>
      <c r="J5534" s="3" t="str">
        <f ca="1">IFERROR(__xludf.DUMMYFUNCTION("""COMPUTED_VALUE"""),"0334532285")</f>
        <v>0334532285</v>
      </c>
      <c r="K5534" s="2" t="str">
        <f ca="1">IFERROR(__xludf.DUMMYFUNCTION("""COMPUTED_VALUE"""),"1735424067324")</f>
        <v>1735424067324</v>
      </c>
    </row>
    <row r="5535" spans="1:11" ht="12.45">
      <c r="A5535" s="2" t="str">
        <f ca="1">IFERROR(__xludf.DUMMYFUNCTION("""COMPUTED_VALUE"""),"1735424094135")</f>
        <v>1735424094135</v>
      </c>
      <c r="B5535" s="2"/>
      <c r="C5535" s="2" t="str">
        <v>0</v>
      </c>
      <c r="D5535" s="2"/>
      <c r="F5535" s="2" t="str">
        <v>0</v>
      </c>
      <c r="I5535" s="3" t="str">
        <f ca="1">IFERROR(__xludf.DUMMYFUNCTION("""COMPUTED_VALUE"""),"Nguyễn Phương Uyên")</f>
        <v>Nguyễn Phương Uyên</v>
      </c>
      <c r="J5535" s="3" t="str">
        <f ca="1">IFERROR(__xludf.DUMMYFUNCTION("""COMPUTED_VALUE"""),"0964804129")</f>
        <v>0964804129</v>
      </c>
      <c r="K5535" s="2" t="str">
        <f ca="1">IFERROR(__xludf.DUMMYFUNCTION("""COMPUTED_VALUE"""),"1735424094135")</f>
        <v>1735424094135</v>
      </c>
    </row>
    <row r="5536" spans="1:11" ht="12.45">
      <c r="A5536" s="2" t="str">
        <f ca="1">IFERROR(__xludf.DUMMYFUNCTION("""COMPUTED_VALUE"""),"1759041295120")</f>
        <v>1759041295120</v>
      </c>
      <c r="B5536" s="2"/>
      <c r="C5536" s="2" t="str">
        <v>0</v>
      </c>
      <c r="D5536" s="2"/>
      <c r="F5536" s="2" t="str">
        <v>0</v>
      </c>
      <c r="I5536" s="3" t="str">
        <f ca="1">IFERROR(__xludf.DUMMYFUNCTION("""COMPUTED_VALUE"""),"Tào Ngọc Anh")</f>
        <v>Tào Ngọc Anh</v>
      </c>
      <c r="J5536" s="3" t="str">
        <f ca="1">IFERROR(__xludf.DUMMYFUNCTION("""COMPUTED_VALUE"""),"0966657828")</f>
        <v>0966657828</v>
      </c>
      <c r="K5536" s="2" t="str">
        <f ca="1">IFERROR(__xludf.DUMMYFUNCTION("""COMPUTED_VALUE"""),"1759041295120")</f>
        <v>1759041295120</v>
      </c>
    </row>
    <row r="5537" spans="1:11" ht="12.45">
      <c r="A5537" s="2" t="str">
        <f ca="1">IFERROR(__xludf.DUMMYFUNCTION("""COMPUTED_VALUE"""),"1759041330585")</f>
        <v>1759041330585</v>
      </c>
      <c r="B5537" s="2"/>
      <c r="C5537" s="2" t="str">
        <v>0</v>
      </c>
      <c r="D5537" s="2"/>
      <c r="F5537" s="2" t="str">
        <v>0</v>
      </c>
      <c r="I5537" s="3" t="str">
        <f ca="1">IFERROR(__xludf.DUMMYFUNCTION("""COMPUTED_VALUE"""),"Dương Uyên Thiên Bình ")</f>
        <v xml:space="preserve">Dương Uyên Thiên Bình </v>
      </c>
      <c r="J5537" s="3" t="str">
        <f ca="1">IFERROR(__xludf.DUMMYFUNCTION("""COMPUTED_VALUE"""),"0586980244")</f>
        <v>0586980244</v>
      </c>
      <c r="K5537" s="2" t="str">
        <f ca="1">IFERROR(__xludf.DUMMYFUNCTION("""COMPUTED_VALUE"""),"1759041330585")</f>
        <v>1759041330585</v>
      </c>
    </row>
    <row r="5538" spans="1:11" ht="12.45">
      <c r="A5538" s="2" t="str">
        <f ca="1">IFERROR(__xludf.DUMMYFUNCTION("""COMPUTED_VALUE"""),"1735424122407")</f>
        <v>1735424122407</v>
      </c>
      <c r="B5538" s="2"/>
      <c r="C5538" s="2" t="str">
        <v>0</v>
      </c>
      <c r="D5538" s="2"/>
      <c r="F5538" s="2" t="str">
        <v>0</v>
      </c>
      <c r="I5538" s="3" t="str">
        <f ca="1">IFERROR(__xludf.DUMMYFUNCTION("""COMPUTED_VALUE"""),"Nguyễn Phương Thúy ")</f>
        <v xml:space="preserve">Nguyễn Phương Thúy </v>
      </c>
      <c r="J5538" s="3" t="str">
        <f ca="1">IFERROR(__xludf.DUMMYFUNCTION("""COMPUTED_VALUE"""),"0342613234")</f>
        <v>0342613234</v>
      </c>
      <c r="K5538" s="2" t="str">
        <f ca="1">IFERROR(__xludf.DUMMYFUNCTION("""COMPUTED_VALUE"""),"1735424122407")</f>
        <v>1735424122407</v>
      </c>
    </row>
    <row r="5539" spans="1:11" ht="12.45">
      <c r="A5539" s="2" t="str">
        <f ca="1">IFERROR(__xludf.DUMMYFUNCTION("""COMPUTED_VALUE"""),"Không giao sách")</f>
        <v>Không giao sách</v>
      </c>
      <c r="B5539" s="2"/>
      <c r="C5539" s="2" t="str">
        <v>0</v>
      </c>
      <c r="D5539" s="2"/>
      <c r="F5539" s="2" t="str">
        <v>0</v>
      </c>
      <c r="I5539" s="3" t="str">
        <f ca="1">IFERROR(__xludf.DUMMYFUNCTION("""COMPUTED_VALUE"""),"Nguyễn Nhã Kha ")</f>
        <v xml:space="preserve">Nguyễn Nhã Kha </v>
      </c>
      <c r="J5539" s="3" t="str">
        <f ca="1">IFERROR(__xludf.DUMMYFUNCTION("""COMPUTED_VALUE"""),"0793988545")</f>
        <v>0793988545</v>
      </c>
      <c r="K5539" s="2" t="str">
        <f ca="1">IFERROR(__xludf.DUMMYFUNCTION("""COMPUTED_VALUE"""),"Không giao sách")</f>
        <v>Không giao sách</v>
      </c>
    </row>
    <row r="5540" spans="1:11" ht="12.45">
      <c r="A5540" s="2" t="str">
        <f ca="1">IFERROR(__xludf.DUMMYFUNCTION("""COMPUTED_VALUE"""),"1759041377833")</f>
        <v>1759041377833</v>
      </c>
      <c r="B5540" s="2"/>
      <c r="C5540" s="2" t="str">
        <v>0</v>
      </c>
      <c r="D5540" s="2"/>
      <c r="F5540" s="2" t="str">
        <v>0</v>
      </c>
      <c r="I5540" s="3" t="str">
        <f ca="1">IFERROR(__xludf.DUMMYFUNCTION("""COMPUTED_VALUE"""),"Trần Thu Huyền")</f>
        <v>Trần Thu Huyền</v>
      </c>
      <c r="J5540" s="3" t="str">
        <f ca="1">IFERROR(__xludf.DUMMYFUNCTION("""COMPUTED_VALUE"""),"0828878258")</f>
        <v>0828878258</v>
      </c>
      <c r="K5540" s="2" t="str">
        <f ca="1">IFERROR(__xludf.DUMMYFUNCTION("""COMPUTED_VALUE"""),"1759041377833")</f>
        <v>1759041377833</v>
      </c>
    </row>
    <row r="5541" spans="1:11" ht="12.45">
      <c r="A5541" s="2" t="str">
        <f ca="1">IFERROR(__xludf.DUMMYFUNCTION("""COMPUTED_VALUE"""),"1759041437241")</f>
        <v>1759041437241</v>
      </c>
      <c r="B5541" s="2"/>
      <c r="C5541" s="2" t="str">
        <v>0</v>
      </c>
      <c r="D5541" s="2"/>
      <c r="F5541" s="2" t="str">
        <v>0</v>
      </c>
      <c r="I5541" s="3" t="str">
        <f ca="1">IFERROR(__xludf.DUMMYFUNCTION("""COMPUTED_VALUE"""),"Lê Phúc Yên")</f>
        <v>Lê Phúc Yên</v>
      </c>
      <c r="J5541" s="3" t="str">
        <f ca="1">IFERROR(__xludf.DUMMYFUNCTION("""COMPUTED_VALUE"""),"0384059830")</f>
        <v>0384059830</v>
      </c>
      <c r="K5541" s="2" t="str">
        <f ca="1">IFERROR(__xludf.DUMMYFUNCTION("""COMPUTED_VALUE"""),"1759041437241")</f>
        <v>1759041437241</v>
      </c>
    </row>
    <row r="5542" spans="1:11" ht="12.45">
      <c r="A5542" s="2" t="str">
        <f ca="1">IFERROR(__xludf.DUMMYFUNCTION("""COMPUTED_VALUE"""),"1759359086065")</f>
        <v>1759359086065</v>
      </c>
      <c r="B5542" s="2"/>
      <c r="C5542" s="2" t="str">
        <v>0</v>
      </c>
      <c r="D5542" s="2"/>
      <c r="F5542" s="2" t="str">
        <v>0</v>
      </c>
      <c r="I5542" s="3" t="str">
        <f ca="1">IFERROR(__xludf.DUMMYFUNCTION("""COMPUTED_VALUE"""),"Phạm Thị Phương Thảo")</f>
        <v>Phạm Thị Phương Thảo</v>
      </c>
      <c r="J5542" s="3" t="str">
        <f ca="1">IFERROR(__xludf.DUMMYFUNCTION("""COMPUTED_VALUE"""),"0365901270")</f>
        <v>0365901270</v>
      </c>
      <c r="K5542" s="2" t="str">
        <f ca="1">IFERROR(__xludf.DUMMYFUNCTION("""COMPUTED_VALUE"""),"1759359086065")</f>
        <v>1759359086065</v>
      </c>
    </row>
    <row r="5543" spans="1:11" ht="12.45">
      <c r="A5543" s="2" t="str">
        <f ca="1">IFERROR(__xludf.DUMMYFUNCTION("""COMPUTED_VALUE"""),"1759359128370")</f>
        <v>1759359128370</v>
      </c>
      <c r="B5543" s="2"/>
      <c r="C5543" s="2" t="str">
        <v>0</v>
      </c>
      <c r="D5543" s="2"/>
      <c r="F5543" s="2" t="str">
        <v>0</v>
      </c>
      <c r="I5543" s="3" t="str">
        <f ca="1">IFERROR(__xludf.DUMMYFUNCTION("""COMPUTED_VALUE"""),"Đặng Minh Uyên")</f>
        <v>Đặng Minh Uyên</v>
      </c>
      <c r="J5543" s="3" t="str">
        <f ca="1">IFERROR(__xludf.DUMMYFUNCTION("""COMPUTED_VALUE"""),"0944835247")</f>
        <v>0944835247</v>
      </c>
      <c r="K5543" s="2" t="str">
        <f ca="1">IFERROR(__xludf.DUMMYFUNCTION("""COMPUTED_VALUE"""),"1759359128370")</f>
        <v>1759359128370</v>
      </c>
    </row>
    <row r="5544" spans="1:11" ht="12.45">
      <c r="A5544" s="2" t="str">
        <f ca="1">IFERROR(__xludf.DUMMYFUNCTION("""COMPUTED_VALUE"""),"1735424154666")</f>
        <v>1735424154666</v>
      </c>
      <c r="B5544" s="2"/>
      <c r="C5544" s="2" t="str">
        <v>0</v>
      </c>
      <c r="D5544" s="2"/>
      <c r="F5544" s="2" t="str">
        <v>0</v>
      </c>
      <c r="I5544" s="3" t="str">
        <f ca="1">IFERROR(__xludf.DUMMYFUNCTION("""COMPUTED_VALUE"""),"Trần Thị Ngọc Tuyền")</f>
        <v>Trần Thị Ngọc Tuyền</v>
      </c>
      <c r="J5544" s="3" t="str">
        <f ca="1">IFERROR(__xludf.DUMMYFUNCTION("""COMPUTED_VALUE"""),"0783861605")</f>
        <v>0783861605</v>
      </c>
      <c r="K5544" s="2" t="str">
        <f ca="1">IFERROR(__xludf.DUMMYFUNCTION("""COMPUTED_VALUE"""),"1735424154666")</f>
        <v>1735424154666</v>
      </c>
    </row>
    <row r="5545" spans="1:11" ht="12.45">
      <c r="A5545" s="2" t="str">
        <f ca="1">IFERROR(__xludf.DUMMYFUNCTION("""COMPUTED_VALUE"""),"1759359161212")</f>
        <v>1759359161212</v>
      </c>
      <c r="B5545" s="2"/>
      <c r="C5545" s="2" t="str">
        <v>0</v>
      </c>
      <c r="D5545" s="2"/>
      <c r="F5545" s="2" t="str">
        <v>0</v>
      </c>
      <c r="I5545" s="3" t="str">
        <f ca="1">IFERROR(__xludf.DUMMYFUNCTION("""COMPUTED_VALUE"""),"Nguyễn Thị Mỹ Tiên")</f>
        <v>Nguyễn Thị Mỹ Tiên</v>
      </c>
      <c r="J5545" s="3" t="str">
        <f ca="1">IFERROR(__xludf.DUMMYFUNCTION("""COMPUTED_VALUE"""),"0378511714")</f>
        <v>0378511714</v>
      </c>
      <c r="K5545" s="2" t="str">
        <f ca="1">IFERROR(__xludf.DUMMYFUNCTION("""COMPUTED_VALUE"""),"1759359161212")</f>
        <v>1759359161212</v>
      </c>
    </row>
    <row r="5546" spans="1:11" ht="12.45">
      <c r="A5546" s="2" t="str">
        <f ca="1">IFERROR(__xludf.DUMMYFUNCTION("""COMPUTED_VALUE"""),"1759359198077")</f>
        <v>1759359198077</v>
      </c>
      <c r="B5546" s="2"/>
      <c r="C5546" s="2" t="str">
        <v>0</v>
      </c>
      <c r="D5546" s="2"/>
      <c r="F5546" s="2" t="str">
        <v>0</v>
      </c>
      <c r="I5546" s="3" t="str">
        <f ca="1">IFERROR(__xludf.DUMMYFUNCTION("""COMPUTED_VALUE"""),"Nguyễn Ngọc Ánh ")</f>
        <v xml:space="preserve">Nguyễn Ngọc Ánh </v>
      </c>
      <c r="J5546" s="3" t="str">
        <f ca="1">IFERROR(__xludf.DUMMYFUNCTION("""COMPUTED_VALUE"""),"0374527583")</f>
        <v>0374527583</v>
      </c>
      <c r="K5546" s="2" t="str">
        <f ca="1">IFERROR(__xludf.DUMMYFUNCTION("""COMPUTED_VALUE"""),"1759359198077")</f>
        <v>1759359198077</v>
      </c>
    </row>
    <row r="5547" spans="1:11" ht="12.45">
      <c r="A5547" s="2" t="str">
        <f ca="1">IFERROR(__xludf.DUMMYFUNCTION("""COMPUTED_VALUE"""),"1759359229633")</f>
        <v>1759359229633</v>
      </c>
      <c r="B5547" s="2"/>
      <c r="C5547" s="2" t="str">
        <v>0</v>
      </c>
      <c r="D5547" s="2"/>
      <c r="F5547" s="2" t="str">
        <v>0</v>
      </c>
      <c r="I5547" s="3" t="str">
        <f ca="1">IFERROR(__xludf.DUMMYFUNCTION("""COMPUTED_VALUE"""),"Khuất Cẩm Ly ")</f>
        <v xml:space="preserve">Khuất Cẩm Ly </v>
      </c>
      <c r="J5547" s="3" t="str">
        <f ca="1">IFERROR(__xludf.DUMMYFUNCTION("""COMPUTED_VALUE"""),"0866890786")</f>
        <v>0866890786</v>
      </c>
      <c r="K5547" s="2" t="str">
        <f ca="1">IFERROR(__xludf.DUMMYFUNCTION("""COMPUTED_VALUE"""),"1759359229633")</f>
        <v>1759359229633</v>
      </c>
    </row>
    <row r="5548" spans="1:11" ht="12.45">
      <c r="A5548" s="2" t="str">
        <f ca="1">IFERROR(__xludf.DUMMYFUNCTION("""COMPUTED_VALUE"""),"1759359270976")</f>
        <v>1759359270976</v>
      </c>
      <c r="B5548" s="2"/>
      <c r="C5548" s="2" t="str">
        <v>0</v>
      </c>
      <c r="D5548" s="2"/>
      <c r="F5548" s="2" t="str">
        <v>0</v>
      </c>
      <c r="I5548" s="3" t="str">
        <f ca="1">IFERROR(__xludf.DUMMYFUNCTION("""COMPUTED_VALUE"""),"Kim Ngọc Linh")</f>
        <v>Kim Ngọc Linh</v>
      </c>
      <c r="J5548" s="3" t="str">
        <f ca="1">IFERROR(__xludf.DUMMYFUNCTION("""COMPUTED_VALUE"""),"0707621210")</f>
        <v>0707621210</v>
      </c>
      <c r="K5548" s="2" t="str">
        <f ca="1">IFERROR(__xludf.DUMMYFUNCTION("""COMPUTED_VALUE"""),"1759359270976")</f>
        <v>1759359270976</v>
      </c>
    </row>
    <row r="5549" spans="1:11" ht="12.45">
      <c r="A5549" s="2" t="str">
        <f ca="1">IFERROR(__xludf.DUMMYFUNCTION("""COMPUTED_VALUE"""),"1759359298739")</f>
        <v>1759359298739</v>
      </c>
      <c r="B5549" s="2"/>
      <c r="C5549" s="2" t="str">
        <v>0</v>
      </c>
      <c r="D5549" s="2"/>
      <c r="F5549" s="2" t="str">
        <v>0</v>
      </c>
      <c r="I5549" s="3" t="str">
        <f ca="1">IFERROR(__xludf.DUMMYFUNCTION("""COMPUTED_VALUE"""),"Nguyễn Đỗ Thảo Ly ")</f>
        <v xml:space="preserve">Nguyễn Đỗ Thảo Ly </v>
      </c>
      <c r="J5549" s="3" t="str">
        <f ca="1">IFERROR(__xludf.DUMMYFUNCTION("""COMPUTED_VALUE"""),"0765231537")</f>
        <v>0765231537</v>
      </c>
      <c r="K5549" s="2" t="str">
        <f ca="1">IFERROR(__xludf.DUMMYFUNCTION("""COMPUTED_VALUE"""),"1759359298739")</f>
        <v>1759359298739</v>
      </c>
    </row>
    <row r="5550" spans="1:11" ht="12.45">
      <c r="A5550" s="2" t="str">
        <f ca="1">IFERROR(__xludf.DUMMYFUNCTION("""COMPUTED_VALUE"""),"1735424187621")</f>
        <v>1735424187621</v>
      </c>
      <c r="B5550" s="2"/>
      <c r="C5550" s="2" t="str">
        <v>0</v>
      </c>
      <c r="D5550" s="2"/>
      <c r="F5550" s="2" t="str">
        <v>0</v>
      </c>
      <c r="I5550" s="3" t="str">
        <f ca="1">IFERROR(__xludf.DUMMYFUNCTION("""COMPUTED_VALUE"""),"Nguyễn tiến đạt")</f>
        <v>Nguyễn tiến đạt</v>
      </c>
      <c r="J5550" s="3" t="str">
        <f ca="1">IFERROR(__xludf.DUMMYFUNCTION("""COMPUTED_VALUE"""),"0977285545")</f>
        <v>0977285545</v>
      </c>
      <c r="K5550" s="2" t="str">
        <f ca="1">IFERROR(__xludf.DUMMYFUNCTION("""COMPUTED_VALUE"""),"1735424187621")</f>
        <v>1735424187621</v>
      </c>
    </row>
    <row r="5551" spans="1:11" ht="12.45">
      <c r="A5551" s="2" t="str">
        <f ca="1">IFERROR(__xludf.DUMMYFUNCTION("""COMPUTED_VALUE"""),"1759359327406")</f>
        <v>1759359327406</v>
      </c>
      <c r="B5551" s="2"/>
      <c r="C5551" s="2" t="str">
        <v>0</v>
      </c>
      <c r="D5551" s="2"/>
      <c r="F5551" s="2" t="str">
        <v>0</v>
      </c>
      <c r="I5551" s="3" t="str">
        <f ca="1">IFERROR(__xludf.DUMMYFUNCTION("""COMPUTED_VALUE"""),"Thân Thị Ngọc Linh")</f>
        <v>Thân Thị Ngọc Linh</v>
      </c>
      <c r="J5551" s="3" t="str">
        <f ca="1">IFERROR(__xludf.DUMMYFUNCTION("""COMPUTED_VALUE"""),"0862206392")</f>
        <v>0862206392</v>
      </c>
      <c r="K5551" s="2" t="str">
        <f ca="1">IFERROR(__xludf.DUMMYFUNCTION("""COMPUTED_VALUE"""),"1759359327406")</f>
        <v>1759359327406</v>
      </c>
    </row>
    <row r="5552" spans="1:11" ht="12.45">
      <c r="A5552" s="2" t="str">
        <f ca="1">IFERROR(__xludf.DUMMYFUNCTION("""COMPUTED_VALUE"""),"1759359363656")</f>
        <v>1759359363656</v>
      </c>
      <c r="B5552" s="2"/>
      <c r="C5552" s="2" t="str">
        <v>0</v>
      </c>
      <c r="D5552" s="2"/>
      <c r="F5552" s="2" t="str">
        <v>0</v>
      </c>
      <c r="I5552" s="3" t="str">
        <f ca="1">IFERROR(__xludf.DUMMYFUNCTION("""COMPUTED_VALUE"""),"Lê Triệu Vy")</f>
        <v>Lê Triệu Vy</v>
      </c>
      <c r="J5552" s="3" t="str">
        <f ca="1">IFERROR(__xludf.DUMMYFUNCTION("""COMPUTED_VALUE"""),"0377278757")</f>
        <v>0377278757</v>
      </c>
      <c r="K5552" s="2" t="str">
        <f ca="1">IFERROR(__xludf.DUMMYFUNCTION("""COMPUTED_VALUE"""),"1759359363656")</f>
        <v>1759359363656</v>
      </c>
    </row>
    <row r="5553" spans="1:11" ht="12.45">
      <c r="A5553" s="2" t="str">
        <f ca="1">IFERROR(__xludf.DUMMYFUNCTION("""COMPUTED_VALUE"""),"1759359398341")</f>
        <v>1759359398341</v>
      </c>
      <c r="B5553" s="2"/>
      <c r="C5553" s="2" t="str">
        <v>0</v>
      </c>
      <c r="D5553" s="2"/>
      <c r="F5553" s="2" t="str">
        <v>0</v>
      </c>
      <c r="I5553" s="3" t="str">
        <f ca="1">IFERROR(__xludf.DUMMYFUNCTION("""COMPUTED_VALUE"""),"Mai Phương Thảo")</f>
        <v>Mai Phương Thảo</v>
      </c>
      <c r="J5553" s="3" t="str">
        <f ca="1">IFERROR(__xludf.DUMMYFUNCTION("""COMPUTED_VALUE"""),"0366110244")</f>
        <v>0366110244</v>
      </c>
      <c r="K5553" s="2" t="str">
        <f ca="1">IFERROR(__xludf.DUMMYFUNCTION("""COMPUTED_VALUE"""),"1759359398341")</f>
        <v>1759359398341</v>
      </c>
    </row>
    <row r="5554" spans="1:11" ht="12.45">
      <c r="A5554" s="2" t="str">
        <f ca="1">IFERROR(__xludf.DUMMYFUNCTION("""COMPUTED_VALUE"""),"1759359453515")</f>
        <v>1759359453515</v>
      </c>
      <c r="B5554" s="2"/>
      <c r="C5554" s="2" t="str">
        <v>0</v>
      </c>
      <c r="D5554" s="2"/>
      <c r="F5554" s="2" t="str">
        <v>0</v>
      </c>
      <c r="I5554" s="3" t="str">
        <f ca="1">IFERROR(__xludf.DUMMYFUNCTION("""COMPUTED_VALUE"""),"Nguyễn Ngọc Diễm")</f>
        <v>Nguyễn Ngọc Diễm</v>
      </c>
      <c r="J5554" s="3" t="str">
        <f ca="1">IFERROR(__xludf.DUMMYFUNCTION("""COMPUTED_VALUE"""),"0375854879")</f>
        <v>0375854879</v>
      </c>
      <c r="K5554" s="2" t="str">
        <f ca="1">IFERROR(__xludf.DUMMYFUNCTION("""COMPUTED_VALUE"""),"1759359453515")</f>
        <v>1759359453515</v>
      </c>
    </row>
    <row r="5555" spans="1:11" ht="12.45">
      <c r="A5555" s="2" t="str">
        <f ca="1">IFERROR(__xludf.DUMMYFUNCTION("""COMPUTED_VALUE"""),"1735424228606")</f>
        <v>1735424228606</v>
      </c>
      <c r="B5555" s="2"/>
      <c r="C5555" s="2" t="str">
        <v>0</v>
      </c>
      <c r="D5555" s="2"/>
      <c r="F5555" s="2" t="str">
        <v>0</v>
      </c>
      <c r="I5555" s="3" t="str">
        <f ca="1">IFERROR(__xludf.DUMMYFUNCTION("""COMPUTED_VALUE"""),"Lê Nguyễn Thiên Ngân")</f>
        <v>Lê Nguyễn Thiên Ngân</v>
      </c>
      <c r="J5555" s="3" t="str">
        <f ca="1">IFERROR(__xludf.DUMMYFUNCTION("""COMPUTED_VALUE"""),"0336188183")</f>
        <v>0336188183</v>
      </c>
      <c r="K5555" s="2" t="str">
        <f ca="1">IFERROR(__xludf.DUMMYFUNCTION("""COMPUTED_VALUE"""),"1735424228606")</f>
        <v>1735424228606</v>
      </c>
    </row>
    <row r="5556" spans="1:11" ht="12.45">
      <c r="A5556" s="2" t="str">
        <f ca="1">IFERROR(__xludf.DUMMYFUNCTION("""COMPUTED_VALUE"""),"1759359488071")</f>
        <v>1759359488071</v>
      </c>
      <c r="B5556" s="2"/>
      <c r="C5556" s="2" t="str">
        <v>0</v>
      </c>
      <c r="D5556" s="2"/>
      <c r="F5556" s="2" t="str">
        <v>0</v>
      </c>
      <c r="I5556" s="3" t="str">
        <f ca="1">IFERROR(__xludf.DUMMYFUNCTION("""COMPUTED_VALUE"""),"Vũ Bảo Yến")</f>
        <v>Vũ Bảo Yến</v>
      </c>
      <c r="J5556" s="3" t="str">
        <f ca="1">IFERROR(__xludf.DUMMYFUNCTION("""COMPUTED_VALUE"""),"0396994289")</f>
        <v>0396994289</v>
      </c>
      <c r="K5556" s="2" t="str">
        <f ca="1">IFERROR(__xludf.DUMMYFUNCTION("""COMPUTED_VALUE"""),"1759359488071")</f>
        <v>1759359488071</v>
      </c>
    </row>
    <row r="5557" spans="1:11" ht="12.45">
      <c r="A5557" s="2" t="str">
        <f ca="1">IFERROR(__xludf.DUMMYFUNCTION("""COMPUTED_VALUE"""),"1759359507365")</f>
        <v>1759359507365</v>
      </c>
      <c r="B5557" s="2"/>
      <c r="C5557" s="2" t="str">
        <v>0</v>
      </c>
      <c r="D5557" s="2"/>
      <c r="F5557" s="2" t="str">
        <v>0</v>
      </c>
      <c r="I5557" s="3" t="str">
        <f ca="1">IFERROR(__xludf.DUMMYFUNCTION("""COMPUTED_VALUE"""),"Phạm Phương Anh")</f>
        <v>Phạm Phương Anh</v>
      </c>
      <c r="J5557" s="3" t="str">
        <f ca="1">IFERROR(__xludf.DUMMYFUNCTION("""COMPUTED_VALUE"""),"0862699590")</f>
        <v>0862699590</v>
      </c>
      <c r="K5557" s="2" t="str">
        <f ca="1">IFERROR(__xludf.DUMMYFUNCTION("""COMPUTED_VALUE"""),"1759359507365")</f>
        <v>1759359507365</v>
      </c>
    </row>
    <row r="5558" spans="1:11" ht="12.45">
      <c r="A5558" s="2" t="str">
        <f ca="1">IFERROR(__xludf.DUMMYFUNCTION("""COMPUTED_VALUE"""),"1759359538120")</f>
        <v>1759359538120</v>
      </c>
      <c r="B5558" s="2"/>
      <c r="C5558" s="2" t="str">
        <v>0</v>
      </c>
      <c r="D5558" s="2"/>
      <c r="F5558" s="2" t="str">
        <v>0</v>
      </c>
      <c r="I5558" s="3" t="str">
        <f ca="1">IFERROR(__xludf.DUMMYFUNCTION("""COMPUTED_VALUE"""),"Võ Nguyễn Kỳ Duyên")</f>
        <v>Võ Nguyễn Kỳ Duyên</v>
      </c>
      <c r="J5558" s="3" t="str">
        <f ca="1">IFERROR(__xludf.DUMMYFUNCTION("""COMPUTED_VALUE"""),"0792080299")</f>
        <v>0792080299</v>
      </c>
      <c r="K5558" s="2" t="str">
        <f ca="1">IFERROR(__xludf.DUMMYFUNCTION("""COMPUTED_VALUE"""),"1759359538120")</f>
        <v>1759359538120</v>
      </c>
    </row>
    <row r="5559" spans="1:11" ht="12.45">
      <c r="A5559" s="2" t="str">
        <f ca="1">IFERROR(__xludf.DUMMYFUNCTION("""COMPUTED_VALUE"""),"1759359566209")</f>
        <v>1759359566209</v>
      </c>
      <c r="B5559" s="2"/>
      <c r="C5559" s="2" t="str">
        <v>0</v>
      </c>
      <c r="D5559" s="2"/>
      <c r="F5559" s="2" t="str">
        <v>0</v>
      </c>
      <c r="I5559" s="3" t="str">
        <f ca="1">IFERROR(__xludf.DUMMYFUNCTION("""COMPUTED_VALUE"""),"Nguyễn Thị Thu Hải ")</f>
        <v xml:space="preserve">Nguyễn Thị Thu Hải </v>
      </c>
      <c r="J5559" s="3" t="str">
        <f ca="1">IFERROR(__xludf.DUMMYFUNCTION("""COMPUTED_VALUE"""),"0393569825")</f>
        <v>0393569825</v>
      </c>
      <c r="K5559" s="2" t="str">
        <f ca="1">IFERROR(__xludf.DUMMYFUNCTION("""COMPUTED_VALUE"""),"1759359566209")</f>
        <v>1759359566209</v>
      </c>
    </row>
    <row r="5560" spans="1:11" ht="12.45">
      <c r="A5560" s="2" t="str">
        <f ca="1">IFERROR(__xludf.DUMMYFUNCTION("""COMPUTED_VALUE"""),"1759359601637")</f>
        <v>1759359601637</v>
      </c>
      <c r="B5560" s="2"/>
      <c r="C5560" s="2" t="str">
        <v>0</v>
      </c>
      <c r="D5560" s="2"/>
      <c r="F5560" s="2" t="str">
        <v>0</v>
      </c>
      <c r="I5560" s="3" t="str">
        <f ca="1">IFERROR(__xludf.DUMMYFUNCTION("""COMPUTED_VALUE"""),"Lưu Uyển Hạ")</f>
        <v>Lưu Uyển Hạ</v>
      </c>
      <c r="J5560" s="3" t="str">
        <f ca="1">IFERROR(__xludf.DUMMYFUNCTION("""COMPUTED_VALUE"""),"0353649907")</f>
        <v>0353649907</v>
      </c>
      <c r="K5560" s="2" t="str">
        <f ca="1">IFERROR(__xludf.DUMMYFUNCTION("""COMPUTED_VALUE"""),"1759359601637")</f>
        <v>1759359601637</v>
      </c>
    </row>
    <row r="5561" spans="1:11" ht="12.45">
      <c r="A5561" s="2" t="str">
        <f ca="1">IFERROR(__xludf.DUMMYFUNCTION("""COMPUTED_VALUE"""),"1735424284281")</f>
        <v>1735424284281</v>
      </c>
      <c r="B5561" s="2"/>
      <c r="C5561" s="2" t="str">
        <v>0</v>
      </c>
      <c r="D5561" s="2"/>
      <c r="F5561" s="2" t="str">
        <v>0</v>
      </c>
      <c r="I5561" s="3" t="str">
        <f ca="1">IFERROR(__xludf.DUMMYFUNCTION("""COMPUTED_VALUE"""),"Trịnh Thị Quỳnh Như ")</f>
        <v xml:space="preserve">Trịnh Thị Quỳnh Như </v>
      </c>
      <c r="J5561" s="3" t="str">
        <f ca="1">IFERROR(__xludf.DUMMYFUNCTION("""COMPUTED_VALUE"""),"0355709383")</f>
        <v>0355709383</v>
      </c>
      <c r="K5561" s="2" t="str">
        <f ca="1">IFERROR(__xludf.DUMMYFUNCTION("""COMPUTED_VALUE"""),"1735424284281")</f>
        <v>1735424284281</v>
      </c>
    </row>
    <row r="5562" spans="1:11" ht="12.45">
      <c r="A5562" s="2" t="str">
        <f ca="1">IFERROR(__xludf.DUMMYFUNCTION("""COMPUTED_VALUE"""),"1759359636659")</f>
        <v>1759359636659</v>
      </c>
      <c r="B5562" s="2"/>
      <c r="C5562" s="2" t="str">
        <v>0</v>
      </c>
      <c r="D5562" s="2"/>
      <c r="F5562" s="2" t="str">
        <v>0</v>
      </c>
      <c r="I5562" s="3" t="str">
        <f ca="1">IFERROR(__xludf.DUMMYFUNCTION("""COMPUTED_VALUE"""),"Lê Thảo Vân")</f>
        <v>Lê Thảo Vân</v>
      </c>
      <c r="J5562" s="3" t="str">
        <f ca="1">IFERROR(__xludf.DUMMYFUNCTION("""COMPUTED_VALUE"""),"0986290147")</f>
        <v>0986290147</v>
      </c>
      <c r="K5562" s="2" t="str">
        <f ca="1">IFERROR(__xludf.DUMMYFUNCTION("""COMPUTED_VALUE"""),"1759359636659")</f>
        <v>1759359636659</v>
      </c>
    </row>
    <row r="5563" spans="1:11" ht="12.45">
      <c r="A5563" s="2" t="str">
        <f ca="1">IFERROR(__xludf.DUMMYFUNCTION("""COMPUTED_VALUE"""),"Không giao sách")</f>
        <v>Không giao sách</v>
      </c>
      <c r="B5563" s="2"/>
      <c r="C5563" s="2" t="str">
        <v>0</v>
      </c>
      <c r="D5563" s="2"/>
      <c r="F5563" s="2" t="str">
        <v>0</v>
      </c>
      <c r="I5563" s="3" t="str">
        <f ca="1">IFERROR(__xludf.DUMMYFUNCTION("""COMPUTED_VALUE"""),"Dương Thị Thu Hà ")</f>
        <v xml:space="preserve">Dương Thị Thu Hà </v>
      </c>
      <c r="J5563" s="3" t="str">
        <f ca="1">IFERROR(__xludf.DUMMYFUNCTION("""COMPUTED_VALUE"""),"0395821633")</f>
        <v>0395821633</v>
      </c>
      <c r="K5563" s="2" t="str">
        <f ca="1">IFERROR(__xludf.DUMMYFUNCTION("""COMPUTED_VALUE"""),"Không giao sách")</f>
        <v>Không giao sách</v>
      </c>
    </row>
    <row r="5564" spans="1:11" ht="12.45">
      <c r="A5564" s="2" t="str">
        <f ca="1">IFERROR(__xludf.DUMMYFUNCTION("""COMPUTED_VALUE"""),"1759359670642")</f>
        <v>1759359670642</v>
      </c>
      <c r="B5564" s="2"/>
      <c r="C5564" s="2" t="str">
        <v>0</v>
      </c>
      <c r="D5564" s="2"/>
      <c r="F5564" s="2" t="str">
        <v>0</v>
      </c>
      <c r="I5564" s="3" t="str">
        <f ca="1">IFERROR(__xludf.DUMMYFUNCTION("""COMPUTED_VALUE"""),"Phạm Thuỳ Dương")</f>
        <v>Phạm Thuỳ Dương</v>
      </c>
      <c r="J5564" s="3" t="str">
        <f ca="1">IFERROR(__xludf.DUMMYFUNCTION("""COMPUTED_VALUE"""),"0856881182")</f>
        <v>0856881182</v>
      </c>
      <c r="K5564" s="2" t="str">
        <f ca="1">IFERROR(__xludf.DUMMYFUNCTION("""COMPUTED_VALUE"""),"1759359670642")</f>
        <v>1759359670642</v>
      </c>
    </row>
    <row r="5565" spans="1:11" ht="12.45">
      <c r="A5565" s="2" t="str">
        <f ca="1">IFERROR(__xludf.DUMMYFUNCTION("""COMPUTED_VALUE"""),"1759359703256")</f>
        <v>1759359703256</v>
      </c>
      <c r="B5565" s="2"/>
      <c r="C5565" s="2" t="str">
        <v>0</v>
      </c>
      <c r="D5565" s="2"/>
      <c r="F5565" s="2" t="str">
        <v>0</v>
      </c>
      <c r="I5565" s="3" t="str">
        <f ca="1">IFERROR(__xludf.DUMMYFUNCTION("""COMPUTED_VALUE"""),"Đặng Ngọc Quỳnh Như ")</f>
        <v xml:space="preserve">Đặng Ngọc Quỳnh Như </v>
      </c>
      <c r="J5565" s="3" t="str">
        <f ca="1">IFERROR(__xludf.DUMMYFUNCTION("""COMPUTED_VALUE"""),"0383953791")</f>
        <v>0383953791</v>
      </c>
      <c r="K5565" s="2" t="str">
        <f ca="1">IFERROR(__xludf.DUMMYFUNCTION("""COMPUTED_VALUE"""),"1759359703256")</f>
        <v>1759359703256</v>
      </c>
    </row>
    <row r="5566" spans="1:11" ht="12.45">
      <c r="A5566" s="2" t="str">
        <f ca="1">IFERROR(__xludf.DUMMYFUNCTION("""COMPUTED_VALUE"""),"1759359727117")</f>
        <v>1759359727117</v>
      </c>
      <c r="B5566" s="2"/>
      <c r="C5566" s="2" t="str">
        <v>0</v>
      </c>
      <c r="D5566" s="2"/>
      <c r="F5566" s="2" t="str">
        <v>0</v>
      </c>
      <c r="I5566" s="3" t="str">
        <f ca="1">IFERROR(__xludf.DUMMYFUNCTION("""COMPUTED_VALUE"""),"Phan Phạm Tuệ Nhi ")</f>
        <v xml:space="preserve">Phan Phạm Tuệ Nhi </v>
      </c>
      <c r="J5566" s="3" t="str">
        <f ca="1">IFERROR(__xludf.DUMMYFUNCTION("""COMPUTED_VALUE"""),"0763787929")</f>
        <v>0763787929</v>
      </c>
      <c r="K5566" s="2" t="str">
        <f ca="1">IFERROR(__xludf.DUMMYFUNCTION("""COMPUTED_VALUE"""),"1759359727117")</f>
        <v>1759359727117</v>
      </c>
    </row>
    <row r="5567" spans="1:11" ht="12.45">
      <c r="A5567" s="2" t="str">
        <f ca="1">IFERROR(__xludf.DUMMYFUNCTION("""COMPUTED_VALUE"""),"1759359758538")</f>
        <v>1759359758538</v>
      </c>
      <c r="B5567" s="2"/>
      <c r="C5567" s="2" t="str">
        <v>0</v>
      </c>
      <c r="D5567" s="2"/>
      <c r="F5567" s="2" t="str">
        <v>0</v>
      </c>
      <c r="I5567" s="3" t="str">
        <f ca="1">IFERROR(__xludf.DUMMYFUNCTION("""COMPUTED_VALUE"""),"Huỳnh Trần Minh Châu")</f>
        <v>Huỳnh Trần Minh Châu</v>
      </c>
      <c r="J5567" s="3" t="str">
        <f ca="1">IFERROR(__xludf.DUMMYFUNCTION("""COMPUTED_VALUE"""),"0703821247")</f>
        <v>0703821247</v>
      </c>
      <c r="K5567" s="2" t="str">
        <f ca="1">IFERROR(__xludf.DUMMYFUNCTION("""COMPUTED_VALUE"""),"1759359758538")</f>
        <v>1759359758538</v>
      </c>
    </row>
    <row r="5568" spans="1:11" ht="12.45">
      <c r="A5568" s="2"/>
      <c r="B5568" s="2"/>
      <c r="C5568" s="2" t="str">
        <v>0</v>
      </c>
      <c r="D5568" s="2"/>
      <c r="F5568" s="2" t="str">
        <v>0</v>
      </c>
      <c r="I5568" s="3" t="str">
        <f ca="1">IFERROR(__xludf.DUMMYFUNCTION("""COMPUTED_VALUE"""),"Hoàng Tùng Linh")</f>
        <v>Hoàng Tùng Linh</v>
      </c>
      <c r="J5568" s="3" t="str">
        <f ca="1">IFERROR(__xludf.DUMMYFUNCTION("""COMPUTED_VALUE"""),"0913821624")</f>
        <v>0913821624</v>
      </c>
      <c r="K5568" s="2"/>
    </row>
    <row r="5569" spans="1:11" ht="12.45">
      <c r="A5569" s="2" t="str">
        <f ca="1">IFERROR(__xludf.DUMMYFUNCTION("""COMPUTED_VALUE"""),"1759359783948")</f>
        <v>1759359783948</v>
      </c>
      <c r="B5569" s="2"/>
      <c r="C5569" s="2" t="str">
        <v>0</v>
      </c>
      <c r="D5569" s="2"/>
      <c r="F5569" s="2" t="str">
        <v>0</v>
      </c>
      <c r="I5569" s="3" t="str">
        <f ca="1">IFERROR(__xludf.DUMMYFUNCTION("""COMPUTED_VALUE"""),"Trần Diệu An ")</f>
        <v xml:space="preserve">Trần Diệu An </v>
      </c>
      <c r="J5569" s="3" t="str">
        <f ca="1">IFERROR(__xludf.DUMMYFUNCTION("""COMPUTED_VALUE"""),"0839556630")</f>
        <v>0839556630</v>
      </c>
      <c r="K5569" s="2" t="str">
        <f ca="1">IFERROR(__xludf.DUMMYFUNCTION("""COMPUTED_VALUE"""),"1759359783948")</f>
        <v>1759359783948</v>
      </c>
    </row>
    <row r="5570" spans="1:11" ht="12.45">
      <c r="A5570" s="2" t="str">
        <f ca="1">IFERROR(__xludf.DUMMYFUNCTION("""COMPUTED_VALUE"""),"1759359820730")</f>
        <v>1759359820730</v>
      </c>
      <c r="B5570" s="2"/>
      <c r="C5570" s="2" t="str">
        <v>0</v>
      </c>
      <c r="D5570" s="2"/>
      <c r="F5570" s="2" t="str">
        <v>0</v>
      </c>
      <c r="I5570" s="3" t="str">
        <f ca="1">IFERROR(__xludf.DUMMYFUNCTION("""COMPUTED_VALUE"""),"Nguyễn Thị Kim Chi")</f>
        <v>Nguyễn Thị Kim Chi</v>
      </c>
      <c r="J5570" s="3" t="str">
        <f ca="1">IFERROR(__xludf.DUMMYFUNCTION("""COMPUTED_VALUE"""),"0392295298")</f>
        <v>0392295298</v>
      </c>
      <c r="K5570" s="2" t="str">
        <f ca="1">IFERROR(__xludf.DUMMYFUNCTION("""COMPUTED_VALUE"""),"1759359820730")</f>
        <v>1759359820730</v>
      </c>
    </row>
    <row r="5571" spans="1:11" ht="12.45">
      <c r="A5571" s="2" t="str">
        <f ca="1">IFERROR(__xludf.DUMMYFUNCTION("""COMPUTED_VALUE"""),"1759359875893")</f>
        <v>1759359875893</v>
      </c>
      <c r="B5571" s="2"/>
      <c r="C5571" s="2" t="str">
        <v>0</v>
      </c>
      <c r="D5571" s="2"/>
      <c r="F5571" s="2" t="str">
        <v>0</v>
      </c>
      <c r="I5571" s="3" t="str">
        <f ca="1">IFERROR(__xludf.DUMMYFUNCTION("""COMPUTED_VALUE"""),"Đinh Ngọc Mai Phương")</f>
        <v>Đinh Ngọc Mai Phương</v>
      </c>
      <c r="J5571" s="3" t="str">
        <f ca="1">IFERROR(__xludf.DUMMYFUNCTION("""COMPUTED_VALUE"""),"0777979798")</f>
        <v>0777979798</v>
      </c>
      <c r="K5571" s="2" t="str">
        <f ca="1">IFERROR(__xludf.DUMMYFUNCTION("""COMPUTED_VALUE"""),"1759359875893")</f>
        <v>1759359875893</v>
      </c>
    </row>
    <row r="5572" spans="1:11" ht="12.45">
      <c r="A5572" s="2" t="str">
        <f ca="1">IFERROR(__xludf.DUMMYFUNCTION("""COMPUTED_VALUE"""),"1759359917185/ 1755885574015")</f>
        <v>1759359917185/ 1755885574015</v>
      </c>
      <c r="B5572" s="2"/>
      <c r="C5572" s="2" t="str">
        <v>0</v>
      </c>
      <c r="D5572" s="2"/>
      <c r="F5572" s="2" t="str">
        <v>0</v>
      </c>
      <c r="I5572" s="3" t="str">
        <f ca="1">IFERROR(__xludf.DUMMYFUNCTION("""COMPUTED_VALUE"""),"Nguyễn Hoài An")</f>
        <v>Nguyễn Hoài An</v>
      </c>
      <c r="J5572" s="3" t="str">
        <f ca="1">IFERROR(__xludf.DUMMYFUNCTION("""COMPUTED_VALUE"""),"0352772007")</f>
        <v>0352772007</v>
      </c>
      <c r="K5572" s="2" t="str">
        <f ca="1">IFERROR(__xludf.DUMMYFUNCTION("""COMPUTED_VALUE"""),"1759359917185/ 1755885574015")</f>
        <v>1759359917185/ 1755885574015</v>
      </c>
    </row>
    <row r="5573" spans="1:11" ht="12.45">
      <c r="A5573" s="2" t="str">
        <f ca="1">IFERROR(__xludf.DUMMYFUNCTION("""COMPUTED_VALUE"""),"1759359955990")</f>
        <v>1759359955990</v>
      </c>
      <c r="B5573" s="2"/>
      <c r="C5573" s="2" t="str">
        <v>0</v>
      </c>
      <c r="D5573" s="2"/>
      <c r="F5573" s="2" t="str">
        <v>0</v>
      </c>
      <c r="I5573" s="3" t="str">
        <f ca="1">IFERROR(__xludf.DUMMYFUNCTION("""COMPUTED_VALUE"""),"Nguyễn Thị Thảo Vân")</f>
        <v>Nguyễn Thị Thảo Vân</v>
      </c>
      <c r="J5573" s="3" t="str">
        <f ca="1">IFERROR(__xludf.DUMMYFUNCTION("""COMPUTED_VALUE"""),"0377187762")</f>
        <v>0377187762</v>
      </c>
      <c r="K5573" s="2" t="str">
        <f ca="1">IFERROR(__xludf.DUMMYFUNCTION("""COMPUTED_VALUE"""),"1759359955990")</f>
        <v>1759359955990</v>
      </c>
    </row>
    <row r="5574" spans="1:11" ht="12.45">
      <c r="A5574" s="2" t="str">
        <f ca="1">IFERROR(__xludf.DUMMYFUNCTION("""COMPUTED_VALUE"""),"1759359994536")</f>
        <v>1759359994536</v>
      </c>
      <c r="B5574" s="2"/>
      <c r="C5574" s="2" t="str">
        <v>0</v>
      </c>
      <c r="D5574" s="2"/>
      <c r="F5574" s="2" t="str">
        <v>0</v>
      </c>
      <c r="I5574" s="3" t="str">
        <f ca="1">IFERROR(__xludf.DUMMYFUNCTION("""COMPUTED_VALUE"""),"Lường Trung Dũng")</f>
        <v>Lường Trung Dũng</v>
      </c>
      <c r="J5574" s="3" t="str">
        <f ca="1">IFERROR(__xludf.DUMMYFUNCTION("""COMPUTED_VALUE"""),"0337741273")</f>
        <v>0337741273</v>
      </c>
      <c r="K5574" s="2" t="str">
        <f ca="1">IFERROR(__xludf.DUMMYFUNCTION("""COMPUTED_VALUE"""),"1759359994536")</f>
        <v>1759359994536</v>
      </c>
    </row>
    <row r="5575" spans="1:11" ht="12.45">
      <c r="A5575" s="2" t="str">
        <f ca="1">IFERROR(__xludf.DUMMYFUNCTION("""COMPUTED_VALUE"""),"1759360034959")</f>
        <v>1759360034959</v>
      </c>
      <c r="B5575" s="2"/>
      <c r="C5575" s="2" t="str">
        <v>0</v>
      </c>
      <c r="D5575" s="2"/>
      <c r="F5575" s="2" t="str">
        <v>0</v>
      </c>
      <c r="I5575" s="3" t="str">
        <f ca="1">IFERROR(__xludf.DUMMYFUNCTION("""COMPUTED_VALUE"""),"Nguyễn Thanh Thuỷ")</f>
        <v>Nguyễn Thanh Thuỷ</v>
      </c>
      <c r="J5575" s="3" t="str">
        <f ca="1">IFERROR(__xludf.DUMMYFUNCTION("""COMPUTED_VALUE"""),"0964563259")</f>
        <v>0964563259</v>
      </c>
      <c r="K5575" s="2" t="str">
        <f ca="1">IFERROR(__xludf.DUMMYFUNCTION("""COMPUTED_VALUE"""),"1759360034959")</f>
        <v>1759360034959</v>
      </c>
    </row>
    <row r="5576" spans="1:11" ht="12.45">
      <c r="A5576" s="2" t="str">
        <f ca="1">IFERROR(__xludf.DUMMYFUNCTION("""COMPUTED_VALUE"""),"1759360061531")</f>
        <v>1759360061531</v>
      </c>
      <c r="B5576" s="2"/>
      <c r="C5576" s="2" t="str">
        <v>0</v>
      </c>
      <c r="D5576" s="2"/>
      <c r="F5576" s="2" t="str">
        <v>0</v>
      </c>
      <c r="I5576" s="3" t="str">
        <f ca="1">IFERROR(__xludf.DUMMYFUNCTION("""COMPUTED_VALUE"""),"Cao Thị Huyền Nhung")</f>
        <v>Cao Thị Huyền Nhung</v>
      </c>
      <c r="J5576" s="3" t="str">
        <f ca="1">IFERROR(__xludf.DUMMYFUNCTION("""COMPUTED_VALUE"""),"0837339948")</f>
        <v>0837339948</v>
      </c>
      <c r="K5576" s="2" t="str">
        <f ca="1">IFERROR(__xludf.DUMMYFUNCTION("""COMPUTED_VALUE"""),"1759360061531")</f>
        <v>1759360061531</v>
      </c>
    </row>
    <row r="5577" spans="1:11" ht="12.45">
      <c r="A5577" s="2" t="str">
        <f ca="1">IFERROR(__xludf.DUMMYFUNCTION("""COMPUTED_VALUE"""),"1759360085900")</f>
        <v>1759360085900</v>
      </c>
      <c r="B5577" s="2"/>
      <c r="C5577" s="2" t="str">
        <v>0</v>
      </c>
      <c r="D5577" s="2"/>
      <c r="F5577" s="2" t="str">
        <v>0</v>
      </c>
      <c r="I5577" s="3" t="str">
        <f ca="1">IFERROR(__xludf.DUMMYFUNCTION("""COMPUTED_VALUE"""),"Hồ Võ Minh Khoa")</f>
        <v>Hồ Võ Minh Khoa</v>
      </c>
      <c r="J5577" s="3" t="str">
        <f ca="1">IFERROR(__xludf.DUMMYFUNCTION("""COMPUTED_VALUE"""),"0816651409")</f>
        <v>0816651409</v>
      </c>
      <c r="K5577" s="2" t="str">
        <f ca="1">IFERROR(__xludf.DUMMYFUNCTION("""COMPUTED_VALUE"""),"1759360085900")</f>
        <v>1759360085900</v>
      </c>
    </row>
    <row r="5578" spans="1:11" ht="12.45">
      <c r="A5578" s="2" t="str">
        <f ca="1">IFERROR(__xludf.DUMMYFUNCTION("""COMPUTED_VALUE"""),"1759360113725")</f>
        <v>1759360113725</v>
      </c>
      <c r="B5578" s="2"/>
      <c r="C5578" s="2" t="str">
        <v>0</v>
      </c>
      <c r="D5578" s="2"/>
      <c r="F5578" s="2" t="str">
        <v>0</v>
      </c>
      <c r="I5578" s="3" t="str">
        <f ca="1">IFERROR(__xludf.DUMMYFUNCTION("""COMPUTED_VALUE"""),"Đỗ Huỳnh Anh Thư ")</f>
        <v xml:space="preserve">Đỗ Huỳnh Anh Thư </v>
      </c>
      <c r="J5578" s="3" t="str">
        <f ca="1">IFERROR(__xludf.DUMMYFUNCTION("""COMPUTED_VALUE"""),"0347521132")</f>
        <v>0347521132</v>
      </c>
      <c r="K5578" s="2" t="str">
        <f ca="1">IFERROR(__xludf.DUMMYFUNCTION("""COMPUTED_VALUE"""),"1759360113725")</f>
        <v>1759360113725</v>
      </c>
    </row>
    <row r="5579" spans="1:11" ht="12.45">
      <c r="A5579" s="2" t="str">
        <f ca="1">IFERROR(__xludf.DUMMYFUNCTION("""COMPUTED_VALUE"""),"1759360148902")</f>
        <v>1759360148902</v>
      </c>
      <c r="B5579" s="2"/>
      <c r="C5579" s="2" t="str">
        <v>0</v>
      </c>
      <c r="D5579" s="2"/>
      <c r="F5579" s="2" t="str">
        <v>0</v>
      </c>
      <c r="I5579" s="3" t="str">
        <f ca="1">IFERROR(__xludf.DUMMYFUNCTION("""COMPUTED_VALUE"""),"Dương Thị Thuý Phương ")</f>
        <v xml:space="preserve">Dương Thị Thuý Phương </v>
      </c>
      <c r="J5579" s="3" t="str">
        <f ca="1">IFERROR(__xludf.DUMMYFUNCTION("""COMPUTED_VALUE"""),"0385622995")</f>
        <v>0385622995</v>
      </c>
      <c r="K5579" s="2" t="str">
        <f ca="1">IFERROR(__xludf.DUMMYFUNCTION("""COMPUTED_VALUE"""),"1759360148902")</f>
        <v>1759360148902</v>
      </c>
    </row>
    <row r="5580" spans="1:11" ht="12.45">
      <c r="A5580" s="2" t="str">
        <f ca="1">IFERROR(__xludf.DUMMYFUNCTION("""COMPUTED_VALUE"""),"1759360188825")</f>
        <v>1759360188825</v>
      </c>
      <c r="B5580" s="2"/>
      <c r="C5580" s="2" t="str">
        <v>0</v>
      </c>
      <c r="D5580" s="2"/>
      <c r="F5580" s="2" t="str">
        <v>0</v>
      </c>
      <c r="I5580" s="3" t="str">
        <f ca="1">IFERROR(__xludf.DUMMYFUNCTION("""COMPUTED_VALUE"""),"Đặng Nữ Nguyệt Linh ")</f>
        <v xml:space="preserve">Đặng Nữ Nguyệt Linh </v>
      </c>
      <c r="J5580" s="3" t="str">
        <f ca="1">IFERROR(__xludf.DUMMYFUNCTION("""COMPUTED_VALUE"""),"0376645578")</f>
        <v>0376645578</v>
      </c>
      <c r="K5580" s="2" t="str">
        <f ca="1">IFERROR(__xludf.DUMMYFUNCTION("""COMPUTED_VALUE"""),"1759360188825")</f>
        <v>1759360188825</v>
      </c>
    </row>
    <row r="5581" spans="1:11" ht="12.45">
      <c r="A5581" s="2" t="str">
        <f ca="1">IFERROR(__xludf.DUMMYFUNCTION("""COMPUTED_VALUE"""),"1759360223143")</f>
        <v>1759360223143</v>
      </c>
      <c r="B5581" s="2"/>
      <c r="C5581" s="2" t="str">
        <v>0</v>
      </c>
      <c r="D5581" s="2"/>
      <c r="F5581" s="2" t="str">
        <v>0</v>
      </c>
      <c r="I5581" s="3" t="str">
        <f ca="1">IFERROR(__xludf.DUMMYFUNCTION("""COMPUTED_VALUE"""),"Nguyễn Huyền Trâm")</f>
        <v>Nguyễn Huyền Trâm</v>
      </c>
      <c r="J5581" s="3" t="str">
        <f ca="1">IFERROR(__xludf.DUMMYFUNCTION("""COMPUTED_VALUE"""),"0368657871")</f>
        <v>0368657871</v>
      </c>
      <c r="K5581" s="2" t="str">
        <f ca="1">IFERROR(__xludf.DUMMYFUNCTION("""COMPUTED_VALUE"""),"1759360223143")</f>
        <v>1759360223143</v>
      </c>
    </row>
    <row r="5582" spans="1:11" ht="12.45">
      <c r="A5582" s="2" t="str">
        <f ca="1">IFERROR(__xludf.DUMMYFUNCTION("""COMPUTED_VALUE"""),"1759360250628")</f>
        <v>1759360250628</v>
      </c>
      <c r="B5582" s="2"/>
      <c r="C5582" s="2" t="str">
        <v>0</v>
      </c>
      <c r="D5582" s="2"/>
      <c r="F5582" s="2" t="str">
        <v>0</v>
      </c>
      <c r="I5582" s="3" t="str">
        <f ca="1">IFERROR(__xludf.DUMMYFUNCTION("""COMPUTED_VALUE"""),"Lường Văn Duy")</f>
        <v>Lường Văn Duy</v>
      </c>
      <c r="J5582" s="3" t="str">
        <f ca="1">IFERROR(__xludf.DUMMYFUNCTION("""COMPUTED_VALUE"""),"0345305849")</f>
        <v>0345305849</v>
      </c>
      <c r="K5582" s="2" t="str">
        <f ca="1">IFERROR(__xludf.DUMMYFUNCTION("""COMPUTED_VALUE"""),"1759360250628")</f>
        <v>1759360250628</v>
      </c>
    </row>
    <row r="5583" spans="1:11" ht="12.45">
      <c r="A5583" s="2" t="str">
        <f ca="1">IFERROR(__xludf.DUMMYFUNCTION("""COMPUTED_VALUE"""),"1759360306923")</f>
        <v>1759360306923</v>
      </c>
      <c r="B5583" s="2"/>
      <c r="C5583" s="2" t="str">
        <v>0</v>
      </c>
      <c r="D5583" s="2"/>
      <c r="F5583" s="2" t="str">
        <v>0</v>
      </c>
      <c r="I5583" s="3" t="str">
        <f ca="1">IFERROR(__xludf.DUMMYFUNCTION("""COMPUTED_VALUE"""),"Trần Thị Diễm Kiều")</f>
        <v>Trần Thị Diễm Kiều</v>
      </c>
      <c r="J5583" s="3" t="str">
        <f ca="1">IFERROR(__xludf.DUMMYFUNCTION("""COMPUTED_VALUE"""),"0793690472")</f>
        <v>0793690472</v>
      </c>
      <c r="K5583" s="2" t="str">
        <f ca="1">IFERROR(__xludf.DUMMYFUNCTION("""COMPUTED_VALUE"""),"1759360306923")</f>
        <v>1759360306923</v>
      </c>
    </row>
    <row r="5584" spans="1:11" ht="12.45">
      <c r="A5584" s="2" t="str">
        <f ca="1">IFERROR(__xludf.DUMMYFUNCTION("""COMPUTED_VALUE"""),"Không giao sách")</f>
        <v>Không giao sách</v>
      </c>
      <c r="B5584" s="2"/>
      <c r="C5584" s="2" t="str">
        <v>0</v>
      </c>
      <c r="D5584" s="2"/>
      <c r="F5584" s="2" t="str">
        <v>0</v>
      </c>
      <c r="I5584" s="3" t="str">
        <f ca="1">IFERROR(__xludf.DUMMYFUNCTION("""COMPUTED_VALUE"""),"ĐẶNG THỊ CẨM TÚ")</f>
        <v>ĐẶNG THỊ CẨM TÚ</v>
      </c>
      <c r="J5584" s="3" t="str">
        <f ca="1">IFERROR(__xludf.DUMMYFUNCTION("""COMPUTED_VALUE"""),"0982374761")</f>
        <v>0982374761</v>
      </c>
      <c r="K5584" s="2" t="str">
        <f ca="1">IFERROR(__xludf.DUMMYFUNCTION("""COMPUTED_VALUE"""),"Không giao sách")</f>
        <v>Không giao sách</v>
      </c>
    </row>
    <row r="5585" spans="1:11" ht="12.45">
      <c r="A5585" s="2" t="str">
        <f ca="1">IFERROR(__xludf.DUMMYFUNCTION("""COMPUTED_VALUE"""),"1759360336940")</f>
        <v>1759360336940</v>
      </c>
      <c r="B5585" s="2"/>
      <c r="C5585" s="2" t="str">
        <v>0</v>
      </c>
      <c r="D5585" s="2"/>
      <c r="F5585" s="2" t="str">
        <v>0</v>
      </c>
      <c r="I5585" s="3" t="str">
        <f ca="1">IFERROR(__xludf.DUMMYFUNCTION("""COMPUTED_VALUE"""),"Quan Vịnh Nghi")</f>
        <v>Quan Vịnh Nghi</v>
      </c>
      <c r="J5585" s="3" t="str">
        <f ca="1">IFERROR(__xludf.DUMMYFUNCTION("""COMPUTED_VALUE"""),"0911903830")</f>
        <v>0911903830</v>
      </c>
      <c r="K5585" s="2" t="str">
        <f ca="1">IFERROR(__xludf.DUMMYFUNCTION("""COMPUTED_VALUE"""),"1759360336940")</f>
        <v>1759360336940</v>
      </c>
    </row>
    <row r="5586" spans="1:11" ht="12.45">
      <c r="A5586" s="2" t="str">
        <f ca="1">IFERROR(__xludf.DUMMYFUNCTION("""COMPUTED_VALUE"""),"1759360370606")</f>
        <v>1759360370606</v>
      </c>
      <c r="B5586" s="2"/>
      <c r="C5586" s="2" t="str">
        <v>0</v>
      </c>
      <c r="D5586" s="2"/>
      <c r="F5586" s="2" t="str">
        <v>0</v>
      </c>
      <c r="I5586" s="3" t="str">
        <f ca="1">IFERROR(__xludf.DUMMYFUNCTION("""COMPUTED_VALUE"""),"Trần Quốc Hoàn")</f>
        <v>Trần Quốc Hoàn</v>
      </c>
      <c r="J5586" s="3" t="str">
        <f ca="1">IFERROR(__xludf.DUMMYFUNCTION("""COMPUTED_VALUE"""),"0383785190")</f>
        <v>0383785190</v>
      </c>
      <c r="K5586" s="2" t="str">
        <f ca="1">IFERROR(__xludf.DUMMYFUNCTION("""COMPUTED_VALUE"""),"1759360370606")</f>
        <v>1759360370606</v>
      </c>
    </row>
    <row r="5587" spans="1:11" ht="12.45">
      <c r="A5587" s="2" t="str">
        <f ca="1">IFERROR(__xludf.DUMMYFUNCTION("""COMPUTED_VALUE"""),"1759360395343")</f>
        <v>1759360395343</v>
      </c>
      <c r="B5587" s="2"/>
      <c r="C5587" s="2" t="str">
        <v>0</v>
      </c>
      <c r="D5587" s="2"/>
      <c r="F5587" s="2" t="str">
        <v>0</v>
      </c>
      <c r="I5587" s="3" t="str">
        <f ca="1">IFERROR(__xludf.DUMMYFUNCTION("""COMPUTED_VALUE"""),"Vũ Ngọc Hà")</f>
        <v>Vũ Ngọc Hà</v>
      </c>
      <c r="J5587" s="3" t="str">
        <f ca="1">IFERROR(__xludf.DUMMYFUNCTION("""COMPUTED_VALUE"""),"0936195198")</f>
        <v>0936195198</v>
      </c>
      <c r="K5587" s="2" t="str">
        <f ca="1">IFERROR(__xludf.DUMMYFUNCTION("""COMPUTED_VALUE"""),"1759360395343")</f>
        <v>1759360395343</v>
      </c>
    </row>
    <row r="5588" spans="1:11" ht="12.45">
      <c r="A5588" s="2" t="str">
        <f ca="1">IFERROR(__xludf.DUMMYFUNCTION("""COMPUTED_VALUE"""),"1759360424887")</f>
        <v>1759360424887</v>
      </c>
      <c r="B5588" s="2"/>
      <c r="C5588" s="2" t="str">
        <v>0</v>
      </c>
      <c r="D5588" s="2"/>
      <c r="F5588" s="2" t="str">
        <v>0</v>
      </c>
      <c r="I5588" s="3" t="str">
        <f ca="1">IFERROR(__xludf.DUMMYFUNCTION("""COMPUTED_VALUE"""),"PHAN NGUYỄN MINH DUY")</f>
        <v>PHAN NGUYỄN MINH DUY</v>
      </c>
      <c r="J5588" s="3" t="str">
        <f ca="1">IFERROR(__xludf.DUMMYFUNCTION("""COMPUTED_VALUE"""),"0837576139")</f>
        <v>0837576139</v>
      </c>
      <c r="K5588" s="2" t="str">
        <f ca="1">IFERROR(__xludf.DUMMYFUNCTION("""COMPUTED_VALUE"""),"1759360424887")</f>
        <v>1759360424887</v>
      </c>
    </row>
    <row r="5589" spans="1:11" ht="12.45">
      <c r="A5589" s="2" t="str">
        <f ca="1">IFERROR(__xludf.DUMMYFUNCTION("""COMPUTED_VALUE"""),"1759360470137")</f>
        <v>1759360470137</v>
      </c>
      <c r="B5589" s="2"/>
      <c r="C5589" s="2" t="str">
        <v>0</v>
      </c>
      <c r="D5589" s="2"/>
      <c r="F5589" s="2" t="str">
        <v>0</v>
      </c>
      <c r="I5589" s="3" t="str">
        <f ca="1">IFERROR(__xludf.DUMMYFUNCTION("""COMPUTED_VALUE"""),"Từ Chí vĩnh ")</f>
        <v xml:space="preserve">Từ Chí vĩnh </v>
      </c>
      <c r="J5589" s="3" t="str">
        <f ca="1">IFERROR(__xludf.DUMMYFUNCTION("""COMPUTED_VALUE"""),"0344168943")</f>
        <v>0344168943</v>
      </c>
      <c r="K5589" s="2" t="str">
        <f ca="1">IFERROR(__xludf.DUMMYFUNCTION("""COMPUTED_VALUE"""),"1759360470137")</f>
        <v>1759360470137</v>
      </c>
    </row>
    <row r="5590" spans="1:11" ht="12.45">
      <c r="A5590" s="2" t="str">
        <f ca="1">IFERROR(__xludf.DUMMYFUNCTION("""COMPUTED_VALUE"""),"Không giao sách")</f>
        <v>Không giao sách</v>
      </c>
      <c r="B5590" s="2"/>
      <c r="C5590" s="2" t="str">
        <v>0</v>
      </c>
      <c r="D5590" s="2"/>
      <c r="F5590" s="2" t="str">
        <v>0</v>
      </c>
      <c r="I5590" s="3" t="str">
        <f ca="1">IFERROR(__xludf.DUMMYFUNCTION("""COMPUTED_VALUE"""),"Hoàng Gia Thành")</f>
        <v>Hoàng Gia Thành</v>
      </c>
      <c r="J5590" s="3" t="str">
        <f ca="1">IFERROR(__xludf.DUMMYFUNCTION("""COMPUTED_VALUE"""),"0965168465")</f>
        <v>0965168465</v>
      </c>
      <c r="K5590" s="2" t="str">
        <f ca="1">IFERROR(__xludf.DUMMYFUNCTION("""COMPUTED_VALUE"""),"Không giao sách")</f>
        <v>Không giao sách</v>
      </c>
    </row>
    <row r="5591" spans="1:11" ht="12.45">
      <c r="A5591" s="2" t="str">
        <f ca="1">IFERROR(__xludf.DUMMYFUNCTION("""COMPUTED_VALUE"""),"1759360511873")</f>
        <v>1759360511873</v>
      </c>
      <c r="B5591" s="2"/>
      <c r="C5591" s="2" t="str">
        <v>0</v>
      </c>
      <c r="D5591" s="2"/>
      <c r="F5591" s="2" t="str">
        <v>0</v>
      </c>
      <c r="I5591" s="3" t="str">
        <f ca="1">IFERROR(__xludf.DUMMYFUNCTION("""COMPUTED_VALUE"""),"Vũ Ngọc Minh")</f>
        <v>Vũ Ngọc Minh</v>
      </c>
      <c r="J5591" s="3" t="str">
        <f ca="1">IFERROR(__xludf.DUMMYFUNCTION("""COMPUTED_VALUE"""),"0828442007")</f>
        <v>0828442007</v>
      </c>
      <c r="K5591" s="2" t="str">
        <f ca="1">IFERROR(__xludf.DUMMYFUNCTION("""COMPUTED_VALUE"""),"1759360511873")</f>
        <v>1759360511873</v>
      </c>
    </row>
    <row r="5592" spans="1:11" ht="12.45">
      <c r="A5592" s="2" t="str">
        <f ca="1">IFERROR(__xludf.DUMMYFUNCTION("""COMPUTED_VALUE"""),"1759360532063")</f>
        <v>1759360532063</v>
      </c>
      <c r="B5592" s="2"/>
      <c r="C5592" s="2" t="str">
        <v>0</v>
      </c>
      <c r="D5592" s="2"/>
      <c r="F5592" s="2" t="str">
        <v>0</v>
      </c>
      <c r="I5592" s="3" t="str">
        <f ca="1">IFERROR(__xludf.DUMMYFUNCTION("""COMPUTED_VALUE"""),"Vương Mỹ Uyên")</f>
        <v>Vương Mỹ Uyên</v>
      </c>
      <c r="J5592" s="3" t="str">
        <f ca="1">IFERROR(__xludf.DUMMYFUNCTION("""COMPUTED_VALUE"""),"0968486540")</f>
        <v>0968486540</v>
      </c>
      <c r="K5592" s="2" t="str">
        <f ca="1">IFERROR(__xludf.DUMMYFUNCTION("""COMPUTED_VALUE"""),"1759360532063")</f>
        <v>1759360532063</v>
      </c>
    </row>
    <row r="5593" spans="1:11" ht="12.45">
      <c r="A5593" s="2" t="str">
        <f ca="1">IFERROR(__xludf.DUMMYFUNCTION("""COMPUTED_VALUE"""),"1759360561202")</f>
        <v>1759360561202</v>
      </c>
      <c r="B5593" s="2"/>
      <c r="C5593" s="2" t="str">
        <v>0</v>
      </c>
      <c r="D5593" s="2"/>
      <c r="F5593" s="2" t="str">
        <v>0</v>
      </c>
      <c r="I5593" s="3" t="str">
        <f ca="1">IFERROR(__xludf.DUMMYFUNCTION("""COMPUTED_VALUE"""),"Dương Ngọc Bảo Châu")</f>
        <v>Dương Ngọc Bảo Châu</v>
      </c>
      <c r="J5593" s="3" t="str">
        <f ca="1">IFERROR(__xludf.DUMMYFUNCTION("""COMPUTED_VALUE"""),"0768575817")</f>
        <v>0768575817</v>
      </c>
      <c r="K5593" s="2" t="str">
        <f ca="1">IFERROR(__xludf.DUMMYFUNCTION("""COMPUTED_VALUE"""),"1759360561202")</f>
        <v>1759360561202</v>
      </c>
    </row>
    <row r="5594" spans="1:11" ht="12.45">
      <c r="A5594" s="2" t="str">
        <f ca="1">IFERROR(__xludf.DUMMYFUNCTION("""COMPUTED_VALUE"""),"1759360590390")</f>
        <v>1759360590390</v>
      </c>
      <c r="B5594" s="2"/>
      <c r="C5594" s="2" t="str">
        <v>0</v>
      </c>
      <c r="D5594" s="2"/>
      <c r="F5594" s="2" t="str">
        <v>0</v>
      </c>
      <c r="I5594" s="3" t="str">
        <f ca="1">IFERROR(__xludf.DUMMYFUNCTION("""COMPUTED_VALUE"""),"Trần Thị Như Ngọc")</f>
        <v>Trần Thị Như Ngọc</v>
      </c>
      <c r="J5594" s="3" t="str">
        <f ca="1">IFERROR(__xludf.DUMMYFUNCTION("""COMPUTED_VALUE"""),"0977688679")</f>
        <v>0977688679</v>
      </c>
      <c r="K5594" s="2" t="str">
        <f ca="1">IFERROR(__xludf.DUMMYFUNCTION("""COMPUTED_VALUE"""),"1759360590390")</f>
        <v>1759360590390</v>
      </c>
    </row>
    <row r="5595" spans="1:11" ht="12.45">
      <c r="A5595" s="2" t="str">
        <f ca="1">IFERROR(__xludf.DUMMYFUNCTION("""COMPUTED_VALUE"""),"1759360626209")</f>
        <v>1759360626209</v>
      </c>
      <c r="B5595" s="2"/>
      <c r="C5595" s="2" t="str">
        <v>0</v>
      </c>
      <c r="D5595" s="2"/>
      <c r="F5595" s="2" t="str">
        <v>0</v>
      </c>
      <c r="I5595" s="3" t="str">
        <f ca="1">IFERROR(__xludf.DUMMYFUNCTION("""COMPUTED_VALUE"""),"Diệp Chấn Phong")</f>
        <v>Diệp Chấn Phong</v>
      </c>
      <c r="J5595" s="3" t="str">
        <f ca="1">IFERROR(__xludf.DUMMYFUNCTION("""COMPUTED_VALUE"""),"0919559758")</f>
        <v>0919559758</v>
      </c>
      <c r="K5595" s="2" t="str">
        <f ca="1">IFERROR(__xludf.DUMMYFUNCTION("""COMPUTED_VALUE"""),"1759360626209")</f>
        <v>1759360626209</v>
      </c>
    </row>
    <row r="5596" spans="1:11" ht="12.45">
      <c r="A5596" s="2" t="str">
        <f ca="1">IFERROR(__xludf.DUMMYFUNCTION("""COMPUTED_VALUE"""),"1759360656576")</f>
        <v>1759360656576</v>
      </c>
      <c r="B5596" s="2"/>
      <c r="C5596" s="2" t="str">
        <v>0</v>
      </c>
      <c r="D5596" s="2"/>
      <c r="F5596" s="2" t="str">
        <v>0</v>
      </c>
      <c r="I5596" s="3" t="str">
        <f ca="1">IFERROR(__xludf.DUMMYFUNCTION("""COMPUTED_VALUE"""),"Phan thị khánh huyền")</f>
        <v>Phan thị khánh huyền</v>
      </c>
      <c r="J5596" s="3" t="str">
        <f ca="1">IFERROR(__xludf.DUMMYFUNCTION("""COMPUTED_VALUE"""),"0842150407")</f>
        <v>0842150407</v>
      </c>
      <c r="K5596" s="2" t="str">
        <f ca="1">IFERROR(__xludf.DUMMYFUNCTION("""COMPUTED_VALUE"""),"1759360656576")</f>
        <v>1759360656576</v>
      </c>
    </row>
    <row r="5597" spans="1:11" ht="12.45">
      <c r="A5597" s="2" t="str">
        <f ca="1">IFERROR(__xludf.DUMMYFUNCTION("""COMPUTED_VALUE"""),"1759360706811")</f>
        <v>1759360706811</v>
      </c>
      <c r="B5597" s="2"/>
      <c r="C5597" s="2" t="str">
        <v>0</v>
      </c>
      <c r="D5597" s="2"/>
      <c r="F5597" s="2" t="str">
        <v>0</v>
      </c>
      <c r="I5597" s="3" t="str">
        <f ca="1">IFERROR(__xludf.DUMMYFUNCTION("""COMPUTED_VALUE"""),"lưu diễm quỳnh")</f>
        <v>lưu diễm quỳnh</v>
      </c>
      <c r="J5597" s="3" t="str">
        <f ca="1">IFERROR(__xludf.DUMMYFUNCTION("""COMPUTED_VALUE"""),"0915008710")</f>
        <v>0915008710</v>
      </c>
      <c r="K5597" s="2" t="str">
        <f ca="1">IFERROR(__xludf.DUMMYFUNCTION("""COMPUTED_VALUE"""),"1759360706811")</f>
        <v>1759360706811</v>
      </c>
    </row>
    <row r="5598" spans="1:11" ht="12.45">
      <c r="A5598" s="2" t="str">
        <f ca="1">IFERROR(__xludf.DUMMYFUNCTION("""COMPUTED_VALUE"""),"1759360739601")</f>
        <v>1759360739601</v>
      </c>
      <c r="B5598" s="2"/>
      <c r="C5598" s="2" t="str">
        <v>0</v>
      </c>
      <c r="D5598" s="2"/>
      <c r="F5598" s="2" t="str">
        <v>0</v>
      </c>
      <c r="I5598" s="3" t="str">
        <f ca="1">IFERROR(__xludf.DUMMYFUNCTION("""COMPUTED_VALUE"""),"Chu Tú Quyên")</f>
        <v>Chu Tú Quyên</v>
      </c>
      <c r="J5598" s="3" t="str">
        <f ca="1">IFERROR(__xludf.DUMMYFUNCTION("""COMPUTED_VALUE"""),"0333282360")</f>
        <v>0333282360</v>
      </c>
      <c r="K5598" s="2" t="str">
        <f ca="1">IFERROR(__xludf.DUMMYFUNCTION("""COMPUTED_VALUE"""),"1759360739601")</f>
        <v>1759360739601</v>
      </c>
    </row>
    <row r="5599" spans="1:11" ht="12.45">
      <c r="A5599" s="2" t="str">
        <f ca="1">IFERROR(__xludf.DUMMYFUNCTION("""COMPUTED_VALUE"""),"1759360799509")</f>
        <v>1759360799509</v>
      </c>
      <c r="B5599" s="2"/>
      <c r="C5599" s="2" t="str">
        <v>0</v>
      </c>
      <c r="D5599" s="2"/>
      <c r="F5599" s="2" t="str">
        <v>0</v>
      </c>
      <c r="I5599" s="3" t="str">
        <f ca="1">IFERROR(__xludf.DUMMYFUNCTION("""COMPUTED_VALUE"""),"Lý Huỳnh Kim Ngân")</f>
        <v>Lý Huỳnh Kim Ngân</v>
      </c>
      <c r="J5599" s="3" t="str">
        <f ca="1">IFERROR(__xludf.DUMMYFUNCTION("""COMPUTED_VALUE"""),"0386220106")</f>
        <v>0386220106</v>
      </c>
      <c r="K5599" s="2" t="str">
        <f ca="1">IFERROR(__xludf.DUMMYFUNCTION("""COMPUTED_VALUE"""),"1759360799509")</f>
        <v>1759360799509</v>
      </c>
    </row>
    <row r="5600" spans="1:11" ht="12.45">
      <c r="A5600" s="2" t="str">
        <f ca="1">IFERROR(__xludf.DUMMYFUNCTION("""COMPUTED_VALUE"""),"1759360824747")</f>
        <v>1759360824747</v>
      </c>
      <c r="B5600" s="2"/>
      <c r="C5600" s="2" t="str">
        <v>0</v>
      </c>
      <c r="D5600" s="2"/>
      <c r="F5600" s="2" t="str">
        <v>0</v>
      </c>
      <c r="I5600" s="3" t="str">
        <f ca="1">IFERROR(__xludf.DUMMYFUNCTION("""COMPUTED_VALUE"""),"Nguyễn Minh Khang ")</f>
        <v xml:space="preserve">Nguyễn Minh Khang </v>
      </c>
      <c r="J5600" s="3" t="str">
        <f ca="1">IFERROR(__xludf.DUMMYFUNCTION("""COMPUTED_VALUE"""),"0825020198")</f>
        <v>0825020198</v>
      </c>
      <c r="K5600" s="2" t="str">
        <f ca="1">IFERROR(__xludf.DUMMYFUNCTION("""COMPUTED_VALUE"""),"1759360824747")</f>
        <v>1759360824747</v>
      </c>
    </row>
    <row r="5601" spans="1:11" ht="12.45">
      <c r="A5601" s="2" t="str">
        <f ca="1">IFERROR(__xludf.DUMMYFUNCTION("""COMPUTED_VALUE"""),"1759360860439")</f>
        <v>1759360860439</v>
      </c>
      <c r="B5601" s="2"/>
      <c r="C5601" s="2" t="str">
        <v>0</v>
      </c>
      <c r="D5601" s="2"/>
      <c r="F5601" s="2" t="str">
        <v>0</v>
      </c>
      <c r="I5601" s="3" t="str">
        <f ca="1">IFERROR(__xludf.DUMMYFUNCTION("""COMPUTED_VALUE"""),"Phùng Ngọc Trà")</f>
        <v>Phùng Ngọc Trà</v>
      </c>
      <c r="J5601" s="3" t="str">
        <f ca="1">IFERROR(__xludf.DUMMYFUNCTION("""COMPUTED_VALUE"""),"0335551999")</f>
        <v>0335551999</v>
      </c>
      <c r="K5601" s="2" t="str">
        <f ca="1">IFERROR(__xludf.DUMMYFUNCTION("""COMPUTED_VALUE"""),"1759360860439")</f>
        <v>1759360860439</v>
      </c>
    </row>
    <row r="5602" spans="1:11" ht="12.45">
      <c r="A5602" s="2" t="str">
        <f ca="1">IFERROR(__xludf.DUMMYFUNCTION("""COMPUTED_VALUE"""),"1759360896941")</f>
        <v>1759360896941</v>
      </c>
      <c r="B5602" s="2"/>
      <c r="C5602" s="2" t="str">
        <v>0</v>
      </c>
      <c r="D5602" s="2"/>
      <c r="F5602" s="2" t="str">
        <v>0</v>
      </c>
      <c r="I5602" s="3" t="str">
        <f ca="1">IFERROR(__xludf.DUMMYFUNCTION("""COMPUTED_VALUE"""),"Nguyễn Thảo Linh")</f>
        <v>Nguyễn Thảo Linh</v>
      </c>
      <c r="J5602" s="3" t="str">
        <f ca="1">IFERROR(__xludf.DUMMYFUNCTION("""COMPUTED_VALUE"""),"0961184528")</f>
        <v>0961184528</v>
      </c>
      <c r="K5602" s="2" t="str">
        <f ca="1">IFERROR(__xludf.DUMMYFUNCTION("""COMPUTED_VALUE"""),"1759360896941")</f>
        <v>1759360896941</v>
      </c>
    </row>
    <row r="5603" spans="1:11" ht="12.45">
      <c r="A5603" s="2" t="str">
        <f ca="1">IFERROR(__xludf.DUMMYFUNCTION("""COMPUTED_VALUE"""),"1759360931683")</f>
        <v>1759360931683</v>
      </c>
      <c r="B5603" s="2"/>
      <c r="C5603" s="2" t="str">
        <v>0</v>
      </c>
      <c r="D5603" s="2"/>
      <c r="F5603" s="2" t="str">
        <v>0</v>
      </c>
      <c r="I5603" s="3" t="str">
        <f ca="1">IFERROR(__xludf.DUMMYFUNCTION("""COMPUTED_VALUE"""),"Nguyễn phương thảo")</f>
        <v>Nguyễn phương thảo</v>
      </c>
      <c r="J5603" s="3" t="str">
        <f ca="1">IFERROR(__xludf.DUMMYFUNCTION("""COMPUTED_VALUE"""),"0965330222")</f>
        <v>0965330222</v>
      </c>
      <c r="K5603" s="2" t="str">
        <f ca="1">IFERROR(__xludf.DUMMYFUNCTION("""COMPUTED_VALUE"""),"1759360931683")</f>
        <v>1759360931683</v>
      </c>
    </row>
    <row r="5604" spans="1:11" ht="12.45">
      <c r="A5604" s="2" t="str">
        <f ca="1">IFERROR(__xludf.DUMMYFUNCTION("""COMPUTED_VALUE"""),"1759360969845")</f>
        <v>1759360969845</v>
      </c>
      <c r="B5604" s="2"/>
      <c r="C5604" s="2" t="str">
        <v>0</v>
      </c>
      <c r="D5604" s="2"/>
      <c r="F5604" s="2" t="str">
        <v>0</v>
      </c>
      <c r="I5604" s="3" t="str">
        <f ca="1">IFERROR(__xludf.DUMMYFUNCTION("""COMPUTED_VALUE"""),"Nguyễn Trần Anh Thi ")</f>
        <v xml:space="preserve">Nguyễn Trần Anh Thi </v>
      </c>
      <c r="J5604" s="3" t="str">
        <f ca="1">IFERROR(__xludf.DUMMYFUNCTION("""COMPUTED_VALUE"""),"0708509064")</f>
        <v>0708509064</v>
      </c>
      <c r="K5604" s="2" t="str">
        <f ca="1">IFERROR(__xludf.DUMMYFUNCTION("""COMPUTED_VALUE"""),"1759360969845")</f>
        <v>1759360969845</v>
      </c>
    </row>
    <row r="5605" spans="1:11" ht="12.45">
      <c r="A5605" s="2" t="str">
        <f ca="1">IFERROR(__xludf.DUMMYFUNCTION("""COMPUTED_VALUE"""),"1759361018598")</f>
        <v>1759361018598</v>
      </c>
      <c r="B5605" s="2"/>
      <c r="C5605" s="2" t="str">
        <v>0</v>
      </c>
      <c r="D5605" s="2"/>
      <c r="F5605" s="2" t="str">
        <v>0</v>
      </c>
      <c r="I5605" s="3" t="str">
        <f ca="1">IFERROR(__xludf.DUMMYFUNCTION("""COMPUTED_VALUE"""),"Nguyễn Thị Hồng Nhung ")</f>
        <v xml:space="preserve">Nguyễn Thị Hồng Nhung </v>
      </c>
      <c r="J5605" s="3" t="str">
        <f ca="1">IFERROR(__xludf.DUMMYFUNCTION("""COMPUTED_VALUE"""),"0386162459")</f>
        <v>0386162459</v>
      </c>
      <c r="K5605" s="2" t="str">
        <f ca="1">IFERROR(__xludf.DUMMYFUNCTION("""COMPUTED_VALUE"""),"1759361018598")</f>
        <v>1759361018598</v>
      </c>
    </row>
    <row r="5606" spans="1:11" ht="12.45">
      <c r="A5606" s="2" t="str">
        <f ca="1">IFERROR(__xludf.DUMMYFUNCTION("""COMPUTED_VALUE"""),"1759361053996")</f>
        <v>1759361053996</v>
      </c>
      <c r="B5606" s="2"/>
      <c r="C5606" s="2" t="str">
        <v>0</v>
      </c>
      <c r="D5606" s="2"/>
      <c r="F5606" s="2" t="str">
        <v>0</v>
      </c>
      <c r="I5606" s="3" t="str">
        <f ca="1">IFERROR(__xludf.DUMMYFUNCTION("""COMPUTED_VALUE"""),"Dương Ngọc Anh Thư")</f>
        <v>Dương Ngọc Anh Thư</v>
      </c>
      <c r="J5606" s="3" t="str">
        <f ca="1">IFERROR(__xludf.DUMMYFUNCTION("""COMPUTED_VALUE"""),"0934119827")</f>
        <v>0934119827</v>
      </c>
      <c r="K5606" s="2" t="str">
        <f ca="1">IFERROR(__xludf.DUMMYFUNCTION("""COMPUTED_VALUE"""),"1759361053996")</f>
        <v>1759361053996</v>
      </c>
    </row>
    <row r="5607" spans="1:11" ht="12.45">
      <c r="A5607" s="2" t="str">
        <f ca="1">IFERROR(__xludf.DUMMYFUNCTION("""COMPUTED_VALUE"""),"1759361090537")</f>
        <v>1759361090537</v>
      </c>
      <c r="B5607" s="2"/>
      <c r="C5607" s="2" t="str">
        <v>0</v>
      </c>
      <c r="D5607" s="2"/>
      <c r="F5607" s="2" t="str">
        <v>0</v>
      </c>
      <c r="I5607" s="3" t="str">
        <f ca="1">IFERROR(__xludf.DUMMYFUNCTION("""COMPUTED_VALUE"""),"Nguyễn Phan Pha Lê")</f>
        <v>Nguyễn Phan Pha Lê</v>
      </c>
      <c r="J5607" s="3" t="str">
        <f ca="1">IFERROR(__xludf.DUMMYFUNCTION("""COMPUTED_VALUE"""),"0945526529")</f>
        <v>0945526529</v>
      </c>
      <c r="K5607" s="2" t="str">
        <f ca="1">IFERROR(__xludf.DUMMYFUNCTION("""COMPUTED_VALUE"""),"1759361090537")</f>
        <v>1759361090537</v>
      </c>
    </row>
    <row r="5608" spans="1:11" ht="12.45">
      <c r="A5608" s="2" t="str">
        <f ca="1">IFERROR(__xludf.DUMMYFUNCTION("""COMPUTED_VALUE"""),"1759361119407")</f>
        <v>1759361119407</v>
      </c>
      <c r="B5608" s="2"/>
      <c r="C5608" s="2" t="str">
        <v>0</v>
      </c>
      <c r="D5608" s="2"/>
      <c r="F5608" s="2" t="str">
        <v>0</v>
      </c>
      <c r="I5608" s="3" t="str">
        <f ca="1">IFERROR(__xludf.DUMMYFUNCTION("""COMPUTED_VALUE"""),"Nguyễn Thảo Ly")</f>
        <v>Nguyễn Thảo Ly</v>
      </c>
      <c r="J5608" s="3" t="str">
        <f ca="1">IFERROR(__xludf.DUMMYFUNCTION("""COMPUTED_VALUE"""),"0989500607")</f>
        <v>0989500607</v>
      </c>
      <c r="K5608" s="2" t="str">
        <f ca="1">IFERROR(__xludf.DUMMYFUNCTION("""COMPUTED_VALUE"""),"1759361119407")</f>
        <v>1759361119407</v>
      </c>
    </row>
    <row r="5609" spans="1:11" ht="12.45">
      <c r="A5609" s="2" t="str">
        <f ca="1">IFERROR(__xludf.DUMMYFUNCTION("""COMPUTED_VALUE"""),"1759361148005")</f>
        <v>1759361148005</v>
      </c>
      <c r="B5609" s="2"/>
      <c r="C5609" s="2" t="str">
        <v>0</v>
      </c>
      <c r="D5609" s="2"/>
      <c r="F5609" s="2" t="str">
        <v>0</v>
      </c>
      <c r="I5609" s="3" t="str">
        <f ca="1">IFERROR(__xludf.DUMMYFUNCTION("""COMPUTED_VALUE"""),"Đinh Hải Yến")</f>
        <v>Đinh Hải Yến</v>
      </c>
      <c r="J5609" s="3" t="str">
        <f ca="1">IFERROR(__xludf.DUMMYFUNCTION("""COMPUTED_VALUE"""),"0398016699")</f>
        <v>0398016699</v>
      </c>
      <c r="K5609" s="2" t="str">
        <f ca="1">IFERROR(__xludf.DUMMYFUNCTION("""COMPUTED_VALUE"""),"1759361148005")</f>
        <v>1759361148005</v>
      </c>
    </row>
    <row r="5610" spans="1:11" ht="12.45">
      <c r="A5610" s="2" t="str">
        <f ca="1">IFERROR(__xludf.DUMMYFUNCTION("""COMPUTED_VALUE"""),"1759361183390")</f>
        <v>1759361183390</v>
      </c>
      <c r="B5610" s="2"/>
      <c r="C5610" s="2" t="str">
        <v>0</v>
      </c>
      <c r="D5610" s="2"/>
      <c r="F5610" s="2" t="str">
        <v>0</v>
      </c>
      <c r="I5610" s="3" t="str">
        <f ca="1">IFERROR(__xludf.DUMMYFUNCTION("""COMPUTED_VALUE"""),"Trần Thanh Nga")</f>
        <v>Trần Thanh Nga</v>
      </c>
      <c r="J5610" s="3" t="str">
        <f ca="1">IFERROR(__xludf.DUMMYFUNCTION("""COMPUTED_VALUE"""),"0706500968")</f>
        <v>0706500968</v>
      </c>
      <c r="K5610" s="2" t="str">
        <f ca="1">IFERROR(__xludf.DUMMYFUNCTION("""COMPUTED_VALUE"""),"1759361183390")</f>
        <v>1759361183390</v>
      </c>
    </row>
    <row r="5611" spans="1:11" ht="12.45">
      <c r="A5611" s="2" t="str">
        <f ca="1">IFERROR(__xludf.DUMMYFUNCTION("""COMPUTED_VALUE"""),"1759361221361")</f>
        <v>1759361221361</v>
      </c>
      <c r="B5611" s="2"/>
      <c r="C5611" s="2" t="str">
        <v>0</v>
      </c>
      <c r="D5611" s="2"/>
      <c r="F5611" s="2" t="str">
        <v>0</v>
      </c>
      <c r="I5611" s="3" t="str">
        <f ca="1">IFERROR(__xludf.DUMMYFUNCTION("""COMPUTED_VALUE"""),"Tạ Thị Anh Thư ")</f>
        <v xml:space="preserve">Tạ Thị Anh Thư </v>
      </c>
      <c r="J5611" s="3" t="str">
        <f ca="1">IFERROR(__xludf.DUMMYFUNCTION("""COMPUTED_VALUE"""),"0356651047")</f>
        <v>0356651047</v>
      </c>
      <c r="K5611" s="2" t="str">
        <f ca="1">IFERROR(__xludf.DUMMYFUNCTION("""COMPUTED_VALUE"""),"1759361221361")</f>
        <v>1759361221361</v>
      </c>
    </row>
    <row r="5612" spans="1:11" ht="12.45">
      <c r="A5612" s="2" t="str">
        <f ca="1">IFERROR(__xludf.DUMMYFUNCTION("""COMPUTED_VALUE"""),"1759361255216")</f>
        <v>1759361255216</v>
      </c>
      <c r="B5612" s="2"/>
      <c r="C5612" s="2" t="str">
        <v>0</v>
      </c>
      <c r="D5612" s="2"/>
      <c r="F5612" s="2" t="str">
        <v>0</v>
      </c>
      <c r="I5612" s="3" t="str">
        <f ca="1">IFERROR(__xludf.DUMMYFUNCTION("""COMPUTED_VALUE"""),"Phan Thiên Bảo ")</f>
        <v xml:space="preserve">Phan Thiên Bảo </v>
      </c>
      <c r="J5612" s="3" t="str">
        <f ca="1">IFERROR(__xludf.DUMMYFUNCTION("""COMPUTED_VALUE"""),"0976129954")</f>
        <v>0976129954</v>
      </c>
      <c r="K5612" s="2" t="str">
        <f ca="1">IFERROR(__xludf.DUMMYFUNCTION("""COMPUTED_VALUE"""),"1759361255216")</f>
        <v>1759361255216</v>
      </c>
    </row>
    <row r="5613" spans="1:11" ht="12.45">
      <c r="A5613" s="2" t="str">
        <f ca="1">IFERROR(__xludf.DUMMYFUNCTION("""COMPUTED_VALUE"""),"1759361284234")</f>
        <v>1759361284234</v>
      </c>
      <c r="B5613" s="2"/>
      <c r="C5613" s="2" t="str">
        <v>0</v>
      </c>
      <c r="D5613" s="2"/>
      <c r="F5613" s="2" t="str">
        <v>0</v>
      </c>
      <c r="I5613" s="3" t="str">
        <f ca="1">IFERROR(__xludf.DUMMYFUNCTION("""COMPUTED_VALUE"""),"Quàng Thị Kim Ngân")</f>
        <v>Quàng Thị Kim Ngân</v>
      </c>
      <c r="J5613" s="3" t="str">
        <f ca="1">IFERROR(__xludf.DUMMYFUNCTION("""COMPUTED_VALUE"""),"0344501681")</f>
        <v>0344501681</v>
      </c>
      <c r="K5613" s="2" t="str">
        <f ca="1">IFERROR(__xludf.DUMMYFUNCTION("""COMPUTED_VALUE"""),"1759361284234")</f>
        <v>1759361284234</v>
      </c>
    </row>
    <row r="5614" spans="1:11" ht="12.45">
      <c r="A5614" s="2" t="str">
        <f ca="1">IFERROR(__xludf.DUMMYFUNCTION("""COMPUTED_VALUE"""),"1759361316412")</f>
        <v>1759361316412</v>
      </c>
      <c r="B5614" s="2"/>
      <c r="C5614" s="2" t="str">
        <v>0</v>
      </c>
      <c r="D5614" s="2"/>
      <c r="F5614" s="2" t="str">
        <v>0</v>
      </c>
      <c r="I5614" s="3" t="str">
        <f ca="1">IFERROR(__xludf.DUMMYFUNCTION("""COMPUTED_VALUE"""),"Mai Hoàng Yến")</f>
        <v>Mai Hoàng Yến</v>
      </c>
      <c r="J5614" s="3" t="str">
        <f ca="1">IFERROR(__xludf.DUMMYFUNCTION("""COMPUTED_VALUE"""),"0343310609")</f>
        <v>0343310609</v>
      </c>
      <c r="K5614" s="2" t="str">
        <f ca="1">IFERROR(__xludf.DUMMYFUNCTION("""COMPUTED_VALUE"""),"1759361316412")</f>
        <v>1759361316412</v>
      </c>
    </row>
    <row r="5615" spans="1:11" ht="12.45">
      <c r="A5615" s="2" t="str">
        <f ca="1">IFERROR(__xludf.DUMMYFUNCTION("""COMPUTED_VALUE"""),"1759361345262")</f>
        <v>1759361345262</v>
      </c>
      <c r="B5615" s="2"/>
      <c r="C5615" s="2" t="str">
        <v>0</v>
      </c>
      <c r="D5615" s="2"/>
      <c r="F5615" s="2" t="str">
        <v>0</v>
      </c>
      <c r="I5615" s="3" t="str">
        <f ca="1">IFERROR(__xludf.DUMMYFUNCTION("""COMPUTED_VALUE"""),"Nguyễn Phạm Anh Thy ")</f>
        <v xml:space="preserve">Nguyễn Phạm Anh Thy </v>
      </c>
      <c r="J5615" s="3" t="str">
        <f ca="1">IFERROR(__xludf.DUMMYFUNCTION("""COMPUTED_VALUE"""),"0898427984")</f>
        <v>0898427984</v>
      </c>
      <c r="K5615" s="2" t="str">
        <f ca="1">IFERROR(__xludf.DUMMYFUNCTION("""COMPUTED_VALUE"""),"1759361345262")</f>
        <v>1759361345262</v>
      </c>
    </row>
    <row r="5616" spans="1:11" ht="12.45">
      <c r="A5616" s="2" t="str">
        <f ca="1">IFERROR(__xludf.DUMMYFUNCTION("""COMPUTED_VALUE"""),"1759204449753")</f>
        <v>1759204449753</v>
      </c>
      <c r="B5616" s="2"/>
      <c r="C5616" s="2" t="str">
        <v>0</v>
      </c>
      <c r="D5616" s="2"/>
      <c r="F5616" s="2" t="str">
        <v>0</v>
      </c>
      <c r="I5616" s="3" t="str">
        <f ca="1">IFERROR(__xludf.DUMMYFUNCTION("""COMPUTED_VALUE"""),"Nguyễn Quỳnh Giang")</f>
        <v>Nguyễn Quỳnh Giang</v>
      </c>
      <c r="J5616" s="3" t="str">
        <f ca="1">IFERROR(__xludf.DUMMYFUNCTION("""COMPUTED_VALUE"""),"0931681600")</f>
        <v>0931681600</v>
      </c>
      <c r="K5616" s="2" t="str">
        <f ca="1">IFERROR(__xludf.DUMMYFUNCTION("""COMPUTED_VALUE"""),"1759204449753")</f>
        <v>1759204449753</v>
      </c>
    </row>
    <row r="5617" spans="1:11" ht="12.45">
      <c r="A5617" s="2" t="str">
        <f ca="1">IFERROR(__xludf.DUMMYFUNCTION("""COMPUTED_VALUE"""),"1759361375581")</f>
        <v>1759361375581</v>
      </c>
      <c r="B5617" s="2"/>
      <c r="C5617" s="2" t="str">
        <v>0</v>
      </c>
      <c r="D5617" s="2"/>
      <c r="F5617" s="2" t="str">
        <v>0</v>
      </c>
      <c r="I5617" s="3" t="str">
        <f ca="1">IFERROR(__xludf.DUMMYFUNCTION("""COMPUTED_VALUE"""),"PHẠM THỊ KIỀU DIỄM ")</f>
        <v xml:space="preserve">PHẠM THỊ KIỀU DIỄM </v>
      </c>
      <c r="J5617" s="3" t="str">
        <f ca="1">IFERROR(__xludf.DUMMYFUNCTION("""COMPUTED_VALUE"""),"0762549448")</f>
        <v>0762549448</v>
      </c>
      <c r="K5617" s="2" t="str">
        <f ca="1">IFERROR(__xludf.DUMMYFUNCTION("""COMPUTED_VALUE"""),"1759361375581")</f>
        <v>1759361375581</v>
      </c>
    </row>
    <row r="5618" spans="1:11" ht="12.45">
      <c r="A5618" s="2" t="str">
        <f ca="1">IFERROR(__xludf.DUMMYFUNCTION("""COMPUTED_VALUE"""),"1759361416692")</f>
        <v>1759361416692</v>
      </c>
      <c r="B5618" s="2"/>
      <c r="C5618" s="2" t="str">
        <v>0</v>
      </c>
      <c r="D5618" s="2"/>
      <c r="F5618" s="2" t="str">
        <v>0</v>
      </c>
      <c r="I5618" s="3" t="str">
        <f ca="1">IFERROR(__xludf.DUMMYFUNCTION("""COMPUTED_VALUE"""),"Lê Thị Loan")</f>
        <v>Lê Thị Loan</v>
      </c>
      <c r="J5618" s="3" t="str">
        <f ca="1">IFERROR(__xludf.DUMMYFUNCTION("""COMPUTED_VALUE"""),"0817088473")</f>
        <v>0817088473</v>
      </c>
      <c r="K5618" s="2" t="str">
        <f ca="1">IFERROR(__xludf.DUMMYFUNCTION("""COMPUTED_VALUE"""),"1759361416692")</f>
        <v>1759361416692</v>
      </c>
    </row>
    <row r="5619" spans="1:11" ht="12.45">
      <c r="A5619" s="2" t="str">
        <f ca="1">IFERROR(__xludf.DUMMYFUNCTION("""COMPUTED_VALUE"""),"1759361446791")</f>
        <v>1759361446791</v>
      </c>
      <c r="B5619" s="2"/>
      <c r="C5619" s="2" t="str">
        <v>0</v>
      </c>
      <c r="D5619" s="2"/>
      <c r="F5619" s="2" t="str">
        <v>0</v>
      </c>
      <c r="I5619" s="3" t="str">
        <f ca="1">IFERROR(__xludf.DUMMYFUNCTION("""COMPUTED_VALUE"""),"Huỳnh Nguyễn Mai An ")</f>
        <v xml:space="preserve">Huỳnh Nguyễn Mai An </v>
      </c>
      <c r="J5619" s="3" t="str">
        <f ca="1">IFERROR(__xludf.DUMMYFUNCTION("""COMPUTED_VALUE"""),"0902562820")</f>
        <v>0902562820</v>
      </c>
      <c r="K5619" s="2" t="str">
        <f ca="1">IFERROR(__xludf.DUMMYFUNCTION("""COMPUTED_VALUE"""),"1759361446791")</f>
        <v>1759361446791</v>
      </c>
    </row>
    <row r="5620" spans="1:11" ht="12.45">
      <c r="A5620" s="2" t="str">
        <f ca="1">IFERROR(__xludf.DUMMYFUNCTION("""COMPUTED_VALUE"""),"1759361478914")</f>
        <v>1759361478914</v>
      </c>
      <c r="B5620" s="2"/>
      <c r="C5620" s="2" t="str">
        <v>0</v>
      </c>
      <c r="D5620" s="2"/>
      <c r="F5620" s="2" t="str">
        <v>0</v>
      </c>
      <c r="I5620" s="3" t="str">
        <f ca="1">IFERROR(__xludf.DUMMYFUNCTION("""COMPUTED_VALUE"""),"Nguyễn Nhật Linh")</f>
        <v>Nguyễn Nhật Linh</v>
      </c>
      <c r="J5620" s="3" t="str">
        <f ca="1">IFERROR(__xludf.DUMMYFUNCTION("""COMPUTED_VALUE"""),"0905260091")</f>
        <v>0905260091</v>
      </c>
      <c r="K5620" s="2" t="str">
        <f ca="1">IFERROR(__xludf.DUMMYFUNCTION("""COMPUTED_VALUE"""),"1759361478914")</f>
        <v>1759361478914</v>
      </c>
    </row>
    <row r="5621" spans="1:11" ht="12.45">
      <c r="A5621" s="2" t="str">
        <f ca="1">IFERROR(__xludf.DUMMYFUNCTION("""COMPUTED_VALUE"""),"1759361507945")</f>
        <v>1759361507945</v>
      </c>
      <c r="B5621" s="2"/>
      <c r="C5621" s="2" t="str">
        <v>0</v>
      </c>
      <c r="D5621" s="2"/>
      <c r="F5621" s="2" t="str">
        <v>0</v>
      </c>
      <c r="I5621" s="3" t="str">
        <f ca="1">IFERROR(__xludf.DUMMYFUNCTION("""COMPUTED_VALUE"""),"Huỳnh Ngọc Anh")</f>
        <v>Huỳnh Ngọc Anh</v>
      </c>
      <c r="J5621" s="3" t="str">
        <f ca="1">IFERROR(__xludf.DUMMYFUNCTION("""COMPUTED_VALUE"""),"0364732959")</f>
        <v>0364732959</v>
      </c>
      <c r="K5621" s="2" t="str">
        <f ca="1">IFERROR(__xludf.DUMMYFUNCTION("""COMPUTED_VALUE"""),"1759361507945")</f>
        <v>1759361507945</v>
      </c>
    </row>
    <row r="5622" spans="1:11" ht="12.45">
      <c r="A5622" s="2" t="str">
        <f ca="1">IFERROR(__xludf.DUMMYFUNCTION("""COMPUTED_VALUE"""),"1759361538315")</f>
        <v>1759361538315</v>
      </c>
      <c r="B5622" s="2"/>
      <c r="C5622" s="2" t="str">
        <v>0</v>
      </c>
      <c r="D5622" s="2"/>
      <c r="F5622" s="2" t="str">
        <v>0</v>
      </c>
      <c r="I5622" s="3" t="str">
        <f ca="1">IFERROR(__xludf.DUMMYFUNCTION("""COMPUTED_VALUE"""),"Nguyễn Ngọc Quỳnh Như")</f>
        <v>Nguyễn Ngọc Quỳnh Như</v>
      </c>
      <c r="J5622" s="3" t="str">
        <f ca="1">IFERROR(__xludf.DUMMYFUNCTION("""COMPUTED_VALUE"""),"0969441054")</f>
        <v>0969441054</v>
      </c>
      <c r="K5622" s="2" t="str">
        <f ca="1">IFERROR(__xludf.DUMMYFUNCTION("""COMPUTED_VALUE"""),"1759361538315")</f>
        <v>1759361538315</v>
      </c>
    </row>
    <row r="5623" spans="1:11" ht="12.45">
      <c r="A5623" s="2" t="str">
        <f ca="1">IFERROR(__xludf.DUMMYFUNCTION("""COMPUTED_VALUE"""),"1759361572748")</f>
        <v>1759361572748</v>
      </c>
      <c r="B5623" s="2"/>
      <c r="C5623" s="2" t="str">
        <v>0</v>
      </c>
      <c r="D5623" s="2"/>
      <c r="F5623" s="2" t="str">
        <v>0</v>
      </c>
      <c r="I5623" s="3" t="str">
        <f ca="1">IFERROR(__xludf.DUMMYFUNCTION("""COMPUTED_VALUE"""),"Lưu Thu Thùy ")</f>
        <v xml:space="preserve">Lưu Thu Thùy </v>
      </c>
      <c r="J5623" s="3" t="str">
        <f ca="1">IFERROR(__xludf.DUMMYFUNCTION("""COMPUTED_VALUE"""),"0705615019")</f>
        <v>0705615019</v>
      </c>
      <c r="K5623" s="2" t="str">
        <f ca="1">IFERROR(__xludf.DUMMYFUNCTION("""COMPUTED_VALUE"""),"1759361572748")</f>
        <v>1759361572748</v>
      </c>
    </row>
    <row r="5624" spans="1:11" ht="12.45">
      <c r="A5624" s="2" t="str">
        <f ca="1">IFERROR(__xludf.DUMMYFUNCTION("""COMPUTED_VALUE"""),"1759361605592")</f>
        <v>1759361605592</v>
      </c>
      <c r="B5624" s="2"/>
      <c r="C5624" s="2" t="str">
        <v>0</v>
      </c>
      <c r="D5624" s="2"/>
      <c r="F5624" s="2" t="str">
        <v>0</v>
      </c>
      <c r="I5624" s="3" t="str">
        <f ca="1">IFERROR(__xludf.DUMMYFUNCTION("""COMPUTED_VALUE"""),"Nguyễn Thị Hoa")</f>
        <v>Nguyễn Thị Hoa</v>
      </c>
      <c r="J5624" s="3" t="str">
        <f ca="1">IFERROR(__xludf.DUMMYFUNCTION("""COMPUTED_VALUE"""),"0368590729")</f>
        <v>0368590729</v>
      </c>
      <c r="K5624" s="2" t="str">
        <f ca="1">IFERROR(__xludf.DUMMYFUNCTION("""COMPUTED_VALUE"""),"1759361605592")</f>
        <v>1759361605592</v>
      </c>
    </row>
    <row r="5625" spans="1:11" ht="12.45">
      <c r="A5625" s="2" t="str">
        <f ca="1">IFERROR(__xludf.DUMMYFUNCTION("""COMPUTED_VALUE"""),"1759361631024")</f>
        <v>1759361631024</v>
      </c>
      <c r="B5625" s="2"/>
      <c r="C5625" s="2" t="str">
        <v>0</v>
      </c>
      <c r="D5625" s="2"/>
      <c r="F5625" s="2" t="str">
        <v>0</v>
      </c>
      <c r="I5625" s="3" t="str">
        <f ca="1">IFERROR(__xludf.DUMMYFUNCTION("""COMPUTED_VALUE"""),"Võ thị kiều my")</f>
        <v>Võ thị kiều my</v>
      </c>
      <c r="J5625" s="3" t="str">
        <f ca="1">IFERROR(__xludf.DUMMYFUNCTION("""COMPUTED_VALUE"""),"0359847707")</f>
        <v>0359847707</v>
      </c>
      <c r="K5625" s="2" t="str">
        <f ca="1">IFERROR(__xludf.DUMMYFUNCTION("""COMPUTED_VALUE"""),"1759361631024")</f>
        <v>1759361631024</v>
      </c>
    </row>
    <row r="5626" spans="1:11" ht="12.45">
      <c r="A5626" s="2" t="str">
        <f ca="1">IFERROR(__xludf.DUMMYFUNCTION("""COMPUTED_VALUE"""),"1759361657923")</f>
        <v>1759361657923</v>
      </c>
      <c r="B5626" s="2"/>
      <c r="C5626" s="2" t="str">
        <v>0</v>
      </c>
      <c r="D5626" s="2"/>
      <c r="F5626" s="2" t="str">
        <v>0</v>
      </c>
      <c r="I5626" s="3" t="str">
        <f ca="1">IFERROR(__xludf.DUMMYFUNCTION("""COMPUTED_VALUE"""),"LÊ NHƯ HÀ LINH")</f>
        <v>LÊ NHƯ HÀ LINH</v>
      </c>
      <c r="J5626" s="3" t="str">
        <f ca="1">IFERROR(__xludf.DUMMYFUNCTION("""COMPUTED_VALUE"""),"0869843023")</f>
        <v>0869843023</v>
      </c>
      <c r="K5626" s="2" t="str">
        <f ca="1">IFERROR(__xludf.DUMMYFUNCTION("""COMPUTED_VALUE"""),"1759361657923")</f>
        <v>1759361657923</v>
      </c>
    </row>
    <row r="5627" spans="1:11" ht="12.45">
      <c r="A5627" s="2" t="str">
        <f ca="1">IFERROR(__xludf.DUMMYFUNCTION("""COMPUTED_VALUE"""),"1759361682132")</f>
        <v>1759361682132</v>
      </c>
      <c r="B5627" s="2"/>
      <c r="C5627" s="2" t="str">
        <v>0</v>
      </c>
      <c r="D5627" s="2"/>
      <c r="F5627" s="2" t="str">
        <v>0</v>
      </c>
      <c r="I5627" s="3" t="str">
        <f ca="1">IFERROR(__xludf.DUMMYFUNCTION("""COMPUTED_VALUE"""),"Đoàn Nhật Minh Thư")</f>
        <v>Đoàn Nhật Minh Thư</v>
      </c>
      <c r="J5627" s="3" t="str">
        <f ca="1">IFERROR(__xludf.DUMMYFUNCTION("""COMPUTED_VALUE"""),"0896459502")</f>
        <v>0896459502</v>
      </c>
      <c r="K5627" s="2" t="str">
        <f ca="1">IFERROR(__xludf.DUMMYFUNCTION("""COMPUTED_VALUE"""),"1759361682132")</f>
        <v>1759361682132</v>
      </c>
    </row>
    <row r="5628" spans="1:11" ht="12.45">
      <c r="A5628" s="2" t="str">
        <f ca="1">IFERROR(__xludf.DUMMYFUNCTION("""COMPUTED_VALUE"""),"1759361713120")</f>
        <v>1759361713120</v>
      </c>
      <c r="B5628" s="2"/>
      <c r="C5628" s="2" t="str">
        <v>0</v>
      </c>
      <c r="D5628" s="2"/>
      <c r="F5628" s="2" t="str">
        <v>0</v>
      </c>
      <c r="I5628" s="3" t="str">
        <f ca="1">IFERROR(__xludf.DUMMYFUNCTION("""COMPUTED_VALUE"""),"Đàm Nguyễn Ngọc Linh")</f>
        <v>Đàm Nguyễn Ngọc Linh</v>
      </c>
      <c r="J5628" s="3" t="str">
        <f ca="1">IFERROR(__xludf.DUMMYFUNCTION("""COMPUTED_VALUE"""),"0971928943")</f>
        <v>0971928943</v>
      </c>
      <c r="K5628" s="2" t="str">
        <f ca="1">IFERROR(__xludf.DUMMYFUNCTION("""COMPUTED_VALUE"""),"1759361713120")</f>
        <v>1759361713120</v>
      </c>
    </row>
    <row r="5629" spans="1:11" ht="12.45">
      <c r="A5629" s="2" t="str">
        <f ca="1">IFERROR(__xludf.DUMMYFUNCTION("""COMPUTED_VALUE"""),"1759361753412")</f>
        <v>1759361753412</v>
      </c>
      <c r="B5629" s="2"/>
      <c r="C5629" s="2" t="str">
        <v>0</v>
      </c>
      <c r="D5629" s="2"/>
      <c r="F5629" s="2" t="str">
        <v>0</v>
      </c>
      <c r="I5629" s="3" t="str">
        <f ca="1">IFERROR(__xludf.DUMMYFUNCTION("""COMPUTED_VALUE"""),"Trần Nguyễn Kỳ Vỹ")</f>
        <v>Trần Nguyễn Kỳ Vỹ</v>
      </c>
      <c r="J5629" s="3" t="str">
        <f ca="1">IFERROR(__xludf.DUMMYFUNCTION("""COMPUTED_VALUE"""),"0972900935")</f>
        <v>0972900935</v>
      </c>
      <c r="K5629" s="2" t="str">
        <f ca="1">IFERROR(__xludf.DUMMYFUNCTION("""COMPUTED_VALUE"""),"1759361753412")</f>
        <v>1759361753412</v>
      </c>
    </row>
    <row r="5630" spans="1:11" ht="12.45">
      <c r="A5630" s="2" t="str">
        <f ca="1">IFERROR(__xludf.DUMMYFUNCTION("""COMPUTED_VALUE"""),"1759361791262")</f>
        <v>1759361791262</v>
      </c>
      <c r="B5630" s="2"/>
      <c r="C5630" s="2" t="str">
        <v>0</v>
      </c>
      <c r="D5630" s="2"/>
      <c r="F5630" s="2" t="str">
        <v>0</v>
      </c>
      <c r="I5630" s="3" t="str">
        <f ca="1">IFERROR(__xludf.DUMMYFUNCTION("""COMPUTED_VALUE"""),"Nguyễn Tuyết Chinh")</f>
        <v>Nguyễn Tuyết Chinh</v>
      </c>
      <c r="J5630" s="3" t="str">
        <f ca="1">IFERROR(__xludf.DUMMYFUNCTION("""COMPUTED_VALUE"""),"0366821107")</f>
        <v>0366821107</v>
      </c>
      <c r="K5630" s="2" t="str">
        <f ca="1">IFERROR(__xludf.DUMMYFUNCTION("""COMPUTED_VALUE"""),"1759361791262")</f>
        <v>1759361791262</v>
      </c>
    </row>
    <row r="5631" spans="1:11" ht="12.45">
      <c r="A5631" s="2" t="str">
        <f ca="1">IFERROR(__xludf.DUMMYFUNCTION("""COMPUTED_VALUE"""),"1759361819800")</f>
        <v>1759361819800</v>
      </c>
      <c r="B5631" s="2"/>
      <c r="C5631" s="2" t="str">
        <v>0</v>
      </c>
      <c r="D5631" s="2"/>
      <c r="F5631" s="2" t="str">
        <v>0</v>
      </c>
      <c r="I5631" s="3" t="str">
        <f ca="1">IFERROR(__xludf.DUMMYFUNCTION("""COMPUTED_VALUE"""),"Lê Thu Huyền")</f>
        <v>Lê Thu Huyền</v>
      </c>
      <c r="J5631" s="3" t="str">
        <f ca="1">IFERROR(__xludf.DUMMYFUNCTION("""COMPUTED_VALUE"""),"0979446562")</f>
        <v>0979446562</v>
      </c>
      <c r="K5631" s="2" t="str">
        <f ca="1">IFERROR(__xludf.DUMMYFUNCTION("""COMPUTED_VALUE"""),"1759361819800")</f>
        <v>1759361819800</v>
      </c>
    </row>
    <row r="5632" spans="1:11" ht="12.45">
      <c r="A5632" s="2" t="str">
        <f ca="1">IFERROR(__xludf.DUMMYFUNCTION("""COMPUTED_VALUE"""),"1759361850586")</f>
        <v>1759361850586</v>
      </c>
      <c r="B5632" s="2"/>
      <c r="C5632" s="2" t="str">
        <v>0</v>
      </c>
      <c r="D5632" s="2"/>
      <c r="F5632" s="2" t="str">
        <v>0</v>
      </c>
      <c r="I5632" s="3" t="str">
        <f ca="1">IFERROR(__xludf.DUMMYFUNCTION("""COMPUTED_VALUE"""),"Trần Công Thành")</f>
        <v>Trần Công Thành</v>
      </c>
      <c r="J5632" s="3" t="str">
        <f ca="1">IFERROR(__xludf.DUMMYFUNCTION("""COMPUTED_VALUE"""),"0336921051")</f>
        <v>0336921051</v>
      </c>
      <c r="K5632" s="2" t="str">
        <f ca="1">IFERROR(__xludf.DUMMYFUNCTION("""COMPUTED_VALUE"""),"1759361850586")</f>
        <v>1759361850586</v>
      </c>
    </row>
    <row r="5633" spans="1:11" ht="12.45">
      <c r="A5633" s="2" t="str">
        <f ca="1">IFERROR(__xludf.DUMMYFUNCTION("""COMPUTED_VALUE"""),"1759361895712")</f>
        <v>1759361895712</v>
      </c>
      <c r="B5633" s="2"/>
      <c r="C5633" s="2" t="str">
        <v>0</v>
      </c>
      <c r="D5633" s="2"/>
      <c r="F5633" s="2" t="str">
        <v>0</v>
      </c>
      <c r="I5633" s="3" t="str">
        <f ca="1">IFERROR(__xludf.DUMMYFUNCTION("""COMPUTED_VALUE"""),"Lê Mai Ngọc")</f>
        <v>Lê Mai Ngọc</v>
      </c>
      <c r="J5633" s="3" t="str">
        <f ca="1">IFERROR(__xludf.DUMMYFUNCTION("""COMPUTED_VALUE"""),"0919982594")</f>
        <v>0919982594</v>
      </c>
      <c r="K5633" s="2" t="str">
        <f ca="1">IFERROR(__xludf.DUMMYFUNCTION("""COMPUTED_VALUE"""),"1759361895712")</f>
        <v>1759361895712</v>
      </c>
    </row>
    <row r="5634" spans="1:11" ht="12.45">
      <c r="A5634" s="2" t="str">
        <f ca="1">IFERROR(__xludf.DUMMYFUNCTION("""COMPUTED_VALUE"""),"1759361924239")</f>
        <v>1759361924239</v>
      </c>
      <c r="B5634" s="2"/>
      <c r="C5634" s="2" t="str">
        <v>0</v>
      </c>
      <c r="D5634" s="2"/>
      <c r="F5634" s="2" t="str">
        <v>0</v>
      </c>
      <c r="I5634" s="3" t="str">
        <f ca="1">IFERROR(__xludf.DUMMYFUNCTION("""COMPUTED_VALUE"""),"Vũ Ngọc Bảo Hân")</f>
        <v>Vũ Ngọc Bảo Hân</v>
      </c>
      <c r="J5634" s="3" t="str">
        <f ca="1">IFERROR(__xludf.DUMMYFUNCTION("""COMPUTED_VALUE"""),"0938071273")</f>
        <v>0938071273</v>
      </c>
      <c r="K5634" s="2" t="str">
        <f ca="1">IFERROR(__xludf.DUMMYFUNCTION("""COMPUTED_VALUE"""),"1759361924239")</f>
        <v>1759361924239</v>
      </c>
    </row>
    <row r="5635" spans="1:11" ht="12.45">
      <c r="A5635" s="2" t="str">
        <f ca="1">IFERROR(__xludf.DUMMYFUNCTION("""COMPUTED_VALUE"""),"1759361955184")</f>
        <v>1759361955184</v>
      </c>
      <c r="B5635" s="2"/>
      <c r="C5635" s="2" t="str">
        <v>0</v>
      </c>
      <c r="D5635" s="2"/>
      <c r="F5635" s="2" t="str">
        <v>0</v>
      </c>
      <c r="I5635" s="3" t="str">
        <f ca="1">IFERROR(__xludf.DUMMYFUNCTION("""COMPUTED_VALUE"""),"Trần Huyền Trân")</f>
        <v>Trần Huyền Trân</v>
      </c>
      <c r="J5635" s="3" t="str">
        <f ca="1">IFERROR(__xludf.DUMMYFUNCTION("""COMPUTED_VALUE"""),"0961604605")</f>
        <v>0961604605</v>
      </c>
      <c r="K5635" s="2" t="str">
        <f ca="1">IFERROR(__xludf.DUMMYFUNCTION("""COMPUTED_VALUE"""),"1759361955184")</f>
        <v>1759361955184</v>
      </c>
    </row>
    <row r="5636" spans="1:11" ht="12.45">
      <c r="A5636" s="2" t="str">
        <f ca="1">IFERROR(__xludf.DUMMYFUNCTION("""COMPUTED_VALUE"""),"1759361979424")</f>
        <v>1759361979424</v>
      </c>
      <c r="B5636" s="2"/>
      <c r="C5636" s="2" t="str">
        <v>0</v>
      </c>
      <c r="D5636" s="2"/>
      <c r="F5636" s="2" t="str">
        <v>0</v>
      </c>
      <c r="I5636" s="3" t="str">
        <f ca="1">IFERROR(__xludf.DUMMYFUNCTION("""COMPUTED_VALUE"""),"Lê Khánh Vi")</f>
        <v>Lê Khánh Vi</v>
      </c>
      <c r="J5636" s="3" t="str">
        <f ca="1">IFERROR(__xludf.DUMMYFUNCTION("""COMPUTED_VALUE"""),"0392900761")</f>
        <v>0392900761</v>
      </c>
      <c r="K5636" s="2" t="str">
        <f ca="1">IFERROR(__xludf.DUMMYFUNCTION("""COMPUTED_VALUE"""),"1759361979424")</f>
        <v>1759361979424</v>
      </c>
    </row>
    <row r="5637" spans="1:11" ht="12.45">
      <c r="A5637" s="2" t="str">
        <f ca="1">IFERROR(__xludf.DUMMYFUNCTION("""COMPUTED_VALUE"""),"1759362008821")</f>
        <v>1759362008821</v>
      </c>
      <c r="B5637" s="2"/>
      <c r="C5637" s="2" t="str">
        <v>0</v>
      </c>
      <c r="D5637" s="2"/>
      <c r="F5637" s="2" t="str">
        <v>0</v>
      </c>
      <c r="I5637" s="3" t="str">
        <f ca="1">IFERROR(__xludf.DUMMYFUNCTION("""COMPUTED_VALUE"""),"Võ Nguyễn Thanh Trúc")</f>
        <v>Võ Nguyễn Thanh Trúc</v>
      </c>
      <c r="J5637" s="3" t="str">
        <f ca="1">IFERROR(__xludf.DUMMYFUNCTION("""COMPUTED_VALUE"""),"0906615179")</f>
        <v>0906615179</v>
      </c>
      <c r="K5637" s="2" t="str">
        <f ca="1">IFERROR(__xludf.DUMMYFUNCTION("""COMPUTED_VALUE"""),"1759362008821")</f>
        <v>1759362008821</v>
      </c>
    </row>
    <row r="5638" spans="1:11" ht="12.45">
      <c r="A5638" s="2" t="str">
        <f ca="1">IFERROR(__xludf.DUMMYFUNCTION("""COMPUTED_VALUE"""),"1759362045878")</f>
        <v>1759362045878</v>
      </c>
      <c r="B5638" s="2"/>
      <c r="C5638" s="2" t="str">
        <v>0</v>
      </c>
      <c r="D5638" s="2"/>
      <c r="F5638" s="2" t="str">
        <v>0</v>
      </c>
      <c r="I5638" s="3" t="str">
        <f ca="1">IFERROR(__xludf.DUMMYFUNCTION("""COMPUTED_VALUE"""),"Trần Bảo Linh")</f>
        <v>Trần Bảo Linh</v>
      </c>
      <c r="J5638" s="3" t="str">
        <f ca="1">IFERROR(__xludf.DUMMYFUNCTION("""COMPUTED_VALUE"""),"0918705376")</f>
        <v>0918705376</v>
      </c>
      <c r="K5638" s="2" t="str">
        <f ca="1">IFERROR(__xludf.DUMMYFUNCTION("""COMPUTED_VALUE"""),"1759362045878")</f>
        <v>1759362045878</v>
      </c>
    </row>
    <row r="5639" spans="1:11" ht="12.45">
      <c r="A5639" s="2" t="str">
        <f ca="1">IFERROR(__xludf.DUMMYFUNCTION("""COMPUTED_VALUE"""),"Không giao sách")</f>
        <v>Không giao sách</v>
      </c>
      <c r="B5639" s="2"/>
      <c r="C5639" s="2" t="str">
        <v>0</v>
      </c>
      <c r="D5639" s="2"/>
      <c r="F5639" s="2" t="str">
        <v>0</v>
      </c>
      <c r="I5639" s="3" t="str">
        <f ca="1">IFERROR(__xludf.DUMMYFUNCTION("""COMPUTED_VALUE"""),"Trần Đình Thiện Nhân")</f>
        <v>Trần Đình Thiện Nhân</v>
      </c>
      <c r="J5639" s="3" t="str">
        <f ca="1">IFERROR(__xludf.DUMMYFUNCTION("""COMPUTED_VALUE"""),"0789400555")</f>
        <v>0789400555</v>
      </c>
      <c r="K5639" s="2" t="str">
        <f ca="1">IFERROR(__xludf.DUMMYFUNCTION("""COMPUTED_VALUE"""),"Không giao sách")</f>
        <v>Không giao sách</v>
      </c>
    </row>
    <row r="5640" spans="1:11" ht="12.45">
      <c r="A5640" s="2" t="str">
        <f ca="1">IFERROR(__xludf.DUMMYFUNCTION("""COMPUTED_VALUE"""),"1759362081449")</f>
        <v>1759362081449</v>
      </c>
      <c r="B5640" s="2"/>
      <c r="C5640" s="2" t="str">
        <v>0</v>
      </c>
      <c r="D5640" s="2"/>
      <c r="F5640" s="2" t="str">
        <v>0</v>
      </c>
      <c r="I5640" s="3" t="str">
        <f ca="1">IFERROR(__xludf.DUMMYFUNCTION("""COMPUTED_VALUE"""),"Lâm Nguyễn Ánh Ngọc")</f>
        <v>Lâm Nguyễn Ánh Ngọc</v>
      </c>
      <c r="J5640" s="3" t="str">
        <f ca="1">IFERROR(__xludf.DUMMYFUNCTION("""COMPUTED_VALUE"""),"0901625935")</f>
        <v>0901625935</v>
      </c>
      <c r="K5640" s="2" t="str">
        <f ca="1">IFERROR(__xludf.DUMMYFUNCTION("""COMPUTED_VALUE"""),"1759362081449")</f>
        <v>1759362081449</v>
      </c>
    </row>
    <row r="5641" spans="1:11" ht="12.45">
      <c r="A5641" s="2" t="str">
        <f ca="1">IFERROR(__xludf.DUMMYFUNCTION("""COMPUTED_VALUE"""),"1759362108890")</f>
        <v>1759362108890</v>
      </c>
      <c r="B5641" s="2"/>
      <c r="C5641" s="2" t="str">
        <v>0</v>
      </c>
      <c r="D5641" s="2"/>
      <c r="F5641" s="2" t="str">
        <v>0</v>
      </c>
      <c r="I5641" s="3" t="str">
        <f ca="1">IFERROR(__xludf.DUMMYFUNCTION("""COMPUTED_VALUE"""),"Lường Thị Cẩm Nhung ")</f>
        <v xml:space="preserve">Lường Thị Cẩm Nhung </v>
      </c>
      <c r="J5641" s="3" t="str">
        <f ca="1">IFERROR(__xludf.DUMMYFUNCTION("""COMPUTED_VALUE"""),"0704937158")</f>
        <v>0704937158</v>
      </c>
      <c r="K5641" s="2" t="str">
        <f ca="1">IFERROR(__xludf.DUMMYFUNCTION("""COMPUTED_VALUE"""),"1759362108890")</f>
        <v>1759362108890</v>
      </c>
    </row>
    <row r="5642" spans="1:11" ht="12.45">
      <c r="A5642" s="2" t="str">
        <f ca="1">IFERROR(__xludf.DUMMYFUNCTION("""COMPUTED_VALUE"""),"1759362143837")</f>
        <v>1759362143837</v>
      </c>
      <c r="B5642" s="2"/>
      <c r="C5642" s="2" t="str">
        <v>0</v>
      </c>
      <c r="D5642" s="2"/>
      <c r="F5642" s="2" t="str">
        <v>0</v>
      </c>
      <c r="I5642" s="3" t="str">
        <f ca="1">IFERROR(__xludf.DUMMYFUNCTION("""COMPUTED_VALUE"""),"Phạm Thanh Nhàn")</f>
        <v>Phạm Thanh Nhàn</v>
      </c>
      <c r="J5642" s="3" t="str">
        <f ca="1">IFERROR(__xludf.DUMMYFUNCTION("""COMPUTED_VALUE"""),"8438383555")</f>
        <v>8438383555</v>
      </c>
      <c r="K5642" s="2" t="str">
        <f ca="1">IFERROR(__xludf.DUMMYFUNCTION("""COMPUTED_VALUE"""),"1759362143837")</f>
        <v>1759362143837</v>
      </c>
    </row>
    <row r="5643" spans="1:11" ht="12.45">
      <c r="A5643" s="2" t="str">
        <f ca="1">IFERROR(__xludf.DUMMYFUNCTION("""COMPUTED_VALUE"""),"1759362169012")</f>
        <v>1759362169012</v>
      </c>
      <c r="B5643" s="2"/>
      <c r="C5643" s="2" t="str">
        <v>0</v>
      </c>
      <c r="D5643" s="2"/>
      <c r="F5643" s="2" t="str">
        <v>0</v>
      </c>
      <c r="I5643" s="3" t="str">
        <f ca="1">IFERROR(__xludf.DUMMYFUNCTION("""COMPUTED_VALUE"""),"Nguyễn Lê Ngọc Lan ")</f>
        <v xml:space="preserve">Nguyễn Lê Ngọc Lan </v>
      </c>
      <c r="J5643" s="3" t="str">
        <f ca="1">IFERROR(__xludf.DUMMYFUNCTION("""COMPUTED_VALUE"""),"0862714189")</f>
        <v>0862714189</v>
      </c>
      <c r="K5643" s="2" t="str">
        <f ca="1">IFERROR(__xludf.DUMMYFUNCTION("""COMPUTED_VALUE"""),"1759362169012")</f>
        <v>1759362169012</v>
      </c>
    </row>
    <row r="5644" spans="1:11" ht="12.45">
      <c r="A5644" s="2" t="str">
        <f ca="1">IFERROR(__xludf.DUMMYFUNCTION("""COMPUTED_VALUE"""),"1759362193994")</f>
        <v>1759362193994</v>
      </c>
      <c r="B5644" s="2"/>
      <c r="C5644" s="2" t="str">
        <v>0</v>
      </c>
      <c r="D5644" s="2"/>
      <c r="F5644" s="2" t="str">
        <v>0</v>
      </c>
      <c r="I5644" s="3" t="str">
        <f ca="1">IFERROR(__xludf.DUMMYFUNCTION("""COMPUTED_VALUE"""),"Nguyễn Phạm Vương Nga")</f>
        <v>Nguyễn Phạm Vương Nga</v>
      </c>
      <c r="J5644" s="3" t="str">
        <f ca="1">IFERROR(__xludf.DUMMYFUNCTION("""COMPUTED_VALUE"""),"0919598761")</f>
        <v>0919598761</v>
      </c>
      <c r="K5644" s="2" t="str">
        <f ca="1">IFERROR(__xludf.DUMMYFUNCTION("""COMPUTED_VALUE"""),"1759362193994")</f>
        <v>1759362193994</v>
      </c>
    </row>
    <row r="5645" spans="1:11" ht="12.45">
      <c r="A5645" s="2" t="str">
        <f ca="1">IFERROR(__xludf.DUMMYFUNCTION("""COMPUTED_VALUE"""),"1759362217243")</f>
        <v>1759362217243</v>
      </c>
      <c r="B5645" s="2"/>
      <c r="C5645" s="2" t="str">
        <v>0</v>
      </c>
      <c r="D5645" s="2"/>
      <c r="F5645" s="2" t="str">
        <v>0</v>
      </c>
      <c r="I5645" s="3" t="str">
        <f ca="1">IFERROR(__xludf.DUMMYFUNCTION("""COMPUTED_VALUE"""),"Lê Nguyễn Tường Vi")</f>
        <v>Lê Nguyễn Tường Vi</v>
      </c>
      <c r="J5645" s="3" t="str">
        <f ca="1">IFERROR(__xludf.DUMMYFUNCTION("""COMPUTED_VALUE"""),"0332395069")</f>
        <v>0332395069</v>
      </c>
      <c r="K5645" s="2" t="str">
        <f ca="1">IFERROR(__xludf.DUMMYFUNCTION("""COMPUTED_VALUE"""),"1759362217243")</f>
        <v>1759362217243</v>
      </c>
    </row>
    <row r="5646" spans="1:11" ht="12.45">
      <c r="A5646" s="2" t="str">
        <f ca="1">IFERROR(__xludf.DUMMYFUNCTION("""COMPUTED_VALUE"""),"1759362249770")</f>
        <v>1759362249770</v>
      </c>
      <c r="B5646" s="2"/>
      <c r="C5646" s="2" t="str">
        <v>0</v>
      </c>
      <c r="D5646" s="2"/>
      <c r="F5646" s="2" t="str">
        <v>0</v>
      </c>
      <c r="I5646" s="3" t="str">
        <f ca="1">IFERROR(__xludf.DUMMYFUNCTION("""COMPUTED_VALUE"""),"Đậu Lê Huy ")</f>
        <v xml:space="preserve">Đậu Lê Huy </v>
      </c>
      <c r="J5646" s="3" t="str">
        <f ca="1">IFERROR(__xludf.DUMMYFUNCTION("""COMPUTED_VALUE"""),"0777041573")</f>
        <v>0777041573</v>
      </c>
      <c r="K5646" s="2" t="str">
        <f ca="1">IFERROR(__xludf.DUMMYFUNCTION("""COMPUTED_VALUE"""),"1759362249770")</f>
        <v>1759362249770</v>
      </c>
    </row>
    <row r="5647" spans="1:11" ht="12.45">
      <c r="A5647" s="2" t="str">
        <f ca="1">IFERROR(__xludf.DUMMYFUNCTION("""COMPUTED_VALUE"""),"1759362278717")</f>
        <v>1759362278717</v>
      </c>
      <c r="B5647" s="2"/>
      <c r="C5647" s="2" t="str">
        <v>0</v>
      </c>
      <c r="D5647" s="2"/>
      <c r="F5647" s="2" t="str">
        <v>0</v>
      </c>
      <c r="I5647" s="3" t="str">
        <f ca="1">IFERROR(__xludf.DUMMYFUNCTION("""COMPUTED_VALUE"""),"Võ Phạm Công Hậu")</f>
        <v>Võ Phạm Công Hậu</v>
      </c>
      <c r="J5647" s="3" t="str">
        <f ca="1">IFERROR(__xludf.DUMMYFUNCTION("""COMPUTED_VALUE"""),"0399746554")</f>
        <v>0399746554</v>
      </c>
      <c r="K5647" s="2" t="str">
        <f ca="1">IFERROR(__xludf.DUMMYFUNCTION("""COMPUTED_VALUE"""),"1759362278717")</f>
        <v>1759362278717</v>
      </c>
    </row>
    <row r="5648" spans="1:11" ht="12.45">
      <c r="A5648" s="2" t="str">
        <f ca="1">IFERROR(__xludf.DUMMYFUNCTION("""COMPUTED_VALUE"""),"1759362318286")</f>
        <v>1759362318286</v>
      </c>
      <c r="B5648" s="2"/>
      <c r="C5648" s="2" t="str">
        <v>0</v>
      </c>
      <c r="D5648" s="2"/>
      <c r="F5648" s="2" t="str">
        <v>0</v>
      </c>
      <c r="I5648" s="3" t="str">
        <f ca="1">IFERROR(__xludf.DUMMYFUNCTION("""COMPUTED_VALUE"""),"Đinh khánh bảo châu")</f>
        <v>Đinh khánh bảo châu</v>
      </c>
      <c r="J5648" s="3" t="str">
        <f ca="1">IFERROR(__xludf.DUMMYFUNCTION("""COMPUTED_VALUE"""),"0826561007")</f>
        <v>0826561007</v>
      </c>
      <c r="K5648" s="2" t="str">
        <f ca="1">IFERROR(__xludf.DUMMYFUNCTION("""COMPUTED_VALUE"""),"1759362318286")</f>
        <v>1759362318286</v>
      </c>
    </row>
    <row r="5649" spans="1:11" ht="12.45">
      <c r="A5649" s="2" t="str">
        <f ca="1">IFERROR(__xludf.DUMMYFUNCTION("""COMPUTED_VALUE"""),"1759362358312")</f>
        <v>1759362358312</v>
      </c>
      <c r="B5649" s="2"/>
      <c r="C5649" s="2" t="str">
        <v>0</v>
      </c>
      <c r="D5649" s="2"/>
      <c r="F5649" s="2" t="str">
        <v>0</v>
      </c>
      <c r="I5649" s="3" t="str">
        <f ca="1">IFERROR(__xludf.DUMMYFUNCTION("""COMPUTED_VALUE"""),"Nguyễn Thuỳ Linh")</f>
        <v>Nguyễn Thuỳ Linh</v>
      </c>
      <c r="J5649" s="3" t="str">
        <f ca="1">IFERROR(__xludf.DUMMYFUNCTION("""COMPUTED_VALUE"""),"0978173266")</f>
        <v>0978173266</v>
      </c>
      <c r="K5649" s="2" t="str">
        <f ca="1">IFERROR(__xludf.DUMMYFUNCTION("""COMPUTED_VALUE"""),"1759362358312")</f>
        <v>1759362358312</v>
      </c>
    </row>
    <row r="5650" spans="1:11" ht="12.45">
      <c r="A5650" s="2" t="str">
        <f ca="1">IFERROR(__xludf.DUMMYFUNCTION("""COMPUTED_VALUE"""),"1759362387543")</f>
        <v>1759362387543</v>
      </c>
      <c r="B5650" s="2"/>
      <c r="C5650" s="2" t="str">
        <v>0</v>
      </c>
      <c r="D5650" s="2"/>
      <c r="F5650" s="2" t="str">
        <v>0</v>
      </c>
      <c r="I5650" s="3" t="str">
        <f ca="1">IFERROR(__xludf.DUMMYFUNCTION("""COMPUTED_VALUE"""),"Nguyễn Thị Hằng Nga")</f>
        <v>Nguyễn Thị Hằng Nga</v>
      </c>
      <c r="J5650" s="3" t="str">
        <f ca="1">IFERROR(__xludf.DUMMYFUNCTION("""COMPUTED_VALUE"""),"0355525143")</f>
        <v>0355525143</v>
      </c>
      <c r="K5650" s="2" t="str">
        <f ca="1">IFERROR(__xludf.DUMMYFUNCTION("""COMPUTED_VALUE"""),"1759362387543")</f>
        <v>1759362387543</v>
      </c>
    </row>
    <row r="5651" spans="1:11" ht="12.45">
      <c r="A5651" s="2" t="str">
        <f ca="1">IFERROR(__xludf.DUMMYFUNCTION("""COMPUTED_VALUE"""),"1759362426219")</f>
        <v>1759362426219</v>
      </c>
      <c r="B5651" s="2"/>
      <c r="C5651" s="2" t="str">
        <v>0</v>
      </c>
      <c r="D5651" s="2"/>
      <c r="F5651" s="2" t="str">
        <v>0</v>
      </c>
      <c r="I5651" s="3" t="str">
        <f ca="1">IFERROR(__xludf.DUMMYFUNCTION("""COMPUTED_VALUE"""),"Dương Ngọc Ánh")</f>
        <v>Dương Ngọc Ánh</v>
      </c>
      <c r="J5651" s="3" t="str">
        <f ca="1">IFERROR(__xludf.DUMMYFUNCTION("""COMPUTED_VALUE"""),"0982649776")</f>
        <v>0982649776</v>
      </c>
      <c r="K5651" s="2" t="str">
        <f ca="1">IFERROR(__xludf.DUMMYFUNCTION("""COMPUTED_VALUE"""),"1759362426219")</f>
        <v>1759362426219</v>
      </c>
    </row>
    <row r="5652" spans="1:11" ht="12.45">
      <c r="A5652" s="2" t="str">
        <f ca="1">IFERROR(__xludf.DUMMYFUNCTION("""COMPUTED_VALUE"""),"1759484281564")</f>
        <v>1759484281564</v>
      </c>
      <c r="B5652" s="2"/>
      <c r="C5652" s="2" t="str">
        <v>0</v>
      </c>
      <c r="D5652" s="2"/>
      <c r="F5652" s="2" t="str">
        <v>0</v>
      </c>
      <c r="I5652" s="3" t="str">
        <f ca="1">IFERROR(__xludf.DUMMYFUNCTION("""COMPUTED_VALUE"""),"Nguyễn Ngọc Bảo Nghi")</f>
        <v>Nguyễn Ngọc Bảo Nghi</v>
      </c>
      <c r="J5652" s="3" t="str">
        <f ca="1">IFERROR(__xludf.DUMMYFUNCTION("""COMPUTED_VALUE"""),"0345096813")</f>
        <v>0345096813</v>
      </c>
      <c r="K5652" s="2" t="str">
        <f ca="1">IFERROR(__xludf.DUMMYFUNCTION("""COMPUTED_VALUE"""),"1759484281564")</f>
        <v>1759484281564</v>
      </c>
    </row>
    <row r="5653" spans="1:11" ht="12.45">
      <c r="A5653" s="2" t="str">
        <f ca="1">IFERROR(__xludf.DUMMYFUNCTION("""COMPUTED_VALUE"""),"1759484315935")</f>
        <v>1759484315935</v>
      </c>
      <c r="B5653" s="2"/>
      <c r="C5653" s="2" t="str">
        <v>0</v>
      </c>
      <c r="D5653" s="2"/>
      <c r="F5653" s="2" t="str">
        <v>0</v>
      </c>
      <c r="I5653" s="3" t="str">
        <f ca="1">IFERROR(__xludf.DUMMYFUNCTION("""COMPUTED_VALUE"""),"Nguyễn Thị Thúy Hà")</f>
        <v>Nguyễn Thị Thúy Hà</v>
      </c>
      <c r="J5653" s="3" t="str">
        <f ca="1">IFERROR(__xludf.DUMMYFUNCTION("""COMPUTED_VALUE"""),"0976201452")</f>
        <v>0976201452</v>
      </c>
      <c r="K5653" s="2" t="str">
        <f ca="1">IFERROR(__xludf.DUMMYFUNCTION("""COMPUTED_VALUE"""),"1759484315935")</f>
        <v>1759484315935</v>
      </c>
    </row>
    <row r="5654" spans="1:11" ht="12.45">
      <c r="A5654" s="2" t="str">
        <f ca="1">IFERROR(__xludf.DUMMYFUNCTION("""COMPUTED_VALUE"""),"1759484341863")</f>
        <v>1759484341863</v>
      </c>
      <c r="B5654" s="2"/>
      <c r="C5654" s="2" t="str">
        <v>0</v>
      </c>
      <c r="D5654" s="2"/>
      <c r="F5654" s="2" t="str">
        <v>0</v>
      </c>
      <c r="I5654" s="3" t="str">
        <f ca="1">IFERROR(__xludf.DUMMYFUNCTION("""COMPUTED_VALUE"""),"Đỗ Ngọc Ánh")</f>
        <v>Đỗ Ngọc Ánh</v>
      </c>
      <c r="J5654" s="3" t="str">
        <f ca="1">IFERROR(__xludf.DUMMYFUNCTION("""COMPUTED_VALUE"""),"0842332233")</f>
        <v>0842332233</v>
      </c>
      <c r="K5654" s="2" t="str">
        <f ca="1">IFERROR(__xludf.DUMMYFUNCTION("""COMPUTED_VALUE"""),"1759484341863")</f>
        <v>1759484341863</v>
      </c>
    </row>
    <row r="5655" spans="1:11" ht="12.45">
      <c r="A5655" s="2" t="str">
        <f ca="1">IFERROR(__xludf.DUMMYFUNCTION("""COMPUTED_VALUE"""),"1759484370091")</f>
        <v>1759484370091</v>
      </c>
      <c r="B5655" s="2"/>
      <c r="C5655" s="2" t="str">
        <v>0</v>
      </c>
      <c r="D5655" s="2"/>
      <c r="F5655" s="2" t="str">
        <v>0</v>
      </c>
      <c r="I5655" s="3" t="str">
        <f ca="1">IFERROR(__xludf.DUMMYFUNCTION("""COMPUTED_VALUE"""),"Nguyễn Trung Nghĩa")</f>
        <v>Nguyễn Trung Nghĩa</v>
      </c>
      <c r="J5655" s="3" t="str">
        <f ca="1">IFERROR(__xludf.DUMMYFUNCTION("""COMPUTED_VALUE"""),"0842591133")</f>
        <v>0842591133</v>
      </c>
      <c r="K5655" s="2" t="str">
        <f ca="1">IFERROR(__xludf.DUMMYFUNCTION("""COMPUTED_VALUE"""),"1759484370091")</f>
        <v>1759484370091</v>
      </c>
    </row>
    <row r="5656" spans="1:11" ht="12.45">
      <c r="A5656" s="2" t="str">
        <f ca="1">IFERROR(__xludf.DUMMYFUNCTION("""COMPUTED_VALUE"""),"1759484401951")</f>
        <v>1759484401951</v>
      </c>
      <c r="B5656" s="2"/>
      <c r="C5656" s="2" t="str">
        <v>0</v>
      </c>
      <c r="D5656" s="2"/>
      <c r="F5656" s="2" t="str">
        <v>0</v>
      </c>
      <c r="I5656" s="3" t="str">
        <f ca="1">IFERROR(__xludf.DUMMYFUNCTION("""COMPUTED_VALUE"""),"Nguyễn Minh Ngọc")</f>
        <v>Nguyễn Minh Ngọc</v>
      </c>
      <c r="J5656" s="3" t="str">
        <f ca="1">IFERROR(__xludf.DUMMYFUNCTION("""COMPUTED_VALUE"""),"0363879684")</f>
        <v>0363879684</v>
      </c>
      <c r="K5656" s="2" t="str">
        <f ca="1">IFERROR(__xludf.DUMMYFUNCTION("""COMPUTED_VALUE"""),"1759484401951")</f>
        <v>1759484401951</v>
      </c>
    </row>
    <row r="5657" spans="1:11" ht="12.45">
      <c r="A5657" s="2" t="str">
        <f ca="1">IFERROR(__xludf.DUMMYFUNCTION("""COMPUTED_VALUE"""),"1759484426061")</f>
        <v>1759484426061</v>
      </c>
      <c r="B5657" s="2"/>
      <c r="C5657" s="2" t="str">
        <v>0</v>
      </c>
      <c r="D5657" s="2"/>
      <c r="F5657" s="2" t="str">
        <v>0</v>
      </c>
      <c r="I5657" s="3" t="str">
        <f ca="1">IFERROR(__xludf.DUMMYFUNCTION("""COMPUTED_VALUE"""),"Phú Nguyễn Hoàng Dung ")</f>
        <v xml:space="preserve">Phú Nguyễn Hoàng Dung </v>
      </c>
      <c r="J5657" s="3" t="str">
        <f ca="1">IFERROR(__xludf.DUMMYFUNCTION("""COMPUTED_VALUE"""),"0773928568")</f>
        <v>0773928568</v>
      </c>
      <c r="K5657" s="2" t="str">
        <f ca="1">IFERROR(__xludf.DUMMYFUNCTION("""COMPUTED_VALUE"""),"1759484426061")</f>
        <v>1759484426061</v>
      </c>
    </row>
    <row r="5658" spans="1:11" ht="12.45">
      <c r="A5658" s="2" t="str">
        <f ca="1">IFERROR(__xludf.DUMMYFUNCTION("""COMPUTED_VALUE"""),"1759484445318")</f>
        <v>1759484445318</v>
      </c>
      <c r="B5658" s="2"/>
      <c r="C5658" s="2" t="str">
        <v>0</v>
      </c>
      <c r="D5658" s="2"/>
      <c r="F5658" s="2" t="str">
        <v>0</v>
      </c>
      <c r="I5658" s="3" t="str">
        <f ca="1">IFERROR(__xludf.DUMMYFUNCTION("""COMPUTED_VALUE"""),"Thu Thùy ")</f>
        <v xml:space="preserve">Thu Thùy </v>
      </c>
      <c r="J5658" s="3" t="str">
        <f ca="1">IFERROR(__xludf.DUMMYFUNCTION("""COMPUTED_VALUE"""),"0352057844")</f>
        <v>0352057844</v>
      </c>
      <c r="K5658" s="2" t="str">
        <f ca="1">IFERROR(__xludf.DUMMYFUNCTION("""COMPUTED_VALUE"""),"1759484445318")</f>
        <v>1759484445318</v>
      </c>
    </row>
    <row r="5659" spans="1:11" ht="12.45">
      <c r="A5659" s="2" t="str">
        <f ca="1">IFERROR(__xludf.DUMMYFUNCTION("""COMPUTED_VALUE"""),"k gửi sách")</f>
        <v>k gửi sách</v>
      </c>
      <c r="B5659" s="2"/>
      <c r="C5659" s="2" t="str">
        <v>0</v>
      </c>
      <c r="D5659" s="2"/>
      <c r="F5659" s="2" t="str">
        <v>0</v>
      </c>
      <c r="I5659" s="3" t="str">
        <f ca="1">IFERROR(__xludf.DUMMYFUNCTION("""COMPUTED_VALUE"""),"Trần Phương Dũng")</f>
        <v>Trần Phương Dũng</v>
      </c>
      <c r="J5659" s="3" t="str">
        <f ca="1">IFERROR(__xludf.DUMMYFUNCTION("""COMPUTED_VALUE"""),"0366922491")</f>
        <v>0366922491</v>
      </c>
      <c r="K5659" s="2" t="str">
        <f ca="1">IFERROR(__xludf.DUMMYFUNCTION("""COMPUTED_VALUE"""),"k gửi sách")</f>
        <v>k gửi sách</v>
      </c>
    </row>
    <row r="5660" spans="1:11" ht="12.45">
      <c r="A5660" s="2" t="str">
        <f ca="1">IFERROR(__xludf.DUMMYFUNCTION("""COMPUTED_VALUE"""),"1759484469762")</f>
        <v>1759484469762</v>
      </c>
      <c r="B5660" s="2"/>
      <c r="C5660" s="2" t="str">
        <v>0</v>
      </c>
      <c r="D5660" s="2"/>
      <c r="F5660" s="2" t="str">
        <v>0</v>
      </c>
      <c r="I5660" s="3" t="str">
        <f ca="1">IFERROR(__xludf.DUMMYFUNCTION("""COMPUTED_VALUE"""),"Đinh Linh Giang")</f>
        <v>Đinh Linh Giang</v>
      </c>
      <c r="J5660" s="3" t="str">
        <f ca="1">IFERROR(__xludf.DUMMYFUNCTION("""COMPUTED_VALUE"""),"0362701125")</f>
        <v>0362701125</v>
      </c>
      <c r="K5660" s="2" t="str">
        <f ca="1">IFERROR(__xludf.DUMMYFUNCTION("""COMPUTED_VALUE"""),"1759484469762")</f>
        <v>1759484469762</v>
      </c>
    </row>
    <row r="5661" spans="1:11" ht="12.45">
      <c r="A5661" s="2" t="str">
        <f ca="1">IFERROR(__xludf.DUMMYFUNCTION("""COMPUTED_VALUE"""),"1759484503435")</f>
        <v>1759484503435</v>
      </c>
      <c r="B5661" s="2"/>
      <c r="C5661" s="2" t="str">
        <v>0</v>
      </c>
      <c r="D5661" s="2"/>
      <c r="F5661" s="2" t="str">
        <v>0</v>
      </c>
      <c r="I5661" s="3" t="str">
        <f ca="1">IFERROR(__xludf.DUMMYFUNCTION("""COMPUTED_VALUE"""),"Trần Thị Phương ")</f>
        <v xml:space="preserve">Trần Thị Phương </v>
      </c>
      <c r="J5661" s="3" t="str">
        <f ca="1">IFERROR(__xludf.DUMMYFUNCTION("""COMPUTED_VALUE"""),"0865385316")</f>
        <v>0865385316</v>
      </c>
      <c r="K5661" s="2" t="str">
        <f ca="1">IFERROR(__xludf.DUMMYFUNCTION("""COMPUTED_VALUE"""),"1759484503435")</f>
        <v>1759484503435</v>
      </c>
    </row>
    <row r="5662" spans="1:11" ht="12.45">
      <c r="A5662" s="2" t="str">
        <f ca="1">IFERROR(__xludf.DUMMYFUNCTION("""COMPUTED_VALUE"""),"1759484550406")</f>
        <v>1759484550406</v>
      </c>
      <c r="B5662" s="2"/>
      <c r="C5662" s="2" t="str">
        <v>0</v>
      </c>
      <c r="D5662" s="2"/>
      <c r="F5662" s="2" t="str">
        <v>0</v>
      </c>
      <c r="I5662" s="3" t="str">
        <f ca="1">IFERROR(__xludf.DUMMYFUNCTION("""COMPUTED_VALUE"""),"Hà Thị Mỹ Duyên ")</f>
        <v xml:space="preserve">Hà Thị Mỹ Duyên </v>
      </c>
      <c r="J5662" s="3" t="str">
        <f ca="1">IFERROR(__xludf.DUMMYFUNCTION("""COMPUTED_VALUE"""),"0971543359")</f>
        <v>0971543359</v>
      </c>
      <c r="K5662" s="2" t="str">
        <f ca="1">IFERROR(__xludf.DUMMYFUNCTION("""COMPUTED_VALUE"""),"1759484550406")</f>
        <v>1759484550406</v>
      </c>
    </row>
    <row r="5663" spans="1:11" ht="12.45">
      <c r="A5663" s="2" t="str">
        <f ca="1">IFERROR(__xludf.DUMMYFUNCTION("""COMPUTED_VALUE"""),"1759484581443")</f>
        <v>1759484581443</v>
      </c>
      <c r="B5663" s="2"/>
      <c r="C5663" s="2" t="str">
        <v>0</v>
      </c>
      <c r="D5663" s="2"/>
      <c r="F5663" s="2" t="str">
        <v>0</v>
      </c>
      <c r="I5663" s="3" t="str">
        <f ca="1">IFERROR(__xludf.DUMMYFUNCTION("""COMPUTED_VALUE"""),"VÕ BẢO KHÁNH HOÀNG")</f>
        <v>VÕ BẢO KHÁNH HOÀNG</v>
      </c>
      <c r="J5663" s="3" t="str">
        <f ca="1">IFERROR(__xludf.DUMMYFUNCTION("""COMPUTED_VALUE"""),"0899246344")</f>
        <v>0899246344</v>
      </c>
      <c r="K5663" s="2" t="str">
        <f ca="1">IFERROR(__xludf.DUMMYFUNCTION("""COMPUTED_VALUE"""),"1759484581443")</f>
        <v>1759484581443</v>
      </c>
    </row>
    <row r="5664" spans="1:11" ht="12.45">
      <c r="A5664" s="2" t="str">
        <f ca="1">IFERROR(__xludf.DUMMYFUNCTION("""COMPUTED_VALUE"""),"1759484610733")</f>
        <v>1759484610733</v>
      </c>
      <c r="B5664" s="2"/>
      <c r="C5664" s="2" t="str">
        <v>0</v>
      </c>
      <c r="D5664" s="2"/>
      <c r="F5664" s="2" t="str">
        <v>0</v>
      </c>
      <c r="I5664" s="3" t="str">
        <f ca="1">IFERROR(__xludf.DUMMYFUNCTION("""COMPUTED_VALUE"""),"Vũ Bảo Nhi")</f>
        <v>Vũ Bảo Nhi</v>
      </c>
      <c r="J5664" s="3" t="str">
        <f ca="1">IFERROR(__xludf.DUMMYFUNCTION("""COMPUTED_VALUE"""),"0973107389")</f>
        <v>0973107389</v>
      </c>
      <c r="K5664" s="2" t="str">
        <f ca="1">IFERROR(__xludf.DUMMYFUNCTION("""COMPUTED_VALUE"""),"1759484610733")</f>
        <v>1759484610733</v>
      </c>
    </row>
    <row r="5665" spans="1:11" ht="12.45">
      <c r="A5665" s="2" t="str">
        <f ca="1">IFERROR(__xludf.DUMMYFUNCTION("""COMPUTED_VALUE"""),"1759204549154")</f>
        <v>1759204549154</v>
      </c>
      <c r="B5665" s="2"/>
      <c r="C5665" s="2" t="str">
        <v>0</v>
      </c>
      <c r="D5665" s="2"/>
      <c r="F5665" s="2" t="str">
        <v>0</v>
      </c>
      <c r="I5665" s="3" t="str">
        <f ca="1">IFERROR(__xludf.DUMMYFUNCTION("""COMPUTED_VALUE"""),"Trần Phương Nhi")</f>
        <v>Trần Phương Nhi</v>
      </c>
      <c r="J5665" s="3" t="str">
        <f ca="1">IFERROR(__xludf.DUMMYFUNCTION("""COMPUTED_VALUE"""),"0911907496")</f>
        <v>0911907496</v>
      </c>
      <c r="K5665" s="2" t="str">
        <f ca="1">IFERROR(__xludf.DUMMYFUNCTION("""COMPUTED_VALUE"""),"1759204549154")</f>
        <v>1759204549154</v>
      </c>
    </row>
    <row r="5666" spans="1:11" ht="12.45">
      <c r="A5666" s="2" t="str">
        <f ca="1">IFERROR(__xludf.DUMMYFUNCTION("""COMPUTED_VALUE"""),"Không giao sách")</f>
        <v>Không giao sách</v>
      </c>
      <c r="B5666" s="2"/>
      <c r="C5666" s="2" t="str">
        <v>0</v>
      </c>
      <c r="D5666" s="2"/>
      <c r="F5666" s="2" t="str">
        <v>0</v>
      </c>
      <c r="I5666" s="3" t="str">
        <f ca="1">IFERROR(__xludf.DUMMYFUNCTION("""COMPUTED_VALUE"""),"Nguyễn Thành Nhân ")</f>
        <v xml:space="preserve">Nguyễn Thành Nhân </v>
      </c>
      <c r="J5666" s="3" t="str">
        <f ca="1">IFERROR(__xludf.DUMMYFUNCTION("""COMPUTED_VALUE"""),"0795512429")</f>
        <v>0795512429</v>
      </c>
      <c r="K5666" s="2" t="str">
        <f ca="1">IFERROR(__xludf.DUMMYFUNCTION("""COMPUTED_VALUE"""),"Không giao sách")</f>
        <v>Không giao sách</v>
      </c>
    </row>
    <row r="5667" spans="1:11" ht="12.45">
      <c r="A5667" s="2" t="str">
        <f ca="1">IFERROR(__xludf.DUMMYFUNCTION("""COMPUTED_VALUE"""),"1759484667807")</f>
        <v>1759484667807</v>
      </c>
      <c r="B5667" s="2"/>
      <c r="C5667" s="2" t="str">
        <v>0</v>
      </c>
      <c r="D5667" s="2"/>
      <c r="F5667" s="2" t="str">
        <v>0</v>
      </c>
      <c r="I5667" s="3" t="str">
        <f ca="1">IFERROR(__xludf.DUMMYFUNCTION("""COMPUTED_VALUE"""),"Nguyễn Phương Anh")</f>
        <v>Nguyễn Phương Anh</v>
      </c>
      <c r="J5667" s="3" t="str">
        <f ca="1">IFERROR(__xludf.DUMMYFUNCTION("""COMPUTED_VALUE"""),"0984156597")</f>
        <v>0984156597</v>
      </c>
      <c r="K5667" s="2" t="str">
        <f ca="1">IFERROR(__xludf.DUMMYFUNCTION("""COMPUTED_VALUE"""),"1759484667807")</f>
        <v>1759484667807</v>
      </c>
    </row>
    <row r="5668" spans="1:11" ht="12.45">
      <c r="A5668" s="2" t="str">
        <f ca="1">IFERROR(__xludf.DUMMYFUNCTION("""COMPUTED_VALUE"""),"1759484700604")</f>
        <v>1759484700604</v>
      </c>
      <c r="B5668" s="2"/>
      <c r="C5668" s="2" t="str">
        <v>0</v>
      </c>
      <c r="D5668" s="2"/>
      <c r="F5668" s="2" t="str">
        <v>0</v>
      </c>
      <c r="I5668" s="3" t="str">
        <f ca="1">IFERROR(__xludf.DUMMYFUNCTION("""COMPUTED_VALUE"""),"Trần Văn Tiến Anh")</f>
        <v>Trần Văn Tiến Anh</v>
      </c>
      <c r="J5668" s="3" t="str">
        <f ca="1">IFERROR(__xludf.DUMMYFUNCTION("""COMPUTED_VALUE"""),"0395055706")</f>
        <v>0395055706</v>
      </c>
      <c r="K5668" s="2" t="str">
        <f ca="1">IFERROR(__xludf.DUMMYFUNCTION("""COMPUTED_VALUE"""),"1759484700604")</f>
        <v>1759484700604</v>
      </c>
    </row>
    <row r="5669" spans="1:11" ht="12.45">
      <c r="A5669" s="2" t="str">
        <f ca="1">IFERROR(__xludf.DUMMYFUNCTION("""COMPUTED_VALUE"""),"1759484726599")</f>
        <v>1759484726599</v>
      </c>
      <c r="B5669" s="2"/>
      <c r="C5669" s="2" t="str">
        <v>0</v>
      </c>
      <c r="D5669" s="2"/>
      <c r="F5669" s="2" t="str">
        <v>0</v>
      </c>
      <c r="I5669" s="3" t="str">
        <f ca="1">IFERROR(__xludf.DUMMYFUNCTION("""COMPUTED_VALUE"""),"Lê Thị Hoài Linh")</f>
        <v>Lê Thị Hoài Linh</v>
      </c>
      <c r="J5669" s="3" t="str">
        <f ca="1">IFERROR(__xludf.DUMMYFUNCTION("""COMPUTED_VALUE"""),"0971917401")</f>
        <v>0971917401</v>
      </c>
      <c r="K5669" s="2" t="str">
        <f ca="1">IFERROR(__xludf.DUMMYFUNCTION("""COMPUTED_VALUE"""),"1759484726599")</f>
        <v>1759484726599</v>
      </c>
    </row>
    <row r="5670" spans="1:11" ht="12.45">
      <c r="A5670" s="2" t="str">
        <f ca="1">IFERROR(__xludf.DUMMYFUNCTION("""COMPUTED_VALUE"""),"1759484752077")</f>
        <v>1759484752077</v>
      </c>
      <c r="B5670" s="2"/>
      <c r="C5670" s="2" t="str">
        <v>0</v>
      </c>
      <c r="D5670" s="2"/>
      <c r="F5670" s="2" t="str">
        <v>0</v>
      </c>
      <c r="I5670" s="3" t="str">
        <f ca="1">IFERROR(__xludf.DUMMYFUNCTION("""COMPUTED_VALUE"""),"Nguyễn Cẩm Tú ")</f>
        <v xml:space="preserve">Nguyễn Cẩm Tú </v>
      </c>
      <c r="J5670" s="3" t="str">
        <f ca="1">IFERROR(__xludf.DUMMYFUNCTION("""COMPUTED_VALUE"""),"0329648596")</f>
        <v>0329648596</v>
      </c>
      <c r="K5670" s="2" t="str">
        <f ca="1">IFERROR(__xludf.DUMMYFUNCTION("""COMPUTED_VALUE"""),"1759484752077")</f>
        <v>1759484752077</v>
      </c>
    </row>
    <row r="5671" spans="1:11" ht="12.45">
      <c r="A5671" s="2" t="str">
        <f ca="1">IFERROR(__xludf.DUMMYFUNCTION("""COMPUTED_VALUE"""),"1759484797606")</f>
        <v>1759484797606</v>
      </c>
      <c r="B5671" s="2"/>
      <c r="C5671" s="2" t="str">
        <v>0</v>
      </c>
      <c r="D5671" s="2"/>
      <c r="F5671" s="2" t="str">
        <v>0</v>
      </c>
      <c r="I5671" s="3" t="str">
        <f ca="1">IFERROR(__xludf.DUMMYFUNCTION("""COMPUTED_VALUE"""),"Nguyễn Thị Thuỳ Linh ")</f>
        <v xml:space="preserve">Nguyễn Thị Thuỳ Linh </v>
      </c>
      <c r="J5671" s="3" t="str">
        <f ca="1">IFERROR(__xludf.DUMMYFUNCTION("""COMPUTED_VALUE"""),"0948756411")</f>
        <v>0948756411</v>
      </c>
      <c r="K5671" s="2" t="str">
        <f ca="1">IFERROR(__xludf.DUMMYFUNCTION("""COMPUTED_VALUE"""),"1759484797606")</f>
        <v>1759484797606</v>
      </c>
    </row>
    <row r="5672" spans="1:11" ht="12.45">
      <c r="A5672" s="2" t="str">
        <f ca="1">IFERROR(__xludf.DUMMYFUNCTION("""COMPUTED_VALUE"""),"1759484839340")</f>
        <v>1759484839340</v>
      </c>
      <c r="B5672" s="2"/>
      <c r="C5672" s="2" t="str">
        <v>0</v>
      </c>
      <c r="D5672" s="2"/>
      <c r="F5672" s="2" t="str">
        <v>0</v>
      </c>
      <c r="I5672" s="3" t="str">
        <f ca="1">IFERROR(__xludf.DUMMYFUNCTION("""COMPUTED_VALUE"""),"Tưởng Thị Yến Ngọc")</f>
        <v>Tưởng Thị Yến Ngọc</v>
      </c>
      <c r="J5672" s="3" t="str">
        <f ca="1">IFERROR(__xludf.DUMMYFUNCTION("""COMPUTED_VALUE"""),"0347762564")</f>
        <v>0347762564</v>
      </c>
      <c r="K5672" s="2" t="str">
        <f ca="1">IFERROR(__xludf.DUMMYFUNCTION("""COMPUTED_VALUE"""),"1759484839340")</f>
        <v>1759484839340</v>
      </c>
    </row>
    <row r="5673" spans="1:11" ht="12.45">
      <c r="A5673" s="2" t="str">
        <f ca="1">IFERROR(__xludf.DUMMYFUNCTION("""COMPUTED_VALUE"""),"1759484862540")</f>
        <v>1759484862540</v>
      </c>
      <c r="B5673" s="2"/>
      <c r="C5673" s="2" t="str">
        <v>0</v>
      </c>
      <c r="D5673" s="2"/>
      <c r="F5673" s="2" t="str">
        <v>0</v>
      </c>
      <c r="I5673" s="3" t="str">
        <f ca="1">IFERROR(__xludf.DUMMYFUNCTION("""COMPUTED_VALUE"""),"Võ Thị Như Ngọc ")</f>
        <v xml:space="preserve">Võ Thị Như Ngọc </v>
      </c>
      <c r="J5673" s="3" t="str">
        <f ca="1">IFERROR(__xludf.DUMMYFUNCTION("""COMPUTED_VALUE"""),"0338032360")</f>
        <v>0338032360</v>
      </c>
      <c r="K5673" s="2" t="str">
        <f ca="1">IFERROR(__xludf.DUMMYFUNCTION("""COMPUTED_VALUE"""),"1759484862540")</f>
        <v>1759484862540</v>
      </c>
    </row>
    <row r="5674" spans="1:11" ht="12.45">
      <c r="A5674" s="2" t="str">
        <f ca="1">IFERROR(__xludf.DUMMYFUNCTION("""COMPUTED_VALUE"""),"1759484881150")</f>
        <v>1759484881150</v>
      </c>
      <c r="B5674" s="2"/>
      <c r="C5674" s="2" t="str">
        <v>0</v>
      </c>
      <c r="D5674" s="2"/>
      <c r="F5674" s="2" t="str">
        <v>0</v>
      </c>
      <c r="I5674" s="3" t="str">
        <f ca="1">IFERROR(__xludf.DUMMYFUNCTION("""COMPUTED_VALUE"""),"Đặng Đức Lộc")</f>
        <v>Đặng Đức Lộc</v>
      </c>
      <c r="J5674" s="3" t="str">
        <f ca="1">IFERROR(__xludf.DUMMYFUNCTION("""COMPUTED_VALUE"""),"0877992787")</f>
        <v>0877992787</v>
      </c>
      <c r="K5674" s="2" t="str">
        <f ca="1">IFERROR(__xludf.DUMMYFUNCTION("""COMPUTED_VALUE"""),"1759484881150")</f>
        <v>1759484881150</v>
      </c>
    </row>
    <row r="5675" spans="1:11" ht="12.45">
      <c r="A5675" s="2" t="str">
        <f ca="1">IFERROR(__xludf.DUMMYFUNCTION("""COMPUTED_VALUE"""),"1759484904319")</f>
        <v>1759484904319</v>
      </c>
      <c r="B5675" s="2"/>
      <c r="C5675" s="2" t="str">
        <v>0</v>
      </c>
      <c r="D5675" s="2"/>
      <c r="F5675" s="2" t="str">
        <v>0</v>
      </c>
      <c r="I5675" s="3" t="str">
        <f ca="1">IFERROR(__xludf.DUMMYFUNCTION("""COMPUTED_VALUE"""),"Nguyễn Ngọc Khánh Ly")</f>
        <v>Nguyễn Ngọc Khánh Ly</v>
      </c>
      <c r="J5675" s="3" t="str">
        <f ca="1">IFERROR(__xludf.DUMMYFUNCTION("""COMPUTED_VALUE"""),"0869260982")</f>
        <v>0869260982</v>
      </c>
      <c r="K5675" s="2" t="str">
        <f ca="1">IFERROR(__xludf.DUMMYFUNCTION("""COMPUTED_VALUE"""),"1759484904319")</f>
        <v>1759484904319</v>
      </c>
    </row>
    <row r="5676" spans="1:11" ht="12.45">
      <c r="A5676" s="2" t="str">
        <f ca="1">IFERROR(__xludf.DUMMYFUNCTION("""COMPUTED_VALUE"""),"1759484937968")</f>
        <v>1759484937968</v>
      </c>
      <c r="B5676" s="2"/>
      <c r="C5676" s="2" t="str">
        <v>0</v>
      </c>
      <c r="D5676" s="2"/>
      <c r="F5676" s="2" t="str">
        <v>0</v>
      </c>
      <c r="I5676" s="3" t="str">
        <f ca="1">IFERROR(__xludf.DUMMYFUNCTION("""COMPUTED_VALUE"""),"Trần Thị Ngọc Bích")</f>
        <v>Trần Thị Ngọc Bích</v>
      </c>
      <c r="J5676" s="3" t="str">
        <f ca="1">IFERROR(__xludf.DUMMYFUNCTION("""COMPUTED_VALUE"""),"0862490682")</f>
        <v>0862490682</v>
      </c>
      <c r="K5676" s="2" t="str">
        <f ca="1">IFERROR(__xludf.DUMMYFUNCTION("""COMPUTED_VALUE"""),"1759484937968")</f>
        <v>1759484937968</v>
      </c>
    </row>
    <row r="5677" spans="1:11" ht="12.45">
      <c r="A5677" s="2" t="str">
        <f ca="1">IFERROR(__xludf.DUMMYFUNCTION("""COMPUTED_VALUE"""),"1759484971169")</f>
        <v>1759484971169</v>
      </c>
      <c r="B5677" s="2"/>
      <c r="C5677" s="2" t="str">
        <v>0</v>
      </c>
      <c r="D5677" s="2"/>
      <c r="F5677" s="2" t="str">
        <v>0</v>
      </c>
      <c r="I5677" s="3" t="str">
        <f ca="1">IFERROR(__xludf.DUMMYFUNCTION("""COMPUTED_VALUE"""),"Lê Văn Quyền Linh")</f>
        <v>Lê Văn Quyền Linh</v>
      </c>
      <c r="J5677" s="3" t="str">
        <f ca="1">IFERROR(__xludf.DUMMYFUNCTION("""COMPUTED_VALUE"""),"0379878897")</f>
        <v>0379878897</v>
      </c>
      <c r="K5677" s="2" t="str">
        <f ca="1">IFERROR(__xludf.DUMMYFUNCTION("""COMPUTED_VALUE"""),"1759484971169")</f>
        <v>1759484971169</v>
      </c>
    </row>
    <row r="5678" spans="1:11" ht="12.45">
      <c r="A5678" s="2" t="str">
        <f ca="1">IFERROR(__xludf.DUMMYFUNCTION("""COMPUTED_VALUE"""),"1759484997964")</f>
        <v>1759484997964</v>
      </c>
      <c r="B5678" s="2"/>
      <c r="C5678" s="2" t="str">
        <v>0</v>
      </c>
      <c r="D5678" s="2"/>
      <c r="F5678" s="2" t="str">
        <v>0</v>
      </c>
      <c r="I5678" s="3" t="str">
        <f ca="1">IFERROR(__xludf.DUMMYFUNCTION("""COMPUTED_VALUE"""),"Vũ Khánh Ngân")</f>
        <v>Vũ Khánh Ngân</v>
      </c>
      <c r="J5678" s="3" t="str">
        <f ca="1">IFERROR(__xludf.DUMMYFUNCTION("""COMPUTED_VALUE"""),"0704839007")</f>
        <v>0704839007</v>
      </c>
      <c r="K5678" s="2" t="str">
        <f ca="1">IFERROR(__xludf.DUMMYFUNCTION("""COMPUTED_VALUE"""),"1759484997964")</f>
        <v>1759484997964</v>
      </c>
    </row>
    <row r="5679" spans="1:11" ht="12.45">
      <c r="A5679" s="2" t="str">
        <f ca="1">IFERROR(__xludf.DUMMYFUNCTION("""COMPUTED_VALUE"""),"1759485014242")</f>
        <v>1759485014242</v>
      </c>
      <c r="B5679" s="2"/>
      <c r="C5679" s="2" t="str">
        <v>0</v>
      </c>
      <c r="D5679" s="2"/>
      <c r="F5679" s="2" t="str">
        <v>0</v>
      </c>
      <c r="I5679" s="3" t="str">
        <f ca="1">IFERROR(__xludf.DUMMYFUNCTION("""COMPUTED_VALUE"""),"Đào Huệ Lan ")</f>
        <v xml:space="preserve">Đào Huệ Lan </v>
      </c>
      <c r="J5679" s="3" t="str">
        <f ca="1">IFERROR(__xludf.DUMMYFUNCTION("""COMPUTED_VALUE"""),"0358448785")</f>
        <v>0358448785</v>
      </c>
      <c r="K5679" s="2" t="str">
        <f ca="1">IFERROR(__xludf.DUMMYFUNCTION("""COMPUTED_VALUE"""),"1759485014242")</f>
        <v>1759485014242</v>
      </c>
    </row>
    <row r="5680" spans="1:11" ht="12.45">
      <c r="A5680" s="2" t="str">
        <f ca="1">IFERROR(__xludf.DUMMYFUNCTION("""COMPUTED_VALUE"""),"1759485038029")</f>
        <v>1759485038029</v>
      </c>
      <c r="B5680" s="2"/>
      <c r="C5680" s="2" t="str">
        <v>0</v>
      </c>
      <c r="D5680" s="2"/>
      <c r="F5680" s="2" t="str">
        <v>0</v>
      </c>
      <c r="I5680" s="3" t="str">
        <f ca="1">IFERROR(__xludf.DUMMYFUNCTION("""COMPUTED_VALUE"""),"Trần Ánh Quyên")</f>
        <v>Trần Ánh Quyên</v>
      </c>
      <c r="J5680" s="3" t="str">
        <f ca="1">IFERROR(__xludf.DUMMYFUNCTION("""COMPUTED_VALUE"""),"0366844945")</f>
        <v>0366844945</v>
      </c>
      <c r="K5680" s="2" t="str">
        <f ca="1">IFERROR(__xludf.DUMMYFUNCTION("""COMPUTED_VALUE"""),"1759485038029")</f>
        <v>1759485038029</v>
      </c>
    </row>
    <row r="5681" spans="1:11" ht="12.45">
      <c r="A5681" s="2" t="str">
        <f ca="1">IFERROR(__xludf.DUMMYFUNCTION("""COMPUTED_VALUE"""),"1759485062655")</f>
        <v>1759485062655</v>
      </c>
      <c r="B5681" s="2"/>
      <c r="C5681" s="2" t="str">
        <v>0</v>
      </c>
      <c r="D5681" s="2"/>
      <c r="F5681" s="2" t="str">
        <v>0</v>
      </c>
      <c r="I5681" s="3" t="str">
        <f ca="1">IFERROR(__xludf.DUMMYFUNCTION("""COMPUTED_VALUE"""),"Cao Lê Ngọc Mai")</f>
        <v>Cao Lê Ngọc Mai</v>
      </c>
      <c r="J5681" s="3" t="str">
        <f ca="1">IFERROR(__xludf.DUMMYFUNCTION("""COMPUTED_VALUE"""),"0338313116")</f>
        <v>0338313116</v>
      </c>
      <c r="K5681" s="2" t="str">
        <f ca="1">IFERROR(__xludf.DUMMYFUNCTION("""COMPUTED_VALUE"""),"1759485062655")</f>
        <v>1759485062655</v>
      </c>
    </row>
    <row r="5682" spans="1:11" ht="12.45">
      <c r="A5682" s="2" t="str">
        <f ca="1">IFERROR(__xludf.DUMMYFUNCTION("""COMPUTED_VALUE"""),"1759485089649")</f>
        <v>1759485089649</v>
      </c>
      <c r="B5682" s="2"/>
      <c r="C5682" s="2" t="str">
        <v>0</v>
      </c>
      <c r="D5682" s="2"/>
      <c r="F5682" s="2" t="str">
        <v>0</v>
      </c>
      <c r="I5682" s="3" t="str">
        <f ca="1">IFERROR(__xludf.DUMMYFUNCTION("""COMPUTED_VALUE"""),"Nguyễn Như Ý")</f>
        <v>Nguyễn Như Ý</v>
      </c>
      <c r="J5682" s="3" t="str">
        <f ca="1">IFERROR(__xludf.DUMMYFUNCTION("""COMPUTED_VALUE"""),"0352733549")</f>
        <v>0352733549</v>
      </c>
      <c r="K5682" s="2" t="str">
        <f ca="1">IFERROR(__xludf.DUMMYFUNCTION("""COMPUTED_VALUE"""),"1759485089649")</f>
        <v>1759485089649</v>
      </c>
    </row>
    <row r="5683" spans="1:11" ht="12.45">
      <c r="A5683" s="2" t="str">
        <f ca="1">IFERROR(__xludf.DUMMYFUNCTION("""COMPUTED_VALUE"""),"1759485127685")</f>
        <v>1759485127685</v>
      </c>
      <c r="B5683" s="2"/>
      <c r="C5683" s="2" t="str">
        <v>0</v>
      </c>
      <c r="D5683" s="2"/>
      <c r="F5683" s="2" t="str">
        <v>0</v>
      </c>
      <c r="I5683" s="3" t="str">
        <f ca="1">IFERROR(__xludf.DUMMYFUNCTION("""COMPUTED_VALUE"""),"Lê Phương Thảo")</f>
        <v>Lê Phương Thảo</v>
      </c>
      <c r="J5683" s="3" t="str">
        <f ca="1">IFERROR(__xludf.DUMMYFUNCTION("""COMPUTED_VALUE"""),"0388605885")</f>
        <v>0388605885</v>
      </c>
      <c r="K5683" s="2" t="str">
        <f ca="1">IFERROR(__xludf.DUMMYFUNCTION("""COMPUTED_VALUE"""),"1759485127685")</f>
        <v>1759485127685</v>
      </c>
    </row>
    <row r="5684" spans="1:11" ht="12.45">
      <c r="A5684" s="2" t="str">
        <f ca="1">IFERROR(__xludf.DUMMYFUNCTION("""COMPUTED_VALUE"""),"1759485189666")</f>
        <v>1759485189666</v>
      </c>
      <c r="B5684" s="2"/>
      <c r="C5684" s="2" t="str">
        <v>0</v>
      </c>
      <c r="D5684" s="2"/>
      <c r="F5684" s="2" t="str">
        <v>0</v>
      </c>
      <c r="I5684" s="3" t="str">
        <f ca="1">IFERROR(__xludf.DUMMYFUNCTION("""COMPUTED_VALUE"""),"Nguyễn Thị Khánh Linh")</f>
        <v>Nguyễn Thị Khánh Linh</v>
      </c>
      <c r="J5684" s="3" t="str">
        <f ca="1">IFERROR(__xludf.DUMMYFUNCTION("""COMPUTED_VALUE"""),"0972835927")</f>
        <v>0972835927</v>
      </c>
      <c r="K5684" s="2" t="str">
        <f ca="1">IFERROR(__xludf.DUMMYFUNCTION("""COMPUTED_VALUE"""),"1759485189666")</f>
        <v>1759485189666</v>
      </c>
    </row>
    <row r="5685" spans="1:11" ht="12.45">
      <c r="A5685" s="2" t="str">
        <f ca="1">IFERROR(__xludf.DUMMYFUNCTION("""COMPUTED_VALUE"""),"1759485246703")</f>
        <v>1759485246703</v>
      </c>
      <c r="B5685" s="2"/>
      <c r="C5685" s="2" t="str">
        <v>0</v>
      </c>
      <c r="D5685" s="2"/>
      <c r="F5685" s="2" t="str">
        <v>0</v>
      </c>
      <c r="I5685" s="3" t="str">
        <f ca="1">IFERROR(__xludf.DUMMYFUNCTION("""COMPUTED_VALUE"""),"Dương Bảo Ngọc")</f>
        <v>Dương Bảo Ngọc</v>
      </c>
      <c r="J5685" s="3" t="str">
        <f ca="1">IFERROR(__xludf.DUMMYFUNCTION("""COMPUTED_VALUE"""),"0777167417")</f>
        <v>0777167417</v>
      </c>
      <c r="K5685" s="2" t="str">
        <f ca="1">IFERROR(__xludf.DUMMYFUNCTION("""COMPUTED_VALUE"""),"1759485246703")</f>
        <v>1759485246703</v>
      </c>
    </row>
    <row r="5686" spans="1:11" ht="12.45">
      <c r="A5686" s="2" t="str">
        <f ca="1">IFERROR(__xludf.DUMMYFUNCTION("""COMPUTED_VALUE"""),"1759485266458")</f>
        <v>1759485266458</v>
      </c>
      <c r="B5686" s="2"/>
      <c r="C5686" s="2" t="str">
        <v>0</v>
      </c>
      <c r="D5686" s="2"/>
      <c r="F5686" s="2" t="str">
        <v>0</v>
      </c>
      <c r="I5686" s="3" t="str">
        <f ca="1">IFERROR(__xludf.DUMMYFUNCTION("""COMPUTED_VALUE"""),"Nguyễn Thu Hà")</f>
        <v>Nguyễn Thu Hà</v>
      </c>
      <c r="J5686" s="3" t="str">
        <f ca="1">IFERROR(__xludf.DUMMYFUNCTION("""COMPUTED_VALUE"""),"0347181458")</f>
        <v>0347181458</v>
      </c>
      <c r="K5686" s="2" t="str">
        <f ca="1">IFERROR(__xludf.DUMMYFUNCTION("""COMPUTED_VALUE"""),"1759485266458")</f>
        <v>1759485266458</v>
      </c>
    </row>
    <row r="5687" spans="1:11" ht="12.45">
      <c r="A5687" s="2" t="str">
        <f ca="1">IFERROR(__xludf.DUMMYFUNCTION("""COMPUTED_VALUE"""),"1759485308846")</f>
        <v>1759485308846</v>
      </c>
      <c r="B5687" s="2"/>
      <c r="C5687" s="2" t="str">
        <v>0</v>
      </c>
      <c r="D5687" s="2"/>
      <c r="F5687" s="2" t="str">
        <v>0</v>
      </c>
      <c r="I5687" s="3" t="str">
        <f ca="1">IFERROR(__xludf.DUMMYFUNCTION("""COMPUTED_VALUE"""),"Đặng Thị Cẩm Lệ")</f>
        <v>Đặng Thị Cẩm Lệ</v>
      </c>
      <c r="J5687" s="3" t="str">
        <f ca="1">IFERROR(__xludf.DUMMYFUNCTION("""COMPUTED_VALUE"""),"0326632490")</f>
        <v>0326632490</v>
      </c>
      <c r="K5687" s="2" t="str">
        <f ca="1">IFERROR(__xludf.DUMMYFUNCTION("""COMPUTED_VALUE"""),"1759485308846")</f>
        <v>1759485308846</v>
      </c>
    </row>
    <row r="5688" spans="1:11" ht="12.45">
      <c r="A5688" s="2" t="str">
        <f ca="1">IFERROR(__xludf.DUMMYFUNCTION("""COMPUTED_VALUE"""),"1759485348567")</f>
        <v>1759485348567</v>
      </c>
      <c r="B5688" s="2"/>
      <c r="C5688" s="2" t="str">
        <v>0</v>
      </c>
      <c r="D5688" s="2"/>
      <c r="F5688" s="2" t="str">
        <v>0</v>
      </c>
      <c r="I5688" s="3" t="str">
        <f ca="1">IFERROR(__xludf.DUMMYFUNCTION("""COMPUTED_VALUE"""),"Phạm Thảo Pang Ting")</f>
        <v>Phạm Thảo Pang Ting</v>
      </c>
      <c r="J5688" s="3" t="str">
        <f ca="1">IFERROR(__xludf.DUMMYFUNCTION("""COMPUTED_VALUE"""),"0977690499")</f>
        <v>0977690499</v>
      </c>
      <c r="K5688" s="2" t="str">
        <f ca="1">IFERROR(__xludf.DUMMYFUNCTION("""COMPUTED_VALUE"""),"1759485348567")</f>
        <v>1759485348567</v>
      </c>
    </row>
    <row r="5689" spans="1:11" ht="12.45">
      <c r="A5689" s="2" t="str">
        <f ca="1">IFERROR(__xludf.DUMMYFUNCTION("""COMPUTED_VALUE"""),"1759485382003")</f>
        <v>1759485382003</v>
      </c>
      <c r="B5689" s="2"/>
      <c r="C5689" s="2" t="str">
        <v>0</v>
      </c>
      <c r="D5689" s="2"/>
      <c r="F5689" s="2" t="str">
        <v>0</v>
      </c>
      <c r="I5689" s="3" t="str">
        <f ca="1">IFERROR(__xludf.DUMMYFUNCTION("""COMPUTED_VALUE"""),"La Thị Thu Hương")</f>
        <v>La Thị Thu Hương</v>
      </c>
      <c r="J5689" s="3" t="str">
        <f ca="1">IFERROR(__xludf.DUMMYFUNCTION("""COMPUTED_VALUE"""),"0943789016")</f>
        <v>0943789016</v>
      </c>
      <c r="K5689" s="2" t="str">
        <f ca="1">IFERROR(__xludf.DUMMYFUNCTION("""COMPUTED_VALUE"""),"1759485382003")</f>
        <v>1759485382003</v>
      </c>
    </row>
    <row r="5690" spans="1:11" ht="12.45">
      <c r="A5690" s="2" t="str">
        <f ca="1">IFERROR(__xludf.DUMMYFUNCTION("""COMPUTED_VALUE"""),"1759485422784")</f>
        <v>1759485422784</v>
      </c>
      <c r="B5690" s="2"/>
      <c r="C5690" s="2" t="str">
        <v>0</v>
      </c>
      <c r="D5690" s="2"/>
      <c r="F5690" s="2" t="str">
        <v>0</v>
      </c>
      <c r="I5690" s="3" t="str">
        <f ca="1">IFERROR(__xludf.DUMMYFUNCTION("""COMPUTED_VALUE"""),"Đỗ Ngọc Lan ")</f>
        <v xml:space="preserve">Đỗ Ngọc Lan </v>
      </c>
      <c r="J5690" s="3" t="str">
        <f ca="1">IFERROR(__xludf.DUMMYFUNCTION("""COMPUTED_VALUE"""),"0338163655")</f>
        <v>0338163655</v>
      </c>
      <c r="K5690" s="2" t="str">
        <f ca="1">IFERROR(__xludf.DUMMYFUNCTION("""COMPUTED_VALUE"""),"1759485422784")</f>
        <v>1759485422784</v>
      </c>
    </row>
    <row r="5691" spans="1:11" ht="12.45">
      <c r="A5691" s="2" t="str">
        <f ca="1">IFERROR(__xludf.DUMMYFUNCTION("""COMPUTED_VALUE"""),"1759485449805")</f>
        <v>1759485449805</v>
      </c>
      <c r="B5691" s="2"/>
      <c r="C5691" s="2" t="str">
        <v>0</v>
      </c>
      <c r="D5691" s="2"/>
      <c r="F5691" s="2" t="str">
        <v>0</v>
      </c>
      <c r="I5691" s="3" t="str">
        <f ca="1">IFERROR(__xludf.DUMMYFUNCTION("""COMPUTED_VALUE"""),"Nguyễn Trần Ngọc Trâm ")</f>
        <v xml:space="preserve">Nguyễn Trần Ngọc Trâm </v>
      </c>
      <c r="J5691" s="3" t="str">
        <f ca="1">IFERROR(__xludf.DUMMYFUNCTION("""COMPUTED_VALUE"""),"0865858600")</f>
        <v>0865858600</v>
      </c>
      <c r="K5691" s="2" t="str">
        <f ca="1">IFERROR(__xludf.DUMMYFUNCTION("""COMPUTED_VALUE"""),"1759485449805")</f>
        <v>1759485449805</v>
      </c>
    </row>
    <row r="5692" spans="1:11" ht="12.45">
      <c r="A5692" s="2" t="str">
        <f ca="1">IFERROR(__xludf.DUMMYFUNCTION("""COMPUTED_VALUE"""),"1759038853952")</f>
        <v>1759038853952</v>
      </c>
      <c r="B5692" s="2"/>
      <c r="C5692" s="2" t="str">
        <v>0</v>
      </c>
      <c r="D5692" s="2"/>
      <c r="F5692" s="2" t="str">
        <v>0</v>
      </c>
      <c r="I5692" s="3" t="str">
        <f ca="1">IFERROR(__xludf.DUMMYFUNCTION("""COMPUTED_VALUE"""),"Phạm Bảo Duy")</f>
        <v>Phạm Bảo Duy</v>
      </c>
      <c r="J5692" s="3" t="str">
        <f ca="1">IFERROR(__xludf.DUMMYFUNCTION("""COMPUTED_VALUE"""),"0399680252")</f>
        <v>0399680252</v>
      </c>
      <c r="K5692" s="2" t="str">
        <f ca="1">IFERROR(__xludf.DUMMYFUNCTION("""COMPUTED_VALUE"""),"1759038853952")</f>
        <v>1759038853952</v>
      </c>
    </row>
    <row r="5693" spans="1:11" ht="12.45">
      <c r="A5693" s="2" t="str">
        <f ca="1">IFERROR(__xludf.DUMMYFUNCTION("""COMPUTED_VALUE"""),"1759485505076")</f>
        <v>1759485505076</v>
      </c>
      <c r="B5693" s="2"/>
      <c r="C5693" s="2" t="str">
        <v>0</v>
      </c>
      <c r="D5693" s="2"/>
      <c r="F5693" s="2" t="str">
        <v>0</v>
      </c>
      <c r="I5693" s="3" t="str">
        <f ca="1">IFERROR(__xludf.DUMMYFUNCTION("""COMPUTED_VALUE"""),"Nguyễn Nhã Phương Thảo ")</f>
        <v xml:space="preserve">Nguyễn Nhã Phương Thảo </v>
      </c>
      <c r="J5693" s="3" t="str">
        <f ca="1">IFERROR(__xludf.DUMMYFUNCTION("""COMPUTED_VALUE"""),"0819034011")</f>
        <v>0819034011</v>
      </c>
      <c r="K5693" s="2" t="str">
        <f ca="1">IFERROR(__xludf.DUMMYFUNCTION("""COMPUTED_VALUE"""),"1759485505076")</f>
        <v>1759485505076</v>
      </c>
    </row>
    <row r="5694" spans="1:11" ht="12.45">
      <c r="A5694" s="2" t="str">
        <f ca="1">IFERROR(__xludf.DUMMYFUNCTION("""COMPUTED_VALUE"""),"1759485525342")</f>
        <v>1759485525342</v>
      </c>
      <c r="B5694" s="2"/>
      <c r="C5694" s="2" t="str">
        <v>0</v>
      </c>
      <c r="D5694" s="2"/>
      <c r="F5694" s="2" t="str">
        <v>0</v>
      </c>
      <c r="I5694" s="3" t="str">
        <f ca="1">IFERROR(__xludf.DUMMYFUNCTION("""COMPUTED_VALUE"""),"Cầm Thị Hoài")</f>
        <v>Cầm Thị Hoài</v>
      </c>
      <c r="J5694" s="3" t="str">
        <f ca="1">IFERROR(__xludf.DUMMYFUNCTION("""COMPUTED_VALUE"""),"0397012587")</f>
        <v>0397012587</v>
      </c>
      <c r="K5694" s="2" t="str">
        <f ca="1">IFERROR(__xludf.DUMMYFUNCTION("""COMPUTED_VALUE"""),"1759485525342")</f>
        <v>1759485525342</v>
      </c>
    </row>
    <row r="5695" spans="1:11" ht="12.45">
      <c r="A5695" s="2" t="str">
        <f ca="1">IFERROR(__xludf.DUMMYFUNCTION("""COMPUTED_VALUE"""),"1759485546459")</f>
        <v>1759485546459</v>
      </c>
      <c r="B5695" s="2"/>
      <c r="C5695" s="2" t="str">
        <v>0</v>
      </c>
      <c r="D5695" s="2"/>
      <c r="F5695" s="2" t="str">
        <v>0</v>
      </c>
      <c r="I5695" s="3" t="str">
        <f ca="1">IFERROR(__xludf.DUMMYFUNCTION("""COMPUTED_VALUE"""),"Trần Thị Tuyết Hoa")</f>
        <v>Trần Thị Tuyết Hoa</v>
      </c>
      <c r="J5695" s="3" t="str">
        <f ca="1">IFERROR(__xludf.DUMMYFUNCTION("""COMPUTED_VALUE"""),"0333663501")</f>
        <v>0333663501</v>
      </c>
      <c r="K5695" s="2" t="str">
        <f ca="1">IFERROR(__xludf.DUMMYFUNCTION("""COMPUTED_VALUE"""),"1759485546459")</f>
        <v>1759485546459</v>
      </c>
    </row>
    <row r="5696" spans="1:11" ht="12.45">
      <c r="A5696" s="2" t="str">
        <f ca="1">IFERROR(__xludf.DUMMYFUNCTION("""COMPUTED_VALUE"""),"1759485574661")</f>
        <v>1759485574661</v>
      </c>
      <c r="B5696" s="2"/>
      <c r="C5696" s="2" t="str">
        <v>0</v>
      </c>
      <c r="D5696" s="2"/>
      <c r="F5696" s="2" t="str">
        <v>0</v>
      </c>
      <c r="I5696" s="3" t="str">
        <f ca="1">IFERROR(__xludf.DUMMYFUNCTION("""COMPUTED_VALUE"""),"Đặng Châu Bảo Ngọc")</f>
        <v>Đặng Châu Bảo Ngọc</v>
      </c>
      <c r="J5696" s="3" t="str">
        <f ca="1">IFERROR(__xludf.DUMMYFUNCTION("""COMPUTED_VALUE"""),"0983193939")</f>
        <v>0983193939</v>
      </c>
      <c r="K5696" s="2" t="str">
        <f ca="1">IFERROR(__xludf.DUMMYFUNCTION("""COMPUTED_VALUE"""),"1759485574661")</f>
        <v>1759485574661</v>
      </c>
    </row>
    <row r="5697" spans="1:11" ht="12.45">
      <c r="A5697" s="2" t="str">
        <f ca="1">IFERROR(__xludf.DUMMYFUNCTION("""COMPUTED_VALUE"""),"1759485598114")</f>
        <v>1759485598114</v>
      </c>
      <c r="B5697" s="2"/>
      <c r="C5697" s="2" t="str">
        <v>0</v>
      </c>
      <c r="D5697" s="2"/>
      <c r="F5697" s="2" t="str">
        <v>0</v>
      </c>
      <c r="I5697" s="3" t="str">
        <f ca="1">IFERROR(__xludf.DUMMYFUNCTION("""COMPUTED_VALUE"""),"Nguyễn Phạm Ngọc Yến")</f>
        <v>Nguyễn Phạm Ngọc Yến</v>
      </c>
      <c r="J5697" s="3" t="str">
        <f ca="1">IFERROR(__xludf.DUMMYFUNCTION("""COMPUTED_VALUE"""),"0769693030")</f>
        <v>0769693030</v>
      </c>
      <c r="K5697" s="2" t="str">
        <f ca="1">IFERROR(__xludf.DUMMYFUNCTION("""COMPUTED_VALUE"""),"1759485598114")</f>
        <v>1759485598114</v>
      </c>
    </row>
    <row r="5698" spans="1:11" ht="12.45">
      <c r="A5698" s="2" t="str">
        <f ca="1">IFERROR(__xludf.DUMMYFUNCTION("""COMPUTED_VALUE"""),"1759485614168")</f>
        <v>1759485614168</v>
      </c>
      <c r="B5698" s="2"/>
      <c r="C5698" s="2" t="str">
        <v>0</v>
      </c>
      <c r="D5698" s="2"/>
      <c r="F5698" s="2" t="str">
        <v>0</v>
      </c>
      <c r="I5698" s="3" t="str">
        <f ca="1">IFERROR(__xludf.DUMMYFUNCTION("""COMPUTED_VALUE"""),"Phùng Gia Khánh ")</f>
        <v xml:space="preserve">Phùng Gia Khánh </v>
      </c>
      <c r="J5698" s="3" t="str">
        <f ca="1">IFERROR(__xludf.DUMMYFUNCTION("""COMPUTED_VALUE"""),"0365235273")</f>
        <v>0365235273</v>
      </c>
      <c r="K5698" s="2" t="str">
        <f ca="1">IFERROR(__xludf.DUMMYFUNCTION("""COMPUTED_VALUE"""),"1759485614168")</f>
        <v>1759485614168</v>
      </c>
    </row>
    <row r="5699" spans="1:11" ht="12.45">
      <c r="A5699" s="2" t="str">
        <f ca="1">IFERROR(__xludf.DUMMYFUNCTION("""COMPUTED_VALUE"""),"1759485633509")</f>
        <v>1759485633509</v>
      </c>
      <c r="B5699" s="2"/>
      <c r="C5699" s="2" t="str">
        <v>0</v>
      </c>
      <c r="D5699" s="2"/>
      <c r="F5699" s="2" t="str">
        <v>0</v>
      </c>
      <c r="I5699" s="3" t="str">
        <f ca="1">IFERROR(__xludf.DUMMYFUNCTION("""COMPUTED_VALUE"""),"Hoàng Nguyệt Minh")</f>
        <v>Hoàng Nguyệt Minh</v>
      </c>
      <c r="J5699" s="3" t="str">
        <f ca="1">IFERROR(__xludf.DUMMYFUNCTION("""COMPUTED_VALUE"""),"0827308989")</f>
        <v>0827308989</v>
      </c>
      <c r="K5699" s="2" t="str">
        <f ca="1">IFERROR(__xludf.DUMMYFUNCTION("""COMPUTED_VALUE"""),"1759485633509")</f>
        <v>1759485633509</v>
      </c>
    </row>
    <row r="5700" spans="1:11" ht="12.45">
      <c r="A5700" s="2" t="str">
        <f ca="1">IFERROR(__xludf.DUMMYFUNCTION("""COMPUTED_VALUE"""),"1759485663307")</f>
        <v>1759485663307</v>
      </c>
      <c r="B5700" s="2"/>
      <c r="C5700" s="2" t="str">
        <v>0</v>
      </c>
      <c r="D5700" s="2"/>
      <c r="F5700" s="2" t="str">
        <v>0</v>
      </c>
      <c r="I5700" s="3" t="str">
        <f ca="1">IFERROR(__xludf.DUMMYFUNCTION("""COMPUTED_VALUE"""),"Lê Nguyễn Như Ý")</f>
        <v>Lê Nguyễn Như Ý</v>
      </c>
      <c r="J5700" s="3" t="str">
        <f ca="1">IFERROR(__xludf.DUMMYFUNCTION("""COMPUTED_VALUE"""),"0867586049")</f>
        <v>0867586049</v>
      </c>
      <c r="K5700" s="2" t="str">
        <f ca="1">IFERROR(__xludf.DUMMYFUNCTION("""COMPUTED_VALUE"""),"1759485663307")</f>
        <v>1759485663307</v>
      </c>
    </row>
    <row r="5701" spans="1:11" ht="12.45">
      <c r="A5701" s="2" t="str">
        <f ca="1">IFERROR(__xludf.DUMMYFUNCTION("""COMPUTED_VALUE"""),"1759485694066")</f>
        <v>1759485694066</v>
      </c>
      <c r="B5701" s="2"/>
      <c r="C5701" s="2" t="str">
        <v>0</v>
      </c>
      <c r="D5701" s="2"/>
      <c r="F5701" s="2" t="str">
        <v>0</v>
      </c>
      <c r="I5701" s="3" t="str">
        <f ca="1">IFERROR(__xludf.DUMMYFUNCTION("""COMPUTED_VALUE"""),"Nguyễn Khánh Linh")</f>
        <v>Nguyễn Khánh Linh</v>
      </c>
      <c r="J5701" s="3" t="str">
        <f ca="1">IFERROR(__xludf.DUMMYFUNCTION("""COMPUTED_VALUE"""),"0373884737")</f>
        <v>0373884737</v>
      </c>
      <c r="K5701" s="2" t="str">
        <f ca="1">IFERROR(__xludf.DUMMYFUNCTION("""COMPUTED_VALUE"""),"1759485694066")</f>
        <v>1759485694066</v>
      </c>
    </row>
    <row r="5702" spans="1:11" ht="12.45">
      <c r="A5702" s="2" t="str">
        <f ca="1">IFERROR(__xludf.DUMMYFUNCTION("""COMPUTED_VALUE"""),"1759485719903")</f>
        <v>1759485719903</v>
      </c>
      <c r="B5702" s="2"/>
      <c r="C5702" s="2" t="str">
        <v>0</v>
      </c>
      <c r="D5702" s="2"/>
      <c r="F5702" s="2" t="str">
        <v>0</v>
      </c>
      <c r="I5702" s="3" t="str">
        <f ca="1">IFERROR(__xludf.DUMMYFUNCTION("""COMPUTED_VALUE"""),"Phạm Võ Thanh Tú")</f>
        <v>Phạm Võ Thanh Tú</v>
      </c>
      <c r="J5702" s="3" t="str">
        <f ca="1">IFERROR(__xludf.DUMMYFUNCTION("""COMPUTED_VALUE"""),"0904566787")</f>
        <v>0904566787</v>
      </c>
      <c r="K5702" s="2" t="str">
        <f ca="1">IFERROR(__xludf.DUMMYFUNCTION("""COMPUTED_VALUE"""),"1759485719903")</f>
        <v>1759485719903</v>
      </c>
    </row>
    <row r="5703" spans="1:11" ht="12.45">
      <c r="A5703" s="2" t="str">
        <f ca="1">IFERROR(__xludf.DUMMYFUNCTION("""COMPUTED_VALUE"""),"1759485744633")</f>
        <v>1759485744633</v>
      </c>
      <c r="B5703" s="2"/>
      <c r="C5703" s="2" t="str">
        <v>0</v>
      </c>
      <c r="D5703" s="2"/>
      <c r="F5703" s="2" t="str">
        <v>0</v>
      </c>
      <c r="I5703" s="3" t="str">
        <f ca="1">IFERROR(__xludf.DUMMYFUNCTION("""COMPUTED_VALUE"""),"Lê Thanh Ngân")</f>
        <v>Lê Thanh Ngân</v>
      </c>
      <c r="J5703" s="3" t="str">
        <f ca="1">IFERROR(__xludf.DUMMYFUNCTION("""COMPUTED_VALUE"""),"0934013626")</f>
        <v>0934013626</v>
      </c>
      <c r="K5703" s="2" t="str">
        <f ca="1">IFERROR(__xludf.DUMMYFUNCTION("""COMPUTED_VALUE"""),"1759485744633")</f>
        <v>1759485744633</v>
      </c>
    </row>
    <row r="5704" spans="1:11" ht="12.45">
      <c r="A5704" s="2" t="str">
        <f ca="1">IFERROR(__xludf.DUMMYFUNCTION("""COMPUTED_VALUE"""),"1759204624648")</f>
        <v>1759204624648</v>
      </c>
      <c r="B5704" s="2"/>
      <c r="C5704" s="2" t="str">
        <v>0</v>
      </c>
      <c r="D5704" s="2"/>
      <c r="F5704" s="2" t="str">
        <v>0</v>
      </c>
      <c r="I5704" s="3" t="str">
        <f ca="1">IFERROR(__xludf.DUMMYFUNCTION("""COMPUTED_VALUE"""),"Nguyễn Thanh Tuyết Nhi")</f>
        <v>Nguyễn Thanh Tuyết Nhi</v>
      </c>
      <c r="J5704" s="3" t="str">
        <f ca="1">IFERROR(__xludf.DUMMYFUNCTION("""COMPUTED_VALUE"""),"0367454310")</f>
        <v>0367454310</v>
      </c>
      <c r="K5704" s="2" t="str">
        <f ca="1">IFERROR(__xludf.DUMMYFUNCTION("""COMPUTED_VALUE"""),"1759204624648")</f>
        <v>1759204624648</v>
      </c>
    </row>
    <row r="5705" spans="1:11" ht="12.45">
      <c r="A5705" s="2" t="str">
        <f ca="1">IFERROR(__xludf.DUMMYFUNCTION("""COMPUTED_VALUE"""),"1759204696901")</f>
        <v>1759204696901</v>
      </c>
      <c r="B5705" s="2"/>
      <c r="C5705" s="2" t="str">
        <v>0</v>
      </c>
      <c r="D5705" s="2"/>
      <c r="F5705" s="2" t="str">
        <v>0</v>
      </c>
      <c r="I5705" s="3" t="str">
        <f ca="1">IFERROR(__xludf.DUMMYFUNCTION("""COMPUTED_VALUE"""),"Trần Nam Phương")</f>
        <v>Trần Nam Phương</v>
      </c>
      <c r="J5705" s="3" t="str">
        <f ca="1">IFERROR(__xludf.DUMMYFUNCTION("""COMPUTED_VALUE"""),"0763658949")</f>
        <v>0763658949</v>
      </c>
      <c r="K5705" s="2" t="str">
        <f ca="1">IFERROR(__xludf.DUMMYFUNCTION("""COMPUTED_VALUE"""),"1759204696901")</f>
        <v>1759204696901</v>
      </c>
    </row>
    <row r="5706" spans="1:11" ht="12.45">
      <c r="A5706" s="2" t="str">
        <f ca="1">IFERROR(__xludf.DUMMYFUNCTION("""COMPUTED_VALUE"""),"1759204751404")</f>
        <v>1759204751404</v>
      </c>
      <c r="B5706" s="2"/>
      <c r="C5706" s="2" t="str">
        <v>0</v>
      </c>
      <c r="D5706" s="2"/>
      <c r="F5706" s="2" t="str">
        <v>0</v>
      </c>
      <c r="I5706" s="3" t="str">
        <f ca="1">IFERROR(__xludf.DUMMYFUNCTION("""COMPUTED_VALUE"""),"Triệu Đồng Thanh Trúc ")</f>
        <v xml:space="preserve">Triệu Đồng Thanh Trúc </v>
      </c>
      <c r="J5706" s="3" t="str">
        <f ca="1">IFERROR(__xludf.DUMMYFUNCTION("""COMPUTED_VALUE"""),"0342988533")</f>
        <v>0342988533</v>
      </c>
      <c r="K5706" s="2" t="str">
        <f ca="1">IFERROR(__xludf.DUMMYFUNCTION("""COMPUTED_VALUE"""),"1759204751404")</f>
        <v>1759204751404</v>
      </c>
    </row>
    <row r="5707" spans="1:11" ht="12.45">
      <c r="A5707" s="2" t="str">
        <f ca="1">IFERROR(__xludf.DUMMYFUNCTION("""COMPUTED_VALUE"""),"1759204830302")</f>
        <v>1759204830302</v>
      </c>
      <c r="B5707" s="2"/>
      <c r="C5707" s="2" t="str">
        <v>0</v>
      </c>
      <c r="D5707" s="2"/>
      <c r="F5707" s="2" t="str">
        <v>0</v>
      </c>
      <c r="I5707" s="3" t="str">
        <f ca="1">IFERROR(__xludf.DUMMYFUNCTION("""COMPUTED_VALUE"""),"Võ Phương Minh")</f>
        <v>Võ Phương Minh</v>
      </c>
      <c r="J5707" s="3" t="str">
        <f ca="1">IFERROR(__xludf.DUMMYFUNCTION("""COMPUTED_VALUE"""),"0917626001")</f>
        <v>0917626001</v>
      </c>
      <c r="K5707" s="2" t="str">
        <f ca="1">IFERROR(__xludf.DUMMYFUNCTION("""COMPUTED_VALUE"""),"1759204830302")</f>
        <v>1759204830302</v>
      </c>
    </row>
    <row r="5708" spans="1:11" ht="12.45">
      <c r="A5708" s="2" t="str">
        <f ca="1">IFERROR(__xludf.DUMMYFUNCTION("""COMPUTED_VALUE"""),"1759204904778")</f>
        <v>1759204904778</v>
      </c>
      <c r="B5708" s="2"/>
      <c r="C5708" s="2" t="str">
        <v>0</v>
      </c>
      <c r="D5708" s="2"/>
      <c r="F5708" s="2" t="str">
        <v>0</v>
      </c>
      <c r="I5708" s="3" t="str">
        <f ca="1">IFERROR(__xludf.DUMMYFUNCTION("""COMPUTED_VALUE"""),"HUỲNH THUÝ AN")</f>
        <v>HUỲNH THUÝ AN</v>
      </c>
      <c r="J5708" s="3" t="str">
        <f ca="1">IFERROR(__xludf.DUMMYFUNCTION("""COMPUTED_VALUE"""),"0898312081")</f>
        <v>0898312081</v>
      </c>
      <c r="K5708" s="2" t="str">
        <f ca="1">IFERROR(__xludf.DUMMYFUNCTION("""COMPUTED_VALUE"""),"1759204904778")</f>
        <v>1759204904778</v>
      </c>
    </row>
    <row r="5709" spans="1:11" ht="12.45">
      <c r="A5709" s="2" t="str">
        <f ca="1">IFERROR(__xludf.DUMMYFUNCTION("""COMPUTED_VALUE"""),"1759204973548")</f>
        <v>1759204973548</v>
      </c>
      <c r="B5709" s="2"/>
      <c r="C5709" s="2" t="str">
        <v>0</v>
      </c>
      <c r="D5709" s="2"/>
      <c r="F5709" s="2" t="str">
        <v>0</v>
      </c>
      <c r="I5709" s="3" t="str">
        <f ca="1">IFERROR(__xludf.DUMMYFUNCTION("""COMPUTED_VALUE"""),"Phạm Thuỳ Trang")</f>
        <v>Phạm Thuỳ Trang</v>
      </c>
      <c r="J5709" s="3" t="str">
        <f ca="1">IFERROR(__xludf.DUMMYFUNCTION("""COMPUTED_VALUE"""),"0866170407")</f>
        <v>0866170407</v>
      </c>
      <c r="K5709" s="2" t="str">
        <f ca="1">IFERROR(__xludf.DUMMYFUNCTION("""COMPUTED_VALUE"""),"1759204973548")</f>
        <v>1759204973548</v>
      </c>
    </row>
    <row r="5710" spans="1:11" ht="12.45">
      <c r="A5710" s="2" t="str">
        <f ca="1">IFERROR(__xludf.DUMMYFUNCTION("""COMPUTED_VALUE"""),"1759205023863")</f>
        <v>1759205023863</v>
      </c>
      <c r="B5710" s="2"/>
      <c r="C5710" s="2" t="str">
        <v>0</v>
      </c>
      <c r="D5710" s="2"/>
      <c r="F5710" s="2" t="str">
        <v>0</v>
      </c>
      <c r="I5710" s="3" t="str">
        <f ca="1">IFERROR(__xludf.DUMMYFUNCTION("""COMPUTED_VALUE"""),"Trần Thị Biên Thùy ")</f>
        <v xml:space="preserve">Trần Thị Biên Thùy </v>
      </c>
      <c r="J5710" s="3" t="str">
        <f ca="1">IFERROR(__xludf.DUMMYFUNCTION("""COMPUTED_VALUE"""),"0342927156")</f>
        <v>0342927156</v>
      </c>
      <c r="K5710" s="2" t="str">
        <f ca="1">IFERROR(__xludf.DUMMYFUNCTION("""COMPUTED_VALUE"""),"1759205023863")</f>
        <v>1759205023863</v>
      </c>
    </row>
    <row r="5711" spans="1:11" ht="12.45">
      <c r="A5711" s="2" t="str">
        <f ca="1">IFERROR(__xludf.DUMMYFUNCTION("""COMPUTED_VALUE"""),"1759205083271")</f>
        <v>1759205083271</v>
      </c>
      <c r="B5711" s="2"/>
      <c r="C5711" s="2" t="str">
        <v>0</v>
      </c>
      <c r="D5711" s="2"/>
      <c r="F5711" s="2" t="str">
        <v>0</v>
      </c>
      <c r="I5711" s="3" t="str">
        <f ca="1">IFERROR(__xludf.DUMMYFUNCTION("""COMPUTED_VALUE"""),"Lê Ngọc Anh")</f>
        <v>Lê Ngọc Anh</v>
      </c>
      <c r="J5711" s="3" t="str">
        <f ca="1">IFERROR(__xludf.DUMMYFUNCTION("""COMPUTED_VALUE"""),"0868801545")</f>
        <v>0868801545</v>
      </c>
      <c r="K5711" s="2" t="str">
        <f ca="1">IFERROR(__xludf.DUMMYFUNCTION("""COMPUTED_VALUE"""),"1759205083271")</f>
        <v>1759205083271</v>
      </c>
    </row>
    <row r="5712" spans="1:11" ht="12.45">
      <c r="A5712" s="2" t="str">
        <f ca="1">IFERROR(__xludf.DUMMYFUNCTION("""COMPUTED_VALUE"""),"1759205167870")</f>
        <v>1759205167870</v>
      </c>
      <c r="B5712" s="2"/>
      <c r="C5712" s="2" t="str">
        <v>0</v>
      </c>
      <c r="D5712" s="2"/>
      <c r="F5712" s="2" t="str">
        <v>0</v>
      </c>
      <c r="I5712" s="3" t="str">
        <f ca="1">IFERROR(__xludf.DUMMYFUNCTION("""COMPUTED_VALUE"""),"Nguyễn Thị Minh Uyên")</f>
        <v>Nguyễn Thị Minh Uyên</v>
      </c>
      <c r="J5712" s="3" t="str">
        <f ca="1">IFERROR(__xludf.DUMMYFUNCTION("""COMPUTED_VALUE"""),"0917498169")</f>
        <v>0917498169</v>
      </c>
      <c r="K5712" s="2" t="str">
        <f ca="1">IFERROR(__xludf.DUMMYFUNCTION("""COMPUTED_VALUE"""),"1759205167870")</f>
        <v>1759205167870</v>
      </c>
    </row>
    <row r="5713" spans="1:11" ht="12.45">
      <c r="A5713" s="2" t="str">
        <f ca="1">IFERROR(__xludf.DUMMYFUNCTION("""COMPUTED_VALUE"""),"1759205300915")</f>
        <v>1759205300915</v>
      </c>
      <c r="B5713" s="2"/>
      <c r="C5713" s="2" t="str">
        <v>0</v>
      </c>
      <c r="D5713" s="2"/>
      <c r="F5713" s="2" t="str">
        <v>0</v>
      </c>
      <c r="I5713" s="3" t="str">
        <f ca="1">IFERROR(__xludf.DUMMYFUNCTION("""COMPUTED_VALUE"""),"Nguyễn Lâm Phương Thy")</f>
        <v>Nguyễn Lâm Phương Thy</v>
      </c>
      <c r="J5713" s="3" t="str">
        <f ca="1">IFERROR(__xludf.DUMMYFUNCTION("""COMPUTED_VALUE"""),"0775150145")</f>
        <v>0775150145</v>
      </c>
      <c r="K5713" s="2" t="str">
        <f ca="1">IFERROR(__xludf.DUMMYFUNCTION("""COMPUTED_VALUE"""),"1759205300915")</f>
        <v>1759205300915</v>
      </c>
    </row>
    <row r="5714" spans="1:11" ht="12.45">
      <c r="A5714" s="2" t="str">
        <f ca="1">IFERROR(__xludf.DUMMYFUNCTION("""COMPUTED_VALUE"""),"1759205346250")</f>
        <v>1759205346250</v>
      </c>
      <c r="B5714" s="2"/>
      <c r="C5714" s="2" t="str">
        <v>0</v>
      </c>
      <c r="D5714" s="2"/>
      <c r="F5714" s="2" t="str">
        <v>0</v>
      </c>
      <c r="I5714" s="3" t="str">
        <f ca="1">IFERROR(__xludf.DUMMYFUNCTION("""COMPUTED_VALUE"""),"Trần Ngọc Uyển San ")</f>
        <v xml:space="preserve">Trần Ngọc Uyển San </v>
      </c>
      <c r="J5714" s="3" t="str">
        <f ca="1">IFERROR(__xludf.DUMMYFUNCTION("""COMPUTED_VALUE"""),"0989718090")</f>
        <v>0989718090</v>
      </c>
      <c r="K5714" s="2" t="str">
        <f ca="1">IFERROR(__xludf.DUMMYFUNCTION("""COMPUTED_VALUE"""),"1759205346250")</f>
        <v>1759205346250</v>
      </c>
    </row>
    <row r="5715" spans="1:11" ht="12.45">
      <c r="A5715" s="2" t="str">
        <f ca="1">IFERROR(__xludf.DUMMYFUNCTION("""COMPUTED_VALUE"""),"1759205397466")</f>
        <v>1759205397466</v>
      </c>
      <c r="B5715" s="2"/>
      <c r="C5715" s="2" t="str">
        <v>0</v>
      </c>
      <c r="D5715" s="2"/>
      <c r="F5715" s="2" t="str">
        <v>0</v>
      </c>
      <c r="I5715" s="3" t="str">
        <f ca="1">IFERROR(__xludf.DUMMYFUNCTION("""COMPUTED_VALUE"""),"Vũ Tùng Dương")</f>
        <v>Vũ Tùng Dương</v>
      </c>
      <c r="J5715" s="3" t="str">
        <f ca="1">IFERROR(__xludf.DUMMYFUNCTION("""COMPUTED_VALUE"""),"0367882194")</f>
        <v>0367882194</v>
      </c>
      <c r="K5715" s="2" t="str">
        <f ca="1">IFERROR(__xludf.DUMMYFUNCTION("""COMPUTED_VALUE"""),"1759205397466")</f>
        <v>1759205397466</v>
      </c>
    </row>
    <row r="5716" spans="1:11" ht="12.45">
      <c r="A5716" s="2" t="str">
        <f ca="1">IFERROR(__xludf.DUMMYFUNCTION("""COMPUTED_VALUE"""),"1759205444352")</f>
        <v>1759205444352</v>
      </c>
      <c r="B5716" s="2"/>
      <c r="C5716" s="2" t="str">
        <v>0</v>
      </c>
      <c r="D5716" s="2"/>
      <c r="F5716" s="2" t="str">
        <v>0</v>
      </c>
      <c r="I5716" s="3" t="str">
        <f ca="1">IFERROR(__xludf.DUMMYFUNCTION("""COMPUTED_VALUE"""),"Trương Huỳnh Mai Thư")</f>
        <v>Trương Huỳnh Mai Thư</v>
      </c>
      <c r="J5716" s="3" t="str">
        <f ca="1">IFERROR(__xludf.DUMMYFUNCTION("""COMPUTED_VALUE"""),"0353489972")</f>
        <v>0353489972</v>
      </c>
      <c r="K5716" s="2" t="str">
        <f ca="1">IFERROR(__xludf.DUMMYFUNCTION("""COMPUTED_VALUE"""),"1759205444352")</f>
        <v>1759205444352</v>
      </c>
    </row>
    <row r="5717" spans="1:11" ht="12.45">
      <c r="A5717" s="2" t="str">
        <f ca="1">IFERROR(__xludf.DUMMYFUNCTION("""COMPUTED_VALUE"""),"k gửi sách")</f>
        <v>k gửi sách</v>
      </c>
      <c r="B5717" s="2"/>
      <c r="C5717" s="2" t="str">
        <v>0</v>
      </c>
      <c r="D5717" s="2"/>
      <c r="F5717" s="2" t="str">
        <v>0</v>
      </c>
      <c r="I5717" s="3" t="str">
        <f ca="1">IFERROR(__xludf.DUMMYFUNCTION("""COMPUTED_VALUE"""),"Phan Nguyễn Thuỳ Trang")</f>
        <v>Phan Nguyễn Thuỳ Trang</v>
      </c>
      <c r="J5717" s="3" t="str">
        <f ca="1">IFERROR(__xludf.DUMMYFUNCTION("""COMPUTED_VALUE"""),"8486276257")</f>
        <v>8486276257</v>
      </c>
      <c r="K5717" s="2" t="str">
        <f ca="1">IFERROR(__xludf.DUMMYFUNCTION("""COMPUTED_VALUE"""),"k gửi sách")</f>
        <v>k gửi sách</v>
      </c>
    </row>
    <row r="5718" spans="1:11" ht="12.45">
      <c r="A5718" s="2" t="str">
        <f ca="1">IFERROR(__xludf.DUMMYFUNCTION("""COMPUTED_VALUE"""),"1759205485634")</f>
        <v>1759205485634</v>
      </c>
      <c r="B5718" s="2"/>
      <c r="C5718" s="2" t="str">
        <v>0</v>
      </c>
      <c r="D5718" s="2"/>
      <c r="F5718" s="2" t="str">
        <v>0</v>
      </c>
      <c r="I5718" s="3" t="str">
        <f ca="1">IFERROR(__xludf.DUMMYFUNCTION("""COMPUTED_VALUE"""),"Nguyễn Thị Thảo My ")</f>
        <v xml:space="preserve">Nguyễn Thị Thảo My </v>
      </c>
      <c r="J5718" s="3" t="str">
        <f ca="1">IFERROR(__xludf.DUMMYFUNCTION("""COMPUTED_VALUE"""),"0325209742")</f>
        <v>0325209742</v>
      </c>
      <c r="K5718" s="2" t="str">
        <f ca="1">IFERROR(__xludf.DUMMYFUNCTION("""COMPUTED_VALUE"""),"1759205485634")</f>
        <v>1759205485634</v>
      </c>
    </row>
    <row r="5719" spans="1:11" ht="12.45">
      <c r="A5719" s="2" t="str">
        <f ca="1">IFERROR(__xludf.DUMMYFUNCTION("""COMPUTED_VALUE"""),"1759205524774")</f>
        <v>1759205524774</v>
      </c>
      <c r="B5719" s="2"/>
      <c r="C5719" s="2" t="str">
        <v>0</v>
      </c>
      <c r="D5719" s="2"/>
      <c r="F5719" s="2" t="str">
        <v>0</v>
      </c>
      <c r="I5719" s="3" t="str">
        <f ca="1">IFERROR(__xludf.DUMMYFUNCTION("""COMPUTED_VALUE"""),"Huỳnh Phương Nhung")</f>
        <v>Huỳnh Phương Nhung</v>
      </c>
      <c r="J5719" s="3" t="str">
        <f ca="1">IFERROR(__xludf.DUMMYFUNCTION("""COMPUTED_VALUE"""),"0782735147")</f>
        <v>0782735147</v>
      </c>
      <c r="K5719" s="2" t="str">
        <f ca="1">IFERROR(__xludf.DUMMYFUNCTION("""COMPUTED_VALUE"""),"1759205524774")</f>
        <v>1759205524774</v>
      </c>
    </row>
    <row r="5720" spans="1:11" ht="12.45">
      <c r="A5720" s="2" t="str">
        <f ca="1">IFERROR(__xludf.DUMMYFUNCTION("""COMPUTED_VALUE"""),"1759205569024")</f>
        <v>1759205569024</v>
      </c>
      <c r="B5720" s="2"/>
      <c r="C5720" s="2" t="str">
        <v>0</v>
      </c>
      <c r="D5720" s="2"/>
      <c r="F5720" s="2" t="str">
        <v>0</v>
      </c>
      <c r="I5720" s="3" t="str">
        <f ca="1">IFERROR(__xludf.DUMMYFUNCTION("""COMPUTED_VALUE"""),"Trương Phan Bích Trâm")</f>
        <v>Trương Phan Bích Trâm</v>
      </c>
      <c r="J5720" s="3" t="str">
        <f ca="1">IFERROR(__xludf.DUMMYFUNCTION("""COMPUTED_VALUE"""),"0937870310")</f>
        <v>0937870310</v>
      </c>
      <c r="K5720" s="2" t="str">
        <f ca="1">IFERROR(__xludf.DUMMYFUNCTION("""COMPUTED_VALUE"""),"1759205569024")</f>
        <v>1759205569024</v>
      </c>
    </row>
    <row r="5721" spans="1:11" ht="12.45">
      <c r="A5721" s="2" t="str">
        <f ca="1">IFERROR(__xludf.DUMMYFUNCTION("""COMPUTED_VALUE"""),"k gửi sách")</f>
        <v>k gửi sách</v>
      </c>
      <c r="B5721" s="2"/>
      <c r="C5721" s="2" t="str">
        <v>0</v>
      </c>
      <c r="D5721" s="2"/>
      <c r="F5721" s="2" t="str">
        <v>0</v>
      </c>
      <c r="I5721" s="3" t="str">
        <f ca="1">IFERROR(__xludf.DUMMYFUNCTION("""COMPUTED_VALUE"""),"Hồ Thu Hiền ")</f>
        <v xml:space="preserve">Hồ Thu Hiền </v>
      </c>
      <c r="J5721" s="3" t="str">
        <f ca="1">IFERROR(__xludf.DUMMYFUNCTION("""COMPUTED_VALUE"""),"0345622522")</f>
        <v>0345622522</v>
      </c>
      <c r="K5721" s="2" t="str">
        <f ca="1">IFERROR(__xludf.DUMMYFUNCTION("""COMPUTED_VALUE"""),"k gửi sách")</f>
        <v>k gửi sách</v>
      </c>
    </row>
    <row r="5722" spans="1:11" ht="12.45">
      <c r="A5722" s="2" t="str">
        <f ca="1">IFERROR(__xludf.DUMMYFUNCTION("""COMPUTED_VALUE"""),"1759205616714")</f>
        <v>1759205616714</v>
      </c>
      <c r="B5722" s="2"/>
      <c r="C5722" s="2" t="str">
        <v>0</v>
      </c>
      <c r="D5722" s="2"/>
      <c r="F5722" s="2" t="str">
        <v>0</v>
      </c>
      <c r="I5722" s="3" t="str">
        <f ca="1">IFERROR(__xludf.DUMMYFUNCTION("""COMPUTED_VALUE"""),"nguyễn an an ")</f>
        <v xml:space="preserve">nguyễn an an </v>
      </c>
      <c r="J5722" s="3" t="str">
        <f ca="1">IFERROR(__xludf.DUMMYFUNCTION("""COMPUTED_VALUE"""),"0788577268")</f>
        <v>0788577268</v>
      </c>
      <c r="K5722" s="2" t="str">
        <f ca="1">IFERROR(__xludf.DUMMYFUNCTION("""COMPUTED_VALUE"""),"1759205616714")</f>
        <v>1759205616714</v>
      </c>
    </row>
    <row r="5723" spans="1:11" ht="12.45">
      <c r="A5723" s="2" t="str">
        <f ca="1">IFERROR(__xludf.DUMMYFUNCTION("""COMPUTED_VALUE"""),"1759205647509")</f>
        <v>1759205647509</v>
      </c>
      <c r="B5723" s="2"/>
      <c r="C5723" s="2" t="str">
        <v>0</v>
      </c>
      <c r="D5723" s="2"/>
      <c r="F5723" s="2" t="str">
        <v>0</v>
      </c>
      <c r="I5723" s="3" t="str">
        <f ca="1">IFERROR(__xludf.DUMMYFUNCTION("""COMPUTED_VALUE"""),"Đào Khánh Linh")</f>
        <v>Đào Khánh Linh</v>
      </c>
      <c r="J5723" s="3" t="str">
        <f ca="1">IFERROR(__xludf.DUMMYFUNCTION("""COMPUTED_VALUE"""),"0362603938")</f>
        <v>0362603938</v>
      </c>
      <c r="K5723" s="2" t="str">
        <f ca="1">IFERROR(__xludf.DUMMYFUNCTION("""COMPUTED_VALUE"""),"1759205647509")</f>
        <v>1759205647509</v>
      </c>
    </row>
    <row r="5724" spans="1:11" ht="12.45">
      <c r="A5724" s="2" t="str">
        <f ca="1">IFERROR(__xludf.DUMMYFUNCTION("""COMPUTED_VALUE"""),"1759205676312")</f>
        <v>1759205676312</v>
      </c>
      <c r="B5724" s="2"/>
      <c r="C5724" s="2" t="str">
        <v>0</v>
      </c>
      <c r="D5724" s="2"/>
      <c r="F5724" s="2" t="str">
        <v>0</v>
      </c>
      <c r="I5724" s="3" t="str">
        <f ca="1">IFERROR(__xludf.DUMMYFUNCTION("""COMPUTED_VALUE"""),"Bùi Hải Nam")</f>
        <v>Bùi Hải Nam</v>
      </c>
      <c r="J5724" s="3" t="str">
        <f ca="1">IFERROR(__xludf.DUMMYFUNCTION("""COMPUTED_VALUE"""),"0866034516")</f>
        <v>0866034516</v>
      </c>
      <c r="K5724" s="2" t="str">
        <f ca="1">IFERROR(__xludf.DUMMYFUNCTION("""COMPUTED_VALUE"""),"1759205676312")</f>
        <v>1759205676312</v>
      </c>
    </row>
    <row r="5725" spans="1:11" ht="12.45">
      <c r="A5725" s="2" t="str">
        <f ca="1">IFERROR(__xludf.DUMMYFUNCTION("""COMPUTED_VALUE"""),"1759205740480")</f>
        <v>1759205740480</v>
      </c>
      <c r="B5725" s="2"/>
      <c r="C5725" s="2" t="str">
        <v>0</v>
      </c>
      <c r="D5725" s="2"/>
      <c r="F5725" s="2" t="str">
        <v>0</v>
      </c>
      <c r="I5725" s="3" t="str">
        <f ca="1">IFERROR(__xludf.DUMMYFUNCTION("""COMPUTED_VALUE"""),"Nguyễn Long Vũ")</f>
        <v>Nguyễn Long Vũ</v>
      </c>
      <c r="J5725" s="3" t="str">
        <f ca="1">IFERROR(__xludf.DUMMYFUNCTION("""COMPUTED_VALUE"""),"0866470485")</f>
        <v>0866470485</v>
      </c>
      <c r="K5725" s="2" t="str">
        <f ca="1">IFERROR(__xludf.DUMMYFUNCTION("""COMPUTED_VALUE"""),"1759205740480")</f>
        <v>1759205740480</v>
      </c>
    </row>
    <row r="5726" spans="1:11" ht="12.45">
      <c r="A5726" s="2" t="str">
        <f ca="1">IFERROR(__xludf.DUMMYFUNCTION("""COMPUTED_VALUE"""),"1759205780185")</f>
        <v>1759205780185</v>
      </c>
      <c r="B5726" s="2"/>
      <c r="C5726" s="2" t="str">
        <v>0</v>
      </c>
      <c r="D5726" s="2"/>
      <c r="F5726" s="2" t="str">
        <v>0</v>
      </c>
      <c r="I5726" s="3" t="str">
        <f ca="1">IFERROR(__xludf.DUMMYFUNCTION("""COMPUTED_VALUE"""),"Lương Thuỳ Dung")</f>
        <v>Lương Thuỳ Dung</v>
      </c>
      <c r="J5726" s="3" t="str">
        <f ca="1">IFERROR(__xludf.DUMMYFUNCTION("""COMPUTED_VALUE"""),"0797521856")</f>
        <v>0797521856</v>
      </c>
      <c r="K5726" s="2" t="str">
        <f ca="1">IFERROR(__xludf.DUMMYFUNCTION("""COMPUTED_VALUE"""),"1759205780185")</f>
        <v>1759205780185</v>
      </c>
    </row>
    <row r="5727" spans="1:11" ht="12.45">
      <c r="A5727" s="2" t="str">
        <f ca="1">IFERROR(__xludf.DUMMYFUNCTION("""COMPUTED_VALUE"""),"1759205806218")</f>
        <v>1759205806218</v>
      </c>
      <c r="B5727" s="2"/>
      <c r="C5727" s="2" t="str">
        <v>0</v>
      </c>
      <c r="D5727" s="2"/>
      <c r="F5727" s="2" t="str">
        <v>0</v>
      </c>
      <c r="I5727" s="3" t="str">
        <f ca="1">IFERROR(__xludf.DUMMYFUNCTION("""COMPUTED_VALUE"""),"Lê Thị Nga")</f>
        <v>Lê Thị Nga</v>
      </c>
      <c r="J5727" s="3" t="str">
        <f ca="1">IFERROR(__xludf.DUMMYFUNCTION("""COMPUTED_VALUE"""),"0862807577")</f>
        <v>0862807577</v>
      </c>
      <c r="K5727" s="2" t="str">
        <f ca="1">IFERROR(__xludf.DUMMYFUNCTION("""COMPUTED_VALUE"""),"1759205806218")</f>
        <v>1759205806218</v>
      </c>
    </row>
    <row r="5728" spans="1:11" ht="12.45">
      <c r="A5728" s="2" t="str">
        <f ca="1">IFERROR(__xludf.DUMMYFUNCTION("""COMPUTED_VALUE"""),"1759205841245")</f>
        <v>1759205841245</v>
      </c>
      <c r="B5728" s="2"/>
      <c r="C5728" s="2" t="str">
        <v>0</v>
      </c>
      <c r="D5728" s="2"/>
      <c r="F5728" s="2" t="str">
        <v>0</v>
      </c>
      <c r="I5728" s="3" t="str">
        <f ca="1">IFERROR(__xludf.DUMMYFUNCTION("""COMPUTED_VALUE"""),"Lê Đào Xuân Thuỳ")</f>
        <v>Lê Đào Xuân Thuỳ</v>
      </c>
      <c r="J5728" s="3" t="str">
        <f ca="1">IFERROR(__xludf.DUMMYFUNCTION("""COMPUTED_VALUE"""),"8438416856")</f>
        <v>8438416856</v>
      </c>
      <c r="K5728" s="2" t="str">
        <f ca="1">IFERROR(__xludf.DUMMYFUNCTION("""COMPUTED_VALUE"""),"1759205841245")</f>
        <v>1759205841245</v>
      </c>
    </row>
    <row r="5729" spans="1:11" ht="12.45">
      <c r="A5729" s="2" t="str">
        <f ca="1">IFERROR(__xludf.DUMMYFUNCTION("""COMPUTED_VALUE"""),"1759205896517")</f>
        <v>1759205896517</v>
      </c>
      <c r="B5729" s="2"/>
      <c r="C5729" s="2" t="str">
        <v>0</v>
      </c>
      <c r="D5729" s="2"/>
      <c r="F5729" s="2" t="str">
        <v>0</v>
      </c>
      <c r="I5729" s="3" t="str">
        <f ca="1">IFERROR(__xludf.DUMMYFUNCTION("""COMPUTED_VALUE"""),"Đặng Nguyễn Thái Bảo ")</f>
        <v xml:space="preserve">Đặng Nguyễn Thái Bảo </v>
      </c>
      <c r="J5729" s="3" t="str">
        <f ca="1">IFERROR(__xludf.DUMMYFUNCTION("""COMPUTED_VALUE"""),"0981025441")</f>
        <v>0981025441</v>
      </c>
      <c r="K5729" s="2" t="str">
        <f ca="1">IFERROR(__xludf.DUMMYFUNCTION("""COMPUTED_VALUE"""),"1759205896517")</f>
        <v>1759205896517</v>
      </c>
    </row>
    <row r="5730" spans="1:11" ht="12.45">
      <c r="A5730" s="2" t="str">
        <f ca="1">IFERROR(__xludf.DUMMYFUNCTION("""COMPUTED_VALUE"""),"1759205935161")</f>
        <v>1759205935161</v>
      </c>
      <c r="B5730" s="2"/>
      <c r="C5730" s="2" t="str">
        <v>0</v>
      </c>
      <c r="D5730" s="2"/>
      <c r="F5730" s="2" t="str">
        <v>0</v>
      </c>
      <c r="I5730" s="3" t="str">
        <f ca="1">IFERROR(__xludf.DUMMYFUNCTION("""COMPUTED_VALUE"""),"Dương Thị Cẩm Vân")</f>
        <v>Dương Thị Cẩm Vân</v>
      </c>
      <c r="J5730" s="3" t="str">
        <f ca="1">IFERROR(__xludf.DUMMYFUNCTION("""COMPUTED_VALUE"""),"0703435108")</f>
        <v>0703435108</v>
      </c>
      <c r="K5730" s="2" t="str">
        <f ca="1">IFERROR(__xludf.DUMMYFUNCTION("""COMPUTED_VALUE"""),"1759205935161")</f>
        <v>1759205935161</v>
      </c>
    </row>
    <row r="5731" spans="1:11" ht="12.45">
      <c r="A5731" s="2" t="str">
        <f ca="1">IFERROR(__xludf.DUMMYFUNCTION("""COMPUTED_VALUE"""),"1759205970278")</f>
        <v>1759205970278</v>
      </c>
      <c r="B5731" s="2"/>
      <c r="C5731" s="2" t="str">
        <v>0</v>
      </c>
      <c r="D5731" s="2"/>
      <c r="F5731" s="2" t="str">
        <v>0</v>
      </c>
      <c r="I5731" s="3" t="str">
        <f ca="1">IFERROR(__xludf.DUMMYFUNCTION("""COMPUTED_VALUE"""),"Lê Quỳnh Chi")</f>
        <v>Lê Quỳnh Chi</v>
      </c>
      <c r="J5731" s="3" t="str">
        <f ca="1">IFERROR(__xludf.DUMMYFUNCTION("""COMPUTED_VALUE"""),"0945156526")</f>
        <v>0945156526</v>
      </c>
      <c r="K5731" s="2" t="str">
        <f ca="1">IFERROR(__xludf.DUMMYFUNCTION("""COMPUTED_VALUE"""),"1759205970278")</f>
        <v>1759205970278</v>
      </c>
    </row>
    <row r="5732" spans="1:11" ht="12.45">
      <c r="A5732" s="2" t="str">
        <f ca="1">IFERROR(__xludf.DUMMYFUNCTION("""COMPUTED_VALUE"""),"1759206009533")</f>
        <v>1759206009533</v>
      </c>
      <c r="B5732" s="2"/>
      <c r="C5732" s="2" t="str">
        <v>0</v>
      </c>
      <c r="D5732" s="2"/>
      <c r="F5732" s="2" t="str">
        <v>0</v>
      </c>
      <c r="I5732" s="3" t="str">
        <f ca="1">IFERROR(__xludf.DUMMYFUNCTION("""COMPUTED_VALUE"""),"Diệp thị như ý")</f>
        <v>Diệp thị như ý</v>
      </c>
      <c r="J5732" s="3" t="str">
        <f ca="1">IFERROR(__xludf.DUMMYFUNCTION("""COMPUTED_VALUE"""),"0393864438")</f>
        <v>0393864438</v>
      </c>
      <c r="K5732" s="2" t="str">
        <f ca="1">IFERROR(__xludf.DUMMYFUNCTION("""COMPUTED_VALUE"""),"1759206009533")</f>
        <v>1759206009533</v>
      </c>
    </row>
    <row r="5733" spans="1:11" ht="12.45">
      <c r="A5733" s="2" t="str">
        <f ca="1">IFERROR(__xludf.DUMMYFUNCTION("""COMPUTED_VALUE"""),"1759206049088")</f>
        <v>1759206049088</v>
      </c>
      <c r="B5733" s="2"/>
      <c r="C5733" s="2" t="str">
        <v>0</v>
      </c>
      <c r="D5733" s="2"/>
      <c r="F5733" s="2" t="str">
        <v>0</v>
      </c>
      <c r="I5733" s="3" t="str">
        <f ca="1">IFERROR(__xludf.DUMMYFUNCTION("""COMPUTED_VALUE"""),"Đỗ Khánh Huyền")</f>
        <v>Đỗ Khánh Huyền</v>
      </c>
      <c r="J5733" s="3" t="str">
        <f ca="1">IFERROR(__xludf.DUMMYFUNCTION("""COMPUTED_VALUE"""),"0397512378")</f>
        <v>0397512378</v>
      </c>
      <c r="K5733" s="2" t="str">
        <f ca="1">IFERROR(__xludf.DUMMYFUNCTION("""COMPUTED_VALUE"""),"1759206049088")</f>
        <v>1759206049088</v>
      </c>
    </row>
    <row r="5734" spans="1:11" ht="12.45">
      <c r="A5734" s="2" t="str">
        <f ca="1">IFERROR(__xludf.DUMMYFUNCTION("""COMPUTED_VALUE"""),"1759206088414")</f>
        <v>1759206088414</v>
      </c>
      <c r="B5734" s="2"/>
      <c r="C5734" s="2" t="str">
        <v>0</v>
      </c>
      <c r="D5734" s="2"/>
      <c r="F5734" s="2" t="str">
        <v>0</v>
      </c>
      <c r="I5734" s="3" t="str">
        <f ca="1">IFERROR(__xludf.DUMMYFUNCTION("""COMPUTED_VALUE"""),"Lê Thị Thu Thảo")</f>
        <v>Lê Thị Thu Thảo</v>
      </c>
      <c r="J5734" s="3" t="str">
        <f ca="1">IFERROR(__xludf.DUMMYFUNCTION("""COMPUTED_VALUE"""),"0778594878")</f>
        <v>0778594878</v>
      </c>
      <c r="K5734" s="2" t="str">
        <f ca="1">IFERROR(__xludf.DUMMYFUNCTION("""COMPUTED_VALUE"""),"1759206088414")</f>
        <v>1759206088414</v>
      </c>
    </row>
    <row r="5735" spans="1:11" ht="12.45">
      <c r="A5735" s="2" t="str">
        <f ca="1">IFERROR(__xludf.DUMMYFUNCTION("""COMPUTED_VALUE"""),"1759206122186")</f>
        <v>1759206122186</v>
      </c>
      <c r="B5735" s="2"/>
      <c r="C5735" s="2" t="str">
        <v>0</v>
      </c>
      <c r="D5735" s="2"/>
      <c r="F5735" s="2" t="str">
        <v>0</v>
      </c>
      <c r="I5735" s="3" t="str">
        <f ca="1">IFERROR(__xludf.DUMMYFUNCTION("""COMPUTED_VALUE"""),"Lê Thanh Ánh Dương ")</f>
        <v xml:space="preserve">Lê Thanh Ánh Dương </v>
      </c>
      <c r="J5735" s="3" t="str">
        <f ca="1">IFERROR(__xludf.DUMMYFUNCTION("""COMPUTED_VALUE"""),"0865253197")</f>
        <v>0865253197</v>
      </c>
      <c r="K5735" s="2" t="str">
        <f ca="1">IFERROR(__xludf.DUMMYFUNCTION("""COMPUTED_VALUE"""),"1759206122186")</f>
        <v>1759206122186</v>
      </c>
    </row>
    <row r="5736" spans="1:11" ht="12.45">
      <c r="A5736" s="2" t="str">
        <f ca="1">IFERROR(__xludf.DUMMYFUNCTION("""COMPUTED_VALUE"""),"1759206181282")</f>
        <v>1759206181282</v>
      </c>
      <c r="B5736" s="2"/>
      <c r="C5736" s="2" t="str">
        <v>0</v>
      </c>
      <c r="D5736" s="2"/>
      <c r="F5736" s="2" t="str">
        <v>0</v>
      </c>
      <c r="I5736" s="3" t="str">
        <f ca="1">IFERROR(__xludf.DUMMYFUNCTION("""COMPUTED_VALUE"""),"Nguyễn Thị Huyền Trang")</f>
        <v>Nguyễn Thị Huyền Trang</v>
      </c>
      <c r="J5736" s="3" t="str">
        <f ca="1">IFERROR(__xludf.DUMMYFUNCTION("""COMPUTED_VALUE"""),"0328735264")</f>
        <v>0328735264</v>
      </c>
      <c r="K5736" s="2" t="str">
        <f ca="1">IFERROR(__xludf.DUMMYFUNCTION("""COMPUTED_VALUE"""),"1759206181282")</f>
        <v>1759206181282</v>
      </c>
    </row>
    <row r="5737" spans="1:11" ht="12.45">
      <c r="A5737" s="2" t="str">
        <f ca="1">IFERROR(__xludf.DUMMYFUNCTION("""COMPUTED_VALUE"""),"1759206290785")</f>
        <v>1759206290785</v>
      </c>
      <c r="B5737" s="2"/>
      <c r="C5737" s="2" t="str">
        <v>0</v>
      </c>
      <c r="D5737" s="2"/>
      <c r="F5737" s="2" t="str">
        <v>0</v>
      </c>
      <c r="I5737" s="3" t="str">
        <f ca="1">IFERROR(__xludf.DUMMYFUNCTION("""COMPUTED_VALUE"""),"Phạm Như Quỳnh")</f>
        <v>Phạm Như Quỳnh</v>
      </c>
      <c r="J5737" s="3" t="str">
        <f ca="1">IFERROR(__xludf.DUMMYFUNCTION("""COMPUTED_VALUE"""),"0986647819")</f>
        <v>0986647819</v>
      </c>
      <c r="K5737" s="2" t="str">
        <f ca="1">IFERROR(__xludf.DUMMYFUNCTION("""COMPUTED_VALUE"""),"1759206290785")</f>
        <v>1759206290785</v>
      </c>
    </row>
    <row r="5738" spans="1:11" ht="12.45">
      <c r="A5738" s="2" t="str">
        <f ca="1">IFERROR(__xludf.DUMMYFUNCTION("""COMPUTED_VALUE"""),"1759206334853")</f>
        <v>1759206334853</v>
      </c>
      <c r="B5738" s="2"/>
      <c r="C5738" s="2" t="str">
        <v>0</v>
      </c>
      <c r="D5738" s="2"/>
      <c r="F5738" s="2" t="str">
        <v>0</v>
      </c>
      <c r="I5738" s="3" t="str">
        <f ca="1">IFERROR(__xludf.DUMMYFUNCTION("""COMPUTED_VALUE"""),"Nguyễn Thúy Hoa")</f>
        <v>Nguyễn Thúy Hoa</v>
      </c>
      <c r="J5738" s="3" t="str">
        <f ca="1">IFERROR(__xludf.DUMMYFUNCTION("""COMPUTED_VALUE"""),"0862471900")</f>
        <v>0862471900</v>
      </c>
      <c r="K5738" s="2" t="str">
        <f ca="1">IFERROR(__xludf.DUMMYFUNCTION("""COMPUTED_VALUE"""),"1759206334853")</f>
        <v>1759206334853</v>
      </c>
    </row>
    <row r="5739" spans="1:11" ht="12.45">
      <c r="A5739" s="2" t="str">
        <f ca="1">IFERROR(__xludf.DUMMYFUNCTION("""COMPUTED_VALUE"""),"1759206391165")</f>
        <v>1759206391165</v>
      </c>
      <c r="B5739" s="2"/>
      <c r="C5739" s="2" t="str">
        <v>0</v>
      </c>
      <c r="D5739" s="2"/>
      <c r="F5739" s="2" t="str">
        <v>0</v>
      </c>
      <c r="I5739" s="3" t="str">
        <f ca="1">IFERROR(__xludf.DUMMYFUNCTION("""COMPUTED_VALUE"""),"Phạm Thị Thuỳ Dương")</f>
        <v>Phạm Thị Thuỳ Dương</v>
      </c>
      <c r="J5739" s="3" t="str">
        <f ca="1">IFERROR(__xludf.DUMMYFUNCTION("""COMPUTED_VALUE"""),"0876028994")</f>
        <v>0876028994</v>
      </c>
      <c r="K5739" s="2" t="str">
        <f ca="1">IFERROR(__xludf.DUMMYFUNCTION("""COMPUTED_VALUE"""),"1759206391165")</f>
        <v>1759206391165</v>
      </c>
    </row>
    <row r="5740" spans="1:11" ht="12.45">
      <c r="A5740" s="2" t="str">
        <f ca="1">IFERROR(__xludf.DUMMYFUNCTION("""COMPUTED_VALUE"""),"1759206439658")</f>
        <v>1759206439658</v>
      </c>
      <c r="B5740" s="2"/>
      <c r="C5740" s="2" t="str">
        <v>0</v>
      </c>
      <c r="D5740" s="2"/>
      <c r="F5740" s="2" t="str">
        <v>0</v>
      </c>
      <c r="I5740" s="3" t="str">
        <f ca="1">IFERROR(__xludf.DUMMYFUNCTION("""COMPUTED_VALUE"""),"Nguyễn Tô Linh")</f>
        <v>Nguyễn Tô Linh</v>
      </c>
      <c r="J5740" s="3" t="str">
        <f ca="1">IFERROR(__xludf.DUMMYFUNCTION("""COMPUTED_VALUE"""),"0917819790")</f>
        <v>0917819790</v>
      </c>
      <c r="K5740" s="2" t="str">
        <f ca="1">IFERROR(__xludf.DUMMYFUNCTION("""COMPUTED_VALUE"""),"1759206439658")</f>
        <v>1759206439658</v>
      </c>
    </row>
    <row r="5741" spans="1:11" ht="12.45">
      <c r="A5741" s="2" t="str">
        <f ca="1">IFERROR(__xludf.DUMMYFUNCTION("""COMPUTED_VALUE"""),"1759206516173")</f>
        <v>1759206516173</v>
      </c>
      <c r="B5741" s="2"/>
      <c r="C5741" s="2" t="str">
        <v>0</v>
      </c>
      <c r="D5741" s="2"/>
      <c r="F5741" s="2" t="str">
        <v>0</v>
      </c>
      <c r="I5741" s="3" t="str">
        <f ca="1">IFERROR(__xludf.DUMMYFUNCTION("""COMPUTED_VALUE"""),"Nguyễn Ánh Nguyên")</f>
        <v>Nguyễn Ánh Nguyên</v>
      </c>
      <c r="J5741" s="3" t="str">
        <f ca="1">IFERROR(__xludf.DUMMYFUNCTION("""COMPUTED_VALUE"""),"0369648190")</f>
        <v>0369648190</v>
      </c>
      <c r="K5741" s="2" t="str">
        <f ca="1">IFERROR(__xludf.DUMMYFUNCTION("""COMPUTED_VALUE"""),"1759206516173")</f>
        <v>1759206516173</v>
      </c>
    </row>
    <row r="5742" spans="1:11" ht="12.45">
      <c r="A5742" s="2" t="str">
        <f ca="1">IFERROR(__xludf.DUMMYFUNCTION("""COMPUTED_VALUE"""),"1759206579427")</f>
        <v>1759206579427</v>
      </c>
      <c r="B5742" s="2"/>
      <c r="C5742" s="2" t="str">
        <v>0</v>
      </c>
      <c r="D5742" s="2"/>
      <c r="F5742" s="2" t="str">
        <v>0</v>
      </c>
      <c r="I5742" s="3" t="str">
        <f ca="1">IFERROR(__xludf.DUMMYFUNCTION("""COMPUTED_VALUE"""),"Trịnh Ngọc Bảo Trân")</f>
        <v>Trịnh Ngọc Bảo Trân</v>
      </c>
      <c r="J5742" s="3" t="str">
        <f ca="1">IFERROR(__xludf.DUMMYFUNCTION("""COMPUTED_VALUE"""),"0969257837")</f>
        <v>0969257837</v>
      </c>
      <c r="K5742" s="2" t="str">
        <f ca="1">IFERROR(__xludf.DUMMYFUNCTION("""COMPUTED_VALUE"""),"1759206579427")</f>
        <v>1759206579427</v>
      </c>
    </row>
    <row r="5743" spans="1:11" ht="12.45">
      <c r="A5743" s="2" t="str">
        <f ca="1">IFERROR(__xludf.DUMMYFUNCTION("""COMPUTED_VALUE"""),"1759206637799")</f>
        <v>1759206637799</v>
      </c>
      <c r="B5743" s="2"/>
      <c r="C5743" s="2" t="str">
        <v>0</v>
      </c>
      <c r="D5743" s="2"/>
      <c r="F5743" s="2" t="str">
        <v>0</v>
      </c>
      <c r="I5743" s="3" t="str">
        <f ca="1">IFERROR(__xludf.DUMMYFUNCTION("""COMPUTED_VALUE"""),"NGUYỄN THUỲ LINH")</f>
        <v>NGUYỄN THUỲ LINH</v>
      </c>
      <c r="J5743" s="3" t="str">
        <f ca="1">IFERROR(__xludf.DUMMYFUNCTION("""COMPUTED_VALUE"""),"0787236886")</f>
        <v>0787236886</v>
      </c>
      <c r="K5743" s="2" t="str">
        <f ca="1">IFERROR(__xludf.DUMMYFUNCTION("""COMPUTED_VALUE"""),"1759206637799")</f>
        <v>1759206637799</v>
      </c>
    </row>
    <row r="5744" spans="1:11" ht="12.45">
      <c r="A5744" s="2" t="str">
        <f ca="1">IFERROR(__xludf.DUMMYFUNCTION("""COMPUTED_VALUE"""),"1759206718464")</f>
        <v>1759206718464</v>
      </c>
      <c r="B5744" s="2"/>
      <c r="C5744" s="2" t="str">
        <v>0</v>
      </c>
      <c r="D5744" s="2"/>
      <c r="F5744" s="2" t="str">
        <v>0</v>
      </c>
      <c r="I5744" s="3" t="str">
        <f ca="1">IFERROR(__xludf.DUMMYFUNCTION("""COMPUTED_VALUE"""),"Nguyễn Bảo Nghi")</f>
        <v>Nguyễn Bảo Nghi</v>
      </c>
      <c r="J5744" s="3" t="str">
        <f ca="1">IFERROR(__xludf.DUMMYFUNCTION("""COMPUTED_VALUE"""),"0707010265")</f>
        <v>0707010265</v>
      </c>
      <c r="K5744" s="2" t="str">
        <f ca="1">IFERROR(__xludf.DUMMYFUNCTION("""COMPUTED_VALUE"""),"1759206718464")</f>
        <v>1759206718464</v>
      </c>
    </row>
    <row r="5745" spans="1:11" ht="12.45">
      <c r="A5745" s="2" t="str">
        <f ca="1">IFERROR(__xludf.DUMMYFUNCTION("""COMPUTED_VALUE"""),"1759206815642")</f>
        <v>1759206815642</v>
      </c>
      <c r="B5745" s="2"/>
      <c r="C5745" s="2" t="str">
        <v>0</v>
      </c>
      <c r="D5745" s="2"/>
      <c r="F5745" s="2" t="str">
        <v>0</v>
      </c>
      <c r="I5745" s="3" t="str">
        <f ca="1">IFERROR(__xludf.DUMMYFUNCTION("""COMPUTED_VALUE"""),"Lường Thị Thu Hiền")</f>
        <v>Lường Thị Thu Hiền</v>
      </c>
      <c r="J5745" s="3" t="str">
        <f ca="1">IFERROR(__xludf.DUMMYFUNCTION("""COMPUTED_VALUE"""),"0375731636")</f>
        <v>0375731636</v>
      </c>
      <c r="K5745" s="2" t="str">
        <f ca="1">IFERROR(__xludf.DUMMYFUNCTION("""COMPUTED_VALUE"""),"1759206815642")</f>
        <v>1759206815642</v>
      </c>
    </row>
    <row r="5746" spans="1:11" ht="12.45">
      <c r="A5746" s="2" t="str">
        <f ca="1">IFERROR(__xludf.DUMMYFUNCTION("""COMPUTED_VALUE"""),"1759206846166")</f>
        <v>1759206846166</v>
      </c>
      <c r="B5746" s="2"/>
      <c r="C5746" s="2" t="str">
        <v>0</v>
      </c>
      <c r="D5746" s="2"/>
      <c r="F5746" s="2" t="str">
        <v>0</v>
      </c>
      <c r="I5746" s="3" t="str">
        <f ca="1">IFERROR(__xludf.DUMMYFUNCTION("""COMPUTED_VALUE"""),"Nguyễn Thị Thiên Thảo ")</f>
        <v xml:space="preserve">Nguyễn Thị Thiên Thảo </v>
      </c>
      <c r="J5746" s="3" t="str">
        <f ca="1">IFERROR(__xludf.DUMMYFUNCTION("""COMPUTED_VALUE"""),"0972039095")</f>
        <v>0972039095</v>
      </c>
      <c r="K5746" s="2" t="str">
        <f ca="1">IFERROR(__xludf.DUMMYFUNCTION("""COMPUTED_VALUE"""),"1759206846166")</f>
        <v>1759206846166</v>
      </c>
    </row>
    <row r="5747" spans="1:11" ht="12.45">
      <c r="A5747" s="2" t="str">
        <f ca="1">IFERROR(__xludf.DUMMYFUNCTION("""COMPUTED_VALUE"""),"1759206881875")</f>
        <v>1759206881875</v>
      </c>
      <c r="B5747" s="2"/>
      <c r="C5747" s="2" t="str">
        <v>0</v>
      </c>
      <c r="D5747" s="2"/>
      <c r="F5747" s="2" t="str">
        <v>0</v>
      </c>
      <c r="I5747" s="3" t="str">
        <f ca="1">IFERROR(__xludf.DUMMYFUNCTION("""COMPUTED_VALUE"""),"Từ Minh Đức")</f>
        <v>Từ Minh Đức</v>
      </c>
      <c r="J5747" s="3" t="str">
        <f ca="1">IFERROR(__xludf.DUMMYFUNCTION("""COMPUTED_VALUE"""),"0987672621")</f>
        <v>0987672621</v>
      </c>
      <c r="K5747" s="2" t="str">
        <f ca="1">IFERROR(__xludf.DUMMYFUNCTION("""COMPUTED_VALUE"""),"1759206881875")</f>
        <v>1759206881875</v>
      </c>
    </row>
    <row r="5748" spans="1:11" ht="12.45">
      <c r="A5748" s="2" t="str">
        <f ca="1">IFERROR(__xludf.DUMMYFUNCTION("""COMPUTED_VALUE"""),"1759206920951")</f>
        <v>1759206920951</v>
      </c>
      <c r="B5748" s="2"/>
      <c r="C5748" s="2" t="str">
        <v>0</v>
      </c>
      <c r="D5748" s="2"/>
      <c r="F5748" s="2" t="str">
        <v>0</v>
      </c>
      <c r="I5748" s="3" t="str">
        <f ca="1">IFERROR(__xludf.DUMMYFUNCTION("""COMPUTED_VALUE"""),"Nguyễn Ngọc Xuân Hoa")</f>
        <v>Nguyễn Ngọc Xuân Hoa</v>
      </c>
      <c r="J5748" s="3" t="str">
        <f ca="1">IFERROR(__xludf.DUMMYFUNCTION("""COMPUTED_VALUE"""),"0769626375")</f>
        <v>0769626375</v>
      </c>
      <c r="K5748" s="2" t="str">
        <f ca="1">IFERROR(__xludf.DUMMYFUNCTION("""COMPUTED_VALUE"""),"1759206920951")</f>
        <v>1759206920951</v>
      </c>
    </row>
    <row r="5749" spans="1:11" ht="12.45">
      <c r="A5749" s="2" t="str">
        <f ca="1">IFERROR(__xludf.DUMMYFUNCTION("""COMPUTED_VALUE"""),"1759207021223")</f>
        <v>1759207021223</v>
      </c>
      <c r="B5749" s="2"/>
      <c r="C5749" s="2" t="str">
        <v>0</v>
      </c>
      <c r="D5749" s="2"/>
      <c r="F5749" s="2" t="str">
        <v>0</v>
      </c>
      <c r="I5749" s="3" t="str">
        <f ca="1">IFERROR(__xludf.DUMMYFUNCTION("""COMPUTED_VALUE"""),"Lê Hải Yến")</f>
        <v>Lê Hải Yến</v>
      </c>
      <c r="J5749" s="3" t="str">
        <f ca="1">IFERROR(__xludf.DUMMYFUNCTION("""COMPUTED_VALUE"""),"0399629913")</f>
        <v>0399629913</v>
      </c>
      <c r="K5749" s="2" t="str">
        <f ca="1">IFERROR(__xludf.DUMMYFUNCTION("""COMPUTED_VALUE"""),"1759207021223")</f>
        <v>1759207021223</v>
      </c>
    </row>
    <row r="5750" spans="1:11" ht="12.45">
      <c r="A5750" s="2" t="str">
        <f ca="1">IFERROR(__xludf.DUMMYFUNCTION("""COMPUTED_VALUE"""),"1759207093561")</f>
        <v>1759207093561</v>
      </c>
      <c r="B5750" s="2"/>
      <c r="C5750" s="2" t="str">
        <v>0</v>
      </c>
      <c r="D5750" s="2"/>
      <c r="F5750" s="2" t="str">
        <v>0</v>
      </c>
      <c r="I5750" s="3" t="str">
        <f ca="1">IFERROR(__xludf.DUMMYFUNCTION("""COMPUTED_VALUE"""),"Nguyễn Đinh Minh Châu")</f>
        <v>Nguyễn Đinh Minh Châu</v>
      </c>
      <c r="J5750" s="3" t="str">
        <f ca="1">IFERROR(__xludf.DUMMYFUNCTION("""COMPUTED_VALUE"""),"0862958592")</f>
        <v>0862958592</v>
      </c>
      <c r="K5750" s="2" t="str">
        <f ca="1">IFERROR(__xludf.DUMMYFUNCTION("""COMPUTED_VALUE"""),"1759207093561")</f>
        <v>1759207093561</v>
      </c>
    </row>
    <row r="5751" spans="1:11" ht="12.45">
      <c r="A5751" s="2" t="str">
        <f ca="1">IFERROR(__xludf.DUMMYFUNCTION("""COMPUTED_VALUE"""),"1759207177812")</f>
        <v>1759207177812</v>
      </c>
      <c r="B5751" s="2"/>
      <c r="C5751" s="2" t="str">
        <v>0</v>
      </c>
      <c r="D5751" s="2"/>
      <c r="F5751" s="2" t="str">
        <v>0</v>
      </c>
      <c r="I5751" s="3" t="str">
        <f ca="1">IFERROR(__xludf.DUMMYFUNCTION("""COMPUTED_VALUE"""),"Vũ Thị Thanh Thanh")</f>
        <v>Vũ Thị Thanh Thanh</v>
      </c>
      <c r="J5751" s="3" t="str">
        <f ca="1">IFERROR(__xludf.DUMMYFUNCTION("""COMPUTED_VALUE"""),"0398563320")</f>
        <v>0398563320</v>
      </c>
      <c r="K5751" s="2" t="str">
        <f ca="1">IFERROR(__xludf.DUMMYFUNCTION("""COMPUTED_VALUE"""),"1759207177812")</f>
        <v>1759207177812</v>
      </c>
    </row>
    <row r="5752" spans="1:11" ht="12.45">
      <c r="A5752" s="2" t="str">
        <f ca="1">IFERROR(__xludf.DUMMYFUNCTION("""COMPUTED_VALUE"""),"1759207267834")</f>
        <v>1759207267834</v>
      </c>
      <c r="B5752" s="2"/>
      <c r="C5752" s="2" t="str">
        <v>0</v>
      </c>
      <c r="D5752" s="2"/>
      <c r="F5752" s="2" t="str">
        <v>0</v>
      </c>
      <c r="I5752" s="3" t="str">
        <f ca="1">IFERROR(__xludf.DUMMYFUNCTION("""COMPUTED_VALUE"""),"Lò Văn Cường")</f>
        <v>Lò Văn Cường</v>
      </c>
      <c r="J5752" s="3" t="str">
        <f ca="1">IFERROR(__xludf.DUMMYFUNCTION("""COMPUTED_VALUE"""),"0877761766")</f>
        <v>0877761766</v>
      </c>
      <c r="K5752" s="2" t="str">
        <f ca="1">IFERROR(__xludf.DUMMYFUNCTION("""COMPUTED_VALUE"""),"1759207267834")</f>
        <v>1759207267834</v>
      </c>
    </row>
    <row r="5753" spans="1:11" ht="12.45">
      <c r="A5753" s="2" t="str">
        <f ca="1">IFERROR(__xludf.DUMMYFUNCTION("""COMPUTED_VALUE"""),"1759207318033")</f>
        <v>1759207318033</v>
      </c>
      <c r="B5753" s="2"/>
      <c r="C5753" s="2" t="str">
        <v>0</v>
      </c>
      <c r="D5753" s="2"/>
      <c r="F5753" s="2" t="str">
        <v>0</v>
      </c>
      <c r="I5753" s="3" t="str">
        <f ca="1">IFERROR(__xludf.DUMMYFUNCTION("""COMPUTED_VALUE"""),"Hoàng Hoa Hậu")</f>
        <v>Hoàng Hoa Hậu</v>
      </c>
      <c r="J5753" s="3" t="str">
        <f ca="1">IFERROR(__xludf.DUMMYFUNCTION("""COMPUTED_VALUE"""),"0372320877")</f>
        <v>0372320877</v>
      </c>
      <c r="K5753" s="2" t="str">
        <f ca="1">IFERROR(__xludf.DUMMYFUNCTION("""COMPUTED_VALUE"""),"1759207318033")</f>
        <v>1759207318033</v>
      </c>
    </row>
    <row r="5754" spans="1:11" ht="12.45">
      <c r="A5754" s="2" t="str">
        <f ca="1">IFERROR(__xludf.DUMMYFUNCTION("""COMPUTED_VALUE"""),"1759207389052")</f>
        <v>1759207389052</v>
      </c>
      <c r="B5754" s="2"/>
      <c r="C5754" s="2" t="str">
        <v>0</v>
      </c>
      <c r="D5754" s="2"/>
      <c r="F5754" s="2" t="str">
        <v>0</v>
      </c>
      <c r="I5754" s="3" t="str">
        <f ca="1">IFERROR(__xludf.DUMMYFUNCTION("""COMPUTED_VALUE"""),"Trần Thiện Như")</f>
        <v>Trần Thiện Như</v>
      </c>
      <c r="J5754" s="3" t="str">
        <f ca="1">IFERROR(__xludf.DUMMYFUNCTION("""COMPUTED_VALUE"""),"0389682920")</f>
        <v>0389682920</v>
      </c>
      <c r="K5754" s="2" t="str">
        <f ca="1">IFERROR(__xludf.DUMMYFUNCTION("""COMPUTED_VALUE"""),"1759207389052")</f>
        <v>1759207389052</v>
      </c>
    </row>
    <row r="5755" spans="1:11" ht="12.45">
      <c r="A5755" s="2" t="str">
        <f ca="1">IFERROR(__xludf.DUMMYFUNCTION("""COMPUTED_VALUE"""),"1759207532937")</f>
        <v>1759207532937</v>
      </c>
      <c r="B5755" s="2"/>
      <c r="C5755" s="2" t="str">
        <v>0</v>
      </c>
      <c r="D5755" s="2"/>
      <c r="F5755" s="2" t="str">
        <v>0</v>
      </c>
      <c r="I5755" s="3" t="str">
        <f ca="1">IFERROR(__xludf.DUMMYFUNCTION("""COMPUTED_VALUE"""),"Nguyễn Bảo Phương Ánh ")</f>
        <v xml:space="preserve">Nguyễn Bảo Phương Ánh </v>
      </c>
      <c r="J5755" s="3" t="str">
        <f ca="1">IFERROR(__xludf.DUMMYFUNCTION("""COMPUTED_VALUE"""),"0363846561")</f>
        <v>0363846561</v>
      </c>
      <c r="K5755" s="2" t="str">
        <f ca="1">IFERROR(__xludf.DUMMYFUNCTION("""COMPUTED_VALUE"""),"1759207532937")</f>
        <v>1759207532937</v>
      </c>
    </row>
    <row r="5756" spans="1:11" ht="12.45">
      <c r="A5756" s="2" t="str">
        <f ca="1">IFERROR(__xludf.DUMMYFUNCTION("""COMPUTED_VALUE"""),"1759207607642")</f>
        <v>1759207607642</v>
      </c>
      <c r="B5756" s="2"/>
      <c r="C5756" s="2" t="str">
        <v>0</v>
      </c>
      <c r="D5756" s="2"/>
      <c r="F5756" s="2" t="str">
        <v>0</v>
      </c>
      <c r="I5756" s="3" t="str">
        <f ca="1">IFERROR(__xludf.DUMMYFUNCTION("""COMPUTED_VALUE"""),"Phan Ngọc Hân ")</f>
        <v xml:space="preserve">Phan Ngọc Hân </v>
      </c>
      <c r="J5756" s="3" t="str">
        <f ca="1">IFERROR(__xludf.DUMMYFUNCTION("""COMPUTED_VALUE"""),"0869545647")</f>
        <v>0869545647</v>
      </c>
      <c r="K5756" s="2" t="str">
        <f ca="1">IFERROR(__xludf.DUMMYFUNCTION("""COMPUTED_VALUE"""),"1759207607642")</f>
        <v>1759207607642</v>
      </c>
    </row>
    <row r="5757" spans="1:11" ht="12.45">
      <c r="A5757" s="2" t="str">
        <f ca="1">IFERROR(__xludf.DUMMYFUNCTION("""COMPUTED_VALUE"""),"1759207706670")</f>
        <v>1759207706670</v>
      </c>
      <c r="B5757" s="2"/>
      <c r="C5757" s="2" t="str">
        <v>0</v>
      </c>
      <c r="D5757" s="2"/>
      <c r="F5757" s="2" t="str">
        <v>0</v>
      </c>
      <c r="I5757" s="3" t="str">
        <f ca="1">IFERROR(__xludf.DUMMYFUNCTION("""COMPUTED_VALUE"""),"LÊ NGUYỄN MINH HÀ")</f>
        <v>LÊ NGUYỄN MINH HÀ</v>
      </c>
      <c r="J5757" s="3" t="str">
        <f ca="1">IFERROR(__xludf.DUMMYFUNCTION("""COMPUTED_VALUE"""),"0858004979")</f>
        <v>0858004979</v>
      </c>
      <c r="K5757" s="2" t="str">
        <f ca="1">IFERROR(__xludf.DUMMYFUNCTION("""COMPUTED_VALUE"""),"1759207706670")</f>
        <v>1759207706670</v>
      </c>
    </row>
    <row r="5758" spans="1:11" ht="12.45">
      <c r="A5758" s="2" t="str">
        <f ca="1">IFERROR(__xludf.DUMMYFUNCTION("""COMPUTED_VALUE"""),"1759207796499")</f>
        <v>1759207796499</v>
      </c>
      <c r="B5758" s="2"/>
      <c r="C5758" s="2" t="str">
        <v>0</v>
      </c>
      <c r="D5758" s="2"/>
      <c r="F5758" s="2" t="str">
        <v>0</v>
      </c>
      <c r="I5758" s="3" t="str">
        <f ca="1">IFERROR(__xludf.DUMMYFUNCTION("""COMPUTED_VALUE"""),"Huỳnh Lê Như Phúc")</f>
        <v>Huỳnh Lê Như Phúc</v>
      </c>
      <c r="J5758" s="3" t="str">
        <f ca="1">IFERROR(__xludf.DUMMYFUNCTION("""COMPUTED_VALUE"""),"0983396710")</f>
        <v>0983396710</v>
      </c>
      <c r="K5758" s="2" t="str">
        <f ca="1">IFERROR(__xludf.DUMMYFUNCTION("""COMPUTED_VALUE"""),"1759207796499")</f>
        <v>1759207796499</v>
      </c>
    </row>
    <row r="5759" spans="1:11" ht="12.45">
      <c r="A5759" s="2" t="str">
        <f ca="1">IFERROR(__xludf.DUMMYFUNCTION("""COMPUTED_VALUE"""),"1759207850040")</f>
        <v>1759207850040</v>
      </c>
      <c r="B5759" s="2"/>
      <c r="C5759" s="2" t="str">
        <v>0</v>
      </c>
      <c r="D5759" s="2"/>
      <c r="F5759" s="2" t="str">
        <v>0</v>
      </c>
      <c r="I5759" s="3" t="str">
        <f ca="1">IFERROR(__xludf.DUMMYFUNCTION("""COMPUTED_VALUE"""),"Mai nguyễn anh thư")</f>
        <v>Mai nguyễn anh thư</v>
      </c>
      <c r="J5759" s="3" t="str">
        <f ca="1">IFERROR(__xludf.DUMMYFUNCTION("""COMPUTED_VALUE"""),"0367247221")</f>
        <v>0367247221</v>
      </c>
      <c r="K5759" s="2" t="str">
        <f ca="1">IFERROR(__xludf.DUMMYFUNCTION("""COMPUTED_VALUE"""),"1759207850040")</f>
        <v>1759207850040</v>
      </c>
    </row>
    <row r="5760" spans="1:11" ht="12.45">
      <c r="A5760" s="2" t="str">
        <f ca="1">IFERROR(__xludf.DUMMYFUNCTION("""COMPUTED_VALUE"""),"1759207917617")</f>
        <v>1759207917617</v>
      </c>
      <c r="B5760" s="2"/>
      <c r="C5760" s="2" t="str">
        <v>0</v>
      </c>
      <c r="D5760" s="2"/>
      <c r="F5760" s="2" t="str">
        <v>0</v>
      </c>
      <c r="I5760" s="3" t="str">
        <f ca="1">IFERROR(__xludf.DUMMYFUNCTION("""COMPUTED_VALUE"""),"Nguyễn Nam Phương")</f>
        <v>Nguyễn Nam Phương</v>
      </c>
      <c r="J5760" s="3" t="str">
        <f ca="1">IFERROR(__xludf.DUMMYFUNCTION("""COMPUTED_VALUE"""),"0972453660")</f>
        <v>0972453660</v>
      </c>
      <c r="K5760" s="2" t="str">
        <f ca="1">IFERROR(__xludf.DUMMYFUNCTION("""COMPUTED_VALUE"""),"1759207917617")</f>
        <v>1759207917617</v>
      </c>
    </row>
    <row r="5761" spans="1:11" ht="12.45">
      <c r="A5761" s="2" t="str">
        <f ca="1">IFERROR(__xludf.DUMMYFUNCTION("""COMPUTED_VALUE"""),"1759207967534")</f>
        <v>1759207967534</v>
      </c>
      <c r="B5761" s="2"/>
      <c r="C5761" s="2" t="str">
        <v>0</v>
      </c>
      <c r="D5761" s="2"/>
      <c r="F5761" s="2" t="str">
        <v>0</v>
      </c>
      <c r="I5761" s="3" t="str">
        <f ca="1">IFERROR(__xludf.DUMMYFUNCTION("""COMPUTED_VALUE"""),"Nguyễn Hồng Hạnh")</f>
        <v>Nguyễn Hồng Hạnh</v>
      </c>
      <c r="J5761" s="3" t="str">
        <f ca="1">IFERROR(__xludf.DUMMYFUNCTION("""COMPUTED_VALUE"""),"0388678007")</f>
        <v>0388678007</v>
      </c>
      <c r="K5761" s="2" t="str">
        <f ca="1">IFERROR(__xludf.DUMMYFUNCTION("""COMPUTED_VALUE"""),"1759207967534")</f>
        <v>1759207967534</v>
      </c>
    </row>
    <row r="5762" spans="1:11" ht="12.45">
      <c r="A5762" s="2" t="str">
        <f ca="1">IFERROR(__xludf.DUMMYFUNCTION("""COMPUTED_VALUE"""),"1759208021730")</f>
        <v>1759208021730</v>
      </c>
      <c r="B5762" s="2"/>
      <c r="C5762" s="2" t="str">
        <v>0</v>
      </c>
      <c r="D5762" s="2"/>
      <c r="F5762" s="2" t="str">
        <v>0</v>
      </c>
      <c r="I5762" s="3" t="str">
        <f ca="1">IFERROR(__xludf.DUMMYFUNCTION("""COMPUTED_VALUE"""),"Nguyễn Ngọc Trâm Anh ")</f>
        <v xml:space="preserve">Nguyễn Ngọc Trâm Anh </v>
      </c>
      <c r="J5762" s="3" t="str">
        <f ca="1">IFERROR(__xludf.DUMMYFUNCTION("""COMPUTED_VALUE"""),"0788098070")</f>
        <v>0788098070</v>
      </c>
      <c r="K5762" s="2" t="str">
        <f ca="1">IFERROR(__xludf.DUMMYFUNCTION("""COMPUTED_VALUE"""),"1759208021730")</f>
        <v>1759208021730</v>
      </c>
    </row>
    <row r="5763" spans="1:11" ht="12.45">
      <c r="A5763" s="2" t="str">
        <f ca="1">IFERROR(__xludf.DUMMYFUNCTION("""COMPUTED_VALUE"""),"1759208082454")</f>
        <v>1759208082454</v>
      </c>
      <c r="B5763" s="2"/>
      <c r="C5763" s="2" t="str">
        <v>0</v>
      </c>
      <c r="D5763" s="2"/>
      <c r="F5763" s="2" t="str">
        <v>0</v>
      </c>
      <c r="I5763" s="3" t="str">
        <f ca="1">IFERROR(__xludf.DUMMYFUNCTION("""COMPUTED_VALUE"""),"Đặng Lê Việt Hưng")</f>
        <v>Đặng Lê Việt Hưng</v>
      </c>
      <c r="J5763" s="3" t="str">
        <f ca="1">IFERROR(__xludf.DUMMYFUNCTION("""COMPUTED_VALUE"""),"0869222339")</f>
        <v>0869222339</v>
      </c>
      <c r="K5763" s="2" t="str">
        <f ca="1">IFERROR(__xludf.DUMMYFUNCTION("""COMPUTED_VALUE"""),"1759208082454")</f>
        <v>1759208082454</v>
      </c>
    </row>
    <row r="5764" spans="1:11" ht="12.45">
      <c r="A5764" s="2" t="str">
        <f ca="1">IFERROR(__xludf.DUMMYFUNCTION("""COMPUTED_VALUE"""),"1759208145129")</f>
        <v>1759208145129</v>
      </c>
      <c r="B5764" s="2"/>
      <c r="C5764" s="2" t="str">
        <v>0</v>
      </c>
      <c r="D5764" s="2"/>
      <c r="F5764" s="2" t="str">
        <v>0</v>
      </c>
      <c r="I5764" s="3" t="str">
        <f ca="1">IFERROR(__xludf.DUMMYFUNCTION("""COMPUTED_VALUE"""),"Trần Thị Ngọc Linh")</f>
        <v>Trần Thị Ngọc Linh</v>
      </c>
      <c r="J5764" s="3" t="str">
        <f ca="1">IFERROR(__xludf.DUMMYFUNCTION("""COMPUTED_VALUE"""),"0981047260")</f>
        <v>0981047260</v>
      </c>
      <c r="K5764" s="2" t="str">
        <f ca="1">IFERROR(__xludf.DUMMYFUNCTION("""COMPUTED_VALUE"""),"1759208145129")</f>
        <v>1759208145129</v>
      </c>
    </row>
    <row r="5765" spans="1:11" ht="12.45">
      <c r="A5765" s="2" t="str">
        <f ca="1">IFERROR(__xludf.DUMMYFUNCTION("""COMPUTED_VALUE"""),"1759208199069")</f>
        <v>1759208199069</v>
      </c>
      <c r="B5765" s="2"/>
      <c r="C5765" s="2" t="str">
        <v>0</v>
      </c>
      <c r="D5765" s="2"/>
      <c r="F5765" s="2" t="str">
        <v>0</v>
      </c>
      <c r="I5765" s="3" t="str">
        <f ca="1">IFERROR(__xludf.DUMMYFUNCTION("""COMPUTED_VALUE"""),"Lê Thị Phương Thảo")</f>
        <v>Lê Thị Phương Thảo</v>
      </c>
      <c r="J5765" s="3" t="str">
        <f ca="1">IFERROR(__xludf.DUMMYFUNCTION("""COMPUTED_VALUE"""),"0773899222")</f>
        <v>0773899222</v>
      </c>
      <c r="K5765" s="2" t="str">
        <f ca="1">IFERROR(__xludf.DUMMYFUNCTION("""COMPUTED_VALUE"""),"1759208199069")</f>
        <v>1759208199069</v>
      </c>
    </row>
    <row r="5766" spans="1:11" ht="12.45">
      <c r="A5766" s="2" t="str">
        <f ca="1">IFERROR(__xludf.DUMMYFUNCTION("""COMPUTED_VALUE"""),"1759208237353")</f>
        <v>1759208237353</v>
      </c>
      <c r="B5766" s="2"/>
      <c r="C5766" s="2" t="str">
        <v>0</v>
      </c>
      <c r="D5766" s="2"/>
      <c r="F5766" s="2" t="str">
        <v>0</v>
      </c>
      <c r="I5766" s="3" t="str">
        <f ca="1">IFERROR(__xludf.DUMMYFUNCTION("""COMPUTED_VALUE"""),"Nguyễn Thị Khánh Huyền ")</f>
        <v xml:space="preserve">Nguyễn Thị Khánh Huyền </v>
      </c>
      <c r="J5766" s="3" t="str">
        <f ca="1">IFERROR(__xludf.DUMMYFUNCTION("""COMPUTED_VALUE"""),"0862090454")</f>
        <v>0862090454</v>
      </c>
      <c r="K5766" s="2" t="str">
        <f ca="1">IFERROR(__xludf.DUMMYFUNCTION("""COMPUTED_VALUE"""),"1759208237353")</f>
        <v>1759208237353</v>
      </c>
    </row>
    <row r="5767" spans="1:11" ht="12.45">
      <c r="A5767" s="2" t="str">
        <f ca="1">IFERROR(__xludf.DUMMYFUNCTION("""COMPUTED_VALUE"""),"1759208290680")</f>
        <v>1759208290680</v>
      </c>
      <c r="B5767" s="2"/>
      <c r="C5767" s="2" t="str">
        <v>0</v>
      </c>
      <c r="D5767" s="2"/>
      <c r="F5767" s="2" t="str">
        <v>0</v>
      </c>
      <c r="I5767" s="3" t="str">
        <f ca="1">IFERROR(__xludf.DUMMYFUNCTION("""COMPUTED_VALUE"""),"Phạm Danh Nguyên")</f>
        <v>Phạm Danh Nguyên</v>
      </c>
      <c r="J5767" s="3" t="str">
        <f ca="1">IFERROR(__xludf.DUMMYFUNCTION("""COMPUTED_VALUE"""),"0799133585")</f>
        <v>0799133585</v>
      </c>
      <c r="K5767" s="2" t="str">
        <f ca="1">IFERROR(__xludf.DUMMYFUNCTION("""COMPUTED_VALUE"""),"1759208290680")</f>
        <v>1759208290680</v>
      </c>
    </row>
    <row r="5768" spans="1:11" ht="12.45">
      <c r="A5768" s="2" t="str">
        <f ca="1">IFERROR(__xludf.DUMMYFUNCTION("""COMPUTED_VALUE"""),"1759208370091")</f>
        <v>1759208370091</v>
      </c>
      <c r="B5768" s="2"/>
      <c r="C5768" s="2" t="str">
        <v>0</v>
      </c>
      <c r="D5768" s="2"/>
      <c r="F5768" s="2" t="str">
        <v>0</v>
      </c>
      <c r="I5768" s="3" t="str">
        <f ca="1">IFERROR(__xludf.DUMMYFUNCTION("""COMPUTED_VALUE"""),"Lê Trần Kim Hoàng ")</f>
        <v xml:space="preserve">Lê Trần Kim Hoàng </v>
      </c>
      <c r="J5768" s="3" t="str">
        <f ca="1">IFERROR(__xludf.DUMMYFUNCTION("""COMPUTED_VALUE"""),"0919721180")</f>
        <v>0919721180</v>
      </c>
      <c r="K5768" s="2" t="str">
        <f ca="1">IFERROR(__xludf.DUMMYFUNCTION("""COMPUTED_VALUE"""),"1759208370091")</f>
        <v>1759208370091</v>
      </c>
    </row>
    <row r="5769" spans="1:11" ht="12.45">
      <c r="A5769" s="2" t="str">
        <f ca="1">IFERROR(__xludf.DUMMYFUNCTION("""COMPUTED_VALUE"""),"1759208437163")</f>
        <v>1759208437163</v>
      </c>
      <c r="B5769" s="2"/>
      <c r="C5769" s="2" t="str">
        <v>0</v>
      </c>
      <c r="D5769" s="2"/>
      <c r="F5769" s="2" t="str">
        <v>0</v>
      </c>
      <c r="I5769" s="3" t="str">
        <f ca="1">IFERROR(__xludf.DUMMYFUNCTION("""COMPUTED_VALUE"""),"Bùi Thị Hồng Phương ")</f>
        <v xml:space="preserve">Bùi Thị Hồng Phương </v>
      </c>
      <c r="J5769" s="3" t="str">
        <f ca="1">IFERROR(__xludf.DUMMYFUNCTION("""COMPUTED_VALUE"""),"0343190436")</f>
        <v>0343190436</v>
      </c>
      <c r="K5769" s="2" t="str">
        <f ca="1">IFERROR(__xludf.DUMMYFUNCTION("""COMPUTED_VALUE"""),"1759208437163")</f>
        <v>1759208437163</v>
      </c>
    </row>
    <row r="5770" spans="1:11" ht="12.45">
      <c r="A5770" s="2" t="str">
        <f ca="1">IFERROR(__xludf.DUMMYFUNCTION("""COMPUTED_VALUE"""),"1759208481833")</f>
        <v>1759208481833</v>
      </c>
      <c r="B5770" s="2"/>
      <c r="C5770" s="2" t="str">
        <v>0</v>
      </c>
      <c r="D5770" s="2"/>
      <c r="F5770" s="2" t="str">
        <v>0</v>
      </c>
      <c r="I5770" s="3" t="str">
        <f ca="1">IFERROR(__xludf.DUMMYFUNCTION("""COMPUTED_VALUE"""),"Nguyễn Ngọc Nguyên Phương")</f>
        <v>Nguyễn Ngọc Nguyên Phương</v>
      </c>
      <c r="J5770" s="3" t="str">
        <f ca="1">IFERROR(__xludf.DUMMYFUNCTION("""COMPUTED_VALUE"""),"8488860237")</f>
        <v>8488860237</v>
      </c>
      <c r="K5770" s="2" t="str">
        <f ca="1">IFERROR(__xludf.DUMMYFUNCTION("""COMPUTED_VALUE"""),"1759208481833")</f>
        <v>1759208481833</v>
      </c>
    </row>
    <row r="5771" spans="1:11" ht="12.45">
      <c r="A5771" s="2" t="str">
        <f ca="1">IFERROR(__xludf.DUMMYFUNCTION("""COMPUTED_VALUE"""),"1759208551030")</f>
        <v>1759208551030</v>
      </c>
      <c r="B5771" s="2"/>
      <c r="C5771" s="2" t="str">
        <v>0</v>
      </c>
      <c r="D5771" s="2"/>
      <c r="F5771" s="2" t="str">
        <v>0</v>
      </c>
      <c r="I5771" s="3" t="str">
        <f ca="1">IFERROR(__xludf.DUMMYFUNCTION("""COMPUTED_VALUE"""),"Đỗ Thị Kim Xuyến ")</f>
        <v xml:space="preserve">Đỗ Thị Kim Xuyến </v>
      </c>
      <c r="J5771" s="3" t="str">
        <f ca="1">IFERROR(__xludf.DUMMYFUNCTION("""COMPUTED_VALUE"""),"0813747786")</f>
        <v>0813747786</v>
      </c>
      <c r="K5771" s="2" t="str">
        <f ca="1">IFERROR(__xludf.DUMMYFUNCTION("""COMPUTED_VALUE"""),"1759208551030")</f>
        <v>1759208551030</v>
      </c>
    </row>
    <row r="5772" spans="1:11" ht="12.45">
      <c r="A5772" s="2" t="str">
        <f ca="1">IFERROR(__xludf.DUMMYFUNCTION("""COMPUTED_VALUE"""),"1759208633999")</f>
        <v>1759208633999</v>
      </c>
      <c r="B5772" s="2"/>
      <c r="C5772" s="2" t="str">
        <v>0</v>
      </c>
      <c r="D5772" s="2"/>
      <c r="F5772" s="2" t="str">
        <v>0</v>
      </c>
      <c r="I5772" s="3" t="str">
        <f ca="1">IFERROR(__xludf.DUMMYFUNCTION("""COMPUTED_VALUE"""),"Phan Đỗ Yến Nhi")</f>
        <v>Phan Đỗ Yến Nhi</v>
      </c>
      <c r="J5772" s="3" t="str">
        <f ca="1">IFERROR(__xludf.DUMMYFUNCTION("""COMPUTED_VALUE"""),"0357404360")</f>
        <v>0357404360</v>
      </c>
      <c r="K5772" s="2" t="str">
        <f ca="1">IFERROR(__xludf.DUMMYFUNCTION("""COMPUTED_VALUE"""),"1759208633999")</f>
        <v>1759208633999</v>
      </c>
    </row>
    <row r="5773" spans="1:11" ht="12.45">
      <c r="A5773" s="2" t="str">
        <f ca="1">IFERROR(__xludf.DUMMYFUNCTION("""COMPUTED_VALUE"""),"1759208709823")</f>
        <v>1759208709823</v>
      </c>
      <c r="B5773" s="2"/>
      <c r="C5773" s="2" t="str">
        <v>0</v>
      </c>
      <c r="D5773" s="2"/>
      <c r="F5773" s="2" t="str">
        <v>0</v>
      </c>
      <c r="I5773" s="3" t="str">
        <f ca="1">IFERROR(__xludf.DUMMYFUNCTION("""COMPUTED_VALUE"""),"Phùng Cẩm Ly")</f>
        <v>Phùng Cẩm Ly</v>
      </c>
      <c r="J5773" s="3" t="str">
        <f ca="1">IFERROR(__xludf.DUMMYFUNCTION("""COMPUTED_VALUE"""),"0975104499")</f>
        <v>0975104499</v>
      </c>
      <c r="K5773" s="2" t="str">
        <f ca="1">IFERROR(__xludf.DUMMYFUNCTION("""COMPUTED_VALUE"""),"1759208709823")</f>
        <v>1759208709823</v>
      </c>
    </row>
    <row r="5774" spans="1:11" ht="12.45">
      <c r="A5774" s="2" t="str">
        <f ca="1">IFERROR(__xludf.DUMMYFUNCTION("""COMPUTED_VALUE"""),"1759208781767")</f>
        <v>1759208781767</v>
      </c>
      <c r="B5774" s="2"/>
      <c r="C5774" s="2" t="str">
        <v>0</v>
      </c>
      <c r="D5774" s="2"/>
      <c r="F5774" s="2" t="str">
        <v>0</v>
      </c>
      <c r="I5774" s="3" t="str">
        <f ca="1">IFERROR(__xludf.DUMMYFUNCTION("""COMPUTED_VALUE"""),"Tào Thị Quỳnh Trang ")</f>
        <v xml:space="preserve">Tào Thị Quỳnh Trang </v>
      </c>
      <c r="J5774" s="3" t="str">
        <f ca="1">IFERROR(__xludf.DUMMYFUNCTION("""COMPUTED_VALUE"""),"8494147585")</f>
        <v>8494147585</v>
      </c>
      <c r="K5774" s="2" t="str">
        <f ca="1">IFERROR(__xludf.DUMMYFUNCTION("""COMPUTED_VALUE"""),"1759208781767")</f>
        <v>1759208781767</v>
      </c>
    </row>
    <row r="5775" spans="1:11" ht="12.45">
      <c r="A5775" s="2" t="str">
        <f ca="1">IFERROR(__xludf.DUMMYFUNCTION("""COMPUTED_VALUE"""),"Không giao sách")</f>
        <v>Không giao sách</v>
      </c>
      <c r="B5775" s="2"/>
      <c r="C5775" s="2" t="str">
        <v>0</v>
      </c>
      <c r="D5775" s="2"/>
      <c r="F5775" s="2" t="str">
        <v>0</v>
      </c>
      <c r="I5775" s="3" t="str">
        <f ca="1">IFERROR(__xludf.DUMMYFUNCTION("""COMPUTED_VALUE"""),"Hoàng thị khánh linh")</f>
        <v>Hoàng thị khánh linh</v>
      </c>
      <c r="J5775" s="3" t="str">
        <f ca="1">IFERROR(__xludf.DUMMYFUNCTION("""COMPUTED_VALUE"""),"0774348536")</f>
        <v>0774348536</v>
      </c>
      <c r="K5775" s="2" t="str">
        <f ca="1">IFERROR(__xludf.DUMMYFUNCTION("""COMPUTED_VALUE"""),"Không giao sách")</f>
        <v>Không giao sách</v>
      </c>
    </row>
    <row r="5776" spans="1:11" ht="12.45">
      <c r="A5776" s="2" t="str">
        <f ca="1">IFERROR(__xludf.DUMMYFUNCTION("""COMPUTED_VALUE"""),"1759208829465")</f>
        <v>1759208829465</v>
      </c>
      <c r="B5776" s="2"/>
      <c r="C5776" s="2" t="str">
        <v>0</v>
      </c>
      <c r="D5776" s="2"/>
      <c r="F5776" s="2" t="str">
        <v>0</v>
      </c>
      <c r="I5776" s="3" t="str">
        <f ca="1">IFERROR(__xludf.DUMMYFUNCTION("""COMPUTED_VALUE"""),"Khúc Minh Vi ")</f>
        <v xml:space="preserve">Khúc Minh Vi </v>
      </c>
      <c r="J5776" s="3" t="str">
        <f ca="1">IFERROR(__xludf.DUMMYFUNCTION("""COMPUTED_VALUE"""),"0927044280")</f>
        <v>0927044280</v>
      </c>
      <c r="K5776" s="2" t="str">
        <f ca="1">IFERROR(__xludf.DUMMYFUNCTION("""COMPUTED_VALUE"""),"1759208829465")</f>
        <v>1759208829465</v>
      </c>
    </row>
    <row r="5777" spans="1:11" ht="12.45">
      <c r="A5777" s="2" t="str">
        <f ca="1">IFERROR(__xludf.DUMMYFUNCTION("""COMPUTED_VALUE"""),"1759208877900")</f>
        <v>1759208877900</v>
      </c>
      <c r="B5777" s="2"/>
      <c r="C5777" s="2" t="str">
        <v>0</v>
      </c>
      <c r="D5777" s="2"/>
      <c r="F5777" s="2" t="str">
        <v>0</v>
      </c>
      <c r="I5777" s="3" t="str">
        <f ca="1">IFERROR(__xludf.DUMMYFUNCTION("""COMPUTED_VALUE"""),"Đặng Quang Phước")</f>
        <v>Đặng Quang Phước</v>
      </c>
      <c r="J5777" s="3" t="str">
        <f ca="1">IFERROR(__xludf.DUMMYFUNCTION("""COMPUTED_VALUE"""),"0989742835")</f>
        <v>0989742835</v>
      </c>
      <c r="K5777" s="2" t="str">
        <f ca="1">IFERROR(__xludf.DUMMYFUNCTION("""COMPUTED_VALUE"""),"1759208877900")</f>
        <v>1759208877900</v>
      </c>
    </row>
    <row r="5778" spans="1:11" ht="12.45">
      <c r="A5778" s="2" t="str">
        <f ca="1">IFERROR(__xludf.DUMMYFUNCTION("""COMPUTED_VALUE"""),"1759208942731")</f>
        <v>1759208942731</v>
      </c>
      <c r="B5778" s="2"/>
      <c r="C5778" s="2" t="str">
        <v>0</v>
      </c>
      <c r="D5778" s="2"/>
      <c r="F5778" s="2" t="str">
        <v>0</v>
      </c>
      <c r="I5778" s="3" t="str">
        <f ca="1">IFERROR(__xludf.DUMMYFUNCTION("""COMPUTED_VALUE"""),"Trần thị hoài ")</f>
        <v xml:space="preserve">Trần thị hoài </v>
      </c>
      <c r="J5778" s="3" t="str">
        <f ca="1">IFERROR(__xludf.DUMMYFUNCTION("""COMPUTED_VALUE"""),"0867675758")</f>
        <v>0867675758</v>
      </c>
      <c r="K5778" s="2" t="str">
        <f ca="1">IFERROR(__xludf.DUMMYFUNCTION("""COMPUTED_VALUE"""),"1759208942731")</f>
        <v>1759208942731</v>
      </c>
    </row>
    <row r="5779" spans="1:11" ht="12.45">
      <c r="A5779" s="2" t="str">
        <f ca="1">IFERROR(__xludf.DUMMYFUNCTION("""COMPUTED_VALUE"""),"1759209031987")</f>
        <v>1759209031987</v>
      </c>
      <c r="B5779" s="2"/>
      <c r="C5779" s="2" t="str">
        <v>0</v>
      </c>
      <c r="D5779" s="2"/>
      <c r="F5779" s="2" t="str">
        <v>0</v>
      </c>
      <c r="I5779" s="3" t="str">
        <f ca="1">IFERROR(__xludf.DUMMYFUNCTION("""COMPUTED_VALUE"""),"Đặng ngọc khánh")</f>
        <v>Đặng ngọc khánh</v>
      </c>
      <c r="J5779" s="3" t="str">
        <f ca="1">IFERROR(__xludf.DUMMYFUNCTION("""COMPUTED_VALUE"""),"0921987997")</f>
        <v>0921987997</v>
      </c>
      <c r="K5779" s="2" t="str">
        <f ca="1">IFERROR(__xludf.DUMMYFUNCTION("""COMPUTED_VALUE"""),"1759209031987")</f>
        <v>1759209031987</v>
      </c>
    </row>
    <row r="5780" spans="1:11" ht="12.45">
      <c r="A5780" s="2" t="str">
        <f ca="1">IFERROR(__xludf.DUMMYFUNCTION("""COMPUTED_VALUE"""),"1759209067553")</f>
        <v>1759209067553</v>
      </c>
      <c r="B5780" s="2"/>
      <c r="C5780" s="2" t="str">
        <v>0</v>
      </c>
      <c r="D5780" s="2"/>
      <c r="F5780" s="2" t="str">
        <v>0</v>
      </c>
      <c r="I5780" s="3" t="str">
        <f ca="1">IFERROR(__xludf.DUMMYFUNCTION("""COMPUTED_VALUE"""),"Đặng Trương Ái Quỳnh")</f>
        <v>Đặng Trương Ái Quỳnh</v>
      </c>
      <c r="J5780" s="3" t="str">
        <f ca="1">IFERROR(__xludf.DUMMYFUNCTION("""COMPUTED_VALUE"""),"0911559579")</f>
        <v>0911559579</v>
      </c>
      <c r="K5780" s="2" t="str">
        <f ca="1">IFERROR(__xludf.DUMMYFUNCTION("""COMPUTED_VALUE"""),"1759209067553")</f>
        <v>1759209067553</v>
      </c>
    </row>
    <row r="5781" spans="1:11" ht="12.45">
      <c r="A5781" s="2" t="str">
        <f ca="1">IFERROR(__xludf.DUMMYFUNCTION("""COMPUTED_VALUE"""),"1759209105812")</f>
        <v>1759209105812</v>
      </c>
      <c r="B5781" s="2"/>
      <c r="C5781" s="2" t="str">
        <v>0</v>
      </c>
      <c r="D5781" s="2"/>
      <c r="F5781" s="2" t="str">
        <v>0</v>
      </c>
      <c r="I5781" s="3" t="str">
        <f ca="1">IFERROR(__xludf.DUMMYFUNCTION("""COMPUTED_VALUE"""),"Hoàng Kiều Oanh")</f>
        <v>Hoàng Kiều Oanh</v>
      </c>
      <c r="J5781" s="3" t="str">
        <f ca="1">IFERROR(__xludf.DUMMYFUNCTION("""COMPUTED_VALUE"""),"0388294176")</f>
        <v>0388294176</v>
      </c>
      <c r="K5781" s="2" t="str">
        <f ca="1">IFERROR(__xludf.DUMMYFUNCTION("""COMPUTED_VALUE"""),"1759209105812")</f>
        <v>1759209105812</v>
      </c>
    </row>
    <row r="5782" spans="1:11" ht="12.45">
      <c r="A5782" s="2" t="str">
        <f ca="1">IFERROR(__xludf.DUMMYFUNCTION("""COMPUTED_VALUE"""),"1759209146610")</f>
        <v>1759209146610</v>
      </c>
      <c r="B5782" s="2"/>
      <c r="C5782" s="2" t="str">
        <v>0</v>
      </c>
      <c r="D5782" s="2"/>
      <c r="F5782" s="2" t="str">
        <v>0</v>
      </c>
      <c r="I5782" s="3" t="str">
        <f ca="1">IFERROR(__xludf.DUMMYFUNCTION("""COMPUTED_VALUE"""),"Thi Thị Thu")</f>
        <v>Thi Thị Thu</v>
      </c>
      <c r="J5782" s="3" t="str">
        <f ca="1">IFERROR(__xludf.DUMMYFUNCTION("""COMPUTED_VALUE"""),"0911462122")</f>
        <v>0911462122</v>
      </c>
      <c r="K5782" s="2" t="str">
        <f ca="1">IFERROR(__xludf.DUMMYFUNCTION("""COMPUTED_VALUE"""),"1759209146610")</f>
        <v>1759209146610</v>
      </c>
    </row>
    <row r="5783" spans="1:11" ht="12.45">
      <c r="A5783" s="2" t="str">
        <f ca="1">IFERROR(__xludf.DUMMYFUNCTION("""COMPUTED_VALUE"""),"1759209188993")</f>
        <v>1759209188993</v>
      </c>
      <c r="B5783" s="2"/>
      <c r="C5783" s="2" t="str">
        <v>0</v>
      </c>
      <c r="D5783" s="2"/>
      <c r="F5783" s="2" t="str">
        <v>0</v>
      </c>
      <c r="I5783" s="3" t="str">
        <f ca="1">IFERROR(__xludf.DUMMYFUNCTION("""COMPUTED_VALUE"""),"Ngô Thị Mỹ Linh ")</f>
        <v xml:space="preserve">Ngô Thị Mỹ Linh </v>
      </c>
      <c r="J5783" s="3" t="str">
        <f ca="1">IFERROR(__xludf.DUMMYFUNCTION("""COMPUTED_VALUE"""),"0981563432")</f>
        <v>0981563432</v>
      </c>
      <c r="K5783" s="2" t="str">
        <f ca="1">IFERROR(__xludf.DUMMYFUNCTION("""COMPUTED_VALUE"""),"1759209188993")</f>
        <v>1759209188993</v>
      </c>
    </row>
    <row r="5784" spans="1:11" ht="12.45">
      <c r="A5784" s="2" t="str">
        <f ca="1">IFERROR(__xludf.DUMMYFUNCTION("""COMPUTED_VALUE"""),"1759209241122")</f>
        <v>1759209241122</v>
      </c>
      <c r="B5784" s="2"/>
      <c r="C5784" s="2" t="str">
        <v>0</v>
      </c>
      <c r="D5784" s="2"/>
      <c r="F5784" s="2" t="str">
        <v>0</v>
      </c>
      <c r="I5784" s="3" t="str">
        <f ca="1">IFERROR(__xludf.DUMMYFUNCTION("""COMPUTED_VALUE"""),"Nguyễn Trâm Anh")</f>
        <v>Nguyễn Trâm Anh</v>
      </c>
      <c r="J5784" s="3" t="str">
        <f ca="1">IFERROR(__xludf.DUMMYFUNCTION("""COMPUTED_VALUE"""),"0942762051")</f>
        <v>0942762051</v>
      </c>
      <c r="K5784" s="2" t="str">
        <f ca="1">IFERROR(__xludf.DUMMYFUNCTION("""COMPUTED_VALUE"""),"1759209241122")</f>
        <v>1759209241122</v>
      </c>
    </row>
    <row r="5785" spans="1:11" ht="12.45">
      <c r="A5785" s="2" t="str">
        <f ca="1">IFERROR(__xludf.DUMMYFUNCTION("""COMPUTED_VALUE"""),"1759209295305")</f>
        <v>1759209295305</v>
      </c>
      <c r="B5785" s="2"/>
      <c r="C5785" s="2" t="str">
        <v>0</v>
      </c>
      <c r="D5785" s="2"/>
      <c r="F5785" s="2" t="str">
        <v>0</v>
      </c>
      <c r="I5785" s="3" t="str">
        <f ca="1">IFERROR(__xludf.DUMMYFUNCTION("""COMPUTED_VALUE"""),"Nguyễn Ngọc Như Quỳnh ")</f>
        <v xml:space="preserve">Nguyễn Ngọc Như Quỳnh </v>
      </c>
      <c r="J5785" s="3" t="str">
        <f ca="1">IFERROR(__xludf.DUMMYFUNCTION("""COMPUTED_VALUE"""),"0377463914")</f>
        <v>0377463914</v>
      </c>
      <c r="K5785" s="2" t="str">
        <f ca="1">IFERROR(__xludf.DUMMYFUNCTION("""COMPUTED_VALUE"""),"1759209295305")</f>
        <v>1759209295305</v>
      </c>
    </row>
    <row r="5786" spans="1:11" ht="12.45">
      <c r="A5786" s="2" t="str">
        <f ca="1">IFERROR(__xludf.DUMMYFUNCTION("""COMPUTED_VALUE"""),"1759209327526")</f>
        <v>1759209327526</v>
      </c>
      <c r="B5786" s="2"/>
      <c r="C5786" s="2" t="str">
        <v>0</v>
      </c>
      <c r="D5786" s="2"/>
      <c r="F5786" s="2" t="str">
        <v>0</v>
      </c>
      <c r="I5786" s="3" t="str">
        <f ca="1">IFERROR(__xludf.DUMMYFUNCTION("""COMPUTED_VALUE"""),"Nguyễn Thị Kiều Trang")</f>
        <v>Nguyễn Thị Kiều Trang</v>
      </c>
      <c r="J5786" s="3" t="str">
        <f ca="1">IFERROR(__xludf.DUMMYFUNCTION("""COMPUTED_VALUE"""),"0368032895")</f>
        <v>0368032895</v>
      </c>
      <c r="K5786" s="2" t="str">
        <f ca="1">IFERROR(__xludf.DUMMYFUNCTION("""COMPUTED_VALUE"""),"1759209327526")</f>
        <v>1759209327526</v>
      </c>
    </row>
    <row r="5787" spans="1:11" ht="12.45">
      <c r="A5787" s="2" t="str">
        <f ca="1">IFERROR(__xludf.DUMMYFUNCTION("""COMPUTED_VALUE"""),"1759209369213")</f>
        <v>1759209369213</v>
      </c>
      <c r="B5787" s="2"/>
      <c r="C5787" s="2" t="str">
        <v>0</v>
      </c>
      <c r="D5787" s="2"/>
      <c r="F5787" s="2" t="str">
        <v>0</v>
      </c>
      <c r="I5787" s="3" t="str">
        <f ca="1">IFERROR(__xludf.DUMMYFUNCTION("""COMPUTED_VALUE"""),"Nguyễn thị thuý ngân")</f>
        <v>Nguyễn thị thuý ngân</v>
      </c>
      <c r="J5787" s="3" t="str">
        <f ca="1">IFERROR(__xludf.DUMMYFUNCTION("""COMPUTED_VALUE"""),"0942276275")</f>
        <v>0942276275</v>
      </c>
      <c r="K5787" s="2" t="str">
        <f ca="1">IFERROR(__xludf.DUMMYFUNCTION("""COMPUTED_VALUE"""),"1759209369213")</f>
        <v>1759209369213</v>
      </c>
    </row>
    <row r="5788" spans="1:11" ht="12.45">
      <c r="A5788" s="2" t="str">
        <f ca="1">IFERROR(__xludf.DUMMYFUNCTION("""COMPUTED_VALUE"""),"1759536575926")</f>
        <v>1759536575926</v>
      </c>
      <c r="B5788" s="2"/>
      <c r="C5788" s="2" t="str">
        <v>0</v>
      </c>
      <c r="D5788" s="2"/>
      <c r="F5788" s="2" t="str">
        <v>0</v>
      </c>
      <c r="I5788" s="3" t="str">
        <f ca="1">IFERROR(__xludf.DUMMYFUNCTION("""COMPUTED_VALUE"""),"Đặng Trần Phương Nhi")</f>
        <v>Đặng Trần Phương Nhi</v>
      </c>
      <c r="J5788" s="3" t="str">
        <f ca="1">IFERROR(__xludf.DUMMYFUNCTION("""COMPUTED_VALUE"""),"0917077327")</f>
        <v>0917077327</v>
      </c>
      <c r="K5788" s="2" t="str">
        <f ca="1">IFERROR(__xludf.DUMMYFUNCTION("""COMPUTED_VALUE"""),"1759536575926")</f>
        <v>1759536575926</v>
      </c>
    </row>
    <row r="5789" spans="1:11" ht="12.45">
      <c r="A5789" s="2" t="str">
        <f ca="1">IFERROR(__xludf.DUMMYFUNCTION("""COMPUTED_VALUE"""),"1759536672513")</f>
        <v>1759536672513</v>
      </c>
      <c r="B5789" s="2"/>
      <c r="C5789" s="2" t="str">
        <v>0</v>
      </c>
      <c r="D5789" s="2"/>
      <c r="F5789" s="2" t="str">
        <v>0</v>
      </c>
      <c r="I5789" s="3" t="str">
        <f ca="1">IFERROR(__xludf.DUMMYFUNCTION("""COMPUTED_VALUE"""),"Trương Diễm Quỳnh")</f>
        <v>Trương Diễm Quỳnh</v>
      </c>
      <c r="J5789" s="3" t="str">
        <f ca="1">IFERROR(__xludf.DUMMYFUNCTION("""COMPUTED_VALUE"""),"0348962170")</f>
        <v>0348962170</v>
      </c>
      <c r="K5789" s="2" t="str">
        <f ca="1">IFERROR(__xludf.DUMMYFUNCTION("""COMPUTED_VALUE"""),"1759536672513")</f>
        <v>1759536672513</v>
      </c>
    </row>
    <row r="5790" spans="1:11" ht="12.45">
      <c r="A5790" s="2" t="str">
        <f ca="1">IFERROR(__xludf.DUMMYFUNCTION("""COMPUTED_VALUE"""),"1759536763557")</f>
        <v>1759536763557</v>
      </c>
      <c r="B5790" s="2"/>
      <c r="C5790" s="2" t="str">
        <v>0</v>
      </c>
      <c r="D5790" s="2"/>
      <c r="F5790" s="2" t="str">
        <v>0</v>
      </c>
      <c r="I5790" s="3" t="str">
        <f ca="1">IFERROR(__xludf.DUMMYFUNCTION("""COMPUTED_VALUE"""),"Sơn Hà Thiên Thanh")</f>
        <v>Sơn Hà Thiên Thanh</v>
      </c>
      <c r="J5790" s="3" t="str">
        <f ca="1">IFERROR(__xludf.DUMMYFUNCTION("""COMPUTED_VALUE"""),"0947870408")</f>
        <v>0947870408</v>
      </c>
      <c r="K5790" s="2" t="str">
        <f ca="1">IFERROR(__xludf.DUMMYFUNCTION("""COMPUTED_VALUE"""),"1759536763557")</f>
        <v>1759536763557</v>
      </c>
    </row>
    <row r="5791" spans="1:11" ht="12.45">
      <c r="A5791" s="2" t="str">
        <f ca="1">IFERROR(__xludf.DUMMYFUNCTION("""COMPUTED_VALUE"""),"1759536836869")</f>
        <v>1759536836869</v>
      </c>
      <c r="B5791" s="2"/>
      <c r="C5791" s="2" t="str">
        <v>0</v>
      </c>
      <c r="D5791" s="2"/>
      <c r="F5791" s="2" t="str">
        <v>0</v>
      </c>
      <c r="I5791" s="3" t="str">
        <f ca="1">IFERROR(__xludf.DUMMYFUNCTION("""COMPUTED_VALUE"""),"Hồ Bá Quân")</f>
        <v>Hồ Bá Quân</v>
      </c>
      <c r="J5791" s="3" t="str">
        <f ca="1">IFERROR(__xludf.DUMMYFUNCTION("""COMPUTED_VALUE"""),"0865065258")</f>
        <v>0865065258</v>
      </c>
      <c r="K5791" s="2" t="str">
        <f ca="1">IFERROR(__xludf.DUMMYFUNCTION("""COMPUTED_VALUE"""),"1759536836869")</f>
        <v>1759536836869</v>
      </c>
    </row>
    <row r="5792" spans="1:11" ht="12.45">
      <c r="A5792" s="2" t="str">
        <f ca="1">IFERROR(__xludf.DUMMYFUNCTION("""COMPUTED_VALUE"""),"1759536891843")</f>
        <v>1759536891843</v>
      </c>
      <c r="B5792" s="2"/>
      <c r="C5792" s="2" t="str">
        <v>0</v>
      </c>
      <c r="D5792" s="2"/>
      <c r="F5792" s="2" t="str">
        <v>0</v>
      </c>
      <c r="I5792" s="3" t="str">
        <f ca="1">IFERROR(__xludf.DUMMYFUNCTION("""COMPUTED_VALUE"""),"Lê Thị Thúy Vi ")</f>
        <v xml:space="preserve">Lê Thị Thúy Vi </v>
      </c>
      <c r="J5792" s="3" t="str">
        <f ca="1">IFERROR(__xludf.DUMMYFUNCTION("""COMPUTED_VALUE"""),"0707457080")</f>
        <v>0707457080</v>
      </c>
      <c r="K5792" s="2" t="str">
        <f ca="1">IFERROR(__xludf.DUMMYFUNCTION("""COMPUTED_VALUE"""),"1759536891843")</f>
        <v>1759536891843</v>
      </c>
    </row>
    <row r="5793" spans="1:11" ht="12.45">
      <c r="A5793" s="2" t="str">
        <f ca="1">IFERROR(__xludf.DUMMYFUNCTION("""COMPUTED_VALUE"""),"1759536950429")</f>
        <v>1759536950429</v>
      </c>
      <c r="B5793" s="2"/>
      <c r="C5793" s="2" t="str">
        <v>0</v>
      </c>
      <c r="D5793" s="2"/>
      <c r="F5793" s="2" t="str">
        <v>0</v>
      </c>
      <c r="I5793" s="3" t="str">
        <f ca="1">IFERROR(__xludf.DUMMYFUNCTION("""COMPUTED_VALUE"""),"Hùynh Thùy Ngọc Ánh")</f>
        <v>Hùynh Thùy Ngọc Ánh</v>
      </c>
      <c r="J5793" s="3" t="str">
        <f ca="1">IFERROR(__xludf.DUMMYFUNCTION("""COMPUTED_VALUE"""),"0987127874")</f>
        <v>0987127874</v>
      </c>
      <c r="K5793" s="2" t="str">
        <f ca="1">IFERROR(__xludf.DUMMYFUNCTION("""COMPUTED_VALUE"""),"1759536950429")</f>
        <v>1759536950429</v>
      </c>
    </row>
    <row r="5794" spans="1:11" ht="12.45">
      <c r="A5794" s="2" t="str">
        <f ca="1">IFERROR(__xludf.DUMMYFUNCTION("""COMPUTED_VALUE"""),"1759537039021")</f>
        <v>1759537039021</v>
      </c>
      <c r="B5794" s="2"/>
      <c r="C5794" s="2" t="str">
        <v>0</v>
      </c>
      <c r="D5794" s="2"/>
      <c r="F5794" s="2" t="str">
        <v>0</v>
      </c>
      <c r="I5794" s="3" t="str">
        <f ca="1">IFERROR(__xludf.DUMMYFUNCTION("""COMPUTED_VALUE"""),"Đinh Thị Bích Phương ")</f>
        <v xml:space="preserve">Đinh Thị Bích Phương </v>
      </c>
      <c r="J5794" s="3" t="str">
        <f ca="1">IFERROR(__xludf.DUMMYFUNCTION("""COMPUTED_VALUE"""),"0378243958")</f>
        <v>0378243958</v>
      </c>
      <c r="K5794" s="2" t="str">
        <f ca="1">IFERROR(__xludf.DUMMYFUNCTION("""COMPUTED_VALUE"""),"1759537039021")</f>
        <v>1759537039021</v>
      </c>
    </row>
    <row r="5795" spans="1:11" ht="12.45">
      <c r="A5795" s="2" t="str">
        <f ca="1">IFERROR(__xludf.DUMMYFUNCTION("""COMPUTED_VALUE"""),"1759537174859")</f>
        <v>1759537174859</v>
      </c>
      <c r="B5795" s="2"/>
      <c r="C5795" s="2" t="str">
        <v>0</v>
      </c>
      <c r="D5795" s="2"/>
      <c r="F5795" s="2" t="str">
        <v>0</v>
      </c>
      <c r="I5795" s="3" t="str">
        <f ca="1">IFERROR(__xludf.DUMMYFUNCTION("""COMPUTED_VALUE"""),"Đinh Thuỳ Dương")</f>
        <v>Đinh Thuỳ Dương</v>
      </c>
      <c r="J5795" s="3" t="str">
        <f ca="1">IFERROR(__xludf.DUMMYFUNCTION("""COMPUTED_VALUE"""),"0776218758")</f>
        <v>0776218758</v>
      </c>
      <c r="K5795" s="2" t="str">
        <f ca="1">IFERROR(__xludf.DUMMYFUNCTION("""COMPUTED_VALUE"""),"1759537174859")</f>
        <v>1759537174859</v>
      </c>
    </row>
    <row r="5796" spans="1:11" ht="12.45">
      <c r="A5796" s="2" t="str">
        <f ca="1">IFERROR(__xludf.DUMMYFUNCTION("""COMPUTED_VALUE"""),"1759537245267")</f>
        <v>1759537245267</v>
      </c>
      <c r="B5796" s="2"/>
      <c r="C5796" s="2" t="str">
        <v>0</v>
      </c>
      <c r="D5796" s="2"/>
      <c r="F5796" s="2" t="str">
        <v>0</v>
      </c>
      <c r="I5796" s="3" t="str">
        <f ca="1">IFERROR(__xludf.DUMMYFUNCTION("""COMPUTED_VALUE"""),"Ngô Thị Minh Tâm")</f>
        <v>Ngô Thị Minh Tâm</v>
      </c>
      <c r="J5796" s="3" t="str">
        <f ca="1">IFERROR(__xludf.DUMMYFUNCTION("""COMPUTED_VALUE"""),"0983100425")</f>
        <v>0983100425</v>
      </c>
      <c r="K5796" s="2" t="str">
        <f ca="1">IFERROR(__xludf.DUMMYFUNCTION("""COMPUTED_VALUE"""),"1759537245267")</f>
        <v>1759537245267</v>
      </c>
    </row>
    <row r="5797" spans="1:11" ht="12.45">
      <c r="A5797" s="2" t="str">
        <f ca="1">IFERROR(__xludf.DUMMYFUNCTION("""COMPUTED_VALUE"""),"1759537333770")</f>
        <v>1759537333770</v>
      </c>
      <c r="B5797" s="2"/>
      <c r="C5797" s="2" t="str">
        <v>0</v>
      </c>
      <c r="D5797" s="2"/>
      <c r="F5797" s="2" t="str">
        <v>0</v>
      </c>
      <c r="I5797" s="3" t="str">
        <f ca="1">IFERROR(__xludf.DUMMYFUNCTION("""COMPUTED_VALUE"""),"Nguyễn Ngọc Anh Thư")</f>
        <v>Nguyễn Ngọc Anh Thư</v>
      </c>
      <c r="J5797" s="3" t="str">
        <f ca="1">IFERROR(__xludf.DUMMYFUNCTION("""COMPUTED_VALUE"""),"0898075661")</f>
        <v>0898075661</v>
      </c>
      <c r="K5797" s="2" t="str">
        <f ca="1">IFERROR(__xludf.DUMMYFUNCTION("""COMPUTED_VALUE"""),"1759537333770")</f>
        <v>1759537333770</v>
      </c>
    </row>
    <row r="5798" spans="1:11" ht="12.45">
      <c r="A5798" s="2" t="str">
        <f ca="1">IFERROR(__xludf.DUMMYFUNCTION("""COMPUTED_VALUE"""),"1759537397571")</f>
        <v>1759537397571</v>
      </c>
      <c r="B5798" s="2"/>
      <c r="C5798" s="2" t="str">
        <v>0</v>
      </c>
      <c r="D5798" s="2"/>
      <c r="F5798" s="2" t="str">
        <v>0</v>
      </c>
      <c r="I5798" s="3" t="str">
        <f ca="1">IFERROR(__xludf.DUMMYFUNCTION("""COMPUTED_VALUE"""),"Nguyễn Thanh Tuyết")</f>
        <v>Nguyễn Thanh Tuyết</v>
      </c>
      <c r="J5798" s="3" t="str">
        <f ca="1">IFERROR(__xludf.DUMMYFUNCTION("""COMPUTED_VALUE"""),"0799192804")</f>
        <v>0799192804</v>
      </c>
      <c r="K5798" s="2" t="str">
        <f ca="1">IFERROR(__xludf.DUMMYFUNCTION("""COMPUTED_VALUE"""),"1759537397571")</f>
        <v>1759537397571</v>
      </c>
    </row>
    <row r="5799" spans="1:11" ht="12.45">
      <c r="A5799" s="2" t="str">
        <f ca="1">IFERROR(__xludf.DUMMYFUNCTION("""COMPUTED_VALUE"""),"Không giao sách")</f>
        <v>Không giao sách</v>
      </c>
      <c r="B5799" s="2"/>
      <c r="C5799" s="2" t="str">
        <v>0</v>
      </c>
      <c r="D5799" s="2"/>
      <c r="F5799" s="2" t="str">
        <v>0</v>
      </c>
      <c r="I5799" s="3" t="str">
        <f ca="1">IFERROR(__xludf.DUMMYFUNCTION("""COMPUTED_VALUE"""),"VÕ THU HIỀN")</f>
        <v>VÕ THU HIỀN</v>
      </c>
      <c r="J5799" s="3" t="str">
        <f ca="1">IFERROR(__xludf.DUMMYFUNCTION("""COMPUTED_VALUE"""),"0376801938")</f>
        <v>0376801938</v>
      </c>
      <c r="K5799" s="2" t="str">
        <f ca="1">IFERROR(__xludf.DUMMYFUNCTION("""COMPUTED_VALUE"""),"Không giao sách")</f>
        <v>Không giao sách</v>
      </c>
    </row>
    <row r="5800" spans="1:11" ht="12.45">
      <c r="A5800" s="2" t="str">
        <f ca="1">IFERROR(__xludf.DUMMYFUNCTION("""COMPUTED_VALUE"""),"1759537461725")</f>
        <v>1759537461725</v>
      </c>
      <c r="B5800" s="2"/>
      <c r="C5800" s="2" t="str">
        <v>0</v>
      </c>
      <c r="D5800" s="2"/>
      <c r="F5800" s="2" t="str">
        <v>0</v>
      </c>
      <c r="I5800" s="3" t="str">
        <f ca="1">IFERROR(__xludf.DUMMYFUNCTION("""COMPUTED_VALUE"""),"Đặng Thị Kim Ngân")</f>
        <v>Đặng Thị Kim Ngân</v>
      </c>
      <c r="J5800" s="3" t="str">
        <f ca="1">IFERROR(__xludf.DUMMYFUNCTION("""COMPUTED_VALUE"""),"0983103221")</f>
        <v>0983103221</v>
      </c>
      <c r="K5800" s="2" t="str">
        <f ca="1">IFERROR(__xludf.DUMMYFUNCTION("""COMPUTED_VALUE"""),"1759537461725")</f>
        <v>1759537461725</v>
      </c>
    </row>
    <row r="5801" spans="1:11" ht="12.45">
      <c r="A5801" s="2" t="str">
        <f ca="1">IFERROR(__xludf.DUMMYFUNCTION("""COMPUTED_VALUE"""),"1759537522456")</f>
        <v>1759537522456</v>
      </c>
      <c r="B5801" s="2"/>
      <c r="C5801" s="2" t="str">
        <v>0</v>
      </c>
      <c r="D5801" s="2"/>
      <c r="F5801" s="2" t="str">
        <v>0</v>
      </c>
      <c r="I5801" s="3" t="str">
        <f ca="1">IFERROR(__xludf.DUMMYFUNCTION("""COMPUTED_VALUE"""),"Lê Thu Huyền")</f>
        <v>Lê Thu Huyền</v>
      </c>
      <c r="J5801" s="3" t="str">
        <f ca="1">IFERROR(__xludf.DUMMYFUNCTION("""COMPUTED_VALUE"""),"0842077912")</f>
        <v>0842077912</v>
      </c>
      <c r="K5801" s="2" t="str">
        <f ca="1">IFERROR(__xludf.DUMMYFUNCTION("""COMPUTED_VALUE"""),"1759537522456")</f>
        <v>1759537522456</v>
      </c>
    </row>
    <row r="5802" spans="1:11" ht="12.45">
      <c r="A5802" s="2" t="str">
        <f ca="1">IFERROR(__xludf.DUMMYFUNCTION("""COMPUTED_VALUE"""),"1759537631694")</f>
        <v>1759537631694</v>
      </c>
      <c r="B5802" s="2"/>
      <c r="C5802" s="2" t="str">
        <v>0</v>
      </c>
      <c r="D5802" s="2"/>
      <c r="F5802" s="2" t="str">
        <v>0</v>
      </c>
      <c r="I5802" s="3" t="str">
        <f ca="1">IFERROR(__xludf.DUMMYFUNCTION("""COMPUTED_VALUE"""),"Lê nhật quyên")</f>
        <v>Lê nhật quyên</v>
      </c>
      <c r="J5802" s="3" t="str">
        <f ca="1">IFERROR(__xludf.DUMMYFUNCTION("""COMPUTED_VALUE"""),"0398164742")</f>
        <v>0398164742</v>
      </c>
      <c r="K5802" s="2" t="str">
        <f ca="1">IFERROR(__xludf.DUMMYFUNCTION("""COMPUTED_VALUE"""),"1759537631694")</f>
        <v>1759537631694</v>
      </c>
    </row>
    <row r="5803" spans="1:11" ht="12.45">
      <c r="A5803" s="2" t="str">
        <f ca="1">IFERROR(__xludf.DUMMYFUNCTION("""COMPUTED_VALUE"""),"1759537747073")</f>
        <v>1759537747073</v>
      </c>
      <c r="B5803" s="2"/>
      <c r="C5803" s="2" t="str">
        <v>0</v>
      </c>
      <c r="D5803" s="2"/>
      <c r="F5803" s="2" t="str">
        <v>0</v>
      </c>
      <c r="I5803" s="3" t="str">
        <f ca="1">IFERROR(__xludf.DUMMYFUNCTION("""COMPUTED_VALUE"""),"Nguyễn Như Ngọc")</f>
        <v>Nguyễn Như Ngọc</v>
      </c>
      <c r="J5803" s="3" t="str">
        <f ca="1">IFERROR(__xludf.DUMMYFUNCTION("""COMPUTED_VALUE"""),"0585040980")</f>
        <v>0585040980</v>
      </c>
      <c r="K5803" s="2" t="str">
        <f ca="1">IFERROR(__xludf.DUMMYFUNCTION("""COMPUTED_VALUE"""),"1759537747073")</f>
        <v>1759537747073</v>
      </c>
    </row>
    <row r="5804" spans="1:11" ht="12.45">
      <c r="A5804" s="2" t="str">
        <f ca="1">IFERROR(__xludf.DUMMYFUNCTION("""COMPUTED_VALUE"""),"1759537842754")</f>
        <v>1759537842754</v>
      </c>
      <c r="B5804" s="2"/>
      <c r="C5804" s="2" t="str">
        <v>0</v>
      </c>
      <c r="D5804" s="2"/>
      <c r="F5804" s="2" t="str">
        <v>0</v>
      </c>
      <c r="I5804" s="3" t="str">
        <f ca="1">IFERROR(__xludf.DUMMYFUNCTION("""COMPUTED_VALUE"""),"Trần Thị Ngọc Mai")</f>
        <v>Trần Thị Ngọc Mai</v>
      </c>
      <c r="J5804" s="3" t="str">
        <f ca="1">IFERROR(__xludf.DUMMYFUNCTION("""COMPUTED_VALUE"""),"0968282904")</f>
        <v>0968282904</v>
      </c>
      <c r="K5804" s="2" t="str">
        <f ca="1">IFERROR(__xludf.DUMMYFUNCTION("""COMPUTED_VALUE"""),"1759537842754")</f>
        <v>1759537842754</v>
      </c>
    </row>
    <row r="5805" spans="1:11" ht="12.45">
      <c r="A5805" s="2" t="str">
        <f ca="1">IFERROR(__xludf.DUMMYFUNCTION("""COMPUTED_VALUE"""),"1759537942240")</f>
        <v>1759537942240</v>
      </c>
      <c r="B5805" s="2"/>
      <c r="C5805" s="2" t="str">
        <v>0</v>
      </c>
      <c r="D5805" s="2"/>
      <c r="F5805" s="2" t="str">
        <v>0</v>
      </c>
      <c r="I5805" s="3" t="str">
        <f ca="1">IFERROR(__xludf.DUMMYFUNCTION("""COMPUTED_VALUE"""),"Phạm Tố Uyên")</f>
        <v>Phạm Tố Uyên</v>
      </c>
      <c r="J5805" s="3" t="str">
        <f ca="1">IFERROR(__xludf.DUMMYFUNCTION("""COMPUTED_VALUE"""),"0364222314")</f>
        <v>0364222314</v>
      </c>
      <c r="K5805" s="2" t="str">
        <f ca="1">IFERROR(__xludf.DUMMYFUNCTION("""COMPUTED_VALUE"""),"1759537942240")</f>
        <v>1759537942240</v>
      </c>
    </row>
    <row r="5806" spans="1:11" ht="12.45">
      <c r="A5806" s="2" t="str">
        <f ca="1">IFERROR(__xludf.DUMMYFUNCTION("""COMPUTED_VALUE"""),"1759538033261")</f>
        <v>1759538033261</v>
      </c>
      <c r="B5806" s="2"/>
      <c r="C5806" s="2" t="str">
        <v>0</v>
      </c>
      <c r="D5806" s="2"/>
      <c r="F5806" s="2" t="str">
        <v>0</v>
      </c>
      <c r="I5806" s="3" t="str">
        <f ca="1">IFERROR(__xludf.DUMMYFUNCTION("""COMPUTED_VALUE"""),"Nguyễn Thị Ánh Mơ ")</f>
        <v xml:space="preserve">Nguyễn Thị Ánh Mơ </v>
      </c>
      <c r="J5806" s="3" t="str">
        <f ca="1">IFERROR(__xludf.DUMMYFUNCTION("""COMPUTED_VALUE"""),"0352554624")</f>
        <v>0352554624</v>
      </c>
      <c r="K5806" s="2" t="str">
        <f ca="1">IFERROR(__xludf.DUMMYFUNCTION("""COMPUTED_VALUE"""),"1759538033261")</f>
        <v>1759538033261</v>
      </c>
    </row>
    <row r="5807" spans="1:11" ht="12.45">
      <c r="A5807" s="2" t="str">
        <f ca="1">IFERROR(__xludf.DUMMYFUNCTION("""COMPUTED_VALUE"""),"1759538131215")</f>
        <v>1759538131215</v>
      </c>
      <c r="B5807" s="2"/>
      <c r="C5807" s="2" t="str">
        <v>0</v>
      </c>
      <c r="D5807" s="2"/>
      <c r="F5807" s="2" t="str">
        <v>0</v>
      </c>
      <c r="I5807" s="3" t="str">
        <f ca="1">IFERROR(__xludf.DUMMYFUNCTION("""COMPUTED_VALUE"""),"Lê Ánh Dương")</f>
        <v>Lê Ánh Dương</v>
      </c>
      <c r="J5807" s="3" t="str">
        <f ca="1">IFERROR(__xludf.DUMMYFUNCTION("""COMPUTED_VALUE"""),"0378854124")</f>
        <v>0378854124</v>
      </c>
      <c r="K5807" s="2" t="str">
        <f ca="1">IFERROR(__xludf.DUMMYFUNCTION("""COMPUTED_VALUE"""),"1759538131215")</f>
        <v>1759538131215</v>
      </c>
    </row>
    <row r="5808" spans="1:11" ht="12.45">
      <c r="A5808" s="2" t="str">
        <f ca="1">IFERROR(__xludf.DUMMYFUNCTION("""COMPUTED_VALUE"""),"1759538194713")</f>
        <v>1759538194713</v>
      </c>
      <c r="B5808" s="2"/>
      <c r="C5808" s="2" t="str">
        <v>0</v>
      </c>
      <c r="D5808" s="2"/>
      <c r="F5808" s="2" t="str">
        <v>0</v>
      </c>
      <c r="I5808" s="3" t="str">
        <f ca="1">IFERROR(__xludf.DUMMYFUNCTION("""COMPUTED_VALUE"""),"Nguyễn Đặng Hoài Ngọc ")</f>
        <v xml:space="preserve">Nguyễn Đặng Hoài Ngọc </v>
      </c>
      <c r="J5808" s="3" t="str">
        <f ca="1">IFERROR(__xludf.DUMMYFUNCTION("""COMPUTED_VALUE"""),"0346003489")</f>
        <v>0346003489</v>
      </c>
      <c r="K5808" s="2" t="str">
        <f ca="1">IFERROR(__xludf.DUMMYFUNCTION("""COMPUTED_VALUE"""),"1759538194713")</f>
        <v>1759538194713</v>
      </c>
    </row>
    <row r="5809" spans="1:11" ht="12.45">
      <c r="A5809" s="2" t="str">
        <f ca="1">IFERROR(__xludf.DUMMYFUNCTION("""COMPUTED_VALUE"""),"1759538268880")</f>
        <v>1759538268880</v>
      </c>
      <c r="B5809" s="2"/>
      <c r="C5809" s="2" t="str">
        <v>0</v>
      </c>
      <c r="D5809" s="2"/>
      <c r="F5809" s="2" t="str">
        <v>0</v>
      </c>
      <c r="I5809" s="3" t="str">
        <f ca="1">IFERROR(__xludf.DUMMYFUNCTION("""COMPUTED_VALUE"""),"Nguyễn Thái Hiếu ")</f>
        <v xml:space="preserve">Nguyễn Thái Hiếu </v>
      </c>
      <c r="J5809" s="3" t="str">
        <f ca="1">IFERROR(__xludf.DUMMYFUNCTION("""COMPUTED_VALUE"""),"0398495202")</f>
        <v>0398495202</v>
      </c>
      <c r="K5809" s="2" t="str">
        <f ca="1">IFERROR(__xludf.DUMMYFUNCTION("""COMPUTED_VALUE"""),"1759538268880")</f>
        <v>1759538268880</v>
      </c>
    </row>
    <row r="5810" spans="1:11" ht="12.45">
      <c r="A5810" s="2" t="str">
        <f ca="1">IFERROR(__xludf.DUMMYFUNCTION("""COMPUTED_VALUE"""),"1759538348891")</f>
        <v>1759538348891</v>
      </c>
      <c r="B5810" s="2"/>
      <c r="C5810" s="2" t="str">
        <v>0</v>
      </c>
      <c r="D5810" s="2"/>
      <c r="F5810" s="2" t="str">
        <v>0</v>
      </c>
      <c r="I5810" s="3" t="str">
        <f ca="1">IFERROR(__xludf.DUMMYFUNCTION("""COMPUTED_VALUE"""),"Nguyễn Thị Thu Hằng")</f>
        <v>Nguyễn Thị Thu Hằng</v>
      </c>
      <c r="J5810" s="3" t="str">
        <f ca="1">IFERROR(__xludf.DUMMYFUNCTION("""COMPUTED_VALUE"""),"0936349725")</f>
        <v>0936349725</v>
      </c>
      <c r="K5810" s="2" t="str">
        <f ca="1">IFERROR(__xludf.DUMMYFUNCTION("""COMPUTED_VALUE"""),"1759538348891")</f>
        <v>1759538348891</v>
      </c>
    </row>
    <row r="5811" spans="1:11" ht="12.45">
      <c r="A5811" s="2" t="str">
        <f ca="1">IFERROR(__xludf.DUMMYFUNCTION("""COMPUTED_VALUE"""),"1759538406942")</f>
        <v>1759538406942</v>
      </c>
      <c r="B5811" s="2"/>
      <c r="C5811" s="2" t="str">
        <v>0</v>
      </c>
      <c r="D5811" s="2"/>
      <c r="F5811" s="2" t="str">
        <v>0</v>
      </c>
      <c r="I5811" s="3" t="str">
        <f ca="1">IFERROR(__xludf.DUMMYFUNCTION("""COMPUTED_VALUE"""),"Đỗ Ngọc Mai Thy")</f>
        <v>Đỗ Ngọc Mai Thy</v>
      </c>
      <c r="J5811" s="3" t="str">
        <f ca="1">IFERROR(__xludf.DUMMYFUNCTION("""COMPUTED_VALUE"""),"0774879770")</f>
        <v>0774879770</v>
      </c>
      <c r="K5811" s="2" t="str">
        <f ca="1">IFERROR(__xludf.DUMMYFUNCTION("""COMPUTED_VALUE"""),"1759538406942")</f>
        <v>1759538406942</v>
      </c>
    </row>
    <row r="5812" spans="1:11" ht="12.45">
      <c r="A5812" s="2" t="str">
        <f ca="1">IFERROR(__xludf.DUMMYFUNCTION("""COMPUTED_VALUE"""),"Không giao sách")</f>
        <v>Không giao sách</v>
      </c>
      <c r="B5812" s="2"/>
      <c r="C5812" s="2" t="str">
        <v>0</v>
      </c>
      <c r="D5812" s="2"/>
      <c r="F5812" s="2" t="str">
        <v>0</v>
      </c>
      <c r="I5812" s="3" t="str">
        <f ca="1">IFERROR(__xludf.DUMMYFUNCTION("""COMPUTED_VALUE"""),"Đinh Kim Huệ")</f>
        <v>Đinh Kim Huệ</v>
      </c>
      <c r="J5812" s="3" t="str">
        <f ca="1">IFERROR(__xludf.DUMMYFUNCTION("""COMPUTED_VALUE"""),"0938703552")</f>
        <v>0938703552</v>
      </c>
      <c r="K5812" s="2" t="str">
        <f ca="1">IFERROR(__xludf.DUMMYFUNCTION("""COMPUTED_VALUE"""),"Không giao sách")</f>
        <v>Không giao sách</v>
      </c>
    </row>
    <row r="5813" spans="1:11" ht="12.45">
      <c r="A5813" s="2" t="str">
        <f ca="1">IFERROR(__xludf.DUMMYFUNCTION("""COMPUTED_VALUE"""),"1759538514349")</f>
        <v>1759538514349</v>
      </c>
      <c r="B5813" s="2"/>
      <c r="C5813" s="2" t="str">
        <v>0</v>
      </c>
      <c r="D5813" s="2"/>
      <c r="F5813" s="2" t="str">
        <v>0</v>
      </c>
      <c r="I5813" s="3" t="str">
        <f ca="1">IFERROR(__xludf.DUMMYFUNCTION("""COMPUTED_VALUE"""),"Nguyễn Lê Phú Thành ")</f>
        <v xml:space="preserve">Nguyễn Lê Phú Thành </v>
      </c>
      <c r="J5813" s="3" t="str">
        <f ca="1">IFERROR(__xludf.DUMMYFUNCTION("""COMPUTED_VALUE"""),"0812008827")</f>
        <v>0812008827</v>
      </c>
      <c r="K5813" s="2" t="str">
        <f ca="1">IFERROR(__xludf.DUMMYFUNCTION("""COMPUTED_VALUE"""),"1759538514349")</f>
        <v>1759538514349</v>
      </c>
    </row>
    <row r="5814" spans="1:11" ht="12.45">
      <c r="A5814" s="2" t="str">
        <f ca="1">IFERROR(__xludf.DUMMYFUNCTION("""COMPUTED_VALUE"""),"Không giao sách")</f>
        <v>Không giao sách</v>
      </c>
      <c r="B5814" s="2"/>
      <c r="C5814" s="2" t="str">
        <v>0</v>
      </c>
      <c r="D5814" s="2"/>
      <c r="F5814" s="2" t="str">
        <v>0</v>
      </c>
      <c r="I5814" s="3" t="str">
        <f ca="1">IFERROR(__xludf.DUMMYFUNCTION("""COMPUTED_VALUE"""),"Đỗ Nguyễn Kiều Trang ")</f>
        <v xml:space="preserve">Đỗ Nguyễn Kiều Trang </v>
      </c>
      <c r="J5814" s="3" t="str">
        <f ca="1">IFERROR(__xludf.DUMMYFUNCTION("""COMPUTED_VALUE"""),"0987420013")</f>
        <v>0987420013</v>
      </c>
      <c r="K5814" s="2" t="str">
        <f ca="1">IFERROR(__xludf.DUMMYFUNCTION("""COMPUTED_VALUE"""),"Không giao sách")</f>
        <v>Không giao sách</v>
      </c>
    </row>
    <row r="5815" spans="1:11" ht="12.45">
      <c r="A5815" s="2" t="str">
        <f ca="1">IFERROR(__xludf.DUMMYFUNCTION("""COMPUTED_VALUE"""),"1759538577134")</f>
        <v>1759538577134</v>
      </c>
      <c r="B5815" s="2"/>
      <c r="C5815" s="2" t="str">
        <v>0</v>
      </c>
      <c r="D5815" s="2"/>
      <c r="F5815" s="2" t="str">
        <v>0</v>
      </c>
      <c r="I5815" s="3" t="str">
        <f ca="1">IFERROR(__xludf.DUMMYFUNCTION("""COMPUTED_VALUE"""),"Nguyễn Thị Kiều Trang ")</f>
        <v xml:space="preserve">Nguyễn Thị Kiều Trang </v>
      </c>
      <c r="J5815" s="3" t="str">
        <f ca="1">IFERROR(__xludf.DUMMYFUNCTION("""COMPUTED_VALUE"""),"0862939633")</f>
        <v>0862939633</v>
      </c>
      <c r="K5815" s="2" t="str">
        <f ca="1">IFERROR(__xludf.DUMMYFUNCTION("""COMPUTED_VALUE"""),"1759538577134")</f>
        <v>1759538577134</v>
      </c>
    </row>
    <row r="5816" spans="1:11" ht="12.45">
      <c r="A5816" s="2" t="str">
        <f ca="1">IFERROR(__xludf.DUMMYFUNCTION("""COMPUTED_VALUE"""),"1759538669073")</f>
        <v>1759538669073</v>
      </c>
      <c r="B5816" s="2"/>
      <c r="C5816" s="2" t="str">
        <v>0</v>
      </c>
      <c r="D5816" s="2"/>
      <c r="F5816" s="2" t="str">
        <v>0</v>
      </c>
      <c r="I5816" s="3" t="str">
        <f ca="1">IFERROR(__xludf.DUMMYFUNCTION("""COMPUTED_VALUE"""),"Hoàng Thị Thanh ")</f>
        <v xml:space="preserve">Hoàng Thị Thanh </v>
      </c>
      <c r="J5816" s="3" t="str">
        <f ca="1">IFERROR(__xludf.DUMMYFUNCTION("""COMPUTED_VALUE"""),"0989849051")</f>
        <v>0989849051</v>
      </c>
      <c r="K5816" s="2" t="str">
        <f ca="1">IFERROR(__xludf.DUMMYFUNCTION("""COMPUTED_VALUE"""),"1759538669073")</f>
        <v>1759538669073</v>
      </c>
    </row>
    <row r="5817" spans="1:11" ht="12.45">
      <c r="A5817" s="2" t="str">
        <f ca="1">IFERROR(__xludf.DUMMYFUNCTION("""COMPUTED_VALUE"""),"1759538714678")</f>
        <v>1759538714678</v>
      </c>
      <c r="B5817" s="2"/>
      <c r="C5817" s="2" t="str">
        <v>0</v>
      </c>
      <c r="D5817" s="2"/>
      <c r="F5817" s="2" t="str">
        <v>0</v>
      </c>
      <c r="I5817" s="3" t="str">
        <f ca="1">IFERROR(__xludf.DUMMYFUNCTION("""COMPUTED_VALUE"""),"Hồ Thị Thúy Lan")</f>
        <v>Hồ Thị Thúy Lan</v>
      </c>
      <c r="J5817" s="3" t="str">
        <f ca="1">IFERROR(__xludf.DUMMYFUNCTION("""COMPUTED_VALUE"""),"0356406786")</f>
        <v>0356406786</v>
      </c>
      <c r="K5817" s="2" t="str">
        <f ca="1">IFERROR(__xludf.DUMMYFUNCTION("""COMPUTED_VALUE"""),"1759538714678")</f>
        <v>1759538714678</v>
      </c>
    </row>
    <row r="5818" spans="1:11" ht="12.45">
      <c r="A5818" s="2" t="str">
        <f ca="1">IFERROR(__xludf.DUMMYFUNCTION("""COMPUTED_VALUE"""),"1759538802285")</f>
        <v>1759538802285</v>
      </c>
      <c r="B5818" s="2"/>
      <c r="C5818" s="2" t="str">
        <v>0</v>
      </c>
      <c r="D5818" s="2"/>
      <c r="F5818" s="2" t="str">
        <v>0</v>
      </c>
      <c r="I5818" s="3" t="str">
        <f ca="1">IFERROR(__xludf.DUMMYFUNCTION("""COMPUTED_VALUE"""),"Phạm Nguyễn Thùy Trang")</f>
        <v>Phạm Nguyễn Thùy Trang</v>
      </c>
      <c r="J5818" s="3" t="str">
        <f ca="1">IFERROR(__xludf.DUMMYFUNCTION("""COMPUTED_VALUE"""),"0337527044")</f>
        <v>0337527044</v>
      </c>
      <c r="K5818" s="2" t="str">
        <f ca="1">IFERROR(__xludf.DUMMYFUNCTION("""COMPUTED_VALUE"""),"1759538802285")</f>
        <v>1759538802285</v>
      </c>
    </row>
    <row r="5819" spans="1:11" ht="12.45">
      <c r="A5819" s="2" t="str">
        <f ca="1">IFERROR(__xludf.DUMMYFUNCTION("""COMPUTED_VALUE"""),"1759538859353")</f>
        <v>1759538859353</v>
      </c>
      <c r="B5819" s="2"/>
      <c r="C5819" s="2" t="str">
        <v>0</v>
      </c>
      <c r="D5819" s="2"/>
      <c r="F5819" s="2" t="str">
        <v>0</v>
      </c>
      <c r="I5819" s="3" t="str">
        <f ca="1">IFERROR(__xludf.DUMMYFUNCTION("""COMPUTED_VALUE"""),"Đoàn Mai Anh")</f>
        <v>Đoàn Mai Anh</v>
      </c>
      <c r="J5819" s="3" t="str">
        <f ca="1">IFERROR(__xludf.DUMMYFUNCTION("""COMPUTED_VALUE"""),"0328090084")</f>
        <v>0328090084</v>
      </c>
      <c r="K5819" s="2" t="str">
        <f ca="1">IFERROR(__xludf.DUMMYFUNCTION("""COMPUTED_VALUE"""),"1759538859353")</f>
        <v>1759538859353</v>
      </c>
    </row>
    <row r="5820" spans="1:11" ht="12.45">
      <c r="A5820" s="2" t="str">
        <f ca="1">IFERROR(__xludf.DUMMYFUNCTION("""COMPUTED_VALUE"""),"1759538926634")</f>
        <v>1759538926634</v>
      </c>
      <c r="B5820" s="2"/>
      <c r="C5820" s="2" t="str">
        <v>0</v>
      </c>
      <c r="D5820" s="2"/>
      <c r="F5820" s="2" t="str">
        <v>0</v>
      </c>
      <c r="I5820" s="3" t="str">
        <f ca="1">IFERROR(__xludf.DUMMYFUNCTION("""COMPUTED_VALUE"""),"Đặng Thu Hiền")</f>
        <v>Đặng Thu Hiền</v>
      </c>
      <c r="J5820" s="3" t="str">
        <f ca="1">IFERROR(__xludf.DUMMYFUNCTION("""COMPUTED_VALUE"""),"0963329548")</f>
        <v>0963329548</v>
      </c>
      <c r="K5820" s="2" t="str">
        <f ca="1">IFERROR(__xludf.DUMMYFUNCTION("""COMPUTED_VALUE"""),"1759538926634")</f>
        <v>1759538926634</v>
      </c>
    </row>
    <row r="5821" spans="1:11" ht="12.45">
      <c r="A5821" s="2" t="str">
        <f ca="1">IFERROR(__xludf.DUMMYFUNCTION("""COMPUTED_VALUE"""),"1759538993722")</f>
        <v>1759538993722</v>
      </c>
      <c r="B5821" s="2"/>
      <c r="C5821" s="2" t="str">
        <v>0</v>
      </c>
      <c r="D5821" s="2"/>
      <c r="F5821" s="2" t="str">
        <v>0</v>
      </c>
      <c r="I5821" s="3" t="str">
        <f ca="1">IFERROR(__xludf.DUMMYFUNCTION("""COMPUTED_VALUE"""),"Lục Thượng Dũng")</f>
        <v>Lục Thượng Dũng</v>
      </c>
      <c r="J5821" s="3" t="str">
        <f ca="1">IFERROR(__xludf.DUMMYFUNCTION("""COMPUTED_VALUE"""),"0398564185")</f>
        <v>0398564185</v>
      </c>
      <c r="K5821" s="2" t="str">
        <f ca="1">IFERROR(__xludf.DUMMYFUNCTION("""COMPUTED_VALUE"""),"1759538993722")</f>
        <v>1759538993722</v>
      </c>
    </row>
    <row r="5822" spans="1:11" ht="12.45">
      <c r="A5822" s="2" t="str">
        <f ca="1">IFERROR(__xludf.DUMMYFUNCTION("""COMPUTED_VALUE"""),"1759539082030")</f>
        <v>1759539082030</v>
      </c>
      <c r="B5822" s="2"/>
      <c r="C5822" s="2" t="str">
        <v>0</v>
      </c>
      <c r="D5822" s="2"/>
      <c r="F5822" s="2" t="str">
        <v>0</v>
      </c>
      <c r="I5822" s="3" t="str">
        <f ca="1">IFERROR(__xludf.DUMMYFUNCTION("""COMPUTED_VALUE"""),"Đặng Thị Hồng Minh")</f>
        <v>Đặng Thị Hồng Minh</v>
      </c>
      <c r="J5822" s="3" t="str">
        <f ca="1">IFERROR(__xludf.DUMMYFUNCTION("""COMPUTED_VALUE"""),"0867752232")</f>
        <v>0867752232</v>
      </c>
      <c r="K5822" s="2" t="str">
        <f ca="1">IFERROR(__xludf.DUMMYFUNCTION("""COMPUTED_VALUE"""),"1759539082030")</f>
        <v>1759539082030</v>
      </c>
    </row>
    <row r="5823" spans="1:11" ht="12.45">
      <c r="A5823" s="2" t="str">
        <f ca="1">IFERROR(__xludf.DUMMYFUNCTION("""COMPUTED_VALUE"""),"1759539125281")</f>
        <v>1759539125281</v>
      </c>
      <c r="B5823" s="2"/>
      <c r="C5823" s="2" t="str">
        <v>0</v>
      </c>
      <c r="D5823" s="2"/>
      <c r="F5823" s="2" t="str">
        <v>0</v>
      </c>
      <c r="I5823" s="3" t="str">
        <f ca="1">IFERROR(__xludf.DUMMYFUNCTION("""COMPUTED_VALUE"""),"Trần tiến đạt ")</f>
        <v xml:space="preserve">Trần tiến đạt </v>
      </c>
      <c r="J5823" s="3" t="str">
        <f ca="1">IFERROR(__xludf.DUMMYFUNCTION("""COMPUTED_VALUE"""),"0349361855")</f>
        <v>0349361855</v>
      </c>
      <c r="K5823" s="2" t="str">
        <f ca="1">IFERROR(__xludf.DUMMYFUNCTION("""COMPUTED_VALUE"""),"1759539125281")</f>
        <v>1759539125281</v>
      </c>
    </row>
    <row r="5824" spans="1:11" ht="12.45">
      <c r="A5824" s="2" t="str">
        <f ca="1">IFERROR(__xludf.DUMMYFUNCTION("""COMPUTED_VALUE"""),"1759539186966")</f>
        <v>1759539186966</v>
      </c>
      <c r="B5824" s="2"/>
      <c r="C5824" s="2" t="str">
        <v>0</v>
      </c>
      <c r="D5824" s="2"/>
      <c r="F5824" s="2" t="str">
        <v>0</v>
      </c>
      <c r="I5824" s="3" t="str">
        <f ca="1">IFERROR(__xludf.DUMMYFUNCTION("""COMPUTED_VALUE"""),"Ngô Phương linh")</f>
        <v>Ngô Phương linh</v>
      </c>
      <c r="J5824" s="3" t="str">
        <f ca="1">IFERROR(__xludf.DUMMYFUNCTION("""COMPUTED_VALUE"""),"0961986515")</f>
        <v>0961986515</v>
      </c>
      <c r="K5824" s="2" t="str">
        <f ca="1">IFERROR(__xludf.DUMMYFUNCTION("""COMPUTED_VALUE"""),"1759539186966")</f>
        <v>1759539186966</v>
      </c>
    </row>
    <row r="5825" spans="1:11" ht="12.45">
      <c r="A5825" s="2" t="str">
        <f ca="1">IFERROR(__xludf.DUMMYFUNCTION("""COMPUTED_VALUE"""),"1759539258379")</f>
        <v>1759539258379</v>
      </c>
      <c r="B5825" s="2"/>
      <c r="C5825" s="2" t="str">
        <v>0</v>
      </c>
      <c r="D5825" s="2"/>
      <c r="F5825" s="2" t="str">
        <v>0</v>
      </c>
      <c r="I5825" s="3" t="str">
        <f ca="1">IFERROR(__xludf.DUMMYFUNCTION("""COMPUTED_VALUE"""),"Hoàng Thị Hải Uyển ")</f>
        <v xml:space="preserve">Hoàng Thị Hải Uyển </v>
      </c>
      <c r="J5825" s="3" t="str">
        <f ca="1">IFERROR(__xludf.DUMMYFUNCTION("""COMPUTED_VALUE"""),"0398774563")</f>
        <v>0398774563</v>
      </c>
      <c r="K5825" s="2" t="str">
        <f ca="1">IFERROR(__xludf.DUMMYFUNCTION("""COMPUTED_VALUE"""),"1759539258379")</f>
        <v>1759539258379</v>
      </c>
    </row>
    <row r="5826" spans="1:11" ht="12.45">
      <c r="A5826" s="2" t="str">
        <f ca="1">IFERROR(__xludf.DUMMYFUNCTION("""COMPUTED_VALUE"""),"1759539335888")</f>
        <v>1759539335888</v>
      </c>
      <c r="B5826" s="2"/>
      <c r="C5826" s="2" t="str">
        <v>0</v>
      </c>
      <c r="D5826" s="2"/>
      <c r="F5826" s="2" t="str">
        <v>0</v>
      </c>
      <c r="I5826" s="3" t="str">
        <f ca="1">IFERROR(__xludf.DUMMYFUNCTION("""COMPUTED_VALUE"""),"Phạm Yến Nhi")</f>
        <v>Phạm Yến Nhi</v>
      </c>
      <c r="J5826" s="3" t="str">
        <f ca="1">IFERROR(__xludf.DUMMYFUNCTION("""COMPUTED_VALUE"""),"0388640735")</f>
        <v>0388640735</v>
      </c>
      <c r="K5826" s="2" t="str">
        <f ca="1">IFERROR(__xludf.DUMMYFUNCTION("""COMPUTED_VALUE"""),"1759539335888")</f>
        <v>1759539335888</v>
      </c>
    </row>
    <row r="5827" spans="1:11" ht="12.45">
      <c r="A5827" s="2" t="str">
        <f ca="1">IFERROR(__xludf.DUMMYFUNCTION("""COMPUTED_VALUE"""),"1759539373695")</f>
        <v>1759539373695</v>
      </c>
      <c r="B5827" s="2"/>
      <c r="C5827" s="2" t="str">
        <v>0</v>
      </c>
      <c r="D5827" s="2"/>
      <c r="F5827" s="2" t="str">
        <v>0</v>
      </c>
      <c r="I5827" s="3" t="str">
        <f ca="1">IFERROR(__xludf.DUMMYFUNCTION("""COMPUTED_VALUE"""),"Nguyễn Thị Hồng Vân")</f>
        <v>Nguyễn Thị Hồng Vân</v>
      </c>
      <c r="J5827" s="3" t="str">
        <f ca="1">IFERROR(__xludf.DUMMYFUNCTION("""COMPUTED_VALUE"""),"0385062436")</f>
        <v>0385062436</v>
      </c>
      <c r="K5827" s="2" t="str">
        <f ca="1">IFERROR(__xludf.DUMMYFUNCTION("""COMPUTED_VALUE"""),"1759539373695")</f>
        <v>1759539373695</v>
      </c>
    </row>
    <row r="5828" spans="1:11" ht="12.45">
      <c r="A5828" s="2" t="str">
        <f ca="1">IFERROR(__xludf.DUMMYFUNCTION("""COMPUTED_VALUE"""),"1759539445525")</f>
        <v>1759539445525</v>
      </c>
      <c r="B5828" s="2"/>
      <c r="C5828" s="2" t="str">
        <v>0</v>
      </c>
      <c r="D5828" s="2"/>
      <c r="F5828" s="2" t="str">
        <v>0</v>
      </c>
      <c r="I5828" s="3" t="str">
        <f ca="1">IFERROR(__xludf.DUMMYFUNCTION("""COMPUTED_VALUE"""),"Nguyễn Ngọc Quỳnh Anh")</f>
        <v>Nguyễn Ngọc Quỳnh Anh</v>
      </c>
      <c r="J5828" s="3" t="str">
        <f ca="1">IFERROR(__xludf.DUMMYFUNCTION("""COMPUTED_VALUE"""),"0901909785")</f>
        <v>0901909785</v>
      </c>
      <c r="K5828" s="2" t="str">
        <f ca="1">IFERROR(__xludf.DUMMYFUNCTION("""COMPUTED_VALUE"""),"1759539445525")</f>
        <v>1759539445525</v>
      </c>
    </row>
    <row r="5829" spans="1:11" ht="12.45">
      <c r="A5829" s="2" t="str">
        <f ca="1">IFERROR(__xludf.DUMMYFUNCTION("""COMPUTED_VALUE"""),"1759539564398")</f>
        <v>1759539564398</v>
      </c>
      <c r="B5829" s="2"/>
      <c r="C5829" s="2" t="str">
        <v>0</v>
      </c>
      <c r="D5829" s="2"/>
      <c r="F5829" s="2" t="str">
        <v>0</v>
      </c>
      <c r="I5829" s="3" t="str">
        <f ca="1">IFERROR(__xludf.DUMMYFUNCTION("""COMPUTED_VALUE"""),"Trần Tuyết Nhung")</f>
        <v>Trần Tuyết Nhung</v>
      </c>
      <c r="J5829" s="3" t="str">
        <f ca="1">IFERROR(__xludf.DUMMYFUNCTION("""COMPUTED_VALUE"""),"0972509873")</f>
        <v>0972509873</v>
      </c>
      <c r="K5829" s="2" t="str">
        <f ca="1">IFERROR(__xludf.DUMMYFUNCTION("""COMPUTED_VALUE"""),"1759539564398")</f>
        <v>1759539564398</v>
      </c>
    </row>
    <row r="5830" spans="1:11" ht="12.45">
      <c r="A5830" s="2" t="str">
        <f ca="1">IFERROR(__xludf.DUMMYFUNCTION("""COMPUTED_VALUE"""),"1759539637389")</f>
        <v>1759539637389</v>
      </c>
      <c r="B5830" s="2"/>
      <c r="C5830" s="2" t="str">
        <v>0</v>
      </c>
      <c r="D5830" s="2"/>
      <c r="F5830" s="2" t="str">
        <v>0</v>
      </c>
      <c r="I5830" s="3" t="str">
        <f ca="1">IFERROR(__xludf.DUMMYFUNCTION("""COMPUTED_VALUE"""),"Trần Vi Đăng")</f>
        <v>Trần Vi Đăng</v>
      </c>
      <c r="J5830" s="3" t="str">
        <f ca="1">IFERROR(__xludf.DUMMYFUNCTION("""COMPUTED_VALUE"""),"0377519058")</f>
        <v>0377519058</v>
      </c>
      <c r="K5830" s="2" t="str">
        <f ca="1">IFERROR(__xludf.DUMMYFUNCTION("""COMPUTED_VALUE"""),"1759539637389")</f>
        <v>1759539637389</v>
      </c>
    </row>
    <row r="5831" spans="1:11" ht="12.45">
      <c r="A5831" s="2" t="str">
        <f ca="1">IFERROR(__xludf.DUMMYFUNCTION("""COMPUTED_VALUE"""),"1759539685903")</f>
        <v>1759539685903</v>
      </c>
      <c r="B5831" s="2"/>
      <c r="C5831" s="2" t="str">
        <v>0</v>
      </c>
      <c r="D5831" s="2"/>
      <c r="F5831" s="2" t="str">
        <v>0</v>
      </c>
      <c r="I5831" s="3" t="str">
        <f ca="1">IFERROR(__xludf.DUMMYFUNCTION("""COMPUTED_VALUE"""),"Nguyễn Thị Kim Ngân")</f>
        <v>Nguyễn Thị Kim Ngân</v>
      </c>
      <c r="J5831" s="3" t="str">
        <f ca="1">IFERROR(__xludf.DUMMYFUNCTION("""COMPUTED_VALUE"""),"0964613278")</f>
        <v>0964613278</v>
      </c>
      <c r="K5831" s="2" t="str">
        <f ca="1">IFERROR(__xludf.DUMMYFUNCTION("""COMPUTED_VALUE"""),"1759539685903")</f>
        <v>1759539685903</v>
      </c>
    </row>
    <row r="5832" spans="1:11" ht="12.45">
      <c r="A5832" s="2" t="str">
        <f ca="1">IFERROR(__xludf.DUMMYFUNCTION("""COMPUTED_VALUE"""),"1759539801766")</f>
        <v>1759539801766</v>
      </c>
      <c r="B5832" s="2"/>
      <c r="C5832" s="2" t="str">
        <v>0</v>
      </c>
      <c r="D5832" s="2"/>
      <c r="F5832" s="2" t="str">
        <v>0</v>
      </c>
      <c r="I5832" s="3" t="str">
        <f ca="1">IFERROR(__xludf.DUMMYFUNCTION("""COMPUTED_VALUE"""),"nguyễn thị hồng ngân")</f>
        <v>nguyễn thị hồng ngân</v>
      </c>
      <c r="J5832" s="3" t="str">
        <f ca="1">IFERROR(__xludf.DUMMYFUNCTION("""COMPUTED_VALUE"""),"0374292338")</f>
        <v>0374292338</v>
      </c>
      <c r="K5832" s="2" t="str">
        <f ca="1">IFERROR(__xludf.DUMMYFUNCTION("""COMPUTED_VALUE"""),"1759539801766")</f>
        <v>1759539801766</v>
      </c>
    </row>
    <row r="5833" spans="1:11" ht="12.45">
      <c r="A5833" s="2" t="str">
        <f ca="1">IFERROR(__xludf.DUMMYFUNCTION("""COMPUTED_VALUE"""),"1759539917648")</f>
        <v>1759539917648</v>
      </c>
      <c r="B5833" s="2"/>
      <c r="C5833" s="2" t="str">
        <v>0</v>
      </c>
      <c r="D5833" s="2"/>
      <c r="F5833" s="2" t="str">
        <v>0</v>
      </c>
      <c r="I5833" s="3" t="str">
        <f ca="1">IFERROR(__xludf.DUMMYFUNCTION("""COMPUTED_VALUE"""),"Nguyễn Như Yến ")</f>
        <v xml:space="preserve">Nguyễn Như Yến </v>
      </c>
      <c r="J5833" s="3" t="str">
        <f ca="1">IFERROR(__xludf.DUMMYFUNCTION("""COMPUTED_VALUE"""),"0397689698")</f>
        <v>0397689698</v>
      </c>
      <c r="K5833" s="2" t="str">
        <f ca="1">IFERROR(__xludf.DUMMYFUNCTION("""COMPUTED_VALUE"""),"1759539917648")</f>
        <v>1759539917648</v>
      </c>
    </row>
    <row r="5834" spans="1:11" ht="12.45">
      <c r="A5834" s="2" t="str">
        <f ca="1">IFERROR(__xludf.DUMMYFUNCTION("""COMPUTED_VALUE"""),"1759540015168")</f>
        <v>1759540015168</v>
      </c>
      <c r="B5834" s="2"/>
      <c r="C5834" s="2" t="str">
        <v>0</v>
      </c>
      <c r="D5834" s="2"/>
      <c r="F5834" s="2" t="str">
        <v>0</v>
      </c>
      <c r="I5834" s="3" t="str">
        <f ca="1">IFERROR(__xludf.DUMMYFUNCTION("""COMPUTED_VALUE"""),"Tô Đông Pha")</f>
        <v>Tô Đông Pha</v>
      </c>
      <c r="J5834" s="3" t="str">
        <f ca="1">IFERROR(__xludf.DUMMYFUNCTION("""COMPUTED_VALUE"""),"0935848192")</f>
        <v>0935848192</v>
      </c>
      <c r="K5834" s="2" t="str">
        <f ca="1">IFERROR(__xludf.DUMMYFUNCTION("""COMPUTED_VALUE"""),"1759540015168")</f>
        <v>1759540015168</v>
      </c>
    </row>
    <row r="5835" spans="1:11" ht="12.45">
      <c r="A5835" s="2" t="str">
        <f ca="1">IFERROR(__xludf.DUMMYFUNCTION("""COMPUTED_VALUE"""),"1759540079984")</f>
        <v>1759540079984</v>
      </c>
      <c r="B5835" s="2"/>
      <c r="C5835" s="2" t="str">
        <v>0</v>
      </c>
      <c r="D5835" s="2"/>
      <c r="F5835" s="2" t="str">
        <v>0</v>
      </c>
      <c r="I5835" s="3" t="str">
        <f ca="1">IFERROR(__xludf.DUMMYFUNCTION("""COMPUTED_VALUE"""),"Phan Thị Mai Hương")</f>
        <v>Phan Thị Mai Hương</v>
      </c>
      <c r="J5835" s="3" t="str">
        <f ca="1">IFERROR(__xludf.DUMMYFUNCTION("""COMPUTED_VALUE"""),"0343539916")</f>
        <v>0343539916</v>
      </c>
      <c r="K5835" s="2" t="str">
        <f ca="1">IFERROR(__xludf.DUMMYFUNCTION("""COMPUTED_VALUE"""),"1759540079984")</f>
        <v>1759540079984</v>
      </c>
    </row>
    <row r="5836" spans="1:11" ht="12.45">
      <c r="A5836" s="2" t="str">
        <f ca="1">IFERROR(__xludf.DUMMYFUNCTION("""COMPUTED_VALUE"""),"1759540167945")</f>
        <v>1759540167945</v>
      </c>
      <c r="B5836" s="2"/>
      <c r="C5836" s="2" t="str">
        <v>0</v>
      </c>
      <c r="D5836" s="2"/>
      <c r="F5836" s="2" t="str">
        <v>0</v>
      </c>
      <c r="I5836" s="3" t="str">
        <f ca="1">IFERROR(__xludf.DUMMYFUNCTION("""COMPUTED_VALUE"""),"Lê Thảo Ly")</f>
        <v>Lê Thảo Ly</v>
      </c>
      <c r="J5836" s="3" t="str">
        <f ca="1">IFERROR(__xludf.DUMMYFUNCTION("""COMPUTED_VALUE"""),"0788660212")</f>
        <v>0788660212</v>
      </c>
      <c r="K5836" s="2" t="str">
        <f ca="1">IFERROR(__xludf.DUMMYFUNCTION("""COMPUTED_VALUE"""),"1759540167945")</f>
        <v>1759540167945</v>
      </c>
    </row>
    <row r="5837" spans="1:11" ht="12.45">
      <c r="A5837" s="2" t="str">
        <f ca="1">IFERROR(__xludf.DUMMYFUNCTION("""COMPUTED_VALUE"""),"1759540262988")</f>
        <v>1759540262988</v>
      </c>
      <c r="B5837" s="2"/>
      <c r="C5837" s="2" t="str">
        <v>0</v>
      </c>
      <c r="D5837" s="2"/>
      <c r="F5837" s="2" t="str">
        <v>0</v>
      </c>
      <c r="I5837" s="3" t="str">
        <f ca="1">IFERROR(__xludf.DUMMYFUNCTION("""COMPUTED_VALUE"""),"Triệu Ngọc Mỹ Trân")</f>
        <v>Triệu Ngọc Mỹ Trân</v>
      </c>
      <c r="J5837" s="3" t="str">
        <f ca="1">IFERROR(__xludf.DUMMYFUNCTION("""COMPUTED_VALUE"""),"0792329698")</f>
        <v>0792329698</v>
      </c>
      <c r="K5837" s="2" t="str">
        <f ca="1">IFERROR(__xludf.DUMMYFUNCTION("""COMPUTED_VALUE"""),"1759540262988")</f>
        <v>1759540262988</v>
      </c>
    </row>
    <row r="5838" spans="1:11" ht="12.45">
      <c r="A5838" s="2" t="str">
        <f ca="1">IFERROR(__xludf.DUMMYFUNCTION("""COMPUTED_VALUE"""),"1759540333084")</f>
        <v>1759540333084</v>
      </c>
      <c r="B5838" s="2"/>
      <c r="C5838" s="2" t="str">
        <v>0</v>
      </c>
      <c r="D5838" s="2"/>
      <c r="F5838" s="2" t="str">
        <v>0</v>
      </c>
      <c r="I5838" s="3" t="str">
        <f ca="1">IFERROR(__xludf.DUMMYFUNCTION("""COMPUTED_VALUE"""),"Lê Khả Thi")</f>
        <v>Lê Khả Thi</v>
      </c>
      <c r="J5838" s="3" t="str">
        <f ca="1">IFERROR(__xludf.DUMMYFUNCTION("""COMPUTED_VALUE"""),"0385559840")</f>
        <v>0385559840</v>
      </c>
      <c r="K5838" s="2" t="str">
        <f ca="1">IFERROR(__xludf.DUMMYFUNCTION("""COMPUTED_VALUE"""),"1759540333084")</f>
        <v>1759540333084</v>
      </c>
    </row>
    <row r="5839" spans="1:11" ht="12.45">
      <c r="A5839" s="2" t="str">
        <f ca="1">IFERROR(__xludf.DUMMYFUNCTION("""COMPUTED_VALUE"""),"1759540409174")</f>
        <v>1759540409174</v>
      </c>
      <c r="B5839" s="2"/>
      <c r="C5839" s="2" t="str">
        <v>0</v>
      </c>
      <c r="D5839" s="2"/>
      <c r="F5839" s="2" t="str">
        <v>0</v>
      </c>
      <c r="I5839" s="3" t="str">
        <f ca="1">IFERROR(__xludf.DUMMYFUNCTION("""COMPUTED_VALUE"""),"Nguyễn Kiều Nhi")</f>
        <v>Nguyễn Kiều Nhi</v>
      </c>
      <c r="J5839" s="3" t="str">
        <f ca="1">IFERROR(__xludf.DUMMYFUNCTION("""COMPUTED_VALUE"""),"0911961468")</f>
        <v>0911961468</v>
      </c>
      <c r="K5839" s="2" t="str">
        <f ca="1">IFERROR(__xludf.DUMMYFUNCTION("""COMPUTED_VALUE"""),"1759540409174")</f>
        <v>1759540409174</v>
      </c>
    </row>
    <row r="5840" spans="1:11" ht="12.45">
      <c r="A5840" s="2" t="str">
        <f ca="1">IFERROR(__xludf.DUMMYFUNCTION("""COMPUTED_VALUE"""),"1759540492109")</f>
        <v>1759540492109</v>
      </c>
      <c r="B5840" s="2"/>
      <c r="C5840" s="2" t="str">
        <v>0</v>
      </c>
      <c r="D5840" s="2"/>
      <c r="F5840" s="2" t="str">
        <v>0</v>
      </c>
      <c r="I5840" s="3" t="str">
        <f ca="1">IFERROR(__xludf.DUMMYFUNCTION("""COMPUTED_VALUE"""),"Nguyễn Ngọc Bảo Linh")</f>
        <v>Nguyễn Ngọc Bảo Linh</v>
      </c>
      <c r="J5840" s="3" t="str">
        <f ca="1">IFERROR(__xludf.DUMMYFUNCTION("""COMPUTED_VALUE"""),"0944867563")</f>
        <v>0944867563</v>
      </c>
      <c r="K5840" s="2" t="str">
        <f ca="1">IFERROR(__xludf.DUMMYFUNCTION("""COMPUTED_VALUE"""),"1759540492109")</f>
        <v>1759540492109</v>
      </c>
    </row>
    <row r="5841" spans="1:11" ht="12.45">
      <c r="A5841" s="2" t="str">
        <f ca="1">IFERROR(__xludf.DUMMYFUNCTION("""COMPUTED_VALUE"""),"1759540588542")</f>
        <v>1759540588542</v>
      </c>
      <c r="B5841" s="2"/>
      <c r="C5841" s="2" t="str">
        <v>0</v>
      </c>
      <c r="D5841" s="2"/>
      <c r="F5841" s="2" t="str">
        <v>0</v>
      </c>
      <c r="I5841" s="3" t="str">
        <f ca="1">IFERROR(__xludf.DUMMYFUNCTION("""COMPUTED_VALUE"""),"Vòng Như Bình")</f>
        <v>Vòng Như Bình</v>
      </c>
      <c r="J5841" s="3" t="str">
        <f ca="1">IFERROR(__xludf.DUMMYFUNCTION("""COMPUTED_VALUE"""),"0382918595")</f>
        <v>0382918595</v>
      </c>
      <c r="K5841" s="2" t="str">
        <f ca="1">IFERROR(__xludf.DUMMYFUNCTION("""COMPUTED_VALUE"""),"1759540588542")</f>
        <v>1759540588542</v>
      </c>
    </row>
    <row r="5842" spans="1:11" ht="12.45">
      <c r="A5842" s="2" t="str">
        <f ca="1">IFERROR(__xludf.DUMMYFUNCTION("""COMPUTED_VALUE"""),"1759540635372")</f>
        <v>1759540635372</v>
      </c>
      <c r="B5842" s="2"/>
      <c r="C5842" s="2" t="str">
        <v>0</v>
      </c>
      <c r="D5842" s="2"/>
      <c r="F5842" s="2" t="str">
        <v>0</v>
      </c>
      <c r="I5842" s="3" t="str">
        <f ca="1">IFERROR(__xludf.DUMMYFUNCTION("""COMPUTED_VALUE"""),"Triệu Minh Ngọc Thanh")</f>
        <v>Triệu Minh Ngọc Thanh</v>
      </c>
      <c r="J5842" s="3" t="str">
        <f ca="1">IFERROR(__xludf.DUMMYFUNCTION("""COMPUTED_VALUE"""),"0937930559")</f>
        <v>0937930559</v>
      </c>
      <c r="K5842" s="2" t="str">
        <f ca="1">IFERROR(__xludf.DUMMYFUNCTION("""COMPUTED_VALUE"""),"1759540635372")</f>
        <v>1759540635372</v>
      </c>
    </row>
    <row r="5843" spans="1:11" ht="12.45">
      <c r="A5843" s="2" t="str">
        <f ca="1">IFERROR(__xludf.DUMMYFUNCTION("""COMPUTED_VALUE"""),"1759540680267")</f>
        <v>1759540680267</v>
      </c>
      <c r="B5843" s="2"/>
      <c r="C5843" s="2" t="str">
        <v>0</v>
      </c>
      <c r="D5843" s="2"/>
      <c r="F5843" s="2" t="str">
        <v>0</v>
      </c>
      <c r="I5843" s="3" t="str">
        <f ca="1">IFERROR(__xludf.DUMMYFUNCTION("""COMPUTED_VALUE"""),"Phạm Thị Thanh Hiền ")</f>
        <v xml:space="preserve">Phạm Thị Thanh Hiền </v>
      </c>
      <c r="J5843" s="3" t="str">
        <f ca="1">IFERROR(__xludf.DUMMYFUNCTION("""COMPUTED_VALUE"""),"0931474451")</f>
        <v>0931474451</v>
      </c>
      <c r="K5843" s="2" t="str">
        <f ca="1">IFERROR(__xludf.DUMMYFUNCTION("""COMPUTED_VALUE"""),"1759540680267")</f>
        <v>1759540680267</v>
      </c>
    </row>
    <row r="5844" spans="1:11" ht="12.45">
      <c r="A5844" s="2" t="str">
        <f ca="1">IFERROR(__xludf.DUMMYFUNCTION("""COMPUTED_VALUE"""),"1759540717890")</f>
        <v>1759540717890</v>
      </c>
      <c r="B5844" s="2"/>
      <c r="C5844" s="2" t="str">
        <v>0</v>
      </c>
      <c r="D5844" s="2"/>
      <c r="F5844" s="2" t="str">
        <v>0</v>
      </c>
      <c r="I5844" s="3" t="str">
        <f ca="1">IFERROR(__xludf.DUMMYFUNCTION("""COMPUTED_VALUE"""),"Nguyễn Bích Ngọc")</f>
        <v>Nguyễn Bích Ngọc</v>
      </c>
      <c r="J5844" s="3" t="str">
        <f ca="1">IFERROR(__xludf.DUMMYFUNCTION("""COMPUTED_VALUE"""),"0775866631")</f>
        <v>0775866631</v>
      </c>
      <c r="K5844" s="2" t="str">
        <f ca="1">IFERROR(__xludf.DUMMYFUNCTION("""COMPUTED_VALUE"""),"1759540717890")</f>
        <v>1759540717890</v>
      </c>
    </row>
    <row r="5845" spans="1:11" ht="12.45">
      <c r="A5845" s="2" t="str">
        <f ca="1">IFERROR(__xludf.DUMMYFUNCTION("""COMPUTED_VALUE"""),"1759540776397")</f>
        <v>1759540776397</v>
      </c>
      <c r="B5845" s="2"/>
      <c r="C5845" s="2" t="str">
        <v>0</v>
      </c>
      <c r="D5845" s="2"/>
      <c r="F5845" s="2" t="str">
        <v>0</v>
      </c>
      <c r="I5845" s="3" t="str">
        <f ca="1">IFERROR(__xludf.DUMMYFUNCTION("""COMPUTED_VALUE"""),"Nguyễn Vũ Anh Minh")</f>
        <v>Nguyễn Vũ Anh Minh</v>
      </c>
      <c r="J5845" s="3" t="str">
        <f ca="1">IFERROR(__xludf.DUMMYFUNCTION("""COMPUTED_VALUE"""),"0387062015")</f>
        <v>0387062015</v>
      </c>
      <c r="K5845" s="2" t="str">
        <f ca="1">IFERROR(__xludf.DUMMYFUNCTION("""COMPUTED_VALUE"""),"1759540776397")</f>
        <v>1759540776397</v>
      </c>
    </row>
    <row r="5846" spans="1:11" ht="12.45">
      <c r="A5846" s="2" t="str">
        <f ca="1">IFERROR(__xludf.DUMMYFUNCTION("""COMPUTED_VALUE"""),"1759540858227")</f>
        <v>1759540858227</v>
      </c>
      <c r="B5846" s="2"/>
      <c r="C5846" s="2" t="str">
        <v>0</v>
      </c>
      <c r="D5846" s="2"/>
      <c r="F5846" s="2" t="str">
        <v>0</v>
      </c>
      <c r="I5846" s="3" t="str">
        <f ca="1">IFERROR(__xludf.DUMMYFUNCTION("""COMPUTED_VALUE"""),"Huỳnh Mỹ Vi")</f>
        <v>Huỳnh Mỹ Vi</v>
      </c>
      <c r="J5846" s="3" t="str">
        <f ca="1">IFERROR(__xludf.DUMMYFUNCTION("""COMPUTED_VALUE"""),"0789624103")</f>
        <v>0789624103</v>
      </c>
      <c r="K5846" s="2" t="str">
        <f ca="1">IFERROR(__xludf.DUMMYFUNCTION("""COMPUTED_VALUE"""),"1759540858227")</f>
        <v>1759540858227</v>
      </c>
    </row>
    <row r="5847" spans="1:11" ht="12.45">
      <c r="A5847" s="2" t="str">
        <f ca="1">IFERROR(__xludf.DUMMYFUNCTION("""COMPUTED_VALUE"""),"1759540955616")</f>
        <v>1759540955616</v>
      </c>
      <c r="B5847" s="2"/>
      <c r="C5847" s="2" t="str">
        <v>0</v>
      </c>
      <c r="D5847" s="2"/>
      <c r="F5847" s="2" t="str">
        <v>0</v>
      </c>
      <c r="I5847" s="3" t="str">
        <f ca="1">IFERROR(__xludf.DUMMYFUNCTION("""COMPUTED_VALUE"""),"Hoàng Khánh Linh ")</f>
        <v xml:space="preserve">Hoàng Khánh Linh </v>
      </c>
      <c r="J5847" s="3" t="str">
        <f ca="1">IFERROR(__xludf.DUMMYFUNCTION("""COMPUTED_VALUE"""),"0333442796")</f>
        <v>0333442796</v>
      </c>
      <c r="K5847" s="2" t="str">
        <f ca="1">IFERROR(__xludf.DUMMYFUNCTION("""COMPUTED_VALUE"""),"1759540955616")</f>
        <v>1759540955616</v>
      </c>
    </row>
    <row r="5848" spans="1:11" ht="12.45">
      <c r="A5848" s="2" t="str">
        <f ca="1">IFERROR(__xludf.DUMMYFUNCTION("""COMPUTED_VALUE"""),"1759487498581")</f>
        <v>1759487498581</v>
      </c>
      <c r="B5848" s="2"/>
      <c r="C5848" s="2" t="str">
        <v>0</v>
      </c>
      <c r="D5848" s="2"/>
      <c r="F5848" s="2" t="str">
        <v>0</v>
      </c>
      <c r="I5848" s="3" t="str">
        <f ca="1">IFERROR(__xludf.DUMMYFUNCTION("""COMPUTED_VALUE"""),"Đỗ Thị Ngọc Ngà")</f>
        <v>Đỗ Thị Ngọc Ngà</v>
      </c>
      <c r="J5848" s="3" t="str">
        <f ca="1">IFERROR(__xludf.DUMMYFUNCTION("""COMPUTED_VALUE"""),"0378708331")</f>
        <v>0378708331</v>
      </c>
      <c r="K5848" s="2" t="str">
        <f ca="1">IFERROR(__xludf.DUMMYFUNCTION("""COMPUTED_VALUE"""),"1759487498581")</f>
        <v>1759487498581</v>
      </c>
    </row>
    <row r="5849" spans="1:11" ht="12.45">
      <c r="A5849" s="2" t="str">
        <f ca="1">IFERROR(__xludf.DUMMYFUNCTION("""COMPUTED_VALUE"""),"1759541016167")</f>
        <v>1759541016167</v>
      </c>
      <c r="B5849" s="2"/>
      <c r="C5849" s="2" t="str">
        <v>0</v>
      </c>
      <c r="D5849" s="2"/>
      <c r="F5849" s="2" t="str">
        <v>0</v>
      </c>
      <c r="I5849" s="3" t="str">
        <f ca="1">IFERROR(__xludf.DUMMYFUNCTION("""COMPUTED_VALUE"""),"Cao Thị Kim Ngân")</f>
        <v>Cao Thị Kim Ngân</v>
      </c>
      <c r="J5849" s="3" t="str">
        <f ca="1">IFERROR(__xludf.DUMMYFUNCTION("""COMPUTED_VALUE"""),"0929922007")</f>
        <v>0929922007</v>
      </c>
      <c r="K5849" s="2" t="str">
        <f ca="1">IFERROR(__xludf.DUMMYFUNCTION("""COMPUTED_VALUE"""),"1759541016167")</f>
        <v>1759541016167</v>
      </c>
    </row>
    <row r="5850" spans="1:11" ht="12.45">
      <c r="A5850" s="2" t="str">
        <f ca="1">IFERROR(__xludf.DUMMYFUNCTION("""COMPUTED_VALUE"""),"1759541105604")</f>
        <v>1759541105604</v>
      </c>
      <c r="B5850" s="2"/>
      <c r="C5850" s="2" t="str">
        <v>0</v>
      </c>
      <c r="D5850" s="2"/>
      <c r="F5850" s="2" t="str">
        <v>0</v>
      </c>
      <c r="I5850" s="3" t="str">
        <f ca="1">IFERROR(__xludf.DUMMYFUNCTION("""COMPUTED_VALUE"""),"Lê Ngọc Hân")</f>
        <v>Lê Ngọc Hân</v>
      </c>
      <c r="J5850" s="3" t="str">
        <f ca="1">IFERROR(__xludf.DUMMYFUNCTION("""COMPUTED_VALUE"""),"0824341711")</f>
        <v>0824341711</v>
      </c>
      <c r="K5850" s="2" t="str">
        <f ca="1">IFERROR(__xludf.DUMMYFUNCTION("""COMPUTED_VALUE"""),"1759541105604")</f>
        <v>1759541105604</v>
      </c>
    </row>
    <row r="5851" spans="1:11" ht="12.45">
      <c r="A5851" s="2" t="str">
        <f ca="1">IFERROR(__xludf.DUMMYFUNCTION("""COMPUTED_VALUE"""),"1759541170850")</f>
        <v>1759541170850</v>
      </c>
      <c r="B5851" s="2"/>
      <c r="C5851" s="2" t="str">
        <v>0</v>
      </c>
      <c r="D5851" s="2"/>
      <c r="F5851" s="2" t="str">
        <v>0</v>
      </c>
      <c r="I5851" s="3" t="str">
        <f ca="1">IFERROR(__xludf.DUMMYFUNCTION("""COMPUTED_VALUE"""),"Trần Thiên Đạt")</f>
        <v>Trần Thiên Đạt</v>
      </c>
      <c r="J5851" s="3" t="str">
        <f ca="1">IFERROR(__xludf.DUMMYFUNCTION("""COMPUTED_VALUE"""),"0705437356")</f>
        <v>0705437356</v>
      </c>
      <c r="K5851" s="2" t="str">
        <f ca="1">IFERROR(__xludf.DUMMYFUNCTION("""COMPUTED_VALUE"""),"1759541170850")</f>
        <v>1759541170850</v>
      </c>
    </row>
    <row r="5852" spans="1:11" ht="12.45">
      <c r="A5852" s="2" t="str">
        <f ca="1">IFERROR(__xludf.DUMMYFUNCTION("""COMPUTED_VALUE"""),"1759541247038")</f>
        <v>1759541247038</v>
      </c>
      <c r="B5852" s="2"/>
      <c r="C5852" s="2" t="str">
        <v>0</v>
      </c>
      <c r="D5852" s="2"/>
      <c r="F5852" s="2" t="str">
        <v>0</v>
      </c>
      <c r="I5852" s="3" t="str">
        <f ca="1">IFERROR(__xludf.DUMMYFUNCTION("""COMPUTED_VALUE"""),"Nguyễn Thị Ngọc Ánh ")</f>
        <v xml:space="preserve">Nguyễn Thị Ngọc Ánh </v>
      </c>
      <c r="J5852" s="3" t="str">
        <f ca="1">IFERROR(__xludf.DUMMYFUNCTION("""COMPUTED_VALUE"""),"0337653492")</f>
        <v>0337653492</v>
      </c>
      <c r="K5852" s="2" t="str">
        <f ca="1">IFERROR(__xludf.DUMMYFUNCTION("""COMPUTED_VALUE"""),"1759541247038")</f>
        <v>1759541247038</v>
      </c>
    </row>
    <row r="5853" spans="1:11" ht="12.45">
      <c r="A5853" s="2" t="str">
        <f ca="1">IFERROR(__xludf.DUMMYFUNCTION("""COMPUTED_VALUE"""),"1759541352761")</f>
        <v>1759541352761</v>
      </c>
      <c r="B5853" s="2"/>
      <c r="C5853" s="2" t="str">
        <v>0</v>
      </c>
      <c r="D5853" s="2"/>
      <c r="F5853" s="2" t="str">
        <v>0</v>
      </c>
      <c r="I5853" s="3" t="str">
        <f ca="1">IFERROR(__xludf.DUMMYFUNCTION("""COMPUTED_VALUE"""),"Mai Thị Thu Trang")</f>
        <v>Mai Thị Thu Trang</v>
      </c>
      <c r="J5853" s="3" t="str">
        <f ca="1">IFERROR(__xludf.DUMMYFUNCTION("""COMPUTED_VALUE"""),"0397724618")</f>
        <v>0397724618</v>
      </c>
      <c r="K5853" s="2" t="str">
        <f ca="1">IFERROR(__xludf.DUMMYFUNCTION("""COMPUTED_VALUE"""),"1759541352761")</f>
        <v>1759541352761</v>
      </c>
    </row>
    <row r="5854" spans="1:11" ht="12.45">
      <c r="A5854" s="2" t="str">
        <f ca="1">IFERROR(__xludf.DUMMYFUNCTION("""COMPUTED_VALUE"""),"1759541418276")</f>
        <v>1759541418276</v>
      </c>
      <c r="B5854" s="2"/>
      <c r="C5854" s="2" t="str">
        <v>0</v>
      </c>
      <c r="D5854" s="2"/>
      <c r="F5854" s="2" t="str">
        <v>0</v>
      </c>
      <c r="I5854" s="3" t="str">
        <f ca="1">IFERROR(__xludf.DUMMYFUNCTION("""COMPUTED_VALUE"""),"Võ Ngọc Phương Thùy")</f>
        <v>Võ Ngọc Phương Thùy</v>
      </c>
      <c r="J5854" s="3" t="str">
        <f ca="1">IFERROR(__xludf.DUMMYFUNCTION("""COMPUTED_VALUE"""),"0902980150")</f>
        <v>0902980150</v>
      </c>
      <c r="K5854" s="2" t="str">
        <f ca="1">IFERROR(__xludf.DUMMYFUNCTION("""COMPUTED_VALUE"""),"1759541418276")</f>
        <v>1759541418276</v>
      </c>
    </row>
    <row r="5855" spans="1:11" ht="12.45">
      <c r="A5855" s="2" t="str">
        <f ca="1">IFERROR(__xludf.DUMMYFUNCTION("""COMPUTED_VALUE"""),"1759541478183")</f>
        <v>1759541478183</v>
      </c>
      <c r="B5855" s="2"/>
      <c r="C5855" s="2" t="str">
        <v>0</v>
      </c>
      <c r="D5855" s="2"/>
      <c r="F5855" s="2" t="str">
        <v>0</v>
      </c>
      <c r="I5855" s="3" t="str">
        <f ca="1">IFERROR(__xludf.DUMMYFUNCTION("""COMPUTED_VALUE"""),"Nguyễn Nữ Huyền Thương")</f>
        <v>Nguyễn Nữ Huyền Thương</v>
      </c>
      <c r="J5855" s="3" t="str">
        <f ca="1">IFERROR(__xludf.DUMMYFUNCTION("""COMPUTED_VALUE"""),"0931680142")</f>
        <v>0931680142</v>
      </c>
      <c r="K5855" s="2" t="str">
        <f ca="1">IFERROR(__xludf.DUMMYFUNCTION("""COMPUTED_VALUE"""),"1759541478183")</f>
        <v>1759541478183</v>
      </c>
    </row>
    <row r="5856" spans="1:11" ht="12.45">
      <c r="A5856" s="2" t="str">
        <f ca="1">IFERROR(__xludf.DUMMYFUNCTION("""COMPUTED_VALUE"""),"1759541571319")</f>
        <v>1759541571319</v>
      </c>
      <c r="B5856" s="2"/>
      <c r="C5856" s="2" t="str">
        <v>0</v>
      </c>
      <c r="D5856" s="2"/>
      <c r="F5856" s="2" t="str">
        <v>0</v>
      </c>
      <c r="I5856" s="3" t="str">
        <f ca="1">IFERROR(__xludf.DUMMYFUNCTION("""COMPUTED_VALUE"""),"Hồ Đặng Mỹ Duyên")</f>
        <v>Hồ Đặng Mỹ Duyên</v>
      </c>
      <c r="J5856" s="3" t="str">
        <f ca="1">IFERROR(__xludf.DUMMYFUNCTION("""COMPUTED_VALUE"""),"0868125790")</f>
        <v>0868125790</v>
      </c>
      <c r="K5856" s="2" t="str">
        <f ca="1">IFERROR(__xludf.DUMMYFUNCTION("""COMPUTED_VALUE"""),"1759541571319")</f>
        <v>1759541571319</v>
      </c>
    </row>
    <row r="5857" spans="1:11" ht="12.45">
      <c r="A5857" s="2" t="str">
        <f ca="1">IFERROR(__xludf.DUMMYFUNCTION("""COMPUTED_VALUE"""),"1759541640564")</f>
        <v>1759541640564</v>
      </c>
      <c r="B5857" s="2"/>
      <c r="C5857" s="2" t="str">
        <v>0</v>
      </c>
      <c r="D5857" s="2"/>
      <c r="F5857" s="2" t="str">
        <v>0</v>
      </c>
      <c r="I5857" s="3" t="str">
        <f ca="1">IFERROR(__xludf.DUMMYFUNCTION("""COMPUTED_VALUE"""),"Nguyễn Yến Chi")</f>
        <v>Nguyễn Yến Chi</v>
      </c>
      <c r="J5857" s="3" t="str">
        <f ca="1">IFERROR(__xludf.DUMMYFUNCTION("""COMPUTED_VALUE"""),"0377072867")</f>
        <v>0377072867</v>
      </c>
      <c r="K5857" s="2" t="str">
        <f ca="1">IFERROR(__xludf.DUMMYFUNCTION("""COMPUTED_VALUE"""),"1759541640564")</f>
        <v>1759541640564</v>
      </c>
    </row>
    <row r="5858" spans="1:11" ht="12.45">
      <c r="A5858" s="2" t="str">
        <f ca="1">IFERROR(__xludf.DUMMYFUNCTION("""COMPUTED_VALUE"""),"1759541726370")</f>
        <v>1759541726370</v>
      </c>
      <c r="B5858" s="2"/>
      <c r="C5858" s="2" t="str">
        <v>0</v>
      </c>
      <c r="D5858" s="2"/>
      <c r="F5858" s="2" t="str">
        <v>0</v>
      </c>
      <c r="I5858" s="3" t="str">
        <f ca="1">IFERROR(__xludf.DUMMYFUNCTION("""COMPUTED_VALUE"""),"Lê Thị Vân Anh")</f>
        <v>Lê Thị Vân Anh</v>
      </c>
      <c r="J5858" s="3" t="str">
        <f ca="1">IFERROR(__xludf.DUMMYFUNCTION("""COMPUTED_VALUE"""),"0358047849")</f>
        <v>0358047849</v>
      </c>
      <c r="K5858" s="2" t="str">
        <f ca="1">IFERROR(__xludf.DUMMYFUNCTION("""COMPUTED_VALUE"""),"1759541726370")</f>
        <v>1759541726370</v>
      </c>
    </row>
    <row r="5859" spans="1:11" ht="12.45">
      <c r="A5859" s="2" t="str">
        <f ca="1">IFERROR(__xludf.DUMMYFUNCTION("""COMPUTED_VALUE"""),"1759541780572")</f>
        <v>1759541780572</v>
      </c>
      <c r="B5859" s="2"/>
      <c r="C5859" s="2" t="str">
        <v>0</v>
      </c>
      <c r="D5859" s="2"/>
      <c r="F5859" s="2" t="str">
        <v>0</v>
      </c>
      <c r="I5859" s="3" t="str">
        <f ca="1">IFERROR(__xludf.DUMMYFUNCTION("""COMPUTED_VALUE"""),"Nguyễn Như Quỳnh ")</f>
        <v xml:space="preserve">Nguyễn Như Quỳnh </v>
      </c>
      <c r="J5859" s="3" t="str">
        <f ca="1">IFERROR(__xludf.DUMMYFUNCTION("""COMPUTED_VALUE"""),"0788878738")</f>
        <v>0788878738</v>
      </c>
      <c r="K5859" s="2" t="str">
        <f ca="1">IFERROR(__xludf.DUMMYFUNCTION("""COMPUTED_VALUE"""),"1759541780572")</f>
        <v>1759541780572</v>
      </c>
    </row>
    <row r="5860" spans="1:11" ht="12.45">
      <c r="A5860" s="2" t="str">
        <f ca="1">IFERROR(__xludf.DUMMYFUNCTION("""COMPUTED_VALUE"""),"1759541883765")</f>
        <v>1759541883765</v>
      </c>
      <c r="B5860" s="2"/>
      <c r="C5860" s="2" t="str">
        <v>0</v>
      </c>
      <c r="D5860" s="2"/>
      <c r="F5860" s="2" t="str">
        <v>0</v>
      </c>
      <c r="I5860" s="3" t="str">
        <f ca="1">IFERROR(__xludf.DUMMYFUNCTION("""COMPUTED_VALUE"""),"Lê Hoàng Lan Anh ")</f>
        <v xml:space="preserve">Lê Hoàng Lan Anh </v>
      </c>
      <c r="J5860" s="3" t="str">
        <f ca="1">IFERROR(__xludf.DUMMYFUNCTION("""COMPUTED_VALUE"""),"0792393873")</f>
        <v>0792393873</v>
      </c>
      <c r="K5860" s="2" t="str">
        <f ca="1">IFERROR(__xludf.DUMMYFUNCTION("""COMPUTED_VALUE"""),"1759541883765")</f>
        <v>1759541883765</v>
      </c>
    </row>
    <row r="5861" spans="1:11" ht="12.45">
      <c r="A5861" s="2" t="str">
        <f ca="1">IFERROR(__xludf.DUMMYFUNCTION("""COMPUTED_VALUE"""),"1759541955109")</f>
        <v>1759541955109</v>
      </c>
      <c r="B5861" s="2"/>
      <c r="C5861" s="2" t="str">
        <v>0</v>
      </c>
      <c r="D5861" s="2"/>
      <c r="F5861" s="2" t="str">
        <v>0</v>
      </c>
      <c r="I5861" s="3" t="str">
        <f ca="1">IFERROR(__xludf.DUMMYFUNCTION("""COMPUTED_VALUE"""),"Đỗ hoàng gia hân")</f>
        <v>Đỗ hoàng gia hân</v>
      </c>
      <c r="J5861" s="3" t="str">
        <f ca="1">IFERROR(__xludf.DUMMYFUNCTION("""COMPUTED_VALUE"""),"0896233369")</f>
        <v>0896233369</v>
      </c>
      <c r="K5861" s="2" t="str">
        <f ca="1">IFERROR(__xludf.DUMMYFUNCTION("""COMPUTED_VALUE"""),"1759541955109")</f>
        <v>1759541955109</v>
      </c>
    </row>
    <row r="5862" spans="1:11" ht="12.45">
      <c r="A5862" s="2" t="str">
        <f ca="1">IFERROR(__xludf.DUMMYFUNCTION("""COMPUTED_VALUE"""),"1759542048990")</f>
        <v>1759542048990</v>
      </c>
      <c r="B5862" s="2"/>
      <c r="C5862" s="2" t="str">
        <v>0</v>
      </c>
      <c r="D5862" s="2"/>
      <c r="F5862" s="2" t="str">
        <v>0</v>
      </c>
      <c r="I5862" s="3" t="str">
        <f ca="1">IFERROR(__xludf.DUMMYFUNCTION("""COMPUTED_VALUE"""),"Trần Phi Nhung")</f>
        <v>Trần Phi Nhung</v>
      </c>
      <c r="J5862" s="3" t="str">
        <f ca="1">IFERROR(__xludf.DUMMYFUNCTION("""COMPUTED_VALUE"""),"0355175570")</f>
        <v>0355175570</v>
      </c>
      <c r="K5862" s="2" t="str">
        <f ca="1">IFERROR(__xludf.DUMMYFUNCTION("""COMPUTED_VALUE"""),"1759542048990")</f>
        <v>1759542048990</v>
      </c>
    </row>
    <row r="5863" spans="1:11" ht="12.45">
      <c r="A5863" s="2" t="str">
        <f ca="1">IFERROR(__xludf.DUMMYFUNCTION("""COMPUTED_VALUE"""),"1759542121009")</f>
        <v>1759542121009</v>
      </c>
      <c r="B5863" s="2"/>
      <c r="C5863" s="2" t="str">
        <v>0</v>
      </c>
      <c r="D5863" s="2"/>
      <c r="F5863" s="2" t="str">
        <v>0</v>
      </c>
      <c r="I5863" s="3" t="str">
        <f ca="1">IFERROR(__xludf.DUMMYFUNCTION("""COMPUTED_VALUE"""),"Nguyễn Hiền Lương")</f>
        <v>Nguyễn Hiền Lương</v>
      </c>
      <c r="J5863" s="3" t="str">
        <f ca="1">IFERROR(__xludf.DUMMYFUNCTION("""COMPUTED_VALUE"""),"0365101415")</f>
        <v>0365101415</v>
      </c>
      <c r="K5863" s="2" t="str">
        <f ca="1">IFERROR(__xludf.DUMMYFUNCTION("""COMPUTED_VALUE"""),"1759542121009")</f>
        <v>1759542121009</v>
      </c>
    </row>
    <row r="5864" spans="1:11" ht="12.45">
      <c r="A5864" s="2" t="str">
        <f ca="1">IFERROR(__xludf.DUMMYFUNCTION("""COMPUTED_VALUE"""),"1759542163571")</f>
        <v>1759542163571</v>
      </c>
      <c r="B5864" s="2"/>
      <c r="C5864" s="2" t="str">
        <v>0</v>
      </c>
      <c r="D5864" s="2"/>
      <c r="F5864" s="2" t="str">
        <v>0</v>
      </c>
      <c r="I5864" s="3" t="str">
        <f ca="1">IFERROR(__xludf.DUMMYFUNCTION("""COMPUTED_VALUE"""),"Võ Huỳnh Anh")</f>
        <v>Võ Huỳnh Anh</v>
      </c>
      <c r="J5864" s="3" t="str">
        <f ca="1">IFERROR(__xludf.DUMMYFUNCTION("""COMPUTED_VALUE"""),"0363248219")</f>
        <v>0363248219</v>
      </c>
      <c r="K5864" s="2" t="str">
        <f ca="1">IFERROR(__xludf.DUMMYFUNCTION("""COMPUTED_VALUE"""),"1759542163571")</f>
        <v>1759542163571</v>
      </c>
    </row>
    <row r="5865" spans="1:11" ht="12.45">
      <c r="A5865" s="2" t="str">
        <f ca="1">IFERROR(__xludf.DUMMYFUNCTION("""COMPUTED_VALUE"""),"1759542243252")</f>
        <v>1759542243252</v>
      </c>
      <c r="B5865" s="2"/>
      <c r="C5865" s="2" t="str">
        <v>0</v>
      </c>
      <c r="D5865" s="2"/>
      <c r="F5865" s="2" t="str">
        <v>0</v>
      </c>
      <c r="I5865" s="3" t="str">
        <f ca="1">IFERROR(__xludf.DUMMYFUNCTION("""COMPUTED_VALUE"""),"Lê Thu Trang")</f>
        <v>Lê Thu Trang</v>
      </c>
      <c r="J5865" s="3" t="str">
        <f ca="1">IFERROR(__xludf.DUMMYFUNCTION("""COMPUTED_VALUE"""),"0967731175")</f>
        <v>0967731175</v>
      </c>
      <c r="K5865" s="2" t="str">
        <f ca="1">IFERROR(__xludf.DUMMYFUNCTION("""COMPUTED_VALUE"""),"1759542243252")</f>
        <v>1759542243252</v>
      </c>
    </row>
    <row r="5866" spans="1:11" ht="12.45">
      <c r="A5866" s="2" t="str">
        <f ca="1">IFERROR(__xludf.DUMMYFUNCTION("""COMPUTED_VALUE"""),"1759542300382")</f>
        <v>1759542300382</v>
      </c>
      <c r="B5866" s="2"/>
      <c r="C5866" s="2" t="str">
        <v>0</v>
      </c>
      <c r="D5866" s="2"/>
      <c r="F5866" s="2" t="str">
        <v>0</v>
      </c>
      <c r="I5866" s="3" t="str">
        <f ca="1">IFERROR(__xludf.DUMMYFUNCTION("""COMPUTED_VALUE"""),"Đào Ngọc Diễm Thắm ")</f>
        <v xml:space="preserve">Đào Ngọc Diễm Thắm </v>
      </c>
      <c r="J5866" s="3" t="str">
        <f ca="1">IFERROR(__xludf.DUMMYFUNCTION("""COMPUTED_VALUE"""),"0853340207")</f>
        <v>0853340207</v>
      </c>
      <c r="K5866" s="2" t="str">
        <f ca="1">IFERROR(__xludf.DUMMYFUNCTION("""COMPUTED_VALUE"""),"1759542300382")</f>
        <v>1759542300382</v>
      </c>
    </row>
    <row r="5867" spans="1:11" ht="12.45">
      <c r="A5867" s="2" t="str">
        <f ca="1">IFERROR(__xludf.DUMMYFUNCTION("""COMPUTED_VALUE"""),"1759542391118")</f>
        <v>1759542391118</v>
      </c>
      <c r="B5867" s="2"/>
      <c r="C5867" s="2" t="str">
        <v>0</v>
      </c>
      <c r="D5867" s="2"/>
      <c r="F5867" s="2" t="str">
        <v>0</v>
      </c>
      <c r="I5867" s="3" t="str">
        <f ca="1">IFERROR(__xludf.DUMMYFUNCTION("""COMPUTED_VALUE"""),"Trần Thị Bình Châu")</f>
        <v>Trần Thị Bình Châu</v>
      </c>
      <c r="J5867" s="3" t="str">
        <f ca="1">IFERROR(__xludf.DUMMYFUNCTION("""COMPUTED_VALUE"""),"0921960028")</f>
        <v>0921960028</v>
      </c>
      <c r="K5867" s="2" t="str">
        <f ca="1">IFERROR(__xludf.DUMMYFUNCTION("""COMPUTED_VALUE"""),"1759542391118")</f>
        <v>1759542391118</v>
      </c>
    </row>
    <row r="5868" spans="1:11" ht="12.45">
      <c r="A5868" s="2" t="str">
        <f ca="1">IFERROR(__xludf.DUMMYFUNCTION("""COMPUTED_VALUE"""),"1759542448006")</f>
        <v>1759542448006</v>
      </c>
      <c r="B5868" s="2"/>
      <c r="C5868" s="2" t="str">
        <v>0</v>
      </c>
      <c r="D5868" s="2"/>
      <c r="F5868" s="2" t="str">
        <v>0</v>
      </c>
      <c r="I5868" s="3" t="str">
        <f ca="1">IFERROR(__xludf.DUMMYFUNCTION("""COMPUTED_VALUE"""),"Lê Thị Huỳnh Hương ")</f>
        <v xml:space="preserve">Lê Thị Huỳnh Hương </v>
      </c>
      <c r="J5868" s="3" t="str">
        <f ca="1">IFERROR(__xludf.DUMMYFUNCTION("""COMPUTED_VALUE"""),"0398816152")</f>
        <v>0398816152</v>
      </c>
      <c r="K5868" s="2" t="str">
        <f ca="1">IFERROR(__xludf.DUMMYFUNCTION("""COMPUTED_VALUE"""),"1759542448006")</f>
        <v>1759542448006</v>
      </c>
    </row>
    <row r="5869" spans="1:11" ht="12.45">
      <c r="A5869" s="2" t="str">
        <f ca="1">IFERROR(__xludf.DUMMYFUNCTION("""COMPUTED_VALUE"""),"1759542511780")</f>
        <v>1759542511780</v>
      </c>
      <c r="B5869" s="2"/>
      <c r="C5869" s="2" t="str">
        <v>0</v>
      </c>
      <c r="D5869" s="2"/>
      <c r="F5869" s="2" t="str">
        <v>0</v>
      </c>
      <c r="I5869" s="3" t="str">
        <f ca="1">IFERROR(__xludf.DUMMYFUNCTION("""COMPUTED_VALUE"""),"Hoàng Chế Phương Thảo")</f>
        <v>Hoàng Chế Phương Thảo</v>
      </c>
      <c r="J5869" s="3" t="str">
        <f ca="1">IFERROR(__xludf.DUMMYFUNCTION("""COMPUTED_VALUE"""),"0865080307")</f>
        <v>0865080307</v>
      </c>
      <c r="K5869" s="2" t="str">
        <f ca="1">IFERROR(__xludf.DUMMYFUNCTION("""COMPUTED_VALUE"""),"1759542511780")</f>
        <v>1759542511780</v>
      </c>
    </row>
    <row r="5870" spans="1:11" ht="12.45">
      <c r="A5870" s="2" t="str">
        <f ca="1">IFERROR(__xludf.DUMMYFUNCTION("""COMPUTED_VALUE"""),"1759487575429")</f>
        <v>1759487575429</v>
      </c>
      <c r="B5870" s="2"/>
      <c r="C5870" s="2" t="str">
        <v>0</v>
      </c>
      <c r="D5870" s="2"/>
      <c r="F5870" s="2" t="str">
        <v>0</v>
      </c>
      <c r="I5870" s="3" t="str">
        <f ca="1">IFERROR(__xludf.DUMMYFUNCTION("""COMPUTED_VALUE"""),"Đặng Nguyễn Minh Thuỳ ")</f>
        <v xml:space="preserve">Đặng Nguyễn Minh Thuỳ </v>
      </c>
      <c r="J5870" s="3" t="str">
        <f ca="1">IFERROR(__xludf.DUMMYFUNCTION("""COMPUTED_VALUE"""),"0869338025")</f>
        <v>0869338025</v>
      </c>
      <c r="K5870" s="2" t="str">
        <f ca="1">IFERROR(__xludf.DUMMYFUNCTION("""COMPUTED_VALUE"""),"1759487575429")</f>
        <v>1759487575429</v>
      </c>
    </row>
    <row r="5871" spans="1:11" ht="12.45">
      <c r="A5871" s="2" t="str">
        <f ca="1">IFERROR(__xludf.DUMMYFUNCTION("""COMPUTED_VALUE"""),"1759542586206")</f>
        <v>1759542586206</v>
      </c>
      <c r="B5871" s="2"/>
      <c r="C5871" s="2" t="str">
        <v>0</v>
      </c>
      <c r="D5871" s="2"/>
      <c r="F5871" s="2" t="str">
        <v>0</v>
      </c>
      <c r="I5871" s="3" t="str">
        <f ca="1">IFERROR(__xludf.DUMMYFUNCTION("""COMPUTED_VALUE"""),"Nguyễn Hán Xuân Trường")</f>
        <v>Nguyễn Hán Xuân Trường</v>
      </c>
      <c r="J5871" s="3" t="str">
        <f ca="1">IFERROR(__xludf.DUMMYFUNCTION("""COMPUTED_VALUE"""),"0844631355")</f>
        <v>0844631355</v>
      </c>
      <c r="K5871" s="2" t="str">
        <f ca="1">IFERROR(__xludf.DUMMYFUNCTION("""COMPUTED_VALUE"""),"1759542586206")</f>
        <v>1759542586206</v>
      </c>
    </row>
    <row r="5872" spans="1:11" ht="12.45">
      <c r="A5872" s="2" t="str">
        <f ca="1">IFERROR(__xludf.DUMMYFUNCTION("""COMPUTED_VALUE"""),"1759542658100")</f>
        <v>1759542658100</v>
      </c>
      <c r="B5872" s="2"/>
      <c r="C5872" s="2" t="str">
        <v>0</v>
      </c>
      <c r="D5872" s="2"/>
      <c r="F5872" s="2" t="str">
        <v>0</v>
      </c>
      <c r="I5872" s="3" t="str">
        <f ca="1">IFERROR(__xludf.DUMMYFUNCTION("""COMPUTED_VALUE"""),"Võ Thị Thùy Dương")</f>
        <v>Võ Thị Thùy Dương</v>
      </c>
      <c r="J5872" s="3" t="str">
        <f ca="1">IFERROR(__xludf.DUMMYFUNCTION("""COMPUTED_VALUE"""),"0911085381")</f>
        <v>0911085381</v>
      </c>
      <c r="K5872" s="2" t="str">
        <f ca="1">IFERROR(__xludf.DUMMYFUNCTION("""COMPUTED_VALUE"""),"1759542658100")</f>
        <v>1759542658100</v>
      </c>
    </row>
    <row r="5873" spans="1:11" ht="12.45">
      <c r="A5873" s="2" t="str">
        <f ca="1">IFERROR(__xludf.DUMMYFUNCTION("""COMPUTED_VALUE"""),"1759542716551")</f>
        <v>1759542716551</v>
      </c>
      <c r="B5873" s="2"/>
      <c r="C5873" s="2" t="str">
        <v>0</v>
      </c>
      <c r="D5873" s="2"/>
      <c r="F5873" s="2" t="str">
        <v>0</v>
      </c>
      <c r="I5873" s="3" t="str">
        <f ca="1">IFERROR(__xludf.DUMMYFUNCTION("""COMPUTED_VALUE"""),"Ngô Thị Thu Hà")</f>
        <v>Ngô Thị Thu Hà</v>
      </c>
      <c r="J5873" s="3" t="str">
        <f ca="1">IFERROR(__xludf.DUMMYFUNCTION("""COMPUTED_VALUE"""),"0363859018")</f>
        <v>0363859018</v>
      </c>
      <c r="K5873" s="2" t="str">
        <f ca="1">IFERROR(__xludf.DUMMYFUNCTION("""COMPUTED_VALUE"""),"1759542716551")</f>
        <v>1759542716551</v>
      </c>
    </row>
    <row r="5874" spans="1:11" ht="12.45">
      <c r="A5874" s="2" t="str">
        <f ca="1">IFERROR(__xludf.DUMMYFUNCTION("""COMPUTED_VALUE"""),"1759542783337")</f>
        <v>1759542783337</v>
      </c>
      <c r="B5874" s="2"/>
      <c r="C5874" s="2" t="str">
        <v>0</v>
      </c>
      <c r="D5874" s="2"/>
      <c r="F5874" s="2" t="str">
        <v>0</v>
      </c>
      <c r="I5874" s="3" t="str">
        <f ca="1">IFERROR(__xludf.DUMMYFUNCTION("""COMPUTED_VALUE"""),"Nguyễn Tùng Sơn ")</f>
        <v xml:space="preserve">Nguyễn Tùng Sơn </v>
      </c>
      <c r="J5874" s="3" t="str">
        <f ca="1">IFERROR(__xludf.DUMMYFUNCTION("""COMPUTED_VALUE"""),"0989593573")</f>
        <v>0989593573</v>
      </c>
      <c r="K5874" s="2" t="str">
        <f ca="1">IFERROR(__xludf.DUMMYFUNCTION("""COMPUTED_VALUE"""),"1759542783337")</f>
        <v>1759542783337</v>
      </c>
    </row>
    <row r="5875" spans="1:11" ht="12.45">
      <c r="A5875" s="2" t="str">
        <f ca="1">IFERROR(__xludf.DUMMYFUNCTION("""COMPUTED_VALUE"""),"1759487639798")</f>
        <v>1759487639798</v>
      </c>
      <c r="B5875" s="2"/>
      <c r="C5875" s="2" t="str">
        <v>0</v>
      </c>
      <c r="D5875" s="2"/>
      <c r="F5875" s="2" t="str">
        <v>0</v>
      </c>
      <c r="I5875" s="3" t="str">
        <f ca="1">IFERROR(__xludf.DUMMYFUNCTION("""COMPUTED_VALUE"""),"Thái Thị Cẩm Ly")</f>
        <v>Thái Thị Cẩm Ly</v>
      </c>
      <c r="J5875" s="3" t="str">
        <f ca="1">IFERROR(__xludf.DUMMYFUNCTION("""COMPUTED_VALUE"""),"0856528159")</f>
        <v>0856528159</v>
      </c>
      <c r="K5875" s="2" t="str">
        <f ca="1">IFERROR(__xludf.DUMMYFUNCTION("""COMPUTED_VALUE"""),"1759487639798")</f>
        <v>1759487639798</v>
      </c>
    </row>
    <row r="5876" spans="1:11" ht="12.45">
      <c r="A5876" s="2" t="str">
        <f ca="1">IFERROR(__xludf.DUMMYFUNCTION("""COMPUTED_VALUE"""),"1759542872937")</f>
        <v>1759542872937</v>
      </c>
      <c r="B5876" s="2"/>
      <c r="C5876" s="2" t="str">
        <v>0</v>
      </c>
      <c r="D5876" s="2"/>
      <c r="F5876" s="2" t="str">
        <v>0</v>
      </c>
      <c r="I5876" s="3" t="str">
        <f ca="1">IFERROR(__xludf.DUMMYFUNCTION("""COMPUTED_VALUE"""),"Nguyễn Đoan Trang")</f>
        <v>Nguyễn Đoan Trang</v>
      </c>
      <c r="J5876" s="3" t="str">
        <f ca="1">IFERROR(__xludf.DUMMYFUNCTION("""COMPUTED_VALUE"""),"0702899701")</f>
        <v>0702899701</v>
      </c>
      <c r="K5876" s="2" t="str">
        <f ca="1">IFERROR(__xludf.DUMMYFUNCTION("""COMPUTED_VALUE"""),"1759542872937")</f>
        <v>1759542872937</v>
      </c>
    </row>
    <row r="5877" spans="1:11" ht="12.45">
      <c r="A5877" s="2" t="str">
        <f ca="1">IFERROR(__xludf.DUMMYFUNCTION("""COMPUTED_VALUE"""),"1759487729748")</f>
        <v>1759487729748</v>
      </c>
      <c r="B5877" s="2"/>
      <c r="C5877" s="2" t="str">
        <v>0</v>
      </c>
      <c r="D5877" s="2"/>
      <c r="F5877" s="2" t="str">
        <v>0</v>
      </c>
      <c r="I5877" s="3" t="str">
        <f ca="1">IFERROR(__xludf.DUMMYFUNCTION("""COMPUTED_VALUE"""),"Trần Hoàng Thảo Hương ")</f>
        <v xml:space="preserve">Trần Hoàng Thảo Hương </v>
      </c>
      <c r="J5877" s="3" t="str">
        <f ca="1">IFERROR(__xludf.DUMMYFUNCTION("""COMPUTED_VALUE"""),"0327080607")</f>
        <v>0327080607</v>
      </c>
      <c r="K5877" s="2" t="str">
        <f ca="1">IFERROR(__xludf.DUMMYFUNCTION("""COMPUTED_VALUE"""),"1759487729748")</f>
        <v>1759487729748</v>
      </c>
    </row>
    <row r="5878" spans="1:11" ht="12.45">
      <c r="A5878" s="2" t="str">
        <f ca="1">IFERROR(__xludf.DUMMYFUNCTION("""COMPUTED_VALUE"""),"1759542978633")</f>
        <v>1759542978633</v>
      </c>
      <c r="B5878" s="2"/>
      <c r="C5878" s="2" t="str">
        <v>0</v>
      </c>
      <c r="D5878" s="2"/>
      <c r="F5878" s="2" t="str">
        <v>0</v>
      </c>
      <c r="I5878" s="3" t="str">
        <f ca="1">IFERROR(__xludf.DUMMYFUNCTION("""COMPUTED_VALUE"""),"Nguyễn Thị Thu Hằng")</f>
        <v>Nguyễn Thị Thu Hằng</v>
      </c>
      <c r="J5878" s="3" t="str">
        <f ca="1">IFERROR(__xludf.DUMMYFUNCTION("""COMPUTED_VALUE"""),"0935071411")</f>
        <v>0935071411</v>
      </c>
      <c r="K5878" s="2" t="str">
        <f ca="1">IFERROR(__xludf.DUMMYFUNCTION("""COMPUTED_VALUE"""),"1759542978633")</f>
        <v>1759542978633</v>
      </c>
    </row>
    <row r="5879" spans="1:11" ht="12.45">
      <c r="A5879" s="2"/>
      <c r="B5879" s="2"/>
      <c r="C5879" s="2" t="str">
        <v>0</v>
      </c>
      <c r="D5879" s="2"/>
      <c r="F5879" s="2" t="str">
        <v>0</v>
      </c>
      <c r="I5879" s="3" t="str">
        <f ca="1">IFERROR(__xludf.DUMMYFUNCTION("""COMPUTED_VALUE"""),"Đặng Nguyễn Minh Thuỳ ")</f>
        <v xml:space="preserve">Đặng Nguyễn Minh Thuỳ </v>
      </c>
      <c r="J5879" s="3" t="str">
        <f ca="1">IFERROR(__xludf.DUMMYFUNCTION("""COMPUTED_VALUE"""),"0869338025")</f>
        <v>0869338025</v>
      </c>
      <c r="K5879" s="2"/>
    </row>
    <row r="5880" spans="1:11" ht="12.45">
      <c r="A5880" s="2" t="str">
        <f ca="1">IFERROR(__xludf.DUMMYFUNCTION("""COMPUTED_VALUE"""),"1759543033600")</f>
        <v>1759543033600</v>
      </c>
      <c r="B5880" s="2"/>
      <c r="C5880" s="2" t="str">
        <v>0</v>
      </c>
      <c r="D5880" s="2"/>
      <c r="F5880" s="2" t="str">
        <v>0</v>
      </c>
      <c r="I5880" s="3" t="str">
        <f ca="1">IFERROR(__xludf.DUMMYFUNCTION("""COMPUTED_VALUE"""),"Đoàn Linh Phượng")</f>
        <v>Đoàn Linh Phượng</v>
      </c>
      <c r="J5880" s="3" t="str">
        <f ca="1">IFERROR(__xludf.DUMMYFUNCTION("""COMPUTED_VALUE"""),"0981798621")</f>
        <v>0981798621</v>
      </c>
      <c r="K5880" s="2" t="str">
        <f ca="1">IFERROR(__xludf.DUMMYFUNCTION("""COMPUTED_VALUE"""),"1759543033600")</f>
        <v>1759543033600</v>
      </c>
    </row>
    <row r="5881" spans="1:11" ht="12.45">
      <c r="A5881" s="2" t="str">
        <f ca="1">IFERROR(__xludf.DUMMYFUNCTION("""COMPUTED_VALUE"""),"1759487793730")</f>
        <v>1759487793730</v>
      </c>
      <c r="B5881" s="2"/>
      <c r="C5881" s="2" t="str">
        <v>0</v>
      </c>
      <c r="D5881" s="2"/>
      <c r="F5881" s="2" t="str">
        <v>0</v>
      </c>
      <c r="I5881" s="3" t="str">
        <f ca="1">IFERROR(__xludf.DUMMYFUNCTION("""COMPUTED_VALUE"""),"Nguyễn Lê Tâm An")</f>
        <v>Nguyễn Lê Tâm An</v>
      </c>
      <c r="J5881" s="3" t="str">
        <f ca="1">IFERROR(__xludf.DUMMYFUNCTION("""COMPUTED_VALUE"""),"0376627544")</f>
        <v>0376627544</v>
      </c>
      <c r="K5881" s="2" t="str">
        <f ca="1">IFERROR(__xludf.DUMMYFUNCTION("""COMPUTED_VALUE"""),"1759487793730")</f>
        <v>1759487793730</v>
      </c>
    </row>
    <row r="5882" spans="1:11" ht="12.45">
      <c r="A5882" s="2" t="str">
        <f ca="1">IFERROR(__xludf.DUMMYFUNCTION("""COMPUTED_VALUE"""),"Không giao sách")</f>
        <v>Không giao sách</v>
      </c>
      <c r="B5882" s="2"/>
      <c r="C5882" s="2" t="str">
        <v>0</v>
      </c>
      <c r="D5882" s="2"/>
      <c r="F5882" s="2" t="str">
        <v>0</v>
      </c>
      <c r="I5882" s="3" t="str">
        <f ca="1">IFERROR(__xludf.DUMMYFUNCTION("""COMPUTED_VALUE"""),"Nguyễn Xuân Thuyền ")</f>
        <v xml:space="preserve">Nguyễn Xuân Thuyền </v>
      </c>
      <c r="J5882" s="3" t="str">
        <f ca="1">IFERROR(__xludf.DUMMYFUNCTION("""COMPUTED_VALUE"""),"0354812946")</f>
        <v>0354812946</v>
      </c>
      <c r="K5882" s="2" t="str">
        <f ca="1">IFERROR(__xludf.DUMMYFUNCTION("""COMPUTED_VALUE"""),"Không giao sách")</f>
        <v>Không giao sách</v>
      </c>
    </row>
    <row r="5883" spans="1:11" ht="12.45">
      <c r="A5883" s="2" t="str">
        <f ca="1">IFERROR(__xludf.DUMMYFUNCTION("""COMPUTED_VALUE"""),"1759487868797")</f>
        <v>1759487868797</v>
      </c>
      <c r="B5883" s="2"/>
      <c r="C5883" s="2" t="str">
        <v>0</v>
      </c>
      <c r="D5883" s="2"/>
      <c r="F5883" s="2" t="str">
        <v>0</v>
      </c>
      <c r="I5883" s="3" t="str">
        <f ca="1">IFERROR(__xludf.DUMMYFUNCTION("""COMPUTED_VALUE"""),"Hồ Thị Hoa Gấm")</f>
        <v>Hồ Thị Hoa Gấm</v>
      </c>
      <c r="J5883" s="3" t="str">
        <f ca="1">IFERROR(__xludf.DUMMYFUNCTION("""COMPUTED_VALUE"""),"0967840572")</f>
        <v>0967840572</v>
      </c>
      <c r="K5883" s="2" t="str">
        <f ca="1">IFERROR(__xludf.DUMMYFUNCTION("""COMPUTED_VALUE"""),"1759487868797")</f>
        <v>1759487868797</v>
      </c>
    </row>
    <row r="5884" spans="1:11" ht="12.45">
      <c r="A5884" s="2" t="str">
        <f ca="1">IFERROR(__xludf.DUMMYFUNCTION("""COMPUTED_VALUE"""),"1759487926808")</f>
        <v>1759487926808</v>
      </c>
      <c r="B5884" s="2"/>
      <c r="C5884" s="2" t="str">
        <v>0</v>
      </c>
      <c r="D5884" s="2"/>
      <c r="F5884" s="2" t="str">
        <v>0</v>
      </c>
      <c r="I5884" s="3" t="str">
        <f ca="1">IFERROR(__xludf.DUMMYFUNCTION("""COMPUTED_VALUE"""),"Lê Thị Thu Diệu")</f>
        <v>Lê Thị Thu Diệu</v>
      </c>
      <c r="J5884" s="3" t="str">
        <f ca="1">IFERROR(__xludf.DUMMYFUNCTION("""COMPUTED_VALUE"""),"0792112555")</f>
        <v>0792112555</v>
      </c>
      <c r="K5884" s="2" t="str">
        <f ca="1">IFERROR(__xludf.DUMMYFUNCTION("""COMPUTED_VALUE"""),"1759487926808")</f>
        <v>1759487926808</v>
      </c>
    </row>
    <row r="5885" spans="1:11" ht="12.45">
      <c r="A5885" s="2" t="str">
        <f ca="1">IFERROR(__xludf.DUMMYFUNCTION("""COMPUTED_VALUE"""),"1759487977396")</f>
        <v>1759487977396</v>
      </c>
      <c r="B5885" s="2"/>
      <c r="C5885" s="2" t="str">
        <v>0</v>
      </c>
      <c r="D5885" s="2"/>
      <c r="F5885" s="2" t="str">
        <v>0</v>
      </c>
      <c r="I5885" s="3" t="str">
        <f ca="1">IFERROR(__xludf.DUMMYFUNCTION("""COMPUTED_VALUE"""),"Chu Sỹ Trần Huy")</f>
        <v>Chu Sỹ Trần Huy</v>
      </c>
      <c r="J5885" s="3" t="str">
        <f ca="1">IFERROR(__xludf.DUMMYFUNCTION("""COMPUTED_VALUE"""),"0392863664")</f>
        <v>0392863664</v>
      </c>
      <c r="K5885" s="2" t="str">
        <f ca="1">IFERROR(__xludf.DUMMYFUNCTION("""COMPUTED_VALUE"""),"1759487977396")</f>
        <v>1759487977396</v>
      </c>
    </row>
    <row r="5886" spans="1:11" ht="12.45">
      <c r="A5886" s="2" t="str">
        <f ca="1">IFERROR(__xludf.DUMMYFUNCTION("""COMPUTED_VALUE"""),"1759543127725")</f>
        <v>1759543127725</v>
      </c>
      <c r="B5886" s="2"/>
      <c r="C5886" s="2" t="str">
        <v>0</v>
      </c>
      <c r="D5886" s="2"/>
      <c r="F5886" s="2" t="str">
        <v>0</v>
      </c>
      <c r="I5886" s="3" t="str">
        <f ca="1">IFERROR(__xludf.DUMMYFUNCTION("""COMPUTED_VALUE"""),"Trịnh Phương Linh")</f>
        <v>Trịnh Phương Linh</v>
      </c>
      <c r="J5886" s="3" t="str">
        <f ca="1">IFERROR(__xludf.DUMMYFUNCTION("""COMPUTED_VALUE"""),"0902270407")</f>
        <v>0902270407</v>
      </c>
      <c r="K5886" s="2" t="str">
        <f ca="1">IFERROR(__xludf.DUMMYFUNCTION("""COMPUTED_VALUE"""),"1759543127725")</f>
        <v>1759543127725</v>
      </c>
    </row>
    <row r="5887" spans="1:11" ht="12.45">
      <c r="A5887" s="2" t="str">
        <f ca="1">IFERROR(__xludf.DUMMYFUNCTION("""COMPUTED_VALUE"""),"1759543178446")</f>
        <v>1759543178446</v>
      </c>
      <c r="B5887" s="2"/>
      <c r="C5887" s="2" t="str">
        <v>0</v>
      </c>
      <c r="D5887" s="2"/>
      <c r="F5887" s="2" t="str">
        <v>0</v>
      </c>
      <c r="I5887" s="3" t="str">
        <f ca="1">IFERROR(__xludf.DUMMYFUNCTION("""COMPUTED_VALUE"""),"Trần Thanh Phương")</f>
        <v>Trần Thanh Phương</v>
      </c>
      <c r="J5887" s="3" t="str">
        <f ca="1">IFERROR(__xludf.DUMMYFUNCTION("""COMPUTED_VALUE"""),"0906878368")</f>
        <v>0906878368</v>
      </c>
      <c r="K5887" s="2" t="str">
        <f ca="1">IFERROR(__xludf.DUMMYFUNCTION("""COMPUTED_VALUE"""),"1759543178446")</f>
        <v>1759543178446</v>
      </c>
    </row>
    <row r="5888" spans="1:11" ht="12.45">
      <c r="A5888" s="2" t="str">
        <f ca="1">IFERROR(__xludf.DUMMYFUNCTION("""COMPUTED_VALUE"""),"1759543233762")</f>
        <v>1759543233762</v>
      </c>
      <c r="B5888" s="2"/>
      <c r="C5888" s="2" t="str">
        <v>0</v>
      </c>
      <c r="D5888" s="2"/>
      <c r="F5888" s="2" t="str">
        <v>0</v>
      </c>
      <c r="I5888" s="3" t="str">
        <f ca="1">IFERROR(__xludf.DUMMYFUNCTION("""COMPUTED_VALUE"""),"Trần Thị Diệu Thanh")</f>
        <v>Trần Thị Diệu Thanh</v>
      </c>
      <c r="J5888" s="3" t="str">
        <f ca="1">IFERROR(__xludf.DUMMYFUNCTION("""COMPUTED_VALUE"""),"0904730697")</f>
        <v>0904730697</v>
      </c>
      <c r="K5888" s="2" t="str">
        <f ca="1">IFERROR(__xludf.DUMMYFUNCTION("""COMPUTED_VALUE"""),"1759543233762")</f>
        <v>1759543233762</v>
      </c>
    </row>
    <row r="5889" spans="1:11" ht="12.45">
      <c r="A5889" s="2" t="str">
        <f ca="1">IFERROR(__xludf.DUMMYFUNCTION("""COMPUTED_VALUE"""),"Không giao sách")</f>
        <v>Không giao sách</v>
      </c>
      <c r="B5889" s="2"/>
      <c r="C5889" s="2" t="str">
        <v>0</v>
      </c>
      <c r="D5889" s="2"/>
      <c r="F5889" s="2" t="str">
        <v>0</v>
      </c>
      <c r="I5889" s="3" t="str">
        <f ca="1">IFERROR(__xludf.DUMMYFUNCTION("""COMPUTED_VALUE"""),"Đỗ Lê Minh Tâm ")</f>
        <v xml:space="preserve">Đỗ Lê Minh Tâm </v>
      </c>
      <c r="J5889" s="3" t="str">
        <f ca="1">IFERROR(__xludf.DUMMYFUNCTION("""COMPUTED_VALUE"""),"0386773892")</f>
        <v>0386773892</v>
      </c>
      <c r="K5889" s="2" t="str">
        <f ca="1">IFERROR(__xludf.DUMMYFUNCTION("""COMPUTED_VALUE"""),"Không giao sách")</f>
        <v>Không giao sách</v>
      </c>
    </row>
    <row r="5890" spans="1:11" ht="12.45">
      <c r="A5890" s="2" t="str">
        <f ca="1">IFERROR(__xludf.DUMMYFUNCTION("""COMPUTED_VALUE"""),"1759488023699")</f>
        <v>1759488023699</v>
      </c>
      <c r="B5890" s="2"/>
      <c r="C5890" s="2" t="str">
        <v>0</v>
      </c>
      <c r="D5890" s="2"/>
      <c r="F5890" s="2" t="str">
        <v>0</v>
      </c>
      <c r="I5890" s="3" t="str">
        <f ca="1">IFERROR(__xludf.DUMMYFUNCTION("""COMPUTED_VALUE"""),"Nguyễn Bảo Trâm")</f>
        <v>Nguyễn Bảo Trâm</v>
      </c>
      <c r="J5890" s="3" t="str">
        <f ca="1">IFERROR(__xludf.DUMMYFUNCTION("""COMPUTED_VALUE"""),"0866835238")</f>
        <v>0866835238</v>
      </c>
      <c r="K5890" s="2" t="str">
        <f ca="1">IFERROR(__xludf.DUMMYFUNCTION("""COMPUTED_VALUE"""),"1759488023699")</f>
        <v>1759488023699</v>
      </c>
    </row>
    <row r="5891" spans="1:11" ht="12.45">
      <c r="A5891" s="2" t="str">
        <f ca="1">IFERROR(__xludf.DUMMYFUNCTION("""COMPUTED_VALUE"""),"1759488068893")</f>
        <v>1759488068893</v>
      </c>
      <c r="B5891" s="2"/>
      <c r="C5891" s="2" t="str">
        <v>0</v>
      </c>
      <c r="D5891" s="2"/>
      <c r="F5891" s="2" t="str">
        <v>0</v>
      </c>
      <c r="I5891" s="3" t="str">
        <f ca="1">IFERROR(__xludf.DUMMYFUNCTION("""COMPUTED_VALUE"""),"Trương Thị Bảo Trân")</f>
        <v>Trương Thị Bảo Trân</v>
      </c>
      <c r="J5891" s="3" t="str">
        <f ca="1">IFERROR(__xludf.DUMMYFUNCTION("""COMPUTED_VALUE"""),"0825707949")</f>
        <v>0825707949</v>
      </c>
      <c r="K5891" s="2" t="str">
        <f ca="1">IFERROR(__xludf.DUMMYFUNCTION("""COMPUTED_VALUE"""),"1759488068893")</f>
        <v>1759488068893</v>
      </c>
    </row>
    <row r="5892" spans="1:11" ht="12.45">
      <c r="A5892" s="2" t="str">
        <f ca="1">IFERROR(__xludf.DUMMYFUNCTION("""COMPUTED_VALUE"""),"1758488190610")</f>
        <v>1758488190610</v>
      </c>
      <c r="B5892" s="2"/>
      <c r="C5892" s="2" t="str">
        <v>0</v>
      </c>
      <c r="D5892" s="2"/>
      <c r="F5892" s="2" t="str">
        <v>0</v>
      </c>
      <c r="I5892" s="3" t="str">
        <f ca="1">IFERROR(__xludf.DUMMYFUNCTION("""COMPUTED_VALUE"""),"Ngô Hương Giang")</f>
        <v>Ngô Hương Giang</v>
      </c>
      <c r="J5892" s="3" t="str">
        <f ca="1">IFERROR(__xludf.DUMMYFUNCTION("""COMPUTED_VALUE"""),"0983278171")</f>
        <v>0983278171</v>
      </c>
      <c r="K5892" s="2" t="str">
        <f ca="1">IFERROR(__xludf.DUMMYFUNCTION("""COMPUTED_VALUE"""),"1758488190610")</f>
        <v>1758488190610</v>
      </c>
    </row>
    <row r="5893" spans="1:11" ht="12.45">
      <c r="A5893" s="2" t="str">
        <f ca="1">IFERROR(__xludf.DUMMYFUNCTION("""COMPUTED_VALUE"""),"1759488105571")</f>
        <v>1759488105571</v>
      </c>
      <c r="B5893" s="2"/>
      <c r="C5893" s="2" t="str">
        <v>0</v>
      </c>
      <c r="D5893" s="2"/>
      <c r="F5893" s="2" t="str">
        <v>0</v>
      </c>
      <c r="I5893" s="3" t="str">
        <f ca="1">IFERROR(__xludf.DUMMYFUNCTION("""COMPUTED_VALUE"""),"Lê Ngọc Khánh Đan")</f>
        <v>Lê Ngọc Khánh Đan</v>
      </c>
      <c r="J5893" s="3" t="str">
        <f ca="1">IFERROR(__xludf.DUMMYFUNCTION("""COMPUTED_VALUE"""),"0968738633")</f>
        <v>0968738633</v>
      </c>
      <c r="K5893" s="2" t="str">
        <f ca="1">IFERROR(__xludf.DUMMYFUNCTION("""COMPUTED_VALUE"""),"1759488105571")</f>
        <v>1759488105571</v>
      </c>
    </row>
    <row r="5894" spans="1:11" ht="12.45">
      <c r="A5894" s="2" t="str">
        <f ca="1">IFERROR(__xludf.DUMMYFUNCTION("""COMPUTED_VALUE"""),"1759543322457")</f>
        <v>1759543322457</v>
      </c>
      <c r="B5894" s="2"/>
      <c r="C5894" s="2" t="str">
        <v>0</v>
      </c>
      <c r="D5894" s="2"/>
      <c r="F5894" s="2" t="str">
        <v>0</v>
      </c>
      <c r="I5894" s="3" t="str">
        <f ca="1">IFERROR(__xludf.DUMMYFUNCTION("""COMPUTED_VALUE"""),"Vũ Quỳnh Anh")</f>
        <v>Vũ Quỳnh Anh</v>
      </c>
      <c r="J5894" s="3" t="str">
        <f ca="1">IFERROR(__xludf.DUMMYFUNCTION("""COMPUTED_VALUE"""),"0396066326")</f>
        <v>0396066326</v>
      </c>
      <c r="K5894" s="2" t="str">
        <f ca="1">IFERROR(__xludf.DUMMYFUNCTION("""COMPUTED_VALUE"""),"1759543322457")</f>
        <v>1759543322457</v>
      </c>
    </row>
    <row r="5895" spans="1:11" ht="12.45">
      <c r="A5895" s="2" t="str">
        <f ca="1">IFERROR(__xludf.DUMMYFUNCTION("""COMPUTED_VALUE"""),"1759543382283")</f>
        <v>1759543382283</v>
      </c>
      <c r="B5895" s="2"/>
      <c r="C5895" s="2" t="str">
        <v>0</v>
      </c>
      <c r="D5895" s="2"/>
      <c r="F5895" s="2" t="str">
        <v>0</v>
      </c>
      <c r="I5895" s="3" t="str">
        <f ca="1">IFERROR(__xludf.DUMMYFUNCTION("""COMPUTED_VALUE"""),"Đàm văn phúc")</f>
        <v>Đàm văn phúc</v>
      </c>
      <c r="J5895" s="3" t="str">
        <f ca="1">IFERROR(__xludf.DUMMYFUNCTION("""COMPUTED_VALUE"""),"0358158508")</f>
        <v>0358158508</v>
      </c>
      <c r="K5895" s="2" t="str">
        <f ca="1">IFERROR(__xludf.DUMMYFUNCTION("""COMPUTED_VALUE"""),"1759543382283")</f>
        <v>1759543382283</v>
      </c>
    </row>
    <row r="5896" spans="1:11" ht="12.45">
      <c r="A5896" s="2" t="str">
        <f ca="1">IFERROR(__xludf.DUMMYFUNCTION("""COMPUTED_VALUE"""),"1759488159732")</f>
        <v>1759488159732</v>
      </c>
      <c r="B5896" s="2"/>
      <c r="C5896" s="2" t="str">
        <v>0</v>
      </c>
      <c r="D5896" s="2"/>
      <c r="F5896" s="2" t="str">
        <v>0</v>
      </c>
      <c r="I5896" s="3" t="str">
        <f ca="1">IFERROR(__xludf.DUMMYFUNCTION("""COMPUTED_VALUE"""),"Đặng Thị Quỳnh Anh")</f>
        <v>Đặng Thị Quỳnh Anh</v>
      </c>
      <c r="J5896" s="3" t="str">
        <f ca="1">IFERROR(__xludf.DUMMYFUNCTION("""COMPUTED_VALUE"""),"0862175107")</f>
        <v>0862175107</v>
      </c>
      <c r="K5896" s="2" t="str">
        <f ca="1">IFERROR(__xludf.DUMMYFUNCTION("""COMPUTED_VALUE"""),"1759488159732")</f>
        <v>1759488159732</v>
      </c>
    </row>
    <row r="5897" spans="1:11" ht="12.45">
      <c r="A5897" s="2" t="str">
        <f ca="1">IFERROR(__xludf.DUMMYFUNCTION("""COMPUTED_VALUE"""),"1759543505031")</f>
        <v>1759543505031</v>
      </c>
      <c r="B5897" s="2"/>
      <c r="C5897" s="2" t="str">
        <v>0</v>
      </c>
      <c r="D5897" s="2"/>
      <c r="F5897" s="2" t="str">
        <v>0</v>
      </c>
      <c r="I5897" s="3" t="str">
        <f ca="1">IFERROR(__xludf.DUMMYFUNCTION("""COMPUTED_VALUE"""),"Huỳnh Kim Hoàng Thị Gia Linh")</f>
        <v>Huỳnh Kim Hoàng Thị Gia Linh</v>
      </c>
      <c r="J5897" s="3" t="str">
        <f ca="1">IFERROR(__xludf.DUMMYFUNCTION("""COMPUTED_VALUE"""),"0386494491")</f>
        <v>0386494491</v>
      </c>
      <c r="K5897" s="2" t="str">
        <f ca="1">IFERROR(__xludf.DUMMYFUNCTION("""COMPUTED_VALUE"""),"1759543505031")</f>
        <v>1759543505031</v>
      </c>
    </row>
    <row r="5898" spans="1:11" ht="12.45">
      <c r="A5898" s="2" t="str">
        <f ca="1">IFERROR(__xludf.DUMMYFUNCTION("""COMPUTED_VALUE"""),"1759543612170")</f>
        <v>1759543612170</v>
      </c>
      <c r="B5898" s="2"/>
      <c r="C5898" s="2" t="str">
        <v>0</v>
      </c>
      <c r="D5898" s="2"/>
      <c r="F5898" s="2" t="str">
        <v>0</v>
      </c>
      <c r="I5898" s="3" t="str">
        <f ca="1">IFERROR(__xludf.DUMMYFUNCTION("""COMPUTED_VALUE"""),"Thái Phương Thảo")</f>
        <v>Thái Phương Thảo</v>
      </c>
      <c r="J5898" s="3" t="str">
        <f ca="1">IFERROR(__xludf.DUMMYFUNCTION("""COMPUTED_VALUE"""),"0366927027")</f>
        <v>0366927027</v>
      </c>
      <c r="K5898" s="2" t="str">
        <f ca="1">IFERROR(__xludf.DUMMYFUNCTION("""COMPUTED_VALUE"""),"1759543612170")</f>
        <v>1759543612170</v>
      </c>
    </row>
    <row r="5899" spans="1:11" ht="12.45">
      <c r="A5899" s="2" t="str">
        <f ca="1">IFERROR(__xludf.DUMMYFUNCTION("""COMPUTED_VALUE"""),"1759488203943")</f>
        <v>1759488203943</v>
      </c>
      <c r="B5899" s="2"/>
      <c r="C5899" s="2" t="str">
        <v>0</v>
      </c>
      <c r="D5899" s="2"/>
      <c r="F5899" s="2" t="str">
        <v>0</v>
      </c>
      <c r="I5899" s="3" t="str">
        <f ca="1">IFERROR(__xludf.DUMMYFUNCTION("""COMPUTED_VALUE"""),"Vũ Thu Thảo")</f>
        <v>Vũ Thu Thảo</v>
      </c>
      <c r="J5899" s="3" t="str">
        <f ca="1">IFERROR(__xludf.DUMMYFUNCTION("""COMPUTED_VALUE"""),"0878931323")</f>
        <v>0878931323</v>
      </c>
      <c r="K5899" s="2" t="str">
        <f ca="1">IFERROR(__xludf.DUMMYFUNCTION("""COMPUTED_VALUE"""),"1759488203943")</f>
        <v>1759488203943</v>
      </c>
    </row>
    <row r="5900" spans="1:11" ht="12.45">
      <c r="A5900" s="2" t="str">
        <f ca="1">IFERROR(__xludf.DUMMYFUNCTION("""COMPUTED_VALUE"""),"1759543713000")</f>
        <v>1759543713000</v>
      </c>
      <c r="B5900" s="2"/>
      <c r="C5900" s="2" t="str">
        <v>0</v>
      </c>
      <c r="D5900" s="2"/>
      <c r="F5900" s="2" t="str">
        <v>0</v>
      </c>
      <c r="I5900" s="3" t="str">
        <f ca="1">IFERROR(__xludf.DUMMYFUNCTION("""COMPUTED_VALUE"""),"Trần Uyên Nhi")</f>
        <v>Trần Uyên Nhi</v>
      </c>
      <c r="J5900" s="3" t="str">
        <f ca="1">IFERROR(__xludf.DUMMYFUNCTION("""COMPUTED_VALUE"""),"0935106905")</f>
        <v>0935106905</v>
      </c>
      <c r="K5900" s="2" t="str">
        <f ca="1">IFERROR(__xludf.DUMMYFUNCTION("""COMPUTED_VALUE"""),"1759543713000")</f>
        <v>1759543713000</v>
      </c>
    </row>
    <row r="5901" spans="1:11" ht="12.45">
      <c r="A5901" s="2" t="str">
        <f ca="1">IFERROR(__xludf.DUMMYFUNCTION("""COMPUTED_VALUE"""),"1759543812977")</f>
        <v>1759543812977</v>
      </c>
      <c r="B5901" s="2"/>
      <c r="C5901" s="2" t="str">
        <v>0</v>
      </c>
      <c r="D5901" s="2"/>
      <c r="F5901" s="2" t="str">
        <v>0</v>
      </c>
      <c r="I5901" s="3" t="str">
        <f ca="1">IFERROR(__xludf.DUMMYFUNCTION("""COMPUTED_VALUE"""),"Nguyễn Thiên Hương")</f>
        <v>Nguyễn Thiên Hương</v>
      </c>
      <c r="J5901" s="3" t="str">
        <f ca="1">IFERROR(__xludf.DUMMYFUNCTION("""COMPUTED_VALUE"""),"0842019235")</f>
        <v>0842019235</v>
      </c>
      <c r="K5901" s="2" t="str">
        <f ca="1">IFERROR(__xludf.DUMMYFUNCTION("""COMPUTED_VALUE"""),"1759543812977")</f>
        <v>1759543812977</v>
      </c>
    </row>
    <row r="5902" spans="1:11" ht="12.45">
      <c r="A5902" s="2" t="str">
        <f ca="1">IFERROR(__xludf.DUMMYFUNCTION("""COMPUTED_VALUE"""),"1759488255010")</f>
        <v>1759488255010</v>
      </c>
      <c r="B5902" s="2"/>
      <c r="C5902" s="2" t="str">
        <v>0</v>
      </c>
      <c r="D5902" s="2"/>
      <c r="F5902" s="2" t="str">
        <v>0</v>
      </c>
      <c r="I5902" s="3" t="str">
        <f ca="1">IFERROR(__xludf.DUMMYFUNCTION("""COMPUTED_VALUE"""),"Thân Thế Khải")</f>
        <v>Thân Thế Khải</v>
      </c>
      <c r="J5902" s="3" t="str">
        <f ca="1">IFERROR(__xludf.DUMMYFUNCTION("""COMPUTED_VALUE"""),"0364572589")</f>
        <v>0364572589</v>
      </c>
      <c r="K5902" s="2" t="str">
        <f ca="1">IFERROR(__xludf.DUMMYFUNCTION("""COMPUTED_VALUE"""),"1759488255010")</f>
        <v>1759488255010</v>
      </c>
    </row>
    <row r="5903" spans="1:11" ht="12.45">
      <c r="A5903" s="2" t="str">
        <f ca="1">IFERROR(__xludf.DUMMYFUNCTION("""COMPUTED_VALUE"""),"1759543857028")</f>
        <v>1759543857028</v>
      </c>
      <c r="B5903" s="2"/>
      <c r="C5903" s="2" t="str">
        <v>0</v>
      </c>
      <c r="D5903" s="2"/>
      <c r="F5903" s="2" t="str">
        <v>0</v>
      </c>
      <c r="I5903" s="3" t="str">
        <f ca="1">IFERROR(__xludf.DUMMYFUNCTION("""COMPUTED_VALUE"""),"Đường Bảo Hoàng Phương")</f>
        <v>Đường Bảo Hoàng Phương</v>
      </c>
      <c r="J5903" s="3" t="str">
        <f ca="1">IFERROR(__xludf.DUMMYFUNCTION("""COMPUTED_VALUE"""),"0789824403")</f>
        <v>0789824403</v>
      </c>
      <c r="K5903" s="2" t="str">
        <f ca="1">IFERROR(__xludf.DUMMYFUNCTION("""COMPUTED_VALUE"""),"1759543857028")</f>
        <v>1759543857028</v>
      </c>
    </row>
    <row r="5904" spans="1:11" ht="12.45">
      <c r="A5904" s="2" t="str">
        <f ca="1">IFERROR(__xludf.DUMMYFUNCTION("""COMPUTED_VALUE"""),"1759543909859")</f>
        <v>1759543909859</v>
      </c>
      <c r="B5904" s="2"/>
      <c r="C5904" s="2" t="str">
        <v>0</v>
      </c>
      <c r="D5904" s="2"/>
      <c r="F5904" s="2" t="str">
        <v>0</v>
      </c>
      <c r="I5904" s="3" t="str">
        <f ca="1">IFERROR(__xludf.DUMMYFUNCTION("""COMPUTED_VALUE"""),"Nguyễn Thị Việt Hào")</f>
        <v>Nguyễn Thị Việt Hào</v>
      </c>
      <c r="J5904" s="3" t="str">
        <f ca="1">IFERROR(__xludf.DUMMYFUNCTION("""COMPUTED_VALUE"""),"0365805418")</f>
        <v>0365805418</v>
      </c>
      <c r="K5904" s="2" t="str">
        <f ca="1">IFERROR(__xludf.DUMMYFUNCTION("""COMPUTED_VALUE"""),"1759543909859")</f>
        <v>1759543909859</v>
      </c>
    </row>
    <row r="5905" spans="1:11" ht="12.45">
      <c r="A5905" s="2" t="str">
        <f ca="1">IFERROR(__xludf.DUMMYFUNCTION("""COMPUTED_VALUE"""),"1759488324512")</f>
        <v>1759488324512</v>
      </c>
      <c r="B5905" s="2"/>
      <c r="C5905" s="2" t="str">
        <v>0</v>
      </c>
      <c r="D5905" s="2"/>
      <c r="F5905" s="2" t="str">
        <v>0</v>
      </c>
      <c r="I5905" s="3" t="str">
        <f ca="1">IFERROR(__xludf.DUMMYFUNCTION("""COMPUTED_VALUE"""),"Trần Văn Nam")</f>
        <v>Trần Văn Nam</v>
      </c>
      <c r="J5905" s="3" t="str">
        <f ca="1">IFERROR(__xludf.DUMMYFUNCTION("""COMPUTED_VALUE"""),"0564150832")</f>
        <v>0564150832</v>
      </c>
      <c r="K5905" s="2" t="str">
        <f ca="1">IFERROR(__xludf.DUMMYFUNCTION("""COMPUTED_VALUE"""),"1759488324512")</f>
        <v>1759488324512</v>
      </c>
    </row>
    <row r="5906" spans="1:11" ht="12.45">
      <c r="A5906" s="2" t="str">
        <f ca="1">IFERROR(__xludf.DUMMYFUNCTION("""COMPUTED_VALUE"""),"1759543995040")</f>
        <v>1759543995040</v>
      </c>
      <c r="B5906" s="2"/>
      <c r="C5906" s="2" t="str">
        <v>0</v>
      </c>
      <c r="D5906" s="2"/>
      <c r="F5906" s="2" t="str">
        <v>0</v>
      </c>
      <c r="I5906" s="3" t="str">
        <f ca="1">IFERROR(__xludf.DUMMYFUNCTION("""COMPUTED_VALUE"""),"Chẻo Mi Hoán")</f>
        <v>Chẻo Mi Hoán</v>
      </c>
      <c r="J5906" s="3" t="str">
        <f ca="1">IFERROR(__xludf.DUMMYFUNCTION("""COMPUTED_VALUE"""),"0583795904")</f>
        <v>0583795904</v>
      </c>
      <c r="K5906" s="2" t="str">
        <f ca="1">IFERROR(__xludf.DUMMYFUNCTION("""COMPUTED_VALUE"""),"1759543995040")</f>
        <v>1759543995040</v>
      </c>
    </row>
    <row r="5907" spans="1:11" ht="12.45">
      <c r="A5907" s="2" t="str">
        <f ca="1">IFERROR(__xludf.DUMMYFUNCTION("""COMPUTED_VALUE"""),"1759543995040")</f>
        <v>1759543995040</v>
      </c>
      <c r="B5907" s="2"/>
      <c r="C5907" s="2" t="str">
        <v>0</v>
      </c>
      <c r="D5907" s="2"/>
      <c r="F5907" s="2" t="str">
        <v>0</v>
      </c>
      <c r="I5907" s="3" t="str">
        <f ca="1">IFERROR(__xludf.DUMMYFUNCTION("""COMPUTED_VALUE"""),"Lang Thị Trâm ")</f>
        <v xml:space="preserve">Lang Thị Trâm </v>
      </c>
      <c r="J5907" s="3" t="str">
        <f ca="1">IFERROR(__xludf.DUMMYFUNCTION("""COMPUTED_VALUE"""),"0904509935")</f>
        <v>0904509935</v>
      </c>
      <c r="K5907" s="2" t="str">
        <f ca="1">IFERROR(__xludf.DUMMYFUNCTION("""COMPUTED_VALUE"""),"1759543995040")</f>
        <v>1759543995040</v>
      </c>
    </row>
    <row r="5908" spans="1:11" ht="12.45">
      <c r="A5908" s="2" t="str">
        <f ca="1">IFERROR(__xludf.DUMMYFUNCTION("""COMPUTED_VALUE"""),"1759544052456")</f>
        <v>1759544052456</v>
      </c>
      <c r="B5908" s="2"/>
      <c r="C5908" s="2" t="str">
        <v>0</v>
      </c>
      <c r="D5908" s="2"/>
      <c r="F5908" s="2" t="str">
        <v>0</v>
      </c>
      <c r="I5908" s="3" t="str">
        <f ca="1">IFERROR(__xludf.DUMMYFUNCTION("""COMPUTED_VALUE"""),"Nguyễn Thanh Hoa")</f>
        <v>Nguyễn Thanh Hoa</v>
      </c>
      <c r="J5908" s="3" t="str">
        <f ca="1">IFERROR(__xludf.DUMMYFUNCTION("""COMPUTED_VALUE"""),"0376893551")</f>
        <v>0376893551</v>
      </c>
      <c r="K5908" s="2" t="str">
        <f ca="1">IFERROR(__xludf.DUMMYFUNCTION("""COMPUTED_VALUE"""),"1759544052456")</f>
        <v>1759544052456</v>
      </c>
    </row>
    <row r="5909" spans="1:11" ht="12.45">
      <c r="A5909" s="2" t="str">
        <f ca="1">IFERROR(__xludf.DUMMYFUNCTION("""COMPUTED_VALUE"""),"1759544156399")</f>
        <v>1759544156399</v>
      </c>
      <c r="B5909" s="2"/>
      <c r="C5909" s="2" t="str">
        <v>0</v>
      </c>
      <c r="D5909" s="2"/>
      <c r="F5909" s="2" t="str">
        <v>0</v>
      </c>
      <c r="I5909" s="3" t="str">
        <f ca="1">IFERROR(__xludf.DUMMYFUNCTION("""COMPUTED_VALUE"""),"Trần Thị Huyền Trang")</f>
        <v>Trần Thị Huyền Trang</v>
      </c>
      <c r="J5909" s="3" t="str">
        <f ca="1">IFERROR(__xludf.DUMMYFUNCTION("""COMPUTED_VALUE"""),"0329725628")</f>
        <v>0329725628</v>
      </c>
      <c r="K5909" s="2" t="str">
        <f ca="1">IFERROR(__xludf.DUMMYFUNCTION("""COMPUTED_VALUE"""),"1759544156399")</f>
        <v>1759544156399</v>
      </c>
    </row>
    <row r="5910" spans="1:11" ht="12.45">
      <c r="A5910" s="2" t="str">
        <f ca="1">IFERROR(__xludf.DUMMYFUNCTION("""COMPUTED_VALUE"""),"1759544254800")</f>
        <v>1759544254800</v>
      </c>
      <c r="B5910" s="2"/>
      <c r="C5910" s="2" t="str">
        <v>0</v>
      </c>
      <c r="D5910" s="2"/>
      <c r="F5910" s="2" t="str">
        <v>0</v>
      </c>
      <c r="I5910" s="3" t="str">
        <f ca="1">IFERROR(__xludf.DUMMYFUNCTION("""COMPUTED_VALUE"""),"Lê Tú Linh")</f>
        <v>Lê Tú Linh</v>
      </c>
      <c r="J5910" s="3" t="str">
        <f ca="1">IFERROR(__xludf.DUMMYFUNCTION("""COMPUTED_VALUE"""),"0348816036")</f>
        <v>0348816036</v>
      </c>
      <c r="K5910" s="2" t="str">
        <f ca="1">IFERROR(__xludf.DUMMYFUNCTION("""COMPUTED_VALUE"""),"1759544254800")</f>
        <v>1759544254800</v>
      </c>
    </row>
    <row r="5911" spans="1:11" ht="12.45">
      <c r="A5911" s="2" t="str">
        <f ca="1">IFERROR(__xludf.DUMMYFUNCTION("""COMPUTED_VALUE"""),"1759488440908")</f>
        <v>1759488440908</v>
      </c>
      <c r="B5911" s="2"/>
      <c r="C5911" s="2" t="str">
        <v>0</v>
      </c>
      <c r="D5911" s="2"/>
      <c r="F5911" s="2" t="str">
        <v>0</v>
      </c>
      <c r="I5911" s="3" t="str">
        <f ca="1">IFERROR(__xludf.DUMMYFUNCTION("""COMPUTED_VALUE"""),"Phạm Thị Bích Ngọc")</f>
        <v>Phạm Thị Bích Ngọc</v>
      </c>
      <c r="J5911" s="3" t="str">
        <f ca="1">IFERROR(__xludf.DUMMYFUNCTION("""COMPUTED_VALUE"""),"0383037111")</f>
        <v>0383037111</v>
      </c>
      <c r="K5911" s="2" t="str">
        <f ca="1">IFERROR(__xludf.DUMMYFUNCTION("""COMPUTED_VALUE"""),"1759488440908")</f>
        <v>1759488440908</v>
      </c>
    </row>
    <row r="5912" spans="1:11" ht="12.45">
      <c r="A5912" s="2" t="str">
        <f ca="1">IFERROR(__xludf.DUMMYFUNCTION("""COMPUTED_VALUE"""),"1759488489631")</f>
        <v>1759488489631</v>
      </c>
      <c r="B5912" s="2"/>
      <c r="C5912" s="2" t="str">
        <v>0</v>
      </c>
      <c r="D5912" s="2"/>
      <c r="F5912" s="2" t="str">
        <v>0</v>
      </c>
      <c r="I5912" s="3" t="str">
        <f ca="1">IFERROR(__xludf.DUMMYFUNCTION("""COMPUTED_VALUE"""),"Vàng A Páo ")</f>
        <v xml:space="preserve">Vàng A Páo </v>
      </c>
      <c r="J5912" s="3" t="str">
        <f ca="1">IFERROR(__xludf.DUMMYFUNCTION("""COMPUTED_VALUE"""),"0828488650")</f>
        <v>0828488650</v>
      </c>
      <c r="K5912" s="2" t="str">
        <f ca="1">IFERROR(__xludf.DUMMYFUNCTION("""COMPUTED_VALUE"""),"1759488489631")</f>
        <v>1759488489631</v>
      </c>
    </row>
    <row r="5913" spans="1:11" ht="12.45">
      <c r="A5913" s="2" t="str">
        <f ca="1">IFERROR(__xludf.DUMMYFUNCTION("""COMPUTED_VALUE"""),"1759488535864")</f>
        <v>1759488535864</v>
      </c>
      <c r="B5913" s="2"/>
      <c r="C5913" s="2" t="str">
        <v>0</v>
      </c>
      <c r="D5913" s="2"/>
      <c r="F5913" s="2" t="str">
        <v>0</v>
      </c>
      <c r="I5913" s="3" t="str">
        <f ca="1">IFERROR(__xludf.DUMMYFUNCTION("""COMPUTED_VALUE"""),"Nguyễn Phương Anh")</f>
        <v>Nguyễn Phương Anh</v>
      </c>
      <c r="J5913" s="3" t="str">
        <f ca="1">IFERROR(__xludf.DUMMYFUNCTION("""COMPUTED_VALUE"""),"0987883680")</f>
        <v>0987883680</v>
      </c>
      <c r="K5913" s="2" t="str">
        <f ca="1">IFERROR(__xludf.DUMMYFUNCTION("""COMPUTED_VALUE"""),"1759488535864")</f>
        <v>1759488535864</v>
      </c>
    </row>
    <row r="5914" spans="1:11" ht="12.45">
      <c r="A5914" s="2" t="str">
        <f ca="1">IFERROR(__xludf.DUMMYFUNCTION("""COMPUTED_VALUE"""),"1759488608454")</f>
        <v>1759488608454</v>
      </c>
      <c r="B5914" s="2"/>
      <c r="C5914" s="2" t="str">
        <v>0</v>
      </c>
      <c r="D5914" s="2"/>
      <c r="F5914" s="2" t="str">
        <v>0</v>
      </c>
      <c r="I5914" s="3" t="str">
        <f ca="1">IFERROR(__xludf.DUMMYFUNCTION("""COMPUTED_VALUE"""),"Bùi Đức Tráng")</f>
        <v>Bùi Đức Tráng</v>
      </c>
      <c r="J5914" s="3" t="str">
        <f ca="1">IFERROR(__xludf.DUMMYFUNCTION("""COMPUTED_VALUE"""),"0868592573")</f>
        <v>0868592573</v>
      </c>
      <c r="K5914" s="2" t="str">
        <f ca="1">IFERROR(__xludf.DUMMYFUNCTION("""COMPUTED_VALUE"""),"1759488608454")</f>
        <v>1759488608454</v>
      </c>
    </row>
    <row r="5915" spans="1:11" ht="12.45">
      <c r="A5915" s="2" t="str">
        <f ca="1">IFERROR(__xludf.DUMMYFUNCTION("""COMPUTED_VALUE"""),"1759488688223")</f>
        <v>1759488688223</v>
      </c>
      <c r="B5915" s="2"/>
      <c r="C5915" s="2" t="str">
        <v>0</v>
      </c>
      <c r="D5915" s="2"/>
      <c r="F5915" s="2" t="str">
        <v>0</v>
      </c>
      <c r="I5915" s="3" t="str">
        <f ca="1">IFERROR(__xludf.DUMMYFUNCTION("""COMPUTED_VALUE"""),"Nguyễn Anh Mỹ Đức")</f>
        <v>Nguyễn Anh Mỹ Đức</v>
      </c>
      <c r="J5915" s="3" t="str">
        <f ca="1">IFERROR(__xludf.DUMMYFUNCTION("""COMPUTED_VALUE"""),"0823824674")</f>
        <v>0823824674</v>
      </c>
      <c r="K5915" s="2" t="str">
        <f ca="1">IFERROR(__xludf.DUMMYFUNCTION("""COMPUTED_VALUE"""),"1759488688223")</f>
        <v>1759488688223</v>
      </c>
    </row>
    <row r="5916" spans="1:11" ht="12.45">
      <c r="A5916" s="2" t="str">
        <f ca="1">IFERROR(__xludf.DUMMYFUNCTION("""COMPUTED_VALUE"""),"Không giao sách")</f>
        <v>Không giao sách</v>
      </c>
      <c r="B5916" s="2"/>
      <c r="C5916" s="2" t="str">
        <v>0</v>
      </c>
      <c r="D5916" s="2"/>
      <c r="F5916" s="2" t="str">
        <v>0</v>
      </c>
      <c r="I5916" s="3" t="str">
        <f ca="1">IFERROR(__xludf.DUMMYFUNCTION("""COMPUTED_VALUE"""),"Lương Thanh Hằng")</f>
        <v>Lương Thanh Hằng</v>
      </c>
      <c r="J5916" s="3" t="str">
        <f ca="1">IFERROR(__xludf.DUMMYFUNCTION("""COMPUTED_VALUE"""),"0328935251")</f>
        <v>0328935251</v>
      </c>
      <c r="K5916" s="2" t="str">
        <f ca="1">IFERROR(__xludf.DUMMYFUNCTION("""COMPUTED_VALUE"""),"Không giao sách")</f>
        <v>Không giao sách</v>
      </c>
    </row>
    <row r="5917" spans="1:11" ht="12.45">
      <c r="A5917" s="2" t="str">
        <f ca="1">IFERROR(__xludf.DUMMYFUNCTION("""COMPUTED_VALUE"""),"Không giao sách")</f>
        <v>Không giao sách</v>
      </c>
      <c r="B5917" s="2"/>
      <c r="C5917" s="2" t="str">
        <v>0</v>
      </c>
      <c r="D5917" s="2"/>
      <c r="F5917" s="2" t="str">
        <v>0</v>
      </c>
      <c r="I5917" s="3" t="str">
        <f ca="1">IFERROR(__xludf.DUMMYFUNCTION("""COMPUTED_VALUE"""),"NGUYỄN NGỌC MINH THƯ")</f>
        <v>NGUYỄN NGỌC MINH THƯ</v>
      </c>
      <c r="J5917" s="3" t="str">
        <f ca="1">IFERROR(__xludf.DUMMYFUNCTION("""COMPUTED_VALUE"""),"0903018389")</f>
        <v>0903018389</v>
      </c>
      <c r="K5917" s="2" t="str">
        <f ca="1">IFERROR(__xludf.DUMMYFUNCTION("""COMPUTED_VALUE"""),"Không giao sách")</f>
        <v>Không giao sách</v>
      </c>
    </row>
    <row r="5918" spans="1:11" ht="12.45">
      <c r="A5918" s="2" t="str">
        <f ca="1">IFERROR(__xludf.DUMMYFUNCTION("""COMPUTED_VALUE"""),"1759488802528")</f>
        <v>1759488802528</v>
      </c>
      <c r="B5918" s="2"/>
      <c r="C5918" s="2" t="str">
        <v>0</v>
      </c>
      <c r="D5918" s="2"/>
      <c r="F5918" s="2" t="str">
        <v>0</v>
      </c>
      <c r="I5918" s="3" t="str">
        <f ca="1">IFERROR(__xludf.DUMMYFUNCTION("""COMPUTED_VALUE"""),"Nguyễn Trà My")</f>
        <v>Nguyễn Trà My</v>
      </c>
      <c r="J5918" s="3" t="str">
        <f ca="1">IFERROR(__xludf.DUMMYFUNCTION("""COMPUTED_VALUE"""),"0987880965")</f>
        <v>0987880965</v>
      </c>
      <c r="K5918" s="2" t="str">
        <f ca="1">IFERROR(__xludf.DUMMYFUNCTION("""COMPUTED_VALUE"""),"1759488802528")</f>
        <v>1759488802528</v>
      </c>
    </row>
    <row r="5919" spans="1:11" ht="12.45">
      <c r="A5919" s="2" t="str">
        <f ca="1">IFERROR(__xludf.DUMMYFUNCTION("""COMPUTED_VALUE"""),"1759488854807")</f>
        <v>1759488854807</v>
      </c>
      <c r="B5919" s="2"/>
      <c r="C5919" s="2" t="str">
        <v>0</v>
      </c>
      <c r="D5919" s="2"/>
      <c r="F5919" s="2" t="str">
        <v>0</v>
      </c>
      <c r="I5919" s="3" t="str">
        <f ca="1">IFERROR(__xludf.DUMMYFUNCTION("""COMPUTED_VALUE"""),"Nguyễn Thị Thanh Thảo")</f>
        <v>Nguyễn Thị Thanh Thảo</v>
      </c>
      <c r="J5919" s="3" t="str">
        <f ca="1">IFERROR(__xludf.DUMMYFUNCTION("""COMPUTED_VALUE"""),"0866191353")</f>
        <v>0866191353</v>
      </c>
      <c r="K5919" s="2" t="str">
        <f ca="1">IFERROR(__xludf.DUMMYFUNCTION("""COMPUTED_VALUE"""),"1759488854807")</f>
        <v>1759488854807</v>
      </c>
    </row>
    <row r="5920" spans="1:11" ht="12.45">
      <c r="A5920" s="2" t="str">
        <f ca="1">IFERROR(__xludf.DUMMYFUNCTION("""COMPUTED_VALUE"""),"Không giao sách")</f>
        <v>Không giao sách</v>
      </c>
      <c r="B5920" s="2"/>
      <c r="C5920" s="2" t="str">
        <v>0</v>
      </c>
      <c r="D5920" s="2"/>
      <c r="F5920" s="2" t="str">
        <v>0</v>
      </c>
      <c r="I5920" s="3" t="str">
        <f ca="1">IFERROR(__xludf.DUMMYFUNCTION("""COMPUTED_VALUE"""),"Phạm Lê Uyên Phương ")</f>
        <v xml:space="preserve">Phạm Lê Uyên Phương </v>
      </c>
      <c r="J5920" s="3" t="str">
        <f ca="1">IFERROR(__xludf.DUMMYFUNCTION("""COMPUTED_VALUE"""),"0374148670")</f>
        <v>0374148670</v>
      </c>
      <c r="K5920" s="2" t="str">
        <f ca="1">IFERROR(__xludf.DUMMYFUNCTION("""COMPUTED_VALUE"""),"Không giao sách")</f>
        <v>Không giao sách</v>
      </c>
    </row>
    <row r="5921" spans="1:11" ht="12.45">
      <c r="A5921" s="2" t="str">
        <f ca="1">IFERROR(__xludf.DUMMYFUNCTION("""COMPUTED_VALUE"""),"1758394339453")</f>
        <v>1758394339453</v>
      </c>
      <c r="B5921" s="2"/>
      <c r="C5921" s="2" t="str">
        <v>0</v>
      </c>
      <c r="D5921" s="2"/>
      <c r="F5921" s="2" t="str">
        <v>0</v>
      </c>
      <c r="I5921" s="3" t="str">
        <f ca="1">IFERROR(__xludf.DUMMYFUNCTION("""COMPUTED_VALUE"""),"Nguyễn Thiết Huy Hoàng")</f>
        <v>Nguyễn Thiết Huy Hoàng</v>
      </c>
      <c r="J5921" s="3" t="str">
        <f ca="1">IFERROR(__xludf.DUMMYFUNCTION("""COMPUTED_VALUE"""),"0345561724")</f>
        <v>0345561724</v>
      </c>
      <c r="K5921" s="2" t="str">
        <f ca="1">IFERROR(__xludf.DUMMYFUNCTION("""COMPUTED_VALUE"""),"1758394339453")</f>
        <v>1758394339453</v>
      </c>
    </row>
    <row r="5922" spans="1:11" ht="12.45">
      <c r="A5922" s="2" t="str">
        <f ca="1">IFERROR(__xludf.DUMMYFUNCTION("""COMPUTED_VALUE"""),"Không giao sách")</f>
        <v>Không giao sách</v>
      </c>
      <c r="B5922" s="2"/>
      <c r="C5922" s="2" t="str">
        <v>0</v>
      </c>
      <c r="D5922" s="2"/>
      <c r="F5922" s="2" t="str">
        <v>0</v>
      </c>
      <c r="I5922" s="3" t="str">
        <f ca="1">IFERROR(__xludf.DUMMYFUNCTION("""COMPUTED_VALUE"""),"Nguyễn Thị Huyền Lương")</f>
        <v>Nguyễn Thị Huyền Lương</v>
      </c>
      <c r="J5922" s="3" t="str">
        <f ca="1">IFERROR(__xludf.DUMMYFUNCTION("""COMPUTED_VALUE"""),"0336568582")</f>
        <v>0336568582</v>
      </c>
      <c r="K5922" s="2" t="str">
        <f ca="1">IFERROR(__xludf.DUMMYFUNCTION("""COMPUTED_VALUE"""),"Không giao sách")</f>
        <v>Không giao sách</v>
      </c>
    </row>
    <row r="5923" spans="1:11" ht="12.45">
      <c r="A5923" s="2" t="str">
        <f ca="1">IFERROR(__xludf.DUMMYFUNCTION("""COMPUTED_VALUE"""),"1759488907315")</f>
        <v>1759488907315</v>
      </c>
      <c r="B5923" s="2"/>
      <c r="C5923" s="2" t="str">
        <v>0</v>
      </c>
      <c r="D5923" s="2"/>
      <c r="F5923" s="2" t="str">
        <v>0</v>
      </c>
      <c r="I5923" s="3" t="str">
        <f ca="1">IFERROR(__xludf.DUMMYFUNCTION("""COMPUTED_VALUE"""),"LÊ THỊ KIỀU TRANG")</f>
        <v>LÊ THỊ KIỀU TRANG</v>
      </c>
      <c r="J5923" s="3" t="str">
        <f ca="1">IFERROR(__xludf.DUMMYFUNCTION("""COMPUTED_VALUE"""),"0866511257")</f>
        <v>0866511257</v>
      </c>
      <c r="K5923" s="2" t="str">
        <f ca="1">IFERROR(__xludf.DUMMYFUNCTION("""COMPUTED_VALUE"""),"1759488907315")</f>
        <v>1759488907315</v>
      </c>
    </row>
    <row r="5924" spans="1:11" ht="12.45">
      <c r="A5924" s="2" t="str">
        <f ca="1">IFERROR(__xludf.DUMMYFUNCTION("""COMPUTED_VALUE"""),"1759488960631")</f>
        <v>1759488960631</v>
      </c>
      <c r="B5924" s="2"/>
      <c r="C5924" s="2" t="str">
        <v>0</v>
      </c>
      <c r="D5924" s="2"/>
      <c r="F5924" s="2" t="str">
        <v>0</v>
      </c>
      <c r="I5924" s="3" t="str">
        <f ca="1">IFERROR(__xludf.DUMMYFUNCTION("""COMPUTED_VALUE"""),"Nguyễn Hồng Phượng ")</f>
        <v xml:space="preserve">Nguyễn Hồng Phượng </v>
      </c>
      <c r="J5924" s="3" t="str">
        <f ca="1">IFERROR(__xludf.DUMMYFUNCTION("""COMPUTED_VALUE"""),"0564601279")</f>
        <v>0564601279</v>
      </c>
      <c r="K5924" s="2" t="str">
        <f ca="1">IFERROR(__xludf.DUMMYFUNCTION("""COMPUTED_VALUE"""),"1759488960631")</f>
        <v>1759488960631</v>
      </c>
    </row>
    <row r="5925" spans="1:11" ht="12.45">
      <c r="A5925" s="2" t="str">
        <f ca="1">IFERROR(__xludf.DUMMYFUNCTION("""COMPUTED_VALUE"""),"Không giao sách")</f>
        <v>Không giao sách</v>
      </c>
      <c r="B5925" s="2"/>
      <c r="C5925" s="2" t="str">
        <v>0</v>
      </c>
      <c r="D5925" s="2"/>
      <c r="F5925" s="2" t="str">
        <v>0</v>
      </c>
      <c r="I5925" s="3" t="str">
        <f ca="1">IFERROR(__xludf.DUMMYFUNCTION("""COMPUTED_VALUE"""),"Vũ Ngọc Hương Giang")</f>
        <v>Vũ Ngọc Hương Giang</v>
      </c>
      <c r="J5925" s="3" t="str">
        <f ca="1">IFERROR(__xludf.DUMMYFUNCTION("""COMPUTED_VALUE"""),"0795864962")</f>
        <v>0795864962</v>
      </c>
      <c r="K5925" s="2" t="str">
        <f ca="1">IFERROR(__xludf.DUMMYFUNCTION("""COMPUTED_VALUE"""),"Không giao sách")</f>
        <v>Không giao sách</v>
      </c>
    </row>
    <row r="5926" spans="1:11" ht="12.45">
      <c r="A5926" s="2">
        <f ca="1">IFERROR(__xludf.DUMMYFUNCTION("""COMPUTED_VALUE"""),1734198911462)</f>
        <v>1734198911462</v>
      </c>
      <c r="B5926" s="2"/>
      <c r="C5926" s="2" t="str">
        <v>0</v>
      </c>
      <c r="D5926" s="2"/>
      <c r="F5926" s="2" t="str">
        <v>0</v>
      </c>
      <c r="I5926" s="3" t="str">
        <f ca="1">IFERROR(__xludf.DUMMYFUNCTION("""COMPUTED_VALUE"""),"Lê Thị Linh")</f>
        <v>Lê Thị Linh</v>
      </c>
      <c r="J5926" s="3" t="str">
        <f ca="1">IFERROR(__xludf.DUMMYFUNCTION("""COMPUTED_VALUE"""),"0944104627")</f>
        <v>0944104627</v>
      </c>
      <c r="K5926" s="2">
        <f ca="1">IFERROR(__xludf.DUMMYFUNCTION("""COMPUTED_VALUE"""),1734198911462)</f>
        <v>1734198911462</v>
      </c>
    </row>
    <row r="5927" spans="1:11" ht="12.45">
      <c r="A5927" s="2" t="str">
        <f ca="1">IFERROR(__xludf.DUMMYFUNCTION("""COMPUTED_VALUE"""),"1762308651456")</f>
        <v>1762308651456</v>
      </c>
      <c r="B5927" s="2"/>
      <c r="C5927" s="2" t="str">
        <v>0</v>
      </c>
      <c r="D5927" s="2"/>
      <c r="F5927" s="2" t="str">
        <v>0</v>
      </c>
      <c r="I5927" s="3" t="str">
        <f ca="1">IFERROR(__xludf.DUMMYFUNCTION("""COMPUTED_VALUE"""),"Đào Thị Hoàng Anh")</f>
        <v>Đào Thị Hoàng Anh</v>
      </c>
      <c r="J5927" s="3" t="str">
        <f ca="1">IFERROR(__xludf.DUMMYFUNCTION("""COMPUTED_VALUE"""),"0965807345")</f>
        <v>0965807345</v>
      </c>
      <c r="K5927" s="2" t="str">
        <f ca="1">IFERROR(__xludf.DUMMYFUNCTION("""COMPUTED_VALUE"""),"1762308651456")</f>
        <v>1762308651456</v>
      </c>
    </row>
    <row r="5928" spans="1:11" ht="12.45">
      <c r="A5928" s="2" t="str">
        <f ca="1">IFERROR(__xludf.DUMMYFUNCTION("""COMPUTED_VALUE"""),"1759489033815")</f>
        <v>1759489033815</v>
      </c>
      <c r="B5928" s="2"/>
      <c r="C5928" s="2" t="str">
        <v>0</v>
      </c>
      <c r="D5928" s="2"/>
      <c r="F5928" s="2" t="str">
        <v>0</v>
      </c>
      <c r="I5928" s="3" t="str">
        <f ca="1">IFERROR(__xludf.DUMMYFUNCTION("""COMPUTED_VALUE"""),"Hạ Bảo Châm")</f>
        <v>Hạ Bảo Châm</v>
      </c>
      <c r="J5928" s="3" t="str">
        <f ca="1">IFERROR(__xludf.DUMMYFUNCTION("""COMPUTED_VALUE"""),"0965110176")</f>
        <v>0965110176</v>
      </c>
      <c r="K5928" s="2" t="str">
        <f ca="1">IFERROR(__xludf.DUMMYFUNCTION("""COMPUTED_VALUE"""),"1759489033815")</f>
        <v>1759489033815</v>
      </c>
    </row>
    <row r="5929" spans="1:11" ht="12.45">
      <c r="A5929" s="2" t="str">
        <f ca="1">IFERROR(__xludf.DUMMYFUNCTION("""COMPUTED_VALUE"""),"1759489067619")</f>
        <v>1759489067619</v>
      </c>
      <c r="B5929" s="2"/>
      <c r="C5929" s="2" t="str">
        <v>0</v>
      </c>
      <c r="D5929" s="2"/>
      <c r="F5929" s="2" t="str">
        <v>0</v>
      </c>
      <c r="I5929" s="3" t="str">
        <f ca="1">IFERROR(__xludf.DUMMYFUNCTION("""COMPUTED_VALUE"""),"Triệu Quỳnh Hương ")</f>
        <v xml:space="preserve">Triệu Quỳnh Hương </v>
      </c>
      <c r="J5929" s="3" t="str">
        <f ca="1">IFERROR(__xludf.DUMMYFUNCTION("""COMPUTED_VALUE"""),"0383900807")</f>
        <v>0383900807</v>
      </c>
      <c r="K5929" s="2" t="str">
        <f ca="1">IFERROR(__xludf.DUMMYFUNCTION("""COMPUTED_VALUE"""),"1759489067619")</f>
        <v>1759489067619</v>
      </c>
    </row>
    <row r="5930" spans="1:11" ht="12.45">
      <c r="A5930" s="2" t="str">
        <f ca="1">IFERROR(__xludf.DUMMYFUNCTION("""COMPUTED_VALUE"""),"1759489120308")</f>
        <v>1759489120308</v>
      </c>
      <c r="B5930" s="2"/>
      <c r="C5930" s="2" t="str">
        <v>0</v>
      </c>
      <c r="D5930" s="2"/>
      <c r="F5930" s="2" t="str">
        <v>0</v>
      </c>
      <c r="I5930" s="3" t="str">
        <f ca="1">IFERROR(__xludf.DUMMYFUNCTION("""COMPUTED_VALUE"""),"Cao Thị Kim Chi")</f>
        <v>Cao Thị Kim Chi</v>
      </c>
      <c r="J5930" s="3" t="str">
        <f ca="1">IFERROR(__xludf.DUMMYFUNCTION("""COMPUTED_VALUE"""),"0913803098")</f>
        <v>0913803098</v>
      </c>
      <c r="K5930" s="2" t="str">
        <f ca="1">IFERROR(__xludf.DUMMYFUNCTION("""COMPUTED_VALUE"""),"1759489120308")</f>
        <v>1759489120308</v>
      </c>
    </row>
    <row r="5931" spans="1:11" ht="12.45">
      <c r="A5931" s="2" t="str">
        <f ca="1">IFERROR(__xludf.DUMMYFUNCTION("""COMPUTED_VALUE"""),"1759489168325")</f>
        <v>1759489168325</v>
      </c>
      <c r="B5931" s="2"/>
      <c r="C5931" s="2" t="str">
        <v>0</v>
      </c>
      <c r="D5931" s="2"/>
      <c r="F5931" s="2" t="str">
        <v>0</v>
      </c>
      <c r="I5931" s="3" t="str">
        <f ca="1">IFERROR(__xludf.DUMMYFUNCTION("""COMPUTED_VALUE"""),"Đỗ Thị Thùy Trang")</f>
        <v>Đỗ Thị Thùy Trang</v>
      </c>
      <c r="J5931" s="3" t="str">
        <f ca="1">IFERROR(__xludf.DUMMYFUNCTION("""COMPUTED_VALUE"""),"0938298519")</f>
        <v>0938298519</v>
      </c>
      <c r="K5931" s="2" t="str">
        <f ca="1">IFERROR(__xludf.DUMMYFUNCTION("""COMPUTED_VALUE"""),"1759489168325")</f>
        <v>1759489168325</v>
      </c>
    </row>
    <row r="5932" spans="1:11" ht="12.45">
      <c r="A5932" s="2" t="str">
        <f ca="1">IFERROR(__xludf.DUMMYFUNCTION("""COMPUTED_VALUE"""),"1759489205043")</f>
        <v>1759489205043</v>
      </c>
      <c r="B5932" s="2"/>
      <c r="C5932" s="2" t="str">
        <v>0</v>
      </c>
      <c r="D5932" s="2"/>
      <c r="F5932" s="2" t="str">
        <v>0</v>
      </c>
      <c r="I5932" s="3" t="str">
        <f ca="1">IFERROR(__xludf.DUMMYFUNCTION("""COMPUTED_VALUE"""),"Lê Khánh Bình")</f>
        <v>Lê Khánh Bình</v>
      </c>
      <c r="J5932" s="3" t="str">
        <f ca="1">IFERROR(__xludf.DUMMYFUNCTION("""COMPUTED_VALUE"""),"0376110427")</f>
        <v>0376110427</v>
      </c>
      <c r="K5932" s="2" t="str">
        <f ca="1">IFERROR(__xludf.DUMMYFUNCTION("""COMPUTED_VALUE"""),"1759489205043")</f>
        <v>1759489205043</v>
      </c>
    </row>
    <row r="5933" spans="1:11" ht="12.45">
      <c r="A5933" s="2" t="str">
        <f ca="1">IFERROR(__xludf.DUMMYFUNCTION("""COMPUTED_VALUE"""),"1759489246756")</f>
        <v>1759489246756</v>
      </c>
      <c r="B5933" s="2"/>
      <c r="C5933" s="2" t="str">
        <v>0</v>
      </c>
      <c r="D5933" s="2"/>
      <c r="F5933" s="2" t="str">
        <v>0</v>
      </c>
      <c r="I5933" s="3" t="str">
        <f ca="1">IFERROR(__xludf.DUMMYFUNCTION("""COMPUTED_VALUE"""),"Trịnh Gia Quỳnh")</f>
        <v>Trịnh Gia Quỳnh</v>
      </c>
      <c r="J5933" s="3" t="str">
        <f ca="1">IFERROR(__xludf.DUMMYFUNCTION("""COMPUTED_VALUE"""),"0919199203")</f>
        <v>0919199203</v>
      </c>
      <c r="K5933" s="2" t="str">
        <f ca="1">IFERROR(__xludf.DUMMYFUNCTION("""COMPUTED_VALUE"""),"1759489246756")</f>
        <v>1759489246756</v>
      </c>
    </row>
    <row r="5934" spans="1:11" ht="12.45">
      <c r="A5934" s="2" t="str">
        <f ca="1">IFERROR(__xludf.DUMMYFUNCTION("""COMPUTED_VALUE"""),"1759489312070")</f>
        <v>1759489312070</v>
      </c>
      <c r="B5934" s="2"/>
      <c r="C5934" s="2" t="str">
        <v>0</v>
      </c>
      <c r="D5934" s="2"/>
      <c r="F5934" s="2" t="str">
        <v>0</v>
      </c>
      <c r="I5934" s="3" t="str">
        <f ca="1">IFERROR(__xludf.DUMMYFUNCTION("""COMPUTED_VALUE"""),"Đỗ Thị Minh Tâm")</f>
        <v>Đỗ Thị Minh Tâm</v>
      </c>
      <c r="J5934" s="3" t="str">
        <f ca="1">IFERROR(__xludf.DUMMYFUNCTION("""COMPUTED_VALUE"""),"0918573205")</f>
        <v>0918573205</v>
      </c>
      <c r="K5934" s="2" t="str">
        <f ca="1">IFERROR(__xludf.DUMMYFUNCTION("""COMPUTED_VALUE"""),"1759489312070")</f>
        <v>1759489312070</v>
      </c>
    </row>
    <row r="5935" spans="1:11" ht="12.45">
      <c r="A5935" s="2" t="str">
        <f ca="1">IFERROR(__xludf.DUMMYFUNCTION("""COMPUTED_VALUE"""),"1759489348941")</f>
        <v>1759489348941</v>
      </c>
      <c r="B5935" s="2"/>
      <c r="C5935" s="2" t="str">
        <v>0</v>
      </c>
      <c r="D5935" s="2"/>
      <c r="F5935" s="2" t="str">
        <v>0</v>
      </c>
      <c r="I5935" s="3" t="str">
        <f ca="1">IFERROR(__xludf.DUMMYFUNCTION("""COMPUTED_VALUE"""),"Phạm Thị Mai Anh")</f>
        <v>Phạm Thị Mai Anh</v>
      </c>
      <c r="J5935" s="3" t="str">
        <f ca="1">IFERROR(__xludf.DUMMYFUNCTION("""COMPUTED_VALUE"""),"0354939215")</f>
        <v>0354939215</v>
      </c>
      <c r="K5935" s="2" t="str">
        <f ca="1">IFERROR(__xludf.DUMMYFUNCTION("""COMPUTED_VALUE"""),"1759489348941")</f>
        <v>1759489348941</v>
      </c>
    </row>
    <row r="5936" spans="1:11" ht="12.45">
      <c r="A5936" s="2" t="str">
        <f ca="1">IFERROR(__xludf.DUMMYFUNCTION("""COMPUTED_VALUE"""),"1759489398198")</f>
        <v>1759489398198</v>
      </c>
      <c r="B5936" s="2"/>
      <c r="C5936" s="2" t="str">
        <v>0</v>
      </c>
      <c r="D5936" s="2"/>
      <c r="F5936" s="2" t="str">
        <v>0</v>
      </c>
      <c r="I5936" s="3" t="str">
        <f ca="1">IFERROR(__xludf.DUMMYFUNCTION("""COMPUTED_VALUE"""),"Tạ Hà My")</f>
        <v>Tạ Hà My</v>
      </c>
      <c r="J5936" s="3" t="str">
        <f ca="1">IFERROR(__xludf.DUMMYFUNCTION("""COMPUTED_VALUE"""),"0869983168")</f>
        <v>0869983168</v>
      </c>
      <c r="K5936" s="2" t="str">
        <f ca="1">IFERROR(__xludf.DUMMYFUNCTION("""COMPUTED_VALUE"""),"1759489398198")</f>
        <v>1759489398198</v>
      </c>
    </row>
    <row r="5937" spans="1:11" ht="12.45">
      <c r="A5937" s="2" t="str">
        <f ca="1">IFERROR(__xludf.DUMMYFUNCTION("""COMPUTED_VALUE"""),"1759489439152")</f>
        <v>1759489439152</v>
      </c>
      <c r="B5937" s="2"/>
      <c r="C5937" s="2" t="str">
        <v>0</v>
      </c>
      <c r="D5937" s="2"/>
      <c r="F5937" s="2" t="str">
        <v>0</v>
      </c>
      <c r="I5937" s="3" t="str">
        <f ca="1">IFERROR(__xludf.DUMMYFUNCTION("""COMPUTED_VALUE"""),"tòng trí kiên")</f>
        <v>tòng trí kiên</v>
      </c>
      <c r="J5937" s="3" t="str">
        <f ca="1">IFERROR(__xludf.DUMMYFUNCTION("""COMPUTED_VALUE"""),"0865630105")</f>
        <v>0865630105</v>
      </c>
      <c r="K5937" s="2" t="str">
        <f ca="1">IFERROR(__xludf.DUMMYFUNCTION("""COMPUTED_VALUE"""),"1759489439152")</f>
        <v>1759489439152</v>
      </c>
    </row>
    <row r="5938" spans="1:11" ht="12.45">
      <c r="A5938" s="2" t="str">
        <f ca="1">IFERROR(__xludf.DUMMYFUNCTION("""COMPUTED_VALUE"""),"1759489505567")</f>
        <v>1759489505567</v>
      </c>
      <c r="B5938" s="2"/>
      <c r="C5938" s="2" t="str">
        <v>0</v>
      </c>
      <c r="D5938" s="2"/>
      <c r="F5938" s="2" t="str">
        <v>0</v>
      </c>
      <c r="I5938" s="3" t="str">
        <f ca="1">IFERROR(__xludf.DUMMYFUNCTION("""COMPUTED_VALUE"""),"Huỳnh Gia Hân ")</f>
        <v xml:space="preserve">Huỳnh Gia Hân </v>
      </c>
      <c r="J5938" s="3" t="str">
        <f ca="1">IFERROR(__xludf.DUMMYFUNCTION("""COMPUTED_VALUE"""),"0703733059")</f>
        <v>0703733059</v>
      </c>
      <c r="K5938" s="2" t="str">
        <f ca="1">IFERROR(__xludf.DUMMYFUNCTION("""COMPUTED_VALUE"""),"1759489505567")</f>
        <v>1759489505567</v>
      </c>
    </row>
    <row r="5939" spans="1:11" ht="12.45">
      <c r="A5939" s="2" t="str">
        <f ca="1">IFERROR(__xludf.DUMMYFUNCTION("""COMPUTED_VALUE"""),"1759489559180")</f>
        <v>1759489559180</v>
      </c>
      <c r="B5939" s="2"/>
      <c r="C5939" s="2" t="str">
        <v>0</v>
      </c>
      <c r="D5939" s="2"/>
      <c r="F5939" s="2" t="str">
        <v>0</v>
      </c>
      <c r="I5939" s="3" t="str">
        <f ca="1">IFERROR(__xludf.DUMMYFUNCTION("""COMPUTED_VALUE"""),"Nguyễn Tuấn Khoa ")</f>
        <v xml:space="preserve">Nguyễn Tuấn Khoa </v>
      </c>
      <c r="J5939" s="3" t="str">
        <f ca="1">IFERROR(__xludf.DUMMYFUNCTION("""COMPUTED_VALUE"""),"0916204256")</f>
        <v>0916204256</v>
      </c>
      <c r="K5939" s="2" t="str">
        <f ca="1">IFERROR(__xludf.DUMMYFUNCTION("""COMPUTED_VALUE"""),"1759489559180")</f>
        <v>1759489559180</v>
      </c>
    </row>
    <row r="5940" spans="1:11" ht="12.45">
      <c r="A5940" s="2" t="str">
        <f ca="1">IFERROR(__xludf.DUMMYFUNCTION("""COMPUTED_VALUE"""),"Không giao sách")</f>
        <v>Không giao sách</v>
      </c>
      <c r="B5940" s="2"/>
      <c r="C5940" s="2" t="str">
        <v>0</v>
      </c>
      <c r="D5940" s="2"/>
      <c r="F5940" s="2" t="str">
        <v>0</v>
      </c>
      <c r="I5940" s="3" t="str">
        <f ca="1">IFERROR(__xludf.DUMMYFUNCTION("""COMPUTED_VALUE"""),"Phạm Anh Thơ")</f>
        <v>Phạm Anh Thơ</v>
      </c>
      <c r="J5940" s="3" t="str">
        <f ca="1">IFERROR(__xludf.DUMMYFUNCTION("""COMPUTED_VALUE"""),"0862499532")</f>
        <v>0862499532</v>
      </c>
      <c r="K5940" s="2" t="str">
        <f ca="1">IFERROR(__xludf.DUMMYFUNCTION("""COMPUTED_VALUE"""),"Không giao sách")</f>
        <v>Không giao sách</v>
      </c>
    </row>
    <row r="5941" spans="1:11" ht="12.45">
      <c r="A5941" s="2" t="str">
        <f ca="1">IFERROR(__xludf.DUMMYFUNCTION("""COMPUTED_VALUE"""),"1759489627560")</f>
        <v>1759489627560</v>
      </c>
      <c r="B5941" s="2"/>
      <c r="C5941" s="2" t="str">
        <v>0</v>
      </c>
      <c r="D5941" s="2"/>
      <c r="F5941" s="2" t="str">
        <v>0</v>
      </c>
      <c r="I5941" s="3" t="str">
        <f ca="1">IFERROR(__xludf.DUMMYFUNCTION("""COMPUTED_VALUE"""),"Lê Phạm Kiều Mỹ")</f>
        <v>Lê Phạm Kiều Mỹ</v>
      </c>
      <c r="J5941" s="3" t="str">
        <f ca="1">IFERROR(__xludf.DUMMYFUNCTION("""COMPUTED_VALUE"""),"0818182224")</f>
        <v>0818182224</v>
      </c>
      <c r="K5941" s="2" t="str">
        <f ca="1">IFERROR(__xludf.DUMMYFUNCTION("""COMPUTED_VALUE"""),"1759489627560")</f>
        <v>1759489627560</v>
      </c>
    </row>
    <row r="5942" spans="1:11" ht="12.45">
      <c r="A5942" s="2" t="str">
        <f ca="1">IFERROR(__xludf.DUMMYFUNCTION("""COMPUTED_VALUE"""),"1758394399378")</f>
        <v>1758394399378</v>
      </c>
      <c r="B5942" s="2"/>
      <c r="C5942" s="2" t="str">
        <v>0</v>
      </c>
      <c r="D5942" s="2"/>
      <c r="F5942" s="2" t="str">
        <v>0</v>
      </c>
      <c r="I5942" s="3" t="str">
        <f ca="1">IFERROR(__xludf.DUMMYFUNCTION("""COMPUTED_VALUE"""),"Phạm Thị Linh Nhi")</f>
        <v>Phạm Thị Linh Nhi</v>
      </c>
      <c r="J5942" s="3" t="str">
        <f ca="1">IFERROR(__xludf.DUMMYFUNCTION("""COMPUTED_VALUE"""),"0379158907")</f>
        <v>0379158907</v>
      </c>
      <c r="K5942" s="2" t="str">
        <f ca="1">IFERROR(__xludf.DUMMYFUNCTION("""COMPUTED_VALUE"""),"1758394399378")</f>
        <v>1758394399378</v>
      </c>
    </row>
    <row r="5943" spans="1:11" ht="12.45">
      <c r="A5943" s="2" t="str">
        <f ca="1">IFERROR(__xludf.DUMMYFUNCTION("""COMPUTED_VALUE"""),"1759489683896")</f>
        <v>1759489683896</v>
      </c>
      <c r="B5943" s="2"/>
      <c r="C5943" s="2" t="str">
        <v>0</v>
      </c>
      <c r="D5943" s="2"/>
      <c r="F5943" s="2" t="str">
        <v>0</v>
      </c>
      <c r="I5943" s="3" t="str">
        <f ca="1">IFERROR(__xludf.DUMMYFUNCTION("""COMPUTED_VALUE"""),"Nguyễn Trần Thảo Linh")</f>
        <v>Nguyễn Trần Thảo Linh</v>
      </c>
      <c r="J5943" s="3" t="str">
        <f ca="1">IFERROR(__xludf.DUMMYFUNCTION("""COMPUTED_VALUE"""),"0977684960")</f>
        <v>0977684960</v>
      </c>
      <c r="K5943" s="2" t="str">
        <f ca="1">IFERROR(__xludf.DUMMYFUNCTION("""COMPUTED_VALUE"""),"1759489683896")</f>
        <v>1759489683896</v>
      </c>
    </row>
    <row r="5944" spans="1:11" ht="12.45">
      <c r="A5944" s="2" t="str">
        <f ca="1">IFERROR(__xludf.DUMMYFUNCTION("""COMPUTED_VALUE"""),"1758394442435")</f>
        <v>1758394442435</v>
      </c>
      <c r="B5944" s="2"/>
      <c r="C5944" s="2" t="str">
        <v>0</v>
      </c>
      <c r="D5944" s="2"/>
      <c r="F5944" s="2" t="str">
        <v>0</v>
      </c>
      <c r="I5944" s="3" t="str">
        <f ca="1">IFERROR(__xludf.DUMMYFUNCTION("""COMPUTED_VALUE"""),"Nguyễn Phương Linh")</f>
        <v>Nguyễn Phương Linh</v>
      </c>
      <c r="J5944" s="3" t="str">
        <f ca="1">IFERROR(__xludf.DUMMYFUNCTION("""COMPUTED_VALUE"""),"0832196287")</f>
        <v>0832196287</v>
      </c>
      <c r="K5944" s="2" t="str">
        <f ca="1">IFERROR(__xludf.DUMMYFUNCTION("""COMPUTED_VALUE"""),"1758394442435")</f>
        <v>1758394442435</v>
      </c>
    </row>
    <row r="5945" spans="1:11" ht="12.45">
      <c r="A5945" s="2" t="str">
        <f ca="1">IFERROR(__xludf.DUMMYFUNCTION("""COMPUTED_VALUE"""),"1759489722808")</f>
        <v>1759489722808</v>
      </c>
      <c r="B5945" s="2"/>
      <c r="C5945" s="2" t="str">
        <v>0</v>
      </c>
      <c r="D5945" s="2"/>
      <c r="F5945" s="2" t="str">
        <v>0</v>
      </c>
      <c r="I5945" s="3" t="str">
        <f ca="1">IFERROR(__xludf.DUMMYFUNCTION("""COMPUTED_VALUE"""),"Trần Phương Uyên")</f>
        <v>Trần Phương Uyên</v>
      </c>
      <c r="J5945" s="3" t="str">
        <f ca="1">IFERROR(__xludf.DUMMYFUNCTION("""COMPUTED_VALUE"""),"0949360745")</f>
        <v>0949360745</v>
      </c>
      <c r="K5945" s="2" t="str">
        <f ca="1">IFERROR(__xludf.DUMMYFUNCTION("""COMPUTED_VALUE"""),"1759489722808")</f>
        <v>1759489722808</v>
      </c>
    </row>
    <row r="5946" spans="1:11" ht="12.45">
      <c r="A5946" s="2" t="str">
        <f ca="1">IFERROR(__xludf.DUMMYFUNCTION("""COMPUTED_VALUE"""),"1759489775314")</f>
        <v>1759489775314</v>
      </c>
      <c r="B5946" s="2"/>
      <c r="C5946" s="2" t="str">
        <v>0</v>
      </c>
      <c r="D5946" s="2"/>
      <c r="F5946" s="2" t="str">
        <v>0</v>
      </c>
      <c r="I5946" s="3" t="str">
        <f ca="1">IFERROR(__xludf.DUMMYFUNCTION("""COMPUTED_VALUE"""),"Trần Trúc Đoan")</f>
        <v>Trần Trúc Đoan</v>
      </c>
      <c r="J5946" s="3" t="str">
        <f ca="1">IFERROR(__xludf.DUMMYFUNCTION("""COMPUTED_VALUE"""),"0941234469")</f>
        <v>0941234469</v>
      </c>
      <c r="K5946" s="2" t="str">
        <f ca="1">IFERROR(__xludf.DUMMYFUNCTION("""COMPUTED_VALUE"""),"1759489775314")</f>
        <v>1759489775314</v>
      </c>
    </row>
    <row r="5947" spans="1:11" ht="12.45">
      <c r="A5947" s="2" t="str">
        <f ca="1">IFERROR(__xludf.DUMMYFUNCTION("""COMPUTED_VALUE"""),"Không giao sách")</f>
        <v>Không giao sách</v>
      </c>
      <c r="B5947" s="2"/>
      <c r="C5947" s="2" t="str">
        <v>0</v>
      </c>
      <c r="D5947" s="2"/>
      <c r="F5947" s="2" t="str">
        <v>0</v>
      </c>
      <c r="I5947" s="3" t="str">
        <f ca="1">IFERROR(__xludf.DUMMYFUNCTION("""COMPUTED_VALUE"""),"Nguyễn Ngọc Bảo Ngân ")</f>
        <v xml:space="preserve">Nguyễn Ngọc Bảo Ngân </v>
      </c>
      <c r="J5947" s="3" t="str">
        <f ca="1">IFERROR(__xludf.DUMMYFUNCTION("""COMPUTED_VALUE"""),"0325047122")</f>
        <v>0325047122</v>
      </c>
      <c r="K5947" s="2" t="str">
        <f ca="1">IFERROR(__xludf.DUMMYFUNCTION("""COMPUTED_VALUE"""),"Không giao sách")</f>
        <v>Không giao sách</v>
      </c>
    </row>
    <row r="5948" spans="1:11" ht="12.45">
      <c r="A5948" s="2" t="str">
        <f ca="1">IFERROR(__xludf.DUMMYFUNCTION("""COMPUTED_VALUE"""),"1759489835853")</f>
        <v>1759489835853</v>
      </c>
      <c r="B5948" s="2"/>
      <c r="C5948" s="2" t="str">
        <v>0</v>
      </c>
      <c r="D5948" s="2"/>
      <c r="F5948" s="2" t="str">
        <v>0</v>
      </c>
      <c r="I5948" s="3" t="str">
        <f ca="1">IFERROR(__xludf.DUMMYFUNCTION("""COMPUTED_VALUE"""),"Vương thị Thùy trang ")</f>
        <v xml:space="preserve">Vương thị Thùy trang </v>
      </c>
      <c r="J5948" s="3" t="str">
        <f ca="1">IFERROR(__xludf.DUMMYFUNCTION("""COMPUTED_VALUE"""),"0346386765")</f>
        <v>0346386765</v>
      </c>
      <c r="K5948" s="2" t="str">
        <f ca="1">IFERROR(__xludf.DUMMYFUNCTION("""COMPUTED_VALUE"""),"1759489835853")</f>
        <v>1759489835853</v>
      </c>
    </row>
    <row r="5949" spans="1:11" ht="12.45">
      <c r="A5949" s="2" t="str">
        <f ca="1">IFERROR(__xludf.DUMMYFUNCTION("""COMPUTED_VALUE"""),"1759489884919")</f>
        <v>1759489884919</v>
      </c>
      <c r="B5949" s="2"/>
      <c r="C5949" s="2" t="str">
        <v>0</v>
      </c>
      <c r="D5949" s="2"/>
      <c r="F5949" s="2" t="str">
        <v>0</v>
      </c>
      <c r="I5949" s="3" t="str">
        <f ca="1">IFERROR(__xludf.DUMMYFUNCTION("""COMPUTED_VALUE"""),"Đỗ Thị Diệu Trinh ")</f>
        <v xml:space="preserve">Đỗ Thị Diệu Trinh </v>
      </c>
      <c r="J5949" s="3" t="str">
        <f ca="1">IFERROR(__xludf.DUMMYFUNCTION("""COMPUTED_VALUE"""),"0845155887")</f>
        <v>0845155887</v>
      </c>
      <c r="K5949" s="2" t="str">
        <f ca="1">IFERROR(__xludf.DUMMYFUNCTION("""COMPUTED_VALUE"""),"1759489884919")</f>
        <v>1759489884919</v>
      </c>
    </row>
    <row r="5950" spans="1:11" ht="12.45">
      <c r="A5950" s="2" t="str">
        <f ca="1">IFERROR(__xludf.DUMMYFUNCTION("""COMPUTED_VALUE"""),"1759489941797")</f>
        <v>1759489941797</v>
      </c>
      <c r="B5950" s="2"/>
      <c r="C5950" s="2" t="str">
        <v>0</v>
      </c>
      <c r="D5950" s="2"/>
      <c r="F5950" s="2" t="str">
        <v>0</v>
      </c>
      <c r="I5950" s="3" t="str">
        <f ca="1">IFERROR(__xludf.DUMMYFUNCTION("""COMPUTED_VALUE"""),"Phạm Khánh Linh ")</f>
        <v xml:space="preserve">Phạm Khánh Linh </v>
      </c>
      <c r="J5950" s="3" t="str">
        <f ca="1">IFERROR(__xludf.DUMMYFUNCTION("""COMPUTED_VALUE"""),"0961332168")</f>
        <v>0961332168</v>
      </c>
      <c r="K5950" s="2" t="str">
        <f ca="1">IFERROR(__xludf.DUMMYFUNCTION("""COMPUTED_VALUE"""),"1759489941797")</f>
        <v>1759489941797</v>
      </c>
    </row>
    <row r="5951" spans="1:11" ht="12.45">
      <c r="A5951" s="2" t="str">
        <f ca="1">IFERROR(__xludf.DUMMYFUNCTION("""COMPUTED_VALUE"""),"1762945603766")</f>
        <v>1762945603766</v>
      </c>
      <c r="B5951" s="2"/>
      <c r="C5951" s="2" t="str">
        <v>0</v>
      </c>
      <c r="D5951" s="2"/>
      <c r="F5951" s="2" t="str">
        <v>0</v>
      </c>
      <c r="I5951" s="3" t="str">
        <f ca="1">IFERROR(__xludf.DUMMYFUNCTION("""COMPUTED_VALUE"""),"Nguyễn Huyền Trang ")</f>
        <v xml:space="preserve">Nguyễn Huyền Trang </v>
      </c>
      <c r="J5951" s="3" t="str">
        <f ca="1">IFERROR(__xludf.DUMMYFUNCTION("""COMPUTED_VALUE"""),"0387855457")</f>
        <v>0387855457</v>
      </c>
      <c r="K5951" s="2" t="str">
        <f ca="1">IFERROR(__xludf.DUMMYFUNCTION("""COMPUTED_VALUE"""),"1762945603766")</f>
        <v>1762945603766</v>
      </c>
    </row>
    <row r="5952" spans="1:11" ht="12.45">
      <c r="A5952" s="2" t="str">
        <f ca="1">IFERROR(__xludf.DUMMYFUNCTION("""COMPUTED_VALUE"""),"1759206846166")</f>
        <v>1759206846166</v>
      </c>
      <c r="B5952" s="2"/>
      <c r="C5952" s="2" t="str">
        <v>0</v>
      </c>
      <c r="D5952" s="2"/>
      <c r="F5952" s="2" t="str">
        <v>0</v>
      </c>
      <c r="I5952" s="3" t="str">
        <f ca="1">IFERROR(__xludf.DUMMYFUNCTION("""COMPUTED_VALUE"""),"Nguyễn Thị Thiên Thảo")</f>
        <v>Nguyễn Thị Thiên Thảo</v>
      </c>
      <c r="J5952" s="3" t="str">
        <f ca="1">IFERROR(__xludf.DUMMYFUNCTION("""COMPUTED_VALUE"""),"0972039095")</f>
        <v>0972039095</v>
      </c>
      <c r="K5952" s="2" t="str">
        <f ca="1">IFERROR(__xludf.DUMMYFUNCTION("""COMPUTED_VALUE"""),"1759206846166")</f>
        <v>1759206846166</v>
      </c>
    </row>
    <row r="5953" spans="1:11" ht="12.45">
      <c r="A5953" s="2" t="str">
        <f ca="1">IFERROR(__xludf.DUMMYFUNCTION("""COMPUTED_VALUE"""),"1759490003216")</f>
        <v>1759490003216</v>
      </c>
      <c r="B5953" s="2"/>
      <c r="C5953" s="2" t="str">
        <v>0</v>
      </c>
      <c r="D5953" s="2"/>
      <c r="F5953" s="2" t="str">
        <v>0</v>
      </c>
      <c r="I5953" s="3" t="str">
        <f ca="1">IFERROR(__xludf.DUMMYFUNCTION("""COMPUTED_VALUE"""),"Trần Thu Mai")</f>
        <v>Trần Thu Mai</v>
      </c>
      <c r="J5953" s="3" t="str">
        <f ca="1">IFERROR(__xludf.DUMMYFUNCTION("""COMPUTED_VALUE"""),"0398124852")</f>
        <v>0398124852</v>
      </c>
      <c r="K5953" s="2" t="str">
        <f ca="1">IFERROR(__xludf.DUMMYFUNCTION("""COMPUTED_VALUE"""),"1759490003216")</f>
        <v>1759490003216</v>
      </c>
    </row>
    <row r="5954" spans="1:11" ht="12.45">
      <c r="A5954" s="2" t="str">
        <f ca="1">IFERROR(__xludf.DUMMYFUNCTION("""COMPUTED_VALUE"""),"1759490039692")</f>
        <v>1759490039692</v>
      </c>
      <c r="B5954" s="2"/>
      <c r="C5954" s="2" t="str">
        <v>0</v>
      </c>
      <c r="D5954" s="2"/>
      <c r="F5954" s="2" t="str">
        <v>0</v>
      </c>
      <c r="I5954" s="3" t="str">
        <f ca="1">IFERROR(__xludf.DUMMYFUNCTION("""COMPUTED_VALUE"""),"Bùi Văn Nam")</f>
        <v>Bùi Văn Nam</v>
      </c>
      <c r="J5954" s="3" t="str">
        <f ca="1">IFERROR(__xludf.DUMMYFUNCTION("""COMPUTED_VALUE"""),"0906220891")</f>
        <v>0906220891</v>
      </c>
      <c r="K5954" s="2" t="str">
        <f ca="1">IFERROR(__xludf.DUMMYFUNCTION("""COMPUTED_VALUE"""),"1759490039692")</f>
        <v>1759490039692</v>
      </c>
    </row>
    <row r="5955" spans="1:11" ht="12.45">
      <c r="A5955" s="2" t="str">
        <f ca="1">IFERROR(__xludf.DUMMYFUNCTION("""COMPUTED_VALUE"""),"Không giao sách")</f>
        <v>Không giao sách</v>
      </c>
      <c r="B5955" s="2"/>
      <c r="C5955" s="2" t="str">
        <v>0</v>
      </c>
      <c r="D5955" s="2"/>
      <c r="F5955" s="2" t="str">
        <v>0</v>
      </c>
      <c r="I5955" s="3" t="str">
        <f ca="1">IFERROR(__xludf.DUMMYFUNCTION("""COMPUTED_VALUE"""),"Pham thu thuy")</f>
        <v>Pham thu thuy</v>
      </c>
      <c r="J5955" s="3" t="str">
        <f ca="1">IFERROR(__xludf.DUMMYFUNCTION("""COMPUTED_VALUE"""),"0766316796")</f>
        <v>0766316796</v>
      </c>
      <c r="K5955" s="2" t="str">
        <f ca="1">IFERROR(__xludf.DUMMYFUNCTION("""COMPUTED_VALUE"""),"Không giao sách")</f>
        <v>Không giao sách</v>
      </c>
    </row>
    <row r="5956" spans="1:11" ht="12.45">
      <c r="A5956" s="2" t="str">
        <f ca="1">IFERROR(__xludf.DUMMYFUNCTION("""COMPUTED_VALUE"""),"1759490118175")</f>
        <v>1759490118175</v>
      </c>
      <c r="B5956" s="2"/>
      <c r="C5956" s="2" t="str">
        <v>0</v>
      </c>
      <c r="D5956" s="2"/>
      <c r="F5956" s="2" t="str">
        <v>0</v>
      </c>
      <c r="I5956" s="3" t="str">
        <f ca="1">IFERROR(__xludf.DUMMYFUNCTION("""COMPUTED_VALUE"""),"Hà Thị Châu Giang")</f>
        <v>Hà Thị Châu Giang</v>
      </c>
      <c r="J5956" s="3" t="str">
        <f ca="1">IFERROR(__xludf.DUMMYFUNCTION("""COMPUTED_VALUE"""),"0356741622")</f>
        <v>0356741622</v>
      </c>
      <c r="K5956" s="2" t="str">
        <f ca="1">IFERROR(__xludf.DUMMYFUNCTION("""COMPUTED_VALUE"""),"1759490118175")</f>
        <v>1759490118175</v>
      </c>
    </row>
    <row r="5957" spans="1:11" ht="12.45">
      <c r="A5957" s="2" t="str">
        <f ca="1">IFERROR(__xludf.DUMMYFUNCTION("""COMPUTED_VALUE"""),"1759490205749")</f>
        <v>1759490205749</v>
      </c>
      <c r="B5957" s="2"/>
      <c r="C5957" s="2" t="str">
        <v>0</v>
      </c>
      <c r="D5957" s="2"/>
      <c r="F5957" s="2" t="str">
        <v>0</v>
      </c>
      <c r="I5957" s="3" t="str">
        <f ca="1">IFERROR(__xludf.DUMMYFUNCTION("""COMPUTED_VALUE"""),"Trần tiến đạt")</f>
        <v>Trần tiến đạt</v>
      </c>
      <c r="J5957" s="3" t="str">
        <f ca="1">IFERROR(__xludf.DUMMYFUNCTION("""COMPUTED_VALUE"""),"0376717384")</f>
        <v>0376717384</v>
      </c>
      <c r="K5957" s="2" t="str">
        <f ca="1">IFERROR(__xludf.DUMMYFUNCTION("""COMPUTED_VALUE"""),"1759490205749")</f>
        <v>1759490205749</v>
      </c>
    </row>
    <row r="5958" spans="1:11" ht="12.45">
      <c r="A5958" s="2" t="str">
        <f ca="1">IFERROR(__xludf.DUMMYFUNCTION("""COMPUTED_VALUE"""),"1758394502597")</f>
        <v>1758394502597</v>
      </c>
      <c r="B5958" s="2"/>
      <c r="C5958" s="2" t="str">
        <v>0</v>
      </c>
      <c r="D5958" s="2"/>
      <c r="F5958" s="2" t="str">
        <v>0</v>
      </c>
      <c r="I5958" s="3" t="str">
        <f ca="1">IFERROR(__xludf.DUMMYFUNCTION("""COMPUTED_VALUE"""),"NGUYỄN THỊ HỒNG NHUNG")</f>
        <v>NGUYỄN THỊ HỒNG NHUNG</v>
      </c>
      <c r="J5958" s="3" t="str">
        <f ca="1">IFERROR(__xludf.DUMMYFUNCTION("""COMPUTED_VALUE"""),"0901753770")</f>
        <v>0901753770</v>
      </c>
      <c r="K5958" s="2" t="str">
        <f ca="1">IFERROR(__xludf.DUMMYFUNCTION("""COMPUTED_VALUE"""),"1758394502597")</f>
        <v>1758394502597</v>
      </c>
    </row>
    <row r="5959" spans="1:11" ht="12.45">
      <c r="A5959" s="2" t="str">
        <f ca="1">IFERROR(__xludf.DUMMYFUNCTION("""COMPUTED_VALUE"""),"1758394526995")</f>
        <v>1758394526995</v>
      </c>
      <c r="B5959" s="2"/>
      <c r="C5959" s="2" t="str">
        <v>0</v>
      </c>
      <c r="D5959" s="2"/>
      <c r="F5959" s="2" t="str">
        <v>0</v>
      </c>
      <c r="I5959" s="3" t="str">
        <f ca="1">IFERROR(__xludf.DUMMYFUNCTION("""COMPUTED_VALUE"""),"Nguyễn Lê Gia An")</f>
        <v>Nguyễn Lê Gia An</v>
      </c>
      <c r="J5959" s="3" t="str">
        <f ca="1">IFERROR(__xludf.DUMMYFUNCTION("""COMPUTED_VALUE"""),"0387177346")</f>
        <v>0387177346</v>
      </c>
      <c r="K5959" s="2" t="str">
        <f ca="1">IFERROR(__xludf.DUMMYFUNCTION("""COMPUTED_VALUE"""),"1758394526995")</f>
        <v>1758394526995</v>
      </c>
    </row>
    <row r="5960" spans="1:11" ht="12.45">
      <c r="A5960" s="2" t="str">
        <f ca="1">IFERROR(__xludf.DUMMYFUNCTION("""COMPUTED_VALUE"""),"1759490277046")</f>
        <v>1759490277046</v>
      </c>
      <c r="B5960" s="2"/>
      <c r="C5960" s="2" t="str">
        <v>0</v>
      </c>
      <c r="D5960" s="2"/>
      <c r="F5960" s="2" t="str">
        <v>0</v>
      </c>
      <c r="I5960" s="3" t="str">
        <f ca="1">IFERROR(__xludf.DUMMYFUNCTION("""COMPUTED_VALUE"""),"Hoàng Phương Giang")</f>
        <v>Hoàng Phương Giang</v>
      </c>
      <c r="J5960" s="3" t="str">
        <f ca="1">IFERROR(__xludf.DUMMYFUNCTION("""COMPUTED_VALUE"""),"0986591413")</f>
        <v>0986591413</v>
      </c>
      <c r="K5960" s="2" t="str">
        <f ca="1">IFERROR(__xludf.DUMMYFUNCTION("""COMPUTED_VALUE"""),"1759490277046")</f>
        <v>1759490277046</v>
      </c>
    </row>
    <row r="5961" spans="1:11" ht="12.45">
      <c r="A5961" s="2" t="str">
        <f ca="1">IFERROR(__xludf.DUMMYFUNCTION("""COMPUTED_VALUE"""),"1758394580757")</f>
        <v>1758394580757</v>
      </c>
      <c r="B5961" s="2"/>
      <c r="C5961" s="2" t="str">
        <v>0</v>
      </c>
      <c r="D5961" s="2"/>
      <c r="F5961" s="2" t="str">
        <v>0</v>
      </c>
      <c r="I5961" s="3" t="str">
        <f ca="1">IFERROR(__xludf.DUMMYFUNCTION("""COMPUTED_VALUE"""),"Hoàng Hà Tâm")</f>
        <v>Hoàng Hà Tâm</v>
      </c>
      <c r="J5961" s="3" t="str">
        <f ca="1">IFERROR(__xludf.DUMMYFUNCTION("""COMPUTED_VALUE"""),"0973725073")</f>
        <v>0973725073</v>
      </c>
      <c r="K5961" s="2" t="str">
        <f ca="1">IFERROR(__xludf.DUMMYFUNCTION("""COMPUTED_VALUE"""),"1758394580757")</f>
        <v>1758394580757</v>
      </c>
    </row>
    <row r="5962" spans="1:11" ht="12.45">
      <c r="A5962" s="2" t="str">
        <f ca="1">IFERROR(__xludf.DUMMYFUNCTION("""COMPUTED_VALUE"""),"1758394623028")</f>
        <v>1758394623028</v>
      </c>
      <c r="B5962" s="2"/>
      <c r="C5962" s="2" t="str">
        <v>0</v>
      </c>
      <c r="D5962" s="2"/>
      <c r="F5962" s="2" t="str">
        <v>0</v>
      </c>
      <c r="I5962" s="3" t="str">
        <f ca="1">IFERROR(__xludf.DUMMYFUNCTION("""COMPUTED_VALUE"""),"Bùi Linh Chi")</f>
        <v>Bùi Linh Chi</v>
      </c>
      <c r="J5962" s="3" t="str">
        <f ca="1">IFERROR(__xludf.DUMMYFUNCTION("""COMPUTED_VALUE"""),"0974064881")</f>
        <v>0974064881</v>
      </c>
      <c r="K5962" s="2" t="str">
        <f ca="1">IFERROR(__xludf.DUMMYFUNCTION("""COMPUTED_VALUE"""),"1758394623028")</f>
        <v>1758394623028</v>
      </c>
    </row>
    <row r="5963" spans="1:11" ht="12.45">
      <c r="A5963" s="2" t="str">
        <f ca="1">IFERROR(__xludf.DUMMYFUNCTION("""COMPUTED_VALUE"""),"1758394662806")</f>
        <v>1758394662806</v>
      </c>
      <c r="B5963" s="2"/>
      <c r="C5963" s="2" t="str">
        <v>0</v>
      </c>
      <c r="D5963" s="2"/>
      <c r="F5963" s="2" t="str">
        <v>0</v>
      </c>
      <c r="I5963" s="3" t="str">
        <f ca="1">IFERROR(__xludf.DUMMYFUNCTION("""COMPUTED_VALUE"""),"Tôn thị diễm trinh ")</f>
        <v xml:space="preserve">Tôn thị diễm trinh </v>
      </c>
      <c r="J5963" s="3" t="str">
        <f ca="1">IFERROR(__xludf.DUMMYFUNCTION("""COMPUTED_VALUE"""),"0385922714")</f>
        <v>0385922714</v>
      </c>
      <c r="K5963" s="2" t="str">
        <f ca="1">IFERROR(__xludf.DUMMYFUNCTION("""COMPUTED_VALUE"""),"1758394662806")</f>
        <v>1758394662806</v>
      </c>
    </row>
    <row r="5964" spans="1:11" ht="12.45">
      <c r="A5964" s="2" t="str">
        <f ca="1">IFERROR(__xludf.DUMMYFUNCTION("""COMPUTED_VALUE"""),"1758394701898")</f>
        <v>1758394701898</v>
      </c>
      <c r="B5964" s="2"/>
      <c r="C5964" s="2" t="str">
        <v>0</v>
      </c>
      <c r="D5964" s="2"/>
      <c r="F5964" s="2" t="str">
        <v>0</v>
      </c>
      <c r="I5964" s="3" t="str">
        <f ca="1">IFERROR(__xludf.DUMMYFUNCTION("""COMPUTED_VALUE"""),"Nguyễn Thị Hà Quyên ")</f>
        <v xml:space="preserve">Nguyễn Thị Hà Quyên </v>
      </c>
      <c r="J5964" s="3" t="str">
        <f ca="1">IFERROR(__xludf.DUMMYFUNCTION("""COMPUTED_VALUE"""),"0353563669")</f>
        <v>0353563669</v>
      </c>
      <c r="K5964" s="2" t="str">
        <f ca="1">IFERROR(__xludf.DUMMYFUNCTION("""COMPUTED_VALUE"""),"1758394701898")</f>
        <v>1758394701898</v>
      </c>
    </row>
    <row r="5965" spans="1:11" ht="12.45">
      <c r="A5965" s="2" t="str">
        <f ca="1">IFERROR(__xludf.DUMMYFUNCTION("""COMPUTED_VALUE"""),"1758394743206")</f>
        <v>1758394743206</v>
      </c>
      <c r="B5965" s="2"/>
      <c r="C5965" s="2" t="str">
        <v>0</v>
      </c>
      <c r="D5965" s="2"/>
      <c r="F5965" s="2" t="str">
        <v>0</v>
      </c>
      <c r="I5965" s="3" t="str">
        <f ca="1">IFERROR(__xludf.DUMMYFUNCTION("""COMPUTED_VALUE"""),"Trần Hoài Anh Thư")</f>
        <v>Trần Hoài Anh Thư</v>
      </c>
      <c r="J5965" s="3" t="str">
        <f ca="1">IFERROR(__xludf.DUMMYFUNCTION("""COMPUTED_VALUE"""),"0327325670")</f>
        <v>0327325670</v>
      </c>
      <c r="K5965" s="2" t="str">
        <f ca="1">IFERROR(__xludf.DUMMYFUNCTION("""COMPUTED_VALUE"""),"1758394743206")</f>
        <v>1758394743206</v>
      </c>
    </row>
    <row r="5966" spans="1:11" ht="12.45">
      <c r="A5966" s="2" t="str">
        <f ca="1">IFERROR(__xludf.DUMMYFUNCTION("""COMPUTED_VALUE"""),"1758394782254")</f>
        <v>1758394782254</v>
      </c>
      <c r="B5966" s="2"/>
      <c r="C5966" s="2" t="str">
        <v>0</v>
      </c>
      <c r="D5966" s="2"/>
      <c r="F5966" s="2" t="str">
        <v>0</v>
      </c>
      <c r="I5966" s="3" t="str">
        <f ca="1">IFERROR(__xludf.DUMMYFUNCTION("""COMPUTED_VALUE"""),"Nguyễn Hồ Tuệ Mẫn")</f>
        <v>Nguyễn Hồ Tuệ Mẫn</v>
      </c>
      <c r="J5966" s="3" t="str">
        <f ca="1">IFERROR(__xludf.DUMMYFUNCTION("""COMPUTED_VALUE"""),"0937432840")</f>
        <v>0937432840</v>
      </c>
      <c r="K5966" s="2" t="str">
        <f ca="1">IFERROR(__xludf.DUMMYFUNCTION("""COMPUTED_VALUE"""),"1758394782254")</f>
        <v>1758394782254</v>
      </c>
    </row>
    <row r="5967" spans="1:11" ht="12.45">
      <c r="A5967" s="2" t="str">
        <f ca="1">IFERROR(__xludf.DUMMYFUNCTION("""COMPUTED_VALUE"""),"1758394890992")</f>
        <v>1758394890992</v>
      </c>
      <c r="B5967" s="2"/>
      <c r="C5967" s="2" t="str">
        <v>0</v>
      </c>
      <c r="D5967" s="2"/>
      <c r="F5967" s="2" t="str">
        <v>0</v>
      </c>
      <c r="I5967" s="3" t="str">
        <f ca="1">IFERROR(__xludf.DUMMYFUNCTION("""COMPUTED_VALUE"""),"Nguyễn Thị Nhi ")</f>
        <v xml:space="preserve">Nguyễn Thị Nhi </v>
      </c>
      <c r="J5967" s="3" t="str">
        <f ca="1">IFERROR(__xludf.DUMMYFUNCTION("""COMPUTED_VALUE"""),"0925658297")</f>
        <v>0925658297</v>
      </c>
      <c r="K5967" s="2" t="str">
        <f ca="1">IFERROR(__xludf.DUMMYFUNCTION("""COMPUTED_VALUE"""),"1758394890992")</f>
        <v>1758394890992</v>
      </c>
    </row>
    <row r="5968" spans="1:11" ht="12.45">
      <c r="A5968" s="2" t="str">
        <f ca="1">IFERROR(__xludf.DUMMYFUNCTION("""COMPUTED_VALUE"""),"Không giao sách")</f>
        <v>Không giao sách</v>
      </c>
      <c r="B5968" s="2"/>
      <c r="C5968" s="2" t="str">
        <v>0</v>
      </c>
      <c r="D5968" s="2"/>
      <c r="F5968" s="2" t="str">
        <v>0</v>
      </c>
      <c r="I5968" s="3" t="str">
        <f ca="1">IFERROR(__xludf.DUMMYFUNCTION("""COMPUTED_VALUE"""),"Tô Thuận Thế Hiển")</f>
        <v>Tô Thuận Thế Hiển</v>
      </c>
      <c r="J5968" s="3" t="str">
        <f ca="1">IFERROR(__xludf.DUMMYFUNCTION("""COMPUTED_VALUE"""),"0866631243")</f>
        <v>0866631243</v>
      </c>
      <c r="K5968" s="2" t="str">
        <f ca="1">IFERROR(__xludf.DUMMYFUNCTION("""COMPUTED_VALUE"""),"Không giao sách")</f>
        <v>Không giao sách</v>
      </c>
    </row>
    <row r="5969" spans="1:11" ht="12.45">
      <c r="A5969" s="2" t="str">
        <f ca="1">IFERROR(__xludf.DUMMYFUNCTION("""COMPUTED_VALUE"""),"1758394946553")</f>
        <v>1758394946553</v>
      </c>
      <c r="B5969" s="2"/>
      <c r="C5969" s="2" t="str">
        <v>0</v>
      </c>
      <c r="D5969" s="2"/>
      <c r="F5969" s="2" t="str">
        <v>0</v>
      </c>
      <c r="I5969" s="3" t="str">
        <f ca="1">IFERROR(__xludf.DUMMYFUNCTION("""COMPUTED_VALUE"""),"Nguyễn Bảo Ngân")</f>
        <v>Nguyễn Bảo Ngân</v>
      </c>
      <c r="J5969" s="3" t="str">
        <f ca="1">IFERROR(__xludf.DUMMYFUNCTION("""COMPUTED_VALUE"""),"0342186112")</f>
        <v>0342186112</v>
      </c>
      <c r="K5969" s="2" t="str">
        <f ca="1">IFERROR(__xludf.DUMMYFUNCTION("""COMPUTED_VALUE"""),"1758394946553")</f>
        <v>1758394946553</v>
      </c>
    </row>
    <row r="5970" spans="1:11" ht="12.45">
      <c r="A5970" s="2" t="str">
        <f ca="1">IFERROR(__xludf.DUMMYFUNCTION("""COMPUTED_VALUE"""),"1758395007044")</f>
        <v>1758395007044</v>
      </c>
      <c r="B5970" s="2"/>
      <c r="C5970" s="2" t="str">
        <v>0</v>
      </c>
      <c r="D5970" s="2"/>
      <c r="F5970" s="2" t="str">
        <v>0</v>
      </c>
      <c r="I5970" s="3" t="str">
        <f ca="1">IFERROR(__xludf.DUMMYFUNCTION("""COMPUTED_VALUE"""),"Huỳnh Thị Ngọc Trâm")</f>
        <v>Huỳnh Thị Ngọc Trâm</v>
      </c>
      <c r="J5970" s="3" t="str">
        <f ca="1">IFERROR(__xludf.DUMMYFUNCTION("""COMPUTED_VALUE"""),"0376200207")</f>
        <v>0376200207</v>
      </c>
      <c r="K5970" s="2" t="str">
        <f ca="1">IFERROR(__xludf.DUMMYFUNCTION("""COMPUTED_VALUE"""),"1758395007044")</f>
        <v>1758395007044</v>
      </c>
    </row>
    <row r="5971" spans="1:11" ht="12.45">
      <c r="A5971" s="2" t="str">
        <f ca="1">IFERROR(__xludf.DUMMYFUNCTION("""COMPUTED_VALUE"""),"1758395049732")</f>
        <v>1758395049732</v>
      </c>
      <c r="B5971" s="2"/>
      <c r="C5971" s="2" t="str">
        <v>0</v>
      </c>
      <c r="D5971" s="2"/>
      <c r="F5971" s="2" t="str">
        <v>0</v>
      </c>
      <c r="I5971" s="3" t="str">
        <f ca="1">IFERROR(__xludf.DUMMYFUNCTION("""COMPUTED_VALUE"""),"Lê Thị Thanh Trúc ")</f>
        <v xml:space="preserve">Lê Thị Thanh Trúc </v>
      </c>
      <c r="J5971" s="3" t="str">
        <f ca="1">IFERROR(__xludf.DUMMYFUNCTION("""COMPUTED_VALUE"""),"0768160755")</f>
        <v>0768160755</v>
      </c>
      <c r="K5971" s="2" t="str">
        <f ca="1">IFERROR(__xludf.DUMMYFUNCTION("""COMPUTED_VALUE"""),"1758395049732")</f>
        <v>1758395049732</v>
      </c>
    </row>
    <row r="5972" spans="1:11" ht="12.45">
      <c r="A5972" s="2" t="str">
        <f ca="1">IFERROR(__xludf.DUMMYFUNCTION("""COMPUTED_VALUE"""),"1758395099028")</f>
        <v>1758395099028</v>
      </c>
      <c r="B5972" s="2"/>
      <c r="C5972" s="2" t="str">
        <v>0</v>
      </c>
      <c r="D5972" s="2"/>
      <c r="F5972" s="2" t="str">
        <v>0</v>
      </c>
      <c r="I5972" s="3" t="str">
        <f ca="1">IFERROR(__xludf.DUMMYFUNCTION("""COMPUTED_VALUE"""),"Lưu Mai Trang ")</f>
        <v xml:space="preserve">Lưu Mai Trang </v>
      </c>
      <c r="J5972" s="3" t="str">
        <f ca="1">IFERROR(__xludf.DUMMYFUNCTION("""COMPUTED_VALUE"""),"0838779770")</f>
        <v>0838779770</v>
      </c>
      <c r="K5972" s="2" t="str">
        <f ca="1">IFERROR(__xludf.DUMMYFUNCTION("""COMPUTED_VALUE"""),"1758395099028")</f>
        <v>1758395099028</v>
      </c>
    </row>
    <row r="5973" spans="1:11" ht="12.45">
      <c r="A5973" s="2" t="str">
        <f ca="1">IFERROR(__xludf.DUMMYFUNCTION("""COMPUTED_VALUE"""),"1758395149445")</f>
        <v>1758395149445</v>
      </c>
      <c r="B5973" s="2"/>
      <c r="C5973" s="2" t="str">
        <v>0</v>
      </c>
      <c r="D5973" s="2"/>
      <c r="F5973" s="2" t="str">
        <v>0</v>
      </c>
      <c r="I5973" s="3" t="str">
        <f ca="1">IFERROR(__xludf.DUMMYFUNCTION("""COMPUTED_VALUE"""),"Trần Hồng Hạnh")</f>
        <v>Trần Hồng Hạnh</v>
      </c>
      <c r="J5973" s="3" t="str">
        <f ca="1">IFERROR(__xludf.DUMMYFUNCTION("""COMPUTED_VALUE"""),"0393761924")</f>
        <v>0393761924</v>
      </c>
      <c r="K5973" s="2" t="str">
        <f ca="1">IFERROR(__xludf.DUMMYFUNCTION("""COMPUTED_VALUE"""),"1758395149445")</f>
        <v>1758395149445</v>
      </c>
    </row>
    <row r="5974" spans="1:11" ht="12.45">
      <c r="A5974" s="2" t="str">
        <f ca="1">IFERROR(__xludf.DUMMYFUNCTION("""COMPUTED_VALUE"""),"1758395181518")</f>
        <v>1758395181518</v>
      </c>
      <c r="B5974" s="2"/>
      <c r="C5974" s="2" t="str">
        <v>0</v>
      </c>
      <c r="D5974" s="2"/>
      <c r="F5974" s="2" t="str">
        <v>0</v>
      </c>
      <c r="I5974" s="3" t="str">
        <f ca="1">IFERROR(__xludf.DUMMYFUNCTION("""COMPUTED_VALUE"""),"Trần Bội Hoàn")</f>
        <v>Trần Bội Hoàn</v>
      </c>
      <c r="J5974" s="3" t="str">
        <f ca="1">IFERROR(__xludf.DUMMYFUNCTION("""COMPUTED_VALUE"""),"0969726006")</f>
        <v>0969726006</v>
      </c>
      <c r="K5974" s="2" t="str">
        <f ca="1">IFERROR(__xludf.DUMMYFUNCTION("""COMPUTED_VALUE"""),"1758395181518")</f>
        <v>1758395181518</v>
      </c>
    </row>
    <row r="5975" spans="1:11" ht="12.45">
      <c r="A5975" s="2" t="str">
        <f ca="1">IFERROR(__xludf.DUMMYFUNCTION("""COMPUTED_VALUE"""),"1758395267598")</f>
        <v>1758395267598</v>
      </c>
      <c r="B5975" s="2"/>
      <c r="C5975" s="2" t="str">
        <v>0</v>
      </c>
      <c r="D5975" s="2"/>
      <c r="F5975" s="2" t="str">
        <v>0</v>
      </c>
      <c r="I5975" s="3" t="str">
        <f ca="1">IFERROR(__xludf.DUMMYFUNCTION("""COMPUTED_VALUE"""),"Nguyễn thị khánh linh")</f>
        <v>Nguyễn thị khánh linh</v>
      </c>
      <c r="J5975" s="3" t="str">
        <f ca="1">IFERROR(__xludf.DUMMYFUNCTION("""COMPUTED_VALUE"""),"0974713706")</f>
        <v>0974713706</v>
      </c>
      <c r="K5975" s="2" t="str">
        <f ca="1">IFERROR(__xludf.DUMMYFUNCTION("""COMPUTED_VALUE"""),"1758395267598")</f>
        <v>1758395267598</v>
      </c>
    </row>
    <row r="5976" spans="1:11" ht="12.45">
      <c r="A5976" s="2" t="str">
        <f ca="1">IFERROR(__xludf.DUMMYFUNCTION("""COMPUTED_VALUE"""),"1758395313268")</f>
        <v>1758395313268</v>
      </c>
      <c r="B5976" s="2"/>
      <c r="C5976" s="2" t="str">
        <v>0</v>
      </c>
      <c r="D5976" s="2"/>
      <c r="F5976" s="2" t="str">
        <v>0</v>
      </c>
      <c r="I5976" s="3" t="str">
        <f ca="1">IFERROR(__xludf.DUMMYFUNCTION("""COMPUTED_VALUE"""),"Hoàng Ngọc Quỳnh Như")</f>
        <v>Hoàng Ngọc Quỳnh Như</v>
      </c>
      <c r="J5976" s="3" t="str">
        <f ca="1">IFERROR(__xludf.DUMMYFUNCTION("""COMPUTED_VALUE"""),"0339227012")</f>
        <v>0339227012</v>
      </c>
      <c r="K5976" s="2" t="str">
        <f ca="1">IFERROR(__xludf.DUMMYFUNCTION("""COMPUTED_VALUE"""),"1758395313268")</f>
        <v>1758395313268</v>
      </c>
    </row>
    <row r="5977" spans="1:11" ht="12.45">
      <c r="A5977" s="2" t="str">
        <f ca="1">IFERROR(__xludf.DUMMYFUNCTION("""COMPUTED_VALUE"""),"1758395361207")</f>
        <v>1758395361207</v>
      </c>
      <c r="B5977" s="2"/>
      <c r="C5977" s="2" t="str">
        <v>0</v>
      </c>
      <c r="D5977" s="2"/>
      <c r="F5977" s="2" t="str">
        <v>0</v>
      </c>
      <c r="I5977" s="3" t="str">
        <f ca="1">IFERROR(__xludf.DUMMYFUNCTION("""COMPUTED_VALUE"""),"Phan Thị Thanh Nhã ")</f>
        <v xml:space="preserve">Phan Thị Thanh Nhã </v>
      </c>
      <c r="J5977" s="3" t="str">
        <f ca="1">IFERROR(__xludf.DUMMYFUNCTION("""COMPUTED_VALUE"""),"0386947814")</f>
        <v>0386947814</v>
      </c>
      <c r="K5977" s="2" t="str">
        <f ca="1">IFERROR(__xludf.DUMMYFUNCTION("""COMPUTED_VALUE"""),"1758395361207")</f>
        <v>1758395361207</v>
      </c>
    </row>
    <row r="5978" spans="1:11" ht="12.45">
      <c r="A5978" s="2">
        <f ca="1">IFERROR(__xludf.DUMMYFUNCTION("""COMPUTED_VALUE"""),1756412459034)</f>
        <v>1756412459034</v>
      </c>
      <c r="B5978" s="2"/>
      <c r="C5978" s="2" t="str">
        <v>0</v>
      </c>
      <c r="D5978" s="2"/>
      <c r="F5978" s="2" t="str">
        <v>0</v>
      </c>
      <c r="I5978" s="3" t="str">
        <f ca="1">IFERROR(__xludf.DUMMYFUNCTION("""COMPUTED_VALUE"""),"Lò văn Nam")</f>
        <v>Lò văn Nam</v>
      </c>
      <c r="J5978" s="3" t="str">
        <f ca="1">IFERROR(__xludf.DUMMYFUNCTION("""COMPUTED_VALUE"""),"0329621323")</f>
        <v>0329621323</v>
      </c>
      <c r="K5978" s="2">
        <f ca="1">IFERROR(__xludf.DUMMYFUNCTION("""COMPUTED_VALUE"""),1756412459034)</f>
        <v>1756412459034</v>
      </c>
    </row>
    <row r="5979" spans="1:11" ht="12.45">
      <c r="A5979" s="2">
        <f ca="1">IFERROR(__xludf.DUMMYFUNCTION("""COMPUTED_VALUE"""),1756412459034)</f>
        <v>1756412459034</v>
      </c>
      <c r="B5979" s="2"/>
      <c r="C5979" s="2" t="str">
        <v>0</v>
      </c>
      <c r="D5979" s="2"/>
      <c r="F5979" s="2" t="str">
        <v>0</v>
      </c>
      <c r="I5979" s="3" t="str">
        <f ca="1">IFERROR(__xludf.DUMMYFUNCTION("""COMPUTED_VALUE"""),"Lò Văn huân")</f>
        <v>Lò Văn huân</v>
      </c>
      <c r="J5979" s="3" t="str">
        <f ca="1">IFERROR(__xludf.DUMMYFUNCTION("""COMPUTED_VALUE"""),"0775861305")</f>
        <v>0775861305</v>
      </c>
      <c r="K5979" s="2">
        <f ca="1">IFERROR(__xludf.DUMMYFUNCTION("""COMPUTED_VALUE"""),1756412459034)</f>
        <v>1756412459034</v>
      </c>
    </row>
    <row r="5980" spans="1:11" ht="12.45">
      <c r="A5980" s="2" t="str">
        <f ca="1">IFERROR(__xludf.DUMMYFUNCTION("""COMPUTED_VALUE"""),"1758395390220")</f>
        <v>1758395390220</v>
      </c>
      <c r="B5980" s="2"/>
      <c r="C5980" s="2" t="str">
        <v>0</v>
      </c>
      <c r="D5980" s="2"/>
      <c r="F5980" s="2" t="str">
        <v>0</v>
      </c>
      <c r="I5980" s="3" t="str">
        <f ca="1">IFERROR(__xludf.DUMMYFUNCTION("""COMPUTED_VALUE"""),"Giang Khuê Dung")</f>
        <v>Giang Khuê Dung</v>
      </c>
      <c r="J5980" s="3" t="str">
        <f ca="1">IFERROR(__xludf.DUMMYFUNCTION("""COMPUTED_VALUE"""),"0564520016")</f>
        <v>0564520016</v>
      </c>
      <c r="K5980" s="2" t="str">
        <f ca="1">IFERROR(__xludf.DUMMYFUNCTION("""COMPUTED_VALUE"""),"1758395390220")</f>
        <v>1758395390220</v>
      </c>
    </row>
    <row r="5981" spans="1:11" ht="12.45">
      <c r="A5981" s="2" t="str">
        <f ca="1">IFERROR(__xludf.DUMMYFUNCTION("""COMPUTED_VALUE"""),"Không giao sách")</f>
        <v>Không giao sách</v>
      </c>
      <c r="B5981" s="2"/>
      <c r="C5981" s="2" t="str">
        <v>0</v>
      </c>
      <c r="D5981" s="2"/>
      <c r="F5981" s="2" t="str">
        <v>0</v>
      </c>
      <c r="I5981" s="3" t="str">
        <f ca="1">IFERROR(__xludf.DUMMYFUNCTION("""COMPUTED_VALUE"""),"Đậu Quỳnh Trang")</f>
        <v>Đậu Quỳnh Trang</v>
      </c>
      <c r="J5981" s="3" t="str">
        <f ca="1">IFERROR(__xludf.DUMMYFUNCTION("""COMPUTED_VALUE"""),"0388913389")</f>
        <v>0388913389</v>
      </c>
      <c r="K5981" s="2" t="str">
        <f ca="1">IFERROR(__xludf.DUMMYFUNCTION("""COMPUTED_VALUE"""),"Không giao sách")</f>
        <v>Không giao sách</v>
      </c>
    </row>
    <row r="5982" spans="1:11" ht="12.45">
      <c r="A5982" s="2" t="str">
        <f ca="1">IFERROR(__xludf.DUMMYFUNCTION("""COMPUTED_VALUE"""),"1758395417673")</f>
        <v>1758395417673</v>
      </c>
      <c r="B5982" s="2"/>
      <c r="C5982" s="2" t="str">
        <v>0</v>
      </c>
      <c r="D5982" s="2"/>
      <c r="F5982" s="2" t="str">
        <v>0</v>
      </c>
      <c r="I5982" s="3" t="str">
        <f ca="1">IFERROR(__xludf.DUMMYFUNCTION("""COMPUTED_VALUE"""),"Phạm Ngọc Bảo Châu")</f>
        <v>Phạm Ngọc Bảo Châu</v>
      </c>
      <c r="J5982" s="3" t="str">
        <f ca="1">IFERROR(__xludf.DUMMYFUNCTION("""COMPUTED_VALUE"""),"0842051707")</f>
        <v>0842051707</v>
      </c>
      <c r="K5982" s="2" t="str">
        <f ca="1">IFERROR(__xludf.DUMMYFUNCTION("""COMPUTED_VALUE"""),"1758395417673")</f>
        <v>1758395417673</v>
      </c>
    </row>
    <row r="5983" spans="1:11" ht="12.45">
      <c r="A5983" s="2" t="str">
        <f ca="1">IFERROR(__xludf.DUMMYFUNCTION("""COMPUTED_VALUE"""),"1758395445337")</f>
        <v>1758395445337</v>
      </c>
      <c r="B5983" s="2"/>
      <c r="C5983" s="2" t="str">
        <v>0</v>
      </c>
      <c r="D5983" s="2"/>
      <c r="F5983" s="2" t="str">
        <v>0</v>
      </c>
      <c r="I5983" s="3" t="str">
        <f ca="1">IFERROR(__xludf.DUMMYFUNCTION("""COMPUTED_VALUE"""),"Nguyễn Hoàng Hải Anh")</f>
        <v>Nguyễn Hoàng Hải Anh</v>
      </c>
      <c r="J5983" s="3" t="str">
        <f ca="1">IFERROR(__xludf.DUMMYFUNCTION("""COMPUTED_VALUE"""),"0965907225")</f>
        <v>0965907225</v>
      </c>
      <c r="K5983" s="2" t="str">
        <f ca="1">IFERROR(__xludf.DUMMYFUNCTION("""COMPUTED_VALUE"""),"1758395445337")</f>
        <v>1758395445337</v>
      </c>
    </row>
    <row r="5984" spans="1:11" ht="12.45">
      <c r="A5984" s="2" t="str">
        <f ca="1">IFERROR(__xludf.DUMMYFUNCTION("""COMPUTED_VALUE"""),"Không giao sách")</f>
        <v>Không giao sách</v>
      </c>
      <c r="B5984" s="2"/>
      <c r="C5984" s="2" t="str">
        <v>0</v>
      </c>
      <c r="D5984" s="2"/>
      <c r="F5984" s="2" t="str">
        <v>0</v>
      </c>
      <c r="I5984" s="3" t="str">
        <f ca="1">IFERROR(__xludf.DUMMYFUNCTION("""COMPUTED_VALUE"""),"Đỗ Quốc Khánh")</f>
        <v>Đỗ Quốc Khánh</v>
      </c>
      <c r="J5984" s="3" t="str">
        <f ca="1">IFERROR(__xludf.DUMMYFUNCTION("""COMPUTED_VALUE"""),"0395616983")</f>
        <v>0395616983</v>
      </c>
      <c r="K5984" s="2" t="str">
        <f ca="1">IFERROR(__xludf.DUMMYFUNCTION("""COMPUTED_VALUE"""),"Không giao sách")</f>
        <v>Không giao sách</v>
      </c>
    </row>
    <row r="5985" spans="1:11" ht="12.45">
      <c r="A5985" s="2" t="str">
        <f ca="1">IFERROR(__xludf.DUMMYFUNCTION("""COMPUTED_VALUE"""),"1758395485974")</f>
        <v>1758395485974</v>
      </c>
      <c r="B5985" s="2"/>
      <c r="C5985" s="2" t="str">
        <v>0</v>
      </c>
      <c r="D5985" s="2"/>
      <c r="F5985" s="2" t="str">
        <v>0</v>
      </c>
      <c r="I5985" s="3" t="str">
        <f ca="1">IFERROR(__xludf.DUMMYFUNCTION("""COMPUTED_VALUE"""),"Trần Ngọc ánh ")</f>
        <v xml:space="preserve">Trần Ngọc ánh </v>
      </c>
      <c r="J5985" s="3" t="str">
        <f ca="1">IFERROR(__xludf.DUMMYFUNCTION("""COMPUTED_VALUE"""),"0817420678")</f>
        <v>0817420678</v>
      </c>
      <c r="K5985" s="2" t="str">
        <f ca="1">IFERROR(__xludf.DUMMYFUNCTION("""COMPUTED_VALUE"""),"1758395485974")</f>
        <v>1758395485974</v>
      </c>
    </row>
    <row r="5986" spans="1:11" ht="12.45">
      <c r="A5986" s="2" t="str">
        <f ca="1">IFERROR(__xludf.DUMMYFUNCTION("""COMPUTED_VALUE"""),"1758395520330")</f>
        <v>1758395520330</v>
      </c>
      <c r="B5986" s="2"/>
      <c r="C5986" s="2" t="str">
        <v>0</v>
      </c>
      <c r="D5986" s="2"/>
      <c r="F5986" s="2" t="str">
        <v>0</v>
      </c>
      <c r="I5986" s="3" t="str">
        <f ca="1">IFERROR(__xludf.DUMMYFUNCTION("""COMPUTED_VALUE"""),"Nguyễn Trần Ly Na")</f>
        <v>Nguyễn Trần Ly Na</v>
      </c>
      <c r="J5986" s="3" t="str">
        <f ca="1">IFERROR(__xludf.DUMMYFUNCTION("""COMPUTED_VALUE"""),"0941800219")</f>
        <v>0941800219</v>
      </c>
      <c r="K5986" s="2" t="str">
        <f ca="1">IFERROR(__xludf.DUMMYFUNCTION("""COMPUTED_VALUE"""),"1758395520330")</f>
        <v>1758395520330</v>
      </c>
    </row>
    <row r="5987" spans="1:11" ht="12.45">
      <c r="A5987" s="2" t="str">
        <f ca="1">IFERROR(__xludf.DUMMYFUNCTION("""COMPUTED_VALUE"""),"1758395579864")</f>
        <v>1758395579864</v>
      </c>
      <c r="B5987" s="2"/>
      <c r="C5987" s="2" t="str">
        <v>0</v>
      </c>
      <c r="D5987" s="2"/>
      <c r="F5987" s="2" t="str">
        <v>0</v>
      </c>
      <c r="I5987" s="3" t="str">
        <f ca="1">IFERROR(__xludf.DUMMYFUNCTION("""COMPUTED_VALUE"""),"Hoàng Thị Thanh Huyền ")</f>
        <v xml:space="preserve">Hoàng Thị Thanh Huyền </v>
      </c>
      <c r="J5987" s="3" t="str">
        <f ca="1">IFERROR(__xludf.DUMMYFUNCTION("""COMPUTED_VALUE"""),"0389261110")</f>
        <v>0389261110</v>
      </c>
      <c r="K5987" s="2" t="str">
        <f ca="1">IFERROR(__xludf.DUMMYFUNCTION("""COMPUTED_VALUE"""),"1758395579864")</f>
        <v>1758395579864</v>
      </c>
    </row>
    <row r="5988" spans="1:11" ht="12.45">
      <c r="A5988" s="2" t="str">
        <f ca="1">IFERROR(__xludf.DUMMYFUNCTION("""COMPUTED_VALUE"""),"1758395630514")</f>
        <v>1758395630514</v>
      </c>
      <c r="B5988" s="2"/>
      <c r="C5988" s="2" t="str">
        <v>0</v>
      </c>
      <c r="D5988" s="2"/>
      <c r="F5988" s="2" t="str">
        <v>0</v>
      </c>
      <c r="I5988" s="3" t="str">
        <f ca="1">IFERROR(__xludf.DUMMYFUNCTION("""COMPUTED_VALUE"""),"MÃ THANH THỂ ")</f>
        <v xml:space="preserve">MÃ THANH THỂ </v>
      </c>
      <c r="J5988" s="3" t="str">
        <f ca="1">IFERROR(__xludf.DUMMYFUNCTION("""COMPUTED_VALUE"""),"0968045772")</f>
        <v>0968045772</v>
      </c>
      <c r="K5988" s="2" t="str">
        <f ca="1">IFERROR(__xludf.DUMMYFUNCTION("""COMPUTED_VALUE"""),"1758395630514")</f>
        <v>1758395630514</v>
      </c>
    </row>
    <row r="5989" spans="1:11" ht="12.45">
      <c r="A5989" s="2" t="str">
        <f ca="1">IFERROR(__xludf.DUMMYFUNCTION("""COMPUTED_VALUE"""),"Không giao sách")</f>
        <v>Không giao sách</v>
      </c>
      <c r="B5989" s="2"/>
      <c r="C5989" s="2" t="str">
        <v>0</v>
      </c>
      <c r="D5989" s="2"/>
      <c r="F5989" s="2" t="str">
        <v>0</v>
      </c>
      <c r="I5989" s="3" t="str">
        <f ca="1">IFERROR(__xludf.DUMMYFUNCTION("""COMPUTED_VALUE"""),"Nguyễn Thị Quỳnh Chi ")</f>
        <v xml:space="preserve">Nguyễn Thị Quỳnh Chi </v>
      </c>
      <c r="J5989" s="3" t="str">
        <f ca="1">IFERROR(__xludf.DUMMYFUNCTION("""COMPUTED_VALUE"""),"0974560969")</f>
        <v>0974560969</v>
      </c>
      <c r="K5989" s="2" t="str">
        <f ca="1">IFERROR(__xludf.DUMMYFUNCTION("""COMPUTED_VALUE"""),"Không giao sách")</f>
        <v>Không giao sách</v>
      </c>
    </row>
    <row r="5990" spans="1:11" ht="12.45">
      <c r="A5990" s="2" t="str">
        <f ca="1">IFERROR(__xludf.DUMMYFUNCTION("""COMPUTED_VALUE"""),"1758395664877")</f>
        <v>1758395664877</v>
      </c>
      <c r="B5990" s="2"/>
      <c r="C5990" s="2" t="str">
        <v>0</v>
      </c>
      <c r="D5990" s="2"/>
      <c r="F5990" s="2" t="str">
        <v>0</v>
      </c>
      <c r="I5990" s="3" t="str">
        <f ca="1">IFERROR(__xludf.DUMMYFUNCTION("""COMPUTED_VALUE"""),"Trương Thị Thanh Huệ")</f>
        <v>Trương Thị Thanh Huệ</v>
      </c>
      <c r="J5990" s="3" t="str">
        <f ca="1">IFERROR(__xludf.DUMMYFUNCTION("""COMPUTED_VALUE"""),"0703938833")</f>
        <v>0703938833</v>
      </c>
      <c r="K5990" s="2" t="str">
        <f ca="1">IFERROR(__xludf.DUMMYFUNCTION("""COMPUTED_VALUE"""),"1758395664877")</f>
        <v>1758395664877</v>
      </c>
    </row>
    <row r="5991" spans="1:11" ht="12.45">
      <c r="A5991" s="2" t="str">
        <f ca="1">IFERROR(__xludf.DUMMYFUNCTION("""COMPUTED_VALUE"""),"1758395711713")</f>
        <v>1758395711713</v>
      </c>
      <c r="B5991" s="2"/>
      <c r="C5991" s="2" t="str">
        <v>0</v>
      </c>
      <c r="D5991" s="2"/>
      <c r="F5991" s="2" t="str">
        <v>0</v>
      </c>
      <c r="I5991" s="3" t="str">
        <f ca="1">IFERROR(__xludf.DUMMYFUNCTION("""COMPUTED_VALUE"""),"Huỳnh Thị Kim Sa")</f>
        <v>Huỳnh Thị Kim Sa</v>
      </c>
      <c r="J5991" s="3" t="str">
        <f ca="1">IFERROR(__xludf.DUMMYFUNCTION("""COMPUTED_VALUE"""),"0987755423")</f>
        <v>0987755423</v>
      </c>
      <c r="K5991" s="2" t="str">
        <f ca="1">IFERROR(__xludf.DUMMYFUNCTION("""COMPUTED_VALUE"""),"1758395711713")</f>
        <v>1758395711713</v>
      </c>
    </row>
    <row r="5992" spans="1:11" ht="12.45">
      <c r="A5992" s="2" t="str">
        <f ca="1">IFERROR(__xludf.DUMMYFUNCTION("""COMPUTED_VALUE"""),"1758395767081")</f>
        <v>1758395767081</v>
      </c>
      <c r="B5992" s="2"/>
      <c r="C5992" s="2" t="str">
        <v>0</v>
      </c>
      <c r="D5992" s="2"/>
      <c r="F5992" s="2" t="str">
        <v>0</v>
      </c>
      <c r="I5992" s="3" t="str">
        <f ca="1">IFERROR(__xludf.DUMMYFUNCTION("""COMPUTED_VALUE"""),"Huỳnh Trần Thúy Vy")</f>
        <v>Huỳnh Trần Thúy Vy</v>
      </c>
      <c r="J5992" s="3" t="str">
        <f ca="1">IFERROR(__xludf.DUMMYFUNCTION("""COMPUTED_VALUE"""),"0868471125")</f>
        <v>0868471125</v>
      </c>
      <c r="K5992" s="2" t="str">
        <f ca="1">IFERROR(__xludf.DUMMYFUNCTION("""COMPUTED_VALUE"""),"1758395767081")</f>
        <v>1758395767081</v>
      </c>
    </row>
    <row r="5993" spans="1:11" ht="12.45">
      <c r="A5993" s="2" t="str">
        <f ca="1">IFERROR(__xludf.DUMMYFUNCTION("""COMPUTED_VALUE"""),"1758395821516")</f>
        <v>1758395821516</v>
      </c>
      <c r="B5993" s="2"/>
      <c r="C5993" s="2" t="str">
        <v>0</v>
      </c>
      <c r="D5993" s="2"/>
      <c r="F5993" s="2" t="str">
        <v>0</v>
      </c>
      <c r="I5993" s="3" t="str">
        <f ca="1">IFERROR(__xludf.DUMMYFUNCTION("""COMPUTED_VALUE"""),"Võ Thị Thu Hà")</f>
        <v>Võ Thị Thu Hà</v>
      </c>
      <c r="J5993" s="3" t="str">
        <f ca="1">IFERROR(__xludf.DUMMYFUNCTION("""COMPUTED_VALUE"""),"0964142380")</f>
        <v>0964142380</v>
      </c>
      <c r="K5993" s="2" t="str">
        <f ca="1">IFERROR(__xludf.DUMMYFUNCTION("""COMPUTED_VALUE"""),"1758395821516")</f>
        <v>1758395821516</v>
      </c>
    </row>
    <row r="5994" spans="1:11" ht="12.45">
      <c r="A5994" s="2" t="str">
        <f ca="1">IFERROR(__xludf.DUMMYFUNCTION("""COMPUTED_VALUE"""),"1758395883329")</f>
        <v>1758395883329</v>
      </c>
      <c r="B5994" s="2"/>
      <c r="C5994" s="2" t="str">
        <v>0</v>
      </c>
      <c r="D5994" s="2"/>
      <c r="F5994" s="2" t="str">
        <v>0</v>
      </c>
      <c r="I5994" s="3" t="str">
        <f ca="1">IFERROR(__xludf.DUMMYFUNCTION("""COMPUTED_VALUE"""),"Châu Tâm Như ")</f>
        <v xml:space="preserve">Châu Tâm Như </v>
      </c>
      <c r="J5994" s="3" t="str">
        <f ca="1">IFERROR(__xludf.DUMMYFUNCTION("""COMPUTED_VALUE"""),"0332774484")</f>
        <v>0332774484</v>
      </c>
      <c r="K5994" s="2" t="str">
        <f ca="1">IFERROR(__xludf.DUMMYFUNCTION("""COMPUTED_VALUE"""),"1758395883329")</f>
        <v>1758395883329</v>
      </c>
    </row>
    <row r="5995" spans="1:11" ht="12.45">
      <c r="A5995" s="2" t="str">
        <f ca="1">IFERROR(__xludf.DUMMYFUNCTION("""COMPUTED_VALUE"""),"1758395915747")</f>
        <v>1758395915747</v>
      </c>
      <c r="B5995" s="2"/>
      <c r="C5995" s="2" t="str">
        <v>0</v>
      </c>
      <c r="D5995" s="2"/>
      <c r="F5995" s="2" t="str">
        <v>0</v>
      </c>
      <c r="I5995" s="3" t="str">
        <f ca="1">IFERROR(__xludf.DUMMYFUNCTION("""COMPUTED_VALUE"""),"Nguyễn Thị Thanh Thuý")</f>
        <v>Nguyễn Thị Thanh Thuý</v>
      </c>
      <c r="J5995" s="3" t="str">
        <f ca="1">IFERROR(__xludf.DUMMYFUNCTION("""COMPUTED_VALUE"""),"0818115219")</f>
        <v>0818115219</v>
      </c>
      <c r="K5995" s="2" t="str">
        <f ca="1">IFERROR(__xludf.DUMMYFUNCTION("""COMPUTED_VALUE"""),"1758395915747")</f>
        <v>1758395915747</v>
      </c>
    </row>
    <row r="5996" spans="1:11" ht="12.45">
      <c r="A5996" s="2" t="str">
        <f ca="1">IFERROR(__xludf.DUMMYFUNCTION("""COMPUTED_VALUE"""),"1758395963339")</f>
        <v>1758395963339</v>
      </c>
      <c r="B5996" s="2"/>
      <c r="C5996" s="2" t="str">
        <v>0</v>
      </c>
      <c r="D5996" s="2"/>
      <c r="F5996" s="2" t="str">
        <v>0</v>
      </c>
      <c r="I5996" s="3" t="str">
        <f ca="1">IFERROR(__xludf.DUMMYFUNCTION("""COMPUTED_VALUE"""),"Nguyễn Thị Cẩm Uyên")</f>
        <v>Nguyễn Thị Cẩm Uyên</v>
      </c>
      <c r="J5996" s="3" t="str">
        <f ca="1">IFERROR(__xludf.DUMMYFUNCTION("""COMPUTED_VALUE"""),"0345230746")</f>
        <v>0345230746</v>
      </c>
      <c r="K5996" s="2" t="str">
        <f ca="1">IFERROR(__xludf.DUMMYFUNCTION("""COMPUTED_VALUE"""),"1758395963339")</f>
        <v>1758395963339</v>
      </c>
    </row>
    <row r="5997" spans="1:11" ht="12.45">
      <c r="A5997" s="2" t="str">
        <f ca="1">IFERROR(__xludf.DUMMYFUNCTION("""COMPUTED_VALUE"""),"Không giao sách")</f>
        <v>Không giao sách</v>
      </c>
      <c r="B5997" s="2"/>
      <c r="C5997" s="2" t="str">
        <v>0</v>
      </c>
      <c r="D5997" s="2"/>
      <c r="F5997" s="2" t="str">
        <v>0</v>
      </c>
      <c r="I5997" s="3" t="str">
        <f ca="1">IFERROR(__xludf.DUMMYFUNCTION("""COMPUTED_VALUE"""),"Châu Phú Hào")</f>
        <v>Châu Phú Hào</v>
      </c>
      <c r="J5997" s="3" t="str">
        <f ca="1">IFERROR(__xludf.DUMMYFUNCTION("""COMPUTED_VALUE"""),"0383947847")</f>
        <v>0383947847</v>
      </c>
      <c r="K5997" s="2" t="str">
        <f ca="1">IFERROR(__xludf.DUMMYFUNCTION("""COMPUTED_VALUE"""),"Không giao sách")</f>
        <v>Không giao sách</v>
      </c>
    </row>
    <row r="5998" spans="1:11" ht="12.45">
      <c r="A5998" s="2" t="str">
        <f ca="1">IFERROR(__xludf.DUMMYFUNCTION("""COMPUTED_VALUE"""),"1758396006069")</f>
        <v>1758396006069</v>
      </c>
      <c r="B5998" s="2"/>
      <c r="C5998" s="2" t="str">
        <v>0</v>
      </c>
      <c r="D5998" s="2"/>
      <c r="F5998" s="2" t="str">
        <v>0</v>
      </c>
      <c r="I5998" s="3" t="str">
        <f ca="1">IFERROR(__xludf.DUMMYFUNCTION("""COMPUTED_VALUE"""),"Dương Thị Hà")</f>
        <v>Dương Thị Hà</v>
      </c>
      <c r="J5998" s="3" t="str">
        <f ca="1">IFERROR(__xludf.DUMMYFUNCTION("""COMPUTED_VALUE"""),"0879509648")</f>
        <v>0879509648</v>
      </c>
      <c r="K5998" s="2" t="str">
        <f ca="1">IFERROR(__xludf.DUMMYFUNCTION("""COMPUTED_VALUE"""),"1758396006069")</f>
        <v>1758396006069</v>
      </c>
    </row>
    <row r="5999" spans="1:11" ht="12.45">
      <c r="A5999" s="2" t="str">
        <f ca="1">IFERROR(__xludf.DUMMYFUNCTION("""COMPUTED_VALUE"""),"Không giao sách")</f>
        <v>Không giao sách</v>
      </c>
      <c r="B5999" s="2"/>
      <c r="C5999" s="2" t="str">
        <v>0</v>
      </c>
      <c r="D5999" s="2"/>
      <c r="F5999" s="2" t="str">
        <v>0</v>
      </c>
      <c r="I5999" s="3" t="str">
        <f ca="1">IFERROR(__xludf.DUMMYFUNCTION("""COMPUTED_VALUE"""),"Bùi Phương Anh")</f>
        <v>Bùi Phương Anh</v>
      </c>
      <c r="J5999" s="3" t="str">
        <f ca="1">IFERROR(__xludf.DUMMYFUNCTION("""COMPUTED_VALUE"""),"0347200258")</f>
        <v>0347200258</v>
      </c>
      <c r="K5999" s="2" t="str">
        <f ca="1">IFERROR(__xludf.DUMMYFUNCTION("""COMPUTED_VALUE"""),"Không giao sách")</f>
        <v>Không giao sách</v>
      </c>
    </row>
    <row r="6000" spans="1:11" ht="12.45">
      <c r="A6000" s="2" t="str">
        <f ca="1">IFERROR(__xludf.DUMMYFUNCTION("""COMPUTED_VALUE"""),"1758396047906")</f>
        <v>1758396047906</v>
      </c>
      <c r="B6000" s="2"/>
      <c r="C6000" s="2" t="str">
        <v>0</v>
      </c>
      <c r="D6000" s="2"/>
      <c r="F6000" s="2" t="str">
        <v>0</v>
      </c>
      <c r="I6000" s="3" t="str">
        <f ca="1">IFERROR(__xludf.DUMMYFUNCTION("""COMPUTED_VALUE"""),"LÊ XUÂN TRƯỜNG")</f>
        <v>LÊ XUÂN TRƯỜNG</v>
      </c>
      <c r="J6000" s="3" t="str">
        <f ca="1">IFERROR(__xludf.DUMMYFUNCTION("""COMPUTED_VALUE"""),"0325368432")</f>
        <v>0325368432</v>
      </c>
      <c r="K6000" s="2" t="str">
        <f ca="1">IFERROR(__xludf.DUMMYFUNCTION("""COMPUTED_VALUE"""),"1758396047906")</f>
        <v>1758396047906</v>
      </c>
    </row>
    <row r="6001" spans="1:11" ht="12.45">
      <c r="A6001" s="2" t="str">
        <f ca="1">IFERROR(__xludf.DUMMYFUNCTION("""COMPUTED_VALUE"""),"1758396090184")</f>
        <v>1758396090184</v>
      </c>
      <c r="B6001" s="2"/>
      <c r="C6001" s="2" t="str">
        <v>0</v>
      </c>
      <c r="D6001" s="2"/>
      <c r="F6001" s="2" t="str">
        <v>0</v>
      </c>
      <c r="I6001" s="3" t="str">
        <f ca="1">IFERROR(__xludf.DUMMYFUNCTION("""COMPUTED_VALUE"""),"Phạm Quỳnh Nhi")</f>
        <v>Phạm Quỳnh Nhi</v>
      </c>
      <c r="J6001" s="3" t="str">
        <f ca="1">IFERROR(__xludf.DUMMYFUNCTION("""COMPUTED_VALUE"""),"0345920437")</f>
        <v>0345920437</v>
      </c>
      <c r="K6001" s="2" t="str">
        <f ca="1">IFERROR(__xludf.DUMMYFUNCTION("""COMPUTED_VALUE"""),"1758396090184")</f>
        <v>1758396090184</v>
      </c>
    </row>
    <row r="6002" spans="1:11" ht="12.45">
      <c r="A6002" s="2" t="str">
        <f ca="1">IFERROR(__xludf.DUMMYFUNCTION("""COMPUTED_VALUE"""),"1758396187062")</f>
        <v>1758396187062</v>
      </c>
      <c r="B6002" s="2"/>
      <c r="C6002" s="2" t="str">
        <v>0</v>
      </c>
      <c r="D6002" s="2"/>
      <c r="F6002" s="2" t="str">
        <v>0</v>
      </c>
      <c r="I6002" s="3" t="str">
        <f ca="1">IFERROR(__xludf.DUMMYFUNCTION("""COMPUTED_VALUE"""),"Võ Quỳnh Hương")</f>
        <v>Võ Quỳnh Hương</v>
      </c>
      <c r="J6002" s="3" t="str">
        <f ca="1">IFERROR(__xludf.DUMMYFUNCTION("""COMPUTED_VALUE"""),"0347090846")</f>
        <v>0347090846</v>
      </c>
      <c r="K6002" s="2" t="str">
        <f ca="1">IFERROR(__xludf.DUMMYFUNCTION("""COMPUTED_VALUE"""),"1758396187062")</f>
        <v>1758396187062</v>
      </c>
    </row>
    <row r="6003" spans="1:11" ht="12.45">
      <c r="A6003" s="2" t="str">
        <f ca="1">IFERROR(__xludf.DUMMYFUNCTION("""COMPUTED_VALUE"""),"1758396230342")</f>
        <v>1758396230342</v>
      </c>
      <c r="B6003" s="2"/>
      <c r="C6003" s="2" t="str">
        <v>0</v>
      </c>
      <c r="D6003" s="2"/>
      <c r="F6003" s="2" t="str">
        <v>0</v>
      </c>
      <c r="I6003" s="3" t="str">
        <f ca="1">IFERROR(__xludf.DUMMYFUNCTION("""COMPUTED_VALUE"""),"Đào Phan Thanh Nga")</f>
        <v>Đào Phan Thanh Nga</v>
      </c>
      <c r="J6003" s="3" t="str">
        <f ca="1">IFERROR(__xludf.DUMMYFUNCTION("""COMPUTED_VALUE"""),"0384645352")</f>
        <v>0384645352</v>
      </c>
      <c r="K6003" s="2" t="str">
        <f ca="1">IFERROR(__xludf.DUMMYFUNCTION("""COMPUTED_VALUE"""),"1758396230342")</f>
        <v>1758396230342</v>
      </c>
    </row>
    <row r="6004" spans="1:11" ht="12.45">
      <c r="A6004" s="2" t="str">
        <f ca="1">IFERROR(__xludf.DUMMYFUNCTION("""COMPUTED_VALUE"""),"1758396271422")</f>
        <v>1758396271422</v>
      </c>
      <c r="B6004" s="2"/>
      <c r="C6004" s="2" t="str">
        <v>0</v>
      </c>
      <c r="D6004" s="2"/>
      <c r="F6004" s="2" t="str">
        <v>0</v>
      </c>
      <c r="I6004" s="3" t="str">
        <f ca="1">IFERROR(__xludf.DUMMYFUNCTION("""COMPUTED_VALUE"""),"Phạm Lê Mai Thuỳ")</f>
        <v>Phạm Lê Mai Thuỳ</v>
      </c>
      <c r="J6004" s="3" t="str">
        <f ca="1">IFERROR(__xludf.DUMMYFUNCTION("""COMPUTED_VALUE"""),"0327658280")</f>
        <v>0327658280</v>
      </c>
      <c r="K6004" s="2" t="str">
        <f ca="1">IFERROR(__xludf.DUMMYFUNCTION("""COMPUTED_VALUE"""),"1758396271422")</f>
        <v>1758396271422</v>
      </c>
    </row>
    <row r="6005" spans="1:11" ht="12.45">
      <c r="A6005" s="2" t="str">
        <f ca="1">IFERROR(__xludf.DUMMYFUNCTION("""COMPUTED_VALUE"""),"1758396324757")</f>
        <v>1758396324757</v>
      </c>
      <c r="B6005" s="2"/>
      <c r="C6005" s="2" t="str">
        <v>0</v>
      </c>
      <c r="D6005" s="2"/>
      <c r="F6005" s="2" t="str">
        <v>0</v>
      </c>
      <c r="I6005" s="3" t="str">
        <f ca="1">IFERROR(__xludf.DUMMYFUNCTION("""COMPUTED_VALUE"""),"Phạm Quỳnh Anh ")</f>
        <v xml:space="preserve">Phạm Quỳnh Anh </v>
      </c>
      <c r="J6005" s="3" t="str">
        <f ca="1">IFERROR(__xludf.DUMMYFUNCTION("""COMPUTED_VALUE"""),"0382793994")</f>
        <v>0382793994</v>
      </c>
      <c r="K6005" s="2" t="str">
        <f ca="1">IFERROR(__xludf.DUMMYFUNCTION("""COMPUTED_VALUE"""),"1758396324757")</f>
        <v>1758396324757</v>
      </c>
    </row>
    <row r="6006" spans="1:11" ht="12.45">
      <c r="A6006" s="2" t="str">
        <f ca="1">IFERROR(__xludf.DUMMYFUNCTION("""COMPUTED_VALUE"""),"1758396379518")</f>
        <v>1758396379518</v>
      </c>
      <c r="B6006" s="2"/>
      <c r="C6006" s="2" t="str">
        <v>0</v>
      </c>
      <c r="D6006" s="2"/>
      <c r="F6006" s="2" t="str">
        <v>0</v>
      </c>
      <c r="I6006" s="3" t="str">
        <f ca="1">IFERROR(__xludf.DUMMYFUNCTION("""COMPUTED_VALUE"""),"Lê Ngọc Huỳnh Hương")</f>
        <v>Lê Ngọc Huỳnh Hương</v>
      </c>
      <c r="J6006" s="3" t="str">
        <f ca="1">IFERROR(__xludf.DUMMYFUNCTION("""COMPUTED_VALUE"""),"0853783009")</f>
        <v>0853783009</v>
      </c>
      <c r="K6006" s="2" t="str">
        <f ca="1">IFERROR(__xludf.DUMMYFUNCTION("""COMPUTED_VALUE"""),"1758396379518")</f>
        <v>1758396379518</v>
      </c>
    </row>
    <row r="6007" spans="1:11" ht="12.45">
      <c r="A6007" s="2" t="str">
        <f ca="1">IFERROR(__xludf.DUMMYFUNCTION("""COMPUTED_VALUE"""),"1758396415066")</f>
        <v>1758396415066</v>
      </c>
      <c r="B6007" s="2"/>
      <c r="C6007" s="2" t="str">
        <v>0</v>
      </c>
      <c r="D6007" s="2"/>
      <c r="F6007" s="2" t="str">
        <v>0</v>
      </c>
      <c r="I6007" s="3" t="str">
        <f ca="1">IFERROR(__xludf.DUMMYFUNCTION("""COMPUTED_VALUE"""),"Nguyễn Thị Ngọc Bích")</f>
        <v>Nguyễn Thị Ngọc Bích</v>
      </c>
      <c r="J6007" s="3" t="str">
        <f ca="1">IFERROR(__xludf.DUMMYFUNCTION("""COMPUTED_VALUE"""),"0334857768")</f>
        <v>0334857768</v>
      </c>
      <c r="K6007" s="2" t="str">
        <f ca="1">IFERROR(__xludf.DUMMYFUNCTION("""COMPUTED_VALUE"""),"1758396415066")</f>
        <v>1758396415066</v>
      </c>
    </row>
    <row r="6008" spans="1:11" ht="12.45">
      <c r="A6008" s="2" t="str">
        <f ca="1">IFERROR(__xludf.DUMMYFUNCTION("""COMPUTED_VALUE"""),"1758396444495")</f>
        <v>1758396444495</v>
      </c>
      <c r="B6008" s="2"/>
      <c r="C6008" s="2" t="str">
        <v>0</v>
      </c>
      <c r="D6008" s="2"/>
      <c r="F6008" s="2" t="str">
        <v>0</v>
      </c>
      <c r="I6008" s="3" t="str">
        <f ca="1">IFERROR(__xludf.DUMMYFUNCTION("""COMPUTED_VALUE"""),"Trương Tú Anh")</f>
        <v>Trương Tú Anh</v>
      </c>
      <c r="J6008" s="3" t="str">
        <f ca="1">IFERROR(__xludf.DUMMYFUNCTION("""COMPUTED_VALUE"""),"0355039857")</f>
        <v>0355039857</v>
      </c>
      <c r="K6008" s="2" t="str">
        <f ca="1">IFERROR(__xludf.DUMMYFUNCTION("""COMPUTED_VALUE"""),"1758396444495")</f>
        <v>1758396444495</v>
      </c>
    </row>
    <row r="6009" spans="1:11" ht="12.45">
      <c r="A6009" s="2" t="str">
        <f ca="1">IFERROR(__xludf.DUMMYFUNCTION("""COMPUTED_VALUE"""),"1758396489710")</f>
        <v>1758396489710</v>
      </c>
      <c r="B6009" s="2"/>
      <c r="C6009" s="2" t="str">
        <v>0</v>
      </c>
      <c r="D6009" s="2"/>
      <c r="F6009" s="2" t="str">
        <v>0</v>
      </c>
      <c r="I6009" s="3" t="str">
        <f ca="1">IFERROR(__xludf.DUMMYFUNCTION("""COMPUTED_VALUE"""),"Nguyễn Phạm Khánh Hưng")</f>
        <v>Nguyễn Phạm Khánh Hưng</v>
      </c>
      <c r="J6009" s="3" t="str">
        <f ca="1">IFERROR(__xludf.DUMMYFUNCTION("""COMPUTED_VALUE"""),"0702739035")</f>
        <v>0702739035</v>
      </c>
      <c r="K6009" s="2" t="str">
        <f ca="1">IFERROR(__xludf.DUMMYFUNCTION("""COMPUTED_VALUE"""),"1758396489710")</f>
        <v>1758396489710</v>
      </c>
    </row>
    <row r="6010" spans="1:11" ht="12.45">
      <c r="A6010" s="2" t="str">
        <f ca="1">IFERROR(__xludf.DUMMYFUNCTION("""COMPUTED_VALUE"""),"1758396532706")</f>
        <v>1758396532706</v>
      </c>
      <c r="B6010" s="2"/>
      <c r="C6010" s="2" t="str">
        <v>0</v>
      </c>
      <c r="D6010" s="2"/>
      <c r="F6010" s="2" t="str">
        <v>0</v>
      </c>
      <c r="I6010" s="3" t="str">
        <f ca="1">IFERROR(__xludf.DUMMYFUNCTION("""COMPUTED_VALUE"""),"Võ Ý Nhi")</f>
        <v>Võ Ý Nhi</v>
      </c>
      <c r="J6010" s="3" t="str">
        <f ca="1">IFERROR(__xludf.DUMMYFUNCTION("""COMPUTED_VALUE"""),"0933728395")</f>
        <v>0933728395</v>
      </c>
      <c r="K6010" s="2" t="str">
        <f ca="1">IFERROR(__xludf.DUMMYFUNCTION("""COMPUTED_VALUE"""),"1758396532706")</f>
        <v>1758396532706</v>
      </c>
    </row>
    <row r="6011" spans="1:11" ht="12.45">
      <c r="A6011" s="2" t="str">
        <f ca="1">IFERROR(__xludf.DUMMYFUNCTION("""COMPUTED_VALUE"""),"1758396580463")</f>
        <v>1758396580463</v>
      </c>
      <c r="B6011" s="2"/>
      <c r="C6011" s="2" t="str">
        <v>0</v>
      </c>
      <c r="D6011" s="2"/>
      <c r="F6011" s="2" t="str">
        <v>0</v>
      </c>
      <c r="I6011" s="3" t="str">
        <f ca="1">IFERROR(__xludf.DUMMYFUNCTION("""COMPUTED_VALUE"""),"Nguyễn Thị Khánh Linh ")</f>
        <v xml:space="preserve">Nguyễn Thị Khánh Linh </v>
      </c>
      <c r="J6011" s="3" t="str">
        <f ca="1">IFERROR(__xludf.DUMMYFUNCTION("""COMPUTED_VALUE"""),"0337476125")</f>
        <v>0337476125</v>
      </c>
      <c r="K6011" s="2" t="str">
        <f ca="1">IFERROR(__xludf.DUMMYFUNCTION("""COMPUTED_VALUE"""),"1758396580463")</f>
        <v>1758396580463</v>
      </c>
    </row>
    <row r="6012" spans="1:11" ht="12.45">
      <c r="A6012" s="2" t="str">
        <f ca="1">IFERROR(__xludf.DUMMYFUNCTION("""COMPUTED_VALUE"""),"1758396623499")</f>
        <v>1758396623499</v>
      </c>
      <c r="B6012" s="2"/>
      <c r="C6012" s="2" t="str">
        <v>0</v>
      </c>
      <c r="D6012" s="2"/>
      <c r="F6012" s="2" t="str">
        <v>0</v>
      </c>
      <c r="I6012" s="3" t="str">
        <f ca="1">IFERROR(__xludf.DUMMYFUNCTION("""COMPUTED_VALUE"""),"lê gia ngọc")</f>
        <v>lê gia ngọc</v>
      </c>
      <c r="J6012" s="3" t="str">
        <f ca="1">IFERROR(__xludf.DUMMYFUNCTION("""COMPUTED_VALUE"""),"0387067125")</f>
        <v>0387067125</v>
      </c>
      <c r="K6012" s="2" t="str">
        <f ca="1">IFERROR(__xludf.DUMMYFUNCTION("""COMPUTED_VALUE"""),"1758396623499")</f>
        <v>1758396623499</v>
      </c>
    </row>
    <row r="6013" spans="1:11" ht="12.45">
      <c r="A6013" s="2" t="str">
        <f ca="1">IFERROR(__xludf.DUMMYFUNCTION("""COMPUTED_VALUE"""),"1758396653260")</f>
        <v>1758396653260</v>
      </c>
      <c r="B6013" s="2"/>
      <c r="C6013" s="2" t="str">
        <v>0</v>
      </c>
      <c r="D6013" s="2"/>
      <c r="F6013" s="2" t="str">
        <v>0</v>
      </c>
      <c r="I6013" s="3" t="str">
        <f ca="1">IFERROR(__xludf.DUMMYFUNCTION("""COMPUTED_VALUE"""),"Đào Minh Ánh")</f>
        <v>Đào Minh Ánh</v>
      </c>
      <c r="J6013" s="3" t="str">
        <f ca="1">IFERROR(__xludf.DUMMYFUNCTION("""COMPUTED_VALUE"""),"0385003406")</f>
        <v>0385003406</v>
      </c>
      <c r="K6013" s="2" t="str">
        <f ca="1">IFERROR(__xludf.DUMMYFUNCTION("""COMPUTED_VALUE"""),"1758396653260")</f>
        <v>1758396653260</v>
      </c>
    </row>
    <row r="6014" spans="1:11" ht="12.45">
      <c r="A6014" s="2" t="str">
        <f ca="1">IFERROR(__xludf.DUMMYFUNCTION("""COMPUTED_VALUE"""),"1758396686829")</f>
        <v>1758396686829</v>
      </c>
      <c r="B6014" s="2"/>
      <c r="C6014" s="2" t="str">
        <v>0</v>
      </c>
      <c r="D6014" s="2"/>
      <c r="F6014" s="2" t="str">
        <v>0</v>
      </c>
      <c r="I6014" s="3" t="str">
        <f ca="1">IFERROR(__xludf.DUMMYFUNCTION("""COMPUTED_VALUE"""),"Lý Thị Hải Anh")</f>
        <v>Lý Thị Hải Anh</v>
      </c>
      <c r="J6014" s="3" t="str">
        <f ca="1">IFERROR(__xludf.DUMMYFUNCTION("""COMPUTED_VALUE"""),"0708601251")</f>
        <v>0708601251</v>
      </c>
      <c r="K6014" s="2" t="str">
        <f ca="1">IFERROR(__xludf.DUMMYFUNCTION("""COMPUTED_VALUE"""),"1758396686829")</f>
        <v>1758396686829</v>
      </c>
    </row>
    <row r="6015" spans="1:11" ht="12.45">
      <c r="A6015" s="2" t="str">
        <f ca="1">IFERROR(__xludf.DUMMYFUNCTION("""COMPUTED_VALUE"""),"1758396715071")</f>
        <v>1758396715071</v>
      </c>
      <c r="B6015" s="2"/>
      <c r="C6015" s="2" t="str">
        <v>0</v>
      </c>
      <c r="D6015" s="2"/>
      <c r="F6015" s="2" t="str">
        <v>0</v>
      </c>
      <c r="I6015" s="3" t="str">
        <f ca="1">IFERROR(__xludf.DUMMYFUNCTION("""COMPUTED_VALUE"""),"Nguyễn Ngọc Ly")</f>
        <v>Nguyễn Ngọc Ly</v>
      </c>
      <c r="J6015" s="3" t="str">
        <f ca="1">IFERROR(__xludf.DUMMYFUNCTION("""COMPUTED_VALUE"""),"0961245850")</f>
        <v>0961245850</v>
      </c>
      <c r="K6015" s="2" t="str">
        <f ca="1">IFERROR(__xludf.DUMMYFUNCTION("""COMPUTED_VALUE"""),"1758396715071")</f>
        <v>1758396715071</v>
      </c>
    </row>
    <row r="6016" spans="1:11" ht="12.45">
      <c r="A6016" s="2" t="str">
        <f ca="1">IFERROR(__xludf.DUMMYFUNCTION("""COMPUTED_VALUE"""),"1758396757043")</f>
        <v>1758396757043</v>
      </c>
      <c r="B6016" s="2"/>
      <c r="C6016" s="2" t="str">
        <v>0</v>
      </c>
      <c r="D6016" s="2"/>
      <c r="F6016" s="2" t="str">
        <v>0</v>
      </c>
      <c r="I6016" s="3" t="str">
        <f ca="1">IFERROR(__xludf.DUMMYFUNCTION("""COMPUTED_VALUE"""),"Nguyễn Cao Quỳnh My")</f>
        <v>Nguyễn Cao Quỳnh My</v>
      </c>
      <c r="J6016" s="3" t="str">
        <f ca="1">IFERROR(__xludf.DUMMYFUNCTION("""COMPUTED_VALUE"""),"0947551946")</f>
        <v>0947551946</v>
      </c>
      <c r="K6016" s="2" t="str">
        <f ca="1">IFERROR(__xludf.DUMMYFUNCTION("""COMPUTED_VALUE"""),"1758396757043")</f>
        <v>1758396757043</v>
      </c>
    </row>
    <row r="6017" spans="1:11" ht="12.45">
      <c r="A6017" s="2" t="str">
        <f ca="1">IFERROR(__xludf.DUMMYFUNCTION("""COMPUTED_VALUE"""),"1758396804450")</f>
        <v>1758396804450</v>
      </c>
      <c r="B6017" s="2"/>
      <c r="C6017" s="2" t="str">
        <v>0</v>
      </c>
      <c r="D6017" s="2"/>
      <c r="F6017" s="2" t="str">
        <v>0</v>
      </c>
      <c r="I6017" s="3" t="str">
        <f ca="1">IFERROR(__xludf.DUMMYFUNCTION("""COMPUTED_VALUE"""),"Võ Ngọc Tường Vi")</f>
        <v>Võ Ngọc Tường Vi</v>
      </c>
      <c r="J6017" s="3" t="str">
        <f ca="1">IFERROR(__xludf.DUMMYFUNCTION("""COMPUTED_VALUE"""),"0394204607")</f>
        <v>0394204607</v>
      </c>
      <c r="K6017" s="2" t="str">
        <f ca="1">IFERROR(__xludf.DUMMYFUNCTION("""COMPUTED_VALUE"""),"1758396804450")</f>
        <v>1758396804450</v>
      </c>
    </row>
    <row r="6018" spans="1:11" ht="12.45">
      <c r="A6018" s="2" t="str">
        <f ca="1">IFERROR(__xludf.DUMMYFUNCTION("""COMPUTED_VALUE"""),"1758396839536")</f>
        <v>1758396839536</v>
      </c>
      <c r="B6018" s="2"/>
      <c r="C6018" s="2" t="str">
        <v>0</v>
      </c>
      <c r="D6018" s="2"/>
      <c r="F6018" s="2" t="str">
        <v>0</v>
      </c>
      <c r="I6018" s="3" t="str">
        <f ca="1">IFERROR(__xludf.DUMMYFUNCTION("""COMPUTED_VALUE"""),"Phùng Thị Ngọc Chinh")</f>
        <v>Phùng Thị Ngọc Chinh</v>
      </c>
      <c r="J6018" s="3" t="str">
        <f ca="1">IFERROR(__xludf.DUMMYFUNCTION("""COMPUTED_VALUE"""),"0985361829")</f>
        <v>0985361829</v>
      </c>
      <c r="K6018" s="2" t="str">
        <f ca="1">IFERROR(__xludf.DUMMYFUNCTION("""COMPUTED_VALUE"""),"1758396839536")</f>
        <v>1758396839536</v>
      </c>
    </row>
    <row r="6019" spans="1:11" ht="12.45">
      <c r="A6019" s="2" t="str">
        <f ca="1">IFERROR(__xludf.DUMMYFUNCTION("""COMPUTED_VALUE"""),"1758396869995")</f>
        <v>1758396869995</v>
      </c>
      <c r="B6019" s="2"/>
      <c r="C6019" s="2" t="str">
        <v>0</v>
      </c>
      <c r="D6019" s="2"/>
      <c r="F6019" s="2" t="str">
        <v>0</v>
      </c>
      <c r="I6019" s="3" t="str">
        <f ca="1">IFERROR(__xludf.DUMMYFUNCTION("""COMPUTED_VALUE"""),"Đỗ Nguyễn Hồng Nhung")</f>
        <v>Đỗ Nguyễn Hồng Nhung</v>
      </c>
      <c r="J6019" s="3" t="str">
        <f ca="1">IFERROR(__xludf.DUMMYFUNCTION("""COMPUTED_VALUE"""),"0822860167")</f>
        <v>0822860167</v>
      </c>
      <c r="K6019" s="2" t="str">
        <f ca="1">IFERROR(__xludf.DUMMYFUNCTION("""COMPUTED_VALUE"""),"1758396869995")</f>
        <v>1758396869995</v>
      </c>
    </row>
    <row r="6020" spans="1:11" ht="12.45">
      <c r="A6020" s="2" t="str">
        <f ca="1">IFERROR(__xludf.DUMMYFUNCTION("""COMPUTED_VALUE"""),"1758396923521")</f>
        <v>1758396923521</v>
      </c>
      <c r="B6020" s="2"/>
      <c r="C6020" s="2" t="str">
        <v>0</v>
      </c>
      <c r="D6020" s="2"/>
      <c r="F6020" s="2" t="str">
        <v>0</v>
      </c>
      <c r="I6020" s="3" t="str">
        <f ca="1">IFERROR(__xludf.DUMMYFUNCTION("""COMPUTED_VALUE"""),"Phan Ngọc Phương Mai ")</f>
        <v xml:space="preserve">Phan Ngọc Phương Mai </v>
      </c>
      <c r="J6020" s="3" t="str">
        <f ca="1">IFERROR(__xludf.DUMMYFUNCTION("""COMPUTED_VALUE"""),"0835958179")</f>
        <v>0835958179</v>
      </c>
      <c r="K6020" s="2" t="str">
        <f ca="1">IFERROR(__xludf.DUMMYFUNCTION("""COMPUTED_VALUE"""),"1758396923521")</f>
        <v>1758396923521</v>
      </c>
    </row>
    <row r="6021" spans="1:11" ht="12.45">
      <c r="A6021" s="2" t="str">
        <f ca="1">IFERROR(__xludf.DUMMYFUNCTION("""COMPUTED_VALUE"""),"1758396978560")</f>
        <v>1758396978560</v>
      </c>
      <c r="B6021" s="2"/>
      <c r="C6021" s="2" t="str">
        <v>0</v>
      </c>
      <c r="D6021" s="2"/>
      <c r="F6021" s="2" t="str">
        <v>0</v>
      </c>
      <c r="I6021" s="3" t="str">
        <f ca="1">IFERROR(__xludf.DUMMYFUNCTION("""COMPUTED_VALUE"""),"Lê Thị Thuỳ Trang")</f>
        <v>Lê Thị Thuỳ Trang</v>
      </c>
      <c r="J6021" s="3" t="str">
        <f ca="1">IFERROR(__xludf.DUMMYFUNCTION("""COMPUTED_VALUE"""),"8438932746")</f>
        <v>8438932746</v>
      </c>
      <c r="K6021" s="2" t="str">
        <f ca="1">IFERROR(__xludf.DUMMYFUNCTION("""COMPUTED_VALUE"""),"1758396978560")</f>
        <v>1758396978560</v>
      </c>
    </row>
    <row r="6022" spans="1:11" ht="12.45">
      <c r="A6022" s="2" t="str">
        <f ca="1">IFERROR(__xludf.DUMMYFUNCTION("""COMPUTED_VALUE"""),"1758397063371")</f>
        <v>1758397063371</v>
      </c>
      <c r="B6022" s="2"/>
      <c r="C6022" s="2" t="str">
        <v>0</v>
      </c>
      <c r="D6022" s="2"/>
      <c r="F6022" s="2" t="str">
        <v>0</v>
      </c>
      <c r="I6022" s="3" t="str">
        <f ca="1">IFERROR(__xludf.DUMMYFUNCTION("""COMPUTED_VALUE"""),"Phạm Ngọc Ánh ")</f>
        <v xml:space="preserve">Phạm Ngọc Ánh </v>
      </c>
      <c r="J6022" s="3" t="str">
        <f ca="1">IFERROR(__xludf.DUMMYFUNCTION("""COMPUTED_VALUE"""),"0383528096")</f>
        <v>0383528096</v>
      </c>
      <c r="K6022" s="2" t="str">
        <f ca="1">IFERROR(__xludf.DUMMYFUNCTION("""COMPUTED_VALUE"""),"1758397063371")</f>
        <v>1758397063371</v>
      </c>
    </row>
    <row r="6023" spans="1:11" ht="12.45">
      <c r="A6023" s="2" t="str">
        <f ca="1">IFERROR(__xludf.DUMMYFUNCTION("""COMPUTED_VALUE"""),"1758397155651")</f>
        <v>1758397155651</v>
      </c>
      <c r="B6023" s="2"/>
      <c r="C6023" s="2" t="str">
        <v>0</v>
      </c>
      <c r="D6023" s="2"/>
      <c r="F6023" s="2" t="str">
        <v>0</v>
      </c>
      <c r="I6023" s="3" t="str">
        <f ca="1">IFERROR(__xludf.DUMMYFUNCTION("""COMPUTED_VALUE"""),"Nguyễn Ngọc Phương Trinh ")</f>
        <v xml:space="preserve">Nguyễn Ngọc Phương Trinh </v>
      </c>
      <c r="J6023" s="3" t="str">
        <f ca="1">IFERROR(__xludf.DUMMYFUNCTION("""COMPUTED_VALUE"""),"0816318293")</f>
        <v>0816318293</v>
      </c>
      <c r="K6023" s="2" t="str">
        <f ca="1">IFERROR(__xludf.DUMMYFUNCTION("""COMPUTED_VALUE"""),"1758397155651")</f>
        <v>1758397155651</v>
      </c>
    </row>
    <row r="6024" spans="1:11" ht="12.45">
      <c r="A6024" s="2" t="str">
        <f ca="1">IFERROR(__xludf.DUMMYFUNCTION("""COMPUTED_VALUE"""),"1758397212063")</f>
        <v>1758397212063</v>
      </c>
      <c r="B6024" s="2"/>
      <c r="C6024" s="2" t="str">
        <v>0</v>
      </c>
      <c r="D6024" s="2"/>
      <c r="F6024" s="2" t="str">
        <v>0</v>
      </c>
      <c r="I6024" s="3" t="str">
        <f ca="1">IFERROR(__xludf.DUMMYFUNCTION("""COMPUTED_VALUE"""),"Phạm Thị Phương Linh ")</f>
        <v xml:space="preserve">Phạm Thị Phương Linh </v>
      </c>
      <c r="J6024" s="3" t="str">
        <f ca="1">IFERROR(__xludf.DUMMYFUNCTION("""COMPUTED_VALUE"""),"0949357752")</f>
        <v>0949357752</v>
      </c>
      <c r="K6024" s="2" t="str">
        <f ca="1">IFERROR(__xludf.DUMMYFUNCTION("""COMPUTED_VALUE"""),"1758397212063")</f>
        <v>1758397212063</v>
      </c>
    </row>
    <row r="6025" spans="1:11" ht="12.45">
      <c r="A6025" s="2" t="str">
        <f ca="1">IFERROR(__xludf.DUMMYFUNCTION("""COMPUTED_VALUE"""),"1758397267476")</f>
        <v>1758397267476</v>
      </c>
      <c r="B6025" s="2"/>
      <c r="C6025" s="2" t="str">
        <v>0</v>
      </c>
      <c r="D6025" s="2"/>
      <c r="F6025" s="2" t="str">
        <v>0</v>
      </c>
      <c r="I6025" s="3" t="str">
        <f ca="1">IFERROR(__xludf.DUMMYFUNCTION("""COMPUTED_VALUE"""),"Lê Quốc Minh")</f>
        <v>Lê Quốc Minh</v>
      </c>
      <c r="J6025" s="3" t="str">
        <f ca="1">IFERROR(__xludf.DUMMYFUNCTION("""COMPUTED_VALUE"""),"0812024756")</f>
        <v>0812024756</v>
      </c>
      <c r="K6025" s="2" t="str">
        <f ca="1">IFERROR(__xludf.DUMMYFUNCTION("""COMPUTED_VALUE"""),"1758397267476")</f>
        <v>1758397267476</v>
      </c>
    </row>
    <row r="6026" spans="1:11" ht="12.45">
      <c r="A6026" s="2" t="str">
        <f ca="1">IFERROR(__xludf.DUMMYFUNCTION("""COMPUTED_VALUE"""),"Không giao sách")</f>
        <v>Không giao sách</v>
      </c>
      <c r="B6026" s="2"/>
      <c r="C6026" s="2" t="str">
        <v>0</v>
      </c>
      <c r="D6026" s="2"/>
      <c r="F6026" s="2" t="str">
        <v>0</v>
      </c>
      <c r="I6026" s="3" t="str">
        <f ca="1">IFERROR(__xludf.DUMMYFUNCTION("""COMPUTED_VALUE"""),"Nguyễn Ngọc Mai Chi")</f>
        <v>Nguyễn Ngọc Mai Chi</v>
      </c>
      <c r="J6026" s="3" t="str">
        <f ca="1">IFERROR(__xludf.DUMMYFUNCTION("""COMPUTED_VALUE"""),"0839971122")</f>
        <v>0839971122</v>
      </c>
      <c r="K6026" s="2" t="str">
        <f ca="1">IFERROR(__xludf.DUMMYFUNCTION("""COMPUTED_VALUE"""),"Không giao sách")</f>
        <v>Không giao sách</v>
      </c>
    </row>
    <row r="6027" spans="1:11" ht="12.45">
      <c r="A6027" s="2" t="str">
        <f ca="1">IFERROR(__xludf.DUMMYFUNCTION("""COMPUTED_VALUE"""),"1758397346367")</f>
        <v>1758397346367</v>
      </c>
      <c r="B6027" s="2"/>
      <c r="C6027" s="2" t="str">
        <v>0</v>
      </c>
      <c r="D6027" s="2"/>
      <c r="F6027" s="2" t="str">
        <v>0</v>
      </c>
      <c r="I6027" s="3" t="str">
        <f ca="1">IFERROR(__xludf.DUMMYFUNCTION("""COMPUTED_VALUE"""),"Nguyễn Ngọc Minh Thùy")</f>
        <v>Nguyễn Ngọc Minh Thùy</v>
      </c>
      <c r="J6027" s="3" t="str">
        <f ca="1">IFERROR(__xludf.DUMMYFUNCTION("""COMPUTED_VALUE"""),"0367047961")</f>
        <v>0367047961</v>
      </c>
      <c r="K6027" s="2" t="str">
        <f ca="1">IFERROR(__xludf.DUMMYFUNCTION("""COMPUTED_VALUE"""),"1758397346367")</f>
        <v>1758397346367</v>
      </c>
    </row>
    <row r="6028" spans="1:11" ht="12.45">
      <c r="A6028" s="2" t="str">
        <f ca="1">IFERROR(__xludf.DUMMYFUNCTION("""COMPUTED_VALUE"""),"1758397389853")</f>
        <v>1758397389853</v>
      </c>
      <c r="B6028" s="2"/>
      <c r="C6028" s="2" t="str">
        <v>0</v>
      </c>
      <c r="D6028" s="2"/>
      <c r="F6028" s="2" t="str">
        <v>0</v>
      </c>
      <c r="I6028" s="3" t="str">
        <f ca="1">IFERROR(__xludf.DUMMYFUNCTION("""COMPUTED_VALUE"""),"Lê Đức Ái")</f>
        <v>Lê Đức Ái</v>
      </c>
      <c r="J6028" s="3" t="str">
        <f ca="1">IFERROR(__xludf.DUMMYFUNCTION("""COMPUTED_VALUE"""),"0342671407")</f>
        <v>0342671407</v>
      </c>
      <c r="K6028" s="2" t="str">
        <f ca="1">IFERROR(__xludf.DUMMYFUNCTION("""COMPUTED_VALUE"""),"1758397389853")</f>
        <v>1758397389853</v>
      </c>
    </row>
    <row r="6029" spans="1:11" ht="12.45">
      <c r="A6029" s="2" t="str">
        <f ca="1">IFERROR(__xludf.DUMMYFUNCTION("""COMPUTED_VALUE"""),"1758397437658")</f>
        <v>1758397437658</v>
      </c>
      <c r="B6029" s="2"/>
      <c r="C6029" s="2" t="str">
        <v>0</v>
      </c>
      <c r="D6029" s="2"/>
      <c r="F6029" s="2" t="str">
        <v>0</v>
      </c>
      <c r="I6029" s="3" t="str">
        <f ca="1">IFERROR(__xludf.DUMMYFUNCTION("""COMPUTED_VALUE"""),"Hoàng Ngọc Bảo Trâm")</f>
        <v>Hoàng Ngọc Bảo Trâm</v>
      </c>
      <c r="J6029" s="3" t="str">
        <f ca="1">IFERROR(__xludf.DUMMYFUNCTION("""COMPUTED_VALUE"""),"0379328357")</f>
        <v>0379328357</v>
      </c>
      <c r="K6029" s="2" t="str">
        <f ca="1">IFERROR(__xludf.DUMMYFUNCTION("""COMPUTED_VALUE"""),"1758397437658")</f>
        <v>1758397437658</v>
      </c>
    </row>
    <row r="6030" spans="1:11" ht="12.45">
      <c r="A6030" s="2" t="str">
        <f ca="1">IFERROR(__xludf.DUMMYFUNCTION("""COMPUTED_VALUE"""),"1758397482645")</f>
        <v>1758397482645</v>
      </c>
      <c r="B6030" s="2"/>
      <c r="C6030" s="2" t="str">
        <v>0</v>
      </c>
      <c r="D6030" s="2"/>
      <c r="F6030" s="2" t="str">
        <v>0</v>
      </c>
      <c r="I6030" s="3" t="str">
        <f ca="1">IFERROR(__xludf.DUMMYFUNCTION("""COMPUTED_VALUE"""),"Nguyễn Quỳnh Chi ")</f>
        <v xml:space="preserve">Nguyễn Quỳnh Chi </v>
      </c>
      <c r="J6030" s="3" t="str">
        <f ca="1">IFERROR(__xludf.DUMMYFUNCTION("""COMPUTED_VALUE"""),"0338328913")</f>
        <v>0338328913</v>
      </c>
      <c r="K6030" s="2" t="str">
        <f ca="1">IFERROR(__xludf.DUMMYFUNCTION("""COMPUTED_VALUE"""),"1758397482645")</f>
        <v>1758397482645</v>
      </c>
    </row>
    <row r="6031" spans="1:11" ht="12.45">
      <c r="A6031" s="2" t="str">
        <f ca="1">IFERROR(__xludf.DUMMYFUNCTION("""COMPUTED_VALUE"""),"1758397509273")</f>
        <v>1758397509273</v>
      </c>
      <c r="B6031" s="2"/>
      <c r="C6031" s="2" t="str">
        <v>0</v>
      </c>
      <c r="D6031" s="2"/>
      <c r="F6031" s="2" t="str">
        <v>0</v>
      </c>
      <c r="I6031" s="3" t="str">
        <f ca="1">IFERROR(__xludf.DUMMYFUNCTION("""COMPUTED_VALUE"""),"Từ Bảo Trân")</f>
        <v>Từ Bảo Trân</v>
      </c>
      <c r="J6031" s="3" t="str">
        <f ca="1">IFERROR(__xludf.DUMMYFUNCTION("""COMPUTED_VALUE"""),"0374751424")</f>
        <v>0374751424</v>
      </c>
      <c r="K6031" s="2" t="str">
        <f ca="1">IFERROR(__xludf.DUMMYFUNCTION("""COMPUTED_VALUE"""),"1758397509273")</f>
        <v>1758397509273</v>
      </c>
    </row>
    <row r="6032" spans="1:11" ht="12.45">
      <c r="A6032" s="2" t="str">
        <f ca="1">IFERROR(__xludf.DUMMYFUNCTION("""COMPUTED_VALUE"""),"1758397532544")</f>
        <v>1758397532544</v>
      </c>
      <c r="B6032" s="2"/>
      <c r="C6032" s="2" t="str">
        <v>0</v>
      </c>
      <c r="D6032" s="2"/>
      <c r="F6032" s="2" t="str">
        <v>0</v>
      </c>
      <c r="I6032" s="3" t="str">
        <f ca="1">IFERROR(__xludf.DUMMYFUNCTION("""COMPUTED_VALUE"""),"Trần Anh Thư")</f>
        <v>Trần Anh Thư</v>
      </c>
      <c r="J6032" s="3" t="str">
        <f ca="1">IFERROR(__xludf.DUMMYFUNCTION("""COMPUTED_VALUE"""),"0399175593")</f>
        <v>0399175593</v>
      </c>
      <c r="K6032" s="2" t="str">
        <f ca="1">IFERROR(__xludf.DUMMYFUNCTION("""COMPUTED_VALUE"""),"1758397532544")</f>
        <v>1758397532544</v>
      </c>
    </row>
    <row r="6033" spans="1:11" ht="12.45">
      <c r="A6033" s="2" t="str">
        <f ca="1">IFERROR(__xludf.DUMMYFUNCTION("""COMPUTED_VALUE"""),"1758397568408")</f>
        <v>1758397568408</v>
      </c>
      <c r="B6033" s="2"/>
      <c r="C6033" s="2" t="str">
        <v>0</v>
      </c>
      <c r="D6033" s="2"/>
      <c r="F6033" s="2" t="str">
        <v>0</v>
      </c>
      <c r="I6033" s="3" t="str">
        <f ca="1">IFERROR(__xludf.DUMMYFUNCTION("""COMPUTED_VALUE"""),"Đặng Thị Lan Anh")</f>
        <v>Đặng Thị Lan Anh</v>
      </c>
      <c r="J6033" s="3" t="str">
        <f ca="1">IFERROR(__xludf.DUMMYFUNCTION("""COMPUTED_VALUE"""),"0349361675")</f>
        <v>0349361675</v>
      </c>
      <c r="K6033" s="2" t="str">
        <f ca="1">IFERROR(__xludf.DUMMYFUNCTION("""COMPUTED_VALUE"""),"1758397568408")</f>
        <v>1758397568408</v>
      </c>
    </row>
    <row r="6034" spans="1:11" ht="12.45">
      <c r="A6034" s="2" t="str">
        <f ca="1">IFERROR(__xludf.DUMMYFUNCTION("""COMPUTED_VALUE"""),"1758397616791")</f>
        <v>1758397616791</v>
      </c>
      <c r="B6034" s="2"/>
      <c r="C6034" s="2" t="str">
        <v>0</v>
      </c>
      <c r="D6034" s="2"/>
      <c r="F6034" s="2" t="str">
        <v>0</v>
      </c>
      <c r="I6034" s="3" t="str">
        <f ca="1">IFERROR(__xludf.DUMMYFUNCTION("""COMPUTED_VALUE"""),"Nguyễn Thị Mai Quỳnh")</f>
        <v>Nguyễn Thị Mai Quỳnh</v>
      </c>
      <c r="J6034" s="3" t="str">
        <f ca="1">IFERROR(__xludf.DUMMYFUNCTION("""COMPUTED_VALUE"""),"0397835490")</f>
        <v>0397835490</v>
      </c>
      <c r="K6034" s="2" t="str">
        <f ca="1">IFERROR(__xludf.DUMMYFUNCTION("""COMPUTED_VALUE"""),"1758397616791")</f>
        <v>1758397616791</v>
      </c>
    </row>
    <row r="6035" spans="1:11" ht="12.45">
      <c r="A6035" s="2" t="str">
        <f ca="1">IFERROR(__xludf.DUMMYFUNCTION("""COMPUTED_VALUE"""),"1758397649912")</f>
        <v>1758397649912</v>
      </c>
      <c r="B6035" s="2"/>
      <c r="C6035" s="2" t="str">
        <v>0</v>
      </c>
      <c r="D6035" s="2"/>
      <c r="F6035" s="2" t="str">
        <v>0</v>
      </c>
      <c r="I6035" s="3" t="str">
        <f ca="1">IFERROR(__xludf.DUMMYFUNCTION("""COMPUTED_VALUE"""),"Y Trâm Ny")</f>
        <v>Y Trâm Ny</v>
      </c>
      <c r="J6035" s="3" t="str">
        <f ca="1">IFERROR(__xludf.DUMMYFUNCTION("""COMPUTED_VALUE"""),"0866074276")</f>
        <v>0866074276</v>
      </c>
      <c r="K6035" s="2" t="str">
        <f ca="1">IFERROR(__xludf.DUMMYFUNCTION("""COMPUTED_VALUE"""),"1758397649912")</f>
        <v>1758397649912</v>
      </c>
    </row>
    <row r="6036" spans="1:11" ht="12.45">
      <c r="A6036" s="2" t="str">
        <f ca="1">IFERROR(__xludf.DUMMYFUNCTION("""COMPUTED_VALUE"""),"1758397678310")</f>
        <v>1758397678310</v>
      </c>
      <c r="B6036" s="2"/>
      <c r="C6036" s="2" t="str">
        <v>0</v>
      </c>
      <c r="D6036" s="2"/>
      <c r="F6036" s="2" t="str">
        <v>0</v>
      </c>
      <c r="I6036" s="3" t="str">
        <f ca="1">IFERROR(__xludf.DUMMYFUNCTION("""COMPUTED_VALUE"""),"Lê Nguyễn Yến Nhi ")</f>
        <v xml:space="preserve">Lê Nguyễn Yến Nhi </v>
      </c>
      <c r="J6036" s="3" t="str">
        <f ca="1">IFERROR(__xludf.DUMMYFUNCTION("""COMPUTED_VALUE"""),"0389663327")</f>
        <v>0389663327</v>
      </c>
      <c r="K6036" s="2" t="str">
        <f ca="1">IFERROR(__xludf.DUMMYFUNCTION("""COMPUTED_VALUE"""),"1758397678310")</f>
        <v>1758397678310</v>
      </c>
    </row>
    <row r="6037" spans="1:11" ht="12.45">
      <c r="A6037" s="2" t="str">
        <f ca="1">IFERROR(__xludf.DUMMYFUNCTION("""COMPUTED_VALUE"""),"1758397710718")</f>
        <v>1758397710718</v>
      </c>
      <c r="B6037" s="2"/>
      <c r="C6037" s="2" t="str">
        <v>0</v>
      </c>
      <c r="D6037" s="2"/>
      <c r="F6037" s="2" t="str">
        <v>0</v>
      </c>
      <c r="I6037" s="3" t="str">
        <f ca="1">IFERROR(__xludf.DUMMYFUNCTION("""COMPUTED_VALUE"""),"Nguyễn Trung Kiên")</f>
        <v>Nguyễn Trung Kiên</v>
      </c>
      <c r="J6037" s="3" t="str">
        <f ca="1">IFERROR(__xludf.DUMMYFUNCTION("""COMPUTED_VALUE"""),"0355201522")</f>
        <v>0355201522</v>
      </c>
      <c r="K6037" s="2" t="str">
        <f ca="1">IFERROR(__xludf.DUMMYFUNCTION("""COMPUTED_VALUE"""),"1758397710718")</f>
        <v>1758397710718</v>
      </c>
    </row>
    <row r="6038" spans="1:11" ht="12.45">
      <c r="A6038" s="2" t="str">
        <f ca="1">IFERROR(__xludf.DUMMYFUNCTION("""COMPUTED_VALUE"""),"1758397744536")</f>
        <v>1758397744536</v>
      </c>
      <c r="B6038" s="2"/>
      <c r="C6038" s="2" t="str">
        <v>0</v>
      </c>
      <c r="D6038" s="2"/>
      <c r="F6038" s="2" t="str">
        <v>0</v>
      </c>
      <c r="I6038" s="3" t="str">
        <f ca="1">IFERROR(__xludf.DUMMYFUNCTION("""COMPUTED_VALUE"""),"Lê Đỗ Quỳnh Anh")</f>
        <v>Lê Đỗ Quỳnh Anh</v>
      </c>
      <c r="J6038" s="3" t="str">
        <f ca="1">IFERROR(__xludf.DUMMYFUNCTION("""COMPUTED_VALUE"""),"0346338027")</f>
        <v>0346338027</v>
      </c>
      <c r="K6038" s="2" t="str">
        <f ca="1">IFERROR(__xludf.DUMMYFUNCTION("""COMPUTED_VALUE"""),"1758397744536")</f>
        <v>1758397744536</v>
      </c>
    </row>
    <row r="6039" spans="1:11" ht="12.45">
      <c r="A6039" s="2" t="str">
        <f ca="1">IFERROR(__xludf.DUMMYFUNCTION("""COMPUTED_VALUE"""),"1758397789598")</f>
        <v>1758397789598</v>
      </c>
      <c r="B6039" s="2"/>
      <c r="C6039" s="2" t="str">
        <v>0</v>
      </c>
      <c r="D6039" s="2"/>
      <c r="F6039" s="2" t="str">
        <v>0</v>
      </c>
      <c r="I6039" s="3" t="str">
        <f ca="1">IFERROR(__xludf.DUMMYFUNCTION("""COMPUTED_VALUE"""),"Hứa Khang Cẩm Bình ")</f>
        <v xml:space="preserve">Hứa Khang Cẩm Bình </v>
      </c>
      <c r="J6039" s="3" t="str">
        <f ca="1">IFERROR(__xludf.DUMMYFUNCTION("""COMPUTED_VALUE"""),"0398376798")</f>
        <v>0398376798</v>
      </c>
      <c r="K6039" s="2" t="str">
        <f ca="1">IFERROR(__xludf.DUMMYFUNCTION("""COMPUTED_VALUE"""),"1758397789598")</f>
        <v>1758397789598</v>
      </c>
    </row>
    <row r="6040" spans="1:11" ht="12.45">
      <c r="A6040" s="2" t="str">
        <f ca="1">IFERROR(__xludf.DUMMYFUNCTION("""COMPUTED_VALUE"""),"1758397825191")</f>
        <v>1758397825191</v>
      </c>
      <c r="B6040" s="2"/>
      <c r="C6040" s="2" t="str">
        <v>0</v>
      </c>
      <c r="D6040" s="2"/>
      <c r="F6040" s="2" t="str">
        <v>0</v>
      </c>
      <c r="I6040" s="3" t="str">
        <f ca="1">IFERROR(__xludf.DUMMYFUNCTION("""COMPUTED_VALUE"""),"Hồ Viết Anh Quân ")</f>
        <v xml:space="preserve">Hồ Viết Anh Quân </v>
      </c>
      <c r="J6040" s="3" t="str">
        <f ca="1">IFERROR(__xludf.DUMMYFUNCTION("""COMPUTED_VALUE"""),"0327889033")</f>
        <v>0327889033</v>
      </c>
      <c r="K6040" s="2" t="str">
        <f ca="1">IFERROR(__xludf.DUMMYFUNCTION("""COMPUTED_VALUE"""),"1758397825191")</f>
        <v>1758397825191</v>
      </c>
    </row>
    <row r="6041" spans="1:11" ht="12.45">
      <c r="A6041" s="2" t="str">
        <f ca="1">IFERROR(__xludf.DUMMYFUNCTION("""COMPUTED_VALUE"""),"1758397872302")</f>
        <v>1758397872302</v>
      </c>
      <c r="B6041" s="2"/>
      <c r="C6041" s="2" t="str">
        <v>0</v>
      </c>
      <c r="D6041" s="2"/>
      <c r="F6041" s="2" t="str">
        <v>0</v>
      </c>
      <c r="I6041" s="3" t="str">
        <f ca="1">IFERROR(__xludf.DUMMYFUNCTION("""COMPUTED_VALUE"""),"Nguyễn Thị Uyên Nhi")</f>
        <v>Nguyễn Thị Uyên Nhi</v>
      </c>
      <c r="J6041" s="3" t="str">
        <f ca="1">IFERROR(__xludf.DUMMYFUNCTION("""COMPUTED_VALUE"""),"0787563179")</f>
        <v>0787563179</v>
      </c>
      <c r="K6041" s="2" t="str">
        <f ca="1">IFERROR(__xludf.DUMMYFUNCTION("""COMPUTED_VALUE"""),"1758397872302")</f>
        <v>1758397872302</v>
      </c>
    </row>
    <row r="6042" spans="1:11" ht="12.45">
      <c r="A6042" s="2" t="str">
        <f ca="1">IFERROR(__xludf.DUMMYFUNCTION("""COMPUTED_VALUE"""),"1758397912991")</f>
        <v>1758397912991</v>
      </c>
      <c r="B6042" s="2"/>
      <c r="C6042" s="2" t="str">
        <v>0</v>
      </c>
      <c r="D6042" s="2"/>
      <c r="F6042" s="2" t="str">
        <v>0</v>
      </c>
      <c r="I6042" s="3" t="str">
        <f ca="1">IFERROR(__xludf.DUMMYFUNCTION("""COMPUTED_VALUE"""),"Cáp Lý Phương Thảo")</f>
        <v>Cáp Lý Phương Thảo</v>
      </c>
      <c r="J6042" s="3" t="str">
        <f ca="1">IFERROR(__xludf.DUMMYFUNCTION("""COMPUTED_VALUE"""),"0935013678")</f>
        <v>0935013678</v>
      </c>
      <c r="K6042" s="2" t="str">
        <f ca="1">IFERROR(__xludf.DUMMYFUNCTION("""COMPUTED_VALUE"""),"1758397912991")</f>
        <v>1758397912991</v>
      </c>
    </row>
    <row r="6043" spans="1:11" ht="12.45">
      <c r="A6043" s="2" t="str">
        <f ca="1">IFERROR(__xludf.DUMMYFUNCTION("""COMPUTED_VALUE"""),"1758397956872")</f>
        <v>1758397956872</v>
      </c>
      <c r="B6043" s="2"/>
      <c r="C6043" s="2" t="str">
        <v>0</v>
      </c>
      <c r="D6043" s="2"/>
      <c r="F6043" s="2" t="str">
        <v>0</v>
      </c>
      <c r="I6043" s="3" t="str">
        <f ca="1">IFERROR(__xludf.DUMMYFUNCTION("""COMPUTED_VALUE"""),"Lê Thị Mai Linh ")</f>
        <v xml:space="preserve">Lê Thị Mai Linh </v>
      </c>
      <c r="J6043" s="3" t="str">
        <f ca="1">IFERROR(__xludf.DUMMYFUNCTION("""COMPUTED_VALUE"""),"0964320610")</f>
        <v>0964320610</v>
      </c>
      <c r="K6043" s="2" t="str">
        <f ca="1">IFERROR(__xludf.DUMMYFUNCTION("""COMPUTED_VALUE"""),"1758397956872")</f>
        <v>1758397956872</v>
      </c>
    </row>
    <row r="6044" spans="1:11" ht="12.45">
      <c r="A6044" s="2" t="str">
        <f ca="1">IFERROR(__xludf.DUMMYFUNCTION("""COMPUTED_VALUE"""),"1758397980789")</f>
        <v>1758397980789</v>
      </c>
      <c r="B6044" s="2"/>
      <c r="C6044" s="2" t="str">
        <v>0</v>
      </c>
      <c r="D6044" s="2"/>
      <c r="F6044" s="2" t="str">
        <v>0</v>
      </c>
      <c r="I6044" s="3" t="str">
        <f ca="1">IFERROR(__xludf.DUMMYFUNCTION("""COMPUTED_VALUE"""),"Nguyễn Thị Phương Linh")</f>
        <v>Nguyễn Thị Phương Linh</v>
      </c>
      <c r="J6044" s="3" t="str">
        <f ca="1">IFERROR(__xludf.DUMMYFUNCTION("""COMPUTED_VALUE"""),"0962588685")</f>
        <v>0962588685</v>
      </c>
      <c r="K6044" s="2" t="str">
        <f ca="1">IFERROR(__xludf.DUMMYFUNCTION("""COMPUTED_VALUE"""),"1758397980789")</f>
        <v>1758397980789</v>
      </c>
    </row>
    <row r="6045" spans="1:11" ht="12.45">
      <c r="A6045" s="2" t="str">
        <f ca="1">IFERROR(__xludf.DUMMYFUNCTION("""COMPUTED_VALUE"""),"1758398043796")</f>
        <v>1758398043796</v>
      </c>
      <c r="B6045" s="2"/>
      <c r="C6045" s="2" t="str">
        <v>0</v>
      </c>
      <c r="D6045" s="2"/>
      <c r="F6045" s="2" t="str">
        <v>0</v>
      </c>
      <c r="I6045" s="3" t="str">
        <f ca="1">IFERROR(__xludf.DUMMYFUNCTION("""COMPUTED_VALUE"""),"Nguyễn Phúc Bảo")</f>
        <v>Nguyễn Phúc Bảo</v>
      </c>
      <c r="J6045" s="3" t="str">
        <f ca="1">IFERROR(__xludf.DUMMYFUNCTION("""COMPUTED_VALUE"""),"0968662773")</f>
        <v>0968662773</v>
      </c>
      <c r="K6045" s="2" t="str">
        <f ca="1">IFERROR(__xludf.DUMMYFUNCTION("""COMPUTED_VALUE"""),"1758398043796")</f>
        <v>1758398043796</v>
      </c>
    </row>
    <row r="6046" spans="1:11" ht="12.45">
      <c r="A6046" s="2" t="str">
        <f ca="1">IFERROR(__xludf.DUMMYFUNCTION("""COMPUTED_VALUE"""),"1758398076523")</f>
        <v>1758398076523</v>
      </c>
      <c r="B6046" s="2"/>
      <c r="C6046" s="2" t="str">
        <v>0</v>
      </c>
      <c r="D6046" s="2"/>
      <c r="F6046" s="2" t="str">
        <v>0</v>
      </c>
      <c r="I6046" s="3" t="str">
        <f ca="1">IFERROR(__xludf.DUMMYFUNCTION("""COMPUTED_VALUE"""),"Nguyễn Hồng Ánh")</f>
        <v>Nguyễn Hồng Ánh</v>
      </c>
      <c r="J6046" s="3" t="str">
        <f ca="1">IFERROR(__xludf.DUMMYFUNCTION("""COMPUTED_VALUE"""),"8434447363")</f>
        <v>8434447363</v>
      </c>
      <c r="K6046" s="2" t="str">
        <f ca="1">IFERROR(__xludf.DUMMYFUNCTION("""COMPUTED_VALUE"""),"1758398076523")</f>
        <v>1758398076523</v>
      </c>
    </row>
    <row r="6047" spans="1:11" ht="12.45">
      <c r="A6047" s="2" t="str">
        <f ca="1">IFERROR(__xludf.DUMMYFUNCTION("""COMPUTED_VALUE"""),"1758398105284")</f>
        <v>1758398105284</v>
      </c>
      <c r="B6047" s="2"/>
      <c r="C6047" s="2" t="str">
        <v>0</v>
      </c>
      <c r="D6047" s="2"/>
      <c r="F6047" s="2" t="str">
        <v>0</v>
      </c>
      <c r="I6047" s="3" t="str">
        <f ca="1">IFERROR(__xludf.DUMMYFUNCTION("""COMPUTED_VALUE"""),"Nguyễn Phương Anh")</f>
        <v>Nguyễn Phương Anh</v>
      </c>
      <c r="J6047" s="3" t="str">
        <f ca="1">IFERROR(__xludf.DUMMYFUNCTION("""COMPUTED_VALUE"""),"0906249743")</f>
        <v>0906249743</v>
      </c>
      <c r="K6047" s="2" t="str">
        <f ca="1">IFERROR(__xludf.DUMMYFUNCTION("""COMPUTED_VALUE"""),"1758398105284")</f>
        <v>1758398105284</v>
      </c>
    </row>
    <row r="6048" spans="1:11" ht="12.45">
      <c r="A6048" s="2" t="str">
        <f ca="1">IFERROR(__xludf.DUMMYFUNCTION("""COMPUTED_VALUE"""),"1758398134317")</f>
        <v>1758398134317</v>
      </c>
      <c r="B6048" s="2"/>
      <c r="C6048" s="2" t="str">
        <v>0</v>
      </c>
      <c r="D6048" s="2"/>
      <c r="F6048" s="2" t="str">
        <v>0</v>
      </c>
      <c r="I6048" s="3" t="str">
        <f ca="1">IFERROR(__xludf.DUMMYFUNCTION("""COMPUTED_VALUE"""),"Đỗ Thị Hương")</f>
        <v>Đỗ Thị Hương</v>
      </c>
      <c r="J6048" s="3" t="str">
        <f ca="1">IFERROR(__xludf.DUMMYFUNCTION("""COMPUTED_VALUE"""),"0393533075")</f>
        <v>0393533075</v>
      </c>
      <c r="K6048" s="2" t="str">
        <f ca="1">IFERROR(__xludf.DUMMYFUNCTION("""COMPUTED_VALUE"""),"1758398134317")</f>
        <v>1758398134317</v>
      </c>
    </row>
    <row r="6049" spans="1:11" ht="12.45">
      <c r="A6049" s="2" t="str">
        <f ca="1">IFERROR(__xludf.DUMMYFUNCTION("""COMPUTED_VALUE"""),"Không giao sách")</f>
        <v>Không giao sách</v>
      </c>
      <c r="B6049" s="2"/>
      <c r="C6049" s="2" t="str">
        <v>0</v>
      </c>
      <c r="D6049" s="2"/>
      <c r="F6049" s="2" t="str">
        <v>0</v>
      </c>
      <c r="I6049" s="3" t="str">
        <f ca="1">IFERROR(__xludf.DUMMYFUNCTION("""COMPUTED_VALUE"""),"Thân Quang Hùng")</f>
        <v>Thân Quang Hùng</v>
      </c>
      <c r="J6049" s="3" t="str">
        <f ca="1">IFERROR(__xludf.DUMMYFUNCTION("""COMPUTED_VALUE"""),"0962112907")</f>
        <v>0962112907</v>
      </c>
      <c r="K6049" s="2" t="str">
        <f ca="1">IFERROR(__xludf.DUMMYFUNCTION("""COMPUTED_VALUE"""),"Không giao sách")</f>
        <v>Không giao sách</v>
      </c>
    </row>
    <row r="6050" spans="1:11" ht="12.45">
      <c r="A6050" s="2" t="str">
        <f ca="1">IFERROR(__xludf.DUMMYFUNCTION("""COMPUTED_VALUE"""),"Không giao sách")</f>
        <v>Không giao sách</v>
      </c>
      <c r="B6050" s="2"/>
      <c r="C6050" s="2" t="str">
        <v>0</v>
      </c>
      <c r="D6050" s="2"/>
      <c r="F6050" s="2" t="str">
        <v>0</v>
      </c>
      <c r="I6050" s="3" t="str">
        <f ca="1">IFERROR(__xludf.DUMMYFUNCTION("""COMPUTED_VALUE"""),"Nguyễn Thị Khánh Huyền")</f>
        <v>Nguyễn Thị Khánh Huyền</v>
      </c>
      <c r="J6050" s="3" t="str">
        <f ca="1">IFERROR(__xludf.DUMMYFUNCTION("""COMPUTED_VALUE"""),"0868823697")</f>
        <v>0868823697</v>
      </c>
      <c r="K6050" s="2" t="str">
        <f ca="1">IFERROR(__xludf.DUMMYFUNCTION("""COMPUTED_VALUE"""),"Không giao sách")</f>
        <v>Không giao sách</v>
      </c>
    </row>
    <row r="6051" spans="1:11" ht="12.45">
      <c r="A6051" s="2" t="str">
        <f ca="1">IFERROR(__xludf.DUMMYFUNCTION("""COMPUTED_VALUE"""),"1758398170083")</f>
        <v>1758398170083</v>
      </c>
      <c r="B6051" s="2"/>
      <c r="C6051" s="2" t="str">
        <v>0</v>
      </c>
      <c r="D6051" s="2"/>
      <c r="F6051" s="2" t="str">
        <v>0</v>
      </c>
      <c r="I6051" s="3" t="str">
        <f ca="1">IFERROR(__xludf.DUMMYFUNCTION("""COMPUTED_VALUE"""),"Lâm Kim Ngân")</f>
        <v>Lâm Kim Ngân</v>
      </c>
      <c r="J6051" s="3" t="str">
        <f ca="1">IFERROR(__xludf.DUMMYFUNCTION("""COMPUTED_VALUE"""),"0915671120")</f>
        <v>0915671120</v>
      </c>
      <c r="K6051" s="2" t="str">
        <f ca="1">IFERROR(__xludf.DUMMYFUNCTION("""COMPUTED_VALUE"""),"1758398170083")</f>
        <v>1758398170083</v>
      </c>
    </row>
    <row r="6052" spans="1:11" ht="12.45">
      <c r="A6052" s="2" t="str">
        <f ca="1">IFERROR(__xludf.DUMMYFUNCTION("""COMPUTED_VALUE"""),"1758398212734")</f>
        <v>1758398212734</v>
      </c>
      <c r="B6052" s="2"/>
      <c r="C6052" s="2" t="str">
        <v>0</v>
      </c>
      <c r="D6052" s="2"/>
      <c r="F6052" s="2" t="str">
        <v>0</v>
      </c>
      <c r="I6052" s="3" t="str">
        <f ca="1">IFERROR(__xludf.DUMMYFUNCTION("""COMPUTED_VALUE"""),"Tống Khánh Linh ")</f>
        <v xml:space="preserve">Tống Khánh Linh </v>
      </c>
      <c r="J6052" s="3" t="str">
        <f ca="1">IFERROR(__xludf.DUMMYFUNCTION("""COMPUTED_VALUE"""),"0914905365")</f>
        <v>0914905365</v>
      </c>
      <c r="K6052" s="2" t="str">
        <f ca="1">IFERROR(__xludf.DUMMYFUNCTION("""COMPUTED_VALUE"""),"1758398212734")</f>
        <v>1758398212734</v>
      </c>
    </row>
    <row r="6053" spans="1:11" ht="12.45">
      <c r="A6053" s="2" t="str">
        <f ca="1">IFERROR(__xludf.DUMMYFUNCTION("""COMPUTED_VALUE"""),"1758398254015")</f>
        <v>1758398254015</v>
      </c>
      <c r="B6053" s="2"/>
      <c r="C6053" s="2" t="str">
        <v>0</v>
      </c>
      <c r="D6053" s="2"/>
      <c r="F6053" s="2" t="str">
        <v>0</v>
      </c>
      <c r="I6053" s="3" t="str">
        <f ca="1">IFERROR(__xludf.DUMMYFUNCTION("""COMPUTED_VALUE"""),"Nguyễn Thị Lan Anh ")</f>
        <v xml:space="preserve">Nguyễn Thị Lan Anh </v>
      </c>
      <c r="J6053" s="3" t="str">
        <f ca="1">IFERROR(__xludf.DUMMYFUNCTION("""COMPUTED_VALUE"""),"0398480710")</f>
        <v>0398480710</v>
      </c>
      <c r="K6053" s="2" t="str">
        <f ca="1">IFERROR(__xludf.DUMMYFUNCTION("""COMPUTED_VALUE"""),"1758398254015")</f>
        <v>1758398254015</v>
      </c>
    </row>
    <row r="6054" spans="1:11" ht="12.45">
      <c r="A6054" s="2" t="str">
        <f ca="1">IFERROR(__xludf.DUMMYFUNCTION("""COMPUTED_VALUE"""),"1758398284619")</f>
        <v>1758398284619</v>
      </c>
      <c r="B6054" s="2"/>
      <c r="C6054" s="2" t="str">
        <v>0</v>
      </c>
      <c r="D6054" s="2"/>
      <c r="F6054" s="2" t="str">
        <v>0</v>
      </c>
      <c r="I6054" s="3" t="str">
        <f ca="1">IFERROR(__xludf.DUMMYFUNCTION("""COMPUTED_VALUE"""),"Trần Đinh Cẩm Tú")</f>
        <v>Trần Đinh Cẩm Tú</v>
      </c>
      <c r="J6054" s="3" t="str">
        <f ca="1">IFERROR(__xludf.DUMMYFUNCTION("""COMPUTED_VALUE"""),"0868825920")</f>
        <v>0868825920</v>
      </c>
      <c r="K6054" s="2" t="str">
        <f ca="1">IFERROR(__xludf.DUMMYFUNCTION("""COMPUTED_VALUE"""),"1758398284619")</f>
        <v>1758398284619</v>
      </c>
    </row>
    <row r="6055" spans="1:11" ht="12.45">
      <c r="A6055" s="2" t="str">
        <f ca="1">IFERROR(__xludf.DUMMYFUNCTION("""COMPUTED_VALUE"""),"1758398325169")</f>
        <v>1758398325169</v>
      </c>
      <c r="B6055" s="2"/>
      <c r="C6055" s="2" t="str">
        <v>0</v>
      </c>
      <c r="D6055" s="2"/>
      <c r="F6055" s="2" t="str">
        <v>0</v>
      </c>
      <c r="I6055" s="3" t="str">
        <f ca="1">IFERROR(__xludf.DUMMYFUNCTION("""COMPUTED_VALUE"""),"Phạm Nguyễn Phương Trinh")</f>
        <v>Phạm Nguyễn Phương Trinh</v>
      </c>
      <c r="J6055" s="3" t="str">
        <f ca="1">IFERROR(__xludf.DUMMYFUNCTION("""COMPUTED_VALUE"""),"0584592109")</f>
        <v>0584592109</v>
      </c>
      <c r="K6055" s="2" t="str">
        <f ca="1">IFERROR(__xludf.DUMMYFUNCTION("""COMPUTED_VALUE"""),"1758398325169")</f>
        <v>1758398325169</v>
      </c>
    </row>
    <row r="6056" spans="1:11" ht="12.45">
      <c r="A6056" s="2" t="str">
        <f ca="1">IFERROR(__xludf.DUMMYFUNCTION("""COMPUTED_VALUE"""),"1758398369511")</f>
        <v>1758398369511</v>
      </c>
      <c r="B6056" s="2"/>
      <c r="C6056" s="2" t="str">
        <v>0</v>
      </c>
      <c r="D6056" s="2"/>
      <c r="F6056" s="2" t="str">
        <v>0</v>
      </c>
      <c r="I6056" s="3" t="str">
        <f ca="1">IFERROR(__xludf.DUMMYFUNCTION("""COMPUTED_VALUE"""),"Võ Lê Mạnh")</f>
        <v>Võ Lê Mạnh</v>
      </c>
      <c r="J6056" s="3" t="str">
        <f ca="1">IFERROR(__xludf.DUMMYFUNCTION("""COMPUTED_VALUE"""),"0852517004")</f>
        <v>0852517004</v>
      </c>
      <c r="K6056" s="2" t="str">
        <f ca="1">IFERROR(__xludf.DUMMYFUNCTION("""COMPUTED_VALUE"""),"1758398369511")</f>
        <v>1758398369511</v>
      </c>
    </row>
    <row r="6057" spans="1:11" ht="12.45">
      <c r="A6057" s="2" t="str">
        <f ca="1">IFERROR(__xludf.DUMMYFUNCTION("""COMPUTED_VALUE"""),"1758398407255")</f>
        <v>1758398407255</v>
      </c>
      <c r="B6057" s="2"/>
      <c r="C6057" s="2" t="str">
        <v>0</v>
      </c>
      <c r="D6057" s="2"/>
      <c r="F6057" s="2" t="str">
        <v>0</v>
      </c>
      <c r="I6057" s="3" t="str">
        <f ca="1">IFERROR(__xludf.DUMMYFUNCTION("""COMPUTED_VALUE"""),"Phạm Kim Huệ ")</f>
        <v xml:space="preserve">Phạm Kim Huệ </v>
      </c>
      <c r="J6057" s="3" t="str">
        <f ca="1">IFERROR(__xludf.DUMMYFUNCTION("""COMPUTED_VALUE"""),"0365429296")</f>
        <v>0365429296</v>
      </c>
      <c r="K6057" s="2" t="str">
        <f ca="1">IFERROR(__xludf.DUMMYFUNCTION("""COMPUTED_VALUE"""),"1758398407255")</f>
        <v>1758398407255</v>
      </c>
    </row>
    <row r="6058" spans="1:11" ht="12.45">
      <c r="A6058" s="2" t="str">
        <f ca="1">IFERROR(__xludf.DUMMYFUNCTION("""COMPUTED_VALUE"""),"1758398441127")</f>
        <v>1758398441127</v>
      </c>
      <c r="B6058" s="2"/>
      <c r="C6058" s="2" t="str">
        <v>0</v>
      </c>
      <c r="D6058" s="2"/>
      <c r="F6058" s="2" t="str">
        <v>0</v>
      </c>
      <c r="I6058" s="3" t="str">
        <f ca="1">IFERROR(__xludf.DUMMYFUNCTION("""COMPUTED_VALUE"""),"Nguyễn Minh Phương")</f>
        <v>Nguyễn Minh Phương</v>
      </c>
      <c r="J6058" s="3" t="str">
        <f ca="1">IFERROR(__xludf.DUMMYFUNCTION("""COMPUTED_VALUE"""),"0353343200")</f>
        <v>0353343200</v>
      </c>
      <c r="K6058" s="2" t="str">
        <f ca="1">IFERROR(__xludf.DUMMYFUNCTION("""COMPUTED_VALUE"""),"1758398441127")</f>
        <v>1758398441127</v>
      </c>
    </row>
    <row r="6059" spans="1:11" ht="12.45">
      <c r="A6059" s="2" t="str">
        <f ca="1">IFERROR(__xludf.DUMMYFUNCTION("""COMPUTED_VALUE"""),"1758398477331")</f>
        <v>1758398477331</v>
      </c>
      <c r="B6059" s="2"/>
      <c r="C6059" s="2" t="str">
        <v>0</v>
      </c>
      <c r="D6059" s="2"/>
      <c r="F6059" s="2" t="str">
        <v>0</v>
      </c>
      <c r="I6059" s="3" t="str">
        <f ca="1">IFERROR(__xludf.DUMMYFUNCTION("""COMPUTED_VALUE"""),"Vũ thị lan ")</f>
        <v xml:space="preserve">Vũ thị lan </v>
      </c>
      <c r="J6059" s="3" t="str">
        <f ca="1">IFERROR(__xludf.DUMMYFUNCTION("""COMPUTED_VALUE"""),"0382443962")</f>
        <v>0382443962</v>
      </c>
      <c r="K6059" s="2" t="str">
        <f ca="1">IFERROR(__xludf.DUMMYFUNCTION("""COMPUTED_VALUE"""),"1758398477331")</f>
        <v>1758398477331</v>
      </c>
    </row>
    <row r="6060" spans="1:11" ht="12.45">
      <c r="A6060" s="2" t="str">
        <f ca="1">IFERROR(__xludf.DUMMYFUNCTION("""COMPUTED_VALUE"""),"1758398523016")</f>
        <v>1758398523016</v>
      </c>
      <c r="B6060" s="2"/>
      <c r="C6060" s="2" t="str">
        <v>0</v>
      </c>
      <c r="D6060" s="2"/>
      <c r="F6060" s="2" t="str">
        <v>0</v>
      </c>
      <c r="I6060" s="3" t="str">
        <f ca="1">IFERROR(__xludf.DUMMYFUNCTION("""COMPUTED_VALUE"""),"Lê Anh Tú ")</f>
        <v xml:space="preserve">Lê Anh Tú </v>
      </c>
      <c r="J6060" s="3" t="str">
        <f ca="1">IFERROR(__xludf.DUMMYFUNCTION("""COMPUTED_VALUE"""),"0327246039")</f>
        <v>0327246039</v>
      </c>
      <c r="K6060" s="2" t="str">
        <f ca="1">IFERROR(__xludf.DUMMYFUNCTION("""COMPUTED_VALUE"""),"1758398523016")</f>
        <v>1758398523016</v>
      </c>
    </row>
    <row r="6061" spans="1:11" ht="12.45">
      <c r="A6061" s="2" t="str">
        <f ca="1">IFERROR(__xludf.DUMMYFUNCTION("""COMPUTED_VALUE"""),"1758398585725")</f>
        <v>1758398585725</v>
      </c>
      <c r="B6061" s="2"/>
      <c r="C6061" s="2" t="str">
        <v>0</v>
      </c>
      <c r="D6061" s="2"/>
      <c r="F6061" s="2" t="str">
        <v>0</v>
      </c>
      <c r="I6061" s="3" t="str">
        <f ca="1">IFERROR(__xludf.DUMMYFUNCTION("""COMPUTED_VALUE"""),"Hồ Nguyên Đăng")</f>
        <v>Hồ Nguyên Đăng</v>
      </c>
      <c r="J6061" s="3" t="str">
        <f ca="1">IFERROR(__xludf.DUMMYFUNCTION("""COMPUTED_VALUE"""),"0849565677")</f>
        <v>0849565677</v>
      </c>
      <c r="K6061" s="2" t="str">
        <f ca="1">IFERROR(__xludf.DUMMYFUNCTION("""COMPUTED_VALUE"""),"1758398585725")</f>
        <v>1758398585725</v>
      </c>
    </row>
    <row r="6062" spans="1:11" ht="12.45">
      <c r="A6062" s="2" t="str">
        <f ca="1">IFERROR(__xludf.DUMMYFUNCTION("""COMPUTED_VALUE"""),"1758398621796")</f>
        <v>1758398621796</v>
      </c>
      <c r="B6062" s="2"/>
      <c r="C6062" s="2" t="str">
        <v>0</v>
      </c>
      <c r="D6062" s="2"/>
      <c r="F6062" s="2" t="str">
        <v>0</v>
      </c>
      <c r="I6062" s="3" t="str">
        <f ca="1">IFERROR(__xludf.DUMMYFUNCTION("""COMPUTED_VALUE"""),"Hồ Thị Mai Trang ")</f>
        <v xml:space="preserve">Hồ Thị Mai Trang </v>
      </c>
      <c r="J6062" s="3" t="str">
        <f ca="1">IFERROR(__xludf.DUMMYFUNCTION("""COMPUTED_VALUE"""),"0974832076")</f>
        <v>0974832076</v>
      </c>
      <c r="K6062" s="2" t="str">
        <f ca="1">IFERROR(__xludf.DUMMYFUNCTION("""COMPUTED_VALUE"""),"1758398621796")</f>
        <v>1758398621796</v>
      </c>
    </row>
    <row r="6063" spans="1:11" ht="12.45">
      <c r="A6063" s="2" t="str">
        <f ca="1">IFERROR(__xludf.DUMMYFUNCTION("""COMPUTED_VALUE"""),"1762945673156")</f>
        <v>1762945673156</v>
      </c>
      <c r="B6063" s="2"/>
      <c r="C6063" s="2" t="str">
        <v>0</v>
      </c>
      <c r="D6063" s="2"/>
      <c r="F6063" s="2" t="str">
        <v>0</v>
      </c>
      <c r="I6063" s="3" t="str">
        <f ca="1">IFERROR(__xludf.DUMMYFUNCTION("""COMPUTED_VALUE"""),"Hà Hải Nhi")</f>
        <v>Hà Hải Nhi</v>
      </c>
      <c r="J6063" s="3" t="str">
        <f ca="1">IFERROR(__xludf.DUMMYFUNCTION("""COMPUTED_VALUE"""),"0898436114")</f>
        <v>0898436114</v>
      </c>
      <c r="K6063" s="2" t="str">
        <f ca="1">IFERROR(__xludf.DUMMYFUNCTION("""COMPUTED_VALUE"""),"1762945673156")</f>
        <v>1762945673156</v>
      </c>
    </row>
    <row r="6064" spans="1:11" ht="12.45">
      <c r="A6064" s="2" t="str">
        <f ca="1">IFERROR(__xludf.DUMMYFUNCTION("""COMPUTED_VALUE"""),"1758398652800")</f>
        <v>1758398652800</v>
      </c>
      <c r="B6064" s="2"/>
      <c r="C6064" s="2" t="str">
        <v>0</v>
      </c>
      <c r="D6064" s="2"/>
      <c r="F6064" s="2" t="str">
        <v>0</v>
      </c>
      <c r="I6064" s="3" t="str">
        <f ca="1">IFERROR(__xludf.DUMMYFUNCTION("""COMPUTED_VALUE"""),"Ngô Thanh Khôi")</f>
        <v>Ngô Thanh Khôi</v>
      </c>
      <c r="J6064" s="3" t="str">
        <f ca="1">IFERROR(__xludf.DUMMYFUNCTION("""COMPUTED_VALUE"""),"0867014019")</f>
        <v>0867014019</v>
      </c>
      <c r="K6064" s="2" t="str">
        <f ca="1">IFERROR(__xludf.DUMMYFUNCTION("""COMPUTED_VALUE"""),"1758398652800")</f>
        <v>1758398652800</v>
      </c>
    </row>
    <row r="6065" spans="1:11" ht="12.45">
      <c r="A6065" s="2" t="str">
        <f ca="1">IFERROR(__xludf.DUMMYFUNCTION("""COMPUTED_VALUE"""),"1758398680981")</f>
        <v>1758398680981</v>
      </c>
      <c r="B6065" s="2"/>
      <c r="C6065" s="2" t="str">
        <v>0</v>
      </c>
      <c r="D6065" s="2"/>
      <c r="F6065" s="2" t="str">
        <v>0</v>
      </c>
      <c r="I6065" s="3" t="str">
        <f ca="1">IFERROR(__xludf.DUMMYFUNCTION("""COMPUTED_VALUE"""),"Hoàng Tuân Vương")</f>
        <v>Hoàng Tuân Vương</v>
      </c>
      <c r="J6065" s="3" t="str">
        <f ca="1">IFERROR(__xludf.DUMMYFUNCTION("""COMPUTED_VALUE"""),"0981959833")</f>
        <v>0981959833</v>
      </c>
      <c r="K6065" s="2" t="str">
        <f ca="1">IFERROR(__xludf.DUMMYFUNCTION("""COMPUTED_VALUE"""),"1758398680981")</f>
        <v>1758398680981</v>
      </c>
    </row>
    <row r="6066" spans="1:11" ht="12.45">
      <c r="A6066" s="2" t="str">
        <f ca="1">IFERROR(__xludf.DUMMYFUNCTION("""COMPUTED_VALUE"""),"1758398717375")</f>
        <v>1758398717375</v>
      </c>
      <c r="B6066" s="2"/>
      <c r="C6066" s="2" t="str">
        <v>0</v>
      </c>
      <c r="D6066" s="2"/>
      <c r="F6066" s="2" t="str">
        <v>0</v>
      </c>
      <c r="I6066" s="3" t="str">
        <f ca="1">IFERROR(__xludf.DUMMYFUNCTION("""COMPUTED_VALUE"""),"Phạm Phan Quỳnh Chi")</f>
        <v>Phạm Phan Quỳnh Chi</v>
      </c>
      <c r="J6066" s="3" t="str">
        <f ca="1">IFERROR(__xludf.DUMMYFUNCTION("""COMPUTED_VALUE"""),"0964220907")</f>
        <v>0964220907</v>
      </c>
      <c r="K6066" s="2" t="str">
        <f ca="1">IFERROR(__xludf.DUMMYFUNCTION("""COMPUTED_VALUE"""),"1758398717375")</f>
        <v>1758398717375</v>
      </c>
    </row>
    <row r="6067" spans="1:11" ht="12.45">
      <c r="A6067" s="2" t="str">
        <f ca="1">IFERROR(__xludf.DUMMYFUNCTION("""COMPUTED_VALUE"""),"1758422260504")</f>
        <v>1758422260504</v>
      </c>
      <c r="B6067" s="2"/>
      <c r="C6067" s="2" t="str">
        <v>0</v>
      </c>
      <c r="D6067" s="2"/>
      <c r="F6067" s="2" t="str">
        <v>0</v>
      </c>
      <c r="I6067" s="3" t="str">
        <f ca="1">IFERROR(__xludf.DUMMYFUNCTION("""COMPUTED_VALUE"""),"Trịnh Uyển Như ")</f>
        <v xml:space="preserve">Trịnh Uyển Như </v>
      </c>
      <c r="J6067" s="3" t="str">
        <f ca="1">IFERROR(__xludf.DUMMYFUNCTION("""COMPUTED_VALUE"""),"0916094282")</f>
        <v>0916094282</v>
      </c>
      <c r="K6067" s="2" t="str">
        <f ca="1">IFERROR(__xludf.DUMMYFUNCTION("""COMPUTED_VALUE"""),"1758422260504")</f>
        <v>1758422260504</v>
      </c>
    </row>
    <row r="6068" spans="1:11" ht="12.45">
      <c r="A6068" s="2" t="str">
        <f ca="1">IFERROR(__xludf.DUMMYFUNCTION("""COMPUTED_VALUE"""),"1758422369429")</f>
        <v>1758422369429</v>
      </c>
      <c r="B6068" s="2"/>
      <c r="C6068" s="2" t="str">
        <v>0</v>
      </c>
      <c r="D6068" s="2"/>
      <c r="F6068" s="2" t="str">
        <v>0</v>
      </c>
      <c r="I6068" s="3" t="str">
        <f ca="1">IFERROR(__xludf.DUMMYFUNCTION("""COMPUTED_VALUE"""),"Nguyễn Ngọc Minh Anh")</f>
        <v>Nguyễn Ngọc Minh Anh</v>
      </c>
      <c r="J6068" s="3" t="str">
        <f ca="1">IFERROR(__xludf.DUMMYFUNCTION("""COMPUTED_VALUE"""),"0399517311")</f>
        <v>0399517311</v>
      </c>
      <c r="K6068" s="2" t="str">
        <f ca="1">IFERROR(__xludf.DUMMYFUNCTION("""COMPUTED_VALUE"""),"1758422369429")</f>
        <v>1758422369429</v>
      </c>
    </row>
    <row r="6069" spans="1:11" ht="12.45">
      <c r="A6069" s="2" t="str">
        <f ca="1">IFERROR(__xludf.DUMMYFUNCTION("""COMPUTED_VALUE"""),"1758422462343")</f>
        <v>1758422462343</v>
      </c>
      <c r="B6069" s="2"/>
      <c r="C6069" s="2" t="str">
        <v>0</v>
      </c>
      <c r="D6069" s="2"/>
      <c r="F6069" s="2" t="str">
        <v>0</v>
      </c>
      <c r="I6069" s="3" t="str">
        <f ca="1">IFERROR(__xludf.DUMMYFUNCTION("""COMPUTED_VALUE"""),"Lê Thành Lâm")</f>
        <v>Lê Thành Lâm</v>
      </c>
      <c r="J6069" s="3" t="str">
        <f ca="1">IFERROR(__xludf.DUMMYFUNCTION("""COMPUTED_VALUE"""),"0342464912")</f>
        <v>0342464912</v>
      </c>
      <c r="K6069" s="2" t="str">
        <f ca="1">IFERROR(__xludf.DUMMYFUNCTION("""COMPUTED_VALUE"""),"1758422462343")</f>
        <v>1758422462343</v>
      </c>
    </row>
    <row r="6070" spans="1:11" ht="12.45">
      <c r="A6070" s="2" t="str">
        <f ca="1">IFERROR(__xludf.DUMMYFUNCTION("""COMPUTED_VALUE"""),"Không giao sách")</f>
        <v>Không giao sách</v>
      </c>
      <c r="B6070" s="2"/>
      <c r="C6070" s="2" t="str">
        <v>0</v>
      </c>
      <c r="D6070" s="2"/>
      <c r="F6070" s="2" t="str">
        <v>0</v>
      </c>
      <c r="I6070" s="3" t="str">
        <f ca="1">IFERROR(__xludf.DUMMYFUNCTION("""COMPUTED_VALUE"""),"Nguyễn Huyền Trang")</f>
        <v>Nguyễn Huyền Trang</v>
      </c>
      <c r="J6070" s="3" t="str">
        <f ca="1">IFERROR(__xludf.DUMMYFUNCTION("""COMPUTED_VALUE"""),"0589955459")</f>
        <v>0589955459</v>
      </c>
      <c r="K6070" s="2" t="str">
        <f ca="1">IFERROR(__xludf.DUMMYFUNCTION("""COMPUTED_VALUE"""),"Không giao sách")</f>
        <v>Không giao sách</v>
      </c>
    </row>
    <row r="6071" spans="1:11" ht="12.45">
      <c r="A6071" s="2" t="str">
        <f ca="1">IFERROR(__xludf.DUMMYFUNCTION("""COMPUTED_VALUE"""),"1758422568849")</f>
        <v>1758422568849</v>
      </c>
      <c r="B6071" s="2"/>
      <c r="C6071" s="2" t="str">
        <v>0</v>
      </c>
      <c r="D6071" s="2"/>
      <c r="F6071" s="2" t="str">
        <v>0</v>
      </c>
      <c r="I6071" s="3" t="str">
        <f ca="1">IFERROR(__xludf.DUMMYFUNCTION("""COMPUTED_VALUE"""),"Trương Thị Vân Anh")</f>
        <v>Trương Thị Vân Anh</v>
      </c>
      <c r="J6071" s="3" t="str">
        <f ca="1">IFERROR(__xludf.DUMMYFUNCTION("""COMPUTED_VALUE"""),"0853325003")</f>
        <v>0853325003</v>
      </c>
      <c r="K6071" s="2" t="str">
        <f ca="1">IFERROR(__xludf.DUMMYFUNCTION("""COMPUTED_VALUE"""),"1758422568849")</f>
        <v>1758422568849</v>
      </c>
    </row>
    <row r="6072" spans="1:11" ht="12.45">
      <c r="A6072" s="2">
        <f ca="1">IFERROR(__xludf.DUMMYFUNCTION("""COMPUTED_VALUE"""),1762945712358)</f>
        <v>1762945712358</v>
      </c>
      <c r="B6072" s="2"/>
      <c r="C6072" s="2" t="str">
        <v>0</v>
      </c>
      <c r="D6072" s="2"/>
      <c r="F6072" s="2" t="str">
        <v>0</v>
      </c>
      <c r="I6072" s="3" t="str">
        <f ca="1">IFERROR(__xludf.DUMMYFUNCTION("""COMPUTED_VALUE"""),"Nguyễn Quỳnh Thương")</f>
        <v>Nguyễn Quỳnh Thương</v>
      </c>
      <c r="J6072" s="3" t="str">
        <f ca="1">IFERROR(__xludf.DUMMYFUNCTION("""COMPUTED_VALUE"""),"0816206861")</f>
        <v>0816206861</v>
      </c>
      <c r="K6072" s="2">
        <f ca="1">IFERROR(__xludf.DUMMYFUNCTION("""COMPUTED_VALUE"""),1762945712358)</f>
        <v>1762945712358</v>
      </c>
    </row>
    <row r="6073" spans="1:11" ht="12.45">
      <c r="A6073" s="2" t="str">
        <f ca="1">IFERROR(__xludf.DUMMYFUNCTION("""COMPUTED_VALUE"""),"1758422669850")</f>
        <v>1758422669850</v>
      </c>
      <c r="B6073" s="2"/>
      <c r="C6073" s="2" t="str">
        <v>0</v>
      </c>
      <c r="D6073" s="2"/>
      <c r="F6073" s="2" t="str">
        <v>0</v>
      </c>
      <c r="I6073" s="3" t="str">
        <f ca="1">IFERROR(__xludf.DUMMYFUNCTION("""COMPUTED_VALUE"""),"Nguyễn Lê Hồng Ánh")</f>
        <v>Nguyễn Lê Hồng Ánh</v>
      </c>
      <c r="J6073" s="3" t="str">
        <f ca="1">IFERROR(__xludf.DUMMYFUNCTION("""COMPUTED_VALUE"""),"0869326743")</f>
        <v>0869326743</v>
      </c>
      <c r="K6073" s="2" t="str">
        <f ca="1">IFERROR(__xludf.DUMMYFUNCTION("""COMPUTED_VALUE"""),"1758422669850")</f>
        <v>1758422669850</v>
      </c>
    </row>
    <row r="6074" spans="1:11" ht="12.45">
      <c r="A6074" s="2" t="str">
        <f ca="1">IFERROR(__xludf.DUMMYFUNCTION("""COMPUTED_VALUE"""),"1762945763695")</f>
        <v>1762945763695</v>
      </c>
      <c r="B6074" s="2"/>
      <c r="C6074" s="2" t="str">
        <v>0</v>
      </c>
      <c r="D6074" s="2"/>
      <c r="F6074" s="2" t="str">
        <v>0</v>
      </c>
      <c r="I6074" s="3" t="str">
        <f ca="1">IFERROR(__xludf.DUMMYFUNCTION("""COMPUTED_VALUE"""),"Nguyễn thu ngân")</f>
        <v>Nguyễn thu ngân</v>
      </c>
      <c r="J6074" s="3" t="str">
        <f ca="1">IFERROR(__xludf.DUMMYFUNCTION("""COMPUTED_VALUE"""),"0348203574")</f>
        <v>0348203574</v>
      </c>
      <c r="K6074" s="2" t="str">
        <f ca="1">IFERROR(__xludf.DUMMYFUNCTION("""COMPUTED_VALUE"""),"1762945763695")</f>
        <v>1762945763695</v>
      </c>
    </row>
    <row r="6075" spans="1:11" ht="12.45">
      <c r="A6075" s="2" t="str">
        <f ca="1">IFERROR(__xludf.DUMMYFUNCTION("""COMPUTED_VALUE"""),"1762308711598")</f>
        <v>1762308711598</v>
      </c>
      <c r="B6075" s="2"/>
      <c r="C6075" s="2" t="str">
        <v>0</v>
      </c>
      <c r="D6075" s="2"/>
      <c r="F6075" s="2" t="str">
        <v>0</v>
      </c>
      <c r="I6075" s="3" t="str">
        <f ca="1">IFERROR(__xludf.DUMMYFUNCTION("""COMPUTED_VALUE"""),"Nguyễn lê bảo châu ")</f>
        <v xml:space="preserve">Nguyễn lê bảo châu </v>
      </c>
      <c r="J6075" s="3" t="str">
        <f ca="1">IFERROR(__xludf.DUMMYFUNCTION("""COMPUTED_VALUE"""),"0343119460")</f>
        <v>0343119460</v>
      </c>
      <c r="K6075" s="2" t="str">
        <f ca="1">IFERROR(__xludf.DUMMYFUNCTION("""COMPUTED_VALUE"""),"1762308711598")</f>
        <v>1762308711598</v>
      </c>
    </row>
    <row r="6076" spans="1:11" ht="12.45">
      <c r="A6076" s="2" t="str">
        <f ca="1">IFERROR(__xludf.DUMMYFUNCTION("""COMPUTED_VALUE"""),"Không giao sách")</f>
        <v>Không giao sách</v>
      </c>
      <c r="B6076" s="2"/>
      <c r="C6076" s="2" t="str">
        <v>0</v>
      </c>
      <c r="D6076" s="2"/>
      <c r="F6076" s="2" t="str">
        <v>0</v>
      </c>
      <c r="I6076" s="3" t="str">
        <f ca="1">IFERROR(__xludf.DUMMYFUNCTION("""COMPUTED_VALUE"""),"Cầm Việt Thắng ")</f>
        <v xml:space="preserve">Cầm Việt Thắng </v>
      </c>
      <c r="J6076" s="3" t="str">
        <f ca="1">IFERROR(__xludf.DUMMYFUNCTION("""COMPUTED_VALUE"""),"0392440206")</f>
        <v>0392440206</v>
      </c>
      <c r="K6076" s="2" t="str">
        <f ca="1">IFERROR(__xludf.DUMMYFUNCTION("""COMPUTED_VALUE"""),"Không giao sách")</f>
        <v>Không giao sách</v>
      </c>
    </row>
    <row r="6077" spans="1:11" ht="12.45">
      <c r="A6077" s="2" t="str">
        <f ca="1">IFERROR(__xludf.DUMMYFUNCTION("""COMPUTED_VALUE"""),"1762945806961")</f>
        <v>1762945806961</v>
      </c>
      <c r="B6077" s="2"/>
      <c r="C6077" s="2" t="str">
        <v>0</v>
      </c>
      <c r="D6077" s="2"/>
      <c r="F6077" s="2" t="str">
        <v>0</v>
      </c>
      <c r="I6077" s="3" t="str">
        <f ca="1">IFERROR(__xludf.DUMMYFUNCTION("""COMPUTED_VALUE"""),"Hoàng Phương Lan ")</f>
        <v xml:space="preserve">Hoàng Phương Lan </v>
      </c>
      <c r="J6077" s="3" t="str">
        <f ca="1">IFERROR(__xludf.DUMMYFUNCTION("""COMPUTED_VALUE"""),"0836633292")</f>
        <v>0836633292</v>
      </c>
      <c r="K6077" s="2" t="str">
        <f ca="1">IFERROR(__xludf.DUMMYFUNCTION("""COMPUTED_VALUE"""),"1762945806961")</f>
        <v>1762945806961</v>
      </c>
    </row>
    <row r="6078" spans="1:11" ht="12.45">
      <c r="A6078" s="2" t="str">
        <f ca="1">IFERROR(__xludf.DUMMYFUNCTION("""COMPUTED_VALUE"""),"1762945876905")</f>
        <v>1762945876905</v>
      </c>
      <c r="B6078" s="2"/>
      <c r="C6078" s="2" t="str">
        <v>0</v>
      </c>
      <c r="D6078" s="2"/>
      <c r="F6078" s="2" t="str">
        <v>0</v>
      </c>
      <c r="I6078" s="3" t="str">
        <f ca="1">IFERROR(__xludf.DUMMYFUNCTION("""COMPUTED_VALUE"""),"Lê Minh Vũ ")</f>
        <v xml:space="preserve">Lê Minh Vũ </v>
      </c>
      <c r="J6078" s="3" t="str">
        <f ca="1">IFERROR(__xludf.DUMMYFUNCTION("""COMPUTED_VALUE"""),"0336584299")</f>
        <v>0336584299</v>
      </c>
      <c r="K6078" s="2" t="str">
        <f ca="1">IFERROR(__xludf.DUMMYFUNCTION("""COMPUTED_VALUE"""),"1762945876905")</f>
        <v>1762945876905</v>
      </c>
    </row>
    <row r="6079" spans="1:11" ht="12.45">
      <c r="A6079" s="2" t="str">
        <f ca="1">IFERROR(__xludf.DUMMYFUNCTION("""COMPUTED_VALUE"""),"1758422765984")</f>
        <v>1758422765984</v>
      </c>
      <c r="B6079" s="2"/>
      <c r="C6079" s="2" t="str">
        <v>0</v>
      </c>
      <c r="D6079" s="2"/>
      <c r="F6079" s="2" t="str">
        <v>0</v>
      </c>
      <c r="I6079" s="3" t="str">
        <f ca="1">IFERROR(__xludf.DUMMYFUNCTION("""COMPUTED_VALUE"""),"Ngô Lê Hoàng Kim")</f>
        <v>Ngô Lê Hoàng Kim</v>
      </c>
      <c r="J6079" s="3" t="str">
        <f ca="1">IFERROR(__xludf.DUMMYFUNCTION("""COMPUTED_VALUE"""),"0931149628")</f>
        <v>0931149628</v>
      </c>
      <c r="K6079" s="2" t="str">
        <f ca="1">IFERROR(__xludf.DUMMYFUNCTION("""COMPUTED_VALUE"""),"1758422765984")</f>
        <v>1758422765984</v>
      </c>
    </row>
    <row r="6080" spans="1:11" ht="12.45">
      <c r="A6080" s="2" t="str">
        <f ca="1">IFERROR(__xludf.DUMMYFUNCTION("""COMPUTED_VALUE"""),"1758422859981")</f>
        <v>1758422859981</v>
      </c>
      <c r="B6080" s="2"/>
      <c r="C6080" s="2" t="str">
        <v>0</v>
      </c>
      <c r="D6080" s="2"/>
      <c r="F6080" s="2" t="str">
        <v>0</v>
      </c>
      <c r="I6080" s="3" t="str">
        <f ca="1">IFERROR(__xludf.DUMMYFUNCTION("""COMPUTED_VALUE"""),"Nguyễn Thảo Nhi")</f>
        <v>Nguyễn Thảo Nhi</v>
      </c>
      <c r="J6080" s="3" t="str">
        <f ca="1">IFERROR(__xludf.DUMMYFUNCTION("""COMPUTED_VALUE"""),"0949988026")</f>
        <v>0949988026</v>
      </c>
      <c r="K6080" s="2" t="str">
        <f ca="1">IFERROR(__xludf.DUMMYFUNCTION("""COMPUTED_VALUE"""),"1758422859981")</f>
        <v>1758422859981</v>
      </c>
    </row>
    <row r="6081" spans="1:11" ht="12.45">
      <c r="A6081" s="2" t="str">
        <f ca="1">IFERROR(__xludf.DUMMYFUNCTION("""COMPUTED_VALUE"""),"1758422950069")</f>
        <v>1758422950069</v>
      </c>
      <c r="B6081" s="2"/>
      <c r="C6081" s="2" t="str">
        <v>0</v>
      </c>
      <c r="D6081" s="2"/>
      <c r="F6081" s="2" t="str">
        <v>0</v>
      </c>
      <c r="I6081" s="3" t="str">
        <f ca="1">IFERROR(__xludf.DUMMYFUNCTION("""COMPUTED_VALUE"""),"Trần thị thu hà")</f>
        <v>Trần thị thu hà</v>
      </c>
      <c r="J6081" s="3" t="str">
        <f ca="1">IFERROR(__xludf.DUMMYFUNCTION("""COMPUTED_VALUE"""),"0325423212")</f>
        <v>0325423212</v>
      </c>
      <c r="K6081" s="2" t="str">
        <f ca="1">IFERROR(__xludf.DUMMYFUNCTION("""COMPUTED_VALUE"""),"1758422950069")</f>
        <v>1758422950069</v>
      </c>
    </row>
    <row r="6082" spans="1:11" ht="12.45">
      <c r="A6082" s="2" t="str">
        <f ca="1">IFERROR(__xludf.DUMMYFUNCTION("""COMPUTED_VALUE"""),"1762945939887")</f>
        <v>1762945939887</v>
      </c>
      <c r="B6082" s="2"/>
      <c r="C6082" s="2" t="str">
        <v>0</v>
      </c>
      <c r="D6082" s="2"/>
      <c r="F6082" s="2" t="str">
        <v>0</v>
      </c>
      <c r="I6082" s="3" t="str">
        <f ca="1">IFERROR(__xludf.DUMMYFUNCTION("""COMPUTED_VALUE"""),"Nguyễn Minh Thư")</f>
        <v>Nguyễn Minh Thư</v>
      </c>
      <c r="J6082" s="3" t="str">
        <f ca="1">IFERROR(__xludf.DUMMYFUNCTION("""COMPUTED_VALUE"""),"0936857072")</f>
        <v>0936857072</v>
      </c>
      <c r="K6082" s="2" t="str">
        <f ca="1">IFERROR(__xludf.DUMMYFUNCTION("""COMPUTED_VALUE"""),"1762945939887")</f>
        <v>1762945939887</v>
      </c>
    </row>
    <row r="6083" spans="1:11" ht="12.45">
      <c r="A6083" s="2" t="str">
        <f ca="1">IFERROR(__xludf.DUMMYFUNCTION("""COMPUTED_VALUE"""),"1758423054748")</f>
        <v>1758423054748</v>
      </c>
      <c r="B6083" s="2"/>
      <c r="C6083" s="2" t="str">
        <v>0</v>
      </c>
      <c r="D6083" s="2"/>
      <c r="F6083" s="2" t="str">
        <v>0</v>
      </c>
      <c r="I6083" s="3" t="str">
        <f ca="1">IFERROR(__xludf.DUMMYFUNCTION("""COMPUTED_VALUE"""),"Lê Nguyễn Hải Đăng")</f>
        <v>Lê Nguyễn Hải Đăng</v>
      </c>
      <c r="J6083" s="3" t="str">
        <f ca="1">IFERROR(__xludf.DUMMYFUNCTION("""COMPUTED_VALUE"""),"0346193722")</f>
        <v>0346193722</v>
      </c>
      <c r="K6083" s="2" t="str">
        <f ca="1">IFERROR(__xludf.DUMMYFUNCTION("""COMPUTED_VALUE"""),"1758423054748")</f>
        <v>1758423054748</v>
      </c>
    </row>
    <row r="6084" spans="1:11" ht="12.45">
      <c r="A6084" s="2" t="str">
        <f ca="1">IFERROR(__xludf.DUMMYFUNCTION("""COMPUTED_VALUE"""),"Không giao sách")</f>
        <v>Không giao sách</v>
      </c>
      <c r="B6084" s="2"/>
      <c r="C6084" s="2" t="str">
        <v>0</v>
      </c>
      <c r="D6084" s="2"/>
      <c r="F6084" s="2" t="str">
        <v>0</v>
      </c>
      <c r="I6084" s="3" t="str">
        <f ca="1">IFERROR(__xludf.DUMMYFUNCTION("""COMPUTED_VALUE"""),"Phạm Ngọc Minh Anh ")</f>
        <v xml:space="preserve">Phạm Ngọc Minh Anh </v>
      </c>
      <c r="J6084" s="3" t="str">
        <f ca="1">IFERROR(__xludf.DUMMYFUNCTION("""COMPUTED_VALUE"""),"0789581379")</f>
        <v>0789581379</v>
      </c>
      <c r="K6084" s="2" t="str">
        <f ca="1">IFERROR(__xludf.DUMMYFUNCTION("""COMPUTED_VALUE"""),"Không giao sách")</f>
        <v>Không giao sách</v>
      </c>
    </row>
    <row r="6085" spans="1:11" ht="12.45">
      <c r="A6085" s="2" t="str">
        <f ca="1">IFERROR(__xludf.DUMMYFUNCTION("""COMPUTED_VALUE"""),"1758423139820")</f>
        <v>1758423139820</v>
      </c>
      <c r="B6085" s="2"/>
      <c r="C6085" s="2" t="str">
        <v>0</v>
      </c>
      <c r="D6085" s="2"/>
      <c r="F6085" s="2" t="str">
        <v>0</v>
      </c>
      <c r="I6085" s="3" t="str">
        <f ca="1">IFERROR(__xludf.DUMMYFUNCTION("""COMPUTED_VALUE"""),"Nguyễn Thị Thanh Nhàn ")</f>
        <v xml:space="preserve">Nguyễn Thị Thanh Nhàn </v>
      </c>
      <c r="J6085" s="3" t="str">
        <f ca="1">IFERROR(__xludf.DUMMYFUNCTION("""COMPUTED_VALUE"""),"0395948731")</f>
        <v>0395948731</v>
      </c>
      <c r="K6085" s="2" t="str">
        <f ca="1">IFERROR(__xludf.DUMMYFUNCTION("""COMPUTED_VALUE"""),"1758423139820")</f>
        <v>1758423139820</v>
      </c>
    </row>
    <row r="6086" spans="1:11" ht="12.45">
      <c r="A6086" s="2" t="str">
        <f ca="1">IFERROR(__xludf.DUMMYFUNCTION("""COMPUTED_VALUE"""),"1758423208450")</f>
        <v>1758423208450</v>
      </c>
      <c r="B6086" s="2"/>
      <c r="C6086" s="2" t="str">
        <v>0</v>
      </c>
      <c r="D6086" s="2"/>
      <c r="F6086" s="2" t="str">
        <v>0</v>
      </c>
      <c r="I6086" s="3" t="str">
        <f ca="1">IFERROR(__xludf.DUMMYFUNCTION("""COMPUTED_VALUE"""),"Nguyễn Văn Nhã Uyên")</f>
        <v>Nguyễn Văn Nhã Uyên</v>
      </c>
      <c r="J6086" s="3" t="str">
        <f ca="1">IFERROR(__xludf.DUMMYFUNCTION("""COMPUTED_VALUE"""),"0375605707")</f>
        <v>0375605707</v>
      </c>
      <c r="K6086" s="2" t="str">
        <f ca="1">IFERROR(__xludf.DUMMYFUNCTION("""COMPUTED_VALUE"""),"1758423208450")</f>
        <v>1758423208450</v>
      </c>
    </row>
    <row r="6087" spans="1:11" ht="12.45">
      <c r="A6087" s="2" t="str">
        <f ca="1">IFERROR(__xludf.DUMMYFUNCTION("""COMPUTED_VALUE"""),"1758423276148")</f>
        <v>1758423276148</v>
      </c>
      <c r="B6087" s="2"/>
      <c r="C6087" s="2" t="str">
        <v>0</v>
      </c>
      <c r="D6087" s="2"/>
      <c r="F6087" s="2" t="str">
        <v>0</v>
      </c>
      <c r="I6087" s="3" t="str">
        <f ca="1">IFERROR(__xludf.DUMMYFUNCTION("""COMPUTED_VALUE"""),"Vi Ngọc Diệp")</f>
        <v>Vi Ngọc Diệp</v>
      </c>
      <c r="J6087" s="3" t="str">
        <f ca="1">IFERROR(__xludf.DUMMYFUNCTION("""COMPUTED_VALUE"""),"0335678778")</f>
        <v>0335678778</v>
      </c>
      <c r="K6087" s="2" t="str">
        <f ca="1">IFERROR(__xludf.DUMMYFUNCTION("""COMPUTED_VALUE"""),"1758423276148")</f>
        <v>1758423276148</v>
      </c>
    </row>
    <row r="6088" spans="1:11" ht="12.45">
      <c r="A6088" s="2" t="str">
        <f ca="1">IFERROR(__xludf.DUMMYFUNCTION("""COMPUTED_VALUE"""),"1758423388986")</f>
        <v>1758423388986</v>
      </c>
      <c r="B6088" s="2"/>
      <c r="C6088" s="2" t="str">
        <v>0</v>
      </c>
      <c r="D6088" s="2"/>
      <c r="F6088" s="2" t="str">
        <v>0</v>
      </c>
      <c r="I6088" s="3" t="str">
        <f ca="1">IFERROR(__xludf.DUMMYFUNCTION("""COMPUTED_VALUE"""),"Nguyễn Thị Thanh Vi ")</f>
        <v xml:space="preserve">Nguyễn Thị Thanh Vi </v>
      </c>
      <c r="J6088" s="3" t="str">
        <f ca="1">IFERROR(__xludf.DUMMYFUNCTION("""COMPUTED_VALUE"""),"0364915637")</f>
        <v>0364915637</v>
      </c>
      <c r="K6088" s="2" t="str">
        <f ca="1">IFERROR(__xludf.DUMMYFUNCTION("""COMPUTED_VALUE"""),"1758423388986")</f>
        <v>1758423388986</v>
      </c>
    </row>
    <row r="6089" spans="1:11" ht="12.45">
      <c r="A6089" s="2" t="str">
        <f ca="1">IFERROR(__xludf.DUMMYFUNCTION("""COMPUTED_VALUE"""),"1758423465867")</f>
        <v>1758423465867</v>
      </c>
      <c r="B6089" s="2"/>
      <c r="C6089" s="2" t="str">
        <v>0</v>
      </c>
      <c r="D6089" s="2"/>
      <c r="F6089" s="2" t="str">
        <v>0</v>
      </c>
      <c r="I6089" s="3" t="str">
        <f ca="1">IFERROR(__xludf.DUMMYFUNCTION("""COMPUTED_VALUE"""),"Phạm Thị Hoà")</f>
        <v>Phạm Thị Hoà</v>
      </c>
      <c r="J6089" s="3" t="str">
        <f ca="1">IFERROR(__xludf.DUMMYFUNCTION("""COMPUTED_VALUE"""),"0964546623")</f>
        <v>0964546623</v>
      </c>
      <c r="K6089" s="2" t="str">
        <f ca="1">IFERROR(__xludf.DUMMYFUNCTION("""COMPUTED_VALUE"""),"1758423465867")</f>
        <v>1758423465867</v>
      </c>
    </row>
    <row r="6090" spans="1:11" ht="12.45">
      <c r="A6090" s="2" t="str">
        <f ca="1">IFERROR(__xludf.DUMMYFUNCTION("""COMPUTED_VALUE"""),"1762946009149")</f>
        <v>1762946009149</v>
      </c>
      <c r="B6090" s="2"/>
      <c r="C6090" s="2" t="str">
        <v>0</v>
      </c>
      <c r="D6090" s="2"/>
      <c r="F6090" s="2" t="str">
        <v>0</v>
      </c>
      <c r="I6090" s="3" t="str">
        <f ca="1">IFERROR(__xludf.DUMMYFUNCTION("""COMPUTED_VALUE"""),"Nguyễn Thành Đạt")</f>
        <v>Nguyễn Thành Đạt</v>
      </c>
      <c r="J6090" s="3" t="str">
        <f ca="1">IFERROR(__xludf.DUMMYFUNCTION("""COMPUTED_VALUE"""),"0394030267")</f>
        <v>0394030267</v>
      </c>
      <c r="K6090" s="2" t="str">
        <f ca="1">IFERROR(__xludf.DUMMYFUNCTION("""COMPUTED_VALUE"""),"1762946009149")</f>
        <v>1762946009149</v>
      </c>
    </row>
    <row r="6091" spans="1:11" ht="12.45">
      <c r="A6091" s="2" t="str">
        <f ca="1">IFERROR(__xludf.DUMMYFUNCTION("""COMPUTED_VALUE"""),"1758423531836")</f>
        <v>1758423531836</v>
      </c>
      <c r="B6091" s="2"/>
      <c r="C6091" s="2" t="str">
        <v>0</v>
      </c>
      <c r="D6091" s="2"/>
      <c r="F6091" s="2" t="str">
        <v>0</v>
      </c>
      <c r="I6091" s="3" t="str">
        <f ca="1">IFERROR(__xludf.DUMMYFUNCTION("""COMPUTED_VALUE"""),"Bùi Quốc Trung ")</f>
        <v xml:space="preserve">Bùi Quốc Trung </v>
      </c>
      <c r="J6091" s="3" t="str">
        <f ca="1">IFERROR(__xludf.DUMMYFUNCTION("""COMPUTED_VALUE"""),"0963859952")</f>
        <v>0963859952</v>
      </c>
      <c r="K6091" s="2" t="str">
        <f ca="1">IFERROR(__xludf.DUMMYFUNCTION("""COMPUTED_VALUE"""),"1758423531836")</f>
        <v>1758423531836</v>
      </c>
    </row>
    <row r="6092" spans="1:11" ht="12.45">
      <c r="A6092" s="2" t="str">
        <f ca="1">IFERROR(__xludf.DUMMYFUNCTION("""COMPUTED_VALUE"""),"1762946072174")</f>
        <v>1762946072174</v>
      </c>
      <c r="B6092" s="2"/>
      <c r="C6092" s="2" t="str">
        <v>0</v>
      </c>
      <c r="D6092" s="2"/>
      <c r="F6092" s="2" t="str">
        <v>0</v>
      </c>
      <c r="I6092" s="3" t="str">
        <f ca="1">IFERROR(__xludf.DUMMYFUNCTION("""COMPUTED_VALUE"""),"Triệu Việt Dũng")</f>
        <v>Triệu Việt Dũng</v>
      </c>
      <c r="J6092" s="3" t="str">
        <f ca="1">IFERROR(__xludf.DUMMYFUNCTION("""COMPUTED_VALUE"""),"0366208207")</f>
        <v>0366208207</v>
      </c>
      <c r="K6092" s="2" t="str">
        <f ca="1">IFERROR(__xludf.DUMMYFUNCTION("""COMPUTED_VALUE"""),"1762946072174")</f>
        <v>1762946072174</v>
      </c>
    </row>
    <row r="6093" spans="1:11" ht="12.45">
      <c r="A6093" s="2" t="str">
        <f ca="1">IFERROR(__xludf.DUMMYFUNCTION("""COMPUTED_VALUE"""),"1758423602338")</f>
        <v>1758423602338</v>
      </c>
      <c r="B6093" s="2"/>
      <c r="C6093" s="2" t="str">
        <v>0</v>
      </c>
      <c r="D6093" s="2"/>
      <c r="F6093" s="2" t="str">
        <v>0</v>
      </c>
      <c r="I6093" s="3" t="str">
        <f ca="1">IFERROR(__xludf.DUMMYFUNCTION("""COMPUTED_VALUE"""),"Trần Thu Trang")</f>
        <v>Trần Thu Trang</v>
      </c>
      <c r="J6093" s="3" t="str">
        <f ca="1">IFERROR(__xludf.DUMMYFUNCTION("""COMPUTED_VALUE"""),"0352974710")</f>
        <v>0352974710</v>
      </c>
      <c r="K6093" s="2" t="str">
        <f ca="1">IFERROR(__xludf.DUMMYFUNCTION("""COMPUTED_VALUE"""),"1758423602338")</f>
        <v>1758423602338</v>
      </c>
    </row>
    <row r="6094" spans="1:11" ht="12.45">
      <c r="A6094" s="2" t="str">
        <f ca="1">IFERROR(__xludf.DUMMYFUNCTION("""COMPUTED_VALUE"""),"1758423669247")</f>
        <v>1758423669247</v>
      </c>
      <c r="B6094" s="2"/>
      <c r="C6094" s="2" t="str">
        <v>0</v>
      </c>
      <c r="D6094" s="2"/>
      <c r="F6094" s="2" t="str">
        <v>0</v>
      </c>
      <c r="I6094" s="3" t="str">
        <f ca="1">IFERROR(__xludf.DUMMYFUNCTION("""COMPUTED_VALUE"""),"Nguyễn Ngọc Khánh Trinh")</f>
        <v>Nguyễn Ngọc Khánh Trinh</v>
      </c>
      <c r="J6094" s="3" t="str">
        <f ca="1">IFERROR(__xludf.DUMMYFUNCTION("""COMPUTED_VALUE"""),"8439453602")</f>
        <v>8439453602</v>
      </c>
      <c r="K6094" s="2" t="str">
        <f ca="1">IFERROR(__xludf.DUMMYFUNCTION("""COMPUTED_VALUE"""),"1758423669247")</f>
        <v>1758423669247</v>
      </c>
    </row>
    <row r="6095" spans="1:11" ht="12.45">
      <c r="A6095" s="2" t="str">
        <f ca="1">IFERROR(__xludf.DUMMYFUNCTION("""COMPUTED_VALUE"""),"1762946153278")</f>
        <v>1762946153278</v>
      </c>
      <c r="B6095" s="2"/>
      <c r="C6095" s="2" t="str">
        <v>0</v>
      </c>
      <c r="D6095" s="2"/>
      <c r="F6095" s="2" t="str">
        <v>0</v>
      </c>
      <c r="I6095" s="3" t="str">
        <f ca="1">IFERROR(__xludf.DUMMYFUNCTION("""COMPUTED_VALUE"""),"Hoàng Phi Diệu")</f>
        <v>Hoàng Phi Diệu</v>
      </c>
      <c r="J6095" s="3" t="str">
        <f ca="1">IFERROR(__xludf.DUMMYFUNCTION("""COMPUTED_VALUE"""),"0886965174")</f>
        <v>0886965174</v>
      </c>
      <c r="K6095" s="2" t="str">
        <f ca="1">IFERROR(__xludf.DUMMYFUNCTION("""COMPUTED_VALUE"""),"1762946153278")</f>
        <v>1762946153278</v>
      </c>
    </row>
    <row r="6096" spans="1:11" ht="12.45">
      <c r="A6096" s="2" t="str">
        <f ca="1">IFERROR(__xludf.DUMMYFUNCTION("""COMPUTED_VALUE"""),"1758423722922")</f>
        <v>1758423722922</v>
      </c>
      <c r="B6096" s="2"/>
      <c r="C6096" s="2" t="str">
        <v>0</v>
      </c>
      <c r="D6096" s="2"/>
      <c r="F6096" s="2" t="str">
        <v>0</v>
      </c>
      <c r="I6096" s="3" t="str">
        <f ca="1">IFERROR(__xludf.DUMMYFUNCTION("""COMPUTED_VALUE"""),"Hán Thị Thu Xuyên ")</f>
        <v xml:space="preserve">Hán Thị Thu Xuyên </v>
      </c>
      <c r="J6096" s="3" t="str">
        <f ca="1">IFERROR(__xludf.DUMMYFUNCTION("""COMPUTED_VALUE"""),"0367221206")</f>
        <v>0367221206</v>
      </c>
      <c r="K6096" s="2" t="str">
        <f ca="1">IFERROR(__xludf.DUMMYFUNCTION("""COMPUTED_VALUE"""),"1758423722922")</f>
        <v>1758423722922</v>
      </c>
    </row>
    <row r="6097" spans="1:11" ht="12.45">
      <c r="A6097" s="2" t="str">
        <f ca="1">IFERROR(__xludf.DUMMYFUNCTION("""COMPUTED_VALUE"""),"Không giao sách")</f>
        <v>Không giao sách</v>
      </c>
      <c r="B6097" s="2"/>
      <c r="C6097" s="2" t="str">
        <v>0</v>
      </c>
      <c r="D6097" s="2"/>
      <c r="F6097" s="2" t="str">
        <v>0</v>
      </c>
      <c r="I6097" s="3" t="str">
        <f ca="1">IFERROR(__xludf.DUMMYFUNCTION("""COMPUTED_VALUE"""),"Nguyễn Như Phương Uyên")</f>
        <v>Nguyễn Như Phương Uyên</v>
      </c>
      <c r="J6097" s="3" t="str">
        <f ca="1">IFERROR(__xludf.DUMMYFUNCTION("""COMPUTED_VALUE"""),"0394718276")</f>
        <v>0394718276</v>
      </c>
      <c r="K6097" s="2" t="str">
        <f ca="1">IFERROR(__xludf.DUMMYFUNCTION("""COMPUTED_VALUE"""),"Không giao sách")</f>
        <v>Không giao sách</v>
      </c>
    </row>
    <row r="6098" spans="1:11" ht="12.45">
      <c r="A6098" s="2" t="str">
        <f ca="1">IFERROR(__xludf.DUMMYFUNCTION("""COMPUTED_VALUE"""),"Không giao sách")</f>
        <v>Không giao sách</v>
      </c>
      <c r="B6098" s="2"/>
      <c r="C6098" s="2" t="str">
        <v>0</v>
      </c>
      <c r="D6098" s="2"/>
      <c r="F6098" s="2" t="str">
        <v>0</v>
      </c>
      <c r="I6098" s="3" t="str">
        <f ca="1">IFERROR(__xludf.DUMMYFUNCTION("""COMPUTED_VALUE"""),"Lê Nguyễn Đan Vy")</f>
        <v>Lê Nguyễn Đan Vy</v>
      </c>
      <c r="J6098" s="3" t="str">
        <f ca="1">IFERROR(__xludf.DUMMYFUNCTION("""COMPUTED_VALUE"""),"0908734835")</f>
        <v>0908734835</v>
      </c>
      <c r="K6098" s="2" t="str">
        <f ca="1">IFERROR(__xludf.DUMMYFUNCTION("""COMPUTED_VALUE"""),"Không giao sách")</f>
        <v>Không giao sách</v>
      </c>
    </row>
    <row r="6099" spans="1:11" ht="12.45">
      <c r="A6099" s="2" t="str">
        <f ca="1">IFERROR(__xludf.DUMMYFUNCTION("""COMPUTED_VALUE"""),"1762946196835")</f>
        <v>1762946196835</v>
      </c>
      <c r="B6099" s="2"/>
      <c r="C6099" s="2" t="str">
        <v>0</v>
      </c>
      <c r="D6099" s="2"/>
      <c r="F6099" s="2" t="str">
        <v>0</v>
      </c>
      <c r="I6099" s="3" t="str">
        <f ca="1">IFERROR(__xludf.DUMMYFUNCTION("""COMPUTED_VALUE"""),"Võ Vân Khuê ")</f>
        <v xml:space="preserve">Võ Vân Khuê </v>
      </c>
      <c r="J6099" s="3" t="str">
        <f ca="1">IFERROR(__xludf.DUMMYFUNCTION("""COMPUTED_VALUE"""),"0785111176")</f>
        <v>0785111176</v>
      </c>
      <c r="K6099" s="2" t="str">
        <f ca="1">IFERROR(__xludf.DUMMYFUNCTION("""COMPUTED_VALUE"""),"1762946196835")</f>
        <v>1762946196835</v>
      </c>
    </row>
    <row r="6100" spans="1:11" ht="12.45">
      <c r="A6100" s="2" t="str">
        <f ca="1">IFERROR(__xludf.DUMMYFUNCTION("""COMPUTED_VALUE"""),"1758423770221")</f>
        <v>1758423770221</v>
      </c>
      <c r="B6100" s="2"/>
      <c r="C6100" s="2" t="str">
        <v>0</v>
      </c>
      <c r="D6100" s="2"/>
      <c r="F6100" s="2" t="str">
        <v>0</v>
      </c>
      <c r="I6100" s="3" t="str">
        <f ca="1">IFERROR(__xludf.DUMMYFUNCTION("""COMPUTED_VALUE"""),"Mai Hồ Bảo Trân")</f>
        <v>Mai Hồ Bảo Trân</v>
      </c>
      <c r="J6100" s="3" t="str">
        <f ca="1">IFERROR(__xludf.DUMMYFUNCTION("""COMPUTED_VALUE"""),"0777428414")</f>
        <v>0777428414</v>
      </c>
      <c r="K6100" s="2" t="str">
        <f ca="1">IFERROR(__xludf.DUMMYFUNCTION("""COMPUTED_VALUE"""),"1758423770221")</f>
        <v>1758423770221</v>
      </c>
    </row>
    <row r="6101" spans="1:11" ht="12.45">
      <c r="A6101" s="2" t="str">
        <f ca="1">IFERROR(__xludf.DUMMYFUNCTION("""COMPUTED_VALUE"""),"Không giao sách")</f>
        <v>Không giao sách</v>
      </c>
      <c r="B6101" s="2"/>
      <c r="C6101" s="2" t="str">
        <v>0</v>
      </c>
      <c r="D6101" s="2"/>
      <c r="F6101" s="2" t="str">
        <v>0</v>
      </c>
      <c r="I6101" s="3" t="str">
        <f ca="1">IFERROR(__xludf.DUMMYFUNCTION("""COMPUTED_VALUE"""),"Trần Văn Thịnh ")</f>
        <v xml:space="preserve">Trần Văn Thịnh </v>
      </c>
      <c r="J6101" s="3" t="str">
        <f ca="1">IFERROR(__xludf.DUMMYFUNCTION("""COMPUTED_VALUE"""),"0338609016")</f>
        <v>0338609016</v>
      </c>
      <c r="K6101" s="2" t="str">
        <f ca="1">IFERROR(__xludf.DUMMYFUNCTION("""COMPUTED_VALUE"""),"Không giao sách")</f>
        <v>Không giao sách</v>
      </c>
    </row>
    <row r="6102" spans="1:11" ht="12.45">
      <c r="A6102" s="2" t="str">
        <f ca="1">IFERROR(__xludf.DUMMYFUNCTION("""COMPUTED_VALUE"""),"1758423853176")</f>
        <v>1758423853176</v>
      </c>
      <c r="B6102" s="2"/>
      <c r="C6102" s="2" t="str">
        <v>0</v>
      </c>
      <c r="D6102" s="2"/>
      <c r="F6102" s="2" t="str">
        <v>0</v>
      </c>
      <c r="I6102" s="3" t="str">
        <f ca="1">IFERROR(__xludf.DUMMYFUNCTION("""COMPUTED_VALUE"""),"Đoàn Dương Quốc Thuận")</f>
        <v>Đoàn Dương Quốc Thuận</v>
      </c>
      <c r="J6102" s="3" t="str">
        <f ca="1">IFERROR(__xludf.DUMMYFUNCTION("""COMPUTED_VALUE"""),"0983395632")</f>
        <v>0983395632</v>
      </c>
      <c r="K6102" s="2" t="str">
        <f ca="1">IFERROR(__xludf.DUMMYFUNCTION("""COMPUTED_VALUE"""),"1758423853176")</f>
        <v>1758423853176</v>
      </c>
    </row>
    <row r="6103" spans="1:11" ht="12.45">
      <c r="A6103" s="2" t="str">
        <f ca="1">IFERROR(__xludf.DUMMYFUNCTION("""COMPUTED_VALUE"""),"1758423885956")</f>
        <v>1758423885956</v>
      </c>
      <c r="B6103" s="2"/>
      <c r="C6103" s="2" t="str">
        <v>0</v>
      </c>
      <c r="D6103" s="2"/>
      <c r="F6103" s="2" t="str">
        <v>0</v>
      </c>
      <c r="I6103" s="3" t="str">
        <f ca="1">IFERROR(__xludf.DUMMYFUNCTION("""COMPUTED_VALUE"""),"Trần Thị Như Quỳnh")</f>
        <v>Trần Thị Như Quỳnh</v>
      </c>
      <c r="J6103" s="3" t="str">
        <f ca="1">IFERROR(__xludf.DUMMYFUNCTION("""COMPUTED_VALUE"""),"0356475007")</f>
        <v>0356475007</v>
      </c>
      <c r="K6103" s="2" t="str">
        <f ca="1">IFERROR(__xludf.DUMMYFUNCTION("""COMPUTED_VALUE"""),"1758423885956")</f>
        <v>1758423885956</v>
      </c>
    </row>
    <row r="6104" spans="1:11" ht="12.45">
      <c r="A6104" s="2" t="str">
        <f ca="1">IFERROR(__xludf.DUMMYFUNCTION("""COMPUTED_VALUE"""),"1758423924229")</f>
        <v>1758423924229</v>
      </c>
      <c r="B6104" s="2"/>
      <c r="C6104" s="2" t="str">
        <v>0</v>
      </c>
      <c r="D6104" s="2"/>
      <c r="F6104" s="2" t="str">
        <v>0</v>
      </c>
      <c r="I6104" s="3" t="str">
        <f ca="1">IFERROR(__xludf.DUMMYFUNCTION("""COMPUTED_VALUE"""),"Ngô Tấn Dũng")</f>
        <v>Ngô Tấn Dũng</v>
      </c>
      <c r="J6104" s="3" t="str">
        <f ca="1">IFERROR(__xludf.DUMMYFUNCTION("""COMPUTED_VALUE"""),"8439898723")</f>
        <v>8439898723</v>
      </c>
      <c r="K6104" s="2" t="str">
        <f ca="1">IFERROR(__xludf.DUMMYFUNCTION("""COMPUTED_VALUE"""),"1758423924229")</f>
        <v>1758423924229</v>
      </c>
    </row>
    <row r="6105" spans="1:11" ht="12.45">
      <c r="A6105" s="2" t="str">
        <f ca="1">IFERROR(__xludf.DUMMYFUNCTION("""COMPUTED_VALUE"""),"1762946259181")</f>
        <v>1762946259181</v>
      </c>
      <c r="B6105" s="2"/>
      <c r="C6105" s="2" t="str">
        <v>0</v>
      </c>
      <c r="D6105" s="2"/>
      <c r="F6105" s="2" t="str">
        <v>0</v>
      </c>
      <c r="I6105" s="3" t="str">
        <f ca="1">IFERROR(__xludf.DUMMYFUNCTION("""COMPUTED_VALUE"""),"Võ Lê Thanh Huyền ")</f>
        <v xml:space="preserve">Võ Lê Thanh Huyền </v>
      </c>
      <c r="J6105" s="3" t="str">
        <f ca="1">IFERROR(__xludf.DUMMYFUNCTION("""COMPUTED_VALUE"""),"0918740290")</f>
        <v>0918740290</v>
      </c>
      <c r="K6105" s="2" t="str">
        <f ca="1">IFERROR(__xludf.DUMMYFUNCTION("""COMPUTED_VALUE"""),"1762946259181")</f>
        <v>1762946259181</v>
      </c>
    </row>
    <row r="6106" spans="1:11" ht="12.45">
      <c r="A6106" s="2" t="str">
        <f ca="1">IFERROR(__xludf.DUMMYFUNCTION("""COMPUTED_VALUE"""),"1762946308665")</f>
        <v>1762946308665</v>
      </c>
      <c r="B6106" s="2"/>
      <c r="C6106" s="2" t="str">
        <v>0</v>
      </c>
      <c r="D6106" s="2"/>
      <c r="F6106" s="2" t="str">
        <v>0</v>
      </c>
      <c r="I6106" s="3" t="str">
        <f ca="1">IFERROR(__xludf.DUMMYFUNCTION("""COMPUTED_VALUE"""),"Đào Ngọc Mỹ")</f>
        <v>Đào Ngọc Mỹ</v>
      </c>
      <c r="J6106" s="3" t="str">
        <f ca="1">IFERROR(__xludf.DUMMYFUNCTION("""COMPUTED_VALUE"""),"0394738616")</f>
        <v>0394738616</v>
      </c>
      <c r="K6106" s="2" t="str">
        <f ca="1">IFERROR(__xludf.DUMMYFUNCTION("""COMPUTED_VALUE"""),"1762946308665")</f>
        <v>1762946308665</v>
      </c>
    </row>
    <row r="6107" spans="1:11" ht="12.45">
      <c r="A6107" s="2" t="str">
        <f ca="1">IFERROR(__xludf.DUMMYFUNCTION("""COMPUTED_VALUE"""),"1758424008901")</f>
        <v>1758424008901</v>
      </c>
      <c r="B6107" s="2"/>
      <c r="C6107" s="2" t="str">
        <v>0</v>
      </c>
      <c r="D6107" s="2"/>
      <c r="F6107" s="2" t="str">
        <v>0</v>
      </c>
      <c r="I6107" s="3" t="str">
        <f ca="1">IFERROR(__xludf.DUMMYFUNCTION("""COMPUTED_VALUE"""),"Hà Khánh Linh")</f>
        <v>Hà Khánh Linh</v>
      </c>
      <c r="J6107" s="3" t="str">
        <f ca="1">IFERROR(__xludf.DUMMYFUNCTION("""COMPUTED_VALUE"""),"0374936592")</f>
        <v>0374936592</v>
      </c>
      <c r="K6107" s="2" t="str">
        <f ca="1">IFERROR(__xludf.DUMMYFUNCTION("""COMPUTED_VALUE"""),"1758424008901")</f>
        <v>1758424008901</v>
      </c>
    </row>
    <row r="6108" spans="1:11" ht="12.45">
      <c r="A6108" s="2" t="str">
        <f ca="1">IFERROR(__xludf.DUMMYFUNCTION("""COMPUTED_VALUE"""),"1758424076140")</f>
        <v>1758424076140</v>
      </c>
      <c r="B6108" s="2"/>
      <c r="C6108" s="2" t="str">
        <v>0</v>
      </c>
      <c r="D6108" s="2"/>
      <c r="F6108" s="2" t="str">
        <v>0</v>
      </c>
      <c r="I6108" s="3" t="str">
        <f ca="1">IFERROR(__xludf.DUMMYFUNCTION("""COMPUTED_VALUE"""),"Chu Thị Hiền Anh")</f>
        <v>Chu Thị Hiền Anh</v>
      </c>
      <c r="J6108" s="3" t="str">
        <f ca="1">IFERROR(__xludf.DUMMYFUNCTION("""COMPUTED_VALUE"""),"0396775158")</f>
        <v>0396775158</v>
      </c>
      <c r="K6108" s="2" t="str">
        <f ca="1">IFERROR(__xludf.DUMMYFUNCTION("""COMPUTED_VALUE"""),"1758424076140")</f>
        <v>1758424076140</v>
      </c>
    </row>
    <row r="6109" spans="1:11" ht="12.45">
      <c r="A6109" s="2" t="str">
        <f ca="1">IFERROR(__xludf.DUMMYFUNCTION("""COMPUTED_VALUE"""),"Không giao sách")</f>
        <v>Không giao sách</v>
      </c>
      <c r="B6109" s="2"/>
      <c r="C6109" s="2" t="str">
        <v>0</v>
      </c>
      <c r="D6109" s="2"/>
      <c r="F6109" s="2" t="str">
        <v>0</v>
      </c>
      <c r="I6109" s="3" t="str">
        <f ca="1">IFERROR(__xludf.DUMMYFUNCTION("""COMPUTED_VALUE"""),"Bùi Thị Ngọc Châu ")</f>
        <v xml:space="preserve">Bùi Thị Ngọc Châu </v>
      </c>
      <c r="J6109" s="3" t="str">
        <f ca="1">IFERROR(__xludf.DUMMYFUNCTION("""COMPUTED_VALUE"""),"0918499014")</f>
        <v>0918499014</v>
      </c>
      <c r="K6109" s="2" t="str">
        <f ca="1">IFERROR(__xludf.DUMMYFUNCTION("""COMPUTED_VALUE"""),"Không giao sách")</f>
        <v>Không giao sách</v>
      </c>
    </row>
    <row r="6110" spans="1:11" ht="12.45">
      <c r="A6110" s="2" t="str">
        <f ca="1">IFERROR(__xludf.DUMMYFUNCTION("""COMPUTED_VALUE"""),"1758424125500")</f>
        <v>1758424125500</v>
      </c>
      <c r="B6110" s="2"/>
      <c r="C6110" s="2" t="str">
        <v>0</v>
      </c>
      <c r="D6110" s="2"/>
      <c r="F6110" s="2" t="str">
        <v>0</v>
      </c>
      <c r="I6110" s="3" t="str">
        <f ca="1">IFERROR(__xludf.DUMMYFUNCTION("""COMPUTED_VALUE"""),"Mai Phương Anh")</f>
        <v>Mai Phương Anh</v>
      </c>
      <c r="J6110" s="3" t="str">
        <f ca="1">IFERROR(__xludf.DUMMYFUNCTION("""COMPUTED_VALUE"""),"0912931678")</f>
        <v>0912931678</v>
      </c>
      <c r="K6110" s="2" t="str">
        <f ca="1">IFERROR(__xludf.DUMMYFUNCTION("""COMPUTED_VALUE"""),"1758424125500")</f>
        <v>1758424125500</v>
      </c>
    </row>
    <row r="6111" spans="1:11" ht="12.45">
      <c r="A6111" s="2" t="str">
        <f ca="1">IFERROR(__xludf.DUMMYFUNCTION("""COMPUTED_VALUE"""),"1758424168021")</f>
        <v>1758424168021</v>
      </c>
      <c r="B6111" s="2"/>
      <c r="C6111" s="2" t="str">
        <v>0</v>
      </c>
      <c r="D6111" s="2"/>
      <c r="F6111" s="2" t="str">
        <v>0</v>
      </c>
      <c r="I6111" s="3" t="str">
        <f ca="1">IFERROR(__xludf.DUMMYFUNCTION("""COMPUTED_VALUE"""),"Nguyễn Thùy Dương ")</f>
        <v xml:space="preserve">Nguyễn Thùy Dương </v>
      </c>
      <c r="J6111" s="3" t="str">
        <f ca="1">IFERROR(__xludf.DUMMYFUNCTION("""COMPUTED_VALUE"""),"0898463479")</f>
        <v>0898463479</v>
      </c>
      <c r="K6111" s="2" t="str">
        <f ca="1">IFERROR(__xludf.DUMMYFUNCTION("""COMPUTED_VALUE"""),"1758424168021")</f>
        <v>1758424168021</v>
      </c>
    </row>
    <row r="6112" spans="1:11" ht="12.45">
      <c r="A6112" s="2" t="str">
        <f ca="1">IFERROR(__xludf.DUMMYFUNCTION("""COMPUTED_VALUE"""),"1758424216034")</f>
        <v>1758424216034</v>
      </c>
      <c r="B6112" s="2"/>
      <c r="C6112" s="2" t="str">
        <v>0</v>
      </c>
      <c r="D6112" s="2"/>
      <c r="F6112" s="2" t="str">
        <v>0</v>
      </c>
      <c r="I6112" s="3" t="str">
        <f ca="1">IFERROR(__xludf.DUMMYFUNCTION("""COMPUTED_VALUE"""),"Nguyễn Thanh Lam ")</f>
        <v xml:space="preserve">Nguyễn Thanh Lam </v>
      </c>
      <c r="J6112" s="3" t="str">
        <f ca="1">IFERROR(__xludf.DUMMYFUNCTION("""COMPUTED_VALUE"""),"0392634705")</f>
        <v>0392634705</v>
      </c>
      <c r="K6112" s="2" t="str">
        <f ca="1">IFERROR(__xludf.DUMMYFUNCTION("""COMPUTED_VALUE"""),"1758424216034")</f>
        <v>1758424216034</v>
      </c>
    </row>
    <row r="6113" spans="1:11" ht="12.45">
      <c r="A6113" s="2" t="str">
        <f ca="1">IFERROR(__xludf.DUMMYFUNCTION("""COMPUTED_VALUE"""),"1758424256936")</f>
        <v>1758424256936</v>
      </c>
      <c r="B6113" s="2"/>
      <c r="C6113" s="2" t="str">
        <v>0</v>
      </c>
      <c r="D6113" s="2"/>
      <c r="F6113" s="2" t="str">
        <v>0</v>
      </c>
      <c r="I6113" s="3" t="str">
        <f ca="1">IFERROR(__xludf.DUMMYFUNCTION("""COMPUTED_VALUE"""),"Nguyễn Ngọc Huyền ")</f>
        <v xml:space="preserve">Nguyễn Ngọc Huyền </v>
      </c>
      <c r="J6113" s="3" t="str">
        <f ca="1">IFERROR(__xludf.DUMMYFUNCTION("""COMPUTED_VALUE"""),"0374813640")</f>
        <v>0374813640</v>
      </c>
      <c r="K6113" s="2" t="str">
        <f ca="1">IFERROR(__xludf.DUMMYFUNCTION("""COMPUTED_VALUE"""),"1758424256936")</f>
        <v>1758424256936</v>
      </c>
    </row>
    <row r="6114" spans="1:11" ht="12.45">
      <c r="A6114" s="2" t="str">
        <f ca="1">IFERROR(__xludf.DUMMYFUNCTION("""COMPUTED_VALUE"""),"1758424318748")</f>
        <v>1758424318748</v>
      </c>
      <c r="B6114" s="2"/>
      <c r="C6114" s="2" t="str">
        <v>0</v>
      </c>
      <c r="D6114" s="2"/>
      <c r="F6114" s="2" t="str">
        <v>0</v>
      </c>
      <c r="I6114" s="3" t="str">
        <f ca="1">IFERROR(__xludf.DUMMYFUNCTION("""COMPUTED_VALUE"""),"Kiều Nhã Uyên")</f>
        <v>Kiều Nhã Uyên</v>
      </c>
      <c r="J6114" s="3" t="str">
        <f ca="1">IFERROR(__xludf.DUMMYFUNCTION("""COMPUTED_VALUE"""),"0896402848")</f>
        <v>0896402848</v>
      </c>
      <c r="K6114" s="2" t="str">
        <f ca="1">IFERROR(__xludf.DUMMYFUNCTION("""COMPUTED_VALUE"""),"1758424318748")</f>
        <v>1758424318748</v>
      </c>
    </row>
    <row r="6115" spans="1:11" ht="12.45">
      <c r="A6115" s="2" t="str">
        <f ca="1">IFERROR(__xludf.DUMMYFUNCTION("""COMPUTED_VALUE"""),"1762946347945")</f>
        <v>1762946347945</v>
      </c>
      <c r="B6115" s="2"/>
      <c r="C6115" s="2" t="str">
        <v>0</v>
      </c>
      <c r="D6115" s="2"/>
      <c r="F6115" s="2" t="str">
        <v>0</v>
      </c>
      <c r="I6115" s="3" t="str">
        <f ca="1">IFERROR(__xludf.DUMMYFUNCTION("""COMPUTED_VALUE"""),"Trần Thị Nhật Mai ")</f>
        <v xml:space="preserve">Trần Thị Nhật Mai </v>
      </c>
      <c r="J6115" s="3" t="str">
        <f ca="1">IFERROR(__xludf.DUMMYFUNCTION("""COMPUTED_VALUE"""),"0389506375")</f>
        <v>0389506375</v>
      </c>
      <c r="K6115" s="2" t="str">
        <f ca="1">IFERROR(__xludf.DUMMYFUNCTION("""COMPUTED_VALUE"""),"1762946347945")</f>
        <v>1762946347945</v>
      </c>
    </row>
    <row r="6116" spans="1:11" ht="12.45">
      <c r="A6116" s="2" t="str">
        <f ca="1">IFERROR(__xludf.DUMMYFUNCTION("""COMPUTED_VALUE"""),"1758424383245")</f>
        <v>1758424383245</v>
      </c>
      <c r="B6116" s="2"/>
      <c r="C6116" s="2" t="str">
        <v>0</v>
      </c>
      <c r="D6116" s="2"/>
      <c r="F6116" s="2" t="str">
        <v>0</v>
      </c>
      <c r="I6116" s="3" t="str">
        <f ca="1">IFERROR(__xludf.DUMMYFUNCTION("""COMPUTED_VALUE"""),"Mai Đoàn Nhật Ly")</f>
        <v>Mai Đoàn Nhật Ly</v>
      </c>
      <c r="J6116" s="3" t="str">
        <f ca="1">IFERROR(__xludf.DUMMYFUNCTION("""COMPUTED_VALUE"""),"0329125770")</f>
        <v>0329125770</v>
      </c>
      <c r="K6116" s="2" t="str">
        <f ca="1">IFERROR(__xludf.DUMMYFUNCTION("""COMPUTED_VALUE"""),"1758424383245")</f>
        <v>1758424383245</v>
      </c>
    </row>
    <row r="6117" spans="1:11" ht="12.45">
      <c r="A6117" s="2" t="str">
        <f ca="1">IFERROR(__xludf.DUMMYFUNCTION("""COMPUTED_VALUE"""),"1762946403782")</f>
        <v>1762946403782</v>
      </c>
      <c r="B6117" s="2"/>
      <c r="C6117" s="2" t="str">
        <v>0</v>
      </c>
      <c r="D6117" s="2"/>
      <c r="F6117" s="2" t="str">
        <v>0</v>
      </c>
      <c r="I6117" s="3" t="str">
        <f ca="1">IFERROR(__xludf.DUMMYFUNCTION("""COMPUTED_VALUE"""),"Trần Thu Giang ")</f>
        <v xml:space="preserve">Trần Thu Giang </v>
      </c>
      <c r="J6117" s="3" t="str">
        <f ca="1">IFERROR(__xludf.DUMMYFUNCTION("""COMPUTED_VALUE"""),"0947330284")</f>
        <v>0947330284</v>
      </c>
      <c r="K6117" s="2" t="str">
        <f ca="1">IFERROR(__xludf.DUMMYFUNCTION("""COMPUTED_VALUE"""),"1762946403782")</f>
        <v>1762946403782</v>
      </c>
    </row>
    <row r="6118" spans="1:11" ht="12.45">
      <c r="A6118" s="2" t="str">
        <f ca="1">IFERROR(__xludf.DUMMYFUNCTION("""COMPUTED_VALUE"""),"1762946451359")</f>
        <v>1762946451359</v>
      </c>
      <c r="B6118" s="2"/>
      <c r="C6118" s="2" t="str">
        <v>0</v>
      </c>
      <c r="D6118" s="2"/>
      <c r="F6118" s="2" t="str">
        <v>0</v>
      </c>
      <c r="I6118" s="3" t="str">
        <f ca="1">IFERROR(__xludf.DUMMYFUNCTION("""COMPUTED_VALUE"""),"Phùng thảo nguyên ")</f>
        <v xml:space="preserve">Phùng thảo nguyên </v>
      </c>
      <c r="J6118" s="3" t="str">
        <f ca="1">IFERROR(__xludf.DUMMYFUNCTION("""COMPUTED_VALUE"""),"8491103348")</f>
        <v>8491103348</v>
      </c>
      <c r="K6118" s="2" t="str">
        <f ca="1">IFERROR(__xludf.DUMMYFUNCTION("""COMPUTED_VALUE"""),"1762946451359")</f>
        <v>1762946451359</v>
      </c>
    </row>
    <row r="6119" spans="1:11" ht="12.45">
      <c r="A6119" s="2" t="str">
        <f ca="1">IFERROR(__xludf.DUMMYFUNCTION("""COMPUTED_VALUE"""),"1762946495217")</f>
        <v>1762946495217</v>
      </c>
      <c r="B6119" s="2"/>
      <c r="C6119" s="2" t="str">
        <v>0</v>
      </c>
      <c r="D6119" s="2"/>
      <c r="F6119" s="2" t="str">
        <v>0</v>
      </c>
      <c r="I6119" s="3" t="str">
        <f ca="1">IFERROR(__xludf.DUMMYFUNCTION("""COMPUTED_VALUE"""),"Vũ minh hoàng")</f>
        <v>Vũ minh hoàng</v>
      </c>
      <c r="J6119" s="3" t="str">
        <f ca="1">IFERROR(__xludf.DUMMYFUNCTION("""COMPUTED_VALUE"""),"0964982272")</f>
        <v>0964982272</v>
      </c>
      <c r="K6119" s="2" t="str">
        <f ca="1">IFERROR(__xludf.DUMMYFUNCTION("""COMPUTED_VALUE"""),"1762946495217")</f>
        <v>1762946495217</v>
      </c>
    </row>
    <row r="6120" spans="1:11" ht="12.45">
      <c r="A6120" s="2" t="str">
        <f ca="1">IFERROR(__xludf.DUMMYFUNCTION("""COMPUTED_VALUE"""),"1762946542818")</f>
        <v>1762946542818</v>
      </c>
      <c r="B6120" s="2"/>
      <c r="C6120" s="2" t="str">
        <v>0</v>
      </c>
      <c r="D6120" s="2"/>
      <c r="F6120" s="2" t="str">
        <v>0</v>
      </c>
      <c r="I6120" s="3" t="str">
        <f ca="1">IFERROR(__xludf.DUMMYFUNCTION("""COMPUTED_VALUE"""),"Lai Hoàng Gia Hân")</f>
        <v>Lai Hoàng Gia Hân</v>
      </c>
      <c r="J6120" s="3" t="str">
        <f ca="1">IFERROR(__xludf.DUMMYFUNCTION("""COMPUTED_VALUE"""),"0854170613")</f>
        <v>0854170613</v>
      </c>
      <c r="K6120" s="2" t="str">
        <f ca="1">IFERROR(__xludf.DUMMYFUNCTION("""COMPUTED_VALUE"""),"1762946542818")</f>
        <v>1762946542818</v>
      </c>
    </row>
    <row r="6121" spans="1:11" ht="12.45">
      <c r="A6121" s="2" t="str">
        <f ca="1">IFERROR(__xludf.DUMMYFUNCTION("""COMPUTED_VALUE"""),"1762946601897")</f>
        <v>1762946601897</v>
      </c>
      <c r="B6121" s="2"/>
      <c r="C6121" s="2" t="str">
        <v>0</v>
      </c>
      <c r="D6121" s="2"/>
      <c r="F6121" s="2" t="str">
        <v>0</v>
      </c>
      <c r="I6121" s="3" t="str">
        <f ca="1">IFERROR(__xludf.DUMMYFUNCTION("""COMPUTED_VALUE"""),"Lê tường Vy ")</f>
        <v xml:space="preserve">Lê tường Vy </v>
      </c>
      <c r="J6121" s="3" t="str">
        <f ca="1">IFERROR(__xludf.DUMMYFUNCTION("""COMPUTED_VALUE"""),"0945833101")</f>
        <v>0945833101</v>
      </c>
      <c r="K6121" s="2" t="str">
        <f ca="1">IFERROR(__xludf.DUMMYFUNCTION("""COMPUTED_VALUE"""),"1762946601897")</f>
        <v>1762946601897</v>
      </c>
    </row>
    <row r="6122" spans="1:11" ht="12.45">
      <c r="A6122" s="2" t="str">
        <f ca="1">IFERROR(__xludf.DUMMYFUNCTION("""COMPUTED_VALUE"""),"1762946639757")</f>
        <v>1762946639757</v>
      </c>
      <c r="B6122" s="2"/>
      <c r="C6122" s="2" t="str">
        <v>0</v>
      </c>
      <c r="D6122" s="2"/>
      <c r="F6122" s="2" t="str">
        <v>0</v>
      </c>
      <c r="I6122" s="3" t="str">
        <f ca="1">IFERROR(__xludf.DUMMYFUNCTION("""COMPUTED_VALUE"""),"Cù Thị Kiều Linh")</f>
        <v>Cù Thị Kiều Linh</v>
      </c>
      <c r="J6122" s="3" t="str">
        <f ca="1">IFERROR(__xludf.DUMMYFUNCTION("""COMPUTED_VALUE"""),"0981323172")</f>
        <v>0981323172</v>
      </c>
      <c r="K6122" s="2" t="str">
        <f ca="1">IFERROR(__xludf.DUMMYFUNCTION("""COMPUTED_VALUE"""),"1762946639757")</f>
        <v>1762946639757</v>
      </c>
    </row>
    <row r="6123" spans="1:11" ht="12.45">
      <c r="A6123" s="2" t="str">
        <f ca="1">IFERROR(__xludf.DUMMYFUNCTION("""COMPUTED_VALUE"""),"1762946709438")</f>
        <v>1762946709438</v>
      </c>
      <c r="B6123" s="2"/>
      <c r="C6123" s="2" t="str">
        <v>0</v>
      </c>
      <c r="D6123" s="2"/>
      <c r="F6123" s="2" t="str">
        <v>0</v>
      </c>
      <c r="I6123" s="3" t="str">
        <f ca="1">IFERROR(__xludf.DUMMYFUNCTION("""COMPUTED_VALUE"""),"Hồ Ngọc Tiên")</f>
        <v>Hồ Ngọc Tiên</v>
      </c>
      <c r="J6123" s="3" t="str">
        <f ca="1">IFERROR(__xludf.DUMMYFUNCTION("""COMPUTED_VALUE"""),"0766543530")</f>
        <v>0766543530</v>
      </c>
      <c r="K6123" s="2" t="str">
        <f ca="1">IFERROR(__xludf.DUMMYFUNCTION("""COMPUTED_VALUE"""),"1762946709438")</f>
        <v>1762946709438</v>
      </c>
    </row>
    <row r="6124" spans="1:11" ht="12.45">
      <c r="A6124" s="2" t="str">
        <f ca="1">IFERROR(__xludf.DUMMYFUNCTION("""COMPUTED_VALUE"""),"1762946761191")</f>
        <v>1762946761191</v>
      </c>
      <c r="B6124" s="2"/>
      <c r="C6124" s="2" t="str">
        <v>0</v>
      </c>
      <c r="D6124" s="2"/>
      <c r="F6124" s="2" t="str">
        <v>0</v>
      </c>
      <c r="I6124" s="3" t="str">
        <f ca="1">IFERROR(__xludf.DUMMYFUNCTION("""COMPUTED_VALUE"""),"Đặng Ái Thanh Ngân")</f>
        <v>Đặng Ái Thanh Ngân</v>
      </c>
      <c r="J6124" s="3" t="str">
        <f ca="1">IFERROR(__xludf.DUMMYFUNCTION("""COMPUTED_VALUE"""),"0797484862")</f>
        <v>0797484862</v>
      </c>
      <c r="K6124" s="2" t="str">
        <f ca="1">IFERROR(__xludf.DUMMYFUNCTION("""COMPUTED_VALUE"""),"1762946761191")</f>
        <v>1762946761191</v>
      </c>
    </row>
    <row r="6125" spans="1:11" ht="12.45">
      <c r="A6125" s="2" t="str">
        <f ca="1">IFERROR(__xludf.DUMMYFUNCTION("""COMPUTED_VALUE"""),"1762946821055")</f>
        <v>1762946821055</v>
      </c>
      <c r="B6125" s="2"/>
      <c r="C6125" s="2" t="str">
        <v>0</v>
      </c>
      <c r="D6125" s="2"/>
      <c r="F6125" s="2" t="str">
        <v>0</v>
      </c>
      <c r="I6125" s="3" t="str">
        <f ca="1">IFERROR(__xludf.DUMMYFUNCTION("""COMPUTED_VALUE"""),"Nguyễn Thị Cẩm Tiên")</f>
        <v>Nguyễn Thị Cẩm Tiên</v>
      </c>
      <c r="J6125" s="3" t="str">
        <f ca="1">IFERROR(__xludf.DUMMYFUNCTION("""COMPUTED_VALUE"""),"0335702128")</f>
        <v>0335702128</v>
      </c>
      <c r="K6125" s="2" t="str">
        <f ca="1">IFERROR(__xludf.DUMMYFUNCTION("""COMPUTED_VALUE"""),"1762946821055")</f>
        <v>1762946821055</v>
      </c>
    </row>
    <row r="6126" spans="1:11" ht="12.45">
      <c r="A6126" s="2" t="str">
        <f ca="1">IFERROR(__xludf.DUMMYFUNCTION("""COMPUTED_VALUE"""),"1762946879380")</f>
        <v>1762946879380</v>
      </c>
      <c r="B6126" s="2"/>
      <c r="C6126" s="2" t="str">
        <v>0</v>
      </c>
      <c r="D6126" s="2"/>
      <c r="F6126" s="2" t="str">
        <v>0</v>
      </c>
      <c r="I6126" s="3" t="str">
        <f ca="1">IFERROR(__xludf.DUMMYFUNCTION("""COMPUTED_VALUE""")," Võ Nam Bình")</f>
        <v xml:space="preserve"> Võ Nam Bình</v>
      </c>
      <c r="J6126" s="3" t="str">
        <f ca="1">IFERROR(__xludf.DUMMYFUNCTION("""COMPUTED_VALUE"""),"0817087576")</f>
        <v>0817087576</v>
      </c>
      <c r="K6126" s="2" t="str">
        <f ca="1">IFERROR(__xludf.DUMMYFUNCTION("""COMPUTED_VALUE"""),"1762946879380")</f>
        <v>1762946879380</v>
      </c>
    </row>
    <row r="6127" spans="1:11" ht="12.45">
      <c r="A6127" s="2" t="str">
        <f ca="1">IFERROR(__xludf.DUMMYFUNCTION("""COMPUTED_VALUE"""),"1762946955624")</f>
        <v>1762946955624</v>
      </c>
      <c r="B6127" s="2"/>
      <c r="C6127" s="2" t="str">
        <v>0</v>
      </c>
      <c r="D6127" s="2"/>
      <c r="F6127" s="2" t="str">
        <v>0</v>
      </c>
      <c r="I6127" s="3" t="str">
        <f ca="1">IFERROR(__xludf.DUMMYFUNCTION("""COMPUTED_VALUE"""),"Sùng a Trường ")</f>
        <v xml:space="preserve">Sùng a Trường </v>
      </c>
      <c r="J6127" s="3" t="str">
        <f ca="1">IFERROR(__xludf.DUMMYFUNCTION("""COMPUTED_VALUE"""),"0366209697")</f>
        <v>0366209697</v>
      </c>
      <c r="K6127" s="2" t="str">
        <f ca="1">IFERROR(__xludf.DUMMYFUNCTION("""COMPUTED_VALUE"""),"1762946955624")</f>
        <v>1762946955624</v>
      </c>
    </row>
    <row r="6128" spans="1:11" ht="12.45">
      <c r="A6128" s="2" t="str">
        <f ca="1">IFERROR(__xludf.DUMMYFUNCTION("""COMPUTED_VALUE"""),"1762947004147")</f>
        <v>1762947004147</v>
      </c>
      <c r="B6128" s="2"/>
      <c r="C6128" s="2" t="str">
        <v>0</v>
      </c>
      <c r="D6128" s="2"/>
      <c r="F6128" s="2" t="str">
        <v>0</v>
      </c>
      <c r="I6128" s="3" t="str">
        <f ca="1">IFERROR(__xludf.DUMMYFUNCTION("""COMPUTED_VALUE"""),"Nguyễn Ngọc Yến Nhi")</f>
        <v>Nguyễn Ngọc Yến Nhi</v>
      </c>
      <c r="J6128" s="3" t="str">
        <f ca="1">IFERROR(__xludf.DUMMYFUNCTION("""COMPUTED_VALUE"""),"0916063240")</f>
        <v>0916063240</v>
      </c>
      <c r="K6128" s="2" t="str">
        <f ca="1">IFERROR(__xludf.DUMMYFUNCTION("""COMPUTED_VALUE"""),"1762947004147")</f>
        <v>1762947004147</v>
      </c>
    </row>
    <row r="6129" spans="1:11" ht="12.45">
      <c r="A6129" s="2" t="str">
        <f ca="1">IFERROR(__xludf.DUMMYFUNCTION("""COMPUTED_VALUE"""),"1762947062551")</f>
        <v>1762947062551</v>
      </c>
      <c r="B6129" s="2"/>
      <c r="C6129" s="2" t="str">
        <v>0</v>
      </c>
      <c r="D6129" s="2"/>
      <c r="F6129" s="2" t="str">
        <v>0</v>
      </c>
      <c r="I6129" s="3" t="str">
        <f ca="1">IFERROR(__xludf.DUMMYFUNCTION("""COMPUTED_VALUE"""),"Trương Lê Thảo Vy")</f>
        <v>Trương Lê Thảo Vy</v>
      </c>
      <c r="J6129" s="3" t="str">
        <f ca="1">IFERROR(__xludf.DUMMYFUNCTION("""COMPUTED_VALUE"""),"0983424611")</f>
        <v>0983424611</v>
      </c>
      <c r="K6129" s="2" t="str">
        <f ca="1">IFERROR(__xludf.DUMMYFUNCTION("""COMPUTED_VALUE"""),"1762947062551")</f>
        <v>1762947062551</v>
      </c>
    </row>
    <row r="6130" spans="1:11" ht="12.45">
      <c r="A6130" s="2" t="str">
        <f ca="1">IFERROR(__xludf.DUMMYFUNCTION("""COMPUTED_VALUE"""),"Không giao sách")</f>
        <v>Không giao sách</v>
      </c>
      <c r="B6130" s="2"/>
      <c r="C6130" s="2" t="str">
        <v>0</v>
      </c>
      <c r="D6130" s="2"/>
      <c r="F6130" s="2" t="str">
        <v>0</v>
      </c>
      <c r="I6130" s="3" t="str">
        <f ca="1">IFERROR(__xludf.DUMMYFUNCTION("""COMPUTED_VALUE"""),"Nguyễn Phương Duy")</f>
        <v>Nguyễn Phương Duy</v>
      </c>
      <c r="J6130" s="3" t="str">
        <f ca="1">IFERROR(__xludf.DUMMYFUNCTION("""COMPUTED_VALUE"""),"0976325087")</f>
        <v>0976325087</v>
      </c>
      <c r="K6130" s="2" t="str">
        <f ca="1">IFERROR(__xludf.DUMMYFUNCTION("""COMPUTED_VALUE"""),"Không giao sách")</f>
        <v>Không giao sách</v>
      </c>
    </row>
    <row r="6131" spans="1:11" ht="12.45">
      <c r="A6131" s="2" t="str">
        <f ca="1">IFERROR(__xludf.DUMMYFUNCTION("""COMPUTED_VALUE"""),"1762947122456")</f>
        <v>1762947122456</v>
      </c>
      <c r="B6131" s="2"/>
      <c r="C6131" s="2" t="str">
        <v>0</v>
      </c>
      <c r="D6131" s="2"/>
      <c r="F6131" s="2" t="str">
        <v>0</v>
      </c>
      <c r="I6131" s="3" t="str">
        <f ca="1">IFERROR(__xludf.DUMMYFUNCTION("""COMPUTED_VALUE"""),"Nguyễn Bích Phương ")</f>
        <v xml:space="preserve">Nguyễn Bích Phương </v>
      </c>
      <c r="J6131" s="3" t="str">
        <f ca="1">IFERROR(__xludf.DUMMYFUNCTION("""COMPUTED_VALUE"""),"0354346301")</f>
        <v>0354346301</v>
      </c>
      <c r="K6131" s="2" t="str">
        <f ca="1">IFERROR(__xludf.DUMMYFUNCTION("""COMPUTED_VALUE"""),"1762947122456")</f>
        <v>1762947122456</v>
      </c>
    </row>
    <row r="6132" spans="1:11" ht="12.45">
      <c r="A6132" s="2" t="str">
        <f ca="1">IFERROR(__xludf.DUMMYFUNCTION("""COMPUTED_VALUE"""),"1762947203417")</f>
        <v>1762947203417</v>
      </c>
      <c r="B6132" s="2"/>
      <c r="C6132" s="2" t="str">
        <v>0</v>
      </c>
      <c r="D6132" s="2"/>
      <c r="F6132" s="2" t="str">
        <v>0</v>
      </c>
      <c r="I6132" s="3" t="str">
        <f ca="1">IFERROR(__xludf.DUMMYFUNCTION("""COMPUTED_VALUE"""),"Lê Hoàng Mai")</f>
        <v>Lê Hoàng Mai</v>
      </c>
      <c r="J6132" s="3" t="str">
        <f ca="1">IFERROR(__xludf.DUMMYFUNCTION("""COMPUTED_VALUE"""),"0968749180")</f>
        <v>0968749180</v>
      </c>
      <c r="K6132" s="2" t="str">
        <f ca="1">IFERROR(__xludf.DUMMYFUNCTION("""COMPUTED_VALUE"""),"1762947203417")</f>
        <v>1762947203417</v>
      </c>
    </row>
    <row r="6133" spans="1:11" ht="12.45">
      <c r="A6133" s="2" t="str">
        <f ca="1">IFERROR(__xludf.DUMMYFUNCTION("""COMPUTED_VALUE"""),"1762947259795")</f>
        <v>1762947259795</v>
      </c>
      <c r="B6133" s="2"/>
      <c r="C6133" s="2" t="str">
        <v>0</v>
      </c>
      <c r="D6133" s="2"/>
      <c r="F6133" s="2" t="str">
        <v>0</v>
      </c>
      <c r="I6133" s="3" t="str">
        <f ca="1">IFERROR(__xludf.DUMMYFUNCTION("""COMPUTED_VALUE"""),"Nguyễn Mai Hương")</f>
        <v>Nguyễn Mai Hương</v>
      </c>
      <c r="J6133" s="3" t="str">
        <f ca="1">IFERROR(__xludf.DUMMYFUNCTION("""COMPUTED_VALUE"""),"0929381979")</f>
        <v>0929381979</v>
      </c>
      <c r="K6133" s="2" t="str">
        <f ca="1">IFERROR(__xludf.DUMMYFUNCTION("""COMPUTED_VALUE"""),"1762947259795")</f>
        <v>1762947259795</v>
      </c>
    </row>
    <row r="6134" spans="1:11" ht="12.45">
      <c r="A6134" s="2" t="str">
        <f ca="1">IFERROR(__xludf.DUMMYFUNCTION("""COMPUTED_VALUE"""),"Không giao sách")</f>
        <v>Không giao sách</v>
      </c>
      <c r="B6134" s="2"/>
      <c r="C6134" s="2" t="str">
        <v>0</v>
      </c>
      <c r="D6134" s="2"/>
      <c r="F6134" s="2" t="str">
        <v>0</v>
      </c>
      <c r="I6134" s="3" t="str">
        <f ca="1">IFERROR(__xludf.DUMMYFUNCTION("""COMPUTED_VALUE"""),"Đặng Huyền Diệu ")</f>
        <v xml:space="preserve">Đặng Huyền Diệu </v>
      </c>
      <c r="J6134" s="3" t="str">
        <f ca="1">IFERROR(__xludf.DUMMYFUNCTION("""COMPUTED_VALUE"""),"0395303007")</f>
        <v>0395303007</v>
      </c>
      <c r="K6134" s="2" t="str">
        <f ca="1">IFERROR(__xludf.DUMMYFUNCTION("""COMPUTED_VALUE"""),"Không giao sách")</f>
        <v>Không giao sách</v>
      </c>
    </row>
    <row r="6135" spans="1:11" ht="12.45">
      <c r="A6135" s="2" t="str">
        <f ca="1">IFERROR(__xludf.DUMMYFUNCTION("""COMPUTED_VALUE"""),"1762947315443")</f>
        <v>1762947315443</v>
      </c>
      <c r="B6135" s="2"/>
      <c r="C6135" s="2" t="str">
        <v>0</v>
      </c>
      <c r="D6135" s="2"/>
      <c r="F6135" s="2" t="str">
        <v>0</v>
      </c>
      <c r="I6135" s="3" t="str">
        <f ca="1">IFERROR(__xludf.DUMMYFUNCTION("""COMPUTED_VALUE"""),"Phạm gia kiên")</f>
        <v>Phạm gia kiên</v>
      </c>
      <c r="J6135" s="3" t="str">
        <f ca="1">IFERROR(__xludf.DUMMYFUNCTION("""COMPUTED_VALUE"""),"0965714138")</f>
        <v>0965714138</v>
      </c>
      <c r="K6135" s="2" t="str">
        <f ca="1">IFERROR(__xludf.DUMMYFUNCTION("""COMPUTED_VALUE"""),"1762947315443")</f>
        <v>1762947315443</v>
      </c>
    </row>
    <row r="6136" spans="1:11" ht="12.45">
      <c r="A6136" s="2" t="str">
        <f ca="1">IFERROR(__xludf.DUMMYFUNCTION("""COMPUTED_VALUE"""),"1762947371020")</f>
        <v>1762947371020</v>
      </c>
      <c r="B6136" s="2"/>
      <c r="C6136" s="2" t="str">
        <v>0</v>
      </c>
      <c r="D6136" s="2"/>
      <c r="F6136" s="2" t="str">
        <v>0</v>
      </c>
      <c r="I6136" s="3" t="str">
        <f ca="1">IFERROR(__xludf.DUMMYFUNCTION("""COMPUTED_VALUE"""),"Nguyễn Mai Phương ")</f>
        <v xml:space="preserve">Nguyễn Mai Phương </v>
      </c>
      <c r="J6136" s="3" t="str">
        <f ca="1">IFERROR(__xludf.DUMMYFUNCTION("""COMPUTED_VALUE"""),"0345673856")</f>
        <v>0345673856</v>
      </c>
      <c r="K6136" s="2" t="str">
        <f ca="1">IFERROR(__xludf.DUMMYFUNCTION("""COMPUTED_VALUE"""),"1762947371020")</f>
        <v>1762947371020</v>
      </c>
    </row>
    <row r="6137" spans="1:11" ht="12.45">
      <c r="A6137" s="2" t="str">
        <f ca="1">IFERROR(__xludf.DUMMYFUNCTION("""COMPUTED_VALUE"""),"1762947450099")</f>
        <v>1762947450099</v>
      </c>
      <c r="B6137" s="2"/>
      <c r="C6137" s="2" t="str">
        <v>0</v>
      </c>
      <c r="D6137" s="2"/>
      <c r="F6137" s="2" t="str">
        <v>0</v>
      </c>
      <c r="I6137" s="3" t="str">
        <f ca="1">IFERROR(__xludf.DUMMYFUNCTION("""COMPUTED_VALUE"""),"Trần Nguyệt Nga ")</f>
        <v xml:space="preserve">Trần Nguyệt Nga </v>
      </c>
      <c r="J6137" s="3" t="str">
        <f ca="1">IFERROR(__xludf.DUMMYFUNCTION("""COMPUTED_VALUE"""),"0869911625")</f>
        <v>0869911625</v>
      </c>
      <c r="K6137" s="2" t="str">
        <f ca="1">IFERROR(__xludf.DUMMYFUNCTION("""COMPUTED_VALUE"""),"1762947450099")</f>
        <v>1762947450099</v>
      </c>
    </row>
    <row r="6138" spans="1:11" ht="12.45">
      <c r="A6138" s="2" t="str">
        <f ca="1">IFERROR(__xludf.DUMMYFUNCTION("""COMPUTED_VALUE"""),"Không giao sách")</f>
        <v>Không giao sách</v>
      </c>
      <c r="B6138" s="2"/>
      <c r="C6138" s="2" t="str">
        <v>0</v>
      </c>
      <c r="D6138" s="2"/>
      <c r="F6138" s="2" t="str">
        <v>0</v>
      </c>
      <c r="I6138" s="3" t="str">
        <f ca="1">IFERROR(__xludf.DUMMYFUNCTION("""COMPUTED_VALUE"""),"Lê Hoàng Hùng Thuận ")</f>
        <v xml:space="preserve">Lê Hoàng Hùng Thuận </v>
      </c>
      <c r="J6138" s="3" t="str">
        <f ca="1">IFERROR(__xludf.DUMMYFUNCTION("""COMPUTED_VALUE"""),"0384392433")</f>
        <v>0384392433</v>
      </c>
      <c r="K6138" s="2" t="str">
        <f ca="1">IFERROR(__xludf.DUMMYFUNCTION("""COMPUTED_VALUE"""),"Không giao sách")</f>
        <v>Không giao sách</v>
      </c>
    </row>
    <row r="6139" spans="1:11" ht="12.45">
      <c r="A6139" s="2" t="str">
        <f ca="1">IFERROR(__xludf.DUMMYFUNCTION("""COMPUTED_VALUE"""),"1762947488884")</f>
        <v>1762947488884</v>
      </c>
      <c r="B6139" s="2"/>
      <c r="C6139" s="2" t="str">
        <v>0</v>
      </c>
      <c r="D6139" s="2"/>
      <c r="F6139" s="2" t="str">
        <v>0</v>
      </c>
      <c r="I6139" s="3" t="str">
        <f ca="1">IFERROR(__xludf.DUMMYFUNCTION("""COMPUTED_VALUE"""),"Lê Thanh Phước Thành")</f>
        <v>Lê Thanh Phước Thành</v>
      </c>
      <c r="J6139" s="3" t="str">
        <f ca="1">IFERROR(__xludf.DUMMYFUNCTION("""COMPUTED_VALUE"""),"0395326393")</f>
        <v>0395326393</v>
      </c>
      <c r="K6139" s="2" t="str">
        <f ca="1">IFERROR(__xludf.DUMMYFUNCTION("""COMPUTED_VALUE"""),"1762947488884")</f>
        <v>1762947488884</v>
      </c>
    </row>
    <row r="6140" spans="1:11" ht="12.45">
      <c r="A6140" s="2" t="str">
        <f ca="1">IFERROR(__xludf.DUMMYFUNCTION("""COMPUTED_VALUE"""),"1762947549216")</f>
        <v>1762947549216</v>
      </c>
      <c r="B6140" s="2"/>
      <c r="C6140" s="2" t="str">
        <v>0</v>
      </c>
      <c r="D6140" s="2"/>
      <c r="F6140" s="2" t="str">
        <v>0</v>
      </c>
      <c r="I6140" s="3" t="str">
        <f ca="1">IFERROR(__xludf.DUMMYFUNCTION("""COMPUTED_VALUE"""),"Trần Kim Ngân")</f>
        <v>Trần Kim Ngân</v>
      </c>
      <c r="J6140" s="3" t="str">
        <f ca="1">IFERROR(__xludf.DUMMYFUNCTION("""COMPUTED_VALUE"""),"0835319759")</f>
        <v>0835319759</v>
      </c>
      <c r="K6140" s="2" t="str">
        <f ca="1">IFERROR(__xludf.DUMMYFUNCTION("""COMPUTED_VALUE"""),"1762947549216")</f>
        <v>1762947549216</v>
      </c>
    </row>
    <row r="6141" spans="1:11" ht="12.45">
      <c r="A6141" s="2" t="str">
        <f ca="1">IFERROR(__xludf.DUMMYFUNCTION("""COMPUTED_VALUE"""),"1762947616883")</f>
        <v>1762947616883</v>
      </c>
      <c r="B6141" s="2"/>
      <c r="C6141" s="2" t="str">
        <v>0</v>
      </c>
      <c r="D6141" s="2"/>
      <c r="F6141" s="2" t="str">
        <v>0</v>
      </c>
      <c r="I6141" s="3" t="str">
        <f ca="1">IFERROR(__xludf.DUMMYFUNCTION("""COMPUTED_VALUE"""),"NGUYỄN NGÔ KHÁNH HẬU")</f>
        <v>NGUYỄN NGÔ KHÁNH HẬU</v>
      </c>
      <c r="J6141" s="3" t="str">
        <f ca="1">IFERROR(__xludf.DUMMYFUNCTION("""COMPUTED_VALUE"""),"0834414929")</f>
        <v>0834414929</v>
      </c>
      <c r="K6141" s="2" t="str">
        <f ca="1">IFERROR(__xludf.DUMMYFUNCTION("""COMPUTED_VALUE"""),"1762947616883")</f>
        <v>1762947616883</v>
      </c>
    </row>
    <row r="6142" spans="1:11" ht="12.45">
      <c r="A6142" s="2" t="str">
        <f ca="1">IFERROR(__xludf.DUMMYFUNCTION("""COMPUTED_VALUE"""),"1762947653165")</f>
        <v>1762947653165</v>
      </c>
      <c r="B6142" s="2"/>
      <c r="C6142" s="2" t="str">
        <v>0</v>
      </c>
      <c r="D6142" s="2"/>
      <c r="F6142" s="2" t="str">
        <v>0</v>
      </c>
      <c r="I6142" s="3" t="str">
        <f ca="1">IFERROR(__xludf.DUMMYFUNCTION("""COMPUTED_VALUE"""),"Phạm Chí Kiên ")</f>
        <v xml:space="preserve">Phạm Chí Kiên </v>
      </c>
      <c r="J6142" s="3" t="str">
        <f ca="1">IFERROR(__xludf.DUMMYFUNCTION("""COMPUTED_VALUE"""),"0913604029")</f>
        <v>0913604029</v>
      </c>
      <c r="K6142" s="2" t="str">
        <f ca="1">IFERROR(__xludf.DUMMYFUNCTION("""COMPUTED_VALUE"""),"1762947653165")</f>
        <v>1762947653165</v>
      </c>
    </row>
    <row r="6143" spans="1:11" ht="12.45">
      <c r="A6143" s="2" t="str">
        <f ca="1">IFERROR(__xludf.DUMMYFUNCTION("""COMPUTED_VALUE"""),"1762947698157")</f>
        <v>1762947698157</v>
      </c>
      <c r="B6143" s="2"/>
      <c r="C6143" s="2" t="str">
        <v>0</v>
      </c>
      <c r="D6143" s="2"/>
      <c r="F6143" s="2" t="str">
        <v>0</v>
      </c>
      <c r="I6143" s="3" t="str">
        <f ca="1">IFERROR(__xludf.DUMMYFUNCTION("""COMPUTED_VALUE"""),"Mai Hiền Trang")</f>
        <v>Mai Hiền Trang</v>
      </c>
      <c r="J6143" s="3" t="str">
        <f ca="1">IFERROR(__xludf.DUMMYFUNCTION("""COMPUTED_VALUE"""),"0366488728")</f>
        <v>0366488728</v>
      </c>
      <c r="K6143" s="2" t="str">
        <f ca="1">IFERROR(__xludf.DUMMYFUNCTION("""COMPUTED_VALUE"""),"1762947698157")</f>
        <v>1762947698157</v>
      </c>
    </row>
    <row r="6144" spans="1:11" ht="12.45">
      <c r="A6144" s="2" t="str">
        <f ca="1">IFERROR(__xludf.DUMMYFUNCTION("""COMPUTED_VALUE"""),"1762947743201")</f>
        <v>1762947743201</v>
      </c>
      <c r="B6144" s="2"/>
      <c r="C6144" s="2" t="str">
        <v>0</v>
      </c>
      <c r="D6144" s="2"/>
      <c r="F6144" s="2" t="str">
        <v>0</v>
      </c>
      <c r="I6144" s="3" t="str">
        <f ca="1">IFERROR(__xludf.DUMMYFUNCTION("""COMPUTED_VALUE"""),"Nguyễn Hải Dương")</f>
        <v>Nguyễn Hải Dương</v>
      </c>
      <c r="J6144" s="3" t="str">
        <f ca="1">IFERROR(__xludf.DUMMYFUNCTION("""COMPUTED_VALUE"""),"0984968312")</f>
        <v>0984968312</v>
      </c>
      <c r="K6144" s="2" t="str">
        <f ca="1">IFERROR(__xludf.DUMMYFUNCTION("""COMPUTED_VALUE"""),"1762947743201")</f>
        <v>1762947743201</v>
      </c>
    </row>
    <row r="6145" spans="1:11" ht="12.45">
      <c r="A6145" s="2" t="str">
        <f ca="1">IFERROR(__xludf.DUMMYFUNCTION("""COMPUTED_VALUE"""),"1762947795149")</f>
        <v>1762947795149</v>
      </c>
      <c r="B6145" s="2"/>
      <c r="C6145" s="2" t="str">
        <v>0</v>
      </c>
      <c r="D6145" s="2"/>
      <c r="F6145" s="2" t="str">
        <v>0</v>
      </c>
      <c r="I6145" s="3" t="str">
        <f ca="1">IFERROR(__xludf.DUMMYFUNCTION("""COMPUTED_VALUE"""),"Nguyễn Khánh Ngọc")</f>
        <v>Nguyễn Khánh Ngọc</v>
      </c>
      <c r="J6145" s="3" t="str">
        <f ca="1">IFERROR(__xludf.DUMMYFUNCTION("""COMPUTED_VALUE"""),"0334268836")</f>
        <v>0334268836</v>
      </c>
      <c r="K6145" s="2" t="str">
        <f ca="1">IFERROR(__xludf.DUMMYFUNCTION("""COMPUTED_VALUE"""),"1762947795149")</f>
        <v>1762947795149</v>
      </c>
    </row>
    <row r="6146" spans="1:11" ht="12.45">
      <c r="A6146" s="2" t="str">
        <f ca="1">IFERROR(__xludf.DUMMYFUNCTION("""COMPUTED_VALUE"""),"1762947831964")</f>
        <v>1762947831964</v>
      </c>
      <c r="B6146" s="2"/>
      <c r="C6146" s="2" t="str">
        <v>0</v>
      </c>
      <c r="D6146" s="2"/>
      <c r="F6146" s="2" t="str">
        <v>0</v>
      </c>
      <c r="I6146" s="3" t="str">
        <f ca="1">IFERROR(__xludf.DUMMYFUNCTION("""COMPUTED_VALUE"""),"Nguyễn Thị Minh Thơ")</f>
        <v>Nguyễn Thị Minh Thơ</v>
      </c>
      <c r="J6146" s="3" t="str">
        <f ca="1">IFERROR(__xludf.DUMMYFUNCTION("""COMPUTED_VALUE"""),"0983708676")</f>
        <v>0983708676</v>
      </c>
      <c r="K6146" s="2" t="str">
        <f ca="1">IFERROR(__xludf.DUMMYFUNCTION("""COMPUTED_VALUE"""),"1762947831964")</f>
        <v>1762947831964</v>
      </c>
    </row>
    <row r="6147" spans="1:11" ht="12.45">
      <c r="A6147" s="2" t="str">
        <f ca="1">IFERROR(__xludf.DUMMYFUNCTION("""COMPUTED_VALUE"""),"Không giao sách")</f>
        <v>Không giao sách</v>
      </c>
      <c r="B6147" s="2"/>
      <c r="C6147" s="2" t="str">
        <v>0</v>
      </c>
      <c r="D6147" s="2"/>
      <c r="F6147" s="2" t="str">
        <v>0</v>
      </c>
      <c r="I6147" s="3" t="str">
        <f ca="1">IFERROR(__xludf.DUMMYFUNCTION("""COMPUTED_VALUE"""),"Đinh thị diệu châu")</f>
        <v>Đinh thị diệu châu</v>
      </c>
      <c r="J6147" s="3" t="str">
        <f ca="1">IFERROR(__xludf.DUMMYFUNCTION("""COMPUTED_VALUE"""),"0366919628")</f>
        <v>0366919628</v>
      </c>
      <c r="K6147" s="2" t="str">
        <f ca="1">IFERROR(__xludf.DUMMYFUNCTION("""COMPUTED_VALUE"""),"Không giao sách")</f>
        <v>Không giao sách</v>
      </c>
    </row>
    <row r="6148" spans="1:11" ht="12.45">
      <c r="A6148" s="2" t="str">
        <f ca="1">IFERROR(__xludf.DUMMYFUNCTION("""COMPUTED_VALUE"""),"1762947873610")</f>
        <v>1762947873610</v>
      </c>
      <c r="B6148" s="2"/>
      <c r="C6148" s="2" t="str">
        <v>0</v>
      </c>
      <c r="D6148" s="2"/>
      <c r="F6148" s="2" t="str">
        <v>0</v>
      </c>
      <c r="I6148" s="3" t="str">
        <f ca="1">IFERROR(__xludf.DUMMYFUNCTION("""COMPUTED_VALUE"""),"Kiều Bảo Ngọc")</f>
        <v>Kiều Bảo Ngọc</v>
      </c>
      <c r="J6148" s="3" t="str">
        <f ca="1">IFERROR(__xludf.DUMMYFUNCTION("""COMPUTED_VALUE"""),"0977416780")</f>
        <v>0977416780</v>
      </c>
      <c r="K6148" s="2" t="str">
        <f ca="1">IFERROR(__xludf.DUMMYFUNCTION("""COMPUTED_VALUE"""),"1762947873610")</f>
        <v>1762947873610</v>
      </c>
    </row>
    <row r="6149" spans="1:11" ht="12.45">
      <c r="A6149" s="2" t="str">
        <f ca="1">IFERROR(__xludf.DUMMYFUNCTION("""COMPUTED_VALUE"""),"Không giao sách")</f>
        <v>Không giao sách</v>
      </c>
      <c r="B6149" s="2"/>
      <c r="C6149" s="2" t="str">
        <v>0</v>
      </c>
      <c r="D6149" s="2"/>
      <c r="F6149" s="2" t="str">
        <v>0</v>
      </c>
      <c r="I6149" s="3" t="str">
        <f ca="1">IFERROR(__xludf.DUMMYFUNCTION("""COMPUTED_VALUE"""),"Huỳnh Lương Ngọc Hân")</f>
        <v>Huỳnh Lương Ngọc Hân</v>
      </c>
      <c r="J6149" s="3" t="str">
        <f ca="1">IFERROR(__xludf.DUMMYFUNCTION("""COMPUTED_VALUE"""),"0388334887")</f>
        <v>0388334887</v>
      </c>
      <c r="K6149" s="2" t="str">
        <f ca="1">IFERROR(__xludf.DUMMYFUNCTION("""COMPUTED_VALUE"""),"Không giao sách")</f>
        <v>Không giao sách</v>
      </c>
    </row>
    <row r="6150" spans="1:11" ht="12.45">
      <c r="A6150" s="2" t="str">
        <f ca="1">IFERROR(__xludf.DUMMYFUNCTION("""COMPUTED_VALUE"""),"1762947929249")</f>
        <v>1762947929249</v>
      </c>
      <c r="B6150" s="2"/>
      <c r="C6150" s="2" t="str">
        <v>0</v>
      </c>
      <c r="D6150" s="2"/>
      <c r="F6150" s="2" t="str">
        <v>0</v>
      </c>
      <c r="I6150" s="3" t="str">
        <f ca="1">IFERROR(__xludf.DUMMYFUNCTION("""COMPUTED_VALUE"""),"Mã Hương Dịu")</f>
        <v>Mã Hương Dịu</v>
      </c>
      <c r="J6150" s="3" t="str">
        <f ca="1">IFERROR(__xludf.DUMMYFUNCTION("""COMPUTED_VALUE"""),"0833553912")</f>
        <v>0833553912</v>
      </c>
      <c r="K6150" s="2" t="str">
        <f ca="1">IFERROR(__xludf.DUMMYFUNCTION("""COMPUTED_VALUE"""),"1762947929249")</f>
        <v>1762947929249</v>
      </c>
    </row>
    <row r="6151" spans="1:11" ht="12.45">
      <c r="A6151" s="2" t="str">
        <f ca="1">IFERROR(__xludf.DUMMYFUNCTION("""COMPUTED_VALUE"""),"1762947979213")</f>
        <v>1762947979213</v>
      </c>
      <c r="B6151" s="2"/>
      <c r="C6151" s="2" t="str">
        <v>0</v>
      </c>
      <c r="D6151" s="2"/>
      <c r="F6151" s="2" t="str">
        <v>0</v>
      </c>
      <c r="I6151" s="3" t="str">
        <f ca="1">IFERROR(__xludf.DUMMYFUNCTION("""COMPUTED_VALUE"""),"Bùi Trà My")</f>
        <v>Bùi Trà My</v>
      </c>
      <c r="J6151" s="3" t="str">
        <f ca="1">IFERROR(__xludf.DUMMYFUNCTION("""COMPUTED_VALUE"""),"0867037919")</f>
        <v>0867037919</v>
      </c>
      <c r="K6151" s="2" t="str">
        <f ca="1">IFERROR(__xludf.DUMMYFUNCTION("""COMPUTED_VALUE"""),"1762947979213")</f>
        <v>1762947979213</v>
      </c>
    </row>
    <row r="6152" spans="1:11" ht="12.45">
      <c r="A6152" s="2" t="str">
        <f ca="1">IFERROR(__xludf.DUMMYFUNCTION("""COMPUTED_VALUE"""),"1762948029369")</f>
        <v>1762948029369</v>
      </c>
      <c r="B6152" s="2"/>
      <c r="C6152" s="2" t="str">
        <v>0</v>
      </c>
      <c r="D6152" s="2"/>
      <c r="F6152" s="2" t="str">
        <v>0</v>
      </c>
      <c r="I6152" s="3" t="str">
        <f ca="1">IFERROR(__xludf.DUMMYFUNCTION("""COMPUTED_VALUE"""),"Nguyễn Hoàng Mỹ")</f>
        <v>Nguyễn Hoàng Mỹ</v>
      </c>
      <c r="J6152" s="3" t="str">
        <f ca="1">IFERROR(__xludf.DUMMYFUNCTION("""COMPUTED_VALUE"""),"0345523592")</f>
        <v>0345523592</v>
      </c>
      <c r="K6152" s="2" t="str">
        <f ca="1">IFERROR(__xludf.DUMMYFUNCTION("""COMPUTED_VALUE"""),"1762948029369")</f>
        <v>1762948029369</v>
      </c>
    </row>
    <row r="6153" spans="1:11" ht="12.45">
      <c r="A6153" s="2" t="str">
        <f ca="1">IFERROR(__xludf.DUMMYFUNCTION("""COMPUTED_VALUE"""),"1762948077605")</f>
        <v>1762948077605</v>
      </c>
      <c r="B6153" s="2"/>
      <c r="C6153" s="2" t="str">
        <v>0</v>
      </c>
      <c r="D6153" s="2"/>
      <c r="F6153" s="2" t="str">
        <v>0</v>
      </c>
      <c r="I6153" s="3" t="str">
        <f ca="1">IFERROR(__xludf.DUMMYFUNCTION("""COMPUTED_VALUE"""),"Nghiêm Thu Hà")</f>
        <v>Nghiêm Thu Hà</v>
      </c>
      <c r="J6153" s="3" t="str">
        <f ca="1">IFERROR(__xludf.DUMMYFUNCTION("""COMPUTED_VALUE"""),"0975989979")</f>
        <v>0975989979</v>
      </c>
      <c r="K6153" s="2" t="str">
        <f ca="1">IFERROR(__xludf.DUMMYFUNCTION("""COMPUTED_VALUE"""),"1762948077605")</f>
        <v>1762948077605</v>
      </c>
    </row>
    <row r="6154" spans="1:11" ht="12.45">
      <c r="A6154" s="2" t="str">
        <f ca="1">IFERROR(__xludf.DUMMYFUNCTION("""COMPUTED_VALUE"""),"1762948119050")</f>
        <v>1762948119050</v>
      </c>
      <c r="B6154" s="2"/>
      <c r="C6154" s="2" t="str">
        <v>0</v>
      </c>
      <c r="D6154" s="2"/>
      <c r="F6154" s="2" t="str">
        <v>0</v>
      </c>
      <c r="I6154" s="3" t="str">
        <f ca="1">IFERROR(__xludf.DUMMYFUNCTION("""COMPUTED_VALUE"""),"Phạm mai loan")</f>
        <v>Phạm mai loan</v>
      </c>
      <c r="J6154" s="3" t="str">
        <f ca="1">IFERROR(__xludf.DUMMYFUNCTION("""COMPUTED_VALUE"""),"0348194144")</f>
        <v>0348194144</v>
      </c>
      <c r="K6154" s="2" t="str">
        <f ca="1">IFERROR(__xludf.DUMMYFUNCTION("""COMPUTED_VALUE"""),"1762948119050")</f>
        <v>1762948119050</v>
      </c>
    </row>
    <row r="6155" spans="1:11" ht="12.45">
      <c r="A6155" s="2" t="str">
        <f ca="1">IFERROR(__xludf.DUMMYFUNCTION("""COMPUTED_VALUE"""),"1762948190393")</f>
        <v>1762948190393</v>
      </c>
      <c r="B6155" s="2"/>
      <c r="C6155" s="2" t="str">
        <v>0</v>
      </c>
      <c r="D6155" s="2"/>
      <c r="F6155" s="2" t="str">
        <v>0</v>
      </c>
      <c r="I6155" s="3" t="str">
        <f ca="1">IFERROR(__xludf.DUMMYFUNCTION("""COMPUTED_VALUE"""),"Vũ Yến Nhi")</f>
        <v>Vũ Yến Nhi</v>
      </c>
      <c r="J6155" s="3" t="str">
        <f ca="1">IFERROR(__xludf.DUMMYFUNCTION("""COMPUTED_VALUE"""),"0328885865")</f>
        <v>0328885865</v>
      </c>
      <c r="K6155" s="2" t="str">
        <f ca="1">IFERROR(__xludf.DUMMYFUNCTION("""COMPUTED_VALUE"""),"1762948190393")</f>
        <v>1762948190393</v>
      </c>
    </row>
    <row r="6156" spans="1:11" ht="12.45">
      <c r="A6156" s="2" t="str">
        <f ca="1">IFERROR(__xludf.DUMMYFUNCTION("""COMPUTED_VALUE"""),"1762948223822")</f>
        <v>1762948223822</v>
      </c>
      <c r="B6156" s="2"/>
      <c r="C6156" s="2" t="str">
        <v>0</v>
      </c>
      <c r="D6156" s="2"/>
      <c r="F6156" s="2" t="str">
        <v>0</v>
      </c>
      <c r="I6156" s="3" t="str">
        <f ca="1">IFERROR(__xludf.DUMMYFUNCTION("""COMPUTED_VALUE"""),"Phùng Phương Nam")</f>
        <v>Phùng Phương Nam</v>
      </c>
      <c r="J6156" s="3" t="str">
        <f ca="1">IFERROR(__xludf.DUMMYFUNCTION("""COMPUTED_VALUE"""),"0969572066")</f>
        <v>0969572066</v>
      </c>
      <c r="K6156" s="2" t="str">
        <f ca="1">IFERROR(__xludf.DUMMYFUNCTION("""COMPUTED_VALUE"""),"1762948223822")</f>
        <v>1762948223822</v>
      </c>
    </row>
    <row r="6157" spans="1:11" ht="12.45">
      <c r="A6157" s="2" t="str">
        <f ca="1">IFERROR(__xludf.DUMMYFUNCTION("""COMPUTED_VALUE"""),"1762948266816")</f>
        <v>1762948266816</v>
      </c>
      <c r="B6157" s="2"/>
      <c r="C6157" s="2" t="str">
        <v>0</v>
      </c>
      <c r="D6157" s="2"/>
      <c r="F6157" s="2" t="str">
        <v>0</v>
      </c>
      <c r="I6157" s="3" t="str">
        <f ca="1">IFERROR(__xludf.DUMMYFUNCTION("""COMPUTED_VALUE"""),"Trần Huỳnh Phương Anh ")</f>
        <v xml:space="preserve">Trần Huỳnh Phương Anh </v>
      </c>
      <c r="J6157" s="3" t="str">
        <f ca="1">IFERROR(__xludf.DUMMYFUNCTION("""COMPUTED_VALUE"""),"0842434676")</f>
        <v>0842434676</v>
      </c>
      <c r="K6157" s="2" t="str">
        <f ca="1">IFERROR(__xludf.DUMMYFUNCTION("""COMPUTED_VALUE"""),"1762948266816")</f>
        <v>1762948266816</v>
      </c>
    </row>
    <row r="6158" spans="1:11" ht="12.45">
      <c r="A6158" s="2" t="str">
        <f ca="1">IFERROR(__xludf.DUMMYFUNCTION("""COMPUTED_VALUE"""),"1762948294973")</f>
        <v>1762948294973</v>
      </c>
      <c r="B6158" s="2"/>
      <c r="C6158" s="2" t="str">
        <v>0</v>
      </c>
      <c r="D6158" s="2"/>
      <c r="F6158" s="2" t="str">
        <v>0</v>
      </c>
      <c r="I6158" s="3" t="str">
        <f ca="1">IFERROR(__xludf.DUMMYFUNCTION("""COMPUTED_VALUE"""),"Nguyễn Hiền Trang")</f>
        <v>Nguyễn Hiền Trang</v>
      </c>
      <c r="J6158" s="3" t="str">
        <f ca="1">IFERROR(__xludf.DUMMYFUNCTION("""COMPUTED_VALUE"""),"0382777879")</f>
        <v>0382777879</v>
      </c>
      <c r="K6158" s="2" t="str">
        <f ca="1">IFERROR(__xludf.DUMMYFUNCTION("""COMPUTED_VALUE"""),"1762948294973")</f>
        <v>1762948294973</v>
      </c>
    </row>
    <row r="6159" spans="1:11" ht="12.45">
      <c r="A6159" s="2" t="str">
        <f ca="1">IFERROR(__xludf.DUMMYFUNCTION("""COMPUTED_VALUE"""),"1762948321395")</f>
        <v>1762948321395</v>
      </c>
      <c r="B6159" s="2"/>
      <c r="C6159" s="2" t="str">
        <v>0</v>
      </c>
      <c r="D6159" s="2"/>
      <c r="F6159" s="2" t="str">
        <v>0</v>
      </c>
      <c r="I6159" s="3" t="str">
        <f ca="1">IFERROR(__xludf.DUMMYFUNCTION("""COMPUTED_VALUE"""),"Đỗ Tú Quyên")</f>
        <v>Đỗ Tú Quyên</v>
      </c>
      <c r="J6159" s="3" t="str">
        <f ca="1">IFERROR(__xludf.DUMMYFUNCTION("""COMPUTED_VALUE"""),"0975712228")</f>
        <v>0975712228</v>
      </c>
      <c r="K6159" s="2" t="str">
        <f ca="1">IFERROR(__xludf.DUMMYFUNCTION("""COMPUTED_VALUE"""),"1762948321395")</f>
        <v>1762948321395</v>
      </c>
    </row>
    <row r="6160" spans="1:11" ht="12.45">
      <c r="A6160" s="2" t="str">
        <f ca="1">IFERROR(__xludf.DUMMYFUNCTION("""COMPUTED_VALUE"""),"1762948353267")</f>
        <v>1762948353267</v>
      </c>
      <c r="B6160" s="2"/>
      <c r="C6160" s="2" t="str">
        <v>0</v>
      </c>
      <c r="D6160" s="2"/>
      <c r="F6160" s="2" t="str">
        <v>0</v>
      </c>
      <c r="I6160" s="3" t="str">
        <f ca="1">IFERROR(__xludf.DUMMYFUNCTION("""COMPUTED_VALUE"""),"Lê Thuỷ Anh")</f>
        <v>Lê Thuỷ Anh</v>
      </c>
      <c r="J6160" s="3" t="str">
        <f ca="1">IFERROR(__xludf.DUMMYFUNCTION("""COMPUTED_VALUE"""),"0906611699")</f>
        <v>0906611699</v>
      </c>
      <c r="K6160" s="2" t="str">
        <f ca="1">IFERROR(__xludf.DUMMYFUNCTION("""COMPUTED_VALUE"""),"1762948353267")</f>
        <v>1762948353267</v>
      </c>
    </row>
    <row r="6161" spans="1:11" ht="12.45">
      <c r="A6161" s="2" t="str">
        <f ca="1">IFERROR(__xludf.DUMMYFUNCTION("""COMPUTED_VALUE"""),"1762948399825")</f>
        <v>1762948399825</v>
      </c>
      <c r="B6161" s="2"/>
      <c r="C6161" s="2" t="str">
        <v>0</v>
      </c>
      <c r="D6161" s="2"/>
      <c r="F6161" s="2" t="str">
        <v>0</v>
      </c>
      <c r="I6161" s="3" t="str">
        <f ca="1">IFERROR(__xludf.DUMMYFUNCTION("""COMPUTED_VALUE"""),"Triệu Lê Bích Tiên")</f>
        <v>Triệu Lê Bích Tiên</v>
      </c>
      <c r="J6161" s="3" t="str">
        <f ca="1">IFERROR(__xludf.DUMMYFUNCTION("""COMPUTED_VALUE"""),"0819375383")</f>
        <v>0819375383</v>
      </c>
      <c r="K6161" s="2" t="str">
        <f ca="1">IFERROR(__xludf.DUMMYFUNCTION("""COMPUTED_VALUE"""),"1762948399825")</f>
        <v>1762948399825</v>
      </c>
    </row>
    <row r="6162" spans="1:11" ht="12.45">
      <c r="A6162" s="2" t="str">
        <f ca="1">IFERROR(__xludf.DUMMYFUNCTION("""COMPUTED_VALUE"""),"1762948458666")</f>
        <v>1762948458666</v>
      </c>
      <c r="B6162" s="2"/>
      <c r="C6162" s="2" t="str">
        <v>0</v>
      </c>
      <c r="D6162" s="2"/>
      <c r="F6162" s="2" t="str">
        <v>0</v>
      </c>
      <c r="I6162" s="3" t="str">
        <f ca="1">IFERROR(__xludf.DUMMYFUNCTION("""COMPUTED_VALUE"""),"Nguyễn Thuỳ Linh")</f>
        <v>Nguyễn Thuỳ Linh</v>
      </c>
      <c r="J6162" s="3" t="str">
        <f ca="1">IFERROR(__xludf.DUMMYFUNCTION("""COMPUTED_VALUE"""),"0328297969")</f>
        <v>0328297969</v>
      </c>
      <c r="K6162" s="2" t="str">
        <f ca="1">IFERROR(__xludf.DUMMYFUNCTION("""COMPUTED_VALUE"""),"1762948458666")</f>
        <v>1762948458666</v>
      </c>
    </row>
    <row r="6163" spans="1:11" ht="12.45">
      <c r="A6163" s="2" t="str">
        <f ca="1">IFERROR(__xludf.DUMMYFUNCTION("""COMPUTED_VALUE"""),"1762948499029")</f>
        <v>1762948499029</v>
      </c>
      <c r="B6163" s="2"/>
      <c r="C6163" s="2" t="str">
        <v>0</v>
      </c>
      <c r="D6163" s="2"/>
      <c r="F6163" s="2" t="str">
        <v>0</v>
      </c>
      <c r="I6163" s="3" t="str">
        <f ca="1">IFERROR(__xludf.DUMMYFUNCTION("""COMPUTED_VALUE"""),"Hồ Thị Như Quỳnh ")</f>
        <v xml:space="preserve">Hồ Thị Như Quỳnh </v>
      </c>
      <c r="J6163" s="3" t="str">
        <f ca="1">IFERROR(__xludf.DUMMYFUNCTION("""COMPUTED_VALUE"""),"0819379084")</f>
        <v>0819379084</v>
      </c>
      <c r="K6163" s="2" t="str">
        <f ca="1">IFERROR(__xludf.DUMMYFUNCTION("""COMPUTED_VALUE"""),"1762948499029")</f>
        <v>1762948499029</v>
      </c>
    </row>
    <row r="6164" spans="1:11" ht="12.45">
      <c r="A6164" s="2" t="str">
        <f ca="1">IFERROR(__xludf.DUMMYFUNCTION("""COMPUTED_VALUE"""),"1762948534270")</f>
        <v>1762948534270</v>
      </c>
      <c r="B6164" s="2"/>
      <c r="C6164" s="2" t="str">
        <v>0</v>
      </c>
      <c r="D6164" s="2"/>
      <c r="F6164" s="2" t="str">
        <v>0</v>
      </c>
      <c r="I6164" s="3" t="str">
        <f ca="1">IFERROR(__xludf.DUMMYFUNCTION("""COMPUTED_VALUE"""),"Trần Gia Hân")</f>
        <v>Trần Gia Hân</v>
      </c>
      <c r="J6164" s="3" t="str">
        <f ca="1">IFERROR(__xludf.DUMMYFUNCTION("""COMPUTED_VALUE"""),"0961118947")</f>
        <v>0961118947</v>
      </c>
      <c r="K6164" s="2" t="str">
        <f ca="1">IFERROR(__xludf.DUMMYFUNCTION("""COMPUTED_VALUE"""),"1762948534270")</f>
        <v>1762948534270</v>
      </c>
    </row>
    <row r="6165" spans="1:11" ht="12.45">
      <c r="A6165" s="2" t="str">
        <f ca="1">IFERROR(__xludf.DUMMYFUNCTION("""COMPUTED_VALUE"""),"1762948584376")</f>
        <v>1762948584376</v>
      </c>
      <c r="B6165" s="2"/>
      <c r="C6165" s="2" t="str">
        <v>0</v>
      </c>
      <c r="D6165" s="2"/>
      <c r="F6165" s="2" t="str">
        <v>0</v>
      </c>
      <c r="I6165" s="3" t="str">
        <f ca="1">IFERROR(__xludf.DUMMYFUNCTION("""COMPUTED_VALUE"""),"Hoàng Quốc Việt ")</f>
        <v xml:space="preserve">Hoàng Quốc Việt </v>
      </c>
      <c r="J6165" s="3" t="str">
        <f ca="1">IFERROR(__xludf.DUMMYFUNCTION("""COMPUTED_VALUE"""),"0824595736")</f>
        <v>0824595736</v>
      </c>
      <c r="K6165" s="2" t="str">
        <f ca="1">IFERROR(__xludf.DUMMYFUNCTION("""COMPUTED_VALUE"""),"1762948584376")</f>
        <v>1762948584376</v>
      </c>
    </row>
    <row r="6166" spans="1:11" ht="12.45">
      <c r="A6166" s="2" t="str">
        <f ca="1">IFERROR(__xludf.DUMMYFUNCTION("""COMPUTED_VALUE"""),"1762948622648")</f>
        <v>1762948622648</v>
      </c>
      <c r="B6166" s="2"/>
      <c r="C6166" s="2" t="str">
        <v>0</v>
      </c>
      <c r="D6166" s="2"/>
      <c r="F6166" s="2" t="str">
        <v>0</v>
      </c>
      <c r="I6166" s="3" t="str">
        <f ca="1">IFERROR(__xludf.DUMMYFUNCTION("""COMPUTED_VALUE"""),"Nguyễn Vân Ly")</f>
        <v>Nguyễn Vân Ly</v>
      </c>
      <c r="J6166" s="3" t="str">
        <f ca="1">IFERROR(__xludf.DUMMYFUNCTION("""COMPUTED_VALUE"""),"0766693422")</f>
        <v>0766693422</v>
      </c>
      <c r="K6166" s="2" t="str">
        <f ca="1">IFERROR(__xludf.DUMMYFUNCTION("""COMPUTED_VALUE"""),"1762948622648")</f>
        <v>1762948622648</v>
      </c>
    </row>
    <row r="6167" spans="1:11" ht="12.45">
      <c r="A6167" s="2" t="str">
        <f ca="1">IFERROR(__xludf.DUMMYFUNCTION("""COMPUTED_VALUE"""),"1762948665739")</f>
        <v>1762948665739</v>
      </c>
      <c r="B6167" s="2"/>
      <c r="C6167" s="2" t="str">
        <v>0</v>
      </c>
      <c r="D6167" s="2"/>
      <c r="F6167" s="2" t="str">
        <v>0</v>
      </c>
      <c r="I6167" s="3" t="str">
        <f ca="1">IFERROR(__xludf.DUMMYFUNCTION("""COMPUTED_VALUE"""),"Nguyễn Thị Cẩm Ly")</f>
        <v>Nguyễn Thị Cẩm Ly</v>
      </c>
      <c r="J6167" s="3" t="str">
        <f ca="1">IFERROR(__xludf.DUMMYFUNCTION("""COMPUTED_VALUE"""),"0813992951")</f>
        <v>0813992951</v>
      </c>
      <c r="K6167" s="2" t="str">
        <f ca="1">IFERROR(__xludf.DUMMYFUNCTION("""COMPUTED_VALUE"""),"1762948665739")</f>
        <v>1762948665739</v>
      </c>
    </row>
    <row r="6168" spans="1:11" ht="12.45">
      <c r="A6168" s="2" t="str">
        <f ca="1">IFERROR(__xludf.DUMMYFUNCTION("""COMPUTED_VALUE"""),"1762948713706")</f>
        <v>1762948713706</v>
      </c>
      <c r="B6168" s="2"/>
      <c r="C6168" s="2" t="str">
        <v>0</v>
      </c>
      <c r="D6168" s="2"/>
      <c r="F6168" s="2" t="str">
        <v>0</v>
      </c>
      <c r="I6168" s="3" t="str">
        <f ca="1">IFERROR(__xludf.DUMMYFUNCTION("""COMPUTED_VALUE"""),"Lê Minh Sơn")</f>
        <v>Lê Minh Sơn</v>
      </c>
      <c r="J6168" s="3" t="str">
        <f ca="1">IFERROR(__xludf.DUMMYFUNCTION("""COMPUTED_VALUE"""),"0367346382")</f>
        <v>0367346382</v>
      </c>
      <c r="K6168" s="2" t="str">
        <f ca="1">IFERROR(__xludf.DUMMYFUNCTION("""COMPUTED_VALUE"""),"1762948713706")</f>
        <v>1762948713706</v>
      </c>
    </row>
    <row r="6169" spans="1:11" ht="12.45">
      <c r="A6169" s="2" t="str">
        <f ca="1">IFERROR(__xludf.DUMMYFUNCTION("""COMPUTED_VALUE"""),"1762308814346")</f>
        <v>1762308814346</v>
      </c>
      <c r="B6169" s="2"/>
      <c r="C6169" s="2" t="str">
        <v>0</v>
      </c>
      <c r="D6169" s="2"/>
      <c r="F6169" s="2" t="str">
        <v>0</v>
      </c>
      <c r="I6169" s="3" t="str">
        <f ca="1">IFERROR(__xludf.DUMMYFUNCTION("""COMPUTED_VALUE"""),"Phạm Nguyễn Tâm Thi")</f>
        <v>Phạm Nguyễn Tâm Thi</v>
      </c>
      <c r="J6169" s="3" t="str">
        <f ca="1">IFERROR(__xludf.DUMMYFUNCTION("""COMPUTED_VALUE"""),"0917204257")</f>
        <v>0917204257</v>
      </c>
      <c r="K6169" s="2" t="str">
        <f ca="1">IFERROR(__xludf.DUMMYFUNCTION("""COMPUTED_VALUE"""),"1762308814346")</f>
        <v>1762308814346</v>
      </c>
    </row>
    <row r="6170" spans="1:11" ht="12.45">
      <c r="A6170" s="2" t="str">
        <f ca="1">IFERROR(__xludf.DUMMYFUNCTION("""COMPUTED_VALUE"""),"1762948757070")</f>
        <v>1762948757070</v>
      </c>
      <c r="B6170" s="2"/>
      <c r="C6170" s="2" t="str">
        <v>0</v>
      </c>
      <c r="D6170" s="2"/>
      <c r="F6170" s="2" t="str">
        <v>0</v>
      </c>
      <c r="I6170" s="3" t="str">
        <f ca="1">IFERROR(__xludf.DUMMYFUNCTION("""COMPUTED_VALUE"""),"Đào Thị Phương Anh")</f>
        <v>Đào Thị Phương Anh</v>
      </c>
      <c r="J6170" s="3" t="str">
        <f ca="1">IFERROR(__xludf.DUMMYFUNCTION("""COMPUTED_VALUE"""),"0384292354")</f>
        <v>0384292354</v>
      </c>
      <c r="K6170" s="2" t="str">
        <f ca="1">IFERROR(__xludf.DUMMYFUNCTION("""COMPUTED_VALUE"""),"1762948757070")</f>
        <v>1762948757070</v>
      </c>
    </row>
    <row r="6171" spans="1:11" ht="12.45">
      <c r="A6171" s="2" t="str">
        <f ca="1">IFERROR(__xludf.DUMMYFUNCTION("""COMPUTED_VALUE"""),"1762948800973")</f>
        <v>1762948800973</v>
      </c>
      <c r="B6171" s="2"/>
      <c r="C6171" s="2" t="str">
        <v>0</v>
      </c>
      <c r="D6171" s="2"/>
      <c r="F6171" s="2" t="str">
        <v>0</v>
      </c>
      <c r="I6171" s="3" t="str">
        <f ca="1">IFERROR(__xludf.DUMMYFUNCTION("""COMPUTED_VALUE"""),"Nguyễn Thị Mai Anh ")</f>
        <v xml:space="preserve">Nguyễn Thị Mai Anh </v>
      </c>
      <c r="J6171" s="3" t="str">
        <f ca="1">IFERROR(__xludf.DUMMYFUNCTION("""COMPUTED_VALUE"""),"0905279625")</f>
        <v>0905279625</v>
      </c>
      <c r="K6171" s="2" t="str">
        <f ca="1">IFERROR(__xludf.DUMMYFUNCTION("""COMPUTED_VALUE"""),"1762948800973")</f>
        <v>1762948800973</v>
      </c>
    </row>
    <row r="6172" spans="1:11" ht="12.45">
      <c r="A6172" s="2" t="str">
        <f ca="1">IFERROR(__xludf.DUMMYFUNCTION("""COMPUTED_VALUE"""),"Không giao sách")</f>
        <v>Không giao sách</v>
      </c>
      <c r="B6172" s="2"/>
      <c r="C6172" s="2" t="str">
        <v>0</v>
      </c>
      <c r="D6172" s="2"/>
      <c r="F6172" s="2" t="str">
        <v>0</v>
      </c>
      <c r="I6172" s="3" t="str">
        <f ca="1">IFERROR(__xludf.DUMMYFUNCTION("""COMPUTED_VALUE"""),"Lương Vũ Yến Linh")</f>
        <v>Lương Vũ Yến Linh</v>
      </c>
      <c r="J6172" s="3" t="str">
        <f ca="1">IFERROR(__xludf.DUMMYFUNCTION("""COMPUTED_VALUE"""),"0916738562")</f>
        <v>0916738562</v>
      </c>
      <c r="K6172" s="2" t="str">
        <f ca="1">IFERROR(__xludf.DUMMYFUNCTION("""COMPUTED_VALUE"""),"Không giao sách")</f>
        <v>Không giao sách</v>
      </c>
    </row>
    <row r="6173" spans="1:11" ht="12.45">
      <c r="A6173" s="2" t="str">
        <f ca="1">IFERROR(__xludf.DUMMYFUNCTION("""COMPUTED_VALUE"""),"Không giao sách")</f>
        <v>Không giao sách</v>
      </c>
      <c r="B6173" s="2"/>
      <c r="C6173" s="2" t="str">
        <v>0</v>
      </c>
      <c r="D6173" s="2"/>
      <c r="F6173" s="2" t="str">
        <v>0</v>
      </c>
      <c r="I6173" s="3" t="str">
        <f ca="1">IFERROR(__xludf.DUMMYFUNCTION("""COMPUTED_VALUE"""),"Nguyễn Quang Anh")</f>
        <v>Nguyễn Quang Anh</v>
      </c>
      <c r="J6173" s="3" t="str">
        <f ca="1">IFERROR(__xludf.DUMMYFUNCTION("""COMPUTED_VALUE"""),"0363493825")</f>
        <v>0363493825</v>
      </c>
      <c r="K6173" s="2" t="str">
        <f ca="1">IFERROR(__xludf.DUMMYFUNCTION("""COMPUTED_VALUE"""),"Không giao sách")</f>
        <v>Không giao sách</v>
      </c>
    </row>
    <row r="6174" spans="1:11" ht="12.45">
      <c r="A6174" s="2" t="str">
        <f ca="1">IFERROR(__xludf.DUMMYFUNCTION("""COMPUTED_VALUE"""),"Không giao sách")</f>
        <v>Không giao sách</v>
      </c>
      <c r="B6174" s="2"/>
      <c r="C6174" s="2" t="str">
        <v>0</v>
      </c>
      <c r="D6174" s="2"/>
      <c r="F6174" s="2" t="str">
        <v>0</v>
      </c>
      <c r="I6174" s="3" t="str">
        <f ca="1">IFERROR(__xludf.DUMMYFUNCTION("""COMPUTED_VALUE"""),"Nguyễn Phương Uyên ")</f>
        <v xml:space="preserve">Nguyễn Phương Uyên </v>
      </c>
      <c r="J6174" s="3" t="str">
        <f ca="1">IFERROR(__xludf.DUMMYFUNCTION("""COMPUTED_VALUE"""),"0961927426")</f>
        <v>0961927426</v>
      </c>
      <c r="K6174" s="2" t="str">
        <f ca="1">IFERROR(__xludf.DUMMYFUNCTION("""COMPUTED_VALUE"""),"Không giao sách")</f>
        <v>Không giao sách</v>
      </c>
    </row>
    <row r="6175" spans="1:11" ht="12.45">
      <c r="A6175" s="2" t="str">
        <f ca="1">IFERROR(__xludf.DUMMYFUNCTION("""COMPUTED_VALUE"""),"1762948842570")</f>
        <v>1762948842570</v>
      </c>
      <c r="B6175" s="2"/>
      <c r="C6175" s="2" t="str">
        <v>0</v>
      </c>
      <c r="D6175" s="2"/>
      <c r="F6175" s="2" t="str">
        <v>0</v>
      </c>
      <c r="I6175" s="3" t="str">
        <f ca="1">IFERROR(__xludf.DUMMYFUNCTION("""COMPUTED_VALUE"""),"Mai Thùy Dương")</f>
        <v>Mai Thùy Dương</v>
      </c>
      <c r="J6175" s="3" t="str">
        <f ca="1">IFERROR(__xludf.DUMMYFUNCTION("""COMPUTED_VALUE"""),"0987193258")</f>
        <v>0987193258</v>
      </c>
      <c r="K6175" s="2" t="str">
        <f ca="1">IFERROR(__xludf.DUMMYFUNCTION("""COMPUTED_VALUE"""),"1762948842570")</f>
        <v>1762948842570</v>
      </c>
    </row>
    <row r="6176" spans="1:11" ht="12.45">
      <c r="A6176" s="2" t="str">
        <f ca="1">IFERROR(__xludf.DUMMYFUNCTION("""COMPUTED_VALUE"""),"1762948893012")</f>
        <v>1762948893012</v>
      </c>
      <c r="B6176" s="2"/>
      <c r="C6176" s="2" t="str">
        <v>0</v>
      </c>
      <c r="D6176" s="2"/>
      <c r="F6176" s="2" t="str">
        <v>0</v>
      </c>
      <c r="I6176" s="3" t="str">
        <f ca="1">IFERROR(__xludf.DUMMYFUNCTION("""COMPUTED_VALUE"""),"Nguyễn Ngọc Nguyên")</f>
        <v>Nguyễn Ngọc Nguyên</v>
      </c>
      <c r="J6176" s="3" t="str">
        <f ca="1">IFERROR(__xludf.DUMMYFUNCTION("""COMPUTED_VALUE"""),"0827799766")</f>
        <v>0827799766</v>
      </c>
      <c r="K6176" s="2" t="str">
        <f ca="1">IFERROR(__xludf.DUMMYFUNCTION("""COMPUTED_VALUE"""),"1762948893012")</f>
        <v>1762948893012</v>
      </c>
    </row>
    <row r="6177" spans="1:11" ht="12.45">
      <c r="A6177" s="2" t="str">
        <f ca="1">IFERROR(__xludf.DUMMYFUNCTION("""COMPUTED_VALUE"""),"1762308867781")</f>
        <v>1762308867781</v>
      </c>
      <c r="B6177" s="2"/>
      <c r="C6177" s="2" t="str">
        <v>0</v>
      </c>
      <c r="D6177" s="2"/>
      <c r="F6177" s="2" t="str">
        <v>0</v>
      </c>
      <c r="I6177" s="3" t="str">
        <f ca="1">IFERROR(__xludf.DUMMYFUNCTION("""COMPUTED_VALUE"""),"Nguyễn thị thanh thảo ")</f>
        <v xml:space="preserve">Nguyễn thị thanh thảo </v>
      </c>
      <c r="J6177" s="3" t="str">
        <f ca="1">IFERROR(__xludf.DUMMYFUNCTION("""COMPUTED_VALUE"""),"0867957848")</f>
        <v>0867957848</v>
      </c>
      <c r="K6177" s="2" t="str">
        <f ca="1">IFERROR(__xludf.DUMMYFUNCTION("""COMPUTED_VALUE"""),"1762308867781")</f>
        <v>1762308867781</v>
      </c>
    </row>
    <row r="6178" spans="1:11" ht="12.45">
      <c r="A6178" s="2" t="str">
        <f ca="1">IFERROR(__xludf.DUMMYFUNCTION("""COMPUTED_VALUE"""),"1762948961403")</f>
        <v>1762948961403</v>
      </c>
      <c r="B6178" s="2"/>
      <c r="C6178" s="2" t="str">
        <v>0</v>
      </c>
      <c r="D6178" s="2"/>
      <c r="F6178" s="2" t="str">
        <v>0</v>
      </c>
      <c r="I6178" s="3" t="str">
        <f ca="1">IFERROR(__xludf.DUMMYFUNCTION("""COMPUTED_VALUE"""),"Nguyễn Thị Quỳnh Nga ")</f>
        <v xml:space="preserve">Nguyễn Thị Quỳnh Nga </v>
      </c>
      <c r="J6178" s="3" t="str">
        <f ca="1">IFERROR(__xludf.DUMMYFUNCTION("""COMPUTED_VALUE"""),"0368971107")</f>
        <v>0368971107</v>
      </c>
      <c r="K6178" s="2" t="str">
        <f ca="1">IFERROR(__xludf.DUMMYFUNCTION("""COMPUTED_VALUE"""),"1762948961403")</f>
        <v>1762948961403</v>
      </c>
    </row>
    <row r="6179" spans="1:11" ht="12.45">
      <c r="A6179" s="2" t="str">
        <f ca="1">IFERROR(__xludf.DUMMYFUNCTION("""COMPUTED_VALUE"""),"1762949040160")</f>
        <v>1762949040160</v>
      </c>
      <c r="B6179" s="2"/>
      <c r="C6179" s="2" t="str">
        <v>0</v>
      </c>
      <c r="D6179" s="2"/>
      <c r="F6179" s="2" t="str">
        <v>0</v>
      </c>
      <c r="I6179" s="3" t="str">
        <f ca="1">IFERROR(__xludf.DUMMYFUNCTION("""COMPUTED_VALUE"""),"Phùng Thị Hồng Hạnh ")</f>
        <v xml:space="preserve">Phùng Thị Hồng Hạnh </v>
      </c>
      <c r="J6179" s="3" t="str">
        <f ca="1">IFERROR(__xludf.DUMMYFUNCTION("""COMPUTED_VALUE"""),"0965722007")</f>
        <v>0965722007</v>
      </c>
      <c r="K6179" s="2" t="str">
        <f ca="1">IFERROR(__xludf.DUMMYFUNCTION("""COMPUTED_VALUE"""),"1762949040160")</f>
        <v>1762949040160</v>
      </c>
    </row>
    <row r="6180" spans="1:11" ht="12.45">
      <c r="A6180" s="2" t="str">
        <f ca="1">IFERROR(__xludf.DUMMYFUNCTION("""COMPUTED_VALUE"""),"1762949107356")</f>
        <v>1762949107356</v>
      </c>
      <c r="B6180" s="2"/>
      <c r="C6180" s="2" t="str">
        <v>0</v>
      </c>
      <c r="D6180" s="2"/>
      <c r="F6180" s="2" t="str">
        <v>0</v>
      </c>
      <c r="I6180" s="3" t="str">
        <f ca="1">IFERROR(__xludf.DUMMYFUNCTION("""COMPUTED_VALUE"""),"Lý Chí Kiên")</f>
        <v>Lý Chí Kiên</v>
      </c>
      <c r="J6180" s="3" t="str">
        <f ca="1">IFERROR(__xludf.DUMMYFUNCTION("""COMPUTED_VALUE"""),"8486249139")</f>
        <v>8486249139</v>
      </c>
      <c r="K6180" s="2" t="str">
        <f ca="1">IFERROR(__xludf.DUMMYFUNCTION("""COMPUTED_VALUE"""),"1762949107356")</f>
        <v>1762949107356</v>
      </c>
    </row>
    <row r="6181" spans="1:11" ht="12.45">
      <c r="A6181" s="2" t="str">
        <f ca="1">IFERROR(__xludf.DUMMYFUNCTION("""COMPUTED_VALUE"""),"Không giao sách")</f>
        <v>Không giao sách</v>
      </c>
      <c r="B6181" s="2"/>
      <c r="C6181" s="2" t="str">
        <v>0</v>
      </c>
      <c r="D6181" s="2"/>
      <c r="F6181" s="2" t="str">
        <v>0</v>
      </c>
      <c r="I6181" s="3" t="str">
        <f ca="1">IFERROR(__xludf.DUMMYFUNCTION("""COMPUTED_VALUE"""),"Tôn văn tiến")</f>
        <v>Tôn văn tiến</v>
      </c>
      <c r="J6181" s="3" t="str">
        <f ca="1">IFERROR(__xludf.DUMMYFUNCTION("""COMPUTED_VALUE"""),"0944488167")</f>
        <v>0944488167</v>
      </c>
      <c r="K6181" s="2" t="str">
        <f ca="1">IFERROR(__xludf.DUMMYFUNCTION("""COMPUTED_VALUE"""),"Không giao sách")</f>
        <v>Không giao sách</v>
      </c>
    </row>
    <row r="6182" spans="1:11" ht="12.45">
      <c r="A6182" s="2" t="str">
        <f ca="1">IFERROR(__xludf.DUMMYFUNCTION("""COMPUTED_VALUE"""),"1762949152858")</f>
        <v>1762949152858</v>
      </c>
      <c r="B6182" s="2"/>
      <c r="C6182" s="2" t="str">
        <v>0</v>
      </c>
      <c r="D6182" s="2"/>
      <c r="F6182" s="2" t="str">
        <v>0</v>
      </c>
      <c r="I6182" s="3" t="str">
        <f ca="1">IFERROR(__xludf.DUMMYFUNCTION("""COMPUTED_VALUE"""),"Lù Thị Hằng Nga")</f>
        <v>Lù Thị Hằng Nga</v>
      </c>
      <c r="J6182" s="3" t="str">
        <f ca="1">IFERROR(__xludf.DUMMYFUNCTION("""COMPUTED_VALUE"""),"0338292936")</f>
        <v>0338292936</v>
      </c>
      <c r="K6182" s="2" t="str">
        <f ca="1">IFERROR(__xludf.DUMMYFUNCTION("""COMPUTED_VALUE"""),"1762949152858")</f>
        <v>1762949152858</v>
      </c>
    </row>
    <row r="6183" spans="1:11" ht="12.45">
      <c r="A6183" s="2" t="str">
        <f ca="1">IFERROR(__xludf.DUMMYFUNCTION("""COMPUTED_VALUE"""),"1762949209914")</f>
        <v>1762949209914</v>
      </c>
      <c r="B6183" s="2"/>
      <c r="C6183" s="2" t="str">
        <v>0</v>
      </c>
      <c r="D6183" s="2"/>
      <c r="F6183" s="2" t="str">
        <v>0</v>
      </c>
      <c r="I6183" s="3" t="str">
        <f ca="1">IFERROR(__xludf.DUMMYFUNCTION("""COMPUTED_VALUE"""),"Phạm Thu Đan")</f>
        <v>Phạm Thu Đan</v>
      </c>
      <c r="J6183" s="3" t="str">
        <f ca="1">IFERROR(__xludf.DUMMYFUNCTION("""COMPUTED_VALUE"""),"0379798424")</f>
        <v>0379798424</v>
      </c>
      <c r="K6183" s="2" t="str">
        <f ca="1">IFERROR(__xludf.DUMMYFUNCTION("""COMPUTED_VALUE"""),"1762949209914")</f>
        <v>1762949209914</v>
      </c>
    </row>
    <row r="6184" spans="1:11" ht="12.45">
      <c r="A6184" s="2" t="str">
        <f ca="1">IFERROR(__xludf.DUMMYFUNCTION("""COMPUTED_VALUE"""),"Không giao sách")</f>
        <v>Không giao sách</v>
      </c>
      <c r="B6184" s="2"/>
      <c r="C6184" s="2" t="str">
        <v>0</v>
      </c>
      <c r="D6184" s="2"/>
      <c r="F6184" s="2" t="str">
        <v>0</v>
      </c>
      <c r="I6184" s="3" t="str">
        <f ca="1">IFERROR(__xludf.DUMMYFUNCTION("""COMPUTED_VALUE"""),"Nguyễn Lê Ngọc Linh")</f>
        <v>Nguyễn Lê Ngọc Linh</v>
      </c>
      <c r="J6184" s="3" t="str">
        <f ca="1">IFERROR(__xludf.DUMMYFUNCTION("""COMPUTED_VALUE"""),"0394941130")</f>
        <v>0394941130</v>
      </c>
      <c r="K6184" s="2" t="str">
        <f ca="1">IFERROR(__xludf.DUMMYFUNCTION("""COMPUTED_VALUE"""),"Không giao sách")</f>
        <v>Không giao sách</v>
      </c>
    </row>
    <row r="6185" spans="1:11" ht="12.45">
      <c r="A6185" s="2" t="str">
        <f ca="1">IFERROR(__xludf.DUMMYFUNCTION("""COMPUTED_VALUE"""),"1762308929739")</f>
        <v>1762308929739</v>
      </c>
      <c r="B6185" s="2"/>
      <c r="C6185" s="2" t="str">
        <v>0</v>
      </c>
      <c r="D6185" s="2"/>
      <c r="F6185" s="2" t="str">
        <v>0</v>
      </c>
      <c r="I6185" s="3" t="str">
        <f ca="1">IFERROR(__xludf.DUMMYFUNCTION("""COMPUTED_VALUE"""),"Nguyễn Thị Khánh Linh")</f>
        <v>Nguyễn Thị Khánh Linh</v>
      </c>
      <c r="J6185" s="3" t="str">
        <f ca="1">IFERROR(__xludf.DUMMYFUNCTION("""COMPUTED_VALUE"""),"0976345038")</f>
        <v>0976345038</v>
      </c>
      <c r="K6185" s="2" t="str">
        <f ca="1">IFERROR(__xludf.DUMMYFUNCTION("""COMPUTED_VALUE"""),"1762308929739")</f>
        <v>1762308929739</v>
      </c>
    </row>
    <row r="6186" spans="1:11" ht="12.45">
      <c r="A6186" s="2" t="str">
        <f ca="1">IFERROR(__xludf.DUMMYFUNCTION("""COMPUTED_VALUE"""),"1762949297246")</f>
        <v>1762949297246</v>
      </c>
      <c r="B6186" s="2"/>
      <c r="C6186" s="2" t="str">
        <v>0</v>
      </c>
      <c r="D6186" s="2"/>
      <c r="F6186" s="2" t="str">
        <v>0</v>
      </c>
      <c r="I6186" s="3" t="str">
        <f ca="1">IFERROR(__xludf.DUMMYFUNCTION("""COMPUTED_VALUE"""),"Nông Thị Thảo")</f>
        <v>Nông Thị Thảo</v>
      </c>
      <c r="J6186" s="3" t="str">
        <f ca="1">IFERROR(__xludf.DUMMYFUNCTION("""COMPUTED_VALUE"""),"0398884592")</f>
        <v>0398884592</v>
      </c>
      <c r="K6186" s="2" t="str">
        <f ca="1">IFERROR(__xludf.DUMMYFUNCTION("""COMPUTED_VALUE"""),"1762949297246")</f>
        <v>1762949297246</v>
      </c>
    </row>
    <row r="6187" spans="1:11" ht="12.45">
      <c r="A6187" s="2" t="str">
        <f ca="1">IFERROR(__xludf.DUMMYFUNCTION("""COMPUTED_VALUE"""),"1762949330270")</f>
        <v>1762949330270</v>
      </c>
      <c r="B6187" s="2"/>
      <c r="C6187" s="2" t="str">
        <v>0</v>
      </c>
      <c r="D6187" s="2"/>
      <c r="F6187" s="2" t="str">
        <v>0</v>
      </c>
      <c r="I6187" s="3" t="str">
        <f ca="1">IFERROR(__xludf.DUMMYFUNCTION("""COMPUTED_VALUE"""),"Vì Thị Kiều Trang")</f>
        <v>Vì Thị Kiều Trang</v>
      </c>
      <c r="J6187" s="3" t="str">
        <f ca="1">IFERROR(__xludf.DUMMYFUNCTION("""COMPUTED_VALUE"""),"0869413398")</f>
        <v>0869413398</v>
      </c>
      <c r="K6187" s="2" t="str">
        <f ca="1">IFERROR(__xludf.DUMMYFUNCTION("""COMPUTED_VALUE"""),"1762949330270")</f>
        <v>1762949330270</v>
      </c>
    </row>
    <row r="6188" spans="1:11" ht="12.45">
      <c r="A6188" s="2" t="str">
        <f ca="1">IFERROR(__xludf.DUMMYFUNCTION("""COMPUTED_VALUE"""),"1762949365306")</f>
        <v>1762949365306</v>
      </c>
      <c r="B6188" s="2"/>
      <c r="C6188" s="2" t="str">
        <v>0</v>
      </c>
      <c r="D6188" s="2"/>
      <c r="F6188" s="2" t="str">
        <v>0</v>
      </c>
      <c r="I6188" s="3" t="str">
        <f ca="1">IFERROR(__xludf.DUMMYFUNCTION("""COMPUTED_VALUE"""),"Nguyễn Minh Khoa")</f>
        <v>Nguyễn Minh Khoa</v>
      </c>
      <c r="J6188" s="3" t="str">
        <f ca="1">IFERROR(__xludf.DUMMYFUNCTION("""COMPUTED_VALUE"""),"0909812837")</f>
        <v>0909812837</v>
      </c>
      <c r="K6188" s="2" t="str">
        <f ca="1">IFERROR(__xludf.DUMMYFUNCTION("""COMPUTED_VALUE"""),"1762949365306")</f>
        <v>1762949365306</v>
      </c>
    </row>
    <row r="6189" spans="1:11" ht="12.45">
      <c r="A6189" s="2" t="str">
        <f ca="1">IFERROR(__xludf.DUMMYFUNCTION("""COMPUTED_VALUE"""),"1762949411998")</f>
        <v>1762949411998</v>
      </c>
      <c r="B6189" s="2"/>
      <c r="C6189" s="2" t="str">
        <v>0</v>
      </c>
      <c r="D6189" s="2"/>
      <c r="F6189" s="2" t="str">
        <v>0</v>
      </c>
      <c r="I6189" s="3" t="str">
        <f ca="1">IFERROR(__xludf.DUMMYFUNCTION("""COMPUTED_VALUE"""),"Nguyễn Uông Tú Uyên")</f>
        <v>Nguyễn Uông Tú Uyên</v>
      </c>
      <c r="J6189" s="3" t="str">
        <f ca="1">IFERROR(__xludf.DUMMYFUNCTION("""COMPUTED_VALUE"""),"0327526422")</f>
        <v>0327526422</v>
      </c>
      <c r="K6189" s="2" t="str">
        <f ca="1">IFERROR(__xludf.DUMMYFUNCTION("""COMPUTED_VALUE"""),"1762949411998")</f>
        <v>1762949411998</v>
      </c>
    </row>
    <row r="6190" spans="1:11" ht="12.45">
      <c r="A6190" s="2" t="str">
        <f ca="1">IFERROR(__xludf.DUMMYFUNCTION("""COMPUTED_VALUE"""),"1762949450052")</f>
        <v>1762949450052</v>
      </c>
      <c r="B6190" s="2"/>
      <c r="C6190" s="2" t="str">
        <v>0</v>
      </c>
      <c r="D6190" s="2"/>
      <c r="F6190" s="2" t="str">
        <v>0</v>
      </c>
      <c r="I6190" s="3" t="str">
        <f ca="1">IFERROR(__xludf.DUMMYFUNCTION("""COMPUTED_VALUE"""),"Dương Quỳnh Anh")</f>
        <v>Dương Quỳnh Anh</v>
      </c>
      <c r="J6190" s="3" t="str">
        <f ca="1">IFERROR(__xludf.DUMMYFUNCTION("""COMPUTED_VALUE"""),"0819239479")</f>
        <v>0819239479</v>
      </c>
      <c r="K6190" s="2" t="str">
        <f ca="1">IFERROR(__xludf.DUMMYFUNCTION("""COMPUTED_VALUE"""),"1762949450052")</f>
        <v>1762949450052</v>
      </c>
    </row>
    <row r="6191" spans="1:11" ht="12.45">
      <c r="A6191" s="2" t="str">
        <f ca="1">IFERROR(__xludf.DUMMYFUNCTION("""COMPUTED_VALUE"""),"1762949516598")</f>
        <v>1762949516598</v>
      </c>
      <c r="B6191" s="2"/>
      <c r="C6191" s="2" t="str">
        <v>0</v>
      </c>
      <c r="D6191" s="2"/>
      <c r="F6191" s="2" t="str">
        <v>0</v>
      </c>
      <c r="I6191" s="3" t="str">
        <f ca="1">IFERROR(__xludf.DUMMYFUNCTION("""COMPUTED_VALUE"""),"Nguyễn Võ Công Nguyễn ")</f>
        <v xml:space="preserve">Nguyễn Võ Công Nguyễn </v>
      </c>
      <c r="J6191" s="3" t="str">
        <f ca="1">IFERROR(__xludf.DUMMYFUNCTION("""COMPUTED_VALUE"""),"0394254058")</f>
        <v>0394254058</v>
      </c>
      <c r="K6191" s="2" t="str">
        <f ca="1">IFERROR(__xludf.DUMMYFUNCTION("""COMPUTED_VALUE"""),"1762949516598")</f>
        <v>1762949516598</v>
      </c>
    </row>
    <row r="6192" spans="1:11" ht="12.45">
      <c r="A6192" s="2" t="str">
        <f ca="1">IFERROR(__xludf.DUMMYFUNCTION("""COMPUTED_VALUE"""),"1762949588737")</f>
        <v>1762949588737</v>
      </c>
      <c r="B6192" s="2"/>
      <c r="C6192" s="2" t="str">
        <v>0</v>
      </c>
      <c r="D6192" s="2"/>
      <c r="F6192" s="2" t="str">
        <v>0</v>
      </c>
      <c r="I6192" s="3" t="str">
        <f ca="1">IFERROR(__xludf.DUMMYFUNCTION("""COMPUTED_VALUE"""),"Võ Thị Quỳnh ")</f>
        <v xml:space="preserve">Võ Thị Quỳnh </v>
      </c>
      <c r="J6192" s="3" t="str">
        <f ca="1">IFERROR(__xludf.DUMMYFUNCTION("""COMPUTED_VALUE"""),"0366914192")</f>
        <v>0366914192</v>
      </c>
      <c r="K6192" s="2" t="str">
        <f ca="1">IFERROR(__xludf.DUMMYFUNCTION("""COMPUTED_VALUE"""),"1762949588737")</f>
        <v>1762949588737</v>
      </c>
    </row>
    <row r="6193" spans="1:11" ht="12.45">
      <c r="A6193" s="2" t="str">
        <f ca="1">IFERROR(__xludf.DUMMYFUNCTION("""COMPUTED_VALUE"""),"1762949622611")</f>
        <v>1762949622611</v>
      </c>
      <c r="B6193" s="2"/>
      <c r="C6193" s="2" t="str">
        <v>0</v>
      </c>
      <c r="D6193" s="2"/>
      <c r="F6193" s="2" t="str">
        <v>0</v>
      </c>
      <c r="I6193" s="3" t="str">
        <f ca="1">IFERROR(__xludf.DUMMYFUNCTION("""COMPUTED_VALUE"""),"Phạm Quỳnh Chi")</f>
        <v>Phạm Quỳnh Chi</v>
      </c>
      <c r="J6193" s="3" t="str">
        <f ca="1">IFERROR(__xludf.DUMMYFUNCTION("""COMPUTED_VALUE"""),"0343453907")</f>
        <v>0343453907</v>
      </c>
      <c r="K6193" s="2" t="str">
        <f ca="1">IFERROR(__xludf.DUMMYFUNCTION("""COMPUTED_VALUE"""),"1762949622611")</f>
        <v>1762949622611</v>
      </c>
    </row>
    <row r="6194" spans="1:11" ht="12.45">
      <c r="A6194" s="2" t="str">
        <f ca="1">IFERROR(__xludf.DUMMYFUNCTION("""COMPUTED_VALUE"""),"1762949683681")</f>
        <v>1762949683681</v>
      </c>
      <c r="B6194" s="2"/>
      <c r="C6194" s="2" t="str">
        <v>0</v>
      </c>
      <c r="D6194" s="2"/>
      <c r="F6194" s="2" t="str">
        <v>0</v>
      </c>
      <c r="I6194" s="3" t="str">
        <f ca="1">IFERROR(__xludf.DUMMYFUNCTION("""COMPUTED_VALUE"""),"Nguyễn Trâm Anh")</f>
        <v>Nguyễn Trâm Anh</v>
      </c>
      <c r="J6194" s="3" t="str">
        <f ca="1">IFERROR(__xludf.DUMMYFUNCTION("""COMPUTED_VALUE"""),"0365750633")</f>
        <v>0365750633</v>
      </c>
      <c r="K6194" s="2" t="str">
        <f ca="1">IFERROR(__xludf.DUMMYFUNCTION("""COMPUTED_VALUE"""),"1762949683681")</f>
        <v>1762949683681</v>
      </c>
    </row>
    <row r="6195" spans="1:11" ht="12.45">
      <c r="A6195" s="2" t="str">
        <f ca="1">IFERROR(__xludf.DUMMYFUNCTION("""COMPUTED_VALUE"""),"1762949724823")</f>
        <v>1762949724823</v>
      </c>
      <c r="B6195" s="2"/>
      <c r="C6195" s="2" t="str">
        <v>0</v>
      </c>
      <c r="D6195" s="2"/>
      <c r="F6195" s="2" t="str">
        <v>0</v>
      </c>
      <c r="I6195" s="3" t="str">
        <f ca="1">IFERROR(__xludf.DUMMYFUNCTION("""COMPUTED_VALUE"""),"Nguyễn Hoàng Minh Thư")</f>
        <v>Nguyễn Hoàng Minh Thư</v>
      </c>
      <c r="J6195" s="3" t="str">
        <f ca="1">IFERROR(__xludf.DUMMYFUNCTION("""COMPUTED_VALUE"""),"0352014454")</f>
        <v>0352014454</v>
      </c>
      <c r="K6195" s="2" t="str">
        <f ca="1">IFERROR(__xludf.DUMMYFUNCTION("""COMPUTED_VALUE"""),"1762949724823")</f>
        <v>1762949724823</v>
      </c>
    </row>
    <row r="6196" spans="1:11" ht="12.45">
      <c r="A6196" s="2" t="str">
        <f ca="1">IFERROR(__xludf.DUMMYFUNCTION("""COMPUTED_VALUE"""),"1762949769534")</f>
        <v>1762949769534</v>
      </c>
      <c r="B6196" s="2"/>
      <c r="C6196" s="2" t="str">
        <v>0</v>
      </c>
      <c r="D6196" s="2"/>
      <c r="F6196" s="2" t="str">
        <v>0</v>
      </c>
      <c r="I6196" s="3" t="str">
        <f ca="1">IFERROR(__xludf.DUMMYFUNCTION("""COMPUTED_VALUE"""),"Lê phước hưng")</f>
        <v>Lê phước hưng</v>
      </c>
      <c r="J6196" s="3" t="str">
        <f ca="1">IFERROR(__xludf.DUMMYFUNCTION("""COMPUTED_VALUE"""),"0914161059")</f>
        <v>0914161059</v>
      </c>
      <c r="K6196" s="2" t="str">
        <f ca="1">IFERROR(__xludf.DUMMYFUNCTION("""COMPUTED_VALUE"""),"1762949769534")</f>
        <v>1762949769534</v>
      </c>
    </row>
    <row r="6197" spans="1:11" ht="12.45">
      <c r="A6197" s="2" t="str">
        <f ca="1">IFERROR(__xludf.DUMMYFUNCTION("""COMPUTED_VALUE"""),"Không giao sách")</f>
        <v>Không giao sách</v>
      </c>
      <c r="B6197" s="2"/>
      <c r="C6197" s="2" t="str">
        <v>0</v>
      </c>
      <c r="D6197" s="2"/>
      <c r="F6197" s="2" t="str">
        <v>0</v>
      </c>
      <c r="I6197" s="3" t="str">
        <f ca="1">IFERROR(__xludf.DUMMYFUNCTION("""COMPUTED_VALUE"""),"Dương Quỳnh Trang")</f>
        <v>Dương Quỳnh Trang</v>
      </c>
      <c r="J6197" s="3" t="str">
        <f ca="1">IFERROR(__xludf.DUMMYFUNCTION("""COMPUTED_VALUE"""),"0985644332")</f>
        <v>0985644332</v>
      </c>
      <c r="K6197" s="2" t="str">
        <f ca="1">IFERROR(__xludf.DUMMYFUNCTION("""COMPUTED_VALUE"""),"Không giao sách")</f>
        <v>Không giao sách</v>
      </c>
    </row>
    <row r="6198" spans="1:11" ht="12.45">
      <c r="A6198" s="2" t="str">
        <f ca="1">IFERROR(__xludf.DUMMYFUNCTION("""COMPUTED_VALUE"""),"1762949826034")</f>
        <v>1762949826034</v>
      </c>
      <c r="B6198" s="2"/>
      <c r="C6198" s="2" t="str">
        <v>0</v>
      </c>
      <c r="D6198" s="2"/>
      <c r="F6198" s="2" t="str">
        <v>0</v>
      </c>
      <c r="I6198" s="3" t="str">
        <f ca="1">IFERROR(__xludf.DUMMYFUNCTION("""COMPUTED_VALUE"""),"Hà Quỳnh Hoa")</f>
        <v>Hà Quỳnh Hoa</v>
      </c>
      <c r="J6198" s="3" t="str">
        <f ca="1">IFERROR(__xludf.DUMMYFUNCTION("""COMPUTED_VALUE"""),"0392194707")</f>
        <v>0392194707</v>
      </c>
      <c r="K6198" s="2" t="str">
        <f ca="1">IFERROR(__xludf.DUMMYFUNCTION("""COMPUTED_VALUE"""),"1762949826034")</f>
        <v>1762949826034</v>
      </c>
    </row>
    <row r="6199" spans="1:11" ht="12.45">
      <c r="A6199" s="2" t="str">
        <f ca="1">IFERROR(__xludf.DUMMYFUNCTION("""COMPUTED_VALUE"""),"1762949883212")</f>
        <v>1762949883212</v>
      </c>
      <c r="B6199" s="2"/>
      <c r="C6199" s="2" t="str">
        <v>0</v>
      </c>
      <c r="D6199" s="2"/>
      <c r="F6199" s="2" t="str">
        <v>0</v>
      </c>
      <c r="I6199" s="3" t="str">
        <f ca="1">IFERROR(__xludf.DUMMYFUNCTION("""COMPUTED_VALUE"""),"Đặng Lê Thái Hoàng")</f>
        <v>Đặng Lê Thái Hoàng</v>
      </c>
      <c r="J6199" s="3" t="str">
        <f ca="1">IFERROR(__xludf.DUMMYFUNCTION("""COMPUTED_VALUE"""),"0971328767")</f>
        <v>0971328767</v>
      </c>
      <c r="K6199" s="2" t="str">
        <f ca="1">IFERROR(__xludf.DUMMYFUNCTION("""COMPUTED_VALUE"""),"1762949883212")</f>
        <v>1762949883212</v>
      </c>
    </row>
    <row r="6200" spans="1:11" ht="12.45">
      <c r="A6200" s="2" t="str">
        <f ca="1">IFERROR(__xludf.DUMMYFUNCTION("""COMPUTED_VALUE"""),"1762949946214")</f>
        <v>1762949946214</v>
      </c>
      <c r="B6200" s="2"/>
      <c r="C6200" s="2" t="str">
        <v>0</v>
      </c>
      <c r="D6200" s="2"/>
      <c r="F6200" s="2" t="str">
        <v>0</v>
      </c>
      <c r="I6200" s="3" t="str">
        <f ca="1">IFERROR(__xludf.DUMMYFUNCTION("""COMPUTED_VALUE"""),"Hà Quỳnh Chi")</f>
        <v>Hà Quỳnh Chi</v>
      </c>
      <c r="J6200" s="3" t="str">
        <f ca="1">IFERROR(__xludf.DUMMYFUNCTION("""COMPUTED_VALUE"""),"0845242188")</f>
        <v>0845242188</v>
      </c>
      <c r="K6200" s="2" t="str">
        <f ca="1">IFERROR(__xludf.DUMMYFUNCTION("""COMPUTED_VALUE"""),"1762949946214")</f>
        <v>1762949946214</v>
      </c>
    </row>
    <row r="6201" spans="1:11" ht="12.45">
      <c r="A6201" s="2" t="str">
        <f ca="1">IFERROR(__xludf.DUMMYFUNCTION("""COMPUTED_VALUE"""),"1762949982699")</f>
        <v>1762949982699</v>
      </c>
      <c r="B6201" s="2"/>
      <c r="C6201" s="2" t="str">
        <v>0</v>
      </c>
      <c r="D6201" s="2"/>
      <c r="F6201" s="2" t="str">
        <v>0</v>
      </c>
      <c r="I6201" s="3" t="str">
        <f ca="1">IFERROR(__xludf.DUMMYFUNCTION("""COMPUTED_VALUE"""),"Nguyễn Thảo Ly")</f>
        <v>Nguyễn Thảo Ly</v>
      </c>
      <c r="J6201" s="3" t="str">
        <f ca="1">IFERROR(__xludf.DUMMYFUNCTION("""COMPUTED_VALUE"""),"0866366326")</f>
        <v>0866366326</v>
      </c>
      <c r="K6201" s="2" t="str">
        <f ca="1">IFERROR(__xludf.DUMMYFUNCTION("""COMPUTED_VALUE"""),"1762949982699")</f>
        <v>1762949982699</v>
      </c>
    </row>
    <row r="6202" spans="1:11" ht="12.45">
      <c r="A6202" s="2" t="str">
        <f ca="1">IFERROR(__xludf.DUMMYFUNCTION("""COMPUTED_VALUE"""),"1762950023232")</f>
        <v>1762950023232</v>
      </c>
      <c r="B6202" s="2"/>
      <c r="C6202" s="2" t="str">
        <v>0</v>
      </c>
      <c r="D6202" s="2"/>
      <c r="F6202" s="2" t="str">
        <v>0</v>
      </c>
      <c r="I6202" s="3" t="str">
        <f ca="1">IFERROR(__xludf.DUMMYFUNCTION("""COMPUTED_VALUE"""),"Nguyễn Ngọc Phương Mai")</f>
        <v>Nguyễn Ngọc Phương Mai</v>
      </c>
      <c r="J6202" s="3" t="str">
        <f ca="1">IFERROR(__xludf.DUMMYFUNCTION("""COMPUTED_VALUE"""),"0973023670")</f>
        <v>0973023670</v>
      </c>
      <c r="K6202" s="2" t="str">
        <f ca="1">IFERROR(__xludf.DUMMYFUNCTION("""COMPUTED_VALUE"""),"1762950023232")</f>
        <v>1762950023232</v>
      </c>
    </row>
    <row r="6203" spans="1:11" ht="12.45">
      <c r="A6203" s="2" t="str">
        <f ca="1">IFERROR(__xludf.DUMMYFUNCTION("""COMPUTED_VALUE"""),"1762950057230")</f>
        <v>1762950057230</v>
      </c>
      <c r="B6203" s="2"/>
      <c r="C6203" s="2" t="str">
        <v>0</v>
      </c>
      <c r="D6203" s="2"/>
      <c r="F6203" s="2" t="str">
        <v>0</v>
      </c>
      <c r="I6203" s="3" t="str">
        <f ca="1">IFERROR(__xludf.DUMMYFUNCTION("""COMPUTED_VALUE"""),"Huỳnh Như")</f>
        <v>Huỳnh Như</v>
      </c>
      <c r="J6203" s="3" t="str">
        <f ca="1">IFERROR(__xludf.DUMMYFUNCTION("""COMPUTED_VALUE"""),"0903135690")</f>
        <v>0903135690</v>
      </c>
      <c r="K6203" s="2" t="str">
        <f ca="1">IFERROR(__xludf.DUMMYFUNCTION("""COMPUTED_VALUE"""),"1762950057230")</f>
        <v>1762950057230</v>
      </c>
    </row>
    <row r="6204" spans="1:11" ht="12.45">
      <c r="A6204" s="2" t="str">
        <f ca="1">IFERROR(__xludf.DUMMYFUNCTION("""COMPUTED_VALUE"""),"1762950106816")</f>
        <v>1762950106816</v>
      </c>
      <c r="B6204" s="2"/>
      <c r="C6204" s="2" t="str">
        <v>0</v>
      </c>
      <c r="D6204" s="2"/>
      <c r="F6204" s="2" t="str">
        <v>0</v>
      </c>
      <c r="I6204" s="3" t="str">
        <f ca="1">IFERROR(__xludf.DUMMYFUNCTION("""COMPUTED_VALUE"""),"Nông Thị Minh Thư")</f>
        <v>Nông Thị Minh Thư</v>
      </c>
      <c r="J6204" s="3" t="str">
        <f ca="1">IFERROR(__xludf.DUMMYFUNCTION("""COMPUTED_VALUE"""),"0362449217")</f>
        <v>0362449217</v>
      </c>
      <c r="K6204" s="2" t="str">
        <f ca="1">IFERROR(__xludf.DUMMYFUNCTION("""COMPUTED_VALUE"""),"1762950106816")</f>
        <v>1762950106816</v>
      </c>
    </row>
    <row r="6205" spans="1:11" ht="12.45">
      <c r="A6205" s="2" t="str">
        <f ca="1">IFERROR(__xludf.DUMMYFUNCTION("""COMPUTED_VALUE"""),"1762950149987")</f>
        <v>1762950149987</v>
      </c>
      <c r="B6205" s="2"/>
      <c r="C6205" s="2" t="str">
        <v>0</v>
      </c>
      <c r="D6205" s="2"/>
      <c r="F6205" s="2" t="str">
        <v>0</v>
      </c>
      <c r="I6205" s="3" t="str">
        <f ca="1">IFERROR(__xludf.DUMMYFUNCTION("""COMPUTED_VALUE"""),"Nguyễn Hải Anh")</f>
        <v>Nguyễn Hải Anh</v>
      </c>
      <c r="J6205" s="3" t="str">
        <f ca="1">IFERROR(__xludf.DUMMYFUNCTION("""COMPUTED_VALUE"""),"0986896207")</f>
        <v>0986896207</v>
      </c>
      <c r="K6205" s="2" t="str">
        <f ca="1">IFERROR(__xludf.DUMMYFUNCTION("""COMPUTED_VALUE"""),"1762950149987")</f>
        <v>1762950149987</v>
      </c>
    </row>
    <row r="6206" spans="1:11" ht="12.45">
      <c r="A6206" s="2" t="str">
        <f ca="1">IFERROR(__xludf.DUMMYFUNCTION("""COMPUTED_VALUE"""),"1762950192875")</f>
        <v>1762950192875</v>
      </c>
      <c r="B6206" s="2"/>
      <c r="C6206" s="2" t="str">
        <v>0</v>
      </c>
      <c r="D6206" s="2"/>
      <c r="F6206" s="2" t="str">
        <v>0</v>
      </c>
      <c r="I6206" s="3" t="str">
        <f ca="1">IFERROR(__xludf.DUMMYFUNCTION("""COMPUTED_VALUE"""),"Nguyễn Thu Hương")</f>
        <v>Nguyễn Thu Hương</v>
      </c>
      <c r="J6206" s="3" t="str">
        <f ca="1">IFERROR(__xludf.DUMMYFUNCTION("""COMPUTED_VALUE"""),"0896439306")</f>
        <v>0896439306</v>
      </c>
      <c r="K6206" s="2" t="str">
        <f ca="1">IFERROR(__xludf.DUMMYFUNCTION("""COMPUTED_VALUE"""),"1762950192875")</f>
        <v>1762950192875</v>
      </c>
    </row>
    <row r="6207" spans="1:11" ht="12.45">
      <c r="A6207" s="2" t="str">
        <f ca="1">IFERROR(__xludf.DUMMYFUNCTION("""COMPUTED_VALUE"""),"1762950225719")</f>
        <v>1762950225719</v>
      </c>
      <c r="B6207" s="2"/>
      <c r="C6207" s="2" t="str">
        <v>0</v>
      </c>
      <c r="D6207" s="2"/>
      <c r="F6207" s="2" t="str">
        <v>0</v>
      </c>
      <c r="I6207" s="3" t="str">
        <f ca="1">IFERROR(__xludf.DUMMYFUNCTION("""COMPUTED_VALUE"""),"Thạch Bảo Khanh")</f>
        <v>Thạch Bảo Khanh</v>
      </c>
      <c r="J6207" s="3" t="str">
        <f ca="1">IFERROR(__xludf.DUMMYFUNCTION("""COMPUTED_VALUE"""),"0865102007")</f>
        <v>0865102007</v>
      </c>
      <c r="K6207" s="2" t="str">
        <f ca="1">IFERROR(__xludf.DUMMYFUNCTION("""COMPUTED_VALUE"""),"1762950225719")</f>
        <v>1762950225719</v>
      </c>
    </row>
    <row r="6208" spans="1:11" ht="12.45">
      <c r="A6208" s="2" t="str">
        <f ca="1">IFERROR(__xludf.DUMMYFUNCTION("""COMPUTED_VALUE"""),"1762950280738")</f>
        <v>1762950280738</v>
      </c>
      <c r="B6208" s="2"/>
      <c r="C6208" s="2" t="str">
        <v>0</v>
      </c>
      <c r="D6208" s="2"/>
      <c r="F6208" s="2" t="str">
        <v>0</v>
      </c>
      <c r="I6208" s="3" t="str">
        <f ca="1">IFERROR(__xludf.DUMMYFUNCTION("""COMPUTED_VALUE"""),"Trần Thu Phương ")</f>
        <v xml:space="preserve">Trần Thu Phương </v>
      </c>
      <c r="J6208" s="3" t="str">
        <f ca="1">IFERROR(__xludf.DUMMYFUNCTION("""COMPUTED_VALUE"""),"0366031928")</f>
        <v>0366031928</v>
      </c>
      <c r="K6208" s="2" t="str">
        <f ca="1">IFERROR(__xludf.DUMMYFUNCTION("""COMPUTED_VALUE"""),"1762950280738")</f>
        <v>1762950280738</v>
      </c>
    </row>
    <row r="6209" spans="1:11" ht="12.45">
      <c r="A6209" s="2" t="str">
        <f ca="1">IFERROR(__xludf.DUMMYFUNCTION("""COMPUTED_VALUE"""),"1762950320417")</f>
        <v>1762950320417</v>
      </c>
      <c r="B6209" s="2"/>
      <c r="C6209" s="2" t="str">
        <v>0</v>
      </c>
      <c r="D6209" s="2"/>
      <c r="F6209" s="2" t="str">
        <v>0</v>
      </c>
      <c r="I6209" s="3" t="str">
        <f ca="1">IFERROR(__xludf.DUMMYFUNCTION("""COMPUTED_VALUE"""),"Phạm Thúy Hiền")</f>
        <v>Phạm Thúy Hiền</v>
      </c>
      <c r="J6209" s="3" t="str">
        <f ca="1">IFERROR(__xludf.DUMMYFUNCTION("""COMPUTED_VALUE"""),"0978485063")</f>
        <v>0978485063</v>
      </c>
      <c r="K6209" s="2" t="str">
        <f ca="1">IFERROR(__xludf.DUMMYFUNCTION("""COMPUTED_VALUE"""),"1762950320417")</f>
        <v>1762950320417</v>
      </c>
    </row>
    <row r="6210" spans="1:11" ht="12.45">
      <c r="A6210" s="2" t="str">
        <f ca="1">IFERROR(__xludf.DUMMYFUNCTION("""COMPUTED_VALUE"""),"Không giao sách")</f>
        <v>Không giao sách</v>
      </c>
      <c r="B6210" s="2"/>
      <c r="C6210" s="2" t="str">
        <v>0</v>
      </c>
      <c r="D6210" s="2"/>
      <c r="F6210" s="2" t="str">
        <v>0</v>
      </c>
      <c r="I6210" s="3" t="str">
        <f ca="1">IFERROR(__xludf.DUMMYFUNCTION("""COMPUTED_VALUE"""),"Nguyễn Khánh Ly")</f>
        <v>Nguyễn Khánh Ly</v>
      </c>
      <c r="J6210" s="3" t="str">
        <f ca="1">IFERROR(__xludf.DUMMYFUNCTION("""COMPUTED_VALUE"""),"0398510486")</f>
        <v>0398510486</v>
      </c>
      <c r="K6210" s="2" t="str">
        <f ca="1">IFERROR(__xludf.DUMMYFUNCTION("""COMPUTED_VALUE"""),"Không giao sách")</f>
        <v>Không giao sách</v>
      </c>
    </row>
    <row r="6211" spans="1:11" ht="12.45">
      <c r="A6211" s="2" t="str">
        <f ca="1">IFERROR(__xludf.DUMMYFUNCTION("""COMPUTED_VALUE"""),"1762950368526")</f>
        <v>1762950368526</v>
      </c>
      <c r="B6211" s="2"/>
      <c r="C6211" s="2" t="str">
        <v>0</v>
      </c>
      <c r="D6211" s="2"/>
      <c r="F6211" s="2" t="str">
        <v>0</v>
      </c>
      <c r="I6211" s="3" t="str">
        <f ca="1">IFERROR(__xludf.DUMMYFUNCTION("""COMPUTED_VALUE"""),"Hoàng Trọng Tâm")</f>
        <v>Hoàng Trọng Tâm</v>
      </c>
      <c r="J6211" s="3" t="str">
        <f ca="1">IFERROR(__xludf.DUMMYFUNCTION("""COMPUTED_VALUE"""),"0363210646")</f>
        <v>0363210646</v>
      </c>
      <c r="K6211" s="2" t="str">
        <f ca="1">IFERROR(__xludf.DUMMYFUNCTION("""COMPUTED_VALUE"""),"1762950368526")</f>
        <v>1762950368526</v>
      </c>
    </row>
    <row r="6212" spans="1:11" ht="12.45">
      <c r="A6212" s="2" t="str">
        <f ca="1">IFERROR(__xludf.DUMMYFUNCTION("""COMPUTED_VALUE"""),"1762950409800")</f>
        <v>1762950409800</v>
      </c>
      <c r="B6212" s="2"/>
      <c r="C6212" s="2" t="str">
        <v>0</v>
      </c>
      <c r="D6212" s="2"/>
      <c r="F6212" s="2" t="str">
        <v>0</v>
      </c>
      <c r="I6212" s="3" t="str">
        <f ca="1">IFERROR(__xludf.DUMMYFUNCTION("""COMPUTED_VALUE"""),"Nguyễn Trọng Nguyên Vũ")</f>
        <v>Nguyễn Trọng Nguyên Vũ</v>
      </c>
      <c r="J6212" s="3" t="str">
        <f ca="1">IFERROR(__xludf.DUMMYFUNCTION("""COMPUTED_VALUE"""),"0344297367")</f>
        <v>0344297367</v>
      </c>
      <c r="K6212" s="2" t="str">
        <f ca="1">IFERROR(__xludf.DUMMYFUNCTION("""COMPUTED_VALUE"""),"1762950409800")</f>
        <v>1762950409800</v>
      </c>
    </row>
    <row r="6213" spans="1:11" ht="12.45">
      <c r="A6213" s="2" t="str">
        <f ca="1">IFERROR(__xludf.DUMMYFUNCTION("""COMPUTED_VALUE"""),"1762950487881")</f>
        <v>1762950487881</v>
      </c>
      <c r="B6213" s="2"/>
      <c r="C6213" s="2" t="str">
        <v>0</v>
      </c>
      <c r="D6213" s="2"/>
      <c r="F6213" s="2" t="str">
        <v>0</v>
      </c>
      <c r="I6213" s="3" t="str">
        <f ca="1">IFERROR(__xludf.DUMMYFUNCTION("""COMPUTED_VALUE"""),"CAO TRƯƠNG BÍCH HÀ")</f>
        <v>CAO TRƯƠNG BÍCH HÀ</v>
      </c>
      <c r="J6213" s="3" t="str">
        <f ca="1">IFERROR(__xludf.DUMMYFUNCTION("""COMPUTED_VALUE"""),"0398413006")</f>
        <v>0398413006</v>
      </c>
      <c r="K6213" s="2" t="str">
        <f ca="1">IFERROR(__xludf.DUMMYFUNCTION("""COMPUTED_VALUE"""),"1762950487881")</f>
        <v>1762950487881</v>
      </c>
    </row>
    <row r="6214" spans="1:11" ht="12.45">
      <c r="A6214" s="2" t="str">
        <f ca="1">IFERROR(__xludf.DUMMYFUNCTION("""COMPUTED_VALUE"""),"1762950568991")</f>
        <v>1762950568991</v>
      </c>
      <c r="B6214" s="2"/>
      <c r="C6214" s="2" t="str">
        <v>0</v>
      </c>
      <c r="D6214" s="2"/>
      <c r="F6214" s="2" t="str">
        <v>0</v>
      </c>
      <c r="I6214" s="3" t="str">
        <f ca="1">IFERROR(__xludf.DUMMYFUNCTION("""COMPUTED_VALUE"""),"Vũ Lê An Nguyên")</f>
        <v>Vũ Lê An Nguyên</v>
      </c>
      <c r="J6214" s="3" t="str">
        <f ca="1">IFERROR(__xludf.DUMMYFUNCTION("""COMPUTED_VALUE"""),"0865240907")</f>
        <v>0865240907</v>
      </c>
      <c r="K6214" s="2" t="str">
        <f ca="1">IFERROR(__xludf.DUMMYFUNCTION("""COMPUTED_VALUE"""),"1762950568991")</f>
        <v>1762950568991</v>
      </c>
    </row>
    <row r="6215" spans="1:11" ht="12.45">
      <c r="A6215" s="2" t="str">
        <f ca="1">IFERROR(__xludf.DUMMYFUNCTION("""COMPUTED_VALUE"""),"1762950604172")</f>
        <v>1762950604172</v>
      </c>
      <c r="B6215" s="2"/>
      <c r="C6215" s="2" t="str">
        <v>0</v>
      </c>
      <c r="D6215" s="2"/>
      <c r="F6215" s="2" t="str">
        <v>0</v>
      </c>
      <c r="I6215" s="3" t="str">
        <f ca="1">IFERROR(__xludf.DUMMYFUNCTION("""COMPUTED_VALUE"""),"Phạm Thị Tuyết")</f>
        <v>Phạm Thị Tuyết</v>
      </c>
      <c r="J6215" s="3" t="str">
        <f ca="1">IFERROR(__xludf.DUMMYFUNCTION("""COMPUTED_VALUE"""),"0397182223")</f>
        <v>0397182223</v>
      </c>
      <c r="K6215" s="2" t="str">
        <f ca="1">IFERROR(__xludf.DUMMYFUNCTION("""COMPUTED_VALUE"""),"1762950604172")</f>
        <v>1762950604172</v>
      </c>
    </row>
    <row r="6216" spans="1:11" ht="12.45">
      <c r="A6216" s="2" t="str">
        <f ca="1">IFERROR(__xludf.DUMMYFUNCTION("""COMPUTED_VALUE"""),"1762950644951")</f>
        <v>1762950644951</v>
      </c>
      <c r="B6216" s="2"/>
      <c r="C6216" s="2" t="str">
        <v>0</v>
      </c>
      <c r="D6216" s="2"/>
      <c r="F6216" s="2" t="str">
        <v>0</v>
      </c>
      <c r="I6216" s="3" t="str">
        <f ca="1">IFERROR(__xludf.DUMMYFUNCTION("""COMPUTED_VALUE"""),"Luân Cần Việt Hoàng")</f>
        <v>Luân Cần Việt Hoàng</v>
      </c>
      <c r="J6216" s="3" t="str">
        <f ca="1">IFERROR(__xludf.DUMMYFUNCTION("""COMPUTED_VALUE"""),"0328298207")</f>
        <v>0328298207</v>
      </c>
      <c r="K6216" s="2" t="str">
        <f ca="1">IFERROR(__xludf.DUMMYFUNCTION("""COMPUTED_VALUE"""),"1762950644951")</f>
        <v>1762950644951</v>
      </c>
    </row>
    <row r="6217" spans="1:11" ht="12.45">
      <c r="A6217" s="2" t="str">
        <f ca="1">IFERROR(__xludf.DUMMYFUNCTION("""COMPUTED_VALUE"""),"1762949260913")</f>
        <v>1762949260913</v>
      </c>
      <c r="B6217" s="2"/>
      <c r="C6217" s="2" t="str">
        <v>0</v>
      </c>
      <c r="D6217" s="2"/>
      <c r="F6217" s="2" t="str">
        <v>0</v>
      </c>
      <c r="I6217" s="3" t="str">
        <f ca="1">IFERROR(__xludf.DUMMYFUNCTION("""COMPUTED_VALUE"""),"Lò Quyền Anh")</f>
        <v>Lò Quyền Anh</v>
      </c>
      <c r="J6217" s="3" t="str">
        <f ca="1">IFERROR(__xludf.DUMMYFUNCTION("""COMPUTED_VALUE"""),"0338281256")</f>
        <v>0338281256</v>
      </c>
      <c r="K6217" s="2" t="str">
        <f ca="1">IFERROR(__xludf.DUMMYFUNCTION("""COMPUTED_VALUE"""),"1762949260913")</f>
        <v>1762949260913</v>
      </c>
    </row>
    <row r="6218" spans="1:11" ht="12.45">
      <c r="A6218" s="2" t="str">
        <f ca="1">IFERROR(__xludf.DUMMYFUNCTION("""COMPUTED_VALUE"""),"1762308986780")</f>
        <v>1762308986780</v>
      </c>
      <c r="B6218" s="2"/>
      <c r="C6218" s="2" t="str">
        <v>0</v>
      </c>
      <c r="D6218" s="2"/>
      <c r="F6218" s="2" t="str">
        <v>0</v>
      </c>
      <c r="I6218" s="3" t="str">
        <f ca="1">IFERROR(__xludf.DUMMYFUNCTION("""COMPUTED_VALUE"""),"Phạm Lê Minh Hải ")</f>
        <v xml:space="preserve">Phạm Lê Minh Hải </v>
      </c>
      <c r="J6218" s="3" t="str">
        <f ca="1">IFERROR(__xludf.DUMMYFUNCTION("""COMPUTED_VALUE"""),"0915788981")</f>
        <v>0915788981</v>
      </c>
      <c r="K6218" s="2" t="str">
        <f ca="1">IFERROR(__xludf.DUMMYFUNCTION("""COMPUTED_VALUE"""),"1762308986780")</f>
        <v>1762308986780</v>
      </c>
    </row>
    <row r="6219" spans="1:11" ht="12.45">
      <c r="A6219" s="2" t="str">
        <f ca="1">IFERROR(__xludf.DUMMYFUNCTION("""COMPUTED_VALUE"""),"1762309039682")</f>
        <v>1762309039682</v>
      </c>
      <c r="B6219" s="2"/>
      <c r="C6219" s="2" t="str">
        <v>0</v>
      </c>
      <c r="D6219" s="2"/>
      <c r="F6219" s="2" t="str">
        <v>0</v>
      </c>
      <c r="I6219" s="3" t="str">
        <f ca="1">IFERROR(__xludf.DUMMYFUNCTION("""COMPUTED_VALUE"""),"Trần Thị Kim Oanh ")</f>
        <v xml:space="preserve">Trần Thị Kim Oanh </v>
      </c>
      <c r="J6219" s="3" t="str">
        <f ca="1">IFERROR(__xludf.DUMMYFUNCTION("""COMPUTED_VALUE"""),"0332023932")</f>
        <v>0332023932</v>
      </c>
      <c r="K6219" s="2" t="str">
        <f ca="1">IFERROR(__xludf.DUMMYFUNCTION("""COMPUTED_VALUE"""),"1762309039682")</f>
        <v>1762309039682</v>
      </c>
    </row>
    <row r="6220" spans="1:11" ht="12.45">
      <c r="A6220" s="2" t="str">
        <f ca="1">IFERROR(__xludf.DUMMYFUNCTION("""COMPUTED_VALUE"""),"1762309099427")</f>
        <v>1762309099427</v>
      </c>
      <c r="B6220" s="2"/>
      <c r="C6220" s="2" t="str">
        <v>0</v>
      </c>
      <c r="D6220" s="2"/>
      <c r="F6220" s="2" t="str">
        <v>0</v>
      </c>
      <c r="I6220" s="3" t="str">
        <f ca="1">IFERROR(__xludf.DUMMYFUNCTION("""COMPUTED_VALUE"""),"Phạm Thu An")</f>
        <v>Phạm Thu An</v>
      </c>
      <c r="J6220" s="3" t="str">
        <f ca="1">IFERROR(__xludf.DUMMYFUNCTION("""COMPUTED_VALUE"""),"0348463592")</f>
        <v>0348463592</v>
      </c>
      <c r="K6220" s="2" t="str">
        <f ca="1">IFERROR(__xludf.DUMMYFUNCTION("""COMPUTED_VALUE"""),"1762309099427")</f>
        <v>1762309099427</v>
      </c>
    </row>
    <row r="6221" spans="1:11" ht="12.45">
      <c r="A6221" s="2" t="str">
        <f ca="1">IFERROR(__xludf.DUMMYFUNCTION("""COMPUTED_VALUE"""),"1762309150854")</f>
        <v>1762309150854</v>
      </c>
      <c r="B6221" s="2"/>
      <c r="C6221" s="2" t="str">
        <v>0</v>
      </c>
      <c r="D6221" s="2"/>
      <c r="F6221" s="2" t="str">
        <v>0</v>
      </c>
      <c r="I6221" s="3" t="str">
        <f ca="1">IFERROR(__xludf.DUMMYFUNCTION("""COMPUTED_VALUE"""),"Đỗ Đan Phúc")</f>
        <v>Đỗ Đan Phúc</v>
      </c>
      <c r="J6221" s="3" t="str">
        <f ca="1">IFERROR(__xludf.DUMMYFUNCTION("""COMPUTED_VALUE"""),"0383526569")</f>
        <v>0383526569</v>
      </c>
      <c r="K6221" s="2" t="str">
        <f ca="1">IFERROR(__xludf.DUMMYFUNCTION("""COMPUTED_VALUE"""),"1762309150854")</f>
        <v>1762309150854</v>
      </c>
    </row>
    <row r="6222" spans="1:11" ht="12.45">
      <c r="A6222" s="2" t="str">
        <f ca="1">IFERROR(__xludf.DUMMYFUNCTION("""COMPUTED_VALUE"""),"Không giao sách")</f>
        <v>Không giao sách</v>
      </c>
      <c r="B6222" s="2"/>
      <c r="C6222" s="2" t="str">
        <v>0</v>
      </c>
      <c r="D6222" s="2"/>
      <c r="F6222" s="2" t="str">
        <v>0</v>
      </c>
      <c r="I6222" s="3" t="str">
        <f ca="1">IFERROR(__xludf.DUMMYFUNCTION("""COMPUTED_VALUE"""),"Huỳnh Thiên Phương")</f>
        <v>Huỳnh Thiên Phương</v>
      </c>
      <c r="J6222" s="3" t="str">
        <f ca="1">IFERROR(__xludf.DUMMYFUNCTION("""COMPUTED_VALUE"""),"0762800308")</f>
        <v>0762800308</v>
      </c>
      <c r="K6222" s="2" t="str">
        <f ca="1">IFERROR(__xludf.DUMMYFUNCTION("""COMPUTED_VALUE"""),"Không giao sách")</f>
        <v>Không giao sách</v>
      </c>
    </row>
    <row r="6223" spans="1:11" ht="12.45">
      <c r="A6223" s="2" t="str">
        <f ca="1">IFERROR(__xludf.DUMMYFUNCTION("""COMPUTED_VALUE"""),"1762309210465")</f>
        <v>1762309210465</v>
      </c>
      <c r="B6223" s="2"/>
      <c r="C6223" s="2" t="str">
        <v>0</v>
      </c>
      <c r="D6223" s="2"/>
      <c r="F6223" s="2" t="str">
        <v>0</v>
      </c>
      <c r="I6223" s="3" t="str">
        <f ca="1">IFERROR(__xludf.DUMMYFUNCTION("""COMPUTED_VALUE"""),"Trần Thị Kim Thảo")</f>
        <v>Trần Thị Kim Thảo</v>
      </c>
      <c r="J6223" s="3" t="str">
        <f ca="1">IFERROR(__xludf.DUMMYFUNCTION("""COMPUTED_VALUE"""),"0398200365")</f>
        <v>0398200365</v>
      </c>
      <c r="K6223" s="2" t="str">
        <f ca="1">IFERROR(__xludf.DUMMYFUNCTION("""COMPUTED_VALUE"""),"1762309210465")</f>
        <v>1762309210465</v>
      </c>
    </row>
    <row r="6224" spans="1:11" ht="12.45">
      <c r="A6224" s="2" t="str">
        <f ca="1">IFERROR(__xludf.DUMMYFUNCTION("""COMPUTED_VALUE"""),"Không giao sách")</f>
        <v>Không giao sách</v>
      </c>
      <c r="B6224" s="2"/>
      <c r="C6224" s="2" t="str">
        <v>0</v>
      </c>
      <c r="D6224" s="2"/>
      <c r="F6224" s="2" t="str">
        <v>0</v>
      </c>
      <c r="I6224" s="3" t="str">
        <f ca="1">IFERROR(__xludf.DUMMYFUNCTION("""COMPUTED_VALUE"""),"Phạm Thuỳ Vân")</f>
        <v>Phạm Thuỳ Vân</v>
      </c>
      <c r="J6224" s="3" t="str">
        <f ca="1">IFERROR(__xludf.DUMMYFUNCTION("""COMPUTED_VALUE"""),"0774469164")</f>
        <v>0774469164</v>
      </c>
      <c r="K6224" s="2" t="str">
        <f ca="1">IFERROR(__xludf.DUMMYFUNCTION("""COMPUTED_VALUE"""),"Không giao sách")</f>
        <v>Không giao sách</v>
      </c>
    </row>
    <row r="6225" spans="1:11" ht="12.45">
      <c r="A6225" s="2" t="str">
        <f ca="1">IFERROR(__xludf.DUMMYFUNCTION("""COMPUTED_VALUE"""),"1762309277975")</f>
        <v>1762309277975</v>
      </c>
      <c r="B6225" s="2"/>
      <c r="C6225" s="2" t="str">
        <v>0</v>
      </c>
      <c r="D6225" s="2"/>
      <c r="F6225" s="2" t="str">
        <v>0</v>
      </c>
      <c r="I6225" s="3" t="str">
        <f ca="1">IFERROR(__xludf.DUMMYFUNCTION("""COMPUTED_VALUE"""),"Trần Thị Minh Vy")</f>
        <v>Trần Thị Minh Vy</v>
      </c>
      <c r="J6225" s="3" t="str">
        <f ca="1">IFERROR(__xludf.DUMMYFUNCTION("""COMPUTED_VALUE"""),"0865976457")</f>
        <v>0865976457</v>
      </c>
      <c r="K6225" s="2" t="str">
        <f ca="1">IFERROR(__xludf.DUMMYFUNCTION("""COMPUTED_VALUE"""),"1762309277975")</f>
        <v>1762309277975</v>
      </c>
    </row>
    <row r="6226" spans="1:11" ht="12.45">
      <c r="A6226" s="2" t="str">
        <f ca="1">IFERROR(__xludf.DUMMYFUNCTION("""COMPUTED_VALUE"""),"1762309352651")</f>
        <v>1762309352651</v>
      </c>
      <c r="B6226" s="2"/>
      <c r="C6226" s="2" t="str">
        <v>0</v>
      </c>
      <c r="D6226" s="2"/>
      <c r="F6226" s="2" t="str">
        <v>0</v>
      </c>
      <c r="I6226" s="3" t="str">
        <f ca="1">IFERROR(__xludf.DUMMYFUNCTION("""COMPUTED_VALUE"""),"Lê Thuỳ Hằng")</f>
        <v>Lê Thuỳ Hằng</v>
      </c>
      <c r="J6226" s="3" t="str">
        <f ca="1">IFERROR(__xludf.DUMMYFUNCTION("""COMPUTED_VALUE"""),"0355631486")</f>
        <v>0355631486</v>
      </c>
      <c r="K6226" s="2" t="str">
        <f ca="1">IFERROR(__xludf.DUMMYFUNCTION("""COMPUTED_VALUE"""),"1762309352651")</f>
        <v>1762309352651</v>
      </c>
    </row>
    <row r="6227" spans="1:11" ht="12.45">
      <c r="A6227" s="2" t="str">
        <f ca="1">IFERROR(__xludf.DUMMYFUNCTION("""COMPUTED_VALUE"""),"1762309418901")</f>
        <v>1762309418901</v>
      </c>
      <c r="B6227" s="2"/>
      <c r="C6227" s="2" t="str">
        <v>0</v>
      </c>
      <c r="D6227" s="2"/>
      <c r="F6227" s="2" t="str">
        <v>0</v>
      </c>
      <c r="I6227" s="3" t="str">
        <f ca="1">IFERROR(__xludf.DUMMYFUNCTION("""COMPUTED_VALUE"""),"Vương Huyền Trang")</f>
        <v>Vương Huyền Trang</v>
      </c>
      <c r="J6227" s="3" t="str">
        <f ca="1">IFERROR(__xludf.DUMMYFUNCTION("""COMPUTED_VALUE"""),"0387696207")</f>
        <v>0387696207</v>
      </c>
      <c r="K6227" s="2" t="str">
        <f ca="1">IFERROR(__xludf.DUMMYFUNCTION("""COMPUTED_VALUE"""),"1762309418901")</f>
        <v>1762309418901</v>
      </c>
    </row>
    <row r="6228" spans="1:11" ht="12.45">
      <c r="A6228" s="2" t="str">
        <f ca="1">IFERROR(__xludf.DUMMYFUNCTION("""COMPUTED_VALUE"""),"1762309487516")</f>
        <v>1762309487516</v>
      </c>
      <c r="B6228" s="2"/>
      <c r="C6228" s="2" t="str">
        <v>0</v>
      </c>
      <c r="D6228" s="2"/>
      <c r="F6228" s="2" t="str">
        <v>0</v>
      </c>
      <c r="I6228" s="3" t="str">
        <f ca="1">IFERROR(__xludf.DUMMYFUNCTION("""COMPUTED_VALUE"""),"Trương Thùy Dung ")</f>
        <v xml:space="preserve">Trương Thùy Dung </v>
      </c>
      <c r="J6228" s="3" t="str">
        <f ca="1">IFERROR(__xludf.DUMMYFUNCTION("""COMPUTED_VALUE"""),"0822882682")</f>
        <v>0822882682</v>
      </c>
      <c r="K6228" s="2" t="str">
        <f ca="1">IFERROR(__xludf.DUMMYFUNCTION("""COMPUTED_VALUE"""),"1762309487516")</f>
        <v>1762309487516</v>
      </c>
    </row>
    <row r="6229" spans="1:11" ht="12.45">
      <c r="A6229" s="2" t="str">
        <f ca="1">IFERROR(__xludf.DUMMYFUNCTION("""COMPUTED_VALUE"""),"1762309551214")</f>
        <v>1762309551214</v>
      </c>
      <c r="B6229" s="2"/>
      <c r="C6229" s="2" t="str">
        <v>0</v>
      </c>
      <c r="D6229" s="2"/>
      <c r="F6229" s="2" t="str">
        <v>0</v>
      </c>
      <c r="I6229" s="3" t="str">
        <f ca="1">IFERROR(__xludf.DUMMYFUNCTION("""COMPUTED_VALUE"""),"Trương Võ Diễm Quỳnh ")</f>
        <v xml:space="preserve">Trương Võ Diễm Quỳnh </v>
      </c>
      <c r="J6229" s="3" t="str">
        <f ca="1">IFERROR(__xludf.DUMMYFUNCTION("""COMPUTED_VALUE"""),"0379837043")</f>
        <v>0379837043</v>
      </c>
      <c r="K6229" s="2" t="str">
        <f ca="1">IFERROR(__xludf.DUMMYFUNCTION("""COMPUTED_VALUE"""),"1762309551214")</f>
        <v>1762309551214</v>
      </c>
    </row>
    <row r="6230" spans="1:11" ht="12.45">
      <c r="A6230" s="2" t="str">
        <f ca="1">IFERROR(__xludf.DUMMYFUNCTION("""COMPUTED_VALUE"""),"1762309613829")</f>
        <v>1762309613829</v>
      </c>
      <c r="B6230" s="2"/>
      <c r="C6230" s="2" t="str">
        <v>0</v>
      </c>
      <c r="D6230" s="2"/>
      <c r="F6230" s="2" t="str">
        <v>0</v>
      </c>
      <c r="I6230" s="3" t="str">
        <f ca="1">IFERROR(__xludf.DUMMYFUNCTION("""COMPUTED_VALUE"""),"Nguyễn Thị Vân Anh")</f>
        <v>Nguyễn Thị Vân Anh</v>
      </c>
      <c r="J6230" s="3" t="str">
        <f ca="1">IFERROR(__xludf.DUMMYFUNCTION("""COMPUTED_VALUE"""),"0359571298")</f>
        <v>0359571298</v>
      </c>
      <c r="K6230" s="2" t="str">
        <f ca="1">IFERROR(__xludf.DUMMYFUNCTION("""COMPUTED_VALUE"""),"1762309613829")</f>
        <v>1762309613829</v>
      </c>
    </row>
    <row r="6231" spans="1:11" ht="12.45">
      <c r="A6231" s="2" t="str">
        <f ca="1">IFERROR(__xludf.DUMMYFUNCTION("""COMPUTED_VALUE"""),"1762309656267")</f>
        <v>1762309656267</v>
      </c>
      <c r="B6231" s="2"/>
      <c r="C6231" s="2" t="str">
        <v>0</v>
      </c>
      <c r="D6231" s="2"/>
      <c r="F6231" s="2" t="str">
        <v>0</v>
      </c>
      <c r="I6231" s="3" t="str">
        <f ca="1">IFERROR(__xludf.DUMMYFUNCTION("""COMPUTED_VALUE"""),"Nguyễn Thị Phương Linh")</f>
        <v>Nguyễn Thị Phương Linh</v>
      </c>
      <c r="J6231" s="3" t="str">
        <f ca="1">IFERROR(__xludf.DUMMYFUNCTION("""COMPUTED_VALUE"""),"0337812305")</f>
        <v>0337812305</v>
      </c>
      <c r="K6231" s="2" t="str">
        <f ca="1">IFERROR(__xludf.DUMMYFUNCTION("""COMPUTED_VALUE"""),"1762309656267")</f>
        <v>1762309656267</v>
      </c>
    </row>
    <row r="6232" spans="1:11" ht="12.45">
      <c r="A6232" s="2" t="str">
        <f ca="1">IFERROR(__xludf.DUMMYFUNCTION("""COMPUTED_VALUE"""),"1762309727882")</f>
        <v>1762309727882</v>
      </c>
      <c r="B6232" s="2"/>
      <c r="C6232" s="2" t="str">
        <v>0</v>
      </c>
      <c r="D6232" s="2"/>
      <c r="F6232" s="2" t="str">
        <v>0</v>
      </c>
      <c r="I6232" s="3" t="str">
        <f ca="1">IFERROR(__xludf.DUMMYFUNCTION("""COMPUTED_VALUE"""),"Nguyễn Minh Thuận ")</f>
        <v xml:space="preserve">Nguyễn Minh Thuận </v>
      </c>
      <c r="J6232" s="3" t="str">
        <f ca="1">IFERROR(__xludf.DUMMYFUNCTION("""COMPUTED_VALUE"""),"0792509421")</f>
        <v>0792509421</v>
      </c>
      <c r="K6232" s="2" t="str">
        <f ca="1">IFERROR(__xludf.DUMMYFUNCTION("""COMPUTED_VALUE"""),"1762309727882")</f>
        <v>1762309727882</v>
      </c>
    </row>
    <row r="6233" spans="1:11" ht="12.45">
      <c r="A6233" s="2" t="str">
        <f ca="1">IFERROR(__xludf.DUMMYFUNCTION("""COMPUTED_VALUE"""),"1762309780790")</f>
        <v>1762309780790</v>
      </c>
      <c r="B6233" s="2"/>
      <c r="C6233" s="2" t="str">
        <v>0</v>
      </c>
      <c r="D6233" s="2"/>
      <c r="F6233" s="2" t="str">
        <v>0</v>
      </c>
      <c r="I6233" s="3" t="str">
        <f ca="1">IFERROR(__xludf.DUMMYFUNCTION("""COMPUTED_VALUE"""),"Nguyễn Diệu Quỳnh")</f>
        <v>Nguyễn Diệu Quỳnh</v>
      </c>
      <c r="J6233" s="3" t="str">
        <f ca="1">IFERROR(__xludf.DUMMYFUNCTION("""COMPUTED_VALUE"""),"0917392278")</f>
        <v>0917392278</v>
      </c>
      <c r="K6233" s="2" t="str">
        <f ca="1">IFERROR(__xludf.DUMMYFUNCTION("""COMPUTED_VALUE"""),"1762309780790")</f>
        <v>1762309780790</v>
      </c>
    </row>
    <row r="6234" spans="1:11" ht="12.45">
      <c r="A6234" s="2" t="str">
        <f ca="1">IFERROR(__xludf.DUMMYFUNCTION("""COMPUTED_VALUE"""),"1762309834160")</f>
        <v>1762309834160</v>
      </c>
      <c r="B6234" s="2"/>
      <c r="C6234" s="2" t="str">
        <v>0</v>
      </c>
      <c r="D6234" s="2"/>
      <c r="F6234" s="2" t="str">
        <v>0</v>
      </c>
      <c r="I6234" s="3" t="str">
        <f ca="1">IFERROR(__xludf.DUMMYFUNCTION("""COMPUTED_VALUE"""),"Nguyễn Văn Dũng ")</f>
        <v xml:space="preserve">Nguyễn Văn Dũng </v>
      </c>
      <c r="J6234" s="3" t="str">
        <f ca="1">IFERROR(__xludf.DUMMYFUNCTION("""COMPUTED_VALUE"""),"0387802192")</f>
        <v>0387802192</v>
      </c>
      <c r="K6234" s="2" t="str">
        <f ca="1">IFERROR(__xludf.DUMMYFUNCTION("""COMPUTED_VALUE"""),"1762309834160")</f>
        <v>1762309834160</v>
      </c>
    </row>
    <row r="6235" spans="1:11" ht="12.45">
      <c r="A6235" s="2" t="str">
        <f ca="1">IFERROR(__xludf.DUMMYFUNCTION("""COMPUTED_VALUE"""),"1762309909922")</f>
        <v>1762309909922</v>
      </c>
      <c r="B6235" s="2"/>
      <c r="C6235" s="2" t="str">
        <v>0</v>
      </c>
      <c r="D6235" s="2"/>
      <c r="F6235" s="2" t="str">
        <v>0</v>
      </c>
      <c r="I6235" s="3" t="str">
        <f ca="1">IFERROR(__xludf.DUMMYFUNCTION("""COMPUTED_VALUE"""),"Trần Hoàng kiểm ")</f>
        <v xml:space="preserve">Trần Hoàng kiểm </v>
      </c>
      <c r="J6235" s="3" t="str">
        <f ca="1">IFERROR(__xludf.DUMMYFUNCTION("""COMPUTED_VALUE"""),"0985458793")</f>
        <v>0985458793</v>
      </c>
      <c r="K6235" s="2" t="str">
        <f ca="1">IFERROR(__xludf.DUMMYFUNCTION("""COMPUTED_VALUE"""),"1762309909922")</f>
        <v>1762309909922</v>
      </c>
    </row>
    <row r="6236" spans="1:11" ht="12.45">
      <c r="A6236" s="2" t="str">
        <f ca="1">IFERROR(__xludf.DUMMYFUNCTION("""COMPUTED_VALUE"""),"1762309972102")</f>
        <v>1762309972102</v>
      </c>
      <c r="B6236" s="2"/>
      <c r="C6236" s="2" t="str">
        <v>0</v>
      </c>
      <c r="D6236" s="2"/>
      <c r="F6236" s="2" t="str">
        <v>0</v>
      </c>
      <c r="I6236" s="3" t="str">
        <f ca="1">IFERROR(__xludf.DUMMYFUNCTION("""COMPUTED_VALUE"""),"Nguyễn Phạm Ái Quỳnh ")</f>
        <v xml:space="preserve">Nguyễn Phạm Ái Quỳnh </v>
      </c>
      <c r="J6236" s="3" t="str">
        <f ca="1">IFERROR(__xludf.DUMMYFUNCTION("""COMPUTED_VALUE"""),"0329845334")</f>
        <v>0329845334</v>
      </c>
      <c r="K6236" s="2" t="str">
        <f ca="1">IFERROR(__xludf.DUMMYFUNCTION("""COMPUTED_VALUE"""),"1762309972102")</f>
        <v>1762309972102</v>
      </c>
    </row>
    <row r="6237" spans="1:11" ht="12.45">
      <c r="A6237" s="2" t="str">
        <f ca="1">IFERROR(__xludf.DUMMYFUNCTION("""COMPUTED_VALUE"""),"1762310023272")</f>
        <v>1762310023272</v>
      </c>
      <c r="B6237" s="2"/>
      <c r="C6237" s="2" t="str">
        <v>0</v>
      </c>
      <c r="D6237" s="2"/>
      <c r="F6237" s="2" t="str">
        <v>0</v>
      </c>
      <c r="I6237" s="3" t="str">
        <f ca="1">IFERROR(__xludf.DUMMYFUNCTION("""COMPUTED_VALUE"""),"Bành Thục Yến")</f>
        <v>Bành Thục Yến</v>
      </c>
      <c r="J6237" s="3" t="str">
        <f ca="1">IFERROR(__xludf.DUMMYFUNCTION("""COMPUTED_VALUE"""),"0931494128")</f>
        <v>0931494128</v>
      </c>
      <c r="K6237" s="2" t="str">
        <f ca="1">IFERROR(__xludf.DUMMYFUNCTION("""COMPUTED_VALUE"""),"1762310023272")</f>
        <v>1762310023272</v>
      </c>
    </row>
    <row r="6238" spans="1:11" ht="12.45">
      <c r="A6238" s="2" t="str">
        <f ca="1">IFERROR(__xludf.DUMMYFUNCTION("""COMPUTED_VALUE"""),"1762310080161")</f>
        <v>1762310080161</v>
      </c>
      <c r="B6238" s="2"/>
      <c r="C6238" s="2" t="str">
        <v>0</v>
      </c>
      <c r="D6238" s="2"/>
      <c r="F6238" s="2" t="str">
        <v>0</v>
      </c>
      <c r="I6238" s="3" t="str">
        <f ca="1">IFERROR(__xludf.DUMMYFUNCTION("""COMPUTED_VALUE"""),"Thiều Mai Anh")</f>
        <v>Thiều Mai Anh</v>
      </c>
      <c r="J6238" s="3" t="str">
        <f ca="1">IFERROR(__xludf.DUMMYFUNCTION("""COMPUTED_VALUE"""),"0358115348")</f>
        <v>0358115348</v>
      </c>
      <c r="K6238" s="2" t="str">
        <f ca="1">IFERROR(__xludf.DUMMYFUNCTION("""COMPUTED_VALUE"""),"1762310080161")</f>
        <v>1762310080161</v>
      </c>
    </row>
    <row r="6239" spans="1:11" ht="12.45">
      <c r="A6239" s="2" t="str">
        <f ca="1">IFERROR(__xludf.DUMMYFUNCTION("""COMPUTED_VALUE"""),"1762310129874")</f>
        <v>1762310129874</v>
      </c>
      <c r="B6239" s="2"/>
      <c r="C6239" s="2" t="str">
        <v>0</v>
      </c>
      <c r="D6239" s="2"/>
      <c r="F6239" s="2" t="str">
        <v>0</v>
      </c>
      <c r="I6239" s="3" t="str">
        <f ca="1">IFERROR(__xludf.DUMMYFUNCTION("""COMPUTED_VALUE"""),"Nguyễn Đình Quốc")</f>
        <v>Nguyễn Đình Quốc</v>
      </c>
      <c r="J6239" s="3" t="str">
        <f ca="1">IFERROR(__xludf.DUMMYFUNCTION("""COMPUTED_VALUE"""),"0862590663")</f>
        <v>0862590663</v>
      </c>
      <c r="K6239" s="2" t="str">
        <f ca="1">IFERROR(__xludf.DUMMYFUNCTION("""COMPUTED_VALUE"""),"1762310129874")</f>
        <v>1762310129874</v>
      </c>
    </row>
    <row r="6240" spans="1:11" ht="12.45">
      <c r="A6240" s="2" t="str">
        <f ca="1">IFERROR(__xludf.DUMMYFUNCTION("""COMPUTED_VALUE"""),"1762310192780")</f>
        <v>1762310192780</v>
      </c>
      <c r="B6240" s="2"/>
      <c r="C6240" s="2" t="str">
        <v>0</v>
      </c>
      <c r="D6240" s="2"/>
      <c r="F6240" s="2" t="str">
        <v>0</v>
      </c>
      <c r="I6240" s="3" t="str">
        <f ca="1">IFERROR(__xludf.DUMMYFUNCTION("""COMPUTED_VALUE"""),"Nông Văn Nghĩa")</f>
        <v>Nông Văn Nghĩa</v>
      </c>
      <c r="J6240" s="3" t="str">
        <f ca="1">IFERROR(__xludf.DUMMYFUNCTION("""COMPUTED_VALUE"""),"0382758449")</f>
        <v>0382758449</v>
      </c>
      <c r="K6240" s="2" t="str">
        <f ca="1">IFERROR(__xludf.DUMMYFUNCTION("""COMPUTED_VALUE"""),"1762310192780")</f>
        <v>1762310192780</v>
      </c>
    </row>
    <row r="6241" spans="1:11" ht="12.45">
      <c r="A6241" s="2" t="str">
        <f ca="1">IFERROR(__xludf.DUMMYFUNCTION("""COMPUTED_VALUE"""),"1762310261234")</f>
        <v>1762310261234</v>
      </c>
      <c r="B6241" s="2"/>
      <c r="C6241" s="2" t="str">
        <v>0</v>
      </c>
      <c r="D6241" s="2"/>
      <c r="F6241" s="2" t="str">
        <v>0</v>
      </c>
      <c r="I6241" s="3" t="str">
        <f ca="1">IFERROR(__xludf.DUMMYFUNCTION("""COMPUTED_VALUE"""),"Tô Nguyễn Thuỳ An")</f>
        <v>Tô Nguyễn Thuỳ An</v>
      </c>
      <c r="J6241" s="3" t="str">
        <f ca="1">IFERROR(__xludf.DUMMYFUNCTION("""COMPUTED_VALUE"""),"0772760956")</f>
        <v>0772760956</v>
      </c>
      <c r="K6241" s="2" t="str">
        <f ca="1">IFERROR(__xludf.DUMMYFUNCTION("""COMPUTED_VALUE"""),"1762310261234")</f>
        <v>1762310261234</v>
      </c>
    </row>
    <row r="6242" spans="1:11" ht="12.45">
      <c r="A6242" s="2" t="str">
        <f ca="1">IFERROR(__xludf.DUMMYFUNCTION("""COMPUTED_VALUE"""),"1762310315119")</f>
        <v>1762310315119</v>
      </c>
      <c r="B6242" s="2"/>
      <c r="C6242" s="2" t="str">
        <v>0</v>
      </c>
      <c r="D6242" s="2"/>
      <c r="F6242" s="2" t="str">
        <v>0</v>
      </c>
      <c r="I6242" s="3" t="str">
        <f ca="1">IFERROR(__xludf.DUMMYFUNCTION("""COMPUTED_VALUE"""),"Trịnh Thị Ngọc Ánh ")</f>
        <v xml:space="preserve">Trịnh Thị Ngọc Ánh </v>
      </c>
      <c r="J6242" s="3" t="str">
        <f ca="1">IFERROR(__xludf.DUMMYFUNCTION("""COMPUTED_VALUE"""),"0329628757")</f>
        <v>0329628757</v>
      </c>
      <c r="K6242" s="2" t="str">
        <f ca="1">IFERROR(__xludf.DUMMYFUNCTION("""COMPUTED_VALUE"""),"1762310315119")</f>
        <v>1762310315119</v>
      </c>
    </row>
    <row r="6243" spans="1:11" ht="12.45">
      <c r="A6243" s="2" t="str">
        <f ca="1">IFERROR(__xludf.DUMMYFUNCTION("""COMPUTED_VALUE"""),"1762310371783")</f>
        <v>1762310371783</v>
      </c>
      <c r="B6243" s="2"/>
      <c r="C6243" s="2" t="str">
        <v>0</v>
      </c>
      <c r="D6243" s="2"/>
      <c r="F6243" s="2" t="str">
        <v>0</v>
      </c>
      <c r="I6243" s="3" t="str">
        <f ca="1">IFERROR(__xludf.DUMMYFUNCTION("""COMPUTED_VALUE"""),"Trần Thị Ngọc Khuê")</f>
        <v>Trần Thị Ngọc Khuê</v>
      </c>
      <c r="J6243" s="3" t="str">
        <f ca="1">IFERROR(__xludf.DUMMYFUNCTION("""COMPUTED_VALUE"""),"0356962069")</f>
        <v>0356962069</v>
      </c>
      <c r="K6243" s="2" t="str">
        <f ca="1">IFERROR(__xludf.DUMMYFUNCTION("""COMPUTED_VALUE"""),"1762310371783")</f>
        <v>1762310371783</v>
      </c>
    </row>
    <row r="6244" spans="1:11" ht="12.45">
      <c r="A6244" s="2" t="str">
        <f ca="1">IFERROR(__xludf.DUMMYFUNCTION("""COMPUTED_VALUE"""),"1762310418920")</f>
        <v>1762310418920</v>
      </c>
      <c r="B6244" s="2"/>
      <c r="C6244" s="2" t="str">
        <v>0</v>
      </c>
      <c r="D6244" s="2"/>
      <c r="F6244" s="2" t="str">
        <v>0</v>
      </c>
      <c r="I6244" s="3" t="str">
        <f ca="1">IFERROR(__xludf.DUMMYFUNCTION("""COMPUTED_VALUE"""),"Nguyễn Ngọc Bảo Trâm ")</f>
        <v xml:space="preserve">Nguyễn Ngọc Bảo Trâm </v>
      </c>
      <c r="J6244" s="3" t="str">
        <f ca="1">IFERROR(__xludf.DUMMYFUNCTION("""COMPUTED_VALUE"""),"0394266284")</f>
        <v>0394266284</v>
      </c>
      <c r="K6244" s="2" t="str">
        <f ca="1">IFERROR(__xludf.DUMMYFUNCTION("""COMPUTED_VALUE"""),"1762310418920")</f>
        <v>1762310418920</v>
      </c>
    </row>
    <row r="6245" spans="1:11" ht="12.45">
      <c r="A6245" s="2" t="str">
        <f ca="1">IFERROR(__xludf.DUMMYFUNCTION("""COMPUTED_VALUE"""),"1762310463111")</f>
        <v>1762310463111</v>
      </c>
      <c r="B6245" s="2"/>
      <c r="C6245" s="2" t="str">
        <v>0</v>
      </c>
      <c r="D6245" s="2"/>
      <c r="F6245" s="2" t="str">
        <v>0</v>
      </c>
      <c r="I6245" s="3" t="str">
        <f ca="1">IFERROR(__xludf.DUMMYFUNCTION("""COMPUTED_VALUE"""),"Nguyễn Thị Quỳnh Hương")</f>
        <v>Nguyễn Thị Quỳnh Hương</v>
      </c>
      <c r="J6245" s="3" t="str">
        <f ca="1">IFERROR(__xludf.DUMMYFUNCTION("""COMPUTED_VALUE"""),"0862715395")</f>
        <v>0862715395</v>
      </c>
      <c r="K6245" s="2" t="str">
        <f ca="1">IFERROR(__xludf.DUMMYFUNCTION("""COMPUTED_VALUE"""),"1762310463111")</f>
        <v>1762310463111</v>
      </c>
    </row>
    <row r="6246" spans="1:11" ht="12.45">
      <c r="A6246" s="2" t="str">
        <f ca="1">IFERROR(__xludf.DUMMYFUNCTION("""COMPUTED_VALUE"""),"1762310512212")</f>
        <v>1762310512212</v>
      </c>
      <c r="B6246" s="2"/>
      <c r="C6246" s="2" t="str">
        <v>0</v>
      </c>
      <c r="D6246" s="2"/>
      <c r="F6246" s="2" t="str">
        <v>0</v>
      </c>
      <c r="I6246" s="3" t="str">
        <f ca="1">IFERROR(__xludf.DUMMYFUNCTION("""COMPUTED_VALUE"""),"CÙ THỊ THANH MAI")</f>
        <v>CÙ THỊ THANH MAI</v>
      </c>
      <c r="J6246" s="3" t="str">
        <f ca="1">IFERROR(__xludf.DUMMYFUNCTION("""COMPUTED_VALUE"""),"0972083210")</f>
        <v>0972083210</v>
      </c>
      <c r="K6246" s="2" t="str">
        <f ca="1">IFERROR(__xludf.DUMMYFUNCTION("""COMPUTED_VALUE"""),"1762310512212")</f>
        <v>1762310512212</v>
      </c>
    </row>
    <row r="6247" spans="1:11" ht="12.45">
      <c r="A6247" s="2" t="str">
        <f ca="1">IFERROR(__xludf.DUMMYFUNCTION("""COMPUTED_VALUE"""),"1762310569319")</f>
        <v>1762310569319</v>
      </c>
      <c r="B6247" s="2"/>
      <c r="C6247" s="2" t="str">
        <v>0</v>
      </c>
      <c r="D6247" s="2"/>
      <c r="F6247" s="2" t="str">
        <v>0</v>
      </c>
      <c r="I6247" s="3" t="str">
        <f ca="1">IFERROR(__xludf.DUMMYFUNCTION("""COMPUTED_VALUE"""),"Nguyễn Đức Long ")</f>
        <v xml:space="preserve">Nguyễn Đức Long </v>
      </c>
      <c r="J6247" s="3" t="str">
        <f ca="1">IFERROR(__xludf.DUMMYFUNCTION("""COMPUTED_VALUE"""),"0339837854")</f>
        <v>0339837854</v>
      </c>
      <c r="K6247" s="2" t="str">
        <f ca="1">IFERROR(__xludf.DUMMYFUNCTION("""COMPUTED_VALUE"""),"1762310569319")</f>
        <v>1762310569319</v>
      </c>
    </row>
    <row r="6248" spans="1:11" ht="12.45">
      <c r="A6248" s="2" t="str">
        <f ca="1">IFERROR(__xludf.DUMMYFUNCTION("""COMPUTED_VALUE"""),"Không giao sách")</f>
        <v>Không giao sách</v>
      </c>
      <c r="B6248" s="2"/>
      <c r="C6248" s="2" t="str">
        <v>0</v>
      </c>
      <c r="D6248" s="2"/>
      <c r="F6248" s="2" t="str">
        <v>0</v>
      </c>
      <c r="I6248" s="3" t="str">
        <f ca="1">IFERROR(__xludf.DUMMYFUNCTION("""COMPUTED_VALUE"""),"Đào Diệu Linh")</f>
        <v>Đào Diệu Linh</v>
      </c>
      <c r="J6248" s="3" t="str">
        <f ca="1">IFERROR(__xludf.DUMMYFUNCTION("""COMPUTED_VALUE"""),"0981916287")</f>
        <v>0981916287</v>
      </c>
      <c r="K6248" s="2" t="str">
        <f ca="1">IFERROR(__xludf.DUMMYFUNCTION("""COMPUTED_VALUE"""),"Không giao sách")</f>
        <v>Không giao sách</v>
      </c>
    </row>
    <row r="6249" spans="1:11" ht="12.45">
      <c r="A6249" s="2" t="str">
        <f ca="1">IFERROR(__xludf.DUMMYFUNCTION("""COMPUTED_VALUE"""),"1762310609265")</f>
        <v>1762310609265</v>
      </c>
      <c r="B6249" s="2"/>
      <c r="C6249" s="2" t="str">
        <v>0</v>
      </c>
      <c r="D6249" s="2"/>
      <c r="F6249" s="2" t="str">
        <v>0</v>
      </c>
      <c r="I6249" s="3" t="str">
        <f ca="1">IFERROR(__xludf.DUMMYFUNCTION("""COMPUTED_VALUE"""),"Trần Tịnh Nhi")</f>
        <v>Trần Tịnh Nhi</v>
      </c>
      <c r="J6249" s="3" t="str">
        <f ca="1">IFERROR(__xludf.DUMMYFUNCTION("""COMPUTED_VALUE"""),"0917954657")</f>
        <v>0917954657</v>
      </c>
      <c r="K6249" s="2" t="str">
        <f ca="1">IFERROR(__xludf.DUMMYFUNCTION("""COMPUTED_VALUE"""),"1762310609265")</f>
        <v>1762310609265</v>
      </c>
    </row>
    <row r="6250" spans="1:11" ht="12.45">
      <c r="A6250" s="2" t="str">
        <f ca="1">IFERROR(__xludf.DUMMYFUNCTION("""COMPUTED_VALUE"""),"1762310662756")</f>
        <v>1762310662756</v>
      </c>
      <c r="B6250" s="2"/>
      <c r="C6250" s="2" t="str">
        <v>0</v>
      </c>
      <c r="D6250" s="2"/>
      <c r="F6250" s="2" t="str">
        <v>0</v>
      </c>
      <c r="I6250" s="3" t="str">
        <f ca="1">IFERROR(__xludf.DUMMYFUNCTION("""COMPUTED_VALUE"""),"Thăng Thị Mỹ Duyên")</f>
        <v>Thăng Thị Mỹ Duyên</v>
      </c>
      <c r="J6250" s="3" t="str">
        <f ca="1">IFERROR(__xludf.DUMMYFUNCTION("""COMPUTED_VALUE"""),"0385857773")</f>
        <v>0385857773</v>
      </c>
      <c r="K6250" s="2" t="str">
        <f ca="1">IFERROR(__xludf.DUMMYFUNCTION("""COMPUTED_VALUE"""),"1762310662756")</f>
        <v>1762310662756</v>
      </c>
    </row>
    <row r="6251" spans="1:11" ht="12.45">
      <c r="A6251" s="2" t="str">
        <f ca="1">IFERROR(__xludf.DUMMYFUNCTION("""COMPUTED_VALUE"""),"1762310731162")</f>
        <v>1762310731162</v>
      </c>
      <c r="B6251" s="2"/>
      <c r="C6251" s="2" t="str">
        <v>0</v>
      </c>
      <c r="D6251" s="2"/>
      <c r="F6251" s="2" t="str">
        <v>0</v>
      </c>
      <c r="I6251" s="3" t="str">
        <f ca="1">IFERROR(__xludf.DUMMYFUNCTION("""COMPUTED_VALUE"""),"Triệu Thị Quỳnh Hương ")</f>
        <v xml:space="preserve">Triệu Thị Quỳnh Hương </v>
      </c>
      <c r="J6251" s="3" t="str">
        <f ca="1">IFERROR(__xludf.DUMMYFUNCTION("""COMPUTED_VALUE"""),"0339564812")</f>
        <v>0339564812</v>
      </c>
      <c r="K6251" s="2" t="str">
        <f ca="1">IFERROR(__xludf.DUMMYFUNCTION("""COMPUTED_VALUE"""),"1762310731162")</f>
        <v>1762310731162</v>
      </c>
    </row>
    <row r="6252" spans="1:11" ht="12.45">
      <c r="A6252" s="2" t="str">
        <f ca="1">IFERROR(__xludf.DUMMYFUNCTION("""COMPUTED_VALUE"""),"1762310810825")</f>
        <v>1762310810825</v>
      </c>
      <c r="B6252" s="2"/>
      <c r="C6252" s="2" t="str">
        <v>0</v>
      </c>
      <c r="D6252" s="2"/>
      <c r="F6252" s="2" t="str">
        <v>0</v>
      </c>
      <c r="I6252" s="3" t="str">
        <f ca="1">IFERROR(__xludf.DUMMYFUNCTION("""COMPUTED_VALUE"""),"Nguyễn Minh Hiếu")</f>
        <v>Nguyễn Minh Hiếu</v>
      </c>
      <c r="J6252" s="3" t="str">
        <f ca="1">IFERROR(__xludf.DUMMYFUNCTION("""COMPUTED_VALUE"""),"0822354617")</f>
        <v>0822354617</v>
      </c>
      <c r="K6252" s="2" t="str">
        <f ca="1">IFERROR(__xludf.DUMMYFUNCTION("""COMPUTED_VALUE"""),"1762310810825")</f>
        <v>1762310810825</v>
      </c>
    </row>
    <row r="6253" spans="1:11" ht="12.45">
      <c r="A6253" s="2" t="str">
        <f ca="1">IFERROR(__xludf.DUMMYFUNCTION("""COMPUTED_VALUE"""),"1762310885008")</f>
        <v>1762310885008</v>
      </c>
      <c r="B6253" s="2"/>
      <c r="C6253" s="2" t="str">
        <v>0</v>
      </c>
      <c r="D6253" s="2"/>
      <c r="F6253" s="2" t="str">
        <v>0</v>
      </c>
      <c r="I6253" s="3" t="str">
        <f ca="1">IFERROR(__xludf.DUMMYFUNCTION("""COMPUTED_VALUE"""),"Trần Thị Thùy Trâm ")</f>
        <v xml:space="preserve">Trần Thị Thùy Trâm </v>
      </c>
      <c r="J6253" s="3" t="str">
        <f ca="1">IFERROR(__xludf.DUMMYFUNCTION("""COMPUTED_VALUE"""),"0772405480")</f>
        <v>0772405480</v>
      </c>
      <c r="K6253" s="2" t="str">
        <f ca="1">IFERROR(__xludf.DUMMYFUNCTION("""COMPUTED_VALUE"""),"1762310885008")</f>
        <v>1762310885008</v>
      </c>
    </row>
    <row r="6254" spans="1:11" ht="12.45">
      <c r="A6254" s="2" t="str">
        <f ca="1">IFERROR(__xludf.DUMMYFUNCTION("""COMPUTED_VALUE"""),"1762310937873")</f>
        <v>1762310937873</v>
      </c>
      <c r="B6254" s="2"/>
      <c r="C6254" s="2" t="str">
        <v>0</v>
      </c>
      <c r="D6254" s="2"/>
      <c r="F6254" s="2" t="str">
        <v>0</v>
      </c>
      <c r="I6254" s="3" t="str">
        <f ca="1">IFERROR(__xludf.DUMMYFUNCTION("""COMPUTED_VALUE"""),"Lâm Gia Hân")</f>
        <v>Lâm Gia Hân</v>
      </c>
      <c r="J6254" s="3" t="str">
        <f ca="1">IFERROR(__xludf.DUMMYFUNCTION("""COMPUTED_VALUE"""),"0767521369")</f>
        <v>0767521369</v>
      </c>
      <c r="K6254" s="2" t="str">
        <f ca="1">IFERROR(__xludf.DUMMYFUNCTION("""COMPUTED_VALUE"""),"1762310937873")</f>
        <v>1762310937873</v>
      </c>
    </row>
    <row r="6255" spans="1:11" ht="12.45">
      <c r="A6255" s="2" t="str">
        <f ca="1">IFERROR(__xludf.DUMMYFUNCTION("""COMPUTED_VALUE"""),"1762310983756")</f>
        <v>1762310983756</v>
      </c>
      <c r="B6255" s="2"/>
      <c r="C6255" s="2" t="str">
        <v>0</v>
      </c>
      <c r="D6255" s="2"/>
      <c r="F6255" s="2" t="str">
        <v>0</v>
      </c>
      <c r="I6255" s="3" t="str">
        <f ca="1">IFERROR(__xludf.DUMMYFUNCTION("""COMPUTED_VALUE"""),"Trần Quốc Trung")</f>
        <v>Trần Quốc Trung</v>
      </c>
      <c r="J6255" s="3" t="str">
        <f ca="1">IFERROR(__xludf.DUMMYFUNCTION("""COMPUTED_VALUE"""),"0366556791")</f>
        <v>0366556791</v>
      </c>
      <c r="K6255" s="2" t="str">
        <f ca="1">IFERROR(__xludf.DUMMYFUNCTION("""COMPUTED_VALUE"""),"1762310983756")</f>
        <v>1762310983756</v>
      </c>
    </row>
    <row r="6256" spans="1:11" ht="12.45">
      <c r="A6256" s="2" t="str">
        <f ca="1">IFERROR(__xludf.DUMMYFUNCTION("""COMPUTED_VALUE"""),"1762311034560")</f>
        <v>1762311034560</v>
      </c>
      <c r="B6256" s="2"/>
      <c r="C6256" s="2" t="str">
        <v>0</v>
      </c>
      <c r="D6256" s="2"/>
      <c r="F6256" s="2" t="str">
        <v>0</v>
      </c>
      <c r="I6256" s="3" t="str">
        <f ca="1">IFERROR(__xludf.DUMMYFUNCTION("""COMPUTED_VALUE"""),"Trương Thị Ngọc Ánh")</f>
        <v>Trương Thị Ngọc Ánh</v>
      </c>
      <c r="J6256" s="3" t="str">
        <f ca="1">IFERROR(__xludf.DUMMYFUNCTION("""COMPUTED_VALUE"""),"0335144750")</f>
        <v>0335144750</v>
      </c>
      <c r="K6256" s="2" t="str">
        <f ca="1">IFERROR(__xludf.DUMMYFUNCTION("""COMPUTED_VALUE"""),"1762311034560")</f>
        <v>1762311034560</v>
      </c>
    </row>
    <row r="6257" spans="1:11" ht="12.45">
      <c r="A6257" s="2" t="str">
        <f ca="1">IFERROR(__xludf.DUMMYFUNCTION("""COMPUTED_VALUE"""),"1762311071132")</f>
        <v>1762311071132</v>
      </c>
      <c r="B6257" s="2"/>
      <c r="C6257" s="2" t="str">
        <v>0</v>
      </c>
      <c r="D6257" s="2"/>
      <c r="F6257" s="2" t="str">
        <v>0</v>
      </c>
      <c r="I6257" s="3" t="str">
        <f ca="1">IFERROR(__xludf.DUMMYFUNCTION("""COMPUTED_VALUE"""),"Vũ Hoàng Băng Châu")</f>
        <v>Vũ Hoàng Băng Châu</v>
      </c>
      <c r="J6257" s="3" t="str">
        <f ca="1">IFERROR(__xludf.DUMMYFUNCTION("""COMPUTED_VALUE"""),"0765139057")</f>
        <v>0765139057</v>
      </c>
      <c r="K6257" s="2" t="str">
        <f ca="1">IFERROR(__xludf.DUMMYFUNCTION("""COMPUTED_VALUE"""),"1762311071132")</f>
        <v>1762311071132</v>
      </c>
    </row>
    <row r="6258" spans="1:11" ht="12.45">
      <c r="A6258" s="2" t="str">
        <f ca="1">IFERROR(__xludf.DUMMYFUNCTION("""COMPUTED_VALUE"""),"1762311111015")</f>
        <v>1762311111015</v>
      </c>
      <c r="B6258" s="2"/>
      <c r="C6258" s="2" t="str">
        <v>0</v>
      </c>
      <c r="D6258" s="2"/>
      <c r="F6258" s="2" t="str">
        <v>0</v>
      </c>
      <c r="I6258" s="3" t="str">
        <f ca="1">IFERROR(__xludf.DUMMYFUNCTION("""COMPUTED_VALUE"""),"Nguyễn Thị Ánh Tuyết ")</f>
        <v xml:space="preserve">Nguyễn Thị Ánh Tuyết </v>
      </c>
      <c r="J6258" s="3" t="str">
        <f ca="1">IFERROR(__xludf.DUMMYFUNCTION("""COMPUTED_VALUE"""),"0946248865")</f>
        <v>0946248865</v>
      </c>
      <c r="K6258" s="2" t="str">
        <f ca="1">IFERROR(__xludf.DUMMYFUNCTION("""COMPUTED_VALUE"""),"1762311111015")</f>
        <v>1762311111015</v>
      </c>
    </row>
    <row r="6259" spans="1:11" ht="12.45">
      <c r="A6259" s="2" t="str">
        <f ca="1">IFERROR(__xludf.DUMMYFUNCTION("""COMPUTED_VALUE"""),"1762311147390")</f>
        <v>1762311147390</v>
      </c>
      <c r="B6259" s="2"/>
      <c r="C6259" s="2" t="str">
        <v>0</v>
      </c>
      <c r="D6259" s="2"/>
      <c r="F6259" s="2" t="str">
        <v>0</v>
      </c>
      <c r="I6259" s="3" t="str">
        <f ca="1">IFERROR(__xludf.DUMMYFUNCTION("""COMPUTED_VALUE"""),"Trần Văn Gia Huy")</f>
        <v>Trần Văn Gia Huy</v>
      </c>
      <c r="J6259" s="3" t="str">
        <f ca="1">IFERROR(__xludf.DUMMYFUNCTION("""COMPUTED_VALUE"""),"0336814583")</f>
        <v>0336814583</v>
      </c>
      <c r="K6259" s="2" t="str">
        <f ca="1">IFERROR(__xludf.DUMMYFUNCTION("""COMPUTED_VALUE"""),"1762311147390")</f>
        <v>1762311147390</v>
      </c>
    </row>
    <row r="6260" spans="1:11" ht="12.45">
      <c r="A6260" s="2" t="str">
        <f ca="1">IFERROR(__xludf.DUMMYFUNCTION("""COMPUTED_VALUE"""),"1762311207909")</f>
        <v>1762311207909</v>
      </c>
      <c r="B6260" s="2"/>
      <c r="C6260" s="2" t="str">
        <v>0</v>
      </c>
      <c r="D6260" s="2"/>
      <c r="F6260" s="2" t="str">
        <v>0</v>
      </c>
      <c r="I6260" s="3" t="str">
        <f ca="1">IFERROR(__xludf.DUMMYFUNCTION("""COMPUTED_VALUE"""),"Đỗ Thị Lan Anh")</f>
        <v>Đỗ Thị Lan Anh</v>
      </c>
      <c r="J6260" s="3" t="str">
        <f ca="1">IFERROR(__xludf.DUMMYFUNCTION("""COMPUTED_VALUE"""),"0862719282")</f>
        <v>0862719282</v>
      </c>
      <c r="K6260" s="2" t="str">
        <f ca="1">IFERROR(__xludf.DUMMYFUNCTION("""COMPUTED_VALUE"""),"1762311207909")</f>
        <v>1762311207909</v>
      </c>
    </row>
    <row r="6261" spans="1:11" ht="12.45">
      <c r="A6261" s="2" t="str">
        <f ca="1">IFERROR(__xludf.DUMMYFUNCTION("""COMPUTED_VALUE"""),"1762311256851")</f>
        <v>1762311256851</v>
      </c>
      <c r="B6261" s="2"/>
      <c r="C6261" s="2" t="str">
        <v>0</v>
      </c>
      <c r="D6261" s="2"/>
      <c r="F6261" s="2" t="str">
        <v>0</v>
      </c>
      <c r="I6261" s="3" t="str">
        <f ca="1">IFERROR(__xludf.DUMMYFUNCTION("""COMPUTED_VALUE"""),"Hoàng Nữ Vân Khánh")</f>
        <v>Hoàng Nữ Vân Khánh</v>
      </c>
      <c r="J6261" s="3" t="str">
        <f ca="1">IFERROR(__xludf.DUMMYFUNCTION("""COMPUTED_VALUE"""),"0935709096")</f>
        <v>0935709096</v>
      </c>
      <c r="K6261" s="2" t="str">
        <f ca="1">IFERROR(__xludf.DUMMYFUNCTION("""COMPUTED_VALUE"""),"1762311256851")</f>
        <v>1762311256851</v>
      </c>
    </row>
    <row r="6262" spans="1:11" ht="12.45">
      <c r="A6262" s="2" t="str">
        <f ca="1">IFERROR(__xludf.DUMMYFUNCTION("""COMPUTED_VALUE"""),"1762311290353")</f>
        <v>1762311290353</v>
      </c>
      <c r="B6262" s="2"/>
      <c r="C6262" s="2" t="str">
        <v>0</v>
      </c>
      <c r="D6262" s="2"/>
      <c r="F6262" s="2" t="str">
        <v>0</v>
      </c>
      <c r="I6262" s="3" t="str">
        <f ca="1">IFERROR(__xludf.DUMMYFUNCTION("""COMPUTED_VALUE"""),"Ngô Thị Ngọc Anh")</f>
        <v>Ngô Thị Ngọc Anh</v>
      </c>
      <c r="J6262" s="3" t="str">
        <f ca="1">IFERROR(__xludf.DUMMYFUNCTION("""COMPUTED_VALUE"""),"0584910266")</f>
        <v>0584910266</v>
      </c>
      <c r="K6262" s="2" t="str">
        <f ca="1">IFERROR(__xludf.DUMMYFUNCTION("""COMPUTED_VALUE"""),"1762311290353")</f>
        <v>1762311290353</v>
      </c>
    </row>
    <row r="6263" spans="1:11" ht="12.45">
      <c r="A6263" s="2" t="str">
        <f ca="1">IFERROR(__xludf.DUMMYFUNCTION("""COMPUTED_VALUE"""),"1762311330561")</f>
        <v>1762311330561</v>
      </c>
      <c r="B6263" s="2"/>
      <c r="C6263" s="2" t="str">
        <v>0</v>
      </c>
      <c r="D6263" s="2"/>
      <c r="F6263" s="2" t="str">
        <v>0</v>
      </c>
      <c r="I6263" s="3" t="str">
        <f ca="1">IFERROR(__xludf.DUMMYFUNCTION("""COMPUTED_VALUE"""),"Phạm Thị Hồng Ngọc")</f>
        <v>Phạm Thị Hồng Ngọc</v>
      </c>
      <c r="J6263" s="3" t="str">
        <f ca="1">IFERROR(__xludf.DUMMYFUNCTION("""COMPUTED_VALUE"""),"0354173273")</f>
        <v>0354173273</v>
      </c>
      <c r="K6263" s="2" t="str">
        <f ca="1">IFERROR(__xludf.DUMMYFUNCTION("""COMPUTED_VALUE"""),"1762311330561")</f>
        <v>1762311330561</v>
      </c>
    </row>
    <row r="6264" spans="1:11" ht="12.45">
      <c r="A6264" s="2" t="str">
        <f ca="1">IFERROR(__xludf.DUMMYFUNCTION("""COMPUTED_VALUE"""),"1762311374820")</f>
        <v>1762311374820</v>
      </c>
      <c r="B6264" s="2"/>
      <c r="C6264" s="2" t="str">
        <v>0</v>
      </c>
      <c r="D6264" s="2"/>
      <c r="F6264" s="2" t="str">
        <v>0</v>
      </c>
      <c r="I6264" s="3" t="str">
        <f ca="1">IFERROR(__xludf.DUMMYFUNCTION("""COMPUTED_VALUE"""),"Bùi Lê Thảo Quyên ")</f>
        <v xml:space="preserve">Bùi Lê Thảo Quyên </v>
      </c>
      <c r="J6264" s="3" t="str">
        <f ca="1">IFERROR(__xludf.DUMMYFUNCTION("""COMPUTED_VALUE"""),"0355574505")</f>
        <v>0355574505</v>
      </c>
      <c r="K6264" s="2" t="str">
        <f ca="1">IFERROR(__xludf.DUMMYFUNCTION("""COMPUTED_VALUE"""),"1762311374820")</f>
        <v>1762311374820</v>
      </c>
    </row>
    <row r="6265" spans="1:11" ht="12.45">
      <c r="A6265" s="2" t="str">
        <f ca="1">IFERROR(__xludf.DUMMYFUNCTION("""COMPUTED_VALUE"""),"1762311424241")</f>
        <v>1762311424241</v>
      </c>
      <c r="B6265" s="2"/>
      <c r="C6265" s="2" t="str">
        <v>0</v>
      </c>
      <c r="D6265" s="2"/>
      <c r="F6265" s="2" t="str">
        <v>0</v>
      </c>
      <c r="I6265" s="3" t="str">
        <f ca="1">IFERROR(__xludf.DUMMYFUNCTION("""COMPUTED_VALUE"""),"Phạm Thị Mai Linh")</f>
        <v>Phạm Thị Mai Linh</v>
      </c>
      <c r="J6265" s="3" t="str">
        <f ca="1">IFERROR(__xludf.DUMMYFUNCTION("""COMPUTED_VALUE"""),"0398893425")</f>
        <v>0398893425</v>
      </c>
      <c r="K6265" s="2" t="str">
        <f ca="1">IFERROR(__xludf.DUMMYFUNCTION("""COMPUTED_VALUE"""),"1762311424241")</f>
        <v>1762311424241</v>
      </c>
    </row>
    <row r="6266" spans="1:11" ht="12.45">
      <c r="A6266" s="2" t="str">
        <f ca="1">IFERROR(__xludf.DUMMYFUNCTION("""COMPUTED_VALUE"""),"1762311465226")</f>
        <v>1762311465226</v>
      </c>
      <c r="B6266" s="2"/>
      <c r="C6266" s="2" t="str">
        <v>0</v>
      </c>
      <c r="D6266" s="2"/>
      <c r="F6266" s="2" t="str">
        <v>0</v>
      </c>
      <c r="I6266" s="3" t="str">
        <f ca="1">IFERROR(__xludf.DUMMYFUNCTION("""COMPUTED_VALUE"""),"Trần Khánh Nhân")</f>
        <v>Trần Khánh Nhân</v>
      </c>
      <c r="J6266" s="3" t="str">
        <f ca="1">IFERROR(__xludf.DUMMYFUNCTION("""COMPUTED_VALUE"""),"0931242561")</f>
        <v>0931242561</v>
      </c>
      <c r="K6266" s="2" t="str">
        <f ca="1">IFERROR(__xludf.DUMMYFUNCTION("""COMPUTED_VALUE"""),"1762311465226")</f>
        <v>1762311465226</v>
      </c>
    </row>
    <row r="6267" spans="1:11" ht="12.45">
      <c r="A6267" s="2" t="str">
        <f ca="1">IFERROR(__xludf.DUMMYFUNCTION("""COMPUTED_VALUE"""),"1762311497565")</f>
        <v>1762311497565</v>
      </c>
      <c r="B6267" s="2"/>
      <c r="C6267" s="2" t="str">
        <v>0</v>
      </c>
      <c r="D6267" s="2"/>
      <c r="F6267" s="2" t="str">
        <v>0</v>
      </c>
      <c r="I6267" s="3" t="str">
        <f ca="1">IFERROR(__xludf.DUMMYFUNCTION("""COMPUTED_VALUE"""),"Lê Thành An")</f>
        <v>Lê Thành An</v>
      </c>
      <c r="J6267" s="3" t="str">
        <f ca="1">IFERROR(__xludf.DUMMYFUNCTION("""COMPUTED_VALUE"""),"0337452294")</f>
        <v>0337452294</v>
      </c>
      <c r="K6267" s="2" t="str">
        <f ca="1">IFERROR(__xludf.DUMMYFUNCTION("""COMPUTED_VALUE"""),"1762311497565")</f>
        <v>1762311497565</v>
      </c>
    </row>
    <row r="6268" spans="1:11" ht="12.45">
      <c r="A6268" s="2" t="str">
        <f ca="1">IFERROR(__xludf.DUMMYFUNCTION("""COMPUTED_VALUE"""),"1762311550733")</f>
        <v>1762311550733</v>
      </c>
      <c r="B6268" s="2"/>
      <c r="C6268" s="2" t="str">
        <v>0</v>
      </c>
      <c r="D6268" s="2"/>
      <c r="F6268" s="2" t="str">
        <v>0</v>
      </c>
      <c r="I6268" s="3" t="str">
        <f ca="1">IFERROR(__xludf.DUMMYFUNCTION("""COMPUTED_VALUE"""),"Trần Thị Tố Trinh")</f>
        <v>Trần Thị Tố Trinh</v>
      </c>
      <c r="J6268" s="3" t="str">
        <f ca="1">IFERROR(__xludf.DUMMYFUNCTION("""COMPUTED_VALUE"""),"0933150028")</f>
        <v>0933150028</v>
      </c>
      <c r="K6268" s="2" t="str">
        <f ca="1">IFERROR(__xludf.DUMMYFUNCTION("""COMPUTED_VALUE"""),"1762311550733")</f>
        <v>1762311550733</v>
      </c>
    </row>
    <row r="6269" spans="1:11" ht="12.45">
      <c r="A6269" s="2" t="str">
        <f ca="1">IFERROR(__xludf.DUMMYFUNCTION("""COMPUTED_VALUE"""),"1762311593918")</f>
        <v>1762311593918</v>
      </c>
      <c r="B6269" s="2"/>
      <c r="C6269" s="2" t="str">
        <v>0</v>
      </c>
      <c r="D6269" s="2"/>
      <c r="F6269" s="2" t="str">
        <v>0</v>
      </c>
      <c r="I6269" s="3" t="str">
        <f ca="1">IFERROR(__xludf.DUMMYFUNCTION("""COMPUTED_VALUE"""),"Đinh Thị Thúy Vy")</f>
        <v>Đinh Thị Thúy Vy</v>
      </c>
      <c r="J6269" s="3" t="str">
        <f ca="1">IFERROR(__xludf.DUMMYFUNCTION("""COMPUTED_VALUE"""),"0912647466")</f>
        <v>0912647466</v>
      </c>
      <c r="K6269" s="2" t="str">
        <f ca="1">IFERROR(__xludf.DUMMYFUNCTION("""COMPUTED_VALUE"""),"1762311593918")</f>
        <v>1762311593918</v>
      </c>
    </row>
    <row r="6270" spans="1:11" ht="12.45">
      <c r="A6270" s="2" t="str">
        <f ca="1">IFERROR(__xludf.DUMMYFUNCTION("""COMPUTED_VALUE"""),"1762311631368")</f>
        <v>1762311631368</v>
      </c>
      <c r="B6270" s="2"/>
      <c r="C6270" s="2" t="str">
        <v>0</v>
      </c>
      <c r="D6270" s="2"/>
      <c r="F6270" s="2" t="str">
        <v>0</v>
      </c>
      <c r="I6270" s="3" t="str">
        <f ca="1">IFERROR(__xludf.DUMMYFUNCTION("""COMPUTED_VALUE"""),"Đặng Khánh Ngọc")</f>
        <v>Đặng Khánh Ngọc</v>
      </c>
      <c r="J6270" s="3" t="str">
        <f ca="1">IFERROR(__xludf.DUMMYFUNCTION("""COMPUTED_VALUE"""),"0973867477")</f>
        <v>0973867477</v>
      </c>
      <c r="K6270" s="2" t="str">
        <f ca="1">IFERROR(__xludf.DUMMYFUNCTION("""COMPUTED_VALUE"""),"1762311631368")</f>
        <v>1762311631368</v>
      </c>
    </row>
    <row r="6271" spans="1:11" ht="12.45">
      <c r="A6271" s="2" t="str">
        <f ca="1">IFERROR(__xludf.DUMMYFUNCTION("""COMPUTED_VALUE"""),"1762311669340")</f>
        <v>1762311669340</v>
      </c>
      <c r="B6271" s="2"/>
      <c r="C6271" s="2" t="str">
        <v>0</v>
      </c>
      <c r="D6271" s="2"/>
      <c r="F6271" s="2" t="str">
        <v>0</v>
      </c>
      <c r="I6271" s="3" t="str">
        <f ca="1">IFERROR(__xludf.DUMMYFUNCTION("""COMPUTED_VALUE"""),"Nguyễn Thủy Tiên")</f>
        <v>Nguyễn Thủy Tiên</v>
      </c>
      <c r="J6271" s="3" t="str">
        <f ca="1">IFERROR(__xludf.DUMMYFUNCTION("""COMPUTED_VALUE"""),"0377322556")</f>
        <v>0377322556</v>
      </c>
      <c r="K6271" s="2" t="str">
        <f ca="1">IFERROR(__xludf.DUMMYFUNCTION("""COMPUTED_VALUE"""),"1762311669340")</f>
        <v>1762311669340</v>
      </c>
    </row>
    <row r="6272" spans="1:11" ht="12.45">
      <c r="A6272" s="2" t="str">
        <f ca="1">IFERROR(__xludf.DUMMYFUNCTION("""COMPUTED_VALUE"""),"1762311704761")</f>
        <v>1762311704761</v>
      </c>
      <c r="B6272" s="2"/>
      <c r="C6272" s="2" t="str">
        <v>0</v>
      </c>
      <c r="D6272" s="2"/>
      <c r="F6272" s="2" t="str">
        <v>0</v>
      </c>
      <c r="I6272" s="3" t="str">
        <f ca="1">IFERROR(__xludf.DUMMYFUNCTION("""COMPUTED_VALUE"""),"Hồ Thanh Tú")</f>
        <v>Hồ Thanh Tú</v>
      </c>
      <c r="J6272" s="3" t="str">
        <f ca="1">IFERROR(__xludf.DUMMYFUNCTION("""COMPUTED_VALUE"""),"0585682007")</f>
        <v>0585682007</v>
      </c>
      <c r="K6272" s="2" t="str">
        <f ca="1">IFERROR(__xludf.DUMMYFUNCTION("""COMPUTED_VALUE"""),"1762311704761")</f>
        <v>1762311704761</v>
      </c>
    </row>
    <row r="6273" spans="1:11" ht="12.45">
      <c r="A6273" s="2" t="str">
        <f ca="1">IFERROR(__xludf.DUMMYFUNCTION("""COMPUTED_VALUE"""),"1762311742413")</f>
        <v>1762311742413</v>
      </c>
      <c r="B6273" s="2"/>
      <c r="C6273" s="2" t="str">
        <v>0</v>
      </c>
      <c r="D6273" s="2"/>
      <c r="F6273" s="2" t="str">
        <v>0</v>
      </c>
      <c r="I6273" s="3" t="str">
        <f ca="1">IFERROR(__xludf.DUMMYFUNCTION("""COMPUTED_VALUE"""),"Nguyễn Phương Anh")</f>
        <v>Nguyễn Phương Anh</v>
      </c>
      <c r="J6273" s="3" t="str">
        <f ca="1">IFERROR(__xludf.DUMMYFUNCTION("""COMPUTED_VALUE"""),"0782291431")</f>
        <v>0782291431</v>
      </c>
      <c r="K6273" s="2" t="str">
        <f ca="1">IFERROR(__xludf.DUMMYFUNCTION("""COMPUTED_VALUE"""),"1762311742413")</f>
        <v>1762311742413</v>
      </c>
    </row>
    <row r="6274" spans="1:11" ht="12.45">
      <c r="A6274" s="2" t="str">
        <f ca="1">IFERROR(__xludf.DUMMYFUNCTION("""COMPUTED_VALUE"""),"1762311783699")</f>
        <v>1762311783699</v>
      </c>
      <c r="B6274" s="2"/>
      <c r="C6274" s="2" t="str">
        <v>0</v>
      </c>
      <c r="D6274" s="2"/>
      <c r="F6274" s="2" t="str">
        <v>0</v>
      </c>
      <c r="I6274" s="3" t="str">
        <f ca="1">IFERROR(__xludf.DUMMYFUNCTION("""COMPUTED_VALUE"""),"Dương Nguyệt Minh")</f>
        <v>Dương Nguyệt Minh</v>
      </c>
      <c r="J6274" s="3" t="str">
        <f ca="1">IFERROR(__xludf.DUMMYFUNCTION("""COMPUTED_VALUE"""),"0353899150")</f>
        <v>0353899150</v>
      </c>
      <c r="K6274" s="2" t="str">
        <f ca="1">IFERROR(__xludf.DUMMYFUNCTION("""COMPUTED_VALUE"""),"1762311783699")</f>
        <v>1762311783699</v>
      </c>
    </row>
    <row r="6275" spans="1:11" ht="12.45">
      <c r="A6275" s="2" t="str">
        <f ca="1">IFERROR(__xludf.DUMMYFUNCTION("""COMPUTED_VALUE"""),"1762311820990")</f>
        <v>1762311820990</v>
      </c>
      <c r="B6275" s="2"/>
      <c r="C6275" s="2" t="str">
        <v>0</v>
      </c>
      <c r="D6275" s="2"/>
      <c r="F6275" s="2" t="str">
        <v>0</v>
      </c>
      <c r="I6275" s="3" t="str">
        <f ca="1">IFERROR(__xludf.DUMMYFUNCTION("""COMPUTED_VALUE"""),"Phạm Hồ Gia Huy ")</f>
        <v xml:space="preserve">Phạm Hồ Gia Huy </v>
      </c>
      <c r="J6275" s="3" t="str">
        <f ca="1">IFERROR(__xludf.DUMMYFUNCTION("""COMPUTED_VALUE"""),"0967959413")</f>
        <v>0967959413</v>
      </c>
      <c r="K6275" s="2" t="str">
        <f ca="1">IFERROR(__xludf.DUMMYFUNCTION("""COMPUTED_VALUE"""),"1762311820990")</f>
        <v>1762311820990</v>
      </c>
    </row>
    <row r="6276" spans="1:11" ht="12.45">
      <c r="A6276" s="2" t="str">
        <f ca="1">IFERROR(__xludf.DUMMYFUNCTION("""COMPUTED_VALUE"""),"1762311861660")</f>
        <v>1762311861660</v>
      </c>
      <c r="B6276" s="2"/>
      <c r="C6276" s="2" t="str">
        <v>0</v>
      </c>
      <c r="D6276" s="2"/>
      <c r="F6276" s="2" t="str">
        <v>0</v>
      </c>
      <c r="I6276" s="3" t="str">
        <f ca="1">IFERROR(__xludf.DUMMYFUNCTION("""COMPUTED_VALUE"""),"Đặng Thị Phương Thanh ")</f>
        <v xml:space="preserve">Đặng Thị Phương Thanh </v>
      </c>
      <c r="J6276" s="3" t="str">
        <f ca="1">IFERROR(__xludf.DUMMYFUNCTION("""COMPUTED_VALUE"""),"0972057069")</f>
        <v>0972057069</v>
      </c>
      <c r="K6276" s="2" t="str">
        <f ca="1">IFERROR(__xludf.DUMMYFUNCTION("""COMPUTED_VALUE"""),"1762311861660")</f>
        <v>1762311861660</v>
      </c>
    </row>
    <row r="6277" spans="1:11" ht="12.45">
      <c r="A6277" s="2" t="str">
        <f ca="1">IFERROR(__xludf.DUMMYFUNCTION("""COMPUTED_VALUE"""),"1762311908306")</f>
        <v>1762311908306</v>
      </c>
      <c r="B6277" s="2"/>
      <c r="C6277" s="2" t="str">
        <v>0</v>
      </c>
      <c r="D6277" s="2"/>
      <c r="F6277" s="2" t="str">
        <v>0</v>
      </c>
      <c r="I6277" s="3" t="str">
        <f ca="1">IFERROR(__xludf.DUMMYFUNCTION("""COMPUTED_VALUE"""),"Trần Phương Ly")</f>
        <v>Trần Phương Ly</v>
      </c>
      <c r="J6277" s="3" t="str">
        <f ca="1">IFERROR(__xludf.DUMMYFUNCTION("""COMPUTED_VALUE"""),"0967581253")</f>
        <v>0967581253</v>
      </c>
      <c r="K6277" s="2" t="str">
        <f ca="1">IFERROR(__xludf.DUMMYFUNCTION("""COMPUTED_VALUE"""),"1762311908306")</f>
        <v>1762311908306</v>
      </c>
    </row>
    <row r="6278" spans="1:11" ht="12.45">
      <c r="A6278" s="2" t="str">
        <f ca="1">IFERROR(__xludf.DUMMYFUNCTION("""COMPUTED_VALUE"""),"1762311982728")</f>
        <v>1762311982728</v>
      </c>
      <c r="B6278" s="2"/>
      <c r="C6278" s="2" t="str">
        <v>0</v>
      </c>
      <c r="D6278" s="2"/>
      <c r="F6278" s="2" t="str">
        <v>0</v>
      </c>
      <c r="I6278" s="3" t="str">
        <f ca="1">IFERROR(__xludf.DUMMYFUNCTION("""COMPUTED_VALUE"""),"Phùng Hải Lan")</f>
        <v>Phùng Hải Lan</v>
      </c>
      <c r="J6278" s="3" t="str">
        <f ca="1">IFERROR(__xludf.DUMMYFUNCTION("""COMPUTED_VALUE"""),"0382382572")</f>
        <v>0382382572</v>
      </c>
      <c r="K6278" s="2" t="str">
        <f ca="1">IFERROR(__xludf.DUMMYFUNCTION("""COMPUTED_VALUE"""),"1762311982728")</f>
        <v>1762311982728</v>
      </c>
    </row>
    <row r="6279" spans="1:11" ht="12.45">
      <c r="A6279" s="2" t="str">
        <f ca="1">IFERROR(__xludf.DUMMYFUNCTION("""COMPUTED_VALUE"""),"1762312030654")</f>
        <v>1762312030654</v>
      </c>
      <c r="B6279" s="2"/>
      <c r="C6279" s="2" t="str">
        <v>0</v>
      </c>
      <c r="D6279" s="2"/>
      <c r="F6279" s="2" t="str">
        <v>0</v>
      </c>
      <c r="I6279" s="3" t="str">
        <f ca="1">IFERROR(__xludf.DUMMYFUNCTION("""COMPUTED_VALUE"""),"Đoàn Thị Anh Đào")</f>
        <v>Đoàn Thị Anh Đào</v>
      </c>
      <c r="J6279" s="3" t="str">
        <f ca="1">IFERROR(__xludf.DUMMYFUNCTION("""COMPUTED_VALUE"""),"0918978942")</f>
        <v>0918978942</v>
      </c>
      <c r="K6279" s="2" t="str">
        <f ca="1">IFERROR(__xludf.DUMMYFUNCTION("""COMPUTED_VALUE"""),"1762312030654")</f>
        <v>1762312030654</v>
      </c>
    </row>
    <row r="6280" spans="1:11" ht="12.45">
      <c r="A6280" s="2" t="str">
        <f ca="1">IFERROR(__xludf.DUMMYFUNCTION("""COMPUTED_VALUE"""),"1762312085842")</f>
        <v>1762312085842</v>
      </c>
      <c r="B6280" s="2"/>
      <c r="C6280" s="2" t="str">
        <v>0</v>
      </c>
      <c r="D6280" s="2"/>
      <c r="F6280" s="2" t="str">
        <v>0</v>
      </c>
      <c r="I6280" s="3" t="str">
        <f ca="1">IFERROR(__xludf.DUMMYFUNCTION("""COMPUTED_VALUE"""),"Hồ Gia Huy")</f>
        <v>Hồ Gia Huy</v>
      </c>
      <c r="J6280" s="3" t="str">
        <f ca="1">IFERROR(__xludf.DUMMYFUNCTION("""COMPUTED_VALUE"""),"0852170399")</f>
        <v>0852170399</v>
      </c>
      <c r="K6280" s="2" t="str">
        <f ca="1">IFERROR(__xludf.DUMMYFUNCTION("""COMPUTED_VALUE"""),"1762312085842")</f>
        <v>1762312085842</v>
      </c>
    </row>
    <row r="6281" spans="1:11" ht="12.45">
      <c r="A6281" s="2" t="str">
        <f ca="1">IFERROR(__xludf.DUMMYFUNCTION("""COMPUTED_VALUE"""),"1762312123739")</f>
        <v>1762312123739</v>
      </c>
      <c r="B6281" s="2"/>
      <c r="C6281" s="2" t="str">
        <v>0</v>
      </c>
      <c r="D6281" s="2"/>
      <c r="F6281" s="2" t="str">
        <v>0</v>
      </c>
      <c r="I6281" s="3" t="str">
        <f ca="1">IFERROR(__xludf.DUMMYFUNCTION("""COMPUTED_VALUE"""),"phạm trịnh nhất phương ")</f>
        <v xml:space="preserve">phạm trịnh nhất phương </v>
      </c>
      <c r="J6281" s="3" t="str">
        <f ca="1">IFERROR(__xludf.DUMMYFUNCTION("""COMPUTED_VALUE"""),"0788757084")</f>
        <v>0788757084</v>
      </c>
      <c r="K6281" s="2" t="str">
        <f ca="1">IFERROR(__xludf.DUMMYFUNCTION("""COMPUTED_VALUE"""),"1762312123739")</f>
        <v>1762312123739</v>
      </c>
    </row>
    <row r="6282" spans="1:11" ht="12.45">
      <c r="A6282" s="2" t="str">
        <f ca="1">IFERROR(__xludf.DUMMYFUNCTION("""COMPUTED_VALUE"""),"1762312179002")</f>
        <v>1762312179002</v>
      </c>
      <c r="B6282" s="2"/>
      <c r="C6282" s="2" t="str">
        <v>0</v>
      </c>
      <c r="D6282" s="2"/>
      <c r="F6282" s="2" t="str">
        <v>0</v>
      </c>
      <c r="I6282" s="3" t="str">
        <f ca="1">IFERROR(__xludf.DUMMYFUNCTION("""COMPUTED_VALUE"""),"Lê Chiến")</f>
        <v>Lê Chiến</v>
      </c>
      <c r="J6282" s="3" t="str">
        <f ca="1">IFERROR(__xludf.DUMMYFUNCTION("""COMPUTED_VALUE"""),"0772782617")</f>
        <v>0772782617</v>
      </c>
      <c r="K6282" s="2" t="str">
        <f ca="1">IFERROR(__xludf.DUMMYFUNCTION("""COMPUTED_VALUE"""),"1762312179002")</f>
        <v>1762312179002</v>
      </c>
    </row>
    <row r="6283" spans="1:11" ht="12.45">
      <c r="A6283" s="2" t="str">
        <f ca="1">IFERROR(__xludf.DUMMYFUNCTION("""COMPUTED_VALUE"""),"1762312226355")</f>
        <v>1762312226355</v>
      </c>
      <c r="B6283" s="2"/>
      <c r="C6283" s="2" t="str">
        <v>0</v>
      </c>
      <c r="D6283" s="2"/>
      <c r="F6283" s="2" t="str">
        <v>0</v>
      </c>
      <c r="I6283" s="3" t="str">
        <f ca="1">IFERROR(__xludf.DUMMYFUNCTION("""COMPUTED_VALUE"""),"Bùi Khánh Vân")</f>
        <v>Bùi Khánh Vân</v>
      </c>
      <c r="J6283" s="3" t="str">
        <f ca="1">IFERROR(__xludf.DUMMYFUNCTION("""COMPUTED_VALUE"""),"0866186028")</f>
        <v>0866186028</v>
      </c>
      <c r="K6283" s="2" t="str">
        <f ca="1">IFERROR(__xludf.DUMMYFUNCTION("""COMPUTED_VALUE"""),"1762312226355")</f>
        <v>1762312226355</v>
      </c>
    </row>
    <row r="6284" spans="1:11" ht="12.45">
      <c r="A6284" s="2" t="str">
        <f ca="1">IFERROR(__xludf.DUMMYFUNCTION("""COMPUTED_VALUE"""),"1762312261240")</f>
        <v>1762312261240</v>
      </c>
      <c r="B6284" s="2"/>
      <c r="C6284" s="2" t="str">
        <v>0</v>
      </c>
      <c r="D6284" s="2"/>
      <c r="F6284" s="2" t="str">
        <v>0</v>
      </c>
      <c r="I6284" s="3" t="str">
        <f ca="1">IFERROR(__xludf.DUMMYFUNCTION("""COMPUTED_VALUE"""),"Nguyễn Hồng Hiệp")</f>
        <v>Nguyễn Hồng Hiệp</v>
      </c>
      <c r="J6284" s="3" t="str">
        <f ca="1">IFERROR(__xludf.DUMMYFUNCTION("""COMPUTED_VALUE"""),"0858100205")</f>
        <v>0858100205</v>
      </c>
      <c r="K6284" s="2" t="str">
        <f ca="1">IFERROR(__xludf.DUMMYFUNCTION("""COMPUTED_VALUE"""),"1762312261240")</f>
        <v>1762312261240</v>
      </c>
    </row>
    <row r="6285" spans="1:11" ht="12.45">
      <c r="A6285" s="2" t="str">
        <f ca="1">IFERROR(__xludf.DUMMYFUNCTION("""COMPUTED_VALUE"""),"1762312328836")</f>
        <v>1762312328836</v>
      </c>
      <c r="B6285" s="2"/>
      <c r="C6285" s="2" t="str">
        <v>0</v>
      </c>
      <c r="D6285" s="2"/>
      <c r="F6285" s="2" t="str">
        <v>0</v>
      </c>
      <c r="I6285" s="3" t="str">
        <f ca="1">IFERROR(__xludf.DUMMYFUNCTION("""COMPUTED_VALUE"""),"Lê Như Thảo ")</f>
        <v xml:space="preserve">Lê Như Thảo </v>
      </c>
      <c r="J6285" s="3" t="str">
        <f ca="1">IFERROR(__xludf.DUMMYFUNCTION("""COMPUTED_VALUE"""),"0339642663")</f>
        <v>0339642663</v>
      </c>
      <c r="K6285" s="2" t="str">
        <f ca="1">IFERROR(__xludf.DUMMYFUNCTION("""COMPUTED_VALUE"""),"1762312328836")</f>
        <v>1762312328836</v>
      </c>
    </row>
    <row r="6286" spans="1:11" ht="12.45">
      <c r="A6286" s="2" t="str">
        <f ca="1">IFERROR(__xludf.DUMMYFUNCTION("""COMPUTED_VALUE"""),"1762312386887")</f>
        <v>1762312386887</v>
      </c>
      <c r="B6286" s="2"/>
      <c r="C6286" s="2" t="str">
        <v>0</v>
      </c>
      <c r="D6286" s="2"/>
      <c r="F6286" s="2" t="str">
        <v>0</v>
      </c>
      <c r="I6286" s="3" t="str">
        <f ca="1">IFERROR(__xludf.DUMMYFUNCTION("""COMPUTED_VALUE"""),"võ ngọc thuỷ tiên")</f>
        <v>võ ngọc thuỷ tiên</v>
      </c>
      <c r="J6286" s="3" t="str">
        <f ca="1">IFERROR(__xludf.DUMMYFUNCTION("""COMPUTED_VALUE"""),"0934994225")</f>
        <v>0934994225</v>
      </c>
      <c r="K6286" s="2" t="str">
        <f ca="1">IFERROR(__xludf.DUMMYFUNCTION("""COMPUTED_VALUE"""),"1762312386887")</f>
        <v>1762312386887</v>
      </c>
    </row>
    <row r="6287" spans="1:11" ht="12.45">
      <c r="A6287" s="2" t="str">
        <f ca="1">IFERROR(__xludf.DUMMYFUNCTION("""COMPUTED_VALUE"""),"1762312465365")</f>
        <v>1762312465365</v>
      </c>
      <c r="B6287" s="2"/>
      <c r="C6287" s="2" t="str">
        <v>0</v>
      </c>
      <c r="D6287" s="2"/>
      <c r="F6287" s="2" t="str">
        <v>0</v>
      </c>
      <c r="I6287" s="3" t="str">
        <f ca="1">IFERROR(__xludf.DUMMYFUNCTION("""COMPUTED_VALUE"""),"Nguyễn Linh Chi")</f>
        <v>Nguyễn Linh Chi</v>
      </c>
      <c r="J6287" s="3" t="str">
        <f ca="1">IFERROR(__xludf.DUMMYFUNCTION("""COMPUTED_VALUE"""),"0847666670")</f>
        <v>0847666670</v>
      </c>
      <c r="K6287" s="2" t="str">
        <f ca="1">IFERROR(__xludf.DUMMYFUNCTION("""COMPUTED_VALUE"""),"1762312465365")</f>
        <v>1762312465365</v>
      </c>
    </row>
    <row r="6288" spans="1:11" ht="12.45">
      <c r="A6288" s="2" t="str">
        <f ca="1">IFERROR(__xludf.DUMMYFUNCTION("""COMPUTED_VALUE"""),"1762312511389")</f>
        <v>1762312511389</v>
      </c>
      <c r="B6288" s="2"/>
      <c r="C6288" s="2" t="str">
        <v>0</v>
      </c>
      <c r="D6288" s="2"/>
      <c r="F6288" s="2" t="str">
        <v>0</v>
      </c>
      <c r="I6288" s="3" t="str">
        <f ca="1">IFERROR(__xludf.DUMMYFUNCTION("""COMPUTED_VALUE"""),"Trần Trương Thảo Vy")</f>
        <v>Trần Trương Thảo Vy</v>
      </c>
      <c r="J6288" s="3" t="str">
        <f ca="1">IFERROR(__xludf.DUMMYFUNCTION("""COMPUTED_VALUE"""),"0914107350")</f>
        <v>0914107350</v>
      </c>
      <c r="K6288" s="2" t="str">
        <f ca="1">IFERROR(__xludf.DUMMYFUNCTION("""COMPUTED_VALUE"""),"1762312511389")</f>
        <v>1762312511389</v>
      </c>
    </row>
    <row r="6289" spans="1:11" ht="12.45">
      <c r="A6289" s="2" t="str">
        <f ca="1">IFERROR(__xludf.DUMMYFUNCTION("""COMPUTED_VALUE"""),"1762312562191")</f>
        <v>1762312562191</v>
      </c>
      <c r="B6289" s="2"/>
      <c r="C6289" s="2" t="str">
        <v>0</v>
      </c>
      <c r="D6289" s="2"/>
      <c r="F6289" s="2" t="str">
        <v>0</v>
      </c>
      <c r="I6289" s="3" t="str">
        <f ca="1">IFERROR(__xludf.DUMMYFUNCTION("""COMPUTED_VALUE"""),"Nguyễn Ngọc Minh Châu")</f>
        <v>Nguyễn Ngọc Minh Châu</v>
      </c>
      <c r="J6289" s="3" t="str">
        <f ca="1">IFERROR(__xludf.DUMMYFUNCTION("""COMPUTED_VALUE"""),"0329299403")</f>
        <v>0329299403</v>
      </c>
      <c r="K6289" s="2" t="str">
        <f ca="1">IFERROR(__xludf.DUMMYFUNCTION("""COMPUTED_VALUE"""),"1762312562191")</f>
        <v>1762312562191</v>
      </c>
    </row>
    <row r="6290" spans="1:11" ht="12.45">
      <c r="A6290" s="2" t="str">
        <f ca="1">IFERROR(__xludf.DUMMYFUNCTION("""COMPUTED_VALUE"""),"1762312623174")</f>
        <v>1762312623174</v>
      </c>
      <c r="B6290" s="2"/>
      <c r="C6290" s="2" t="str">
        <v>0</v>
      </c>
      <c r="D6290" s="2"/>
      <c r="F6290" s="2" t="str">
        <v>0</v>
      </c>
      <c r="I6290" s="3" t="str">
        <f ca="1">IFERROR(__xludf.DUMMYFUNCTION("""COMPUTED_VALUE"""),"Dương Khánh Linh")</f>
        <v>Dương Khánh Linh</v>
      </c>
      <c r="J6290" s="3" t="str">
        <f ca="1">IFERROR(__xludf.DUMMYFUNCTION("""COMPUTED_VALUE"""),"0987804877")</f>
        <v>0987804877</v>
      </c>
      <c r="K6290" s="2" t="str">
        <f ca="1">IFERROR(__xludf.DUMMYFUNCTION("""COMPUTED_VALUE"""),"1762312623174")</f>
        <v>1762312623174</v>
      </c>
    </row>
    <row r="6291" spans="1:11" ht="12.45">
      <c r="A6291" s="2" t="str">
        <f ca="1">IFERROR(__xludf.DUMMYFUNCTION("""COMPUTED_VALUE"""),"1762312682292")</f>
        <v>1762312682292</v>
      </c>
      <c r="B6291" s="2"/>
      <c r="C6291" s="2" t="str">
        <v>0</v>
      </c>
      <c r="D6291" s="2"/>
      <c r="F6291" s="2" t="str">
        <v>0</v>
      </c>
      <c r="I6291" s="3" t="str">
        <f ca="1">IFERROR(__xludf.DUMMYFUNCTION("""COMPUTED_VALUE"""),"Nguyễn Hồng An")</f>
        <v>Nguyễn Hồng An</v>
      </c>
      <c r="J6291" s="3" t="str">
        <f ca="1">IFERROR(__xludf.DUMMYFUNCTION("""COMPUTED_VALUE"""),"0981952320")</f>
        <v>0981952320</v>
      </c>
      <c r="K6291" s="2" t="str">
        <f ca="1">IFERROR(__xludf.DUMMYFUNCTION("""COMPUTED_VALUE"""),"1762312682292")</f>
        <v>1762312682292</v>
      </c>
    </row>
    <row r="6292" spans="1:11" ht="12.45">
      <c r="A6292" s="2" t="str">
        <f ca="1">IFERROR(__xludf.DUMMYFUNCTION("""COMPUTED_VALUE"""),"1762312730622")</f>
        <v>1762312730622</v>
      </c>
      <c r="B6292" s="2"/>
      <c r="C6292" s="2" t="str">
        <v>0</v>
      </c>
      <c r="D6292" s="2"/>
      <c r="F6292" s="2" t="str">
        <v>0</v>
      </c>
      <c r="I6292" s="3" t="str">
        <f ca="1">IFERROR(__xludf.DUMMYFUNCTION("""COMPUTED_VALUE"""),"Đinh Vũ Yến Nhi")</f>
        <v>Đinh Vũ Yến Nhi</v>
      </c>
      <c r="J6292" s="3" t="str">
        <f ca="1">IFERROR(__xludf.DUMMYFUNCTION("""COMPUTED_VALUE"""),"0967276410")</f>
        <v>0967276410</v>
      </c>
      <c r="K6292" s="2" t="str">
        <f ca="1">IFERROR(__xludf.DUMMYFUNCTION("""COMPUTED_VALUE"""),"1762312730622")</f>
        <v>1762312730622</v>
      </c>
    </row>
    <row r="6293" spans="1:11" ht="12.45">
      <c r="A6293" s="2" t="str">
        <f ca="1">IFERROR(__xludf.DUMMYFUNCTION("""COMPUTED_VALUE"""),"1762312777578")</f>
        <v>1762312777578</v>
      </c>
      <c r="B6293" s="2"/>
      <c r="C6293" s="2" t="str">
        <v>0</v>
      </c>
      <c r="D6293" s="2"/>
      <c r="F6293" s="2" t="str">
        <v>0</v>
      </c>
      <c r="I6293" s="3" t="str">
        <f ca="1">IFERROR(__xludf.DUMMYFUNCTION("""COMPUTED_VALUE"""),"Hoàng Thị Thanh Thảo")</f>
        <v>Hoàng Thị Thanh Thảo</v>
      </c>
      <c r="J6293" s="3" t="str">
        <f ca="1">IFERROR(__xludf.DUMMYFUNCTION("""COMPUTED_VALUE"""),"0327858682")</f>
        <v>0327858682</v>
      </c>
      <c r="K6293" s="2" t="str">
        <f ca="1">IFERROR(__xludf.DUMMYFUNCTION("""COMPUTED_VALUE"""),"1762312777578")</f>
        <v>1762312777578</v>
      </c>
    </row>
    <row r="6294" spans="1:11" ht="12.45">
      <c r="A6294" s="2" t="str">
        <f ca="1">IFERROR(__xludf.DUMMYFUNCTION("""COMPUTED_VALUE"""),"1762312847065")</f>
        <v>1762312847065</v>
      </c>
      <c r="B6294" s="2"/>
      <c r="C6294" s="2" t="str">
        <v>0</v>
      </c>
      <c r="D6294" s="2"/>
      <c r="F6294" s="2" t="str">
        <v>0</v>
      </c>
      <c r="I6294" s="3" t="str">
        <f ca="1">IFERROR(__xludf.DUMMYFUNCTION("""COMPUTED_VALUE"""),"Nguyễn Thị Hải Yến")</f>
        <v>Nguyễn Thị Hải Yến</v>
      </c>
      <c r="J6294" s="3" t="str">
        <f ca="1">IFERROR(__xludf.DUMMYFUNCTION("""COMPUTED_VALUE"""),"0392716270")</f>
        <v>0392716270</v>
      </c>
      <c r="K6294" s="2" t="str">
        <f ca="1">IFERROR(__xludf.DUMMYFUNCTION("""COMPUTED_VALUE"""),"1762312847065")</f>
        <v>1762312847065</v>
      </c>
    </row>
    <row r="6295" spans="1:11" ht="12.45">
      <c r="A6295" s="2" t="str">
        <f ca="1">IFERROR(__xludf.DUMMYFUNCTION("""COMPUTED_VALUE"""),"1762312891146")</f>
        <v>1762312891146</v>
      </c>
      <c r="B6295" s="2"/>
      <c r="C6295" s="2" t="str">
        <v>0</v>
      </c>
      <c r="D6295" s="2"/>
      <c r="F6295" s="2" t="str">
        <v>0</v>
      </c>
      <c r="I6295" s="3" t="str">
        <f ca="1">IFERROR(__xludf.DUMMYFUNCTION("""COMPUTED_VALUE"""),"Trần Thị Diện")</f>
        <v>Trần Thị Diện</v>
      </c>
      <c r="J6295" s="3" t="str">
        <f ca="1">IFERROR(__xludf.DUMMYFUNCTION("""COMPUTED_VALUE"""),"0834535536")</f>
        <v>0834535536</v>
      </c>
      <c r="K6295" s="2" t="str">
        <f ca="1">IFERROR(__xludf.DUMMYFUNCTION("""COMPUTED_VALUE"""),"1762312891146")</f>
        <v>1762312891146</v>
      </c>
    </row>
    <row r="6296" spans="1:11" ht="12.45">
      <c r="A6296" s="2" t="str">
        <f ca="1">IFERROR(__xludf.DUMMYFUNCTION("""COMPUTED_VALUE"""),"1762312958584")</f>
        <v>1762312958584</v>
      </c>
      <c r="B6296" s="2"/>
      <c r="C6296" s="2" t="str">
        <v>0</v>
      </c>
      <c r="D6296" s="2"/>
      <c r="F6296" s="2" t="str">
        <v>0</v>
      </c>
      <c r="I6296" s="3" t="str">
        <f ca="1">IFERROR(__xludf.DUMMYFUNCTION("""COMPUTED_VALUE"""),"Nguyễn An Hà Nhi")</f>
        <v>Nguyễn An Hà Nhi</v>
      </c>
      <c r="J6296" s="3" t="str">
        <f ca="1">IFERROR(__xludf.DUMMYFUNCTION("""COMPUTED_VALUE"""),"0382213225")</f>
        <v>0382213225</v>
      </c>
      <c r="K6296" s="2" t="str">
        <f ca="1">IFERROR(__xludf.DUMMYFUNCTION("""COMPUTED_VALUE"""),"1762312958584")</f>
        <v>1762312958584</v>
      </c>
    </row>
    <row r="6297" spans="1:11" ht="12.45">
      <c r="A6297" s="2" t="str">
        <f ca="1">IFERROR(__xludf.DUMMYFUNCTION("""COMPUTED_VALUE"""),"1762313010792")</f>
        <v>1762313010792</v>
      </c>
      <c r="B6297" s="2"/>
      <c r="C6297" s="2" t="str">
        <v>0</v>
      </c>
      <c r="D6297" s="2"/>
      <c r="F6297" s="2" t="str">
        <v>0</v>
      </c>
      <c r="I6297" s="3" t="str">
        <f ca="1">IFERROR(__xludf.DUMMYFUNCTION("""COMPUTED_VALUE"""),"Đào Xuân Quang")</f>
        <v>Đào Xuân Quang</v>
      </c>
      <c r="J6297" s="3" t="str">
        <f ca="1">IFERROR(__xludf.DUMMYFUNCTION("""COMPUTED_VALUE"""),"0793645670")</f>
        <v>0793645670</v>
      </c>
      <c r="K6297" s="2" t="str">
        <f ca="1">IFERROR(__xludf.DUMMYFUNCTION("""COMPUTED_VALUE"""),"1762313010792")</f>
        <v>1762313010792</v>
      </c>
    </row>
    <row r="6298" spans="1:11" ht="12.45">
      <c r="A6298" s="2" t="str">
        <f ca="1">IFERROR(__xludf.DUMMYFUNCTION("""COMPUTED_VALUE"""),"Không giao sách")</f>
        <v>Không giao sách</v>
      </c>
      <c r="B6298" s="2"/>
      <c r="C6298" s="2" t="str">
        <v>0</v>
      </c>
      <c r="D6298" s="2"/>
      <c r="F6298" s="2" t="str">
        <v>0</v>
      </c>
      <c r="I6298" s="3" t="str">
        <f ca="1">IFERROR(__xludf.DUMMYFUNCTION("""COMPUTED_VALUE"""),"Vương Trung Kiên")</f>
        <v>Vương Trung Kiên</v>
      </c>
      <c r="J6298" s="3" t="str">
        <f ca="1">IFERROR(__xludf.DUMMYFUNCTION("""COMPUTED_VALUE"""),"0969489278")</f>
        <v>0969489278</v>
      </c>
      <c r="K6298" s="2" t="str">
        <f ca="1">IFERROR(__xludf.DUMMYFUNCTION("""COMPUTED_VALUE"""),"Không giao sách")</f>
        <v>Không giao sách</v>
      </c>
    </row>
    <row r="6299" spans="1:11" ht="12.45">
      <c r="A6299" s="2" t="str">
        <f ca="1">IFERROR(__xludf.DUMMYFUNCTION("""COMPUTED_VALUE"""),"1762313049259")</f>
        <v>1762313049259</v>
      </c>
      <c r="B6299" s="2"/>
      <c r="C6299" s="2" t="str">
        <v>0</v>
      </c>
      <c r="D6299" s="2"/>
      <c r="F6299" s="2" t="str">
        <v>0</v>
      </c>
      <c r="I6299" s="3" t="str">
        <f ca="1">IFERROR(__xludf.DUMMYFUNCTION("""COMPUTED_VALUE"""),"Nguyễn Thị Phương Thảo ")</f>
        <v xml:space="preserve">Nguyễn Thị Phương Thảo </v>
      </c>
      <c r="J6299" s="3" t="str">
        <f ca="1">IFERROR(__xludf.DUMMYFUNCTION("""COMPUTED_VALUE"""),"0985889219")</f>
        <v>0985889219</v>
      </c>
      <c r="K6299" s="2" t="str">
        <f ca="1">IFERROR(__xludf.DUMMYFUNCTION("""COMPUTED_VALUE"""),"1762313049259")</f>
        <v>1762313049259</v>
      </c>
    </row>
    <row r="6300" spans="1:11" ht="12.45">
      <c r="A6300" s="2" t="str">
        <f ca="1">IFERROR(__xludf.DUMMYFUNCTION("""COMPUTED_VALUE"""),"1762313105597")</f>
        <v>1762313105597</v>
      </c>
      <c r="B6300" s="2"/>
      <c r="C6300" s="2" t="str">
        <v>0</v>
      </c>
      <c r="D6300" s="2"/>
      <c r="F6300" s="2" t="str">
        <v>0</v>
      </c>
      <c r="I6300" s="3" t="str">
        <f ca="1">IFERROR(__xludf.DUMMYFUNCTION("""COMPUTED_VALUE"""),"Lý Kiều Trang")</f>
        <v>Lý Kiều Trang</v>
      </c>
      <c r="J6300" s="3" t="str">
        <f ca="1">IFERROR(__xludf.DUMMYFUNCTION("""COMPUTED_VALUE"""),"0354870662")</f>
        <v>0354870662</v>
      </c>
      <c r="K6300" s="2" t="str">
        <f ca="1">IFERROR(__xludf.DUMMYFUNCTION("""COMPUTED_VALUE"""),"1762313105597")</f>
        <v>1762313105597</v>
      </c>
    </row>
    <row r="6301" spans="1:11" ht="12.45">
      <c r="A6301" s="2" t="str">
        <f ca="1">IFERROR(__xludf.DUMMYFUNCTION("""COMPUTED_VALUE"""),"1762313155651")</f>
        <v>1762313155651</v>
      </c>
      <c r="B6301" s="2"/>
      <c r="C6301" s="2" t="str">
        <v>0</v>
      </c>
      <c r="D6301" s="2"/>
      <c r="F6301" s="2" t="str">
        <v>0</v>
      </c>
      <c r="I6301" s="3" t="str">
        <f ca="1">IFERROR(__xludf.DUMMYFUNCTION("""COMPUTED_VALUE"""),"Nguyễn thị kim ngân ")</f>
        <v xml:space="preserve">Nguyễn thị kim ngân </v>
      </c>
      <c r="J6301" s="3" t="str">
        <f ca="1">IFERROR(__xludf.DUMMYFUNCTION("""COMPUTED_VALUE"""),"0974521547")</f>
        <v>0974521547</v>
      </c>
      <c r="K6301" s="2" t="str">
        <f ca="1">IFERROR(__xludf.DUMMYFUNCTION("""COMPUTED_VALUE"""),"1762313155651")</f>
        <v>1762313155651</v>
      </c>
    </row>
    <row r="6302" spans="1:11" ht="12.45">
      <c r="A6302" s="2" t="str">
        <f ca="1">IFERROR(__xludf.DUMMYFUNCTION("""COMPUTED_VALUE"""),"1762313215118")</f>
        <v>1762313215118</v>
      </c>
      <c r="B6302" s="2"/>
      <c r="C6302" s="2" t="str">
        <v>0</v>
      </c>
      <c r="D6302" s="2"/>
      <c r="F6302" s="2" t="str">
        <v>0</v>
      </c>
      <c r="I6302" s="3" t="str">
        <f ca="1">IFERROR(__xludf.DUMMYFUNCTION("""COMPUTED_VALUE"""),"Nguyễn Như")</f>
        <v>Nguyễn Như</v>
      </c>
      <c r="J6302" s="3" t="str">
        <f ca="1">IFERROR(__xludf.DUMMYFUNCTION("""COMPUTED_VALUE"""),"0337403513")</f>
        <v>0337403513</v>
      </c>
      <c r="K6302" s="2" t="str">
        <f ca="1">IFERROR(__xludf.DUMMYFUNCTION("""COMPUTED_VALUE"""),"1762313215118")</f>
        <v>1762313215118</v>
      </c>
    </row>
    <row r="6303" spans="1:11" ht="12.45">
      <c r="A6303" s="2" t="str">
        <f ca="1">IFERROR(__xludf.DUMMYFUNCTION("""COMPUTED_VALUE"""),"Không giao sách")</f>
        <v>Không giao sách</v>
      </c>
      <c r="B6303" s="2"/>
      <c r="C6303" s="2" t="str">
        <v>0</v>
      </c>
      <c r="D6303" s="2"/>
      <c r="F6303" s="2" t="str">
        <v>0</v>
      </c>
      <c r="I6303" s="3" t="str">
        <f ca="1">IFERROR(__xludf.DUMMYFUNCTION("""COMPUTED_VALUE"""),"Võ Thị Lành ")</f>
        <v xml:space="preserve">Võ Thị Lành </v>
      </c>
      <c r="J6303" s="3" t="str">
        <f ca="1">IFERROR(__xludf.DUMMYFUNCTION("""COMPUTED_VALUE"""),"8436550993")</f>
        <v>8436550993</v>
      </c>
      <c r="K6303" s="2" t="str">
        <f ca="1">IFERROR(__xludf.DUMMYFUNCTION("""COMPUTED_VALUE"""),"Không giao sách")</f>
        <v>Không giao sách</v>
      </c>
    </row>
    <row r="6304" spans="1:11" ht="12.45">
      <c r="A6304" s="2" t="str">
        <f ca="1">IFERROR(__xludf.DUMMYFUNCTION("""COMPUTED_VALUE"""),"1762313262439")</f>
        <v>1762313262439</v>
      </c>
      <c r="B6304" s="2"/>
      <c r="C6304" s="2" t="str">
        <v>0</v>
      </c>
      <c r="D6304" s="2"/>
      <c r="F6304" s="2" t="str">
        <v>0</v>
      </c>
      <c r="I6304" s="3" t="str">
        <f ca="1">IFERROR(__xludf.DUMMYFUNCTION("""COMPUTED_VALUE"""),"ĐOÀN THỊ NGỌC ÁNH")</f>
        <v>ĐOÀN THỊ NGỌC ÁNH</v>
      </c>
      <c r="J6304" s="3" t="str">
        <f ca="1">IFERROR(__xludf.DUMMYFUNCTION("""COMPUTED_VALUE"""),"0368105646")</f>
        <v>0368105646</v>
      </c>
      <c r="K6304" s="2" t="str">
        <f ca="1">IFERROR(__xludf.DUMMYFUNCTION("""COMPUTED_VALUE"""),"1762313262439")</f>
        <v>1762313262439</v>
      </c>
    </row>
    <row r="6305" spans="1:11" ht="12.45">
      <c r="A6305" s="2" t="str">
        <f ca="1">IFERROR(__xludf.DUMMYFUNCTION("""COMPUTED_VALUE"""),"1762313306234")</f>
        <v>1762313306234</v>
      </c>
      <c r="B6305" s="2"/>
      <c r="C6305" s="2" t="str">
        <v>0</v>
      </c>
      <c r="D6305" s="2"/>
      <c r="F6305" s="2" t="str">
        <v>0</v>
      </c>
      <c r="I6305" s="3" t="str">
        <f ca="1">IFERROR(__xludf.DUMMYFUNCTION("""COMPUTED_VALUE"""),"Nguyễn Bảo Nhi")</f>
        <v>Nguyễn Bảo Nhi</v>
      </c>
      <c r="J6305" s="3" t="str">
        <f ca="1">IFERROR(__xludf.DUMMYFUNCTION("""COMPUTED_VALUE"""),"0325881241")</f>
        <v>0325881241</v>
      </c>
      <c r="K6305" s="2" t="str">
        <f ca="1">IFERROR(__xludf.DUMMYFUNCTION("""COMPUTED_VALUE"""),"1762313306234")</f>
        <v>1762313306234</v>
      </c>
    </row>
    <row r="6306" spans="1:11" ht="12.45">
      <c r="A6306" s="2" t="str">
        <f ca="1">IFERROR(__xludf.DUMMYFUNCTION("""COMPUTED_VALUE"""),"1762313360742")</f>
        <v>1762313360742</v>
      </c>
      <c r="B6306" s="2"/>
      <c r="C6306" s="2" t="str">
        <v>0</v>
      </c>
      <c r="D6306" s="2"/>
      <c r="F6306" s="2" t="str">
        <v>0</v>
      </c>
      <c r="I6306" s="3" t="str">
        <f ca="1">IFERROR(__xludf.DUMMYFUNCTION("""COMPUTED_VALUE"""),"Bảo châu")</f>
        <v>Bảo châu</v>
      </c>
      <c r="J6306" s="3" t="str">
        <f ca="1">IFERROR(__xludf.DUMMYFUNCTION("""COMPUTED_VALUE"""),"0839118211")</f>
        <v>0839118211</v>
      </c>
      <c r="K6306" s="2" t="str">
        <f ca="1">IFERROR(__xludf.DUMMYFUNCTION("""COMPUTED_VALUE"""),"1762313360742")</f>
        <v>1762313360742</v>
      </c>
    </row>
    <row r="6307" spans="1:11" ht="12.45">
      <c r="A6307" s="2" t="str">
        <f ca="1">IFERROR(__xludf.DUMMYFUNCTION("""COMPUTED_VALUE"""),"Không giao sách")</f>
        <v>Không giao sách</v>
      </c>
      <c r="B6307" s="2"/>
      <c r="C6307" s="2" t="str">
        <v>0</v>
      </c>
      <c r="D6307" s="2"/>
      <c r="F6307" s="2" t="str">
        <v>0</v>
      </c>
      <c r="I6307" s="3" t="str">
        <f ca="1">IFERROR(__xludf.DUMMYFUNCTION("""COMPUTED_VALUE"""),"Huỳnh Nữ Minh Hoàng")</f>
        <v>Huỳnh Nữ Minh Hoàng</v>
      </c>
      <c r="J6307" s="3" t="str">
        <f ca="1">IFERROR(__xludf.DUMMYFUNCTION("""COMPUTED_VALUE"""),"0906832714")</f>
        <v>0906832714</v>
      </c>
      <c r="K6307" s="2" t="str">
        <f ca="1">IFERROR(__xludf.DUMMYFUNCTION("""COMPUTED_VALUE"""),"Không giao sách")</f>
        <v>Không giao sách</v>
      </c>
    </row>
    <row r="6308" spans="1:11" ht="12.45">
      <c r="A6308" s="2" t="str">
        <f ca="1">IFERROR(__xludf.DUMMYFUNCTION("""COMPUTED_VALUE"""),"1762313427767")</f>
        <v>1762313427767</v>
      </c>
      <c r="B6308" s="2"/>
      <c r="C6308" s="2" t="str">
        <v>0</v>
      </c>
      <c r="D6308" s="2"/>
      <c r="F6308" s="2" t="str">
        <v>0</v>
      </c>
      <c r="I6308" s="3" t="str">
        <f ca="1">IFERROR(__xludf.DUMMYFUNCTION("""COMPUTED_VALUE"""),"Trần Thuỳ Trang")</f>
        <v>Trần Thuỳ Trang</v>
      </c>
      <c r="J6308" s="3" t="str">
        <f ca="1">IFERROR(__xludf.DUMMYFUNCTION("""COMPUTED_VALUE"""),"0375628447")</f>
        <v>0375628447</v>
      </c>
      <c r="K6308" s="2" t="str">
        <f ca="1">IFERROR(__xludf.DUMMYFUNCTION("""COMPUTED_VALUE"""),"1762313427767")</f>
        <v>1762313427767</v>
      </c>
    </row>
    <row r="6309" spans="1:11" ht="12.45">
      <c r="A6309" s="2" t="str">
        <f ca="1">IFERROR(__xludf.DUMMYFUNCTION("""COMPUTED_VALUE"""),"1762313476203")</f>
        <v>1762313476203</v>
      </c>
      <c r="B6309" s="2"/>
      <c r="C6309" s="2" t="str">
        <v>0</v>
      </c>
      <c r="D6309" s="2"/>
      <c r="F6309" s="2" t="str">
        <v>0</v>
      </c>
      <c r="I6309" s="3" t="str">
        <f ca="1">IFERROR(__xludf.DUMMYFUNCTION("""COMPUTED_VALUE"""),"Trần Thị Phương Thanh")</f>
        <v>Trần Thị Phương Thanh</v>
      </c>
      <c r="J6309" s="3" t="str">
        <f ca="1">IFERROR(__xludf.DUMMYFUNCTION("""COMPUTED_VALUE"""),"0983772907")</f>
        <v>0983772907</v>
      </c>
      <c r="K6309" s="2" t="str">
        <f ca="1">IFERROR(__xludf.DUMMYFUNCTION("""COMPUTED_VALUE"""),"1762313476203")</f>
        <v>1762313476203</v>
      </c>
    </row>
    <row r="6310" spans="1:11" ht="12.45">
      <c r="A6310" s="2" t="str">
        <f ca="1">IFERROR(__xludf.DUMMYFUNCTION("""COMPUTED_VALUE"""),"1762313516999")</f>
        <v>1762313516999</v>
      </c>
      <c r="B6310" s="2"/>
      <c r="C6310" s="2" t="str">
        <v>0</v>
      </c>
      <c r="D6310" s="2"/>
      <c r="F6310" s="2" t="str">
        <v>0</v>
      </c>
      <c r="I6310" s="3" t="str">
        <f ca="1">IFERROR(__xludf.DUMMYFUNCTION("""COMPUTED_VALUE"""),"Hoàng Phương Thảo")</f>
        <v>Hoàng Phương Thảo</v>
      </c>
      <c r="J6310" s="3" t="str">
        <f ca="1">IFERROR(__xludf.DUMMYFUNCTION("""COMPUTED_VALUE"""),"0355354750")</f>
        <v>0355354750</v>
      </c>
      <c r="K6310" s="2" t="str">
        <f ca="1">IFERROR(__xludf.DUMMYFUNCTION("""COMPUTED_VALUE"""),"1762313516999")</f>
        <v>1762313516999</v>
      </c>
    </row>
    <row r="6311" spans="1:11" ht="12.45">
      <c r="A6311" s="2" t="str">
        <f ca="1">IFERROR(__xludf.DUMMYFUNCTION("""COMPUTED_VALUE"""),"1762313572106")</f>
        <v>1762313572106</v>
      </c>
      <c r="B6311" s="2"/>
      <c r="C6311" s="2" t="str">
        <v>0</v>
      </c>
      <c r="D6311" s="2"/>
      <c r="F6311" s="2" t="str">
        <v>0</v>
      </c>
      <c r="I6311" s="3" t="str">
        <f ca="1">IFERROR(__xludf.DUMMYFUNCTION("""COMPUTED_VALUE"""),"Nguyễn Xuân Bách")</f>
        <v>Nguyễn Xuân Bách</v>
      </c>
      <c r="J6311" s="3" t="str">
        <f ca="1">IFERROR(__xludf.DUMMYFUNCTION("""COMPUTED_VALUE"""),"0966705925")</f>
        <v>0966705925</v>
      </c>
      <c r="K6311" s="2" t="str">
        <f ca="1">IFERROR(__xludf.DUMMYFUNCTION("""COMPUTED_VALUE"""),"1762313572106")</f>
        <v>1762313572106</v>
      </c>
    </row>
    <row r="6312" spans="1:11" ht="12.45">
      <c r="A6312" s="2" t="str">
        <f ca="1">IFERROR(__xludf.DUMMYFUNCTION("""COMPUTED_VALUE"""),"1762313630848")</f>
        <v>1762313630848</v>
      </c>
      <c r="B6312" s="2"/>
      <c r="C6312" s="2" t="str">
        <v>0</v>
      </c>
      <c r="D6312" s="2"/>
      <c r="F6312" s="2" t="str">
        <v>0</v>
      </c>
      <c r="I6312" s="3" t="str">
        <f ca="1">IFERROR(__xludf.DUMMYFUNCTION("""COMPUTED_VALUE"""),"Nguyễn Thanh Vân")</f>
        <v>Nguyễn Thanh Vân</v>
      </c>
      <c r="J6312" s="3" t="str">
        <f ca="1">IFERROR(__xludf.DUMMYFUNCTION("""COMPUTED_VALUE"""),"0971865719")</f>
        <v>0971865719</v>
      </c>
      <c r="K6312" s="2" t="str">
        <f ca="1">IFERROR(__xludf.DUMMYFUNCTION("""COMPUTED_VALUE"""),"1762313630848")</f>
        <v>1762313630848</v>
      </c>
    </row>
    <row r="6313" spans="1:11" ht="12.45">
      <c r="A6313" s="2" t="str">
        <f ca="1">IFERROR(__xludf.DUMMYFUNCTION("""COMPUTED_VALUE"""),"Không giao sách")</f>
        <v>Không giao sách</v>
      </c>
      <c r="B6313" s="2"/>
      <c r="C6313" s="2" t="str">
        <v>0</v>
      </c>
      <c r="D6313" s="2"/>
      <c r="F6313" s="2" t="str">
        <v>0</v>
      </c>
      <c r="I6313" s="3" t="str">
        <f ca="1">IFERROR(__xludf.DUMMYFUNCTION("""COMPUTED_VALUE"""),"Nguyễn Vàng Anh")</f>
        <v>Nguyễn Vàng Anh</v>
      </c>
      <c r="J6313" s="3" t="str">
        <f ca="1">IFERROR(__xludf.DUMMYFUNCTION("""COMPUTED_VALUE"""),"0898591206")</f>
        <v>0898591206</v>
      </c>
      <c r="K6313" s="2" t="str">
        <f ca="1">IFERROR(__xludf.DUMMYFUNCTION("""COMPUTED_VALUE"""),"Không giao sách")</f>
        <v>Không giao sách</v>
      </c>
    </row>
    <row r="6314" spans="1:11" ht="12.45">
      <c r="A6314" s="2" t="str">
        <f ca="1">IFERROR(__xludf.DUMMYFUNCTION("""COMPUTED_VALUE"""),"1762313667000")</f>
        <v>1762313667000</v>
      </c>
      <c r="B6314" s="2"/>
      <c r="C6314" s="2" t="str">
        <v>0</v>
      </c>
      <c r="D6314" s="2"/>
      <c r="F6314" s="2" t="str">
        <v>0</v>
      </c>
      <c r="I6314" s="3" t="str">
        <f ca="1">IFERROR(__xludf.DUMMYFUNCTION("""COMPUTED_VALUE"""),"Nguyễn Hương Giang")</f>
        <v>Nguyễn Hương Giang</v>
      </c>
      <c r="J6314" s="3" t="str">
        <f ca="1">IFERROR(__xludf.DUMMYFUNCTION("""COMPUTED_VALUE"""),"0982618907")</f>
        <v>0982618907</v>
      </c>
      <c r="K6314" s="2" t="str">
        <f ca="1">IFERROR(__xludf.DUMMYFUNCTION("""COMPUTED_VALUE"""),"1762313667000")</f>
        <v>1762313667000</v>
      </c>
    </row>
    <row r="6315" spans="1:11" ht="12.45">
      <c r="A6315" s="2" t="str">
        <f ca="1">IFERROR(__xludf.DUMMYFUNCTION("""COMPUTED_VALUE"""),"1762313706505")</f>
        <v>1762313706505</v>
      </c>
      <c r="B6315" s="2"/>
      <c r="C6315" s="2" t="str">
        <v>0</v>
      </c>
      <c r="D6315" s="2"/>
      <c r="F6315" s="2" t="str">
        <v>0</v>
      </c>
      <c r="I6315" s="3" t="str">
        <f ca="1">IFERROR(__xludf.DUMMYFUNCTION("""COMPUTED_VALUE"""),"Lê Thị Hằng ")</f>
        <v xml:space="preserve">Lê Thị Hằng </v>
      </c>
      <c r="J6315" s="3" t="str">
        <f ca="1">IFERROR(__xludf.DUMMYFUNCTION("""COMPUTED_VALUE"""),"0981253700")</f>
        <v>0981253700</v>
      </c>
      <c r="K6315" s="2" t="str">
        <f ca="1">IFERROR(__xludf.DUMMYFUNCTION("""COMPUTED_VALUE"""),"1762313706505")</f>
        <v>1762313706505</v>
      </c>
    </row>
    <row r="6316" spans="1:11" ht="12.45">
      <c r="A6316" s="2" t="str">
        <f ca="1">IFERROR(__xludf.DUMMYFUNCTION("""COMPUTED_VALUE"""),"1762313744174")</f>
        <v>1762313744174</v>
      </c>
      <c r="B6316" s="2"/>
      <c r="C6316" s="2" t="str">
        <v>0</v>
      </c>
      <c r="D6316" s="2"/>
      <c r="F6316" s="2" t="str">
        <v>0</v>
      </c>
      <c r="I6316" s="3" t="str">
        <f ca="1">IFERROR(__xludf.DUMMYFUNCTION("""COMPUTED_VALUE"""),"Lê Gia Khánh")</f>
        <v>Lê Gia Khánh</v>
      </c>
      <c r="J6316" s="3" t="str">
        <f ca="1">IFERROR(__xludf.DUMMYFUNCTION("""COMPUTED_VALUE"""),"0989864803")</f>
        <v>0989864803</v>
      </c>
      <c r="K6316" s="2" t="str">
        <f ca="1">IFERROR(__xludf.DUMMYFUNCTION("""COMPUTED_VALUE"""),"1762313744174")</f>
        <v>1762313744174</v>
      </c>
    </row>
    <row r="6317" spans="1:11" ht="12.45">
      <c r="A6317" s="2" t="str">
        <f ca="1">IFERROR(__xludf.DUMMYFUNCTION("""COMPUTED_VALUE"""),"1762313836860")</f>
        <v>1762313836860</v>
      </c>
      <c r="B6317" s="2"/>
      <c r="C6317" s="2" t="str">
        <v>0</v>
      </c>
      <c r="D6317" s="2"/>
      <c r="F6317" s="2" t="str">
        <v>0</v>
      </c>
      <c r="I6317" s="3" t="str">
        <f ca="1">IFERROR(__xludf.DUMMYFUNCTION("""COMPUTED_VALUE"""),"Vũ Thị Phương Uyên")</f>
        <v>Vũ Thị Phương Uyên</v>
      </c>
      <c r="J6317" s="3" t="str">
        <f ca="1">IFERROR(__xludf.DUMMYFUNCTION("""COMPUTED_VALUE"""),"0373344502")</f>
        <v>0373344502</v>
      </c>
      <c r="K6317" s="2" t="str">
        <f ca="1">IFERROR(__xludf.DUMMYFUNCTION("""COMPUTED_VALUE"""),"1762313836860")</f>
        <v>1762313836860</v>
      </c>
    </row>
    <row r="6318" spans="1:11" ht="12.45">
      <c r="A6318" s="2" t="str">
        <f ca="1">IFERROR(__xludf.DUMMYFUNCTION("""COMPUTED_VALUE"""),"1762313878660")</f>
        <v>1762313878660</v>
      </c>
      <c r="B6318" s="2"/>
      <c r="C6318" s="2" t="str">
        <v>0</v>
      </c>
      <c r="D6318" s="2"/>
      <c r="F6318" s="2" t="str">
        <v>0</v>
      </c>
      <c r="I6318" s="3" t="str">
        <f ca="1">IFERROR(__xludf.DUMMYFUNCTION("""COMPUTED_VALUE"""),"Nguyễn Hoàng Phương Uyên")</f>
        <v>Nguyễn Hoàng Phương Uyên</v>
      </c>
      <c r="J6318" s="3" t="str">
        <f ca="1">IFERROR(__xludf.DUMMYFUNCTION("""COMPUTED_VALUE"""),"0776214041")</f>
        <v>0776214041</v>
      </c>
      <c r="K6318" s="2" t="str">
        <f ca="1">IFERROR(__xludf.DUMMYFUNCTION("""COMPUTED_VALUE"""),"1762313878660")</f>
        <v>1762313878660</v>
      </c>
    </row>
    <row r="6319" spans="1:11" ht="12.45">
      <c r="A6319" s="2" t="str">
        <f ca="1">IFERROR(__xludf.DUMMYFUNCTION("""COMPUTED_VALUE"""),"1762313931108")</f>
        <v>1762313931108</v>
      </c>
      <c r="B6319" s="2"/>
      <c r="C6319" s="2" t="str">
        <v>0</v>
      </c>
      <c r="D6319" s="2"/>
      <c r="F6319" s="2" t="str">
        <v>0</v>
      </c>
      <c r="I6319" s="3" t="str">
        <f ca="1">IFERROR(__xludf.DUMMYFUNCTION("""COMPUTED_VALUE"""),"Nguyễn Thu Uyên")</f>
        <v>Nguyễn Thu Uyên</v>
      </c>
      <c r="J6319" s="3" t="str">
        <f ca="1">IFERROR(__xludf.DUMMYFUNCTION("""COMPUTED_VALUE"""),"0866154721")</f>
        <v>0866154721</v>
      </c>
      <c r="K6319" s="2" t="str">
        <f ca="1">IFERROR(__xludf.DUMMYFUNCTION("""COMPUTED_VALUE"""),"1762313931108")</f>
        <v>1762313931108</v>
      </c>
    </row>
    <row r="6320" spans="1:11" ht="12.45">
      <c r="A6320" s="2" t="str">
        <f ca="1">IFERROR(__xludf.DUMMYFUNCTION("""COMPUTED_VALUE"""),"Không giao sách")</f>
        <v>Không giao sách</v>
      </c>
      <c r="B6320" s="2"/>
      <c r="C6320" s="2" t="str">
        <v>0</v>
      </c>
      <c r="D6320" s="2"/>
      <c r="F6320" s="2" t="str">
        <v>0</v>
      </c>
      <c r="I6320" s="3" t="str">
        <f ca="1">IFERROR(__xludf.DUMMYFUNCTION("""COMPUTED_VALUE"""),"Nguyễn Trần Minh Châu")</f>
        <v>Nguyễn Trần Minh Châu</v>
      </c>
      <c r="J6320" s="3" t="str">
        <f ca="1">IFERROR(__xludf.DUMMYFUNCTION("""COMPUTED_VALUE"""),"0971686559")</f>
        <v>0971686559</v>
      </c>
      <c r="K6320" s="2" t="str">
        <f ca="1">IFERROR(__xludf.DUMMYFUNCTION("""COMPUTED_VALUE"""),"Không giao sách")</f>
        <v>Không giao sách</v>
      </c>
    </row>
    <row r="6321" spans="1:11" ht="12.45">
      <c r="A6321" s="2" t="str">
        <f ca="1">IFERROR(__xludf.DUMMYFUNCTION("""COMPUTED_VALUE"""),"1762374205564")</f>
        <v>1762374205564</v>
      </c>
      <c r="B6321" s="2"/>
      <c r="C6321" s="2" t="str">
        <v>0</v>
      </c>
      <c r="D6321" s="2"/>
      <c r="F6321" s="2" t="str">
        <v>0</v>
      </c>
      <c r="I6321" s="3" t="str">
        <f ca="1">IFERROR(__xludf.DUMMYFUNCTION("""COMPUTED_VALUE"""),"Nguyễn Trần Diệu Linh ")</f>
        <v xml:space="preserve">Nguyễn Trần Diệu Linh </v>
      </c>
      <c r="J6321" s="3" t="str">
        <f ca="1">IFERROR(__xludf.DUMMYFUNCTION("""COMPUTED_VALUE"""),"0866761075")</f>
        <v>0866761075</v>
      </c>
      <c r="K6321" s="2" t="str">
        <f ca="1">IFERROR(__xludf.DUMMYFUNCTION("""COMPUTED_VALUE"""),"1762374205564")</f>
        <v>1762374205564</v>
      </c>
    </row>
    <row r="6322" spans="1:11" ht="12.45">
      <c r="A6322" s="2" t="str">
        <f ca="1">IFERROR(__xludf.DUMMYFUNCTION("""COMPUTED_VALUE"""),"1762374271001")</f>
        <v>1762374271001</v>
      </c>
      <c r="B6322" s="2"/>
      <c r="C6322" s="2" t="str">
        <v>0</v>
      </c>
      <c r="D6322" s="2"/>
      <c r="F6322" s="2" t="str">
        <v>0</v>
      </c>
      <c r="I6322" s="3" t="str">
        <f ca="1">IFERROR(__xludf.DUMMYFUNCTION("""COMPUTED_VALUE"""),"Nguyễn phương nhi")</f>
        <v>Nguyễn phương nhi</v>
      </c>
      <c r="J6322" s="3" t="str">
        <f ca="1">IFERROR(__xludf.DUMMYFUNCTION("""COMPUTED_VALUE"""),"0368945568")</f>
        <v>0368945568</v>
      </c>
      <c r="K6322" s="2" t="str">
        <f ca="1">IFERROR(__xludf.DUMMYFUNCTION("""COMPUTED_VALUE"""),"1762374271001")</f>
        <v>1762374271001</v>
      </c>
    </row>
    <row r="6323" spans="1:11" ht="12.45">
      <c r="A6323" s="2" t="str">
        <f ca="1">IFERROR(__xludf.DUMMYFUNCTION("""COMPUTED_VALUE"""),"1762374315737")</f>
        <v>1762374315737</v>
      </c>
      <c r="B6323" s="2"/>
      <c r="C6323" s="2" t="str">
        <v>0</v>
      </c>
      <c r="D6323" s="2"/>
      <c r="F6323" s="2" t="str">
        <v>0</v>
      </c>
      <c r="I6323" s="3" t="str">
        <f ca="1">IFERROR(__xludf.DUMMYFUNCTION("""COMPUTED_VALUE"""),"Đỗ Ngọc Minh Nhi ")</f>
        <v xml:space="preserve">Đỗ Ngọc Minh Nhi </v>
      </c>
      <c r="J6323" s="3" t="str">
        <f ca="1">IFERROR(__xludf.DUMMYFUNCTION("""COMPUTED_VALUE"""),"0789614876")</f>
        <v>0789614876</v>
      </c>
      <c r="K6323" s="2" t="str">
        <f ca="1">IFERROR(__xludf.DUMMYFUNCTION("""COMPUTED_VALUE"""),"1762374315737")</f>
        <v>1762374315737</v>
      </c>
    </row>
    <row r="6324" spans="1:11" ht="12.45">
      <c r="A6324" s="2" t="str">
        <f ca="1">IFERROR(__xludf.DUMMYFUNCTION("""COMPUTED_VALUE"""),"1762374352964")</f>
        <v>1762374352964</v>
      </c>
      <c r="B6324" s="2"/>
      <c r="C6324" s="2" t="str">
        <v>0</v>
      </c>
      <c r="D6324" s="2"/>
      <c r="F6324" s="2" t="str">
        <v>0</v>
      </c>
      <c r="I6324" s="3" t="str">
        <f ca="1">IFERROR(__xludf.DUMMYFUNCTION("""COMPUTED_VALUE"""),"Dương Thị Khánh Ly")</f>
        <v>Dương Thị Khánh Ly</v>
      </c>
      <c r="J6324" s="3" t="str">
        <f ca="1">IFERROR(__xludf.DUMMYFUNCTION("""COMPUTED_VALUE"""),"0842073356")</f>
        <v>0842073356</v>
      </c>
      <c r="K6324" s="2" t="str">
        <f ca="1">IFERROR(__xludf.DUMMYFUNCTION("""COMPUTED_VALUE"""),"1762374352964")</f>
        <v>1762374352964</v>
      </c>
    </row>
    <row r="6325" spans="1:11" ht="12.45">
      <c r="A6325" s="2" t="str">
        <f ca="1">IFERROR(__xludf.DUMMYFUNCTION("""COMPUTED_VALUE"""),"1762374392533")</f>
        <v>1762374392533</v>
      </c>
      <c r="B6325" s="2"/>
      <c r="C6325" s="2" t="str">
        <v>0</v>
      </c>
      <c r="D6325" s="2"/>
      <c r="F6325" s="2" t="str">
        <v>0</v>
      </c>
      <c r="I6325" s="3" t="str">
        <f ca="1">IFERROR(__xludf.DUMMYFUNCTION("""COMPUTED_VALUE"""),"Lê Thị Lan Nhi")</f>
        <v>Lê Thị Lan Nhi</v>
      </c>
      <c r="J6325" s="3" t="str">
        <f ca="1">IFERROR(__xludf.DUMMYFUNCTION("""COMPUTED_VALUE"""),"0838762006")</f>
        <v>0838762006</v>
      </c>
      <c r="K6325" s="2" t="str">
        <f ca="1">IFERROR(__xludf.DUMMYFUNCTION("""COMPUTED_VALUE"""),"1762374392533")</f>
        <v>1762374392533</v>
      </c>
    </row>
    <row r="6326" spans="1:11" ht="12.45">
      <c r="A6326" s="2" t="str">
        <f ca="1">IFERROR(__xludf.DUMMYFUNCTION("""COMPUTED_VALUE"""),"Không giao sách")</f>
        <v>Không giao sách</v>
      </c>
      <c r="B6326" s="2"/>
      <c r="C6326" s="2" t="str">
        <v>0</v>
      </c>
      <c r="D6326" s="2"/>
      <c r="F6326" s="2" t="str">
        <v>0</v>
      </c>
      <c r="I6326" s="3" t="str">
        <f ca="1">IFERROR(__xludf.DUMMYFUNCTION("""COMPUTED_VALUE"""),"ĐỖ NGỌC TRÂM")</f>
        <v>ĐỖ NGỌC TRÂM</v>
      </c>
      <c r="J6326" s="3" t="str">
        <f ca="1">IFERROR(__xludf.DUMMYFUNCTION("""COMPUTED_VALUE"""),"0776282656")</f>
        <v>0776282656</v>
      </c>
      <c r="K6326" s="2" t="str">
        <f ca="1">IFERROR(__xludf.DUMMYFUNCTION("""COMPUTED_VALUE"""),"Không giao sách")</f>
        <v>Không giao sách</v>
      </c>
    </row>
    <row r="6327" spans="1:11" ht="12.45">
      <c r="A6327" s="2" t="str">
        <f ca="1">IFERROR(__xludf.DUMMYFUNCTION("""COMPUTED_VALUE"""),"1762374429897")</f>
        <v>1762374429897</v>
      </c>
      <c r="B6327" s="2"/>
      <c r="C6327" s="2" t="str">
        <v>0</v>
      </c>
      <c r="D6327" s="2"/>
      <c r="F6327" s="2" t="str">
        <v>0</v>
      </c>
      <c r="I6327" s="3" t="str">
        <f ca="1">IFERROR(__xludf.DUMMYFUNCTION("""COMPUTED_VALUE"""),"Lê Ngọc Xuân Nghi")</f>
        <v>Lê Ngọc Xuân Nghi</v>
      </c>
      <c r="J6327" s="3" t="str">
        <f ca="1">IFERROR(__xludf.DUMMYFUNCTION("""COMPUTED_VALUE"""),"0938700675")</f>
        <v>0938700675</v>
      </c>
      <c r="K6327" s="2" t="str">
        <f ca="1">IFERROR(__xludf.DUMMYFUNCTION("""COMPUTED_VALUE"""),"1762374429897")</f>
        <v>1762374429897</v>
      </c>
    </row>
    <row r="6328" spans="1:11" ht="12.45">
      <c r="A6328" s="2" t="str">
        <f ca="1">IFERROR(__xludf.DUMMYFUNCTION("""COMPUTED_VALUE"""),"Không giao sách")</f>
        <v>Không giao sách</v>
      </c>
      <c r="B6328" s="2"/>
      <c r="C6328" s="2" t="str">
        <v>0</v>
      </c>
      <c r="D6328" s="2"/>
      <c r="F6328" s="2" t="str">
        <v>0</v>
      </c>
      <c r="I6328" s="3" t="str">
        <f ca="1">IFERROR(__xludf.DUMMYFUNCTION("""COMPUTED_VALUE"""),"Nguyễn Hữu vọng ")</f>
        <v xml:space="preserve">Nguyễn Hữu vọng </v>
      </c>
      <c r="J6328" s="3" t="str">
        <f ca="1">IFERROR(__xludf.DUMMYFUNCTION("""COMPUTED_VALUE"""),"0818470720")</f>
        <v>0818470720</v>
      </c>
      <c r="K6328" s="2" t="str">
        <f ca="1">IFERROR(__xludf.DUMMYFUNCTION("""COMPUTED_VALUE"""),"Không giao sách")</f>
        <v>Không giao sách</v>
      </c>
    </row>
    <row r="6329" spans="1:11" ht="12.45">
      <c r="A6329" s="2" t="str">
        <f ca="1">IFERROR(__xludf.DUMMYFUNCTION("""COMPUTED_VALUE"""),"1762374476985")</f>
        <v>1762374476985</v>
      </c>
      <c r="B6329" s="2"/>
      <c r="C6329" s="2" t="str">
        <v>0</v>
      </c>
      <c r="D6329" s="2"/>
      <c r="F6329" s="2" t="str">
        <v>0</v>
      </c>
      <c r="I6329" s="3" t="str">
        <f ca="1">IFERROR(__xludf.DUMMYFUNCTION("""COMPUTED_VALUE"""),"Hoàng Thu Trang")</f>
        <v>Hoàng Thu Trang</v>
      </c>
      <c r="J6329" s="3" t="str">
        <f ca="1">IFERROR(__xludf.DUMMYFUNCTION("""COMPUTED_VALUE"""),"0336102742")</f>
        <v>0336102742</v>
      </c>
      <c r="K6329" s="2" t="str">
        <f ca="1">IFERROR(__xludf.DUMMYFUNCTION("""COMPUTED_VALUE"""),"1762374476985")</f>
        <v>1762374476985</v>
      </c>
    </row>
    <row r="6330" spans="1:11" ht="12.45">
      <c r="A6330" s="2" t="str">
        <f ca="1">IFERROR(__xludf.DUMMYFUNCTION("""COMPUTED_VALUE"""),"1762374513641")</f>
        <v>1762374513641</v>
      </c>
      <c r="B6330" s="2"/>
      <c r="C6330" s="2" t="str">
        <v>0</v>
      </c>
      <c r="D6330" s="2"/>
      <c r="F6330" s="2" t="str">
        <v>0</v>
      </c>
      <c r="I6330" s="3" t="str">
        <f ca="1">IFERROR(__xludf.DUMMYFUNCTION("""COMPUTED_VALUE"""),"Trần Thanh Hương")</f>
        <v>Trần Thanh Hương</v>
      </c>
      <c r="J6330" s="3" t="str">
        <f ca="1">IFERROR(__xludf.DUMMYFUNCTION("""COMPUTED_VALUE"""),"0388799626")</f>
        <v>0388799626</v>
      </c>
      <c r="K6330" s="2" t="str">
        <f ca="1">IFERROR(__xludf.DUMMYFUNCTION("""COMPUTED_VALUE"""),"1762374513641")</f>
        <v>1762374513641</v>
      </c>
    </row>
    <row r="6331" spans="1:11" ht="12.45">
      <c r="A6331" s="2" t="str">
        <f ca="1">IFERROR(__xludf.DUMMYFUNCTION("""COMPUTED_VALUE"""),"1762374476985")</f>
        <v>1762374476985</v>
      </c>
      <c r="B6331" s="2"/>
      <c r="C6331" s="2" t="str">
        <v>0</v>
      </c>
      <c r="D6331" s="2"/>
      <c r="F6331" s="2" t="str">
        <v>0</v>
      </c>
      <c r="I6331" s="3" t="str">
        <f ca="1">IFERROR(__xludf.DUMMYFUNCTION("""COMPUTED_VALUE"""),"Hoàng Thu Trang")</f>
        <v>Hoàng Thu Trang</v>
      </c>
      <c r="J6331" s="3" t="str">
        <f ca="1">IFERROR(__xludf.DUMMYFUNCTION("""COMPUTED_VALUE"""),"0336102742")</f>
        <v>0336102742</v>
      </c>
      <c r="K6331" s="2" t="str">
        <f ca="1">IFERROR(__xludf.DUMMYFUNCTION("""COMPUTED_VALUE"""),"1762374476985")</f>
        <v>1762374476985</v>
      </c>
    </row>
    <row r="6332" spans="1:11" ht="12.45">
      <c r="A6332" s="2" t="str">
        <f ca="1">IFERROR(__xludf.DUMMYFUNCTION("""COMPUTED_VALUE"""),"1762374590178")</f>
        <v>1762374590178</v>
      </c>
      <c r="B6332" s="2"/>
      <c r="C6332" s="2" t="str">
        <v>0</v>
      </c>
      <c r="D6332" s="2"/>
      <c r="F6332" s="2" t="str">
        <v>0</v>
      </c>
      <c r="I6332" s="3" t="str">
        <f ca="1">IFERROR(__xludf.DUMMYFUNCTION("""COMPUTED_VALUE"""),"Cao Thị Diễm My")</f>
        <v>Cao Thị Diễm My</v>
      </c>
      <c r="J6332" s="3" t="str">
        <f ca="1">IFERROR(__xludf.DUMMYFUNCTION("""COMPUTED_VALUE"""),"0787988737")</f>
        <v>0787988737</v>
      </c>
      <c r="K6332" s="2" t="str">
        <f ca="1">IFERROR(__xludf.DUMMYFUNCTION("""COMPUTED_VALUE"""),"1762374590178")</f>
        <v>1762374590178</v>
      </c>
    </row>
    <row r="6333" spans="1:11" ht="12.45">
      <c r="A6333" s="2" t="str">
        <f ca="1">IFERROR(__xludf.DUMMYFUNCTION("""COMPUTED_VALUE"""),"1762374641270")</f>
        <v>1762374641270</v>
      </c>
      <c r="B6333" s="2"/>
      <c r="C6333" s="2" t="str">
        <v>0</v>
      </c>
      <c r="D6333" s="2"/>
      <c r="F6333" s="2" t="str">
        <v>0</v>
      </c>
      <c r="I6333" s="3" t="str">
        <f ca="1">IFERROR(__xludf.DUMMYFUNCTION("""COMPUTED_VALUE"""),"Trần Khánh Huyền")</f>
        <v>Trần Khánh Huyền</v>
      </c>
      <c r="J6333" s="3" t="str">
        <f ca="1">IFERROR(__xludf.DUMMYFUNCTION("""COMPUTED_VALUE"""),"0965889922")</f>
        <v>0965889922</v>
      </c>
      <c r="K6333" s="2" t="str">
        <f ca="1">IFERROR(__xludf.DUMMYFUNCTION("""COMPUTED_VALUE"""),"1762374641270")</f>
        <v>1762374641270</v>
      </c>
    </row>
    <row r="6334" spans="1:11" ht="12.45">
      <c r="A6334" s="2" t="str">
        <f ca="1">IFERROR(__xludf.DUMMYFUNCTION("""COMPUTED_VALUE"""),"1762374685396")</f>
        <v>1762374685396</v>
      </c>
      <c r="B6334" s="2"/>
      <c r="C6334" s="2" t="str">
        <v>0</v>
      </c>
      <c r="D6334" s="2"/>
      <c r="F6334" s="2" t="str">
        <v>0</v>
      </c>
      <c r="I6334" s="3" t="str">
        <f ca="1">IFERROR(__xludf.DUMMYFUNCTION("""COMPUTED_VALUE"""),"Hoàng Thị Thu Thuỳ ")</f>
        <v xml:space="preserve">Hoàng Thị Thu Thuỳ </v>
      </c>
      <c r="J6334" s="3" t="str">
        <f ca="1">IFERROR(__xludf.DUMMYFUNCTION("""COMPUTED_VALUE"""),"0343774128")</f>
        <v>0343774128</v>
      </c>
      <c r="K6334" s="2" t="str">
        <f ca="1">IFERROR(__xludf.DUMMYFUNCTION("""COMPUTED_VALUE"""),"1762374685396")</f>
        <v>1762374685396</v>
      </c>
    </row>
    <row r="6335" spans="1:11" ht="12.45">
      <c r="A6335" s="2" t="str">
        <f ca="1">IFERROR(__xludf.DUMMYFUNCTION("""COMPUTED_VALUE"""),"Không giao sách")</f>
        <v>Không giao sách</v>
      </c>
      <c r="B6335" s="2"/>
      <c r="C6335" s="2" t="str">
        <v>0</v>
      </c>
      <c r="D6335" s="2"/>
      <c r="F6335" s="2" t="str">
        <v>0</v>
      </c>
      <c r="I6335" s="3" t="str">
        <f ca="1">IFERROR(__xludf.DUMMYFUNCTION("""COMPUTED_VALUE"""),"Phan Thị Thanh Hoà")</f>
        <v>Phan Thị Thanh Hoà</v>
      </c>
      <c r="J6335" s="3" t="str">
        <f ca="1">IFERROR(__xludf.DUMMYFUNCTION("""COMPUTED_VALUE"""),"0363409024")</f>
        <v>0363409024</v>
      </c>
      <c r="K6335" s="2" t="str">
        <f ca="1">IFERROR(__xludf.DUMMYFUNCTION("""COMPUTED_VALUE"""),"Không giao sách")</f>
        <v>Không giao sách</v>
      </c>
    </row>
    <row r="6336" spans="1:11" ht="12.45">
      <c r="A6336" s="2" t="str">
        <f ca="1">IFERROR(__xludf.DUMMYFUNCTION("""COMPUTED_VALUE"""),"1762374739207")</f>
        <v>1762374739207</v>
      </c>
      <c r="B6336" s="2"/>
      <c r="C6336" s="2" t="str">
        <v>0</v>
      </c>
      <c r="D6336" s="2"/>
      <c r="F6336" s="2" t="str">
        <v>0</v>
      </c>
      <c r="I6336" s="3" t="str">
        <f ca="1">IFERROR(__xludf.DUMMYFUNCTION("""COMPUTED_VALUE"""),"Trần Thị Trà My")</f>
        <v>Trần Thị Trà My</v>
      </c>
      <c r="J6336" s="3" t="str">
        <f ca="1">IFERROR(__xludf.DUMMYFUNCTION("""COMPUTED_VALUE"""),"0974765715")</f>
        <v>0974765715</v>
      </c>
      <c r="K6336" s="2" t="str">
        <f ca="1">IFERROR(__xludf.DUMMYFUNCTION("""COMPUTED_VALUE"""),"1762374739207")</f>
        <v>1762374739207</v>
      </c>
    </row>
    <row r="6337" spans="1:11" ht="12.45">
      <c r="A6337" s="2" t="str">
        <f ca="1">IFERROR(__xludf.DUMMYFUNCTION("""COMPUTED_VALUE"""),"1762374771062")</f>
        <v>1762374771062</v>
      </c>
      <c r="B6337" s="2"/>
      <c r="C6337" s="2" t="str">
        <v>0</v>
      </c>
      <c r="D6337" s="2"/>
      <c r="F6337" s="2" t="str">
        <v>0</v>
      </c>
      <c r="I6337" s="3" t="str">
        <f ca="1">IFERROR(__xludf.DUMMYFUNCTION("""COMPUTED_VALUE"""),"Hoàng Thuỳ Trang")</f>
        <v>Hoàng Thuỳ Trang</v>
      </c>
      <c r="J6337" s="3" t="str">
        <f ca="1">IFERROR(__xludf.DUMMYFUNCTION("""COMPUTED_VALUE"""),"0971808411")</f>
        <v>0971808411</v>
      </c>
      <c r="K6337" s="2" t="str">
        <f ca="1">IFERROR(__xludf.DUMMYFUNCTION("""COMPUTED_VALUE"""),"1762374771062")</f>
        <v>1762374771062</v>
      </c>
    </row>
    <row r="6338" spans="1:11" ht="12.45">
      <c r="A6338" s="2" t="str">
        <f ca="1">IFERROR(__xludf.DUMMYFUNCTION("""COMPUTED_VALUE"""),"1762374805095")</f>
        <v>1762374805095</v>
      </c>
      <c r="B6338" s="2"/>
      <c r="C6338" s="2" t="str">
        <v>0</v>
      </c>
      <c r="D6338" s="2"/>
      <c r="F6338" s="2" t="str">
        <v>0</v>
      </c>
      <c r="I6338" s="3" t="str">
        <f ca="1">IFERROR(__xludf.DUMMYFUNCTION("""COMPUTED_VALUE"""),"Nguyễn Phạm Tiến Long")</f>
        <v>Nguyễn Phạm Tiến Long</v>
      </c>
      <c r="J6338" s="3" t="str">
        <f ca="1">IFERROR(__xludf.DUMMYFUNCTION("""COMPUTED_VALUE"""),"0386155440")</f>
        <v>0386155440</v>
      </c>
      <c r="K6338" s="2" t="str">
        <f ca="1">IFERROR(__xludf.DUMMYFUNCTION("""COMPUTED_VALUE"""),"1762374805095")</f>
        <v>1762374805095</v>
      </c>
    </row>
    <row r="6339" spans="1:11" ht="12.45">
      <c r="A6339" s="2" t="str">
        <f ca="1">IFERROR(__xludf.DUMMYFUNCTION("""COMPUTED_VALUE"""),"1762374836514")</f>
        <v>1762374836514</v>
      </c>
      <c r="B6339" s="2"/>
      <c r="C6339" s="2" t="str">
        <v>0</v>
      </c>
      <c r="D6339" s="2"/>
      <c r="F6339" s="2" t="str">
        <v>0</v>
      </c>
      <c r="I6339" s="3" t="str">
        <f ca="1">IFERROR(__xludf.DUMMYFUNCTION("""COMPUTED_VALUE"""),"Hoàng Thu Phương")</f>
        <v>Hoàng Thu Phương</v>
      </c>
      <c r="J6339" s="3" t="str">
        <f ca="1">IFERROR(__xludf.DUMMYFUNCTION("""COMPUTED_VALUE"""),"0346918808")</f>
        <v>0346918808</v>
      </c>
      <c r="K6339" s="2" t="str">
        <f ca="1">IFERROR(__xludf.DUMMYFUNCTION("""COMPUTED_VALUE"""),"1762374836514")</f>
        <v>1762374836514</v>
      </c>
    </row>
    <row r="6340" spans="1:11" ht="12.45">
      <c r="A6340" s="2" t="str">
        <f ca="1">IFERROR(__xludf.DUMMYFUNCTION("""COMPUTED_VALUE"""),"1762374893448")</f>
        <v>1762374893448</v>
      </c>
      <c r="B6340" s="2"/>
      <c r="C6340" s="2" t="str">
        <v>0</v>
      </c>
      <c r="D6340" s="2"/>
      <c r="F6340" s="2" t="str">
        <v>0</v>
      </c>
      <c r="I6340" s="3" t="str">
        <f ca="1">IFERROR(__xludf.DUMMYFUNCTION("""COMPUTED_VALUE"""),"Mai Việt Quang ")</f>
        <v xml:space="preserve">Mai Việt Quang </v>
      </c>
      <c r="J6340" s="3" t="str">
        <f ca="1">IFERROR(__xludf.DUMMYFUNCTION("""COMPUTED_VALUE"""),"0347440460")</f>
        <v>0347440460</v>
      </c>
      <c r="K6340" s="2" t="str">
        <f ca="1">IFERROR(__xludf.DUMMYFUNCTION("""COMPUTED_VALUE"""),"1762374893448")</f>
        <v>1762374893448</v>
      </c>
    </row>
    <row r="6341" spans="1:11" ht="12.45">
      <c r="A6341" s="2" t="str">
        <f ca="1">IFERROR(__xludf.DUMMYFUNCTION("""COMPUTED_VALUE"""),"1762374934211")</f>
        <v>1762374934211</v>
      </c>
      <c r="B6341" s="2"/>
      <c r="C6341" s="2" t="str">
        <v>0</v>
      </c>
      <c r="D6341" s="2"/>
      <c r="F6341" s="2" t="str">
        <v>0</v>
      </c>
      <c r="I6341" s="3" t="str">
        <f ca="1">IFERROR(__xludf.DUMMYFUNCTION("""COMPUTED_VALUE"""),"Thân Thị Ngọc Anh")</f>
        <v>Thân Thị Ngọc Anh</v>
      </c>
      <c r="J6341" s="3" t="str">
        <f ca="1">IFERROR(__xludf.DUMMYFUNCTION("""COMPUTED_VALUE"""),"0342395118")</f>
        <v>0342395118</v>
      </c>
      <c r="K6341" s="2" t="str">
        <f ca="1">IFERROR(__xludf.DUMMYFUNCTION("""COMPUTED_VALUE"""),"1762374934211")</f>
        <v>1762374934211</v>
      </c>
    </row>
    <row r="6342" spans="1:11" ht="12.45">
      <c r="A6342" s="2" t="str">
        <f ca="1">IFERROR(__xludf.DUMMYFUNCTION("""COMPUTED_VALUE"""),"1762374974379")</f>
        <v>1762374974379</v>
      </c>
      <c r="B6342" s="2"/>
      <c r="C6342" s="2" t="str">
        <v>0</v>
      </c>
      <c r="D6342" s="2"/>
      <c r="F6342" s="2" t="str">
        <v>0</v>
      </c>
      <c r="I6342" s="3" t="str">
        <f ca="1">IFERROR(__xludf.DUMMYFUNCTION("""COMPUTED_VALUE"""),"Nguyễn Khả Ái ")</f>
        <v xml:space="preserve">Nguyễn Khả Ái </v>
      </c>
      <c r="J6342" s="3" t="str">
        <f ca="1">IFERROR(__xludf.DUMMYFUNCTION("""COMPUTED_VALUE"""),"0359684489")</f>
        <v>0359684489</v>
      </c>
      <c r="K6342" s="2" t="str">
        <f ca="1">IFERROR(__xludf.DUMMYFUNCTION("""COMPUTED_VALUE"""),"1762374974379")</f>
        <v>1762374974379</v>
      </c>
    </row>
    <row r="6343" spans="1:11" ht="12.45">
      <c r="A6343" s="2">
        <f ca="1">IFERROR(__xludf.DUMMYFUNCTION("""COMPUTED_VALUE"""),1746195863276)</f>
        <v>1746195863276</v>
      </c>
      <c r="B6343" s="2"/>
      <c r="C6343" s="2" t="str">
        <v>0</v>
      </c>
      <c r="D6343" s="2"/>
      <c r="F6343" s="2" t="str">
        <v>0</v>
      </c>
      <c r="I6343" s="3" t="str">
        <f ca="1">IFERROR(__xludf.DUMMYFUNCTION("""COMPUTED_VALUE"""),"Đặng Lê Kim Anh")</f>
        <v>Đặng Lê Kim Anh</v>
      </c>
      <c r="J6343" s="3" t="str">
        <f ca="1">IFERROR(__xludf.DUMMYFUNCTION("""COMPUTED_VALUE"""),"0345641013")</f>
        <v>0345641013</v>
      </c>
      <c r="K6343" s="2">
        <f ca="1">IFERROR(__xludf.DUMMYFUNCTION("""COMPUTED_VALUE"""),1746195863276)</f>
        <v>1746195863276</v>
      </c>
    </row>
    <row r="6344" spans="1:11" ht="12.45">
      <c r="A6344" s="2">
        <f ca="1">IFERROR(__xludf.DUMMYFUNCTION("""COMPUTED_VALUE"""),1746195932065)</f>
        <v>1746195932065</v>
      </c>
      <c r="B6344" s="2"/>
      <c r="C6344" s="2" t="str">
        <v>0</v>
      </c>
      <c r="D6344" s="2"/>
      <c r="F6344" s="2" t="str">
        <v>0</v>
      </c>
      <c r="I6344" s="3" t="str">
        <f ca="1">IFERROR(__xludf.DUMMYFUNCTION("""COMPUTED_VALUE"""),"Nguyễn Thu Giang")</f>
        <v>Nguyễn Thu Giang</v>
      </c>
      <c r="J6344" s="3" t="str">
        <f ca="1">IFERROR(__xludf.DUMMYFUNCTION("""COMPUTED_VALUE"""),"0877880885")</f>
        <v>0877880885</v>
      </c>
      <c r="K6344" s="2">
        <f ca="1">IFERROR(__xludf.DUMMYFUNCTION("""COMPUTED_VALUE"""),1746195932065)</f>
        <v>1746195932065</v>
      </c>
    </row>
    <row r="6345" spans="1:11" ht="12.45">
      <c r="A6345" s="2" t="str">
        <f ca="1">IFERROR(__xludf.DUMMYFUNCTION("""COMPUTED_VALUE"""),"Không giao sách")</f>
        <v>Không giao sách</v>
      </c>
      <c r="B6345" s="2"/>
      <c r="C6345" s="2" t="str">
        <v>0</v>
      </c>
      <c r="D6345" s="2"/>
      <c r="F6345" s="2" t="str">
        <v>0</v>
      </c>
      <c r="I6345" s="3" t="str">
        <f ca="1">IFERROR(__xludf.DUMMYFUNCTION("""COMPUTED_VALUE"""),"Phạm Lê Mai Chi ")</f>
        <v xml:space="preserve">Phạm Lê Mai Chi </v>
      </c>
      <c r="J6345" s="3" t="str">
        <f ca="1">IFERROR(__xludf.DUMMYFUNCTION("""COMPUTED_VALUE"""),"0345633798")</f>
        <v>0345633798</v>
      </c>
      <c r="K6345" s="2" t="str">
        <f ca="1">IFERROR(__xludf.DUMMYFUNCTION("""COMPUTED_VALUE"""),"Không giao sách")</f>
        <v>Không giao sách</v>
      </c>
    </row>
    <row r="6346" spans="1:11" ht="12.45">
      <c r="A6346" s="2" t="str">
        <f ca="1">IFERROR(__xludf.DUMMYFUNCTION("""COMPUTED_VALUE"""),"Không giao sách")</f>
        <v>Không giao sách</v>
      </c>
      <c r="B6346" s="2"/>
      <c r="C6346" s="2" t="str">
        <v>0</v>
      </c>
      <c r="D6346" s="2"/>
      <c r="F6346" s="2" t="str">
        <v>0</v>
      </c>
      <c r="I6346" s="3" t="str">
        <f ca="1">IFERROR(__xludf.DUMMYFUNCTION("""COMPUTED_VALUE"""),"Nguyễn Ngọc Đan Tâm ")</f>
        <v xml:space="preserve">Nguyễn Ngọc Đan Tâm </v>
      </c>
      <c r="J6346" s="3" t="str">
        <f ca="1">IFERROR(__xludf.DUMMYFUNCTION("""COMPUTED_VALUE"""),"0828309469")</f>
        <v>0828309469</v>
      </c>
      <c r="K6346" s="2" t="str">
        <f ca="1">IFERROR(__xludf.DUMMYFUNCTION("""COMPUTED_VALUE"""),"Không giao sách")</f>
        <v>Không giao sách</v>
      </c>
    </row>
    <row r="6347" spans="1:11" ht="12.45">
      <c r="A6347" s="2">
        <f ca="1">IFERROR(__xludf.DUMMYFUNCTION("""COMPUTED_VALUE"""),1746195971957)</f>
        <v>1746195971957</v>
      </c>
      <c r="B6347" s="2"/>
      <c r="C6347" s="2" t="str">
        <v>0</v>
      </c>
      <c r="D6347" s="2"/>
      <c r="F6347" s="2" t="str">
        <v>0</v>
      </c>
      <c r="I6347" s="3" t="str">
        <f ca="1">IFERROR(__xludf.DUMMYFUNCTION("""COMPUTED_VALUE"""),"Trần Thị Khánh Linh ")</f>
        <v xml:space="preserve">Trần Thị Khánh Linh </v>
      </c>
      <c r="J6347" s="3" t="str">
        <f ca="1">IFERROR(__xludf.DUMMYFUNCTION("""COMPUTED_VALUE"""),"0343563524")</f>
        <v>0343563524</v>
      </c>
      <c r="K6347" s="2">
        <f ca="1">IFERROR(__xludf.DUMMYFUNCTION("""COMPUTED_VALUE"""),1746195971957)</f>
        <v>1746195971957</v>
      </c>
    </row>
    <row r="6348" spans="1:11" ht="12.45">
      <c r="A6348" s="2">
        <f ca="1">IFERROR(__xludf.DUMMYFUNCTION("""COMPUTED_VALUE"""),1746196007613)</f>
        <v>1746196007613</v>
      </c>
      <c r="B6348" s="2"/>
      <c r="C6348" s="2" t="str">
        <v>0</v>
      </c>
      <c r="D6348" s="2"/>
      <c r="F6348" s="2" t="str">
        <v>0</v>
      </c>
      <c r="I6348" s="3" t="str">
        <f ca="1">IFERROR(__xludf.DUMMYFUNCTION("""COMPUTED_VALUE"""),"Nguyễn Thị Tuyến ")</f>
        <v xml:space="preserve">Nguyễn Thị Tuyến </v>
      </c>
      <c r="J6348" s="3" t="str">
        <f ca="1">IFERROR(__xludf.DUMMYFUNCTION("""COMPUTED_VALUE"""),"0868968016")</f>
        <v>0868968016</v>
      </c>
      <c r="K6348" s="2">
        <f ca="1">IFERROR(__xludf.DUMMYFUNCTION("""COMPUTED_VALUE"""),1746196007613)</f>
        <v>1746196007613</v>
      </c>
    </row>
    <row r="6349" spans="1:11" ht="12.45">
      <c r="A6349" s="2" t="str">
        <f ca="1">IFERROR(__xludf.DUMMYFUNCTION("""COMPUTED_VALUE"""),"1761523410529")</f>
        <v>1761523410529</v>
      </c>
      <c r="B6349" s="2"/>
      <c r="C6349" s="2" t="str">
        <v>0</v>
      </c>
      <c r="D6349" s="2"/>
      <c r="F6349" s="2" t="str">
        <v>0</v>
      </c>
      <c r="I6349" s="3" t="str">
        <f ca="1">IFERROR(__xludf.DUMMYFUNCTION("""COMPUTED_VALUE"""),"Nguyễn Minh Anh")</f>
        <v>Nguyễn Minh Anh</v>
      </c>
      <c r="J6349" s="3" t="str">
        <f ca="1">IFERROR(__xludf.DUMMYFUNCTION("""COMPUTED_VALUE"""),"0886062387")</f>
        <v>0886062387</v>
      </c>
      <c r="K6349" s="2" t="str">
        <f ca="1">IFERROR(__xludf.DUMMYFUNCTION("""COMPUTED_VALUE"""),"1761523410529")</f>
        <v>1761523410529</v>
      </c>
    </row>
    <row r="6350" spans="1:11" ht="12.45">
      <c r="A6350" s="2" t="str">
        <f ca="1">IFERROR(__xludf.DUMMYFUNCTION("""COMPUTED_VALUE"""),"1761523505154")</f>
        <v>1761523505154</v>
      </c>
      <c r="B6350" s="2"/>
      <c r="C6350" s="2" t="str">
        <v>0</v>
      </c>
      <c r="D6350" s="2"/>
      <c r="F6350" s="2" t="str">
        <v>0</v>
      </c>
      <c r="I6350" s="3" t="str">
        <f ca="1">IFERROR(__xludf.DUMMYFUNCTION("""COMPUTED_VALUE"""),"Nguyễn thuỳ linh")</f>
        <v>Nguyễn thuỳ linh</v>
      </c>
      <c r="J6350" s="3" t="str">
        <f ca="1">IFERROR(__xludf.DUMMYFUNCTION("""COMPUTED_VALUE"""),"0394917099")</f>
        <v>0394917099</v>
      </c>
      <c r="K6350" s="2" t="str">
        <f ca="1">IFERROR(__xludf.DUMMYFUNCTION("""COMPUTED_VALUE"""),"1761523505154")</f>
        <v>1761523505154</v>
      </c>
    </row>
    <row r="6351" spans="1:11" ht="12.45">
      <c r="A6351" s="2" t="str">
        <f ca="1">IFERROR(__xludf.DUMMYFUNCTION("""COMPUTED_VALUE"""),"1761523542267")</f>
        <v>1761523542267</v>
      </c>
      <c r="B6351" s="2"/>
      <c r="C6351" s="2" t="str">
        <v>0</v>
      </c>
      <c r="D6351" s="2"/>
      <c r="F6351" s="2" t="str">
        <v>0</v>
      </c>
      <c r="I6351" s="3" t="str">
        <f ca="1">IFERROR(__xludf.DUMMYFUNCTION("""COMPUTED_VALUE"""),"Nguyễn Thùy Trang")</f>
        <v>Nguyễn Thùy Trang</v>
      </c>
      <c r="J6351" s="3" t="str">
        <f ca="1">IFERROR(__xludf.DUMMYFUNCTION("""COMPUTED_VALUE"""),"0975922978")</f>
        <v>0975922978</v>
      </c>
      <c r="K6351" s="2" t="str">
        <f ca="1">IFERROR(__xludf.DUMMYFUNCTION("""COMPUTED_VALUE"""),"1761523542267")</f>
        <v>1761523542267</v>
      </c>
    </row>
    <row r="6352" spans="1:11" ht="12.45">
      <c r="A6352" s="2" t="str">
        <f ca="1">IFERROR(__xludf.DUMMYFUNCTION("""COMPUTED_VALUE"""),"1761523627387")</f>
        <v>1761523627387</v>
      </c>
      <c r="B6352" s="2"/>
      <c r="C6352" s="2" t="str">
        <v>0</v>
      </c>
      <c r="D6352" s="2"/>
      <c r="F6352" s="2" t="str">
        <v>0</v>
      </c>
      <c r="I6352" s="3" t="str">
        <f ca="1">IFERROR(__xludf.DUMMYFUNCTION("""COMPUTED_VALUE"""),"Đào Thị Quế Châu ")</f>
        <v xml:space="preserve">Đào Thị Quế Châu </v>
      </c>
      <c r="J6352" s="3" t="str">
        <f ca="1">IFERROR(__xludf.DUMMYFUNCTION("""COMPUTED_VALUE"""),"0977024743")</f>
        <v>0977024743</v>
      </c>
      <c r="K6352" s="2" t="str">
        <f ca="1">IFERROR(__xludf.DUMMYFUNCTION("""COMPUTED_VALUE"""),"1761523627387")</f>
        <v>1761523627387</v>
      </c>
    </row>
    <row r="6353" spans="1:11" ht="12.45">
      <c r="A6353" s="2" t="str">
        <f ca="1">IFERROR(__xludf.DUMMYFUNCTION("""COMPUTED_VALUE"""),"1761523716702")</f>
        <v>1761523716702</v>
      </c>
      <c r="B6353" s="2"/>
      <c r="C6353" s="2" t="str">
        <v>0</v>
      </c>
      <c r="D6353" s="2"/>
      <c r="F6353" s="2" t="str">
        <v>0</v>
      </c>
      <c r="I6353" s="3" t="str">
        <f ca="1">IFERROR(__xludf.DUMMYFUNCTION("""COMPUTED_VALUE"""),"Trần Huyền Trang")</f>
        <v>Trần Huyền Trang</v>
      </c>
      <c r="J6353" s="3" t="str">
        <f ca="1">IFERROR(__xludf.DUMMYFUNCTION("""COMPUTED_VALUE"""),"0365650682")</f>
        <v>0365650682</v>
      </c>
      <c r="K6353" s="2" t="str">
        <f ca="1">IFERROR(__xludf.DUMMYFUNCTION("""COMPUTED_VALUE"""),"1761523716702")</f>
        <v>1761523716702</v>
      </c>
    </row>
    <row r="6354" spans="1:11" ht="12.45">
      <c r="A6354" s="2" t="str">
        <f ca="1">IFERROR(__xludf.DUMMYFUNCTION("""COMPUTED_VALUE"""),"Không giao sách")</f>
        <v>Không giao sách</v>
      </c>
      <c r="B6354" s="2"/>
      <c r="C6354" s="2" t="str">
        <v>0</v>
      </c>
      <c r="D6354" s="2"/>
      <c r="F6354" s="2" t="str">
        <v>0</v>
      </c>
      <c r="I6354" s="3" t="str">
        <f ca="1">IFERROR(__xludf.DUMMYFUNCTION("""COMPUTED_VALUE"""),"Nguyênx Bảo Hoàng ")</f>
        <v xml:space="preserve">Nguyênx Bảo Hoàng </v>
      </c>
      <c r="J6354" s="3" t="str">
        <f ca="1">IFERROR(__xludf.DUMMYFUNCTION("""COMPUTED_VALUE"""),"0835072899")</f>
        <v>0835072899</v>
      </c>
      <c r="K6354" s="2" t="str">
        <f ca="1">IFERROR(__xludf.DUMMYFUNCTION("""COMPUTED_VALUE"""),"Không giao sách")</f>
        <v>Không giao sách</v>
      </c>
    </row>
    <row r="6355" spans="1:11" ht="12.45">
      <c r="A6355" s="2" t="str">
        <f ca="1">IFERROR(__xludf.DUMMYFUNCTION("""COMPUTED_VALUE"""),"1761523754056")</f>
        <v>1761523754056</v>
      </c>
      <c r="B6355" s="2"/>
      <c r="C6355" s="2" t="str">
        <v>0</v>
      </c>
      <c r="D6355" s="2"/>
      <c r="F6355" s="2" t="str">
        <v>0</v>
      </c>
      <c r="I6355" s="3" t="str">
        <f ca="1">IFERROR(__xludf.DUMMYFUNCTION("""COMPUTED_VALUE"""),"PHẠM KHÁNH AN")</f>
        <v>PHẠM KHÁNH AN</v>
      </c>
      <c r="J6355" s="3" t="str">
        <f ca="1">IFERROR(__xludf.DUMMYFUNCTION("""COMPUTED_VALUE"""),"0379542358")</f>
        <v>0379542358</v>
      </c>
      <c r="K6355" s="2" t="str">
        <f ca="1">IFERROR(__xludf.DUMMYFUNCTION("""COMPUTED_VALUE"""),"1761523754056")</f>
        <v>1761523754056</v>
      </c>
    </row>
    <row r="6356" spans="1:11" ht="12.45">
      <c r="A6356" s="2" t="str">
        <f ca="1">IFERROR(__xludf.DUMMYFUNCTION("""COMPUTED_VALUE"""),"1761523818164")</f>
        <v>1761523818164</v>
      </c>
      <c r="B6356" s="2"/>
      <c r="C6356" s="2" t="str">
        <v>0</v>
      </c>
      <c r="D6356" s="2"/>
      <c r="F6356" s="2" t="str">
        <v>0</v>
      </c>
      <c r="I6356" s="3" t="str">
        <f ca="1">IFERROR(__xludf.DUMMYFUNCTION("""COMPUTED_VALUE"""),"VŨ NGÔ BÍCH NGỌC")</f>
        <v>VŨ NGÔ BÍCH NGỌC</v>
      </c>
      <c r="J6356" s="3" t="str">
        <f ca="1">IFERROR(__xludf.DUMMYFUNCTION("""COMPUTED_VALUE"""),"0762284517")</f>
        <v>0762284517</v>
      </c>
      <c r="K6356" s="2" t="str">
        <f ca="1">IFERROR(__xludf.DUMMYFUNCTION("""COMPUTED_VALUE"""),"1761523818164")</f>
        <v>1761523818164</v>
      </c>
    </row>
    <row r="6357" spans="1:11" ht="12.45">
      <c r="A6357" s="2" t="str">
        <f ca="1">IFERROR(__xludf.DUMMYFUNCTION("""COMPUTED_VALUE"""),"1761523942468")</f>
        <v>1761523942468</v>
      </c>
      <c r="B6357" s="2"/>
      <c r="C6357" s="2" t="str">
        <v>0</v>
      </c>
      <c r="D6357" s="2"/>
      <c r="F6357" s="2" t="str">
        <v>0</v>
      </c>
      <c r="I6357" s="3" t="str">
        <f ca="1">IFERROR(__xludf.DUMMYFUNCTION("""COMPUTED_VALUE""")," Trần Hoàng Ngọc Linh ")</f>
        <v xml:space="preserve"> Trần Hoàng Ngọc Linh </v>
      </c>
      <c r="J6357" s="3" t="str">
        <f ca="1">IFERROR(__xludf.DUMMYFUNCTION("""COMPUTED_VALUE"""),"0917469107")</f>
        <v>0917469107</v>
      </c>
      <c r="K6357" s="2" t="str">
        <f ca="1">IFERROR(__xludf.DUMMYFUNCTION("""COMPUTED_VALUE"""),"1761523942468")</f>
        <v>1761523942468</v>
      </c>
    </row>
    <row r="6358" spans="1:11" ht="12.45">
      <c r="A6358" s="2" t="str">
        <f ca="1">IFERROR(__xludf.DUMMYFUNCTION("""COMPUTED_VALUE"""),"1761523995111")</f>
        <v>1761523995111</v>
      </c>
      <c r="B6358" s="2"/>
      <c r="C6358" s="2" t="str">
        <v>0</v>
      </c>
      <c r="D6358" s="2"/>
      <c r="F6358" s="2" t="str">
        <v>0</v>
      </c>
      <c r="I6358" s="3" t="str">
        <f ca="1">IFERROR(__xludf.DUMMYFUNCTION("""COMPUTED_VALUE"""),"Lê Bùi Gia Hân")</f>
        <v>Lê Bùi Gia Hân</v>
      </c>
      <c r="J6358" s="3" t="str">
        <f ca="1">IFERROR(__xludf.DUMMYFUNCTION("""COMPUTED_VALUE"""),"0784704038")</f>
        <v>0784704038</v>
      </c>
      <c r="K6358" s="2" t="str">
        <f ca="1">IFERROR(__xludf.DUMMYFUNCTION("""COMPUTED_VALUE"""),"1761523995111")</f>
        <v>1761523995111</v>
      </c>
    </row>
    <row r="6359" spans="1:11" ht="12.45">
      <c r="A6359" s="2" t="str">
        <f ca="1">IFERROR(__xludf.DUMMYFUNCTION("""COMPUTED_VALUE"""),"1761524053492")</f>
        <v>1761524053492</v>
      </c>
      <c r="B6359" s="2"/>
      <c r="C6359" s="2" t="str">
        <v>0</v>
      </c>
      <c r="D6359" s="2"/>
      <c r="F6359" s="2" t="str">
        <v>0</v>
      </c>
      <c r="I6359" s="3" t="str">
        <f ca="1">IFERROR(__xludf.DUMMYFUNCTION("""COMPUTED_VALUE"""),"Phạm Thị Khánh Lan")</f>
        <v>Phạm Thị Khánh Lan</v>
      </c>
      <c r="J6359" s="3" t="str">
        <f ca="1">IFERROR(__xludf.DUMMYFUNCTION("""COMPUTED_VALUE"""),"0934552353")</f>
        <v>0934552353</v>
      </c>
      <c r="K6359" s="2" t="str">
        <f ca="1">IFERROR(__xludf.DUMMYFUNCTION("""COMPUTED_VALUE"""),"1761524053492")</f>
        <v>1761524053492</v>
      </c>
    </row>
    <row r="6360" spans="1:11" ht="12.45">
      <c r="A6360" s="2" t="str">
        <f ca="1">IFERROR(__xludf.DUMMYFUNCTION("""COMPUTED_VALUE"""),"1761524107952")</f>
        <v>1761524107952</v>
      </c>
      <c r="B6360" s="2"/>
      <c r="C6360" s="2" t="str">
        <v>0</v>
      </c>
      <c r="D6360" s="2"/>
      <c r="F6360" s="2" t="str">
        <v>0</v>
      </c>
      <c r="I6360" s="3" t="str">
        <f ca="1">IFERROR(__xludf.DUMMYFUNCTION("""COMPUTED_VALUE"""),"Lê Văn Triết ")</f>
        <v xml:space="preserve">Lê Văn Triết </v>
      </c>
      <c r="J6360" s="3" t="str">
        <f ca="1">IFERROR(__xludf.DUMMYFUNCTION("""COMPUTED_VALUE"""),"0972183704")</f>
        <v>0972183704</v>
      </c>
      <c r="K6360" s="2" t="str">
        <f ca="1">IFERROR(__xludf.DUMMYFUNCTION("""COMPUTED_VALUE"""),"1761524107952")</f>
        <v>1761524107952</v>
      </c>
    </row>
    <row r="6361" spans="1:11" ht="12.45">
      <c r="A6361" s="2" t="str">
        <f ca="1">IFERROR(__xludf.DUMMYFUNCTION("""COMPUTED_VALUE"""),"1761524158360")</f>
        <v>1761524158360</v>
      </c>
      <c r="B6361" s="2"/>
      <c r="C6361" s="2" t="str">
        <v>0</v>
      </c>
      <c r="D6361" s="2"/>
      <c r="F6361" s="2" t="str">
        <v>0</v>
      </c>
      <c r="I6361" s="3" t="str">
        <f ca="1">IFERROR(__xludf.DUMMYFUNCTION("""COMPUTED_VALUE"""),"Huỳnh Thị Việt Thy")</f>
        <v>Huỳnh Thị Việt Thy</v>
      </c>
      <c r="J6361" s="3" t="str">
        <f ca="1">IFERROR(__xludf.DUMMYFUNCTION("""COMPUTED_VALUE"""),"0388010627")</f>
        <v>0388010627</v>
      </c>
      <c r="K6361" s="2" t="str">
        <f ca="1">IFERROR(__xludf.DUMMYFUNCTION("""COMPUTED_VALUE"""),"1761524158360")</f>
        <v>1761524158360</v>
      </c>
    </row>
    <row r="6362" spans="1:11" ht="12.45">
      <c r="A6362" s="2" t="str">
        <f ca="1">IFERROR(__xludf.DUMMYFUNCTION("""COMPUTED_VALUE"""),"Không giao sách")</f>
        <v>Không giao sách</v>
      </c>
      <c r="B6362" s="2"/>
      <c r="C6362" s="2" t="str">
        <v>0</v>
      </c>
      <c r="D6362" s="2"/>
      <c r="F6362" s="2" t="str">
        <v>0</v>
      </c>
      <c r="I6362" s="3" t="str">
        <f ca="1">IFERROR(__xludf.DUMMYFUNCTION("""COMPUTED_VALUE"""),"Nguyễn Minh Phương")</f>
        <v>Nguyễn Minh Phương</v>
      </c>
      <c r="J6362" s="3" t="str">
        <f ca="1">IFERROR(__xludf.DUMMYFUNCTION("""COMPUTED_VALUE"""),"0972621558")</f>
        <v>0972621558</v>
      </c>
      <c r="K6362" s="2" t="str">
        <f ca="1">IFERROR(__xludf.DUMMYFUNCTION("""COMPUTED_VALUE"""),"Không giao sách")</f>
        <v>Không giao sách</v>
      </c>
    </row>
    <row r="6363" spans="1:11" ht="12.45">
      <c r="A6363" s="2" t="str">
        <f ca="1">IFERROR(__xludf.DUMMYFUNCTION("""COMPUTED_VALUE"""),"1761524276512")</f>
        <v>1761524276512</v>
      </c>
      <c r="B6363" s="2"/>
      <c r="C6363" s="2" t="str">
        <v>0</v>
      </c>
      <c r="D6363" s="2"/>
      <c r="F6363" s="2" t="str">
        <v>0</v>
      </c>
      <c r="I6363" s="3" t="str">
        <f ca="1">IFERROR(__xludf.DUMMYFUNCTION("""COMPUTED_VALUE"""),"Đinh Ngọc Anh")</f>
        <v>Đinh Ngọc Anh</v>
      </c>
      <c r="J6363" s="3" t="str">
        <f ca="1">IFERROR(__xludf.DUMMYFUNCTION("""COMPUTED_VALUE"""),"0868806107")</f>
        <v>0868806107</v>
      </c>
      <c r="K6363" s="2" t="str">
        <f ca="1">IFERROR(__xludf.DUMMYFUNCTION("""COMPUTED_VALUE"""),"1761524276512")</f>
        <v>1761524276512</v>
      </c>
    </row>
    <row r="6364" spans="1:11" ht="12.45">
      <c r="A6364" s="2">
        <f ca="1">IFERROR(__xludf.DUMMYFUNCTION("""COMPUTED_VALUE"""),1746196049800)</f>
        <v>1746196049800</v>
      </c>
      <c r="B6364" s="2"/>
      <c r="C6364" s="2" t="str">
        <v>0</v>
      </c>
      <c r="D6364" s="2"/>
      <c r="F6364" s="2" t="str">
        <v>0</v>
      </c>
      <c r="I6364" s="3" t="str">
        <f ca="1">IFERROR(__xludf.DUMMYFUNCTION("""COMPUTED_VALUE"""),"Bùi Lê Như Huyền")</f>
        <v>Bùi Lê Như Huyền</v>
      </c>
      <c r="J6364" s="3" t="str">
        <f ca="1">IFERROR(__xludf.DUMMYFUNCTION("""COMPUTED_VALUE"""),"0988140206")</f>
        <v>0988140206</v>
      </c>
      <c r="K6364" s="2">
        <f ca="1">IFERROR(__xludf.DUMMYFUNCTION("""COMPUTED_VALUE"""),1746196049800)</f>
        <v>1746196049800</v>
      </c>
    </row>
    <row r="6365" spans="1:11" ht="12.45">
      <c r="A6365" s="2" t="str">
        <f ca="1">IFERROR(__xludf.DUMMYFUNCTION("""COMPUTED_VALUE"""),"1761524374664")</f>
        <v>1761524374664</v>
      </c>
      <c r="B6365" s="2"/>
      <c r="C6365" s="2" t="str">
        <v>0</v>
      </c>
      <c r="D6365" s="2"/>
      <c r="F6365" s="2" t="str">
        <v>0</v>
      </c>
      <c r="I6365" s="3" t="str">
        <f ca="1">IFERROR(__xludf.DUMMYFUNCTION("""COMPUTED_VALUE"""),"July Pham")</f>
        <v>July Pham</v>
      </c>
      <c r="J6365" s="3" t="str">
        <f ca="1">IFERROR(__xludf.DUMMYFUNCTION("""COMPUTED_VALUE"""),"0357203273")</f>
        <v>0357203273</v>
      </c>
      <c r="K6365" s="2" t="str">
        <f ca="1">IFERROR(__xludf.DUMMYFUNCTION("""COMPUTED_VALUE"""),"1761524374664")</f>
        <v>1761524374664</v>
      </c>
    </row>
    <row r="6366" spans="1:11" ht="12.45">
      <c r="A6366" s="2" t="str">
        <f ca="1">IFERROR(__xludf.DUMMYFUNCTION("""COMPUTED_VALUE"""),"1761524455454")</f>
        <v>1761524455454</v>
      </c>
      <c r="B6366" s="2"/>
      <c r="C6366" s="2" t="str">
        <v>0</v>
      </c>
      <c r="D6366" s="2"/>
      <c r="F6366" s="2" t="str">
        <v>0</v>
      </c>
      <c r="I6366" s="3" t="str">
        <f ca="1">IFERROR(__xludf.DUMMYFUNCTION("""COMPUTED_VALUE"""),"Lưu Khánh Vân")</f>
        <v>Lưu Khánh Vân</v>
      </c>
      <c r="J6366" s="3" t="str">
        <f ca="1">IFERROR(__xludf.DUMMYFUNCTION("""COMPUTED_VALUE"""),"0812200717")</f>
        <v>0812200717</v>
      </c>
      <c r="K6366" s="2" t="str">
        <f ca="1">IFERROR(__xludf.DUMMYFUNCTION("""COMPUTED_VALUE"""),"1761524455454")</f>
        <v>1761524455454</v>
      </c>
    </row>
    <row r="6367" spans="1:11" ht="12.45">
      <c r="A6367" s="2" t="str">
        <f ca="1">IFERROR(__xludf.DUMMYFUNCTION("""COMPUTED_VALUE"""),"1761524538004")</f>
        <v>1761524538004</v>
      </c>
      <c r="B6367" s="2"/>
      <c r="C6367" s="2" t="str">
        <v>0</v>
      </c>
      <c r="D6367" s="2"/>
      <c r="F6367" s="2" t="str">
        <v>0</v>
      </c>
      <c r="I6367" s="3" t="str">
        <f ca="1">IFERROR(__xludf.DUMMYFUNCTION("""COMPUTED_VALUE"""),"Hà Linh Trang")</f>
        <v>Hà Linh Trang</v>
      </c>
      <c r="J6367" s="3" t="str">
        <f ca="1">IFERROR(__xludf.DUMMYFUNCTION("""COMPUTED_VALUE"""),"0369530755")</f>
        <v>0369530755</v>
      </c>
      <c r="K6367" s="2" t="str">
        <f ca="1">IFERROR(__xludf.DUMMYFUNCTION("""COMPUTED_VALUE"""),"1761524538004")</f>
        <v>1761524538004</v>
      </c>
    </row>
    <row r="6368" spans="1:11" ht="12.45">
      <c r="A6368" s="2" t="str">
        <f ca="1">IFERROR(__xludf.DUMMYFUNCTION("""COMPUTED_VALUE"""),"1762375011694")</f>
        <v>1762375011694</v>
      </c>
      <c r="B6368" s="2"/>
      <c r="C6368" s="2" t="str">
        <v>0</v>
      </c>
      <c r="D6368" s="2"/>
      <c r="F6368" s="2" t="str">
        <v>0</v>
      </c>
      <c r="I6368" s="3" t="str">
        <f ca="1">IFERROR(__xludf.DUMMYFUNCTION("""COMPUTED_VALUE"""),"ĐỖ MAI PHƯƠNG THẢO")</f>
        <v>ĐỖ MAI PHƯƠNG THẢO</v>
      </c>
      <c r="J6368" s="3" t="str">
        <f ca="1">IFERROR(__xludf.DUMMYFUNCTION("""COMPUTED_VALUE"""),"0972297262")</f>
        <v>0972297262</v>
      </c>
      <c r="K6368" s="2" t="str">
        <f ca="1">IFERROR(__xludf.DUMMYFUNCTION("""COMPUTED_VALUE"""),"1762375011694")</f>
        <v>1762375011694</v>
      </c>
    </row>
    <row r="6369" spans="1:11" ht="12.45">
      <c r="A6369" s="2" t="str">
        <f ca="1">IFERROR(__xludf.DUMMYFUNCTION("""COMPUTED_VALUE"""),"Không giao sách")</f>
        <v>Không giao sách</v>
      </c>
      <c r="B6369" s="2"/>
      <c r="C6369" s="2" t="str">
        <v>0</v>
      </c>
      <c r="D6369" s="2"/>
      <c r="F6369" s="2" t="str">
        <v>0</v>
      </c>
      <c r="I6369" s="3" t="str">
        <f ca="1">IFERROR(__xludf.DUMMYFUNCTION("""COMPUTED_VALUE"""),"Nguyễn Trang Đài")</f>
        <v>Nguyễn Trang Đài</v>
      </c>
      <c r="J6369" s="3" t="str">
        <f ca="1">IFERROR(__xludf.DUMMYFUNCTION("""COMPUTED_VALUE"""),"0788205443")</f>
        <v>0788205443</v>
      </c>
      <c r="K6369" s="2" t="str">
        <f ca="1">IFERROR(__xludf.DUMMYFUNCTION("""COMPUTED_VALUE"""),"Không giao sách")</f>
        <v>Không giao sách</v>
      </c>
    </row>
    <row r="6370" spans="1:11" ht="12.45">
      <c r="A6370" s="2" t="str">
        <f ca="1">IFERROR(__xludf.DUMMYFUNCTION("""COMPUTED_VALUE"""),"1761524587823")</f>
        <v>1761524587823</v>
      </c>
      <c r="B6370" s="2"/>
      <c r="C6370" s="2" t="str">
        <v>0</v>
      </c>
      <c r="D6370" s="2"/>
      <c r="F6370" s="2" t="str">
        <v>0</v>
      </c>
      <c r="I6370" s="3" t="str">
        <f ca="1">IFERROR(__xludf.DUMMYFUNCTION("""COMPUTED_VALUE"""),"Nguyễn Phạm Hồng Ân")</f>
        <v>Nguyễn Phạm Hồng Ân</v>
      </c>
      <c r="J6370" s="3" t="str">
        <f ca="1">IFERROR(__xludf.DUMMYFUNCTION("""COMPUTED_VALUE"""),"0919464922")</f>
        <v>0919464922</v>
      </c>
      <c r="K6370" s="2" t="str">
        <f ca="1">IFERROR(__xludf.DUMMYFUNCTION("""COMPUTED_VALUE"""),"1761524587823")</f>
        <v>1761524587823</v>
      </c>
    </row>
    <row r="6371" spans="1:11" ht="12.45">
      <c r="A6371" s="2" t="str">
        <f ca="1">IFERROR(__xludf.DUMMYFUNCTION("""COMPUTED_VALUE"""),"1761524661900")</f>
        <v>1761524661900</v>
      </c>
      <c r="B6371" s="2"/>
      <c r="C6371" s="2" t="str">
        <v>0</v>
      </c>
      <c r="D6371" s="2"/>
      <c r="F6371" s="2" t="str">
        <v>0</v>
      </c>
      <c r="I6371" s="3" t="str">
        <f ca="1">IFERROR(__xludf.DUMMYFUNCTION("""COMPUTED_VALUE"""),"Phạm Hà Vy")</f>
        <v>Phạm Hà Vy</v>
      </c>
      <c r="J6371" s="3" t="str">
        <f ca="1">IFERROR(__xludf.DUMMYFUNCTION("""COMPUTED_VALUE"""),"0329314649")</f>
        <v>0329314649</v>
      </c>
      <c r="K6371" s="2" t="str">
        <f ca="1">IFERROR(__xludf.DUMMYFUNCTION("""COMPUTED_VALUE"""),"1761524661900")</f>
        <v>1761524661900</v>
      </c>
    </row>
    <row r="6372" spans="1:11" ht="12.45">
      <c r="A6372" s="2" t="str">
        <f ca="1">IFERROR(__xludf.DUMMYFUNCTION("""COMPUTED_VALUE"""),"Không giao sách")</f>
        <v>Không giao sách</v>
      </c>
      <c r="B6372" s="2"/>
      <c r="C6372" s="2" t="str">
        <v>0</v>
      </c>
      <c r="D6372" s="2"/>
      <c r="F6372" s="2" t="str">
        <v>0</v>
      </c>
      <c r="I6372" s="3" t="str">
        <f ca="1">IFERROR(__xludf.DUMMYFUNCTION("""COMPUTED_VALUE"""),"Nguyễn Thị Ngọc Nhi")</f>
        <v>Nguyễn Thị Ngọc Nhi</v>
      </c>
      <c r="J6372" s="3" t="str">
        <f ca="1">IFERROR(__xludf.DUMMYFUNCTION("""COMPUTED_VALUE"""),"0587340984")</f>
        <v>0587340984</v>
      </c>
      <c r="K6372" s="2" t="str">
        <f ca="1">IFERROR(__xludf.DUMMYFUNCTION("""COMPUTED_VALUE"""),"Không giao sách")</f>
        <v>Không giao sách</v>
      </c>
    </row>
    <row r="6373" spans="1:11" ht="12.45">
      <c r="A6373" s="2" t="str">
        <f ca="1">IFERROR(__xludf.DUMMYFUNCTION("""COMPUTED_VALUE"""),"1761524720944")</f>
        <v>1761524720944</v>
      </c>
      <c r="B6373" s="2"/>
      <c r="C6373" s="2" t="str">
        <v>0</v>
      </c>
      <c r="D6373" s="2"/>
      <c r="F6373" s="2" t="str">
        <v>0</v>
      </c>
      <c r="I6373" s="3" t="str">
        <f ca="1">IFERROR(__xludf.DUMMYFUNCTION("""COMPUTED_VALUE"""),"TRẦN MAI DUYÊN ")</f>
        <v xml:space="preserve">TRẦN MAI DUYÊN </v>
      </c>
      <c r="J6373" s="3" t="str">
        <f ca="1">IFERROR(__xludf.DUMMYFUNCTION("""COMPUTED_VALUE"""),"0388462554")</f>
        <v>0388462554</v>
      </c>
      <c r="K6373" s="2" t="str">
        <f ca="1">IFERROR(__xludf.DUMMYFUNCTION("""COMPUTED_VALUE"""),"1761524720944")</f>
        <v>1761524720944</v>
      </c>
    </row>
    <row r="6374" spans="1:11" ht="12.45">
      <c r="A6374" s="2" t="str">
        <f ca="1">IFERROR(__xludf.DUMMYFUNCTION("""COMPUTED_VALUE"""),"1761524799287")</f>
        <v>1761524799287</v>
      </c>
      <c r="B6374" s="2"/>
      <c r="C6374" s="2" t="str">
        <v>0</v>
      </c>
      <c r="D6374" s="2"/>
      <c r="F6374" s="2" t="str">
        <v>0</v>
      </c>
      <c r="I6374" s="3" t="str">
        <f ca="1">IFERROR(__xludf.DUMMYFUNCTION("""COMPUTED_VALUE"""),"Nguyễn Đức Tuấn")</f>
        <v>Nguyễn Đức Tuấn</v>
      </c>
      <c r="J6374" s="3" t="str">
        <f ca="1">IFERROR(__xludf.DUMMYFUNCTION("""COMPUTED_VALUE"""),"0961844507")</f>
        <v>0961844507</v>
      </c>
      <c r="K6374" s="2" t="str">
        <f ca="1">IFERROR(__xludf.DUMMYFUNCTION("""COMPUTED_VALUE"""),"1761524799287")</f>
        <v>1761524799287</v>
      </c>
    </row>
    <row r="6375" spans="1:11" ht="12.45">
      <c r="A6375" s="2" t="str">
        <f ca="1">IFERROR(__xludf.DUMMYFUNCTION("""COMPUTED_VALUE"""),"1761524892847")</f>
        <v>1761524892847</v>
      </c>
      <c r="B6375" s="2"/>
      <c r="C6375" s="2" t="str">
        <v>0</v>
      </c>
      <c r="D6375" s="2"/>
      <c r="F6375" s="2" t="str">
        <v>0</v>
      </c>
      <c r="I6375" s="3" t="str">
        <f ca="1">IFERROR(__xludf.DUMMYFUNCTION("""COMPUTED_VALUE"""),"Đỗ Trà My")</f>
        <v>Đỗ Trà My</v>
      </c>
      <c r="J6375" s="3" t="str">
        <f ca="1">IFERROR(__xludf.DUMMYFUNCTION("""COMPUTED_VALUE"""),"0982340740")</f>
        <v>0982340740</v>
      </c>
      <c r="K6375" s="2" t="str">
        <f ca="1">IFERROR(__xludf.DUMMYFUNCTION("""COMPUTED_VALUE"""),"1761524892847")</f>
        <v>1761524892847</v>
      </c>
    </row>
    <row r="6376" spans="1:11" ht="12.45">
      <c r="A6376" s="2" t="str">
        <f ca="1">IFERROR(__xludf.DUMMYFUNCTION("""COMPUTED_VALUE"""),"1761524938583")</f>
        <v>1761524938583</v>
      </c>
      <c r="B6376" s="2"/>
      <c r="C6376" s="2" t="str">
        <v>0</v>
      </c>
      <c r="D6376" s="2"/>
      <c r="F6376" s="2" t="str">
        <v>0</v>
      </c>
      <c r="I6376" s="3" t="str">
        <f ca="1">IFERROR(__xludf.DUMMYFUNCTION("""COMPUTED_VALUE"""),"Bùi Khánh Linh")</f>
        <v>Bùi Khánh Linh</v>
      </c>
      <c r="J6376" s="3" t="str">
        <f ca="1">IFERROR(__xludf.DUMMYFUNCTION("""COMPUTED_VALUE"""),"0824622117")</f>
        <v>0824622117</v>
      </c>
      <c r="K6376" s="2" t="str">
        <f ca="1">IFERROR(__xludf.DUMMYFUNCTION("""COMPUTED_VALUE"""),"1761524938583")</f>
        <v>1761524938583</v>
      </c>
    </row>
    <row r="6377" spans="1:11" ht="12.45">
      <c r="A6377" s="2" t="str">
        <f ca="1">IFERROR(__xludf.DUMMYFUNCTION("""COMPUTED_VALUE"""),"1761525047813")</f>
        <v>1761525047813</v>
      </c>
      <c r="B6377" s="2"/>
      <c r="C6377" s="2" t="str">
        <v>0</v>
      </c>
      <c r="D6377" s="2"/>
      <c r="F6377" s="2" t="str">
        <v>0</v>
      </c>
      <c r="I6377" s="3" t="str">
        <f ca="1">IFERROR(__xludf.DUMMYFUNCTION("""COMPUTED_VALUE"""),"Trần Thuý Quỳnh")</f>
        <v>Trần Thuý Quỳnh</v>
      </c>
      <c r="J6377" s="3" t="str">
        <f ca="1">IFERROR(__xludf.DUMMYFUNCTION("""COMPUTED_VALUE"""),"0353559246")</f>
        <v>0353559246</v>
      </c>
      <c r="K6377" s="2" t="str">
        <f ca="1">IFERROR(__xludf.DUMMYFUNCTION("""COMPUTED_VALUE"""),"1761525047813")</f>
        <v>1761525047813</v>
      </c>
    </row>
    <row r="6378" spans="1:11" ht="12.45">
      <c r="A6378" s="2" t="str">
        <f ca="1">IFERROR(__xludf.DUMMYFUNCTION("""COMPUTED_VALUE"""),"1761525187243")</f>
        <v>1761525187243</v>
      </c>
      <c r="B6378" s="2"/>
      <c r="C6378" s="2" t="str">
        <v>0</v>
      </c>
      <c r="D6378" s="2"/>
      <c r="F6378" s="2" t="str">
        <v>0</v>
      </c>
      <c r="I6378" s="3" t="str">
        <f ca="1">IFERROR(__xludf.DUMMYFUNCTION("""COMPUTED_VALUE"""),"Nguyễn Ánh Hồng")</f>
        <v>Nguyễn Ánh Hồng</v>
      </c>
      <c r="J6378" s="3" t="str">
        <f ca="1">IFERROR(__xludf.DUMMYFUNCTION("""COMPUTED_VALUE"""),"0989660147")</f>
        <v>0989660147</v>
      </c>
      <c r="K6378" s="2" t="str">
        <f ca="1">IFERROR(__xludf.DUMMYFUNCTION("""COMPUTED_VALUE"""),"1761525187243")</f>
        <v>1761525187243</v>
      </c>
    </row>
    <row r="6379" spans="1:11" ht="12.45">
      <c r="A6379" s="2" t="str">
        <f ca="1">IFERROR(__xludf.DUMMYFUNCTION("""COMPUTED_VALUE"""),"1761525244279")</f>
        <v>1761525244279</v>
      </c>
      <c r="B6379" s="2"/>
      <c r="C6379" s="2" t="str">
        <v>0</v>
      </c>
      <c r="D6379" s="2"/>
      <c r="F6379" s="2" t="str">
        <v>0</v>
      </c>
      <c r="I6379" s="3" t="str">
        <f ca="1">IFERROR(__xludf.DUMMYFUNCTION("""COMPUTED_VALUE"""),"Nguyễn Hà Vy")</f>
        <v>Nguyễn Hà Vy</v>
      </c>
      <c r="J6379" s="3" t="str">
        <f ca="1">IFERROR(__xludf.DUMMYFUNCTION("""COMPUTED_VALUE"""),"0352714235")</f>
        <v>0352714235</v>
      </c>
      <c r="K6379" s="2" t="str">
        <f ca="1">IFERROR(__xludf.DUMMYFUNCTION("""COMPUTED_VALUE"""),"1761525244279")</f>
        <v>1761525244279</v>
      </c>
    </row>
    <row r="6380" spans="1:11" ht="12.45">
      <c r="A6380" s="2" t="str">
        <f ca="1">IFERROR(__xludf.DUMMYFUNCTION("""COMPUTED_VALUE"""),"1761525299445")</f>
        <v>1761525299445</v>
      </c>
      <c r="B6380" s="2"/>
      <c r="C6380" s="2" t="str">
        <v>0</v>
      </c>
      <c r="D6380" s="2"/>
      <c r="F6380" s="2" t="str">
        <v>0</v>
      </c>
      <c r="I6380" s="3" t="str">
        <f ca="1">IFERROR(__xludf.DUMMYFUNCTION("""COMPUTED_VALUE"""),"Nguyễn Thị Tâm")</f>
        <v>Nguyễn Thị Tâm</v>
      </c>
      <c r="J6380" s="3" t="str">
        <f ca="1">IFERROR(__xludf.DUMMYFUNCTION("""COMPUTED_VALUE"""),"0358148983")</f>
        <v>0358148983</v>
      </c>
      <c r="K6380" s="2" t="str">
        <f ca="1">IFERROR(__xludf.DUMMYFUNCTION("""COMPUTED_VALUE"""),"1761525299445")</f>
        <v>1761525299445</v>
      </c>
    </row>
    <row r="6381" spans="1:11" ht="12.45">
      <c r="A6381" s="2" t="str">
        <f ca="1">IFERROR(__xludf.DUMMYFUNCTION("""COMPUTED_VALUE"""),"1761525411910")</f>
        <v>1761525411910</v>
      </c>
      <c r="B6381" s="2"/>
      <c r="C6381" s="2" t="str">
        <v>0</v>
      </c>
      <c r="D6381" s="2"/>
      <c r="F6381" s="2" t="str">
        <v>0</v>
      </c>
      <c r="I6381" s="3" t="str">
        <f ca="1">IFERROR(__xludf.DUMMYFUNCTION("""COMPUTED_VALUE"""),"Nguyễn Thị Phương")</f>
        <v>Nguyễn Thị Phương</v>
      </c>
      <c r="J6381" s="3" t="str">
        <f ca="1">IFERROR(__xludf.DUMMYFUNCTION("""COMPUTED_VALUE"""),"0917936167")</f>
        <v>0917936167</v>
      </c>
      <c r="K6381" s="2" t="str">
        <f ca="1">IFERROR(__xludf.DUMMYFUNCTION("""COMPUTED_VALUE"""),"1761525411910")</f>
        <v>1761525411910</v>
      </c>
    </row>
    <row r="6382" spans="1:11" ht="12.45">
      <c r="A6382" s="2" t="str">
        <f ca="1">IFERROR(__xludf.DUMMYFUNCTION("""COMPUTED_VALUE"""),"1761525452775")</f>
        <v>1761525452775</v>
      </c>
      <c r="B6382" s="2"/>
      <c r="C6382" s="2" t="str">
        <v>0</v>
      </c>
      <c r="D6382" s="2"/>
      <c r="F6382" s="2" t="str">
        <v>0</v>
      </c>
      <c r="I6382" s="3" t="str">
        <f ca="1">IFERROR(__xludf.DUMMYFUNCTION("""COMPUTED_VALUE"""),"Nhung .")</f>
        <v>Nhung .</v>
      </c>
      <c r="J6382" s="3" t="str">
        <f ca="1">IFERROR(__xludf.DUMMYFUNCTION("""COMPUTED_VALUE"""),"0866835042")</f>
        <v>0866835042</v>
      </c>
      <c r="K6382" s="2" t="str">
        <f ca="1">IFERROR(__xludf.DUMMYFUNCTION("""COMPUTED_VALUE"""),"1761525452775")</f>
        <v>1761525452775</v>
      </c>
    </row>
    <row r="6383" spans="1:11" ht="12.45">
      <c r="A6383" s="2" t="str">
        <f ca="1">IFERROR(__xludf.DUMMYFUNCTION("""COMPUTED_VALUE"""),"1761525516596")</f>
        <v>1761525516596</v>
      </c>
      <c r="B6383" s="2"/>
      <c r="C6383" s="2" t="str">
        <v>0</v>
      </c>
      <c r="D6383" s="2"/>
      <c r="F6383" s="2" t="str">
        <v>0</v>
      </c>
      <c r="I6383" s="3" t="str">
        <f ca="1">IFERROR(__xludf.DUMMYFUNCTION("""COMPUTED_VALUE"""),"Nguyễn Ngọc Bích ")</f>
        <v xml:space="preserve">Nguyễn Ngọc Bích </v>
      </c>
      <c r="J6383" s="3" t="str">
        <f ca="1">IFERROR(__xludf.DUMMYFUNCTION("""COMPUTED_VALUE"""),"0869834130")</f>
        <v>0869834130</v>
      </c>
      <c r="K6383" s="2" t="str">
        <f ca="1">IFERROR(__xludf.DUMMYFUNCTION("""COMPUTED_VALUE"""),"1761525516596")</f>
        <v>1761525516596</v>
      </c>
    </row>
    <row r="6384" spans="1:11" ht="12.45">
      <c r="A6384" s="2" t="str">
        <f ca="1">IFERROR(__xludf.DUMMYFUNCTION("""COMPUTED_VALUE"""),"1761525570181")</f>
        <v>1761525570181</v>
      </c>
      <c r="B6384" s="2"/>
      <c r="C6384" s="2" t="str">
        <v>0</v>
      </c>
      <c r="D6384" s="2"/>
      <c r="F6384" s="2" t="str">
        <v>0</v>
      </c>
      <c r="I6384" s="3" t="str">
        <f ca="1">IFERROR(__xludf.DUMMYFUNCTION("""COMPUTED_VALUE"""),"Đào Thị Chinh ")</f>
        <v xml:space="preserve">Đào Thị Chinh </v>
      </c>
      <c r="J6384" s="3" t="str">
        <f ca="1">IFERROR(__xludf.DUMMYFUNCTION("""COMPUTED_VALUE"""),"0399170086")</f>
        <v>0399170086</v>
      </c>
      <c r="K6384" s="2" t="str">
        <f ca="1">IFERROR(__xludf.DUMMYFUNCTION("""COMPUTED_VALUE"""),"1761525570181")</f>
        <v>1761525570181</v>
      </c>
    </row>
    <row r="6385" spans="1:11" ht="12.45">
      <c r="A6385" s="2" t="str">
        <f ca="1">IFERROR(__xludf.DUMMYFUNCTION("""COMPUTED_VALUE"""),"1761525611710")</f>
        <v>1761525611710</v>
      </c>
      <c r="B6385" s="2"/>
      <c r="C6385" s="2" t="str">
        <v>0</v>
      </c>
      <c r="D6385" s="2"/>
      <c r="F6385" s="2" t="str">
        <v>0</v>
      </c>
      <c r="I6385" s="3" t="str">
        <f ca="1">IFERROR(__xludf.DUMMYFUNCTION("""COMPUTED_VALUE"""),"Nguyễn Anh Thương ")</f>
        <v xml:space="preserve">Nguyễn Anh Thương </v>
      </c>
      <c r="J6385" s="3" t="str">
        <f ca="1">IFERROR(__xludf.DUMMYFUNCTION("""COMPUTED_VALUE"""),"0967082365")</f>
        <v>0967082365</v>
      </c>
      <c r="K6385" s="2" t="str">
        <f ca="1">IFERROR(__xludf.DUMMYFUNCTION("""COMPUTED_VALUE"""),"1761525611710")</f>
        <v>1761525611710</v>
      </c>
    </row>
    <row r="6386" spans="1:11" ht="12.45">
      <c r="A6386" s="2" t="str">
        <f ca="1">IFERROR(__xludf.DUMMYFUNCTION("""COMPUTED_VALUE"""),"1761525679854")</f>
        <v>1761525679854</v>
      </c>
      <c r="B6386" s="2"/>
      <c r="C6386" s="2" t="str">
        <v>0</v>
      </c>
      <c r="D6386" s="2"/>
      <c r="F6386" s="2" t="str">
        <v>0</v>
      </c>
      <c r="I6386" s="3" t="str">
        <f ca="1">IFERROR(__xludf.DUMMYFUNCTION("""COMPUTED_VALUE"""),"Lê Thị Bích Phượng")</f>
        <v>Lê Thị Bích Phượng</v>
      </c>
      <c r="J6386" s="3" t="str">
        <f ca="1">IFERROR(__xludf.DUMMYFUNCTION("""COMPUTED_VALUE"""),"0706896552")</f>
        <v>0706896552</v>
      </c>
      <c r="K6386" s="2" t="str">
        <f ca="1">IFERROR(__xludf.DUMMYFUNCTION("""COMPUTED_VALUE"""),"1761525679854")</f>
        <v>1761525679854</v>
      </c>
    </row>
    <row r="6387" spans="1:11" ht="12.45">
      <c r="A6387" s="2" t="str">
        <f ca="1">IFERROR(__xludf.DUMMYFUNCTION("""COMPUTED_VALUE"""),"1761525727343")</f>
        <v>1761525727343</v>
      </c>
      <c r="B6387" s="2"/>
      <c r="C6387" s="2" t="str">
        <v>0</v>
      </c>
      <c r="D6387" s="2"/>
      <c r="F6387" s="2" t="str">
        <v>0</v>
      </c>
      <c r="I6387" s="3" t="str">
        <f ca="1">IFERROR(__xludf.DUMMYFUNCTION("""COMPUTED_VALUE"""),"Phạm Thu Trang")</f>
        <v>Phạm Thu Trang</v>
      </c>
      <c r="J6387" s="3" t="str">
        <f ca="1">IFERROR(__xludf.DUMMYFUNCTION("""COMPUTED_VALUE"""),"0825925896")</f>
        <v>0825925896</v>
      </c>
      <c r="K6387" s="2" t="str">
        <f ca="1">IFERROR(__xludf.DUMMYFUNCTION("""COMPUTED_VALUE"""),"1761525727343")</f>
        <v>1761525727343</v>
      </c>
    </row>
    <row r="6388" spans="1:11" ht="12.45">
      <c r="A6388" s="2" t="str">
        <f ca="1">IFERROR(__xludf.DUMMYFUNCTION("""COMPUTED_VALUE"""),"1761525811675")</f>
        <v>1761525811675</v>
      </c>
      <c r="B6388" s="2"/>
      <c r="C6388" s="2" t="str">
        <v>0</v>
      </c>
      <c r="D6388" s="2"/>
      <c r="F6388" s="2" t="str">
        <v>0</v>
      </c>
      <c r="I6388" s="3" t="str">
        <f ca="1">IFERROR(__xludf.DUMMYFUNCTION("""COMPUTED_VALUE"""),"Bùi Ngọc Ánh")</f>
        <v>Bùi Ngọc Ánh</v>
      </c>
      <c r="J6388" s="3" t="str">
        <f ca="1">IFERROR(__xludf.DUMMYFUNCTION("""COMPUTED_VALUE"""),"0905016204")</f>
        <v>0905016204</v>
      </c>
      <c r="K6388" s="2" t="str">
        <f ca="1">IFERROR(__xludf.DUMMYFUNCTION("""COMPUTED_VALUE"""),"1761525811675")</f>
        <v>1761525811675</v>
      </c>
    </row>
    <row r="6389" spans="1:11" ht="12.45">
      <c r="A6389" s="2" t="str">
        <f ca="1">IFERROR(__xludf.DUMMYFUNCTION("""COMPUTED_VALUE"""),"1761525876705")</f>
        <v>1761525876705</v>
      </c>
      <c r="B6389" s="2"/>
      <c r="C6389" s="2" t="str">
        <v>0</v>
      </c>
      <c r="D6389" s="2"/>
      <c r="F6389" s="2" t="str">
        <v>0</v>
      </c>
      <c r="I6389" s="3" t="str">
        <f ca="1">IFERROR(__xludf.DUMMYFUNCTION("""COMPUTED_VALUE"""),"Lý Thị Thu Nhật")</f>
        <v>Lý Thị Thu Nhật</v>
      </c>
      <c r="J6389" s="3" t="str">
        <f ca="1">IFERROR(__xludf.DUMMYFUNCTION("""COMPUTED_VALUE"""),"0899744329")</f>
        <v>0899744329</v>
      </c>
      <c r="K6389" s="2" t="str">
        <f ca="1">IFERROR(__xludf.DUMMYFUNCTION("""COMPUTED_VALUE"""),"1761525876705")</f>
        <v>1761525876705</v>
      </c>
    </row>
    <row r="6390" spans="1:11" ht="12.45">
      <c r="A6390" s="2" t="str">
        <f ca="1">IFERROR(__xludf.DUMMYFUNCTION("""COMPUTED_VALUE"""),"1761525935818")</f>
        <v>1761525935818</v>
      </c>
      <c r="B6390" s="2"/>
      <c r="C6390" s="2" t="str">
        <v>0</v>
      </c>
      <c r="D6390" s="2"/>
      <c r="F6390" s="2" t="str">
        <v>0</v>
      </c>
      <c r="I6390" s="3" t="str">
        <f ca="1">IFERROR(__xludf.DUMMYFUNCTION("""COMPUTED_VALUE"""),"Nguyễn Thảo Linh")</f>
        <v>Nguyễn Thảo Linh</v>
      </c>
      <c r="J6390" s="3" t="str">
        <f ca="1">IFERROR(__xludf.DUMMYFUNCTION("""COMPUTED_VALUE"""),"0988023211")</f>
        <v>0988023211</v>
      </c>
      <c r="K6390" s="2" t="str">
        <f ca="1">IFERROR(__xludf.DUMMYFUNCTION("""COMPUTED_VALUE"""),"1761525935818")</f>
        <v>1761525935818</v>
      </c>
    </row>
    <row r="6391" spans="1:11" ht="12.45">
      <c r="A6391" s="2" t="str">
        <f ca="1">IFERROR(__xludf.DUMMYFUNCTION("""COMPUTED_VALUE"""),"1761525974825")</f>
        <v>1761525974825</v>
      </c>
      <c r="B6391" s="2"/>
      <c r="C6391" s="2" t="str">
        <v>0</v>
      </c>
      <c r="D6391" s="2"/>
      <c r="F6391" s="2" t="str">
        <v>0</v>
      </c>
      <c r="I6391" s="3" t="str">
        <f ca="1">IFERROR(__xludf.DUMMYFUNCTION("""COMPUTED_VALUE"""),"Phùng Tố Uyên ")</f>
        <v xml:space="preserve">Phùng Tố Uyên </v>
      </c>
      <c r="J6391" s="3" t="str">
        <f ca="1">IFERROR(__xludf.DUMMYFUNCTION("""COMPUTED_VALUE"""),"0338587407")</f>
        <v>0338587407</v>
      </c>
      <c r="K6391" s="2" t="str">
        <f ca="1">IFERROR(__xludf.DUMMYFUNCTION("""COMPUTED_VALUE"""),"1761525974825")</f>
        <v>1761525974825</v>
      </c>
    </row>
    <row r="6392" spans="1:11" ht="12.45">
      <c r="A6392" s="2" t="str">
        <f ca="1">IFERROR(__xludf.DUMMYFUNCTION("""COMPUTED_VALUE"""),"Không giao sách")</f>
        <v>Không giao sách</v>
      </c>
      <c r="B6392" s="2"/>
      <c r="C6392" s="2" t="str">
        <v>0</v>
      </c>
      <c r="D6392" s="2"/>
      <c r="F6392" s="2" t="str">
        <v>0</v>
      </c>
      <c r="I6392" s="3" t="str">
        <f ca="1">IFERROR(__xludf.DUMMYFUNCTION("""COMPUTED_VALUE"""),"Lưu Gia Nghi")</f>
        <v>Lưu Gia Nghi</v>
      </c>
      <c r="J6392" s="3" t="str">
        <f ca="1">IFERROR(__xludf.DUMMYFUNCTION("""COMPUTED_VALUE"""),"0902324036")</f>
        <v>0902324036</v>
      </c>
      <c r="K6392" s="2" t="str">
        <f ca="1">IFERROR(__xludf.DUMMYFUNCTION("""COMPUTED_VALUE"""),"Không giao sách")</f>
        <v>Không giao sách</v>
      </c>
    </row>
    <row r="6393" spans="1:11" ht="12.45">
      <c r="A6393" s="2" t="str">
        <f ca="1">IFERROR(__xludf.DUMMYFUNCTION("""COMPUTED_VALUE"""),"1761526034919")</f>
        <v>1761526034919</v>
      </c>
      <c r="B6393" s="2"/>
      <c r="C6393" s="2" t="str">
        <v>0</v>
      </c>
      <c r="D6393" s="2"/>
      <c r="F6393" s="2" t="str">
        <v>0</v>
      </c>
      <c r="I6393" s="3" t="str">
        <f ca="1">IFERROR(__xludf.DUMMYFUNCTION("""COMPUTED_VALUE"""),"Võ Nguyễn Gia Hân")</f>
        <v>Võ Nguyễn Gia Hân</v>
      </c>
      <c r="J6393" s="3" t="str">
        <f ca="1">IFERROR(__xludf.DUMMYFUNCTION("""COMPUTED_VALUE"""),"0972857425")</f>
        <v>0972857425</v>
      </c>
      <c r="K6393" s="2" t="str">
        <f ca="1">IFERROR(__xludf.DUMMYFUNCTION("""COMPUTED_VALUE"""),"1761526034919")</f>
        <v>1761526034919</v>
      </c>
    </row>
    <row r="6394" spans="1:11" ht="12.45">
      <c r="A6394" s="2" t="str">
        <f ca="1">IFERROR(__xludf.DUMMYFUNCTION("""COMPUTED_VALUE"""),"1761526111489")</f>
        <v>1761526111489</v>
      </c>
      <c r="B6394" s="2"/>
      <c r="C6394" s="2" t="str">
        <v>0</v>
      </c>
      <c r="D6394" s="2"/>
      <c r="F6394" s="2" t="str">
        <v>0</v>
      </c>
      <c r="I6394" s="3" t="str">
        <f ca="1">IFERROR(__xludf.DUMMYFUNCTION("""COMPUTED_VALUE"""),"Nông Thanh Tùng")</f>
        <v>Nông Thanh Tùng</v>
      </c>
      <c r="J6394" s="3" t="str">
        <f ca="1">IFERROR(__xludf.DUMMYFUNCTION("""COMPUTED_VALUE"""),"0326961038")</f>
        <v>0326961038</v>
      </c>
      <c r="K6394" s="2" t="str">
        <f ca="1">IFERROR(__xludf.DUMMYFUNCTION("""COMPUTED_VALUE"""),"1761526111489")</f>
        <v>1761526111489</v>
      </c>
    </row>
    <row r="6395" spans="1:11" ht="12.45">
      <c r="A6395" s="2" t="str">
        <f ca="1">IFERROR(__xludf.DUMMYFUNCTION("""COMPUTED_VALUE"""),"1761526154500")</f>
        <v>1761526154500</v>
      </c>
      <c r="B6395" s="2"/>
      <c r="C6395" s="2" t="str">
        <v>0</v>
      </c>
      <c r="D6395" s="2"/>
      <c r="F6395" s="2" t="str">
        <v>0</v>
      </c>
      <c r="I6395" s="3" t="str">
        <f ca="1">IFERROR(__xludf.DUMMYFUNCTION("""COMPUTED_VALUE"""),"Lương Kim Khánh")</f>
        <v>Lương Kim Khánh</v>
      </c>
      <c r="J6395" s="3" t="str">
        <f ca="1">IFERROR(__xludf.DUMMYFUNCTION("""COMPUTED_VALUE"""),"0348871030")</f>
        <v>0348871030</v>
      </c>
      <c r="K6395" s="2" t="str">
        <f ca="1">IFERROR(__xludf.DUMMYFUNCTION("""COMPUTED_VALUE"""),"1761526154500")</f>
        <v>1761526154500</v>
      </c>
    </row>
    <row r="6396" spans="1:11" ht="12.45">
      <c r="A6396" s="2" t="str">
        <f ca="1">IFERROR(__xludf.DUMMYFUNCTION("""COMPUTED_VALUE"""),"1761526201696")</f>
        <v>1761526201696</v>
      </c>
      <c r="B6396" s="2"/>
      <c r="C6396" s="2" t="str">
        <v>0</v>
      </c>
      <c r="D6396" s="2"/>
      <c r="F6396" s="2" t="str">
        <v>0</v>
      </c>
      <c r="I6396" s="3" t="str">
        <f ca="1">IFERROR(__xludf.DUMMYFUNCTION("""COMPUTED_VALUE"""),"Nguyễn Thanh Hiền")</f>
        <v>Nguyễn Thanh Hiền</v>
      </c>
      <c r="J6396" s="3" t="str">
        <f ca="1">IFERROR(__xludf.DUMMYFUNCTION("""COMPUTED_VALUE"""),"0325637046")</f>
        <v>0325637046</v>
      </c>
      <c r="K6396" s="2" t="str">
        <f ca="1">IFERROR(__xludf.DUMMYFUNCTION("""COMPUTED_VALUE"""),"1761526201696")</f>
        <v>1761526201696</v>
      </c>
    </row>
    <row r="6397" spans="1:11" ht="12.45">
      <c r="A6397" s="2" t="str">
        <f ca="1">IFERROR(__xludf.DUMMYFUNCTION("""COMPUTED_VALUE"""),"1761526247374")</f>
        <v>1761526247374</v>
      </c>
      <c r="B6397" s="2"/>
      <c r="C6397" s="2" t="str">
        <v>0</v>
      </c>
      <c r="D6397" s="2"/>
      <c r="F6397" s="2" t="str">
        <v>0</v>
      </c>
      <c r="I6397" s="3" t="str">
        <f ca="1">IFERROR(__xludf.DUMMYFUNCTION("""COMPUTED_VALUE"""),"Nguyễn Thị Phương Thao")</f>
        <v>Nguyễn Thị Phương Thao</v>
      </c>
      <c r="J6397" s="3" t="str">
        <f ca="1">IFERROR(__xludf.DUMMYFUNCTION("""COMPUTED_VALUE"""),"0352431047")</f>
        <v>0352431047</v>
      </c>
      <c r="K6397" s="2" t="str">
        <f ca="1">IFERROR(__xludf.DUMMYFUNCTION("""COMPUTED_VALUE"""),"1761526247374")</f>
        <v>1761526247374</v>
      </c>
    </row>
    <row r="6398" spans="1:11" ht="12.45">
      <c r="A6398" s="2" t="str">
        <f ca="1">IFERROR(__xludf.DUMMYFUNCTION("""COMPUTED_VALUE"""),"1761526305546")</f>
        <v>1761526305546</v>
      </c>
      <c r="B6398" s="2"/>
      <c r="C6398" s="2" t="str">
        <v>0</v>
      </c>
      <c r="D6398" s="2"/>
      <c r="F6398" s="2" t="str">
        <v>0</v>
      </c>
      <c r="I6398" s="3" t="str">
        <f ca="1">IFERROR(__xludf.DUMMYFUNCTION("""COMPUTED_VALUE"""),"Thiều Lê Hà My")</f>
        <v>Thiều Lê Hà My</v>
      </c>
      <c r="J6398" s="3" t="str">
        <f ca="1">IFERROR(__xludf.DUMMYFUNCTION("""COMPUTED_VALUE"""),"0387124369")</f>
        <v>0387124369</v>
      </c>
      <c r="K6398" s="2" t="str">
        <f ca="1">IFERROR(__xludf.DUMMYFUNCTION("""COMPUTED_VALUE"""),"1761526305546")</f>
        <v>1761526305546</v>
      </c>
    </row>
    <row r="6399" spans="1:11" ht="12.45">
      <c r="A6399" s="2" t="str">
        <f ca="1">IFERROR(__xludf.DUMMYFUNCTION("""COMPUTED_VALUE"""),"1761526355762")</f>
        <v>1761526355762</v>
      </c>
      <c r="B6399" s="2"/>
      <c r="C6399" s="2" t="str">
        <v>0</v>
      </c>
      <c r="D6399" s="2"/>
      <c r="F6399" s="2" t="str">
        <v>0</v>
      </c>
      <c r="I6399" s="3" t="str">
        <f ca="1">IFERROR(__xludf.DUMMYFUNCTION("""COMPUTED_VALUE"""),"Nguyễn Minh Anh")</f>
        <v>Nguyễn Minh Anh</v>
      </c>
      <c r="J6399" s="3" t="str">
        <f ca="1">IFERROR(__xludf.DUMMYFUNCTION("""COMPUTED_VALUE"""),"0915026905")</f>
        <v>0915026905</v>
      </c>
      <c r="K6399" s="2" t="str">
        <f ca="1">IFERROR(__xludf.DUMMYFUNCTION("""COMPUTED_VALUE"""),"1761526355762")</f>
        <v>1761526355762</v>
      </c>
    </row>
    <row r="6400" spans="1:11" ht="12.45">
      <c r="A6400" s="2" t="str">
        <f ca="1">IFERROR(__xludf.DUMMYFUNCTION("""COMPUTED_VALUE"""),"1761526408060")</f>
        <v>1761526408060</v>
      </c>
      <c r="B6400" s="2"/>
      <c r="C6400" s="2" t="str">
        <v>0</v>
      </c>
      <c r="D6400" s="2"/>
      <c r="F6400" s="2" t="str">
        <v>0</v>
      </c>
      <c r="I6400" s="3" t="str">
        <f ca="1">IFERROR(__xludf.DUMMYFUNCTION("""COMPUTED_VALUE"""),"Phùng Vinh Quang ")</f>
        <v xml:space="preserve">Phùng Vinh Quang </v>
      </c>
      <c r="J6400" s="3" t="str">
        <f ca="1">IFERROR(__xludf.DUMMYFUNCTION("""COMPUTED_VALUE"""),"0848300807")</f>
        <v>0848300807</v>
      </c>
      <c r="K6400" s="2" t="str">
        <f ca="1">IFERROR(__xludf.DUMMYFUNCTION("""COMPUTED_VALUE"""),"1761526408060")</f>
        <v>1761526408060</v>
      </c>
    </row>
    <row r="6401" spans="1:11" ht="12.45">
      <c r="A6401" s="2" t="str">
        <f ca="1">IFERROR(__xludf.DUMMYFUNCTION("""COMPUTED_VALUE"""),"1761526506292")</f>
        <v>1761526506292</v>
      </c>
      <c r="B6401" s="2"/>
      <c r="C6401" s="2" t="str">
        <v>0</v>
      </c>
      <c r="D6401" s="2"/>
      <c r="F6401" s="2" t="str">
        <v>0</v>
      </c>
      <c r="I6401" s="3" t="str">
        <f ca="1">IFERROR(__xludf.DUMMYFUNCTION("""COMPUTED_VALUE"""),"Quàng Thị Ý Nhi")</f>
        <v>Quàng Thị Ý Nhi</v>
      </c>
      <c r="J6401" s="3" t="str">
        <f ca="1">IFERROR(__xludf.DUMMYFUNCTION("""COMPUTED_VALUE"""),"0869165143")</f>
        <v>0869165143</v>
      </c>
      <c r="K6401" s="2" t="str">
        <f ca="1">IFERROR(__xludf.DUMMYFUNCTION("""COMPUTED_VALUE"""),"1761526506292")</f>
        <v>1761526506292</v>
      </c>
    </row>
    <row r="6402" spans="1:11" ht="12.45">
      <c r="A6402" s="2" t="str">
        <f ca="1">IFERROR(__xludf.DUMMYFUNCTION("""COMPUTED_VALUE"""),"Không giao sách")</f>
        <v>Không giao sách</v>
      </c>
      <c r="B6402" s="2"/>
      <c r="C6402" s="2" t="str">
        <v>0</v>
      </c>
      <c r="D6402" s="2"/>
      <c r="F6402" s="2" t="str">
        <v>0</v>
      </c>
      <c r="I6402" s="3" t="str">
        <f ca="1">IFERROR(__xludf.DUMMYFUNCTION("""COMPUTED_VALUE"""),"Triệu Ý An ")</f>
        <v xml:space="preserve">Triệu Ý An </v>
      </c>
      <c r="J6402" s="3" t="str">
        <f ca="1">IFERROR(__xludf.DUMMYFUNCTION("""COMPUTED_VALUE"""),"0964291566")</f>
        <v>0964291566</v>
      </c>
      <c r="K6402" s="2" t="str">
        <f ca="1">IFERROR(__xludf.DUMMYFUNCTION("""COMPUTED_VALUE"""),"Không giao sách")</f>
        <v>Không giao sách</v>
      </c>
    </row>
    <row r="6403" spans="1:11" ht="12.45">
      <c r="A6403" s="2" t="str">
        <f ca="1">IFERROR(__xludf.DUMMYFUNCTION("""COMPUTED_VALUE"""),"1761526622128")</f>
        <v>1761526622128</v>
      </c>
      <c r="B6403" s="2"/>
      <c r="C6403" s="2" t="str">
        <v>0</v>
      </c>
      <c r="D6403" s="2"/>
      <c r="F6403" s="2" t="str">
        <v>0</v>
      </c>
      <c r="I6403" s="3" t="str">
        <f ca="1">IFERROR(__xludf.DUMMYFUNCTION("""COMPUTED_VALUE"""),"Nguyễn Hải Đăng")</f>
        <v>Nguyễn Hải Đăng</v>
      </c>
      <c r="J6403" s="3" t="str">
        <f ca="1">IFERROR(__xludf.DUMMYFUNCTION("""COMPUTED_VALUE"""),"0373394883")</f>
        <v>0373394883</v>
      </c>
      <c r="K6403" s="2" t="str">
        <f ca="1">IFERROR(__xludf.DUMMYFUNCTION("""COMPUTED_VALUE"""),"1761526622128")</f>
        <v>1761526622128</v>
      </c>
    </row>
    <row r="6404" spans="1:11" ht="12.45">
      <c r="A6404" s="2" t="str">
        <f ca="1">IFERROR(__xludf.DUMMYFUNCTION("""COMPUTED_VALUE"""),"1761526681034")</f>
        <v>1761526681034</v>
      </c>
      <c r="B6404" s="2"/>
      <c r="C6404" s="2" t="str">
        <v>0</v>
      </c>
      <c r="D6404" s="2"/>
      <c r="F6404" s="2" t="str">
        <v>0</v>
      </c>
      <c r="I6404" s="3" t="str">
        <f ca="1">IFERROR(__xludf.DUMMYFUNCTION("""COMPUTED_VALUE"""),"LÊ NGỌC TRÂN")</f>
        <v>LÊ NGỌC TRÂN</v>
      </c>
      <c r="J6404" s="3" t="str">
        <f ca="1">IFERROR(__xludf.DUMMYFUNCTION("""COMPUTED_VALUE"""),"0327080816")</f>
        <v>0327080816</v>
      </c>
      <c r="K6404" s="2" t="str">
        <f ca="1">IFERROR(__xludf.DUMMYFUNCTION("""COMPUTED_VALUE"""),"1761526681034")</f>
        <v>1761526681034</v>
      </c>
    </row>
    <row r="6405" spans="1:11" ht="12.45">
      <c r="A6405" s="2" t="str">
        <f ca="1">IFERROR(__xludf.DUMMYFUNCTION("""COMPUTED_VALUE"""),"1758488250489")</f>
        <v>1758488250489</v>
      </c>
      <c r="B6405" s="2"/>
      <c r="C6405" s="2" t="str">
        <v>0</v>
      </c>
      <c r="D6405" s="2"/>
      <c r="F6405" s="2" t="str">
        <v>0</v>
      </c>
      <c r="I6405" s="3" t="str">
        <f ca="1">IFERROR(__xludf.DUMMYFUNCTION("""COMPUTED_VALUE"""),"Hà Thị Diệu")</f>
        <v>Hà Thị Diệu</v>
      </c>
      <c r="J6405" s="3" t="str">
        <f ca="1">IFERROR(__xludf.DUMMYFUNCTION("""COMPUTED_VALUE"""),"0855005338")</f>
        <v>0855005338</v>
      </c>
      <c r="K6405" s="2" t="str">
        <f ca="1">IFERROR(__xludf.DUMMYFUNCTION("""COMPUTED_VALUE"""),"1758488250489")</f>
        <v>1758488250489</v>
      </c>
    </row>
    <row r="6406" spans="1:11" ht="12.45">
      <c r="A6406" s="2" t="str">
        <f ca="1">IFERROR(__xludf.DUMMYFUNCTION("""COMPUTED_VALUE"""),"1761526740689")</f>
        <v>1761526740689</v>
      </c>
      <c r="B6406" s="2"/>
      <c r="C6406" s="2" t="str">
        <v>0</v>
      </c>
      <c r="D6406" s="2"/>
      <c r="F6406" s="2" t="str">
        <v>0</v>
      </c>
      <c r="I6406" s="3" t="str">
        <f ca="1">IFERROR(__xludf.DUMMYFUNCTION("""COMPUTED_VALUE"""),"Nguyễn Ngọc Hân")</f>
        <v>Nguyễn Ngọc Hân</v>
      </c>
      <c r="J6406" s="3" t="str">
        <f ca="1">IFERROR(__xludf.DUMMYFUNCTION("""COMPUTED_VALUE"""),"0387869061")</f>
        <v>0387869061</v>
      </c>
      <c r="K6406" s="2" t="str">
        <f ca="1">IFERROR(__xludf.DUMMYFUNCTION("""COMPUTED_VALUE"""),"1761526740689")</f>
        <v>1761526740689</v>
      </c>
    </row>
    <row r="6407" spans="1:11" ht="12.45">
      <c r="A6407" s="2" t="str">
        <f ca="1">IFERROR(__xludf.DUMMYFUNCTION("""COMPUTED_VALUE"""),"Không giao sách")</f>
        <v>Không giao sách</v>
      </c>
      <c r="B6407" s="2"/>
      <c r="C6407" s="2" t="str">
        <v>0</v>
      </c>
      <c r="D6407" s="2"/>
      <c r="F6407" s="2" t="str">
        <v>0</v>
      </c>
      <c r="I6407" s="3" t="str">
        <f ca="1">IFERROR(__xludf.DUMMYFUNCTION("""COMPUTED_VALUE"""),"Phạm Ngọc Linh")</f>
        <v>Phạm Ngọc Linh</v>
      </c>
      <c r="J6407" s="3" t="str">
        <f ca="1">IFERROR(__xludf.DUMMYFUNCTION("""COMPUTED_VALUE"""),"0335493576")</f>
        <v>0335493576</v>
      </c>
      <c r="K6407" s="2" t="str">
        <f ca="1">IFERROR(__xludf.DUMMYFUNCTION("""COMPUTED_VALUE"""),"Không giao sách")</f>
        <v>Không giao sách</v>
      </c>
    </row>
    <row r="6408" spans="1:11" ht="12.45">
      <c r="A6408" s="2" t="str">
        <f ca="1">IFERROR(__xludf.DUMMYFUNCTION("""COMPUTED_VALUE"""),"1761526855059")</f>
        <v>1761526855059</v>
      </c>
      <c r="B6408" s="2"/>
      <c r="C6408" s="2" t="str">
        <v>0</v>
      </c>
      <c r="D6408" s="2"/>
      <c r="F6408" s="2" t="str">
        <v>0</v>
      </c>
      <c r="I6408" s="3" t="str">
        <f ca="1">IFERROR(__xludf.DUMMYFUNCTION("""COMPUTED_VALUE"""),"Vũ thị phương thảo")</f>
        <v>Vũ thị phương thảo</v>
      </c>
      <c r="J6408" s="3" t="str">
        <f ca="1">IFERROR(__xludf.DUMMYFUNCTION("""COMPUTED_VALUE"""),"0899388183")</f>
        <v>0899388183</v>
      </c>
      <c r="K6408" s="2" t="str">
        <f ca="1">IFERROR(__xludf.DUMMYFUNCTION("""COMPUTED_VALUE"""),"1761526855059")</f>
        <v>1761526855059</v>
      </c>
    </row>
    <row r="6409" spans="1:11" ht="12.45">
      <c r="A6409" s="2" t="str">
        <f ca="1">IFERROR(__xludf.DUMMYFUNCTION("""COMPUTED_VALUE"""),"1761526899882")</f>
        <v>1761526899882</v>
      </c>
      <c r="B6409" s="2"/>
      <c r="C6409" s="2" t="str">
        <v>0</v>
      </c>
      <c r="D6409" s="2"/>
      <c r="F6409" s="2" t="str">
        <v>0</v>
      </c>
      <c r="I6409" s="3" t="str">
        <f ca="1">IFERROR(__xludf.DUMMYFUNCTION("""COMPUTED_VALUE"""),"Trần phương linh")</f>
        <v>Trần phương linh</v>
      </c>
      <c r="J6409" s="3" t="str">
        <f ca="1">IFERROR(__xludf.DUMMYFUNCTION("""COMPUTED_VALUE"""),"0375492181")</f>
        <v>0375492181</v>
      </c>
      <c r="K6409" s="2" t="str">
        <f ca="1">IFERROR(__xludf.DUMMYFUNCTION("""COMPUTED_VALUE"""),"1761526899882")</f>
        <v>1761526899882</v>
      </c>
    </row>
    <row r="6410" spans="1:11" ht="12.45">
      <c r="A6410" s="2" t="str">
        <f ca="1">IFERROR(__xludf.DUMMYFUNCTION("""COMPUTED_VALUE"""),"1761526963870")</f>
        <v>1761526963870</v>
      </c>
      <c r="B6410" s="2"/>
      <c r="C6410" s="2" t="str">
        <v>0</v>
      </c>
      <c r="D6410" s="2"/>
      <c r="F6410" s="2" t="str">
        <v>0</v>
      </c>
      <c r="I6410" s="3" t="str">
        <f ca="1">IFERROR(__xludf.DUMMYFUNCTION("""COMPUTED_VALUE"""),"Nguyễn Ngọc Huy")</f>
        <v>Nguyễn Ngọc Huy</v>
      </c>
      <c r="J6410" s="3" t="str">
        <f ca="1">IFERROR(__xludf.DUMMYFUNCTION("""COMPUTED_VALUE"""),"0794688480")</f>
        <v>0794688480</v>
      </c>
      <c r="K6410" s="2" t="str">
        <f ca="1">IFERROR(__xludf.DUMMYFUNCTION("""COMPUTED_VALUE"""),"1761526963870")</f>
        <v>1761526963870</v>
      </c>
    </row>
    <row r="6411" spans="1:11" ht="12.45">
      <c r="A6411" s="2" t="str">
        <f ca="1">IFERROR(__xludf.DUMMYFUNCTION("""COMPUTED_VALUE"""),"1761527086372")</f>
        <v>1761527086372</v>
      </c>
      <c r="B6411" s="2"/>
      <c r="C6411" s="2" t="str">
        <v>0</v>
      </c>
      <c r="D6411" s="2"/>
      <c r="F6411" s="2" t="str">
        <v>0</v>
      </c>
      <c r="I6411" s="3" t="str">
        <f ca="1">IFERROR(__xludf.DUMMYFUNCTION("""COMPUTED_VALUE"""),"Lường Thị Phương Thảo")</f>
        <v>Lường Thị Phương Thảo</v>
      </c>
      <c r="J6411" s="3" t="str">
        <f ca="1">IFERROR(__xludf.DUMMYFUNCTION("""COMPUTED_VALUE"""),"0982238089")</f>
        <v>0982238089</v>
      </c>
      <c r="K6411" s="2" t="str">
        <f ca="1">IFERROR(__xludf.DUMMYFUNCTION("""COMPUTED_VALUE"""),"1761527086372")</f>
        <v>1761527086372</v>
      </c>
    </row>
    <row r="6412" spans="1:11" ht="12.45">
      <c r="A6412" s="2" t="str">
        <f ca="1">IFERROR(__xludf.DUMMYFUNCTION("""COMPUTED_VALUE"""),"1761527149598")</f>
        <v>1761527149598</v>
      </c>
      <c r="B6412" s="2"/>
      <c r="C6412" s="2" t="str">
        <v>0</v>
      </c>
      <c r="D6412" s="2"/>
      <c r="F6412" s="2" t="str">
        <v>0</v>
      </c>
      <c r="I6412" s="3" t="str">
        <f ca="1">IFERROR(__xludf.DUMMYFUNCTION("""COMPUTED_VALUE"""),"Lê Nhật Hoàng Minh")</f>
        <v>Lê Nhật Hoàng Minh</v>
      </c>
      <c r="J6412" s="3" t="str">
        <f ca="1">IFERROR(__xludf.DUMMYFUNCTION("""COMPUTED_VALUE"""),"0962222474")</f>
        <v>0962222474</v>
      </c>
      <c r="K6412" s="2" t="str">
        <f ca="1">IFERROR(__xludf.DUMMYFUNCTION("""COMPUTED_VALUE"""),"1761527149598")</f>
        <v>1761527149598</v>
      </c>
    </row>
    <row r="6413" spans="1:11" ht="12.45">
      <c r="A6413" s="2" t="str">
        <f ca="1">IFERROR(__xludf.DUMMYFUNCTION("""COMPUTED_VALUE"""),"1761527199831")</f>
        <v>1761527199831</v>
      </c>
      <c r="B6413" s="2"/>
      <c r="C6413" s="2" t="str">
        <v>0</v>
      </c>
      <c r="D6413" s="2"/>
      <c r="F6413" s="2" t="str">
        <v>0</v>
      </c>
      <c r="I6413" s="3" t="str">
        <f ca="1">IFERROR(__xludf.DUMMYFUNCTION("""COMPUTED_VALUE"""),"Ngô Thị Hằng ")</f>
        <v xml:space="preserve">Ngô Thị Hằng </v>
      </c>
      <c r="J6413" s="3" t="str">
        <f ca="1">IFERROR(__xludf.DUMMYFUNCTION("""COMPUTED_VALUE"""),"0964160653")</f>
        <v>0964160653</v>
      </c>
      <c r="K6413" s="2" t="str">
        <f ca="1">IFERROR(__xludf.DUMMYFUNCTION("""COMPUTED_VALUE"""),"1761527199831")</f>
        <v>1761527199831</v>
      </c>
    </row>
    <row r="6414" spans="1:11" ht="12.45">
      <c r="A6414" s="2" t="str">
        <f ca="1">IFERROR(__xludf.DUMMYFUNCTION("""COMPUTED_VALUE"""),"1761527246269")</f>
        <v>1761527246269</v>
      </c>
      <c r="B6414" s="2"/>
      <c r="C6414" s="2" t="str">
        <v>0</v>
      </c>
      <c r="D6414" s="2"/>
      <c r="F6414" s="2" t="str">
        <v>0</v>
      </c>
      <c r="I6414" s="3" t="str">
        <f ca="1">IFERROR(__xludf.DUMMYFUNCTION("""COMPUTED_VALUE"""),"Tăng Thị Thùy Trang")</f>
        <v>Tăng Thị Thùy Trang</v>
      </c>
      <c r="J6414" s="3" t="str">
        <f ca="1">IFERROR(__xludf.DUMMYFUNCTION("""COMPUTED_VALUE"""),"0904400235")</f>
        <v>0904400235</v>
      </c>
      <c r="K6414" s="2" t="str">
        <f ca="1">IFERROR(__xludf.DUMMYFUNCTION("""COMPUTED_VALUE"""),"1761527246269")</f>
        <v>1761527246269</v>
      </c>
    </row>
    <row r="6415" spans="1:11" ht="12.45">
      <c r="A6415" s="2" t="str">
        <f ca="1">IFERROR(__xludf.DUMMYFUNCTION("""COMPUTED_VALUE"""),"1761527291501")</f>
        <v>1761527291501</v>
      </c>
      <c r="B6415" s="2"/>
      <c r="C6415" s="2" t="str">
        <v>0</v>
      </c>
      <c r="D6415" s="2"/>
      <c r="F6415" s="2" t="str">
        <v>0</v>
      </c>
      <c r="I6415" s="3" t="str">
        <f ca="1">IFERROR(__xludf.DUMMYFUNCTION("""COMPUTED_VALUE"""),"Đỗ Thanh Mai")</f>
        <v>Đỗ Thanh Mai</v>
      </c>
      <c r="J6415" s="3" t="str">
        <f ca="1">IFERROR(__xludf.DUMMYFUNCTION("""COMPUTED_VALUE"""),"0338855913")</f>
        <v>0338855913</v>
      </c>
      <c r="K6415" s="2" t="str">
        <f ca="1">IFERROR(__xludf.DUMMYFUNCTION("""COMPUTED_VALUE"""),"1761527291501")</f>
        <v>1761527291501</v>
      </c>
    </row>
    <row r="6416" spans="1:11" ht="12.45">
      <c r="A6416" s="2" t="str">
        <f ca="1">IFERROR(__xludf.DUMMYFUNCTION("""COMPUTED_VALUE"""),"1761527351430")</f>
        <v>1761527351430</v>
      </c>
      <c r="B6416" s="2"/>
      <c r="C6416" s="2" t="str">
        <v>0</v>
      </c>
      <c r="D6416" s="2"/>
      <c r="F6416" s="2" t="str">
        <v>0</v>
      </c>
      <c r="I6416" s="3" t="str">
        <f ca="1">IFERROR(__xludf.DUMMYFUNCTION("""COMPUTED_VALUE"""),"Vũ Thị Mai Anh ")</f>
        <v xml:space="preserve">Vũ Thị Mai Anh </v>
      </c>
      <c r="J6416" s="3" t="str">
        <f ca="1">IFERROR(__xludf.DUMMYFUNCTION("""COMPUTED_VALUE"""),"0374075483")</f>
        <v>0374075483</v>
      </c>
      <c r="K6416" s="2" t="str">
        <f ca="1">IFERROR(__xludf.DUMMYFUNCTION("""COMPUTED_VALUE"""),"1761527351430")</f>
        <v>1761527351430</v>
      </c>
    </row>
    <row r="6417" spans="1:11" ht="12.45">
      <c r="A6417" s="2" t="str">
        <f ca="1">IFERROR(__xludf.DUMMYFUNCTION("""COMPUTED_VALUE"""),"1761527422685")</f>
        <v>1761527422685</v>
      </c>
      <c r="B6417" s="2"/>
      <c r="C6417" s="2" t="str">
        <v>0</v>
      </c>
      <c r="D6417" s="2"/>
      <c r="F6417" s="2" t="str">
        <v>0</v>
      </c>
      <c r="I6417" s="3" t="str">
        <f ca="1">IFERROR(__xludf.DUMMYFUNCTION("""COMPUTED_VALUE"""),"Trương Nhuệ Lâm ")</f>
        <v xml:space="preserve">Trương Nhuệ Lâm </v>
      </c>
      <c r="J6417" s="3" t="str">
        <f ca="1">IFERROR(__xludf.DUMMYFUNCTION("""COMPUTED_VALUE"""),"0826252511")</f>
        <v>0826252511</v>
      </c>
      <c r="K6417" s="2" t="str">
        <f ca="1">IFERROR(__xludf.DUMMYFUNCTION("""COMPUTED_VALUE"""),"1761527422685")</f>
        <v>1761527422685</v>
      </c>
    </row>
    <row r="6418" spans="1:11" ht="12.45">
      <c r="A6418" s="2" t="str">
        <f ca="1">IFERROR(__xludf.DUMMYFUNCTION("""COMPUTED_VALUE"""),"1762661980555")</f>
        <v>1762661980555</v>
      </c>
      <c r="B6418" s="2"/>
      <c r="C6418" s="2" t="str">
        <v>0</v>
      </c>
      <c r="D6418" s="2"/>
      <c r="F6418" s="2" t="str">
        <v>0</v>
      </c>
      <c r="I6418" s="3" t="str">
        <f ca="1">IFERROR(__xludf.DUMMYFUNCTION("""COMPUTED_VALUE"""),"Hồ Thảo Vy")</f>
        <v>Hồ Thảo Vy</v>
      </c>
      <c r="J6418" s="3" t="str">
        <f ca="1">IFERROR(__xludf.DUMMYFUNCTION("""COMPUTED_VALUE"""),"0826103567")</f>
        <v>0826103567</v>
      </c>
      <c r="K6418" s="2" t="str">
        <f ca="1">IFERROR(__xludf.DUMMYFUNCTION("""COMPUTED_VALUE"""),"1762661980555")</f>
        <v>1762661980555</v>
      </c>
    </row>
    <row r="6419" spans="1:11" ht="12.45">
      <c r="A6419" s="2">
        <f ca="1">IFERROR(__xludf.DUMMYFUNCTION("""COMPUTED_VALUE"""),1763464716590)</f>
        <v>1763464716590</v>
      </c>
      <c r="B6419" s="2"/>
      <c r="C6419" s="2" t="str">
        <v>0</v>
      </c>
      <c r="D6419" s="2"/>
      <c r="F6419" s="2" t="str">
        <v>0</v>
      </c>
      <c r="I6419" s="3" t="str">
        <f ca="1">IFERROR(__xludf.DUMMYFUNCTION("""COMPUTED_VALUE"""),"Nguyễn Phương Thảo")</f>
        <v>Nguyễn Phương Thảo</v>
      </c>
      <c r="J6419" s="3" t="str">
        <f ca="1">IFERROR(__xludf.DUMMYFUNCTION("""COMPUTED_VALUE"""),"0348103192")</f>
        <v>0348103192</v>
      </c>
      <c r="K6419" s="2">
        <f ca="1">IFERROR(__xludf.DUMMYFUNCTION("""COMPUTED_VALUE"""),1763464716590)</f>
        <v>1763464716590</v>
      </c>
    </row>
    <row r="6420" spans="1:11" ht="12.45">
      <c r="A6420" s="2">
        <f ca="1">IFERROR(__xludf.DUMMYFUNCTION("""COMPUTED_VALUE"""),1763464792144)</f>
        <v>1763464792144</v>
      </c>
      <c r="B6420" s="2"/>
      <c r="C6420" s="2" t="str">
        <v>0</v>
      </c>
      <c r="D6420" s="2"/>
      <c r="F6420" s="2" t="str">
        <v>0</v>
      </c>
      <c r="I6420" s="3" t="str">
        <f ca="1">IFERROR(__xludf.DUMMYFUNCTION("""COMPUTED_VALUE"""),"Nguyễn Thị Phương Dung")</f>
        <v>Nguyễn Thị Phương Dung</v>
      </c>
      <c r="J6420" s="3" t="str">
        <f ca="1">IFERROR(__xludf.DUMMYFUNCTION("""COMPUTED_VALUE"""),"0977104426")</f>
        <v>0977104426</v>
      </c>
      <c r="K6420" s="2">
        <f ca="1">IFERROR(__xludf.DUMMYFUNCTION("""COMPUTED_VALUE"""),1763464792144)</f>
        <v>1763464792144</v>
      </c>
    </row>
    <row r="6421" spans="1:11" ht="12.45">
      <c r="A6421" s="2">
        <f ca="1">IFERROR(__xludf.DUMMYFUNCTION("""COMPUTED_VALUE"""),1763464865441)</f>
        <v>1763464865441</v>
      </c>
      <c r="B6421" s="2"/>
      <c r="C6421" s="2" t="str">
        <v>0</v>
      </c>
      <c r="D6421" s="2"/>
      <c r="F6421" s="2" t="str">
        <v>0</v>
      </c>
      <c r="I6421" s="3" t="str">
        <f ca="1">IFERROR(__xludf.DUMMYFUNCTION("""COMPUTED_VALUE"""),"Võ Thị Bích Nhật")</f>
        <v>Võ Thị Bích Nhật</v>
      </c>
      <c r="J6421" s="3" t="str">
        <f ca="1">IFERROR(__xludf.DUMMYFUNCTION("""COMPUTED_VALUE"""),"0915788143")</f>
        <v>0915788143</v>
      </c>
      <c r="K6421" s="2">
        <f ca="1">IFERROR(__xludf.DUMMYFUNCTION("""COMPUTED_VALUE"""),1763464865441)</f>
        <v>1763464865441</v>
      </c>
    </row>
    <row r="6422" spans="1:11" ht="12.45">
      <c r="A6422" s="2">
        <f ca="1">IFERROR(__xludf.DUMMYFUNCTION("""COMPUTED_VALUE"""),1753542725961)</f>
        <v>1753542725961</v>
      </c>
      <c r="B6422" s="2"/>
      <c r="C6422" s="2" t="str">
        <v>0</v>
      </c>
      <c r="D6422" s="2"/>
      <c r="F6422" s="2" t="str">
        <v>0</v>
      </c>
      <c r="I6422" s="3" t="str">
        <f ca="1">IFERROR(__xludf.DUMMYFUNCTION("""COMPUTED_VALUE"""),"Hứa Thanh Vân ")</f>
        <v xml:space="preserve">Hứa Thanh Vân </v>
      </c>
      <c r="J6422" s="3" t="str">
        <f ca="1">IFERROR(__xludf.DUMMYFUNCTION("""COMPUTED_VALUE"""),"0388508832")</f>
        <v>0388508832</v>
      </c>
      <c r="K6422" s="2">
        <f ca="1">IFERROR(__xludf.DUMMYFUNCTION("""COMPUTED_VALUE"""),1753542725961)</f>
        <v>1753542725961</v>
      </c>
    </row>
    <row r="6423" spans="1:11" ht="12.45">
      <c r="A6423" s="2">
        <f ca="1">IFERROR(__xludf.DUMMYFUNCTION("""COMPUTED_VALUE"""),1753545041379)</f>
        <v>1753545041379</v>
      </c>
      <c r="B6423" s="2"/>
      <c r="C6423" s="2" t="str">
        <v>0</v>
      </c>
      <c r="D6423" s="2"/>
      <c r="F6423" s="2" t="str">
        <v>0</v>
      </c>
      <c r="I6423" s="3" t="str">
        <f ca="1">IFERROR(__xludf.DUMMYFUNCTION("""COMPUTED_VALUE"""),"Bùi Xuân Lộc")</f>
        <v>Bùi Xuân Lộc</v>
      </c>
      <c r="J6423" s="3" t="str">
        <f ca="1">IFERROR(__xludf.DUMMYFUNCTION("""COMPUTED_VALUE"""),"0905017589")</f>
        <v>0905017589</v>
      </c>
      <c r="K6423" s="2">
        <f ca="1">IFERROR(__xludf.DUMMYFUNCTION("""COMPUTED_VALUE"""),1753545041379)</f>
        <v>1753545041379</v>
      </c>
    </row>
    <row r="6424" spans="1:11" ht="12.45">
      <c r="A6424" s="2">
        <f ca="1">IFERROR(__xludf.DUMMYFUNCTION("""COMPUTED_VALUE"""),1753545107385)</f>
        <v>1753545107385</v>
      </c>
      <c r="B6424" s="2"/>
      <c r="C6424" s="2" t="str">
        <v>0</v>
      </c>
      <c r="D6424" s="2"/>
      <c r="F6424" s="2" t="str">
        <v>0</v>
      </c>
      <c r="I6424" s="3" t="str">
        <f ca="1">IFERROR(__xludf.DUMMYFUNCTION("""COMPUTED_VALUE"""),"Bùi Việt Trung")</f>
        <v>Bùi Việt Trung</v>
      </c>
      <c r="J6424" s="3" t="str">
        <f ca="1">IFERROR(__xludf.DUMMYFUNCTION("""COMPUTED_VALUE"""),"0384426218")</f>
        <v>0384426218</v>
      </c>
      <c r="K6424" s="2">
        <f ca="1">IFERROR(__xludf.DUMMYFUNCTION("""COMPUTED_VALUE"""),1753545107385)</f>
        <v>1753545107385</v>
      </c>
    </row>
    <row r="6425" spans="1:11" ht="12.45">
      <c r="A6425" s="2">
        <f ca="1">IFERROR(__xludf.DUMMYFUNCTION("""COMPUTED_VALUE"""),1753545153024)</f>
        <v>1753545153024</v>
      </c>
      <c r="B6425" s="2"/>
      <c r="C6425" s="2" t="str">
        <v>0</v>
      </c>
      <c r="D6425" s="2"/>
      <c r="F6425" s="2" t="str">
        <v>0</v>
      </c>
      <c r="I6425" s="3" t="str">
        <f ca="1">IFERROR(__xludf.DUMMYFUNCTION("""COMPUTED_VALUE"""),"Phí Ngọc Mai Trang")</f>
        <v>Phí Ngọc Mai Trang</v>
      </c>
      <c r="J6425" s="3" t="str">
        <f ca="1">IFERROR(__xludf.DUMMYFUNCTION("""COMPUTED_VALUE"""),"0399704260")</f>
        <v>0399704260</v>
      </c>
      <c r="K6425" s="2">
        <f ca="1">IFERROR(__xludf.DUMMYFUNCTION("""COMPUTED_VALUE"""),1753545153024)</f>
        <v>1753545153024</v>
      </c>
    </row>
    <row r="6426" spans="1:11" ht="12.45">
      <c r="A6426" s="2">
        <f ca="1">IFERROR(__xludf.DUMMYFUNCTION("""COMPUTED_VALUE"""),1753545201291)</f>
        <v>1753545201291</v>
      </c>
      <c r="B6426" s="2"/>
      <c r="C6426" s="2" t="str">
        <v>0</v>
      </c>
      <c r="D6426" s="2"/>
      <c r="F6426" s="2" t="str">
        <v>0</v>
      </c>
      <c r="I6426" s="3" t="str">
        <f ca="1">IFERROR(__xludf.DUMMYFUNCTION("""COMPUTED_VALUE"""),"Trần Phương Anh")</f>
        <v>Trần Phương Anh</v>
      </c>
      <c r="J6426" s="3" t="str">
        <f ca="1">IFERROR(__xludf.DUMMYFUNCTION("""COMPUTED_VALUE"""),"0965793369")</f>
        <v>0965793369</v>
      </c>
      <c r="K6426" s="2">
        <f ca="1">IFERROR(__xludf.DUMMYFUNCTION("""COMPUTED_VALUE"""),1753545201291)</f>
        <v>1753545201291</v>
      </c>
    </row>
    <row r="6427" spans="1:11" ht="12.45">
      <c r="A6427" s="2">
        <f ca="1">IFERROR(__xludf.DUMMYFUNCTION("""COMPUTED_VALUE"""),1753545249833)</f>
        <v>1753545249833</v>
      </c>
      <c r="B6427" s="2"/>
      <c r="C6427" s="2" t="str">
        <v>0</v>
      </c>
      <c r="D6427" s="2"/>
      <c r="F6427" s="2" t="str">
        <v>0</v>
      </c>
      <c r="I6427" s="3" t="str">
        <f ca="1">IFERROR(__xludf.DUMMYFUNCTION("""COMPUTED_VALUE"""),"Nguyễn Thị Lan Anh ")</f>
        <v xml:space="preserve">Nguyễn Thị Lan Anh </v>
      </c>
      <c r="J6427" s="3" t="str">
        <f ca="1">IFERROR(__xludf.DUMMYFUNCTION("""COMPUTED_VALUE"""),"8481446877")</f>
        <v>8481446877</v>
      </c>
      <c r="K6427" s="2">
        <f ca="1">IFERROR(__xludf.DUMMYFUNCTION("""COMPUTED_VALUE"""),1753545249833)</f>
        <v>1753545249833</v>
      </c>
    </row>
    <row r="6428" spans="1:11" ht="12.45">
      <c r="A6428" s="2">
        <f ca="1">IFERROR(__xludf.DUMMYFUNCTION("""COMPUTED_VALUE"""),1753545304648)</f>
        <v>1753545304648</v>
      </c>
      <c r="B6428" s="2"/>
      <c r="C6428" s="2" t="str">
        <v>0</v>
      </c>
      <c r="D6428" s="2"/>
      <c r="F6428" s="2" t="str">
        <v>0</v>
      </c>
      <c r="I6428" s="3" t="str">
        <f ca="1">IFERROR(__xludf.DUMMYFUNCTION("""COMPUTED_VALUE"""),"PHẠM THẢO NGUYÊN ")</f>
        <v xml:space="preserve">PHẠM THẢO NGUYÊN </v>
      </c>
      <c r="J6428" s="3" t="str">
        <f ca="1">IFERROR(__xludf.DUMMYFUNCTION("""COMPUTED_VALUE"""),"0981405997")</f>
        <v>0981405997</v>
      </c>
      <c r="K6428" s="2">
        <f ca="1">IFERROR(__xludf.DUMMYFUNCTION("""COMPUTED_VALUE"""),1753545304648)</f>
        <v>1753545304648</v>
      </c>
    </row>
    <row r="6429" spans="1:11" ht="12.45">
      <c r="A6429" s="2">
        <f ca="1">IFERROR(__xludf.DUMMYFUNCTION("""COMPUTED_VALUE"""),1753545357242)</f>
        <v>1753545357242</v>
      </c>
      <c r="B6429" s="2"/>
      <c r="C6429" s="2" t="str">
        <v>0</v>
      </c>
      <c r="D6429" s="2"/>
      <c r="F6429" s="2" t="str">
        <v>0</v>
      </c>
      <c r="I6429" s="3" t="str">
        <f ca="1">IFERROR(__xludf.DUMMYFUNCTION("""COMPUTED_VALUE"""),"NGUYỄN THỊ HỒNG MINH ")</f>
        <v xml:space="preserve">NGUYỄN THỊ HỒNG MINH </v>
      </c>
      <c r="J6429" s="3" t="str">
        <f ca="1">IFERROR(__xludf.DUMMYFUNCTION("""COMPUTED_VALUE"""),"0375804857")</f>
        <v>0375804857</v>
      </c>
      <c r="K6429" s="2">
        <f ca="1">IFERROR(__xludf.DUMMYFUNCTION("""COMPUTED_VALUE"""),1753545357242)</f>
        <v>1753545357242</v>
      </c>
    </row>
    <row r="6430" spans="1:11" ht="12.45">
      <c r="A6430" s="2">
        <f ca="1">IFERROR(__xludf.DUMMYFUNCTION("""COMPUTED_VALUE"""),1753545401687)</f>
        <v>1753545401687</v>
      </c>
      <c r="B6430" s="2"/>
      <c r="C6430" s="2" t="str">
        <v>0</v>
      </c>
      <c r="D6430" s="2"/>
      <c r="F6430" s="2" t="str">
        <v>0</v>
      </c>
      <c r="I6430" s="3" t="str">
        <f ca="1">IFERROR(__xludf.DUMMYFUNCTION("""COMPUTED_VALUE"""),"Đỗ Thị Nhật Anh")</f>
        <v>Đỗ Thị Nhật Anh</v>
      </c>
      <c r="J6430" s="3" t="str">
        <f ca="1">IFERROR(__xludf.DUMMYFUNCTION("""COMPUTED_VALUE"""),"0392509662")</f>
        <v>0392509662</v>
      </c>
      <c r="K6430" s="2">
        <f ca="1">IFERROR(__xludf.DUMMYFUNCTION("""COMPUTED_VALUE"""),1753545401687)</f>
        <v>1753545401687</v>
      </c>
    </row>
    <row r="6431" spans="1:11" ht="12.45">
      <c r="A6431" s="2">
        <f ca="1">IFERROR(__xludf.DUMMYFUNCTION("""COMPUTED_VALUE"""),1753545452513)</f>
        <v>1753545452513</v>
      </c>
      <c r="B6431" s="2"/>
      <c r="C6431" s="2" t="str">
        <v>0</v>
      </c>
      <c r="D6431" s="2"/>
      <c r="F6431" s="2" t="str">
        <v>0</v>
      </c>
      <c r="I6431" s="3" t="str">
        <f ca="1">IFERROR(__xludf.DUMMYFUNCTION("""COMPUTED_VALUE"""),"Trần Thị Yến Nhi")</f>
        <v>Trần Thị Yến Nhi</v>
      </c>
      <c r="J6431" s="3" t="str">
        <f ca="1">IFERROR(__xludf.DUMMYFUNCTION("""COMPUTED_VALUE"""),"0329231751")</f>
        <v>0329231751</v>
      </c>
      <c r="K6431" s="2">
        <f ca="1">IFERROR(__xludf.DUMMYFUNCTION("""COMPUTED_VALUE"""),1753545452513)</f>
        <v>1753545452513</v>
      </c>
    </row>
    <row r="6432" spans="1:11" ht="12.45">
      <c r="A6432" s="2">
        <f ca="1">IFERROR(__xludf.DUMMYFUNCTION("""COMPUTED_VALUE"""),1753545492213)</f>
        <v>1753545492213</v>
      </c>
      <c r="B6432" s="2"/>
      <c r="C6432" s="2" t="str">
        <v>0</v>
      </c>
      <c r="D6432" s="2"/>
      <c r="F6432" s="2" t="str">
        <v>0</v>
      </c>
      <c r="I6432" s="3" t="str">
        <f ca="1">IFERROR(__xludf.DUMMYFUNCTION("""COMPUTED_VALUE"""),"Nguyễn Dân An")</f>
        <v>Nguyễn Dân An</v>
      </c>
      <c r="J6432" s="3" t="str">
        <f ca="1">IFERROR(__xludf.DUMMYFUNCTION("""COMPUTED_VALUE"""),"0848633029")</f>
        <v>0848633029</v>
      </c>
      <c r="K6432" s="2">
        <f ca="1">IFERROR(__xludf.DUMMYFUNCTION("""COMPUTED_VALUE"""),1753545492213)</f>
        <v>1753545492213</v>
      </c>
    </row>
    <row r="6433" spans="1:11" ht="12.45">
      <c r="A6433" s="2">
        <f ca="1">IFERROR(__xludf.DUMMYFUNCTION("""COMPUTED_VALUE"""),1753545540657)</f>
        <v>1753545540657</v>
      </c>
      <c r="B6433" s="2"/>
      <c r="C6433" s="2" t="str">
        <v>0</v>
      </c>
      <c r="D6433" s="2"/>
      <c r="F6433" s="2" t="str">
        <v>0</v>
      </c>
      <c r="I6433" s="3" t="str">
        <f ca="1">IFERROR(__xludf.DUMMYFUNCTION("""COMPUTED_VALUE"""),"Đặng Thúy Hân")</f>
        <v>Đặng Thúy Hân</v>
      </c>
      <c r="J6433" s="3" t="str">
        <f ca="1">IFERROR(__xludf.DUMMYFUNCTION("""COMPUTED_VALUE"""),"0973728251")</f>
        <v>0973728251</v>
      </c>
      <c r="K6433" s="2">
        <f ca="1">IFERROR(__xludf.DUMMYFUNCTION("""COMPUTED_VALUE"""),1753545540657)</f>
        <v>1753545540657</v>
      </c>
    </row>
    <row r="6434" spans="1:11" ht="12.45">
      <c r="A6434" s="2">
        <f ca="1">IFERROR(__xludf.DUMMYFUNCTION("""COMPUTED_VALUE"""),1753545594670)</f>
        <v>1753545594670</v>
      </c>
      <c r="B6434" s="2"/>
      <c r="C6434" s="2" t="str">
        <v>0</v>
      </c>
      <c r="D6434" s="2"/>
      <c r="F6434" s="2" t="str">
        <v>0</v>
      </c>
      <c r="I6434" s="3" t="str">
        <f ca="1">IFERROR(__xludf.DUMMYFUNCTION("""COMPUTED_VALUE"""),"Phan Nguyễn Như Ngọc ")</f>
        <v xml:space="preserve">Phan Nguyễn Như Ngọc </v>
      </c>
      <c r="J6434" s="3" t="str">
        <f ca="1">IFERROR(__xludf.DUMMYFUNCTION("""COMPUTED_VALUE"""),"0702591575")</f>
        <v>0702591575</v>
      </c>
      <c r="K6434" s="2">
        <f ca="1">IFERROR(__xludf.DUMMYFUNCTION("""COMPUTED_VALUE"""),1753545594670)</f>
        <v>1753545594670</v>
      </c>
    </row>
    <row r="6435" spans="1:11" ht="12.45">
      <c r="A6435" s="2">
        <f ca="1">IFERROR(__xludf.DUMMYFUNCTION("""COMPUTED_VALUE"""),1753545688675)</f>
        <v>1753545688675</v>
      </c>
      <c r="B6435" s="2"/>
      <c r="C6435" s="2" t="str">
        <v>0</v>
      </c>
      <c r="D6435" s="2"/>
      <c r="F6435" s="2" t="str">
        <v>0</v>
      </c>
      <c r="I6435" s="3" t="str">
        <f ca="1">IFERROR(__xludf.DUMMYFUNCTION("""COMPUTED_VALUE"""),"Trương Thị Yến Vy ")</f>
        <v xml:space="preserve">Trương Thị Yến Vy </v>
      </c>
      <c r="J6435" s="3" t="str">
        <f ca="1">IFERROR(__xludf.DUMMYFUNCTION("""COMPUTED_VALUE"""),"0941943825")</f>
        <v>0941943825</v>
      </c>
      <c r="K6435" s="2">
        <f ca="1">IFERROR(__xludf.DUMMYFUNCTION("""COMPUTED_VALUE"""),1753545688675)</f>
        <v>1753545688675</v>
      </c>
    </row>
    <row r="6436" spans="1:11" ht="12.45">
      <c r="A6436" s="2">
        <f ca="1">IFERROR(__xludf.DUMMYFUNCTION("""COMPUTED_VALUE"""),1753545751799)</f>
        <v>1753545751799</v>
      </c>
      <c r="B6436" s="2"/>
      <c r="C6436" s="2" t="str">
        <v>0</v>
      </c>
      <c r="D6436" s="2"/>
      <c r="F6436" s="2" t="str">
        <v>0</v>
      </c>
      <c r="I6436" s="3" t="str">
        <f ca="1">IFERROR(__xludf.DUMMYFUNCTION("""COMPUTED_VALUE"""),"Nguyễn Khánh Thy")</f>
        <v>Nguyễn Khánh Thy</v>
      </c>
      <c r="J6436" s="3" t="str">
        <f ca="1">IFERROR(__xludf.DUMMYFUNCTION("""COMPUTED_VALUE"""),"0944103233")</f>
        <v>0944103233</v>
      </c>
      <c r="K6436" s="2">
        <f ca="1">IFERROR(__xludf.DUMMYFUNCTION("""COMPUTED_VALUE"""),1753545751799)</f>
        <v>1753545751799</v>
      </c>
    </row>
    <row r="6437" spans="1:11" ht="12.45">
      <c r="A6437" s="2" t="str">
        <f ca="1">IFERROR(__xludf.DUMMYFUNCTION("""COMPUTED_VALUE"""),"1762742790029")</f>
        <v>1762742790029</v>
      </c>
      <c r="B6437" s="2"/>
      <c r="C6437" s="2" t="str">
        <v>0</v>
      </c>
      <c r="D6437" s="2"/>
      <c r="F6437" s="2" t="str">
        <v>0</v>
      </c>
      <c r="I6437" s="3" t="str">
        <f ca="1">IFERROR(__xludf.DUMMYFUNCTION("""COMPUTED_VALUE"""),"Nguyễn Thị Phương Dung ")</f>
        <v xml:space="preserve">Nguyễn Thị Phương Dung </v>
      </c>
      <c r="J6437" s="3" t="str">
        <f ca="1">IFERROR(__xludf.DUMMYFUNCTION("""COMPUTED_VALUE"""),"0343940268")</f>
        <v>0343940268</v>
      </c>
      <c r="K6437" s="2" t="str">
        <f ca="1">IFERROR(__xludf.DUMMYFUNCTION("""COMPUTED_VALUE"""),"1762742790029")</f>
        <v>1762742790029</v>
      </c>
    </row>
    <row r="6438" spans="1:11" ht="12.45">
      <c r="A6438" s="2" t="str">
        <f ca="1">IFERROR(__xludf.DUMMYFUNCTION("""COMPUTED_VALUE"""),"1762742849992")</f>
        <v>1762742849992</v>
      </c>
      <c r="B6438" s="2"/>
      <c r="C6438" s="2" t="str">
        <v>0</v>
      </c>
      <c r="D6438" s="2"/>
      <c r="F6438" s="2" t="str">
        <v>0</v>
      </c>
      <c r="I6438" s="3" t="str">
        <f ca="1">IFERROR(__xludf.DUMMYFUNCTION("""COMPUTED_VALUE"""),"Hoàng Thị Kim Loan")</f>
        <v>Hoàng Thị Kim Loan</v>
      </c>
      <c r="J6438" s="3" t="str">
        <f ca="1">IFERROR(__xludf.DUMMYFUNCTION("""COMPUTED_VALUE"""),"0343641974")</f>
        <v>0343641974</v>
      </c>
      <c r="K6438" s="2" t="str">
        <f ca="1">IFERROR(__xludf.DUMMYFUNCTION("""COMPUTED_VALUE"""),"1762742849992")</f>
        <v>1762742849992</v>
      </c>
    </row>
    <row r="6439" spans="1:11" ht="12.45">
      <c r="A6439" s="2" t="str">
        <f ca="1">IFERROR(__xludf.DUMMYFUNCTION("""COMPUTED_VALUE"""),"1762742910210")</f>
        <v>1762742910210</v>
      </c>
      <c r="B6439" s="2"/>
      <c r="C6439" s="2" t="str">
        <v>0</v>
      </c>
      <c r="D6439" s="2"/>
      <c r="F6439" s="2" t="str">
        <v>0</v>
      </c>
      <c r="I6439" s="3" t="str">
        <f ca="1">IFERROR(__xludf.DUMMYFUNCTION("""COMPUTED_VALUE"""),"Trần Thị Quỳnh Anh ")</f>
        <v xml:space="preserve">Trần Thị Quỳnh Anh </v>
      </c>
      <c r="J6439" s="3" t="str">
        <f ca="1">IFERROR(__xludf.DUMMYFUNCTION("""COMPUTED_VALUE"""),"0968868478")</f>
        <v>0968868478</v>
      </c>
      <c r="K6439" s="2" t="str">
        <f ca="1">IFERROR(__xludf.DUMMYFUNCTION("""COMPUTED_VALUE"""),"1762742910210")</f>
        <v>1762742910210</v>
      </c>
    </row>
    <row r="6440" spans="1:11" ht="12.45">
      <c r="A6440" s="2" t="str">
        <f ca="1">IFERROR(__xludf.DUMMYFUNCTION("""COMPUTED_VALUE"""),"1762742969203")</f>
        <v>1762742969203</v>
      </c>
      <c r="B6440" s="2"/>
      <c r="C6440" s="2" t="str">
        <v>0</v>
      </c>
      <c r="D6440" s="2"/>
      <c r="F6440" s="2" t="str">
        <v>0</v>
      </c>
      <c r="I6440" s="3" t="str">
        <f ca="1">IFERROR(__xludf.DUMMYFUNCTION("""COMPUTED_VALUE"""),"Phạm Thị Tây Thi")</f>
        <v>Phạm Thị Tây Thi</v>
      </c>
      <c r="J6440" s="3" t="str">
        <f ca="1">IFERROR(__xludf.DUMMYFUNCTION("""COMPUTED_VALUE"""),"0367669587")</f>
        <v>0367669587</v>
      </c>
      <c r="K6440" s="2" t="str">
        <f ca="1">IFERROR(__xludf.DUMMYFUNCTION("""COMPUTED_VALUE"""),"1762742969203")</f>
        <v>1762742969203</v>
      </c>
    </row>
    <row r="6441" spans="1:11" ht="12.45">
      <c r="A6441" s="2" t="str">
        <f ca="1">IFERROR(__xludf.DUMMYFUNCTION("""COMPUTED_VALUE"""),"Không giao sách")</f>
        <v>Không giao sách</v>
      </c>
      <c r="B6441" s="2"/>
      <c r="C6441" s="2" t="str">
        <v>0</v>
      </c>
      <c r="D6441" s="2"/>
      <c r="F6441" s="2" t="str">
        <v>0</v>
      </c>
      <c r="I6441" s="3" t="str">
        <f ca="1">IFERROR(__xludf.DUMMYFUNCTION("""COMPUTED_VALUE"""),"Đoàn Gia Ngân")</f>
        <v>Đoàn Gia Ngân</v>
      </c>
      <c r="J6441" s="3" t="str">
        <f ca="1">IFERROR(__xludf.DUMMYFUNCTION("""COMPUTED_VALUE"""),"0356992677")</f>
        <v>0356992677</v>
      </c>
      <c r="K6441" s="2" t="str">
        <f ca="1">IFERROR(__xludf.DUMMYFUNCTION("""COMPUTED_VALUE"""),"Không giao sách")</f>
        <v>Không giao sách</v>
      </c>
    </row>
    <row r="6442" spans="1:11" ht="12.45">
      <c r="A6442" s="2" t="str">
        <f ca="1">IFERROR(__xludf.DUMMYFUNCTION("""COMPUTED_VALUE"""),"1762743022938")</f>
        <v>1762743022938</v>
      </c>
      <c r="B6442" s="2"/>
      <c r="C6442" s="2" t="str">
        <v>0</v>
      </c>
      <c r="D6442" s="2"/>
      <c r="F6442" s="2" t="str">
        <v>0</v>
      </c>
      <c r="I6442" s="3" t="str">
        <f ca="1">IFERROR(__xludf.DUMMYFUNCTION("""COMPUTED_VALUE"""),"Nguyễn Thuỳ Dung")</f>
        <v>Nguyễn Thuỳ Dung</v>
      </c>
      <c r="J6442" s="3" t="str">
        <f ca="1">IFERROR(__xludf.DUMMYFUNCTION("""COMPUTED_VALUE"""),"0865238978")</f>
        <v>0865238978</v>
      </c>
      <c r="K6442" s="2" t="str">
        <f ca="1">IFERROR(__xludf.DUMMYFUNCTION("""COMPUTED_VALUE"""),"1762743022938")</f>
        <v>1762743022938</v>
      </c>
    </row>
    <row r="6443" spans="1:11" ht="12.45">
      <c r="A6443" s="2" t="str">
        <f ca="1">IFERROR(__xludf.DUMMYFUNCTION("""COMPUTED_VALUE"""),"1762743061657")</f>
        <v>1762743061657</v>
      </c>
      <c r="B6443" s="2"/>
      <c r="C6443" s="2" t="str">
        <v>0</v>
      </c>
      <c r="D6443" s="2"/>
      <c r="F6443" s="2" t="str">
        <v>0</v>
      </c>
      <c r="I6443" s="3" t="str">
        <f ca="1">IFERROR(__xludf.DUMMYFUNCTION("""COMPUTED_VALUE"""),"Phạm Thu Huyền")</f>
        <v>Phạm Thu Huyền</v>
      </c>
      <c r="J6443" s="3" t="str">
        <f ca="1">IFERROR(__xludf.DUMMYFUNCTION("""COMPUTED_VALUE"""),"0327142941")</f>
        <v>0327142941</v>
      </c>
      <c r="K6443" s="2" t="str">
        <f ca="1">IFERROR(__xludf.DUMMYFUNCTION("""COMPUTED_VALUE"""),"1762743061657")</f>
        <v>1762743061657</v>
      </c>
    </row>
    <row r="6444" spans="1:11" ht="12.45">
      <c r="A6444" s="2" t="str">
        <f ca="1">IFERROR(__xludf.DUMMYFUNCTION("""COMPUTED_VALUE"""),"Không giao sách")</f>
        <v>Không giao sách</v>
      </c>
      <c r="B6444" s="2"/>
      <c r="C6444" s="2" t="str">
        <v>0</v>
      </c>
      <c r="D6444" s="2"/>
      <c r="F6444" s="2" t="str">
        <v>0</v>
      </c>
      <c r="I6444" s="3" t="str">
        <f ca="1">IFERROR(__xludf.DUMMYFUNCTION("""COMPUTED_VALUE"""),"Nguyễn Thị Nhật Trinh")</f>
        <v>Nguyễn Thị Nhật Trinh</v>
      </c>
      <c r="J6444" s="3" t="str">
        <f ca="1">IFERROR(__xludf.DUMMYFUNCTION("""COMPUTED_VALUE"""),"0369090238")</f>
        <v>0369090238</v>
      </c>
      <c r="K6444" s="2" t="str">
        <f ca="1">IFERROR(__xludf.DUMMYFUNCTION("""COMPUTED_VALUE"""),"Không giao sách")</f>
        <v>Không giao sách</v>
      </c>
    </row>
    <row r="6445" spans="1:11" ht="12.45">
      <c r="A6445" s="2" t="str">
        <f ca="1">IFERROR(__xludf.DUMMYFUNCTION("""COMPUTED_VALUE"""),"1762743132853")</f>
        <v>1762743132853</v>
      </c>
      <c r="B6445" s="2"/>
      <c r="C6445" s="2" t="str">
        <v>0</v>
      </c>
      <c r="D6445" s="2"/>
      <c r="F6445" s="2" t="str">
        <v>0</v>
      </c>
      <c r="I6445" s="3" t="str">
        <f ca="1">IFERROR(__xludf.DUMMYFUNCTION("""COMPUTED_VALUE"""),"Đinh Thị Hương Hạnh ")</f>
        <v xml:space="preserve">Đinh Thị Hương Hạnh </v>
      </c>
      <c r="J6445" s="3" t="str">
        <f ca="1">IFERROR(__xludf.DUMMYFUNCTION("""COMPUTED_VALUE"""),"0986752823")</f>
        <v>0986752823</v>
      </c>
      <c r="K6445" s="2" t="str">
        <f ca="1">IFERROR(__xludf.DUMMYFUNCTION("""COMPUTED_VALUE"""),"1762743132853")</f>
        <v>1762743132853</v>
      </c>
    </row>
    <row r="6446" spans="1:11" ht="12.45">
      <c r="A6446" s="2" t="str">
        <f ca="1">IFERROR(__xludf.DUMMYFUNCTION("""COMPUTED_VALUE"""),"1762743172227")</f>
        <v>1762743172227</v>
      </c>
      <c r="B6446" s="2"/>
      <c r="C6446" s="2" t="str">
        <v>0</v>
      </c>
      <c r="D6446" s="2"/>
      <c r="F6446" s="2" t="str">
        <v>0</v>
      </c>
      <c r="I6446" s="3" t="str">
        <f ca="1">IFERROR(__xludf.DUMMYFUNCTION("""COMPUTED_VALUE"""),"Hoàng Vũ Thị Mai Phương ")</f>
        <v xml:space="preserve">Hoàng Vũ Thị Mai Phương </v>
      </c>
      <c r="J6446" s="3" t="str">
        <f ca="1">IFERROR(__xludf.DUMMYFUNCTION("""COMPUTED_VALUE"""),"0909999701")</f>
        <v>0909999701</v>
      </c>
      <c r="K6446" s="2" t="str">
        <f ca="1">IFERROR(__xludf.DUMMYFUNCTION("""COMPUTED_VALUE"""),"1762743172227")</f>
        <v>1762743172227</v>
      </c>
    </row>
    <row r="6447" spans="1:11" ht="12.45">
      <c r="A6447" s="2" t="str">
        <f ca="1">IFERROR(__xludf.DUMMYFUNCTION("""COMPUTED_VALUE"""),"Không giao sách")</f>
        <v>Không giao sách</v>
      </c>
      <c r="B6447" s="2"/>
      <c r="C6447" s="2" t="str">
        <v>0</v>
      </c>
      <c r="D6447" s="2"/>
      <c r="F6447" s="2" t="str">
        <v>0</v>
      </c>
      <c r="I6447" s="3" t="str">
        <f ca="1">IFERROR(__xludf.DUMMYFUNCTION("""COMPUTED_VALUE"""),"Tô Xuân Duy")</f>
        <v>Tô Xuân Duy</v>
      </c>
      <c r="J6447" s="3" t="str">
        <f ca="1">IFERROR(__xludf.DUMMYFUNCTION("""COMPUTED_VALUE"""),"0356462192")</f>
        <v>0356462192</v>
      </c>
      <c r="K6447" s="2" t="str">
        <f ca="1">IFERROR(__xludf.DUMMYFUNCTION("""COMPUTED_VALUE"""),"Không giao sách")</f>
        <v>Không giao sách</v>
      </c>
    </row>
    <row r="6448" spans="1:11" ht="12.45">
      <c r="A6448" s="2" t="str">
        <f ca="1">IFERROR(__xludf.DUMMYFUNCTION("""COMPUTED_VALUE"""),"1762743223690")</f>
        <v>1762743223690</v>
      </c>
      <c r="B6448" s="2"/>
      <c r="C6448" s="2" t="str">
        <v>0</v>
      </c>
      <c r="D6448" s="2"/>
      <c r="F6448" s="2" t="str">
        <v>0</v>
      </c>
      <c r="I6448" s="3" t="str">
        <f ca="1">IFERROR(__xludf.DUMMYFUNCTION("""COMPUTED_VALUE"""),"Khúc Thiên Ngân")</f>
        <v>Khúc Thiên Ngân</v>
      </c>
      <c r="J6448" s="3" t="str">
        <f ca="1">IFERROR(__xludf.DUMMYFUNCTION("""COMPUTED_VALUE"""),"0797031936")</f>
        <v>0797031936</v>
      </c>
      <c r="K6448" s="2" t="str">
        <f ca="1">IFERROR(__xludf.DUMMYFUNCTION("""COMPUTED_VALUE"""),"1762743223690")</f>
        <v>1762743223690</v>
      </c>
    </row>
    <row r="6449" spans="1:11" ht="12.45">
      <c r="A6449" s="2" t="str">
        <f ca="1">IFERROR(__xludf.DUMMYFUNCTION("""COMPUTED_VALUE"""),"1762743279348")</f>
        <v>1762743279348</v>
      </c>
      <c r="B6449" s="2"/>
      <c r="C6449" s="2" t="str">
        <v>0</v>
      </c>
      <c r="D6449" s="2"/>
      <c r="F6449" s="2" t="str">
        <v>0</v>
      </c>
      <c r="I6449" s="3" t="str">
        <f ca="1">IFERROR(__xludf.DUMMYFUNCTION("""COMPUTED_VALUE"""),"Lê Thị Mỹ Hoa ")</f>
        <v xml:space="preserve">Lê Thị Mỹ Hoa </v>
      </c>
      <c r="J6449" s="3" t="str">
        <f ca="1">IFERROR(__xludf.DUMMYFUNCTION("""COMPUTED_VALUE"""),"0336155213")</f>
        <v>0336155213</v>
      </c>
      <c r="K6449" s="2" t="str">
        <f ca="1">IFERROR(__xludf.DUMMYFUNCTION("""COMPUTED_VALUE"""),"1762743279348")</f>
        <v>1762743279348</v>
      </c>
    </row>
    <row r="6450" spans="1:11" ht="12.45">
      <c r="A6450" s="2" t="str">
        <f ca="1">IFERROR(__xludf.DUMMYFUNCTION("""COMPUTED_VALUE"""),"1762743321564")</f>
        <v>1762743321564</v>
      </c>
      <c r="B6450" s="2"/>
      <c r="C6450" s="2" t="str">
        <v>0</v>
      </c>
      <c r="D6450" s="2"/>
      <c r="F6450" s="2" t="str">
        <v>0</v>
      </c>
      <c r="I6450" s="3" t="str">
        <f ca="1">IFERROR(__xludf.DUMMYFUNCTION("""COMPUTED_VALUE"""),"Hồ Thị Ngọc Huyền")</f>
        <v>Hồ Thị Ngọc Huyền</v>
      </c>
      <c r="J6450" s="3" t="str">
        <f ca="1">IFERROR(__xludf.DUMMYFUNCTION("""COMPUTED_VALUE"""),"0393573567")</f>
        <v>0393573567</v>
      </c>
      <c r="K6450" s="2" t="str">
        <f ca="1">IFERROR(__xludf.DUMMYFUNCTION("""COMPUTED_VALUE"""),"1762743321564")</f>
        <v>1762743321564</v>
      </c>
    </row>
    <row r="6451" spans="1:11" ht="12.45">
      <c r="A6451" s="2" t="str">
        <f ca="1">IFERROR(__xludf.DUMMYFUNCTION("""COMPUTED_VALUE"""),"1762743371124")</f>
        <v>1762743371124</v>
      </c>
      <c r="B6451" s="2"/>
      <c r="C6451" s="2" t="str">
        <v>0</v>
      </c>
      <c r="D6451" s="2"/>
      <c r="F6451" s="2" t="str">
        <v>0</v>
      </c>
      <c r="I6451" s="3" t="str">
        <f ca="1">IFERROR(__xludf.DUMMYFUNCTION("""COMPUTED_VALUE"""),"Nguyễn Thị Mai Hương")</f>
        <v>Nguyễn Thị Mai Hương</v>
      </c>
      <c r="J6451" s="3" t="str">
        <f ca="1">IFERROR(__xludf.DUMMYFUNCTION("""COMPUTED_VALUE"""),"0867796648")</f>
        <v>0867796648</v>
      </c>
      <c r="K6451" s="2" t="str">
        <f ca="1">IFERROR(__xludf.DUMMYFUNCTION("""COMPUTED_VALUE"""),"1762743371124")</f>
        <v>1762743371124</v>
      </c>
    </row>
    <row r="6452" spans="1:11" ht="12.45">
      <c r="A6452" s="2" t="str">
        <f ca="1">IFERROR(__xludf.DUMMYFUNCTION("""COMPUTED_VALUE"""),"1762743421252")</f>
        <v>1762743421252</v>
      </c>
      <c r="B6452" s="2"/>
      <c r="C6452" s="2" t="str">
        <v>0</v>
      </c>
      <c r="D6452" s="2"/>
      <c r="F6452" s="2" t="str">
        <v>0</v>
      </c>
      <c r="I6452" s="3" t="str">
        <f ca="1">IFERROR(__xludf.DUMMYFUNCTION("""COMPUTED_VALUE"""),"Lê Thị Ngọc Dung")</f>
        <v>Lê Thị Ngọc Dung</v>
      </c>
      <c r="J6452" s="3" t="str">
        <f ca="1">IFERROR(__xludf.DUMMYFUNCTION("""COMPUTED_VALUE"""),"0926594841")</f>
        <v>0926594841</v>
      </c>
      <c r="K6452" s="2" t="str">
        <f ca="1">IFERROR(__xludf.DUMMYFUNCTION("""COMPUTED_VALUE"""),"1762743421252")</f>
        <v>1762743421252</v>
      </c>
    </row>
    <row r="6453" spans="1:11" ht="12.45">
      <c r="A6453" s="2" t="str">
        <f ca="1">IFERROR(__xludf.DUMMYFUNCTION("""COMPUTED_VALUE"""),"1762743483891")</f>
        <v>1762743483891</v>
      </c>
      <c r="B6453" s="2"/>
      <c r="C6453" s="2" t="str">
        <v>0</v>
      </c>
      <c r="D6453" s="2"/>
      <c r="F6453" s="2" t="str">
        <v>0</v>
      </c>
      <c r="I6453" s="3" t="str">
        <f ca="1">IFERROR(__xludf.DUMMYFUNCTION("""COMPUTED_VALUE"""),"Lã Ngọc Hà")</f>
        <v>Lã Ngọc Hà</v>
      </c>
      <c r="J6453" s="3" t="str">
        <f ca="1">IFERROR(__xludf.DUMMYFUNCTION("""COMPUTED_VALUE"""),"0949134366")</f>
        <v>0949134366</v>
      </c>
      <c r="K6453" s="2" t="str">
        <f ca="1">IFERROR(__xludf.DUMMYFUNCTION("""COMPUTED_VALUE"""),"1762743483891")</f>
        <v>1762743483891</v>
      </c>
    </row>
    <row r="6454" spans="1:11" ht="12.45">
      <c r="A6454" s="2" t="str">
        <f ca="1">IFERROR(__xludf.DUMMYFUNCTION("""COMPUTED_VALUE"""),"1762743542590")</f>
        <v>1762743542590</v>
      </c>
      <c r="B6454" s="2"/>
      <c r="C6454" s="2" t="str">
        <v>0</v>
      </c>
      <c r="D6454" s="2"/>
      <c r="F6454" s="2" t="str">
        <v>0</v>
      </c>
      <c r="I6454" s="3" t="str">
        <f ca="1">IFERROR(__xludf.DUMMYFUNCTION("""COMPUTED_VALUE"""),"Bùi Thị Thuỳ")</f>
        <v>Bùi Thị Thuỳ</v>
      </c>
      <c r="J6454" s="3" t="str">
        <f ca="1">IFERROR(__xludf.DUMMYFUNCTION("""COMPUTED_VALUE"""),"0386990961")</f>
        <v>0386990961</v>
      </c>
      <c r="K6454" s="2" t="str">
        <f ca="1">IFERROR(__xludf.DUMMYFUNCTION("""COMPUTED_VALUE"""),"1762743542590")</f>
        <v>1762743542590</v>
      </c>
    </row>
    <row r="6455" spans="1:11" ht="12.45">
      <c r="A6455" s="2" t="str">
        <f ca="1">IFERROR(__xludf.DUMMYFUNCTION("""COMPUTED_VALUE"""),"1762743588380")</f>
        <v>1762743588380</v>
      </c>
      <c r="B6455" s="2"/>
      <c r="C6455" s="2" t="str">
        <v>0</v>
      </c>
      <c r="D6455" s="2"/>
      <c r="F6455" s="2" t="str">
        <v>0</v>
      </c>
      <c r="I6455" s="3" t="str">
        <f ca="1">IFERROR(__xludf.DUMMYFUNCTION("""COMPUTED_VALUE"""),"Chu Hoàng Bảo Trân")</f>
        <v>Chu Hoàng Bảo Trân</v>
      </c>
      <c r="J6455" s="3" t="str">
        <f ca="1">IFERROR(__xludf.DUMMYFUNCTION("""COMPUTED_VALUE"""),"0388382577")</f>
        <v>0388382577</v>
      </c>
      <c r="K6455" s="2" t="str">
        <f ca="1">IFERROR(__xludf.DUMMYFUNCTION("""COMPUTED_VALUE"""),"1762743588380")</f>
        <v>1762743588380</v>
      </c>
    </row>
    <row r="6456" spans="1:11" ht="12.45">
      <c r="A6456" s="2" t="str">
        <f ca="1">IFERROR(__xludf.DUMMYFUNCTION("""COMPUTED_VALUE"""),"1762743645549")</f>
        <v>1762743645549</v>
      </c>
      <c r="B6456" s="2"/>
      <c r="C6456" s="2" t="str">
        <v>0</v>
      </c>
      <c r="D6456" s="2"/>
      <c r="F6456" s="2" t="str">
        <v>0</v>
      </c>
      <c r="I6456" s="3" t="str">
        <f ca="1">IFERROR(__xludf.DUMMYFUNCTION("""COMPUTED_VALUE"""),"Nguyễn Ngọc Quỳnh Thư")</f>
        <v>Nguyễn Ngọc Quỳnh Thư</v>
      </c>
      <c r="J6456" s="3" t="str">
        <f ca="1">IFERROR(__xludf.DUMMYFUNCTION("""COMPUTED_VALUE"""),"0933995754")</f>
        <v>0933995754</v>
      </c>
      <c r="K6456" s="2" t="str">
        <f ca="1">IFERROR(__xludf.DUMMYFUNCTION("""COMPUTED_VALUE"""),"1762743645549")</f>
        <v>1762743645549</v>
      </c>
    </row>
    <row r="6457" spans="1:11" ht="12.45">
      <c r="A6457" s="2" t="str">
        <f ca="1">IFERROR(__xludf.DUMMYFUNCTION("""COMPUTED_VALUE"""),"1762743737986")</f>
        <v>1762743737986</v>
      </c>
      <c r="B6457" s="2"/>
      <c r="C6457" s="2" t="str">
        <v>0</v>
      </c>
      <c r="D6457" s="2"/>
      <c r="F6457" s="2" t="str">
        <v>0</v>
      </c>
      <c r="I6457" s="3" t="str">
        <f ca="1">IFERROR(__xludf.DUMMYFUNCTION("""COMPUTED_VALUE"""),"Nguyễn Thị Thúy ")</f>
        <v xml:space="preserve">Nguyễn Thị Thúy </v>
      </c>
      <c r="J6457" s="3" t="str">
        <f ca="1">IFERROR(__xludf.DUMMYFUNCTION("""COMPUTED_VALUE"""),"0869941153")</f>
        <v>0869941153</v>
      </c>
      <c r="K6457" s="2" t="str">
        <f ca="1">IFERROR(__xludf.DUMMYFUNCTION("""COMPUTED_VALUE"""),"1762743737986")</f>
        <v>1762743737986</v>
      </c>
    </row>
    <row r="6458" spans="1:11" ht="12.45">
      <c r="A6458" s="2" t="str">
        <f ca="1">IFERROR(__xludf.DUMMYFUNCTION("""COMPUTED_VALUE"""),"1762743800569")</f>
        <v>1762743800569</v>
      </c>
      <c r="B6458" s="2"/>
      <c r="C6458" s="2" t="str">
        <v>0</v>
      </c>
      <c r="D6458" s="2"/>
      <c r="F6458" s="2" t="str">
        <v>0</v>
      </c>
      <c r="I6458" s="3" t="str">
        <f ca="1">IFERROR(__xludf.DUMMYFUNCTION("""COMPUTED_VALUE"""),"Đỗ Thị Hồng Nhân")</f>
        <v>Đỗ Thị Hồng Nhân</v>
      </c>
      <c r="J6458" s="3" t="str">
        <f ca="1">IFERROR(__xludf.DUMMYFUNCTION("""COMPUTED_VALUE"""),"0364069844")</f>
        <v>0364069844</v>
      </c>
      <c r="K6458" s="2" t="str">
        <f ca="1">IFERROR(__xludf.DUMMYFUNCTION("""COMPUTED_VALUE"""),"1762743800569")</f>
        <v>1762743800569</v>
      </c>
    </row>
    <row r="6459" spans="1:11" ht="12.45">
      <c r="A6459" s="2" t="str">
        <f ca="1">IFERROR(__xludf.DUMMYFUNCTION("""COMPUTED_VALUE"""),"1762743872554")</f>
        <v>1762743872554</v>
      </c>
      <c r="B6459" s="2"/>
      <c r="C6459" s="2" t="str">
        <v>0</v>
      </c>
      <c r="D6459" s="2"/>
      <c r="F6459" s="2" t="str">
        <v>0</v>
      </c>
      <c r="I6459" s="3" t="str">
        <f ca="1">IFERROR(__xludf.DUMMYFUNCTION("""COMPUTED_VALUE"""),"Hồ Thị Hoài Linh")</f>
        <v>Hồ Thị Hoài Linh</v>
      </c>
      <c r="J6459" s="3" t="str">
        <f ca="1">IFERROR(__xludf.DUMMYFUNCTION("""COMPUTED_VALUE"""),"0344756456")</f>
        <v>0344756456</v>
      </c>
      <c r="K6459" s="2" t="str">
        <f ca="1">IFERROR(__xludf.DUMMYFUNCTION("""COMPUTED_VALUE"""),"1762743872554")</f>
        <v>1762743872554</v>
      </c>
    </row>
    <row r="6460" spans="1:11" ht="12.45">
      <c r="A6460" s="2" t="str">
        <f ca="1">IFERROR(__xludf.DUMMYFUNCTION("""COMPUTED_VALUE"""),"1762743926716")</f>
        <v>1762743926716</v>
      </c>
      <c r="B6460" s="2"/>
      <c r="C6460" s="2" t="str">
        <v>0</v>
      </c>
      <c r="D6460" s="2"/>
      <c r="F6460" s="2" t="str">
        <v>0</v>
      </c>
      <c r="I6460" s="3" t="str">
        <f ca="1">IFERROR(__xludf.DUMMYFUNCTION("""COMPUTED_VALUE"""),"nguyễn ngọc yến nhi")</f>
        <v>nguyễn ngọc yến nhi</v>
      </c>
      <c r="J6460" s="3" t="str">
        <f ca="1">IFERROR(__xludf.DUMMYFUNCTION("""COMPUTED_VALUE"""),"0377774668")</f>
        <v>0377774668</v>
      </c>
      <c r="K6460" s="2" t="str">
        <f ca="1">IFERROR(__xludf.DUMMYFUNCTION("""COMPUTED_VALUE"""),"1762743926716")</f>
        <v>1762743926716</v>
      </c>
    </row>
    <row r="6461" spans="1:11" ht="12.45">
      <c r="A6461" s="2" t="str">
        <f ca="1">IFERROR(__xludf.DUMMYFUNCTION("""COMPUTED_VALUE"""),"1762743989916")</f>
        <v>1762743989916</v>
      </c>
      <c r="B6461" s="2"/>
      <c r="C6461" s="2" t="str">
        <v>0</v>
      </c>
      <c r="D6461" s="2"/>
      <c r="F6461" s="2" t="str">
        <v>0</v>
      </c>
      <c r="I6461" s="3" t="str">
        <f ca="1">IFERROR(__xludf.DUMMYFUNCTION("""COMPUTED_VALUE"""),"Nguyễn Thành Trung ")</f>
        <v xml:space="preserve">Nguyễn Thành Trung </v>
      </c>
      <c r="J6461" s="3" t="str">
        <f ca="1">IFERROR(__xludf.DUMMYFUNCTION("""COMPUTED_VALUE"""),"0399228208")</f>
        <v>0399228208</v>
      </c>
      <c r="K6461" s="2" t="str">
        <f ca="1">IFERROR(__xludf.DUMMYFUNCTION("""COMPUTED_VALUE"""),"1762743989916")</f>
        <v>1762743989916</v>
      </c>
    </row>
    <row r="6462" spans="1:11" ht="12.45">
      <c r="A6462" s="2" t="str">
        <f ca="1">IFERROR(__xludf.DUMMYFUNCTION("""COMPUTED_VALUE"""),"1762744043764")</f>
        <v>1762744043764</v>
      </c>
      <c r="B6462" s="2"/>
      <c r="C6462" s="2" t="str">
        <v>0</v>
      </c>
      <c r="D6462" s="2"/>
      <c r="F6462" s="2" t="str">
        <v>0</v>
      </c>
      <c r="I6462" s="3" t="str">
        <f ca="1">IFERROR(__xludf.DUMMYFUNCTION("""COMPUTED_VALUE"""),"Ngô Khánh Linh")</f>
        <v>Ngô Khánh Linh</v>
      </c>
      <c r="J6462" s="3" t="str">
        <f ca="1">IFERROR(__xludf.DUMMYFUNCTION("""COMPUTED_VALUE"""),"0904095163")</f>
        <v>0904095163</v>
      </c>
      <c r="K6462" s="2" t="str">
        <f ca="1">IFERROR(__xludf.DUMMYFUNCTION("""COMPUTED_VALUE"""),"1762744043764")</f>
        <v>1762744043764</v>
      </c>
    </row>
    <row r="6463" spans="1:11" ht="12.45">
      <c r="A6463" s="2" t="str">
        <f ca="1">IFERROR(__xludf.DUMMYFUNCTION("""COMPUTED_VALUE"""),"1762744091727")</f>
        <v>1762744091727</v>
      </c>
      <c r="B6463" s="2"/>
      <c r="C6463" s="2" t="str">
        <v>0</v>
      </c>
      <c r="D6463" s="2"/>
      <c r="F6463" s="2" t="str">
        <v>0</v>
      </c>
      <c r="I6463" s="3" t="str">
        <f ca="1">IFERROR(__xludf.DUMMYFUNCTION("""COMPUTED_VALUE"""),"Phạm Lê Bảo Dung")</f>
        <v>Phạm Lê Bảo Dung</v>
      </c>
      <c r="J6463" s="3" t="str">
        <f ca="1">IFERROR(__xludf.DUMMYFUNCTION("""COMPUTED_VALUE"""),"0899745007")</f>
        <v>0899745007</v>
      </c>
      <c r="K6463" s="2" t="str">
        <f ca="1">IFERROR(__xludf.DUMMYFUNCTION("""COMPUTED_VALUE"""),"1762744091727")</f>
        <v>1762744091727</v>
      </c>
    </row>
    <row r="6464" spans="1:11" ht="12.45">
      <c r="A6464" s="2" t="str">
        <f ca="1">IFERROR(__xludf.DUMMYFUNCTION("""COMPUTED_VALUE"""),"1762744131126")</f>
        <v>1762744131126</v>
      </c>
      <c r="B6464" s="2"/>
      <c r="C6464" s="2" t="str">
        <v>0</v>
      </c>
      <c r="D6464" s="2"/>
      <c r="F6464" s="2" t="str">
        <v>0</v>
      </c>
      <c r="I6464" s="3" t="str">
        <f ca="1">IFERROR(__xludf.DUMMYFUNCTION("""COMPUTED_VALUE"""),"Trần Hà Vi")</f>
        <v>Trần Hà Vi</v>
      </c>
      <c r="J6464" s="3" t="str">
        <f ca="1">IFERROR(__xludf.DUMMYFUNCTION("""COMPUTED_VALUE"""),"0867418911")</f>
        <v>0867418911</v>
      </c>
      <c r="K6464" s="2" t="str">
        <f ca="1">IFERROR(__xludf.DUMMYFUNCTION("""COMPUTED_VALUE"""),"1762744131126")</f>
        <v>1762744131126</v>
      </c>
    </row>
    <row r="6465" spans="1:11" ht="12.45">
      <c r="A6465" s="2" t="str">
        <f ca="1">IFERROR(__xludf.DUMMYFUNCTION("""COMPUTED_VALUE"""),"1762744207605")</f>
        <v>1762744207605</v>
      </c>
      <c r="B6465" s="2"/>
      <c r="C6465" s="2" t="str">
        <v>0</v>
      </c>
      <c r="D6465" s="2"/>
      <c r="F6465" s="2" t="str">
        <v>0</v>
      </c>
      <c r="I6465" s="3" t="str">
        <f ca="1">IFERROR(__xludf.DUMMYFUNCTION("""COMPUTED_VALUE"""),"Vũ Thuỳ Linh ")</f>
        <v xml:space="preserve">Vũ Thuỳ Linh </v>
      </c>
      <c r="J6465" s="3" t="str">
        <f ca="1">IFERROR(__xludf.DUMMYFUNCTION("""COMPUTED_VALUE"""),"0862124082")</f>
        <v>0862124082</v>
      </c>
      <c r="K6465" s="2" t="str">
        <f ca="1">IFERROR(__xludf.DUMMYFUNCTION("""COMPUTED_VALUE"""),"1762744207605")</f>
        <v>1762744207605</v>
      </c>
    </row>
    <row r="6466" spans="1:11" ht="12.45">
      <c r="A6466" s="2" t="str">
        <f ca="1">IFERROR(__xludf.DUMMYFUNCTION("""COMPUTED_VALUE"""),"1762744275739")</f>
        <v>1762744275739</v>
      </c>
      <c r="B6466" s="2"/>
      <c r="C6466" s="2" t="str">
        <v>0</v>
      </c>
      <c r="D6466" s="2"/>
      <c r="F6466" s="2" t="str">
        <v>0</v>
      </c>
      <c r="I6466" s="3" t="str">
        <f ca="1">IFERROR(__xludf.DUMMYFUNCTION("""COMPUTED_VALUE"""),"Lê Diệp Chi")</f>
        <v>Lê Diệp Chi</v>
      </c>
      <c r="J6466" s="3" t="str">
        <f ca="1">IFERROR(__xludf.DUMMYFUNCTION("""COMPUTED_VALUE"""),"0377688728")</f>
        <v>0377688728</v>
      </c>
      <c r="K6466" s="2" t="str">
        <f ca="1">IFERROR(__xludf.DUMMYFUNCTION("""COMPUTED_VALUE"""),"1762744275739")</f>
        <v>1762744275739</v>
      </c>
    </row>
    <row r="6467" spans="1:11" ht="12.45">
      <c r="A6467" s="2" t="str">
        <f ca="1">IFERROR(__xludf.DUMMYFUNCTION("""COMPUTED_VALUE"""),"1762744344380")</f>
        <v>1762744344380</v>
      </c>
      <c r="B6467" s="2"/>
      <c r="C6467" s="2" t="str">
        <v>0</v>
      </c>
      <c r="D6467" s="2"/>
      <c r="F6467" s="2" t="str">
        <v>0</v>
      </c>
      <c r="I6467" s="3" t="str">
        <f ca="1">IFERROR(__xludf.DUMMYFUNCTION("""COMPUTED_VALUE"""),"Nguyễn Đăng Long")</f>
        <v>Nguyễn Đăng Long</v>
      </c>
      <c r="J6467" s="3" t="str">
        <f ca="1">IFERROR(__xludf.DUMMYFUNCTION("""COMPUTED_VALUE"""),"0348347110")</f>
        <v>0348347110</v>
      </c>
      <c r="K6467" s="2" t="str">
        <f ca="1">IFERROR(__xludf.DUMMYFUNCTION("""COMPUTED_VALUE"""),"1762744344380")</f>
        <v>1762744344380</v>
      </c>
    </row>
    <row r="6468" spans="1:11" ht="12.45">
      <c r="A6468" s="2" t="str">
        <f ca="1">IFERROR(__xludf.DUMMYFUNCTION("""COMPUTED_VALUE"""),"1762744406274")</f>
        <v>1762744406274</v>
      </c>
      <c r="B6468" s="2"/>
      <c r="C6468" s="2" t="str">
        <v>0</v>
      </c>
      <c r="D6468" s="2"/>
      <c r="F6468" s="2" t="str">
        <v>0</v>
      </c>
      <c r="I6468" s="3" t="str">
        <f ca="1">IFERROR(__xludf.DUMMYFUNCTION("""COMPUTED_VALUE"""),"Phùng Thị Kiều Trang")</f>
        <v>Phùng Thị Kiều Trang</v>
      </c>
      <c r="J6468" s="3" t="str">
        <f ca="1">IFERROR(__xludf.DUMMYFUNCTION("""COMPUTED_VALUE"""),"0346310454")</f>
        <v>0346310454</v>
      </c>
      <c r="K6468" s="2" t="str">
        <f ca="1">IFERROR(__xludf.DUMMYFUNCTION("""COMPUTED_VALUE"""),"1762744406274")</f>
        <v>1762744406274</v>
      </c>
    </row>
    <row r="6469" spans="1:11" ht="12.45">
      <c r="A6469" s="2" t="str">
        <f ca="1">IFERROR(__xludf.DUMMYFUNCTION("""COMPUTED_VALUE"""),"1762744466921")</f>
        <v>1762744466921</v>
      </c>
      <c r="B6469" s="2"/>
      <c r="C6469" s="2" t="str">
        <v>0</v>
      </c>
      <c r="D6469" s="2"/>
      <c r="F6469" s="2" t="str">
        <v>0</v>
      </c>
      <c r="I6469" s="3" t="str">
        <f ca="1">IFERROR(__xludf.DUMMYFUNCTION("""COMPUTED_VALUE"""),"Nguyễn Đăng Khoa")</f>
        <v>Nguyễn Đăng Khoa</v>
      </c>
      <c r="J6469" s="3" t="str">
        <f ca="1">IFERROR(__xludf.DUMMYFUNCTION("""COMPUTED_VALUE"""),"0767358895")</f>
        <v>0767358895</v>
      </c>
      <c r="K6469" s="2" t="str">
        <f ca="1">IFERROR(__xludf.DUMMYFUNCTION("""COMPUTED_VALUE"""),"1762744466921")</f>
        <v>1762744466921</v>
      </c>
    </row>
    <row r="6470" spans="1:11" ht="12.45">
      <c r="A6470" s="2" t="str">
        <f ca="1">IFERROR(__xludf.DUMMYFUNCTION("""COMPUTED_VALUE"""),"1762744523110")</f>
        <v>1762744523110</v>
      </c>
      <c r="B6470" s="2"/>
      <c r="C6470" s="2" t="str">
        <v>0</v>
      </c>
      <c r="D6470" s="2"/>
      <c r="F6470" s="2" t="str">
        <v>0</v>
      </c>
      <c r="I6470" s="3" t="str">
        <f ca="1">IFERROR(__xludf.DUMMYFUNCTION("""COMPUTED_VALUE"""),"Phạm yến nhi")</f>
        <v>Phạm yến nhi</v>
      </c>
      <c r="J6470" s="3" t="str">
        <f ca="1">IFERROR(__xludf.DUMMYFUNCTION("""COMPUTED_VALUE"""),"0868218848")</f>
        <v>0868218848</v>
      </c>
      <c r="K6470" s="2" t="str">
        <f ca="1">IFERROR(__xludf.DUMMYFUNCTION("""COMPUTED_VALUE"""),"1762744523110")</f>
        <v>1762744523110</v>
      </c>
    </row>
    <row r="6471" spans="1:11" ht="12.45">
      <c r="A6471" s="2" t="str">
        <f ca="1">IFERROR(__xludf.DUMMYFUNCTION("""COMPUTED_VALUE"""),"1762744598527")</f>
        <v>1762744598527</v>
      </c>
      <c r="B6471" s="2"/>
      <c r="C6471" s="2" t="str">
        <v>0</v>
      </c>
      <c r="D6471" s="2"/>
      <c r="F6471" s="2" t="str">
        <v>0</v>
      </c>
      <c r="I6471" s="3" t="str">
        <f ca="1">IFERROR(__xludf.DUMMYFUNCTION("""COMPUTED_VALUE"""),"Nguyễn thị hương giang")</f>
        <v>Nguyễn thị hương giang</v>
      </c>
      <c r="J6471" s="3" t="str">
        <f ca="1">IFERROR(__xludf.DUMMYFUNCTION("""COMPUTED_VALUE"""),"0363416170")</f>
        <v>0363416170</v>
      </c>
      <c r="K6471" s="2" t="str">
        <f ca="1">IFERROR(__xludf.DUMMYFUNCTION("""COMPUTED_VALUE"""),"1762744598527")</f>
        <v>1762744598527</v>
      </c>
    </row>
    <row r="6472" spans="1:11" ht="12.45">
      <c r="A6472" s="2" t="str">
        <f ca="1">IFERROR(__xludf.DUMMYFUNCTION("""COMPUTED_VALUE"""),"1762744667498")</f>
        <v>1762744667498</v>
      </c>
      <c r="B6472" s="2"/>
      <c r="C6472" s="2" t="str">
        <v>0</v>
      </c>
      <c r="D6472" s="2"/>
      <c r="F6472" s="2" t="str">
        <v>0</v>
      </c>
      <c r="I6472" s="3" t="str">
        <f ca="1">IFERROR(__xludf.DUMMYFUNCTION("""COMPUTED_VALUE"""),"Phương Thảo ")</f>
        <v xml:space="preserve">Phương Thảo </v>
      </c>
      <c r="J6472" s="3" t="str">
        <f ca="1">IFERROR(__xludf.DUMMYFUNCTION("""COMPUTED_VALUE"""),"0862340480")</f>
        <v>0862340480</v>
      </c>
      <c r="K6472" s="2" t="str">
        <f ca="1">IFERROR(__xludf.DUMMYFUNCTION("""COMPUTED_VALUE"""),"1762744667498")</f>
        <v>1762744667498</v>
      </c>
    </row>
    <row r="6473" spans="1:11" ht="12.45">
      <c r="A6473" s="2" t="str">
        <f ca="1">IFERROR(__xludf.DUMMYFUNCTION("""COMPUTED_VALUE"""),"1762744718362")</f>
        <v>1762744718362</v>
      </c>
      <c r="B6473" s="2"/>
      <c r="C6473" s="2" t="str">
        <v>0</v>
      </c>
      <c r="D6473" s="2"/>
      <c r="F6473" s="2" t="str">
        <v>0</v>
      </c>
      <c r="I6473" s="3" t="str">
        <f ca="1">IFERROR(__xludf.DUMMYFUNCTION("""COMPUTED_VALUE"""),"Nguyễn Thùy Dung ")</f>
        <v xml:space="preserve">Nguyễn Thùy Dung </v>
      </c>
      <c r="J6473" s="3" t="str">
        <f ca="1">IFERROR(__xludf.DUMMYFUNCTION("""COMPUTED_VALUE"""),"0366110068")</f>
        <v>0366110068</v>
      </c>
      <c r="K6473" s="2" t="str">
        <f ca="1">IFERROR(__xludf.DUMMYFUNCTION("""COMPUTED_VALUE"""),"1762744718362")</f>
        <v>1762744718362</v>
      </c>
    </row>
    <row r="6474" spans="1:11" ht="12.45">
      <c r="A6474" s="2" t="str">
        <f ca="1">IFERROR(__xludf.DUMMYFUNCTION("""COMPUTED_VALUE"""),"1762744777327")</f>
        <v>1762744777327</v>
      </c>
      <c r="B6474" s="2"/>
      <c r="C6474" s="2" t="str">
        <v>0</v>
      </c>
      <c r="D6474" s="2"/>
      <c r="F6474" s="2" t="str">
        <v>0</v>
      </c>
      <c r="I6474" s="3" t="str">
        <f ca="1">IFERROR(__xludf.DUMMYFUNCTION("""COMPUTED_VALUE"""),"Phan Linh Chi")</f>
        <v>Phan Linh Chi</v>
      </c>
      <c r="J6474" s="3" t="str">
        <f ca="1">IFERROR(__xludf.DUMMYFUNCTION("""COMPUTED_VALUE"""),"0387991107")</f>
        <v>0387991107</v>
      </c>
      <c r="K6474" s="2" t="str">
        <f ca="1">IFERROR(__xludf.DUMMYFUNCTION("""COMPUTED_VALUE"""),"1762744777327")</f>
        <v>1762744777327</v>
      </c>
    </row>
    <row r="6475" spans="1:11" ht="12.45">
      <c r="A6475" s="2" t="str">
        <f ca="1">IFERROR(__xludf.DUMMYFUNCTION("""COMPUTED_VALUE"""),"1762744844860")</f>
        <v>1762744844860</v>
      </c>
      <c r="B6475" s="2"/>
      <c r="C6475" s="2" t="str">
        <v>0</v>
      </c>
      <c r="D6475" s="2"/>
      <c r="F6475" s="2" t="str">
        <v>0</v>
      </c>
      <c r="I6475" s="3" t="str">
        <f ca="1">IFERROR(__xludf.DUMMYFUNCTION("""COMPUTED_VALUE"""),"Nguyễn Thị Thuỳ Chi")</f>
        <v>Nguyễn Thị Thuỳ Chi</v>
      </c>
      <c r="J6475" s="3" t="str">
        <f ca="1">IFERROR(__xludf.DUMMYFUNCTION("""COMPUTED_VALUE"""),"0862043296")</f>
        <v>0862043296</v>
      </c>
      <c r="K6475" s="2" t="str">
        <f ca="1">IFERROR(__xludf.DUMMYFUNCTION("""COMPUTED_VALUE"""),"1762744844860")</f>
        <v>1762744844860</v>
      </c>
    </row>
    <row r="6476" spans="1:11" ht="12.45">
      <c r="A6476" s="2" t="str">
        <f ca="1">IFERROR(__xludf.DUMMYFUNCTION("""COMPUTED_VALUE"""),"1762744958762")</f>
        <v>1762744958762</v>
      </c>
      <c r="B6476" s="2"/>
      <c r="C6476" s="2" t="str">
        <v>0</v>
      </c>
      <c r="D6476" s="2"/>
      <c r="F6476" s="2" t="str">
        <v>0</v>
      </c>
      <c r="I6476" s="3" t="str">
        <f ca="1">IFERROR(__xludf.DUMMYFUNCTION("""COMPUTED_VALUE"""),"Triệu thị đương ")</f>
        <v xml:space="preserve">Triệu thị đương </v>
      </c>
      <c r="J6476" s="3" t="str">
        <f ca="1">IFERROR(__xludf.DUMMYFUNCTION("""COMPUTED_VALUE"""),"0335644651")</f>
        <v>0335644651</v>
      </c>
      <c r="K6476" s="2" t="str">
        <f ca="1">IFERROR(__xludf.DUMMYFUNCTION("""COMPUTED_VALUE"""),"1762744958762")</f>
        <v>1762744958762</v>
      </c>
    </row>
    <row r="6477" spans="1:11" ht="12.45">
      <c r="A6477" s="2" t="str">
        <f ca="1">IFERROR(__xludf.DUMMYFUNCTION("""COMPUTED_VALUE"""),"1762745043877")</f>
        <v>1762745043877</v>
      </c>
      <c r="B6477" s="2"/>
      <c r="C6477" s="2" t="str">
        <v>0</v>
      </c>
      <c r="D6477" s="2"/>
      <c r="F6477" s="2" t="str">
        <v>0</v>
      </c>
      <c r="I6477" s="3" t="str">
        <f ca="1">IFERROR(__xludf.DUMMYFUNCTION("""COMPUTED_VALUE"""),"Nguyễn Thùy Linh")</f>
        <v>Nguyễn Thùy Linh</v>
      </c>
      <c r="J6477" s="3" t="str">
        <f ca="1">IFERROR(__xludf.DUMMYFUNCTION("""COMPUTED_VALUE"""),"0369635427")</f>
        <v>0369635427</v>
      </c>
      <c r="K6477" s="2" t="str">
        <f ca="1">IFERROR(__xludf.DUMMYFUNCTION("""COMPUTED_VALUE"""),"1762745043877")</f>
        <v>1762745043877</v>
      </c>
    </row>
    <row r="6478" spans="1:11" ht="12.45">
      <c r="A6478" s="2" t="str">
        <f ca="1">IFERROR(__xludf.DUMMYFUNCTION("""COMPUTED_VALUE"""),"1762745095409")</f>
        <v>1762745095409</v>
      </c>
      <c r="B6478" s="2"/>
      <c r="C6478" s="2" t="str">
        <v>0</v>
      </c>
      <c r="D6478" s="2"/>
      <c r="F6478" s="2" t="str">
        <v>0</v>
      </c>
      <c r="I6478" s="3" t="str">
        <f ca="1">IFERROR(__xludf.DUMMYFUNCTION("""COMPUTED_VALUE"""),"Phạm Vy Anh")</f>
        <v>Phạm Vy Anh</v>
      </c>
      <c r="J6478" s="3" t="str">
        <f ca="1">IFERROR(__xludf.DUMMYFUNCTION("""COMPUTED_VALUE"""),"0328429456")</f>
        <v>0328429456</v>
      </c>
      <c r="K6478" s="2" t="str">
        <f ca="1">IFERROR(__xludf.DUMMYFUNCTION("""COMPUTED_VALUE"""),"1762745095409")</f>
        <v>1762745095409</v>
      </c>
    </row>
    <row r="6479" spans="1:11" ht="12.45">
      <c r="A6479" s="2" t="str">
        <f ca="1">IFERROR(__xludf.DUMMYFUNCTION("""COMPUTED_VALUE"""),"1758488351034")</f>
        <v>1758488351034</v>
      </c>
      <c r="B6479" s="2"/>
      <c r="C6479" s="2" t="str">
        <v>0</v>
      </c>
      <c r="D6479" s="2"/>
      <c r="F6479" s="2" t="str">
        <v>0</v>
      </c>
      <c r="I6479" s="3" t="str">
        <f ca="1">IFERROR(__xludf.DUMMYFUNCTION("""COMPUTED_VALUE"""),"Bùi Nguyễn Ánh Dương ")</f>
        <v xml:space="preserve">Bùi Nguyễn Ánh Dương </v>
      </c>
      <c r="J6479" s="3" t="str">
        <f ca="1">IFERROR(__xludf.DUMMYFUNCTION("""COMPUTED_VALUE"""),"0373005231")</f>
        <v>0373005231</v>
      </c>
      <c r="K6479" s="2" t="str">
        <f ca="1">IFERROR(__xludf.DUMMYFUNCTION("""COMPUTED_VALUE"""),"1758488351034")</f>
        <v>1758488351034</v>
      </c>
    </row>
    <row r="6480" spans="1:11" ht="12.45">
      <c r="A6480" s="2" t="str">
        <f ca="1">IFERROR(__xludf.DUMMYFUNCTION("""COMPUTED_VALUE"""),"1762745151613")</f>
        <v>1762745151613</v>
      </c>
      <c r="B6480" s="2"/>
      <c r="C6480" s="2" t="str">
        <v>0</v>
      </c>
      <c r="D6480" s="2"/>
      <c r="F6480" s="2" t="str">
        <v>0</v>
      </c>
      <c r="I6480" s="3" t="str">
        <f ca="1">IFERROR(__xludf.DUMMYFUNCTION("""COMPUTED_VALUE"""),"Đoàn Bảo Quyên ")</f>
        <v xml:space="preserve">Đoàn Bảo Quyên </v>
      </c>
      <c r="J6480" s="3" t="str">
        <f ca="1">IFERROR(__xludf.DUMMYFUNCTION("""COMPUTED_VALUE"""),"0905401050")</f>
        <v>0905401050</v>
      </c>
      <c r="K6480" s="2" t="str">
        <f ca="1">IFERROR(__xludf.DUMMYFUNCTION("""COMPUTED_VALUE"""),"1762745151613")</f>
        <v>1762745151613</v>
      </c>
    </row>
    <row r="6481" spans="1:11" ht="12.45">
      <c r="A6481" s="2" t="str">
        <f ca="1">IFERROR(__xludf.DUMMYFUNCTION("""COMPUTED_VALUE"""),"1762745200705")</f>
        <v>1762745200705</v>
      </c>
      <c r="B6481" s="2"/>
      <c r="C6481" s="2" t="str">
        <v>0</v>
      </c>
      <c r="D6481" s="2"/>
      <c r="F6481" s="2" t="str">
        <v>0</v>
      </c>
      <c r="I6481" s="3" t="str">
        <f ca="1">IFERROR(__xludf.DUMMYFUNCTION("""COMPUTED_VALUE"""),"Nguyễn Diệu Linh")</f>
        <v>Nguyễn Diệu Linh</v>
      </c>
      <c r="J6481" s="3" t="str">
        <f ca="1">IFERROR(__xludf.DUMMYFUNCTION("""COMPUTED_VALUE"""),"0384856047")</f>
        <v>0384856047</v>
      </c>
      <c r="K6481" s="2" t="str">
        <f ca="1">IFERROR(__xludf.DUMMYFUNCTION("""COMPUTED_VALUE"""),"1762745200705")</f>
        <v>1762745200705</v>
      </c>
    </row>
    <row r="6482" spans="1:11" ht="12.45">
      <c r="A6482" s="2" t="str">
        <f ca="1">IFERROR(__xludf.DUMMYFUNCTION("""COMPUTED_VALUE"""),"1762745236879")</f>
        <v>1762745236879</v>
      </c>
      <c r="B6482" s="2"/>
      <c r="C6482" s="2" t="str">
        <v>0</v>
      </c>
      <c r="D6482" s="2"/>
      <c r="F6482" s="2" t="str">
        <v>0</v>
      </c>
      <c r="I6482" s="3" t="str">
        <f ca="1">IFERROR(__xludf.DUMMYFUNCTION("""COMPUTED_VALUE"""),"Vũ quỳnh trang")</f>
        <v>Vũ quỳnh trang</v>
      </c>
      <c r="J6482" s="3" t="str">
        <f ca="1">IFERROR(__xludf.DUMMYFUNCTION("""COMPUTED_VALUE"""),"0787311228")</f>
        <v>0787311228</v>
      </c>
      <c r="K6482" s="2" t="str">
        <f ca="1">IFERROR(__xludf.DUMMYFUNCTION("""COMPUTED_VALUE"""),"1762745236879")</f>
        <v>1762745236879</v>
      </c>
    </row>
    <row r="6483" spans="1:11" ht="12.45">
      <c r="A6483" s="2" t="str">
        <f ca="1">IFERROR(__xludf.DUMMYFUNCTION("""COMPUTED_VALUE"""),"1762745290705")</f>
        <v>1762745290705</v>
      </c>
      <c r="B6483" s="2"/>
      <c r="C6483" s="2" t="str">
        <v>0</v>
      </c>
      <c r="D6483" s="2"/>
      <c r="F6483" s="2" t="str">
        <v>0</v>
      </c>
      <c r="I6483" s="3" t="str">
        <f ca="1">IFERROR(__xludf.DUMMYFUNCTION("""COMPUTED_VALUE"""),"Nguyễn Thu Hương")</f>
        <v>Nguyễn Thu Hương</v>
      </c>
      <c r="J6483" s="3" t="str">
        <f ca="1">IFERROR(__xludf.DUMMYFUNCTION("""COMPUTED_VALUE"""),"0332410507")</f>
        <v>0332410507</v>
      </c>
      <c r="K6483" s="2" t="str">
        <f ca="1">IFERROR(__xludf.DUMMYFUNCTION("""COMPUTED_VALUE"""),"1762745290705")</f>
        <v>1762745290705</v>
      </c>
    </row>
    <row r="6484" spans="1:11" ht="12.45">
      <c r="A6484" s="2" t="str">
        <f ca="1">IFERROR(__xludf.DUMMYFUNCTION("""COMPUTED_VALUE"""),"1762745337896")</f>
        <v>1762745337896</v>
      </c>
      <c r="B6484" s="2"/>
      <c r="C6484" s="2" t="str">
        <v>0</v>
      </c>
      <c r="D6484" s="2"/>
      <c r="F6484" s="2" t="str">
        <v>0</v>
      </c>
      <c r="I6484" s="3" t="str">
        <f ca="1">IFERROR(__xludf.DUMMYFUNCTION("""COMPUTED_VALUE"""),"Nguyễn Thị Hà Trang")</f>
        <v>Nguyễn Thị Hà Trang</v>
      </c>
      <c r="J6484" s="3" t="str">
        <f ca="1">IFERROR(__xludf.DUMMYFUNCTION("""COMPUTED_VALUE"""),"0338085668")</f>
        <v>0338085668</v>
      </c>
      <c r="K6484" s="2" t="str">
        <f ca="1">IFERROR(__xludf.DUMMYFUNCTION("""COMPUTED_VALUE"""),"1762745337896")</f>
        <v>1762745337896</v>
      </c>
    </row>
    <row r="6485" spans="1:11" ht="12.45">
      <c r="A6485" s="2" t="str">
        <f ca="1">IFERROR(__xludf.DUMMYFUNCTION("""COMPUTED_VALUE"""),"1762745390002")</f>
        <v>1762745390002</v>
      </c>
      <c r="B6485" s="2"/>
      <c r="C6485" s="2" t="str">
        <v>0</v>
      </c>
      <c r="D6485" s="2"/>
      <c r="F6485" s="2" t="str">
        <v>0</v>
      </c>
      <c r="I6485" s="3" t="str">
        <f ca="1">IFERROR(__xludf.DUMMYFUNCTION("""COMPUTED_VALUE"""),"Nguyễn Trúc Quỳnh")</f>
        <v>Nguyễn Trúc Quỳnh</v>
      </c>
      <c r="J6485" s="3" t="str">
        <f ca="1">IFERROR(__xludf.DUMMYFUNCTION("""COMPUTED_VALUE"""),"0968766047")</f>
        <v>0968766047</v>
      </c>
      <c r="K6485" s="2" t="str">
        <f ca="1">IFERROR(__xludf.DUMMYFUNCTION("""COMPUTED_VALUE"""),"1762745390002")</f>
        <v>1762745390002</v>
      </c>
    </row>
    <row r="6486" spans="1:11" ht="12.45">
      <c r="A6486" s="2" t="str">
        <f ca="1">IFERROR(__xludf.DUMMYFUNCTION("""COMPUTED_VALUE"""),"1762745451222")</f>
        <v>1762745451222</v>
      </c>
      <c r="B6486" s="2"/>
      <c r="C6486" s="2" t="str">
        <v>0</v>
      </c>
      <c r="D6486" s="2"/>
      <c r="F6486" s="2" t="str">
        <v>0</v>
      </c>
      <c r="I6486" s="3" t="str">
        <f ca="1">IFERROR(__xludf.DUMMYFUNCTION("""COMPUTED_VALUE"""),"Huỳnh Bảo Ngọc")</f>
        <v>Huỳnh Bảo Ngọc</v>
      </c>
      <c r="J6486" s="3" t="str">
        <f ca="1">IFERROR(__xludf.DUMMYFUNCTION("""COMPUTED_VALUE"""),"0969483011")</f>
        <v>0969483011</v>
      </c>
      <c r="K6486" s="2" t="str">
        <f ca="1">IFERROR(__xludf.DUMMYFUNCTION("""COMPUTED_VALUE"""),"1762745451222")</f>
        <v>1762745451222</v>
      </c>
    </row>
    <row r="6487" spans="1:11" ht="12.45">
      <c r="A6487" s="2" t="str">
        <f ca="1">IFERROR(__xludf.DUMMYFUNCTION("""COMPUTED_VALUE"""),"1762745499910")</f>
        <v>1762745499910</v>
      </c>
      <c r="B6487" s="2"/>
      <c r="C6487" s="2" t="str">
        <v>0</v>
      </c>
      <c r="D6487" s="2"/>
      <c r="F6487" s="2" t="str">
        <v>0</v>
      </c>
      <c r="I6487" s="3" t="str">
        <f ca="1">IFERROR(__xludf.DUMMYFUNCTION("""COMPUTED_VALUE"""),"Phan Thị Khánh Ly")</f>
        <v>Phan Thị Khánh Ly</v>
      </c>
      <c r="J6487" s="3" t="str">
        <f ca="1">IFERROR(__xludf.DUMMYFUNCTION("""COMPUTED_VALUE"""),"0332435339")</f>
        <v>0332435339</v>
      </c>
      <c r="K6487" s="2" t="str">
        <f ca="1">IFERROR(__xludf.DUMMYFUNCTION("""COMPUTED_VALUE"""),"1762745499910")</f>
        <v>1762745499910</v>
      </c>
    </row>
    <row r="6488" spans="1:11" ht="12.45">
      <c r="A6488" s="2" t="str">
        <f ca="1">IFERROR(__xludf.DUMMYFUNCTION("""COMPUTED_VALUE"""),"1762745531629")</f>
        <v>1762745531629</v>
      </c>
      <c r="B6488" s="2"/>
      <c r="C6488" s="2" t="str">
        <v>0</v>
      </c>
      <c r="D6488" s="2"/>
      <c r="F6488" s="2" t="str">
        <v>0</v>
      </c>
      <c r="I6488" s="3" t="str">
        <f ca="1">IFERROR(__xludf.DUMMYFUNCTION("""COMPUTED_VALUE"""),"Nguyễn Phương Ngân ")</f>
        <v xml:space="preserve">Nguyễn Phương Ngân </v>
      </c>
      <c r="J6488" s="3" t="str">
        <f ca="1">IFERROR(__xludf.DUMMYFUNCTION("""COMPUTED_VALUE"""),"0825880806")</f>
        <v>0825880806</v>
      </c>
      <c r="K6488" s="2" t="str">
        <f ca="1">IFERROR(__xludf.DUMMYFUNCTION("""COMPUTED_VALUE"""),"1762745531629")</f>
        <v>1762745531629</v>
      </c>
    </row>
    <row r="6489" spans="1:11" ht="12.45">
      <c r="A6489" s="2" t="str">
        <f ca="1">IFERROR(__xludf.DUMMYFUNCTION("""COMPUTED_VALUE"""),"1762745576904")</f>
        <v>1762745576904</v>
      </c>
      <c r="B6489" s="2"/>
      <c r="C6489" s="2" t="str">
        <v>0</v>
      </c>
      <c r="D6489" s="2"/>
      <c r="F6489" s="2" t="str">
        <v>0</v>
      </c>
      <c r="I6489" s="3" t="str">
        <f ca="1">IFERROR(__xludf.DUMMYFUNCTION("""COMPUTED_VALUE"""),"Lường Phạm Hải Yến ")</f>
        <v xml:space="preserve">Lường Phạm Hải Yến </v>
      </c>
      <c r="J6489" s="3" t="str">
        <f ca="1">IFERROR(__xludf.DUMMYFUNCTION("""COMPUTED_VALUE"""),"0398688807")</f>
        <v>0398688807</v>
      </c>
      <c r="K6489" s="2" t="str">
        <f ca="1">IFERROR(__xludf.DUMMYFUNCTION("""COMPUTED_VALUE"""),"1762745576904")</f>
        <v>1762745576904</v>
      </c>
    </row>
    <row r="6490" spans="1:11" ht="12.45">
      <c r="A6490" s="2" t="str">
        <f ca="1">IFERROR(__xludf.DUMMYFUNCTION("""COMPUTED_VALUE"""),"1762745637039")</f>
        <v>1762745637039</v>
      </c>
      <c r="B6490" s="2"/>
      <c r="C6490" s="2" t="str">
        <v>0</v>
      </c>
      <c r="D6490" s="2"/>
      <c r="F6490" s="2" t="str">
        <v>0</v>
      </c>
      <c r="I6490" s="3" t="str">
        <f ca="1">IFERROR(__xludf.DUMMYFUNCTION("""COMPUTED_VALUE"""),"Đỗ Diệu Quyên")</f>
        <v>Đỗ Diệu Quyên</v>
      </c>
      <c r="J6490" s="3" t="str">
        <f ca="1">IFERROR(__xludf.DUMMYFUNCTION("""COMPUTED_VALUE"""),"0929008208")</f>
        <v>0929008208</v>
      </c>
      <c r="K6490" s="2" t="str">
        <f ca="1">IFERROR(__xludf.DUMMYFUNCTION("""COMPUTED_VALUE"""),"1762745637039")</f>
        <v>1762745637039</v>
      </c>
    </row>
    <row r="6491" spans="1:11" ht="12.45">
      <c r="A6491" s="2" t="str">
        <f ca="1">IFERROR(__xludf.DUMMYFUNCTION("""COMPUTED_VALUE"""),"1762745702957")</f>
        <v>1762745702957</v>
      </c>
      <c r="B6491" s="2"/>
      <c r="C6491" s="2" t="str">
        <v>0</v>
      </c>
      <c r="D6491" s="2"/>
      <c r="F6491" s="2" t="str">
        <v>0</v>
      </c>
      <c r="I6491" s="3" t="str">
        <f ca="1">IFERROR(__xludf.DUMMYFUNCTION("""COMPUTED_VALUE"""),"Nguyễn Huyền Trang ")</f>
        <v xml:space="preserve">Nguyễn Huyền Trang </v>
      </c>
      <c r="J6491" s="3" t="str">
        <f ca="1">IFERROR(__xludf.DUMMYFUNCTION("""COMPUTED_VALUE"""),"0911719739")</f>
        <v>0911719739</v>
      </c>
      <c r="K6491" s="2" t="str">
        <f ca="1">IFERROR(__xludf.DUMMYFUNCTION("""COMPUTED_VALUE"""),"1762745702957")</f>
        <v>1762745702957</v>
      </c>
    </row>
    <row r="6492" spans="1:11" ht="12.45">
      <c r="A6492" s="2" t="str">
        <f ca="1">IFERROR(__xludf.DUMMYFUNCTION("""COMPUTED_VALUE"""),"1762745774255")</f>
        <v>1762745774255</v>
      </c>
      <c r="B6492" s="2"/>
      <c r="C6492" s="2" t="str">
        <v>0</v>
      </c>
      <c r="D6492" s="2"/>
      <c r="F6492" s="2" t="str">
        <v>0</v>
      </c>
      <c r="I6492" s="3" t="str">
        <f ca="1">IFERROR(__xludf.DUMMYFUNCTION("""COMPUTED_VALUE"""),"Trần Mai Phương")</f>
        <v>Trần Mai Phương</v>
      </c>
      <c r="J6492" s="3" t="str">
        <f ca="1">IFERROR(__xludf.DUMMYFUNCTION("""COMPUTED_VALUE"""),"0337441351")</f>
        <v>0337441351</v>
      </c>
      <c r="K6492" s="2" t="str">
        <f ca="1">IFERROR(__xludf.DUMMYFUNCTION("""COMPUTED_VALUE"""),"1762745774255")</f>
        <v>1762745774255</v>
      </c>
    </row>
    <row r="6493" spans="1:11" ht="12.45">
      <c r="A6493" s="2" t="str">
        <f ca="1">IFERROR(__xludf.DUMMYFUNCTION("""COMPUTED_VALUE"""),"Không giao sách")</f>
        <v>Không giao sách</v>
      </c>
      <c r="B6493" s="2"/>
      <c r="C6493" s="2" t="str">
        <v>0</v>
      </c>
      <c r="D6493" s="2"/>
      <c r="F6493" s="2" t="str">
        <v>0</v>
      </c>
      <c r="I6493" s="3" t="str">
        <f ca="1">IFERROR(__xludf.DUMMYFUNCTION("""COMPUTED_VALUE"""),"Nông Văn Minh")</f>
        <v>Nông Văn Minh</v>
      </c>
      <c r="J6493" s="3" t="str">
        <f ca="1">IFERROR(__xludf.DUMMYFUNCTION("""COMPUTED_VALUE"""),"0936723363")</f>
        <v>0936723363</v>
      </c>
      <c r="K6493" s="2" t="str">
        <f ca="1">IFERROR(__xludf.DUMMYFUNCTION("""COMPUTED_VALUE"""),"Không giao sách")</f>
        <v>Không giao sách</v>
      </c>
    </row>
    <row r="6494" spans="1:11" ht="12.45">
      <c r="A6494" s="2" t="str">
        <f ca="1">IFERROR(__xludf.DUMMYFUNCTION("""COMPUTED_VALUE"""),"Không giao sách")</f>
        <v>Không giao sách</v>
      </c>
      <c r="B6494" s="2"/>
      <c r="C6494" s="2" t="str">
        <v>0</v>
      </c>
      <c r="D6494" s="2"/>
      <c r="F6494" s="2" t="str">
        <v>0</v>
      </c>
      <c r="I6494" s="3" t="str">
        <f ca="1">IFERROR(__xludf.DUMMYFUNCTION("""COMPUTED_VALUE"""),"Phạm Nhật Tường ")</f>
        <v xml:space="preserve">Phạm Nhật Tường </v>
      </c>
      <c r="J6494" s="3" t="str">
        <f ca="1">IFERROR(__xludf.DUMMYFUNCTION("""COMPUTED_VALUE"""),"0919558812")</f>
        <v>0919558812</v>
      </c>
      <c r="K6494" s="2" t="str">
        <f ca="1">IFERROR(__xludf.DUMMYFUNCTION("""COMPUTED_VALUE"""),"Không giao sách")</f>
        <v>Không giao sách</v>
      </c>
    </row>
    <row r="6495" spans="1:11" ht="12.45">
      <c r="A6495" s="2" t="str">
        <f ca="1">IFERROR(__xludf.DUMMYFUNCTION("""COMPUTED_VALUE"""),"1762745819875")</f>
        <v>1762745819875</v>
      </c>
      <c r="B6495" s="2"/>
      <c r="C6495" s="2" t="str">
        <v>0</v>
      </c>
      <c r="D6495" s="2"/>
      <c r="F6495" s="2" t="str">
        <v>0</v>
      </c>
      <c r="I6495" s="3" t="str">
        <f ca="1">IFERROR(__xludf.DUMMYFUNCTION("""COMPUTED_VALUE"""),"Trịnh Quỳnh Chi")</f>
        <v>Trịnh Quỳnh Chi</v>
      </c>
      <c r="J6495" s="3" t="str">
        <f ca="1">IFERROR(__xludf.DUMMYFUNCTION("""COMPUTED_VALUE"""),"0398911615")</f>
        <v>0398911615</v>
      </c>
      <c r="K6495" s="2" t="str">
        <f ca="1">IFERROR(__xludf.DUMMYFUNCTION("""COMPUTED_VALUE"""),"1762745819875")</f>
        <v>1762745819875</v>
      </c>
    </row>
    <row r="6496" spans="1:11" ht="12.45">
      <c r="A6496" s="2" t="str">
        <f ca="1">IFERROR(__xludf.DUMMYFUNCTION("""COMPUTED_VALUE"""),"1762745866765")</f>
        <v>1762745866765</v>
      </c>
      <c r="B6496" s="2"/>
      <c r="C6496" s="2" t="str">
        <v>0</v>
      </c>
      <c r="D6496" s="2"/>
      <c r="F6496" s="2" t="str">
        <v>0</v>
      </c>
      <c r="I6496" s="3" t="str">
        <f ca="1">IFERROR(__xludf.DUMMYFUNCTION("""COMPUTED_VALUE"""),"Kim Phạm Hồng Hoa")</f>
        <v>Kim Phạm Hồng Hoa</v>
      </c>
      <c r="J6496" s="3" t="str">
        <f ca="1">IFERROR(__xludf.DUMMYFUNCTION("""COMPUTED_VALUE"""),"0395331092")</f>
        <v>0395331092</v>
      </c>
      <c r="K6496" s="2" t="str">
        <f ca="1">IFERROR(__xludf.DUMMYFUNCTION("""COMPUTED_VALUE"""),"1762745866765")</f>
        <v>1762745866765</v>
      </c>
    </row>
    <row r="6497" spans="1:11" ht="12.45">
      <c r="A6497" s="2" t="str">
        <f ca="1">IFERROR(__xludf.DUMMYFUNCTION("""COMPUTED_VALUE"""),"1762745913639")</f>
        <v>1762745913639</v>
      </c>
      <c r="B6497" s="2"/>
      <c r="C6497" s="2" t="str">
        <v>0</v>
      </c>
      <c r="D6497" s="2"/>
      <c r="F6497" s="2" t="str">
        <v>0</v>
      </c>
      <c r="I6497" s="3" t="str">
        <f ca="1">IFERROR(__xludf.DUMMYFUNCTION("""COMPUTED_VALUE"""),"Trần Hoàng Phi Anh ")</f>
        <v xml:space="preserve">Trần Hoàng Phi Anh </v>
      </c>
      <c r="J6497" s="3" t="str">
        <f ca="1">IFERROR(__xludf.DUMMYFUNCTION("""COMPUTED_VALUE"""),"0896508692")</f>
        <v>0896508692</v>
      </c>
      <c r="K6497" s="2" t="str">
        <f ca="1">IFERROR(__xludf.DUMMYFUNCTION("""COMPUTED_VALUE"""),"1762745913639")</f>
        <v>1762745913639</v>
      </c>
    </row>
    <row r="6498" spans="1:11" ht="12.45">
      <c r="A6498" s="2" t="str">
        <f ca="1">IFERROR(__xludf.DUMMYFUNCTION("""COMPUTED_VALUE"""),"1762745954629")</f>
        <v>1762745954629</v>
      </c>
      <c r="B6498" s="2"/>
      <c r="C6498" s="2" t="str">
        <v>0</v>
      </c>
      <c r="D6498" s="2"/>
      <c r="F6498" s="2" t="str">
        <v>0</v>
      </c>
      <c r="I6498" s="3" t="str">
        <f ca="1">IFERROR(__xludf.DUMMYFUNCTION("""COMPUTED_VALUE"""),"Nguyễn Thành Nam")</f>
        <v>Nguyễn Thành Nam</v>
      </c>
      <c r="J6498" s="3" t="str">
        <f ca="1">IFERROR(__xludf.DUMMYFUNCTION("""COMPUTED_VALUE"""),"0375018817")</f>
        <v>0375018817</v>
      </c>
      <c r="K6498" s="2" t="str">
        <f ca="1">IFERROR(__xludf.DUMMYFUNCTION("""COMPUTED_VALUE"""),"1762745954629")</f>
        <v>1762745954629</v>
      </c>
    </row>
    <row r="6499" spans="1:11" ht="12.45">
      <c r="A6499" s="2" t="str">
        <f ca="1">IFERROR(__xludf.DUMMYFUNCTION("""COMPUTED_VALUE"""),"1762746004269")</f>
        <v>1762746004269</v>
      </c>
      <c r="B6499" s="2"/>
      <c r="C6499" s="2" t="str">
        <v>0</v>
      </c>
      <c r="D6499" s="2"/>
      <c r="F6499" s="2" t="str">
        <v>0</v>
      </c>
      <c r="I6499" s="3" t="str">
        <f ca="1">IFERROR(__xludf.DUMMYFUNCTION("""COMPUTED_VALUE"""),"Đàm Thị Thu Hằng ")</f>
        <v xml:space="preserve">Đàm Thị Thu Hằng </v>
      </c>
      <c r="J6499" s="3" t="str">
        <f ca="1">IFERROR(__xludf.DUMMYFUNCTION("""COMPUTED_VALUE"""),"0363701975")</f>
        <v>0363701975</v>
      </c>
      <c r="K6499" s="2" t="str">
        <f ca="1">IFERROR(__xludf.DUMMYFUNCTION("""COMPUTED_VALUE"""),"1762746004269")</f>
        <v>1762746004269</v>
      </c>
    </row>
    <row r="6500" spans="1:11" ht="12.45">
      <c r="A6500" s="2" t="str">
        <f ca="1">IFERROR(__xludf.DUMMYFUNCTION("""COMPUTED_VALUE"""),"1762746044226")</f>
        <v>1762746044226</v>
      </c>
      <c r="B6500" s="2"/>
      <c r="C6500" s="2" t="str">
        <v>0</v>
      </c>
      <c r="D6500" s="2"/>
      <c r="F6500" s="2" t="str">
        <v>0</v>
      </c>
      <c r="I6500" s="3" t="str">
        <f ca="1">IFERROR(__xludf.DUMMYFUNCTION("""COMPUTED_VALUE"""),"Phương Linh")</f>
        <v>Phương Linh</v>
      </c>
      <c r="J6500" s="3" t="str">
        <f ca="1">IFERROR(__xludf.DUMMYFUNCTION("""COMPUTED_VALUE"""),"0966177057")</f>
        <v>0966177057</v>
      </c>
      <c r="K6500" s="2" t="str">
        <f ca="1">IFERROR(__xludf.DUMMYFUNCTION("""COMPUTED_VALUE"""),"1762746044226")</f>
        <v>1762746044226</v>
      </c>
    </row>
    <row r="6501" spans="1:11" ht="12.45">
      <c r="A6501" s="2" t="str">
        <f ca="1">IFERROR(__xludf.DUMMYFUNCTION("""COMPUTED_VALUE"""),"1762746081081")</f>
        <v>1762746081081</v>
      </c>
      <c r="B6501" s="2"/>
      <c r="C6501" s="2" t="str">
        <v>0</v>
      </c>
      <c r="D6501" s="2"/>
      <c r="F6501" s="2" t="str">
        <v>0</v>
      </c>
      <c r="I6501" s="3" t="str">
        <f ca="1">IFERROR(__xludf.DUMMYFUNCTION("""COMPUTED_VALUE"""),"Nguyễn Phương Thảo")</f>
        <v>Nguyễn Phương Thảo</v>
      </c>
      <c r="J6501" s="3" t="str">
        <f ca="1">IFERROR(__xludf.DUMMYFUNCTION("""COMPUTED_VALUE"""),"0338552418")</f>
        <v>0338552418</v>
      </c>
      <c r="K6501" s="2" t="str">
        <f ca="1">IFERROR(__xludf.DUMMYFUNCTION("""COMPUTED_VALUE"""),"1762746081081")</f>
        <v>1762746081081</v>
      </c>
    </row>
    <row r="6502" spans="1:11" ht="12.45">
      <c r="A6502" s="2" t="str">
        <f ca="1">IFERROR(__xludf.DUMMYFUNCTION("""COMPUTED_VALUE"""),"1762746118275")</f>
        <v>1762746118275</v>
      </c>
      <c r="B6502" s="2"/>
      <c r="C6502" s="2" t="str">
        <v>0</v>
      </c>
      <c r="D6502" s="2"/>
      <c r="F6502" s="2" t="str">
        <v>0</v>
      </c>
      <c r="I6502" s="3" t="str">
        <f ca="1">IFERROR(__xludf.DUMMYFUNCTION("""COMPUTED_VALUE"""),"Tạ Như Quỳnh")</f>
        <v>Tạ Như Quỳnh</v>
      </c>
      <c r="J6502" s="3" t="str">
        <f ca="1">IFERROR(__xludf.DUMMYFUNCTION("""COMPUTED_VALUE"""),"8494847395")</f>
        <v>8494847395</v>
      </c>
      <c r="K6502" s="2" t="str">
        <f ca="1">IFERROR(__xludf.DUMMYFUNCTION("""COMPUTED_VALUE"""),"1762746118275")</f>
        <v>1762746118275</v>
      </c>
    </row>
    <row r="6503" spans="1:11" ht="12.45">
      <c r="A6503" s="2" t="str">
        <f ca="1">IFERROR(__xludf.DUMMYFUNCTION("""COMPUTED_VALUE"""),"1762746170827")</f>
        <v>1762746170827</v>
      </c>
      <c r="B6503" s="2"/>
      <c r="C6503" s="2" t="str">
        <v>0</v>
      </c>
      <c r="D6503" s="2"/>
      <c r="F6503" s="2" t="str">
        <v>0</v>
      </c>
      <c r="I6503" s="3" t="str">
        <f ca="1">IFERROR(__xludf.DUMMYFUNCTION("""COMPUTED_VALUE"""),"Đoàn Tú Uyên")</f>
        <v>Đoàn Tú Uyên</v>
      </c>
      <c r="J6503" s="3" t="str">
        <f ca="1">IFERROR(__xludf.DUMMYFUNCTION("""COMPUTED_VALUE"""),"0865884853")</f>
        <v>0865884853</v>
      </c>
      <c r="K6503" s="2" t="str">
        <f ca="1">IFERROR(__xludf.DUMMYFUNCTION("""COMPUTED_VALUE"""),"1762746170827")</f>
        <v>1762746170827</v>
      </c>
    </row>
    <row r="6504" spans="1:11" ht="12.45">
      <c r="A6504" s="2" t="str">
        <f ca="1">IFERROR(__xludf.DUMMYFUNCTION("""COMPUTED_VALUE"""),"1762746224573")</f>
        <v>1762746224573</v>
      </c>
      <c r="B6504" s="2"/>
      <c r="C6504" s="2" t="str">
        <v>0</v>
      </c>
      <c r="D6504" s="2"/>
      <c r="F6504" s="2" t="str">
        <v>0</v>
      </c>
      <c r="I6504" s="3" t="str">
        <f ca="1">IFERROR(__xludf.DUMMYFUNCTION("""COMPUTED_VALUE"""),"Võ Phan Thanh Trúc")</f>
        <v>Võ Phan Thanh Trúc</v>
      </c>
      <c r="J6504" s="3" t="str">
        <f ca="1">IFERROR(__xludf.DUMMYFUNCTION("""COMPUTED_VALUE"""),"0379730158")</f>
        <v>0379730158</v>
      </c>
      <c r="K6504" s="2" t="str">
        <f ca="1">IFERROR(__xludf.DUMMYFUNCTION("""COMPUTED_VALUE"""),"1762746224573")</f>
        <v>1762746224573</v>
      </c>
    </row>
    <row r="6505" spans="1:11" ht="12.45">
      <c r="A6505" s="2" t="str">
        <f ca="1">IFERROR(__xludf.DUMMYFUNCTION("""COMPUTED_VALUE"""),"1762746264626")</f>
        <v>1762746264626</v>
      </c>
      <c r="B6505" s="2"/>
      <c r="C6505" s="2" t="str">
        <v>0</v>
      </c>
      <c r="D6505" s="2"/>
      <c r="F6505" s="2" t="str">
        <v>0</v>
      </c>
      <c r="I6505" s="3" t="str">
        <f ca="1">IFERROR(__xludf.DUMMYFUNCTION("""COMPUTED_VALUE"""),"Ngô Hùng")</f>
        <v>Ngô Hùng</v>
      </c>
      <c r="J6505" s="3" t="str">
        <f ca="1">IFERROR(__xludf.DUMMYFUNCTION("""COMPUTED_VALUE"""),"0346038777")</f>
        <v>0346038777</v>
      </c>
      <c r="K6505" s="2" t="str">
        <f ca="1">IFERROR(__xludf.DUMMYFUNCTION("""COMPUTED_VALUE"""),"1762746264626")</f>
        <v>1762746264626</v>
      </c>
    </row>
    <row r="6506" spans="1:11" ht="12.45">
      <c r="A6506" s="2" t="str">
        <f ca="1">IFERROR(__xludf.DUMMYFUNCTION("""COMPUTED_VALUE"""),"1762746304702")</f>
        <v>1762746304702</v>
      </c>
      <c r="B6506" s="2"/>
      <c r="C6506" s="2" t="str">
        <v>0</v>
      </c>
      <c r="D6506" s="2"/>
      <c r="F6506" s="2" t="str">
        <v>0</v>
      </c>
      <c r="I6506" s="3" t="str">
        <f ca="1">IFERROR(__xludf.DUMMYFUNCTION("""COMPUTED_VALUE"""),"Thảo Nhi")</f>
        <v>Thảo Nhi</v>
      </c>
      <c r="J6506" s="3" t="str">
        <f ca="1">IFERROR(__xludf.DUMMYFUNCTION("""COMPUTED_VALUE"""),"0383316296")</f>
        <v>0383316296</v>
      </c>
      <c r="K6506" s="2" t="str">
        <f ca="1">IFERROR(__xludf.DUMMYFUNCTION("""COMPUTED_VALUE"""),"1762746304702")</f>
        <v>1762746304702</v>
      </c>
    </row>
    <row r="6507" spans="1:11" ht="12.45">
      <c r="A6507" s="2" t="str">
        <f ca="1">IFERROR(__xludf.DUMMYFUNCTION("""COMPUTED_VALUE"""),"1762746348321")</f>
        <v>1762746348321</v>
      </c>
      <c r="B6507" s="2"/>
      <c r="C6507" s="2" t="str">
        <v>0</v>
      </c>
      <c r="D6507" s="2"/>
      <c r="F6507" s="2" t="str">
        <v>0</v>
      </c>
      <c r="I6507" s="3" t="str">
        <f ca="1">IFERROR(__xludf.DUMMYFUNCTION("""COMPUTED_VALUE"""),"Thanh Huyền")</f>
        <v>Thanh Huyền</v>
      </c>
      <c r="J6507" s="3" t="str">
        <f ca="1">IFERROR(__xludf.DUMMYFUNCTION("""COMPUTED_VALUE"""),"0327529867")</f>
        <v>0327529867</v>
      </c>
      <c r="K6507" s="2" t="str">
        <f ca="1">IFERROR(__xludf.DUMMYFUNCTION("""COMPUTED_VALUE"""),"1762746348321")</f>
        <v>1762746348321</v>
      </c>
    </row>
    <row r="6508" spans="1:11" ht="12.45">
      <c r="A6508" s="2" t="str">
        <f ca="1">IFERROR(__xludf.DUMMYFUNCTION("""COMPUTED_VALUE"""),"1762746380232")</f>
        <v>1762746380232</v>
      </c>
      <c r="B6508" s="2"/>
      <c r="C6508" s="2" t="str">
        <v>0</v>
      </c>
      <c r="D6508" s="2"/>
      <c r="F6508" s="2" t="str">
        <v>0</v>
      </c>
      <c r="I6508" s="3" t="str">
        <f ca="1">IFERROR(__xludf.DUMMYFUNCTION("""COMPUTED_VALUE"""),"Nguyễn Mạnh Dũng")</f>
        <v>Nguyễn Mạnh Dũng</v>
      </c>
      <c r="J6508" s="3" t="str">
        <f ca="1">IFERROR(__xludf.DUMMYFUNCTION("""COMPUTED_VALUE"""),"0985769170")</f>
        <v>0985769170</v>
      </c>
      <c r="K6508" s="2" t="str">
        <f ca="1">IFERROR(__xludf.DUMMYFUNCTION("""COMPUTED_VALUE"""),"1762746380232")</f>
        <v>1762746380232</v>
      </c>
    </row>
    <row r="6509" spans="1:11" ht="12.45">
      <c r="A6509" s="2" t="str">
        <f ca="1">IFERROR(__xludf.DUMMYFUNCTION("""COMPUTED_VALUE"""),"1762746432393")</f>
        <v>1762746432393</v>
      </c>
      <c r="B6509" s="2"/>
      <c r="C6509" s="2" t="str">
        <v>0</v>
      </c>
      <c r="D6509" s="2"/>
      <c r="F6509" s="2" t="str">
        <v>0</v>
      </c>
      <c r="I6509" s="3" t="str">
        <f ca="1">IFERROR(__xludf.DUMMYFUNCTION("""COMPUTED_VALUE"""),"Nguyễn Hoàng Linh")</f>
        <v>Nguyễn Hoàng Linh</v>
      </c>
      <c r="J6509" s="3" t="str">
        <f ca="1">IFERROR(__xludf.DUMMYFUNCTION("""COMPUTED_VALUE"""),"8496366317")</f>
        <v>8496366317</v>
      </c>
      <c r="K6509" s="2" t="str">
        <f ca="1">IFERROR(__xludf.DUMMYFUNCTION("""COMPUTED_VALUE"""),"1762746432393")</f>
        <v>1762746432393</v>
      </c>
    </row>
    <row r="6510" spans="1:11" ht="12.45">
      <c r="A6510" s="2" t="str">
        <f ca="1">IFERROR(__xludf.DUMMYFUNCTION("""COMPUTED_VALUE"""),"1762746484587")</f>
        <v>1762746484587</v>
      </c>
      <c r="B6510" s="2"/>
      <c r="C6510" s="2" t="str">
        <v>0</v>
      </c>
      <c r="D6510" s="2"/>
      <c r="F6510" s="2" t="str">
        <v>0</v>
      </c>
      <c r="I6510" s="3" t="str">
        <f ca="1">IFERROR(__xludf.DUMMYFUNCTION("""COMPUTED_VALUE"""),"Nguyễn Ngọc Phương Vy")</f>
        <v>Nguyễn Ngọc Phương Vy</v>
      </c>
      <c r="J6510" s="3" t="str">
        <f ca="1">IFERROR(__xludf.DUMMYFUNCTION("""COMPUTED_VALUE"""),"0945868388")</f>
        <v>0945868388</v>
      </c>
      <c r="K6510" s="2" t="str">
        <f ca="1">IFERROR(__xludf.DUMMYFUNCTION("""COMPUTED_VALUE"""),"1762746484587")</f>
        <v>1762746484587</v>
      </c>
    </row>
    <row r="6511" spans="1:11" ht="12.45">
      <c r="A6511" s="2" t="str">
        <f ca="1">IFERROR(__xludf.DUMMYFUNCTION("""COMPUTED_VALUE"""),"1758488423213")</f>
        <v>1758488423213</v>
      </c>
      <c r="B6511" s="2"/>
      <c r="C6511" s="2" t="str">
        <v>0</v>
      </c>
      <c r="D6511" s="2"/>
      <c r="F6511" s="2" t="str">
        <v>0</v>
      </c>
      <c r="I6511" s="3" t="str">
        <f ca="1">IFERROR(__xludf.DUMMYFUNCTION("""COMPUTED_VALUE"""),"TRƯƠNG THỊ VÂN KHÁNH")</f>
        <v>TRƯƠNG THỊ VÂN KHÁNH</v>
      </c>
      <c r="J6511" s="3" t="str">
        <f ca="1">IFERROR(__xludf.DUMMYFUNCTION("""COMPUTED_VALUE"""),"0866029151")</f>
        <v>0866029151</v>
      </c>
      <c r="K6511" s="2" t="str">
        <f ca="1">IFERROR(__xludf.DUMMYFUNCTION("""COMPUTED_VALUE"""),"1758488423213")</f>
        <v>1758488423213</v>
      </c>
    </row>
    <row r="6512" spans="1:11" ht="12.45">
      <c r="A6512" s="2" t="str">
        <f ca="1">IFERROR(__xludf.DUMMYFUNCTION("""COMPUTED_VALUE"""),"1762746518231")</f>
        <v>1762746518231</v>
      </c>
      <c r="B6512" s="2"/>
      <c r="C6512" s="2" t="str">
        <v>0</v>
      </c>
      <c r="D6512" s="2"/>
      <c r="F6512" s="2" t="str">
        <v>0</v>
      </c>
      <c r="I6512" s="3" t="str">
        <f ca="1">IFERROR(__xludf.DUMMYFUNCTION("""COMPUTED_VALUE"""),"Trịnh Nguyễn Thu Hà")</f>
        <v>Trịnh Nguyễn Thu Hà</v>
      </c>
      <c r="J6512" s="3" t="str">
        <f ca="1">IFERROR(__xludf.DUMMYFUNCTION("""COMPUTED_VALUE"""),"0799545759")</f>
        <v>0799545759</v>
      </c>
      <c r="K6512" s="2" t="str">
        <f ca="1">IFERROR(__xludf.DUMMYFUNCTION("""COMPUTED_VALUE"""),"1762746518231")</f>
        <v>1762746518231</v>
      </c>
    </row>
    <row r="6513" spans="1:11" ht="12.45">
      <c r="A6513" s="2" t="str">
        <f ca="1">IFERROR(__xludf.DUMMYFUNCTION("""COMPUTED_VALUE"""),"1762746552239")</f>
        <v>1762746552239</v>
      </c>
      <c r="B6513" s="2"/>
      <c r="C6513" s="2" t="str">
        <v>0</v>
      </c>
      <c r="D6513" s="2"/>
      <c r="F6513" s="2" t="str">
        <v>0</v>
      </c>
      <c r="I6513" s="3" t="str">
        <f ca="1">IFERROR(__xludf.DUMMYFUNCTION("""COMPUTED_VALUE"""),"Đoàn Như Phúc")</f>
        <v>Đoàn Như Phúc</v>
      </c>
      <c r="J6513" s="3" t="str">
        <f ca="1">IFERROR(__xludf.DUMMYFUNCTION("""COMPUTED_VALUE"""),"0902594329")</f>
        <v>0902594329</v>
      </c>
      <c r="K6513" s="2" t="str">
        <f ca="1">IFERROR(__xludf.DUMMYFUNCTION("""COMPUTED_VALUE"""),"1762746552239")</f>
        <v>1762746552239</v>
      </c>
    </row>
    <row r="6514" spans="1:11" ht="12.45">
      <c r="A6514" s="2" t="str">
        <f ca="1">IFERROR(__xludf.DUMMYFUNCTION("""COMPUTED_VALUE"""),"1762746591356")</f>
        <v>1762746591356</v>
      </c>
      <c r="B6514" s="2"/>
      <c r="C6514" s="2" t="str">
        <v>0</v>
      </c>
      <c r="D6514" s="2"/>
      <c r="F6514" s="2" t="str">
        <v>0</v>
      </c>
      <c r="I6514" s="3" t="str">
        <f ca="1">IFERROR(__xludf.DUMMYFUNCTION("""COMPUTED_VALUE"""),"Nguyễn Thị Thảo")</f>
        <v>Nguyễn Thị Thảo</v>
      </c>
      <c r="J6514" s="3" t="str">
        <f ca="1">IFERROR(__xludf.DUMMYFUNCTION("""COMPUTED_VALUE"""),"0334479814")</f>
        <v>0334479814</v>
      </c>
      <c r="K6514" s="2" t="str">
        <f ca="1">IFERROR(__xludf.DUMMYFUNCTION("""COMPUTED_VALUE"""),"1762746591356")</f>
        <v>1762746591356</v>
      </c>
    </row>
    <row r="6515" spans="1:11" ht="12.45">
      <c r="A6515" s="2" t="str">
        <f ca="1">IFERROR(__xludf.DUMMYFUNCTION("""COMPUTED_VALUE"""),"1762746618033")</f>
        <v>1762746618033</v>
      </c>
      <c r="B6515" s="2"/>
      <c r="C6515" s="2" t="str">
        <v>0</v>
      </c>
      <c r="D6515" s="2"/>
      <c r="F6515" s="2" t="str">
        <v>0</v>
      </c>
      <c r="I6515" s="3" t="str">
        <f ca="1">IFERROR(__xludf.DUMMYFUNCTION("""COMPUTED_VALUE"""),"Nguyễn trần thuỳ linh")</f>
        <v>Nguyễn trần thuỳ linh</v>
      </c>
      <c r="J6515" s="3" t="str">
        <f ca="1">IFERROR(__xludf.DUMMYFUNCTION("""COMPUTED_VALUE"""),"0982886926")</f>
        <v>0982886926</v>
      </c>
      <c r="K6515" s="2" t="str">
        <f ca="1">IFERROR(__xludf.DUMMYFUNCTION("""COMPUTED_VALUE"""),"1762746618033")</f>
        <v>1762746618033</v>
      </c>
    </row>
    <row r="6516" spans="1:11" ht="12.45">
      <c r="A6516" s="2" t="str">
        <f ca="1">IFERROR(__xludf.DUMMYFUNCTION("""COMPUTED_VALUE"""),"1762746670165")</f>
        <v>1762746670165</v>
      </c>
      <c r="B6516" s="2"/>
      <c r="C6516" s="2" t="str">
        <v>0</v>
      </c>
      <c r="D6516" s="2"/>
      <c r="F6516" s="2" t="str">
        <v>0</v>
      </c>
      <c r="I6516" s="3" t="str">
        <f ca="1">IFERROR(__xludf.DUMMYFUNCTION("""COMPUTED_VALUE"""),"Trọng Phúc")</f>
        <v>Trọng Phúc</v>
      </c>
      <c r="J6516" s="3" t="str">
        <f ca="1">IFERROR(__xludf.DUMMYFUNCTION("""COMPUTED_VALUE"""),"0375540413")</f>
        <v>0375540413</v>
      </c>
      <c r="K6516" s="2" t="str">
        <f ca="1">IFERROR(__xludf.DUMMYFUNCTION("""COMPUTED_VALUE"""),"1762746670165")</f>
        <v>1762746670165</v>
      </c>
    </row>
    <row r="6517" spans="1:11" ht="12.45">
      <c r="A6517" s="2" t="str">
        <f ca="1">IFERROR(__xludf.DUMMYFUNCTION("""COMPUTED_VALUE"""),"1762746727340")</f>
        <v>1762746727340</v>
      </c>
      <c r="B6517" s="2"/>
      <c r="C6517" s="2" t="str">
        <v>0</v>
      </c>
      <c r="D6517" s="2"/>
      <c r="F6517" s="2" t="str">
        <v>0</v>
      </c>
      <c r="I6517" s="3" t="str">
        <f ca="1">IFERROR(__xludf.DUMMYFUNCTION("""COMPUTED_VALUE"""),"Phạm Trần Lan Chi")</f>
        <v>Phạm Trần Lan Chi</v>
      </c>
      <c r="J6517" s="3" t="str">
        <f ca="1">IFERROR(__xludf.DUMMYFUNCTION("""COMPUTED_VALUE"""),"0774545006")</f>
        <v>0774545006</v>
      </c>
      <c r="K6517" s="2" t="str">
        <f ca="1">IFERROR(__xludf.DUMMYFUNCTION("""COMPUTED_VALUE"""),"1762746727340")</f>
        <v>1762746727340</v>
      </c>
    </row>
    <row r="6518" spans="1:11" ht="12.45">
      <c r="A6518" s="2" t="str">
        <f ca="1">IFERROR(__xludf.DUMMYFUNCTION("""COMPUTED_VALUE"""),"1762746789694")</f>
        <v>1762746789694</v>
      </c>
      <c r="B6518" s="2"/>
      <c r="C6518" s="2" t="str">
        <v>0</v>
      </c>
      <c r="D6518" s="2"/>
      <c r="F6518" s="2" t="str">
        <v>0</v>
      </c>
      <c r="I6518" s="3" t="str">
        <f ca="1">IFERROR(__xludf.DUMMYFUNCTION("""COMPUTED_VALUE"""),"Lê Hồng Liên ")</f>
        <v xml:space="preserve">Lê Hồng Liên </v>
      </c>
      <c r="J6518" s="3" t="str">
        <f ca="1">IFERROR(__xludf.DUMMYFUNCTION("""COMPUTED_VALUE"""),"0866506989")</f>
        <v>0866506989</v>
      </c>
      <c r="K6518" s="2" t="str">
        <f ca="1">IFERROR(__xludf.DUMMYFUNCTION("""COMPUTED_VALUE"""),"1762746789694")</f>
        <v>1762746789694</v>
      </c>
    </row>
    <row r="6519" spans="1:11" ht="12.45">
      <c r="A6519" s="2" t="str">
        <f ca="1">IFERROR(__xludf.DUMMYFUNCTION("""COMPUTED_VALUE"""),"1762746828981")</f>
        <v>1762746828981</v>
      </c>
      <c r="B6519" s="2"/>
      <c r="C6519" s="2" t="str">
        <v>0</v>
      </c>
      <c r="D6519" s="2"/>
      <c r="F6519" s="2" t="str">
        <v>0</v>
      </c>
      <c r="I6519" s="3" t="str">
        <f ca="1">IFERROR(__xludf.DUMMYFUNCTION("""COMPUTED_VALUE"""),"Nguyễn Trịnh Phương Linh")</f>
        <v>Nguyễn Trịnh Phương Linh</v>
      </c>
      <c r="J6519" s="3" t="str">
        <f ca="1">IFERROR(__xludf.DUMMYFUNCTION("""COMPUTED_VALUE"""),"0896004186")</f>
        <v>0896004186</v>
      </c>
      <c r="K6519" s="2" t="str">
        <f ca="1">IFERROR(__xludf.DUMMYFUNCTION("""COMPUTED_VALUE"""),"1762746828981")</f>
        <v>1762746828981</v>
      </c>
    </row>
    <row r="6520" spans="1:11" ht="12.45">
      <c r="A6520" s="2" t="str">
        <f ca="1">IFERROR(__xludf.DUMMYFUNCTION("""COMPUTED_VALUE"""),"1762746894166")</f>
        <v>1762746894166</v>
      </c>
      <c r="B6520" s="2"/>
      <c r="C6520" s="2" t="str">
        <v>0</v>
      </c>
      <c r="D6520" s="2"/>
      <c r="F6520" s="2" t="str">
        <v>0</v>
      </c>
      <c r="I6520" s="3" t="str">
        <f ca="1">IFERROR(__xludf.DUMMYFUNCTION("""COMPUTED_VALUE"""),"Nguyễn Hoài Minh Thư")</f>
        <v>Nguyễn Hoài Minh Thư</v>
      </c>
      <c r="J6520" s="3" t="str">
        <f ca="1">IFERROR(__xludf.DUMMYFUNCTION("""COMPUTED_VALUE"""),"0812125307")</f>
        <v>0812125307</v>
      </c>
      <c r="K6520" s="2" t="str">
        <f ca="1">IFERROR(__xludf.DUMMYFUNCTION("""COMPUTED_VALUE"""),"1762746894166")</f>
        <v>1762746894166</v>
      </c>
    </row>
    <row r="6521" spans="1:11" ht="12.45">
      <c r="A6521" s="2" t="str">
        <f ca="1">IFERROR(__xludf.DUMMYFUNCTION("""COMPUTED_VALUE"""),"1762746940234")</f>
        <v>1762746940234</v>
      </c>
      <c r="B6521" s="2"/>
      <c r="C6521" s="2" t="str">
        <v>0</v>
      </c>
      <c r="D6521" s="2"/>
      <c r="F6521" s="2" t="str">
        <v>0</v>
      </c>
      <c r="I6521" s="3" t="str">
        <f ca="1">IFERROR(__xludf.DUMMYFUNCTION("""COMPUTED_VALUE"""),"Nguyễn Thị Trang")</f>
        <v>Nguyễn Thị Trang</v>
      </c>
      <c r="J6521" s="3" t="str">
        <f ca="1">IFERROR(__xludf.DUMMYFUNCTION("""COMPUTED_VALUE"""),"0325812487")</f>
        <v>0325812487</v>
      </c>
      <c r="K6521" s="2" t="str">
        <f ca="1">IFERROR(__xludf.DUMMYFUNCTION("""COMPUTED_VALUE"""),"1762746940234")</f>
        <v>1762746940234</v>
      </c>
    </row>
    <row r="6522" spans="1:11" ht="12.45">
      <c r="A6522" s="2" t="str">
        <f ca="1">IFERROR(__xludf.DUMMYFUNCTION("""COMPUTED_VALUE"""),"1762746978447")</f>
        <v>1762746978447</v>
      </c>
      <c r="B6522" s="2"/>
      <c r="C6522" s="2" t="str">
        <v>0</v>
      </c>
      <c r="D6522" s="2"/>
      <c r="F6522" s="2" t="str">
        <v>0</v>
      </c>
      <c r="I6522" s="3" t="str">
        <f ca="1">IFERROR(__xludf.DUMMYFUNCTION("""COMPUTED_VALUE"""),"Đặng Thị Quỳnh Trâm ")</f>
        <v xml:space="preserve">Đặng Thị Quỳnh Trâm </v>
      </c>
      <c r="J6522" s="3" t="str">
        <f ca="1">IFERROR(__xludf.DUMMYFUNCTION("""COMPUTED_VALUE"""),"0384617434")</f>
        <v>0384617434</v>
      </c>
      <c r="K6522" s="2" t="str">
        <f ca="1">IFERROR(__xludf.DUMMYFUNCTION("""COMPUTED_VALUE"""),"1762746978447")</f>
        <v>1762746978447</v>
      </c>
    </row>
    <row r="6523" spans="1:11" ht="12.45">
      <c r="A6523" s="2" t="str">
        <f ca="1">IFERROR(__xludf.DUMMYFUNCTION("""COMPUTED_VALUE"""),"1762747026382")</f>
        <v>1762747026382</v>
      </c>
      <c r="B6523" s="2"/>
      <c r="C6523" s="2" t="str">
        <v>0</v>
      </c>
      <c r="D6523" s="2"/>
      <c r="F6523" s="2" t="str">
        <v>0</v>
      </c>
      <c r="I6523" s="3" t="str">
        <f ca="1">IFERROR(__xludf.DUMMYFUNCTION("""COMPUTED_VALUE"""),"Trần Khánh Duy")</f>
        <v>Trần Khánh Duy</v>
      </c>
      <c r="J6523" s="3" t="str">
        <f ca="1">IFERROR(__xludf.DUMMYFUNCTION("""COMPUTED_VALUE"""),"0339475572")</f>
        <v>0339475572</v>
      </c>
      <c r="K6523" s="2" t="str">
        <f ca="1">IFERROR(__xludf.DUMMYFUNCTION("""COMPUTED_VALUE"""),"1762747026382")</f>
        <v>1762747026382</v>
      </c>
    </row>
    <row r="6524" spans="1:11" ht="12.45">
      <c r="A6524" s="2" t="str">
        <f ca="1">IFERROR(__xludf.DUMMYFUNCTION("""COMPUTED_VALUE"""),"1762747064052")</f>
        <v>1762747064052</v>
      </c>
      <c r="B6524" s="2"/>
      <c r="C6524" s="2" t="str">
        <v>0</v>
      </c>
      <c r="D6524" s="2"/>
      <c r="F6524" s="2" t="str">
        <v>0</v>
      </c>
      <c r="I6524" s="3" t="str">
        <f ca="1">IFERROR(__xludf.DUMMYFUNCTION("""COMPUTED_VALUE"""),"Phạm Minh Anh ")</f>
        <v xml:space="preserve">Phạm Minh Anh </v>
      </c>
      <c r="J6524" s="3" t="str">
        <f ca="1">IFERROR(__xludf.DUMMYFUNCTION("""COMPUTED_VALUE"""),"0394532541")</f>
        <v>0394532541</v>
      </c>
      <c r="K6524" s="2" t="str">
        <f ca="1">IFERROR(__xludf.DUMMYFUNCTION("""COMPUTED_VALUE"""),"1762747064052")</f>
        <v>1762747064052</v>
      </c>
    </row>
    <row r="6525" spans="1:11" ht="12.45">
      <c r="A6525" s="2" t="str">
        <f ca="1">IFERROR(__xludf.DUMMYFUNCTION("""COMPUTED_VALUE"""),"1763038069136")</f>
        <v>1763038069136</v>
      </c>
      <c r="B6525" s="2"/>
      <c r="C6525" s="2" t="str">
        <v>0</v>
      </c>
      <c r="D6525" s="2"/>
      <c r="F6525" s="2" t="str">
        <v>0</v>
      </c>
      <c r="I6525" s="3" t="str">
        <f ca="1">IFERROR(__xludf.DUMMYFUNCTION("""COMPUTED_VALUE"""),"Hoàng thanh hà")</f>
        <v>Hoàng thanh hà</v>
      </c>
      <c r="J6525" s="3" t="str">
        <f ca="1">IFERROR(__xludf.DUMMYFUNCTION("""COMPUTED_VALUE"""),"0865914208")</f>
        <v>0865914208</v>
      </c>
      <c r="K6525" s="2" t="str">
        <f ca="1">IFERROR(__xludf.DUMMYFUNCTION("""COMPUTED_VALUE"""),"1763038069136")</f>
        <v>1763038069136</v>
      </c>
    </row>
    <row r="6526" spans="1:11" ht="12.45">
      <c r="A6526" s="2" t="str">
        <f ca="1">IFERROR(__xludf.DUMMYFUNCTION("""COMPUTED_VALUE"""),"1763038117872")</f>
        <v>1763038117872</v>
      </c>
      <c r="B6526" s="2"/>
      <c r="C6526" s="2" t="str">
        <v>0</v>
      </c>
      <c r="D6526" s="2"/>
      <c r="F6526" s="2" t="str">
        <v>0</v>
      </c>
      <c r="I6526" s="3" t="str">
        <f ca="1">IFERROR(__xludf.DUMMYFUNCTION("""COMPUTED_VALUE"""),"Nguyễn Diệu Huyền ")</f>
        <v xml:space="preserve">Nguyễn Diệu Huyền </v>
      </c>
      <c r="J6526" s="3" t="str">
        <f ca="1">IFERROR(__xludf.DUMMYFUNCTION("""COMPUTED_VALUE"""),"0338332808")</f>
        <v>0338332808</v>
      </c>
      <c r="K6526" s="2" t="str">
        <f ca="1">IFERROR(__xludf.DUMMYFUNCTION("""COMPUTED_VALUE"""),"1763038117872")</f>
        <v>1763038117872</v>
      </c>
    </row>
    <row r="6527" spans="1:11" ht="12.45">
      <c r="A6527" s="2" t="str">
        <f ca="1">IFERROR(__xludf.DUMMYFUNCTION("""COMPUTED_VALUE"""),"1763038157396")</f>
        <v>1763038157396</v>
      </c>
      <c r="B6527" s="2"/>
      <c r="C6527" s="2" t="str">
        <v>0</v>
      </c>
      <c r="D6527" s="2"/>
      <c r="F6527" s="2" t="str">
        <v>0</v>
      </c>
      <c r="I6527" s="3" t="str">
        <f ca="1">IFERROR(__xludf.DUMMYFUNCTION("""COMPUTED_VALUE"""),"Phan Uyên Nhi")</f>
        <v>Phan Uyên Nhi</v>
      </c>
      <c r="J6527" s="3" t="str">
        <f ca="1">IFERROR(__xludf.DUMMYFUNCTION("""COMPUTED_VALUE"""),"0908610101")</f>
        <v>0908610101</v>
      </c>
      <c r="K6527" s="2" t="str">
        <f ca="1">IFERROR(__xludf.DUMMYFUNCTION("""COMPUTED_VALUE"""),"1763038157396")</f>
        <v>1763038157396</v>
      </c>
    </row>
    <row r="6528" spans="1:11" ht="12.45">
      <c r="A6528" s="2" t="str">
        <f ca="1">IFERROR(__xludf.DUMMYFUNCTION("""COMPUTED_VALUE"""),"1763038213647")</f>
        <v>1763038213647</v>
      </c>
      <c r="B6528" s="2"/>
      <c r="C6528" s="2" t="str">
        <v>0</v>
      </c>
      <c r="D6528" s="2"/>
      <c r="F6528" s="2" t="str">
        <v>0</v>
      </c>
      <c r="I6528" s="3" t="str">
        <f ca="1">IFERROR(__xludf.DUMMYFUNCTION("""COMPUTED_VALUE"""),"Nguyễn thị phương vy")</f>
        <v>Nguyễn thị phương vy</v>
      </c>
      <c r="J6528" s="3" t="str">
        <f ca="1">IFERROR(__xludf.DUMMYFUNCTION("""COMPUTED_VALUE"""),"0971363107")</f>
        <v>0971363107</v>
      </c>
      <c r="K6528" s="2" t="str">
        <f ca="1">IFERROR(__xludf.DUMMYFUNCTION("""COMPUTED_VALUE"""),"1763038213647")</f>
        <v>1763038213647</v>
      </c>
    </row>
    <row r="6529" spans="1:11" ht="12.45">
      <c r="A6529" s="2" t="str">
        <f ca="1">IFERROR(__xludf.DUMMYFUNCTION("""COMPUTED_VALUE"""),"Không giao sách")</f>
        <v>Không giao sách</v>
      </c>
      <c r="B6529" s="2"/>
      <c r="C6529" s="2" t="str">
        <v>0</v>
      </c>
      <c r="D6529" s="2"/>
      <c r="F6529" s="2" t="str">
        <v>0</v>
      </c>
      <c r="I6529" s="3" t="str">
        <f ca="1">IFERROR(__xludf.DUMMYFUNCTION("""COMPUTED_VALUE"""),"Trần Thị Khánh Huyền ")</f>
        <v xml:space="preserve">Trần Thị Khánh Huyền </v>
      </c>
      <c r="J6529" s="3" t="str">
        <f ca="1">IFERROR(__xludf.DUMMYFUNCTION("""COMPUTED_VALUE"""),"0384875076")</f>
        <v>0384875076</v>
      </c>
      <c r="K6529" s="2" t="str">
        <f ca="1">IFERROR(__xludf.DUMMYFUNCTION("""COMPUTED_VALUE"""),"Không giao sách")</f>
        <v>Không giao sách</v>
      </c>
    </row>
    <row r="6530" spans="1:11" ht="12.45">
      <c r="A6530" s="2" t="str">
        <f ca="1">IFERROR(__xludf.DUMMYFUNCTION("""COMPUTED_VALUE"""),"1763038296422")</f>
        <v>1763038296422</v>
      </c>
      <c r="B6530" s="2"/>
      <c r="C6530" s="2" t="str">
        <v>0</v>
      </c>
      <c r="D6530" s="2"/>
      <c r="F6530" s="2" t="str">
        <v>0</v>
      </c>
      <c r="I6530" s="3" t="str">
        <f ca="1">IFERROR(__xludf.DUMMYFUNCTION("""COMPUTED_VALUE"""),"Trần Mạnh Khương")</f>
        <v>Trần Mạnh Khương</v>
      </c>
      <c r="J6530" s="3" t="str">
        <f ca="1">IFERROR(__xludf.DUMMYFUNCTION("""COMPUTED_VALUE"""),"0981463526")</f>
        <v>0981463526</v>
      </c>
      <c r="K6530" s="2" t="str">
        <f ca="1">IFERROR(__xludf.DUMMYFUNCTION("""COMPUTED_VALUE"""),"1763038296422")</f>
        <v>1763038296422</v>
      </c>
    </row>
    <row r="6531" spans="1:11" ht="12.45">
      <c r="A6531" s="2" t="str">
        <f ca="1">IFERROR(__xludf.DUMMYFUNCTION("""COMPUTED_VALUE"""),"1763038342533")</f>
        <v>1763038342533</v>
      </c>
      <c r="B6531" s="2"/>
      <c r="C6531" s="2" t="str">
        <v>0</v>
      </c>
      <c r="D6531" s="2"/>
      <c r="F6531" s="2" t="str">
        <v>0</v>
      </c>
      <c r="I6531" s="3" t="str">
        <f ca="1">IFERROR(__xludf.DUMMYFUNCTION("""COMPUTED_VALUE"""),"Bùi Ngọc Hà")</f>
        <v>Bùi Ngọc Hà</v>
      </c>
      <c r="J6531" s="3" t="str">
        <f ca="1">IFERROR(__xludf.DUMMYFUNCTION("""COMPUTED_VALUE"""),"0368288287")</f>
        <v>0368288287</v>
      </c>
      <c r="K6531" s="2" t="str">
        <f ca="1">IFERROR(__xludf.DUMMYFUNCTION("""COMPUTED_VALUE"""),"1763038342533")</f>
        <v>1763038342533</v>
      </c>
    </row>
    <row r="6532" spans="1:11" ht="12.45">
      <c r="A6532" s="2" t="str">
        <f ca="1">IFERROR(__xludf.DUMMYFUNCTION("""COMPUTED_VALUE"""),"1763038396707")</f>
        <v>1763038396707</v>
      </c>
      <c r="B6532" s="2"/>
      <c r="C6532" s="2" t="str">
        <v>0</v>
      </c>
      <c r="D6532" s="2"/>
      <c r="F6532" s="2" t="str">
        <v>0</v>
      </c>
      <c r="I6532" s="3" t="str">
        <f ca="1">IFERROR(__xludf.DUMMYFUNCTION("""COMPUTED_VALUE"""),"Lê Thị Thúy Vy ")</f>
        <v xml:space="preserve">Lê Thị Thúy Vy </v>
      </c>
      <c r="J6532" s="3" t="str">
        <f ca="1">IFERROR(__xludf.DUMMYFUNCTION("""COMPUTED_VALUE"""),"0328830457")</f>
        <v>0328830457</v>
      </c>
      <c r="K6532" s="2" t="str">
        <f ca="1">IFERROR(__xludf.DUMMYFUNCTION("""COMPUTED_VALUE"""),"1763038396707")</f>
        <v>1763038396707</v>
      </c>
    </row>
    <row r="6533" spans="1:11" ht="12.45">
      <c r="A6533" s="2" t="str">
        <f ca="1">IFERROR(__xludf.DUMMYFUNCTION("""COMPUTED_VALUE"""),"1763038452074")</f>
        <v>1763038452074</v>
      </c>
      <c r="B6533" s="2"/>
      <c r="C6533" s="2" t="str">
        <v>0</v>
      </c>
      <c r="D6533" s="2"/>
      <c r="F6533" s="2" t="str">
        <v>0</v>
      </c>
      <c r="I6533" s="3" t="str">
        <f ca="1">IFERROR(__xludf.DUMMYFUNCTION("""COMPUTED_VALUE"""),"Tạ Bảo Ngân")</f>
        <v>Tạ Bảo Ngân</v>
      </c>
      <c r="J6533" s="3" t="str">
        <f ca="1">IFERROR(__xludf.DUMMYFUNCTION("""COMPUTED_VALUE"""),"0849524009")</f>
        <v>0849524009</v>
      </c>
      <c r="K6533" s="2" t="str">
        <f ca="1">IFERROR(__xludf.DUMMYFUNCTION("""COMPUTED_VALUE"""),"1763038452074")</f>
        <v>1763038452074</v>
      </c>
    </row>
    <row r="6534" spans="1:11" ht="12.45">
      <c r="A6534" s="2" t="str">
        <f ca="1">IFERROR(__xludf.DUMMYFUNCTION("""COMPUTED_VALUE"""),"1763038503356")</f>
        <v>1763038503356</v>
      </c>
      <c r="B6534" s="2"/>
      <c r="C6534" s="2" t="str">
        <v>0</v>
      </c>
      <c r="D6534" s="2"/>
      <c r="F6534" s="2" t="str">
        <v>0</v>
      </c>
      <c r="I6534" s="3" t="str">
        <f ca="1">IFERROR(__xludf.DUMMYFUNCTION("""COMPUTED_VALUE"""),"Lã Khánh Chi")</f>
        <v>Lã Khánh Chi</v>
      </c>
      <c r="J6534" s="3" t="str">
        <f ca="1">IFERROR(__xludf.DUMMYFUNCTION("""COMPUTED_VALUE"""),"0397734898")</f>
        <v>0397734898</v>
      </c>
      <c r="K6534" s="2" t="str">
        <f ca="1">IFERROR(__xludf.DUMMYFUNCTION("""COMPUTED_VALUE"""),"1763038503356")</f>
        <v>1763038503356</v>
      </c>
    </row>
    <row r="6535" spans="1:11" ht="12.45">
      <c r="A6535" s="2" t="str">
        <f ca="1">IFERROR(__xludf.DUMMYFUNCTION("""COMPUTED_VALUE"""),"1763038544976")</f>
        <v>1763038544976</v>
      </c>
      <c r="B6535" s="2"/>
      <c r="C6535" s="2" t="str">
        <v>0</v>
      </c>
      <c r="D6535" s="2"/>
      <c r="F6535" s="2" t="str">
        <v>0</v>
      </c>
      <c r="I6535" s="3" t="str">
        <f ca="1">IFERROR(__xludf.DUMMYFUNCTION("""COMPUTED_VALUE"""),"Hoàng Quỳnh Trang ")</f>
        <v xml:space="preserve">Hoàng Quỳnh Trang </v>
      </c>
      <c r="J6535" s="3" t="str">
        <f ca="1">IFERROR(__xludf.DUMMYFUNCTION("""COMPUTED_VALUE"""),"0984981693")</f>
        <v>0984981693</v>
      </c>
      <c r="K6535" s="2" t="str">
        <f ca="1">IFERROR(__xludf.DUMMYFUNCTION("""COMPUTED_VALUE"""),"1763038544976")</f>
        <v>1763038544976</v>
      </c>
    </row>
    <row r="6536" spans="1:11" ht="12.45">
      <c r="A6536" s="2" t="str">
        <f ca="1">IFERROR(__xludf.DUMMYFUNCTION("""COMPUTED_VALUE"""),"1763038596325")</f>
        <v>1763038596325</v>
      </c>
      <c r="B6536" s="2"/>
      <c r="C6536" s="2" t="str">
        <v>0</v>
      </c>
      <c r="D6536" s="2"/>
      <c r="F6536" s="2" t="str">
        <v>0</v>
      </c>
      <c r="I6536" s="3" t="str">
        <f ca="1">IFERROR(__xludf.DUMMYFUNCTION("""COMPUTED_VALUE"""),"Huỳnh Thị Vi Na")</f>
        <v>Huỳnh Thị Vi Na</v>
      </c>
      <c r="J6536" s="3" t="str">
        <f ca="1">IFERROR(__xludf.DUMMYFUNCTION("""COMPUTED_VALUE"""),"0862049047")</f>
        <v>0862049047</v>
      </c>
      <c r="K6536" s="2" t="str">
        <f ca="1">IFERROR(__xludf.DUMMYFUNCTION("""COMPUTED_VALUE"""),"1763038596325")</f>
        <v>1763038596325</v>
      </c>
    </row>
    <row r="6537" spans="1:11" ht="12.45">
      <c r="A6537" s="2" t="str">
        <f ca="1">IFERROR(__xludf.DUMMYFUNCTION("""COMPUTED_VALUE"""),"1763038648997")</f>
        <v>1763038648997</v>
      </c>
      <c r="B6537" s="2"/>
      <c r="C6537" s="2" t="str">
        <v>0</v>
      </c>
      <c r="D6537" s="2"/>
      <c r="F6537" s="2" t="str">
        <v>0</v>
      </c>
      <c r="I6537" s="3" t="str">
        <f ca="1">IFERROR(__xludf.DUMMYFUNCTION("""COMPUTED_VALUE"""),"Đặng Hồng Thủy")</f>
        <v>Đặng Hồng Thủy</v>
      </c>
      <c r="J6537" s="3" t="str">
        <f ca="1">IFERROR(__xludf.DUMMYFUNCTION("""COMPUTED_VALUE"""),"0706567276")</f>
        <v>0706567276</v>
      </c>
      <c r="K6537" s="2" t="str">
        <f ca="1">IFERROR(__xludf.DUMMYFUNCTION("""COMPUTED_VALUE"""),"1763038648997")</f>
        <v>1763038648997</v>
      </c>
    </row>
    <row r="6538" spans="1:11" ht="12.45">
      <c r="A6538" s="2" t="str">
        <f ca="1">IFERROR(__xludf.DUMMYFUNCTION("""COMPUTED_VALUE"""),"1763038710755")</f>
        <v>1763038710755</v>
      </c>
      <c r="B6538" s="2"/>
      <c r="C6538" s="2" t="str">
        <v>0</v>
      </c>
      <c r="D6538" s="2"/>
      <c r="F6538" s="2" t="str">
        <v>0</v>
      </c>
      <c r="I6538" s="3" t="str">
        <f ca="1">IFERROR(__xludf.DUMMYFUNCTION("""COMPUTED_VALUE"""),"Nguyễn Thúy Huyền ")</f>
        <v xml:space="preserve">Nguyễn Thúy Huyền </v>
      </c>
      <c r="J6538" s="3" t="str">
        <f ca="1">IFERROR(__xludf.DUMMYFUNCTION("""COMPUTED_VALUE"""),"0933853867")</f>
        <v>0933853867</v>
      </c>
      <c r="K6538" s="2" t="str">
        <f ca="1">IFERROR(__xludf.DUMMYFUNCTION("""COMPUTED_VALUE"""),"1763038710755")</f>
        <v>1763038710755</v>
      </c>
    </row>
    <row r="6539" spans="1:11" ht="12.45">
      <c r="A6539" s="2" t="str">
        <f ca="1">IFERROR(__xludf.DUMMYFUNCTION("""COMPUTED_VALUE"""),"1763038755963")</f>
        <v>1763038755963</v>
      </c>
      <c r="B6539" s="2"/>
      <c r="C6539" s="2" t="str">
        <v>0</v>
      </c>
      <c r="D6539" s="2"/>
      <c r="F6539" s="2" t="str">
        <v>0</v>
      </c>
      <c r="I6539" s="3" t="str">
        <f ca="1">IFERROR(__xludf.DUMMYFUNCTION("""COMPUTED_VALUE"""),"Nguyễn Thị Khánh Linh ")</f>
        <v xml:space="preserve">Nguyễn Thị Khánh Linh </v>
      </c>
      <c r="J6539" s="3" t="str">
        <f ca="1">IFERROR(__xludf.DUMMYFUNCTION("""COMPUTED_VALUE"""),"0799170107")</f>
        <v>0799170107</v>
      </c>
      <c r="K6539" s="2" t="str">
        <f ca="1">IFERROR(__xludf.DUMMYFUNCTION("""COMPUTED_VALUE"""),"1763038755963")</f>
        <v>1763038755963</v>
      </c>
    </row>
    <row r="6540" spans="1:11" ht="12.45">
      <c r="A6540" s="2" t="str">
        <f ca="1">IFERROR(__xludf.DUMMYFUNCTION("""COMPUTED_VALUE"""),"1763038796128")</f>
        <v>1763038796128</v>
      </c>
      <c r="B6540" s="2"/>
      <c r="C6540" s="2" t="str">
        <v>0</v>
      </c>
      <c r="D6540" s="2"/>
      <c r="F6540" s="2" t="str">
        <v>0</v>
      </c>
      <c r="I6540" s="3" t="str">
        <f ca="1">IFERROR(__xludf.DUMMYFUNCTION("""COMPUTED_VALUE"""),"Bùi Minh Trí")</f>
        <v>Bùi Minh Trí</v>
      </c>
      <c r="J6540" s="3" t="str">
        <f ca="1">IFERROR(__xludf.DUMMYFUNCTION("""COMPUTED_VALUE"""),"0355751450")</f>
        <v>0355751450</v>
      </c>
      <c r="K6540" s="2" t="str">
        <f ca="1">IFERROR(__xludf.DUMMYFUNCTION("""COMPUTED_VALUE"""),"1763038796128")</f>
        <v>1763038796128</v>
      </c>
    </row>
    <row r="6541" spans="1:11" ht="12.45">
      <c r="A6541" s="2" t="str">
        <f ca="1">IFERROR(__xludf.DUMMYFUNCTION("""COMPUTED_VALUE"""),"1763038834860")</f>
        <v>1763038834860</v>
      </c>
      <c r="B6541" s="2"/>
      <c r="C6541" s="2" t="str">
        <v>0</v>
      </c>
      <c r="D6541" s="2"/>
      <c r="F6541" s="2" t="str">
        <v>0</v>
      </c>
      <c r="I6541" s="3" t="str">
        <f ca="1">IFERROR(__xludf.DUMMYFUNCTION("""COMPUTED_VALUE"""),"Trương Yến Linh")</f>
        <v>Trương Yến Linh</v>
      </c>
      <c r="J6541" s="3" t="str">
        <f ca="1">IFERROR(__xludf.DUMMYFUNCTION("""COMPUTED_VALUE"""),"0334178224")</f>
        <v>0334178224</v>
      </c>
      <c r="K6541" s="2" t="str">
        <f ca="1">IFERROR(__xludf.DUMMYFUNCTION("""COMPUTED_VALUE"""),"1763038834860")</f>
        <v>1763038834860</v>
      </c>
    </row>
    <row r="6542" spans="1:11" ht="12.45">
      <c r="A6542" s="2" t="str">
        <f ca="1">IFERROR(__xludf.DUMMYFUNCTION("""COMPUTED_VALUE"""),"1763038898800")</f>
        <v>1763038898800</v>
      </c>
      <c r="B6542" s="2"/>
      <c r="C6542" s="2" t="str">
        <v>0</v>
      </c>
      <c r="D6542" s="2"/>
      <c r="F6542" s="2" t="str">
        <v>0</v>
      </c>
      <c r="I6542" s="3" t="str">
        <f ca="1">IFERROR(__xludf.DUMMYFUNCTION("""COMPUTED_VALUE"""),"Phạm Khánh Linh ")</f>
        <v xml:space="preserve">Phạm Khánh Linh </v>
      </c>
      <c r="J6542" s="3" t="str">
        <f ca="1">IFERROR(__xludf.DUMMYFUNCTION("""COMPUTED_VALUE"""),"0375033494")</f>
        <v>0375033494</v>
      </c>
      <c r="K6542" s="2" t="str">
        <f ca="1">IFERROR(__xludf.DUMMYFUNCTION("""COMPUTED_VALUE"""),"1763038898800")</f>
        <v>1763038898800</v>
      </c>
    </row>
    <row r="6543" spans="1:11" ht="12.45">
      <c r="A6543" s="2" t="str">
        <f ca="1">IFERROR(__xludf.DUMMYFUNCTION("""COMPUTED_VALUE"""),"1763038934235")</f>
        <v>1763038934235</v>
      </c>
      <c r="B6543" s="2"/>
      <c r="C6543" s="2" t="str">
        <v>0</v>
      </c>
      <c r="D6543" s="2"/>
      <c r="F6543" s="2" t="str">
        <v>0</v>
      </c>
      <c r="I6543" s="3" t="str">
        <f ca="1">IFERROR(__xludf.DUMMYFUNCTION("""COMPUTED_VALUE"""),"Đặng Diệu Hương")</f>
        <v>Đặng Diệu Hương</v>
      </c>
      <c r="J6543" s="3" t="str">
        <f ca="1">IFERROR(__xludf.DUMMYFUNCTION("""COMPUTED_VALUE"""),"0392029280")</f>
        <v>0392029280</v>
      </c>
      <c r="K6543" s="2" t="str">
        <f ca="1">IFERROR(__xludf.DUMMYFUNCTION("""COMPUTED_VALUE"""),"1763038934235")</f>
        <v>1763038934235</v>
      </c>
    </row>
    <row r="6544" spans="1:11" ht="12.45">
      <c r="A6544" s="2" t="str">
        <f ca="1">IFERROR(__xludf.DUMMYFUNCTION("""COMPUTED_VALUE"""),"1763038979743")</f>
        <v>1763038979743</v>
      </c>
      <c r="B6544" s="2"/>
      <c r="C6544" s="2" t="str">
        <v>0</v>
      </c>
      <c r="D6544" s="2"/>
      <c r="F6544" s="2" t="str">
        <v>0</v>
      </c>
      <c r="I6544" s="3" t="str">
        <f ca="1">IFERROR(__xludf.DUMMYFUNCTION("""COMPUTED_VALUE"""),"Nguyễn Ngọc Quỳnh")</f>
        <v>Nguyễn Ngọc Quỳnh</v>
      </c>
      <c r="J6544" s="3" t="str">
        <f ca="1">IFERROR(__xludf.DUMMYFUNCTION("""COMPUTED_VALUE"""),"0844657861")</f>
        <v>0844657861</v>
      </c>
      <c r="K6544" s="2" t="str">
        <f ca="1">IFERROR(__xludf.DUMMYFUNCTION("""COMPUTED_VALUE"""),"1763038979743")</f>
        <v>1763038979743</v>
      </c>
    </row>
    <row r="6545" spans="1:11" ht="12.45">
      <c r="A6545" s="2" t="str">
        <f ca="1">IFERROR(__xludf.DUMMYFUNCTION("""COMPUTED_VALUE"""),"1763039019875")</f>
        <v>1763039019875</v>
      </c>
      <c r="B6545" s="2"/>
      <c r="C6545" s="2" t="str">
        <v>0</v>
      </c>
      <c r="D6545" s="2"/>
      <c r="F6545" s="2" t="str">
        <v>0</v>
      </c>
      <c r="I6545" s="3" t="str">
        <f ca="1">IFERROR(__xludf.DUMMYFUNCTION("""COMPUTED_VALUE"""),"Vũ Mai Linh")</f>
        <v>Vũ Mai Linh</v>
      </c>
      <c r="J6545" s="3" t="str">
        <f ca="1">IFERROR(__xludf.DUMMYFUNCTION("""COMPUTED_VALUE"""),"0917725123")</f>
        <v>0917725123</v>
      </c>
      <c r="K6545" s="2" t="str">
        <f ca="1">IFERROR(__xludf.DUMMYFUNCTION("""COMPUTED_VALUE"""),"1763039019875")</f>
        <v>1763039019875</v>
      </c>
    </row>
    <row r="6546" spans="1:11" ht="12.45">
      <c r="A6546" s="2" t="str">
        <f ca="1">IFERROR(__xludf.DUMMYFUNCTION("""COMPUTED_VALUE"""),"1763039065389")</f>
        <v>1763039065389</v>
      </c>
      <c r="B6546" s="2"/>
      <c r="C6546" s="2" t="str">
        <v>0</v>
      </c>
      <c r="D6546" s="2"/>
      <c r="F6546" s="2" t="str">
        <v>0</v>
      </c>
      <c r="I6546" s="3" t="str">
        <f ca="1">IFERROR(__xludf.DUMMYFUNCTION("""COMPUTED_VALUE"""),"Võ Thị Khánh Vy ")</f>
        <v xml:space="preserve">Võ Thị Khánh Vy </v>
      </c>
      <c r="J6546" s="3" t="str">
        <f ca="1">IFERROR(__xludf.DUMMYFUNCTION("""COMPUTED_VALUE"""),"0898403904")</f>
        <v>0898403904</v>
      </c>
      <c r="K6546" s="2" t="str">
        <f ca="1">IFERROR(__xludf.DUMMYFUNCTION("""COMPUTED_VALUE"""),"1763039065389")</f>
        <v>1763039065389</v>
      </c>
    </row>
    <row r="6547" spans="1:11" ht="12.45">
      <c r="A6547" s="2" t="str">
        <f ca="1">IFERROR(__xludf.DUMMYFUNCTION("""COMPUTED_VALUE"""),"1763039115056")</f>
        <v>1763039115056</v>
      </c>
      <c r="B6547" s="2"/>
      <c r="C6547" s="2" t="str">
        <v>0</v>
      </c>
      <c r="D6547" s="2"/>
      <c r="F6547" s="2" t="str">
        <v>0</v>
      </c>
      <c r="I6547" s="3" t="str">
        <f ca="1">IFERROR(__xludf.DUMMYFUNCTION("""COMPUTED_VALUE"""),"Đào Lê Hoài")</f>
        <v>Đào Lê Hoài</v>
      </c>
      <c r="J6547" s="3" t="str">
        <f ca="1">IFERROR(__xludf.DUMMYFUNCTION("""COMPUTED_VALUE"""),"0359369467")</f>
        <v>0359369467</v>
      </c>
      <c r="K6547" s="2" t="str">
        <f ca="1">IFERROR(__xludf.DUMMYFUNCTION("""COMPUTED_VALUE"""),"1763039115056")</f>
        <v>1763039115056</v>
      </c>
    </row>
    <row r="6548" spans="1:11" ht="12.45">
      <c r="A6548" s="2" t="str">
        <f ca="1">IFERROR(__xludf.DUMMYFUNCTION("""COMPUTED_VALUE"""),"1763039166312")</f>
        <v>1763039166312</v>
      </c>
      <c r="B6548" s="2"/>
      <c r="C6548" s="2" t="str">
        <v>0</v>
      </c>
      <c r="D6548" s="2"/>
      <c r="F6548" s="2" t="str">
        <v>0</v>
      </c>
      <c r="I6548" s="3" t="str">
        <f ca="1">IFERROR(__xludf.DUMMYFUNCTION("""COMPUTED_VALUE"""),"Đặng Hồng Ngọc")</f>
        <v>Đặng Hồng Ngọc</v>
      </c>
      <c r="J6548" s="3" t="str">
        <f ca="1">IFERROR(__xludf.DUMMYFUNCTION("""COMPUTED_VALUE"""),"0365985568")</f>
        <v>0365985568</v>
      </c>
      <c r="K6548" s="2" t="str">
        <f ca="1">IFERROR(__xludf.DUMMYFUNCTION("""COMPUTED_VALUE"""),"1763039166312")</f>
        <v>1763039166312</v>
      </c>
    </row>
    <row r="6549" spans="1:11" ht="12.45">
      <c r="A6549" s="2" t="str">
        <f ca="1">IFERROR(__xludf.DUMMYFUNCTION("""COMPUTED_VALUE"""),"1763039233594")</f>
        <v>1763039233594</v>
      </c>
      <c r="B6549" s="2"/>
      <c r="C6549" s="2" t="str">
        <v>0</v>
      </c>
      <c r="D6549" s="2"/>
      <c r="F6549" s="2" t="str">
        <v>0</v>
      </c>
      <c r="I6549" s="3" t="str">
        <f ca="1">IFERROR(__xludf.DUMMYFUNCTION("""COMPUTED_VALUE"""),"Triệu Hoàng Yến Nhi")</f>
        <v>Triệu Hoàng Yến Nhi</v>
      </c>
      <c r="J6549" s="3" t="str">
        <f ca="1">IFERROR(__xludf.DUMMYFUNCTION("""COMPUTED_VALUE"""),"0961004860")</f>
        <v>0961004860</v>
      </c>
      <c r="K6549" s="2" t="str">
        <f ca="1">IFERROR(__xludf.DUMMYFUNCTION("""COMPUTED_VALUE"""),"1763039233594")</f>
        <v>1763039233594</v>
      </c>
    </row>
    <row r="6550" spans="1:11" ht="12.45">
      <c r="A6550" s="2" t="str">
        <f ca="1">IFERROR(__xludf.DUMMYFUNCTION("""COMPUTED_VALUE"""),"1763039277114")</f>
        <v>1763039277114</v>
      </c>
      <c r="B6550" s="2"/>
      <c r="C6550" s="2" t="str">
        <v>0</v>
      </c>
      <c r="D6550" s="2"/>
      <c r="F6550" s="2" t="str">
        <v>0</v>
      </c>
      <c r="I6550" s="3" t="str">
        <f ca="1">IFERROR(__xludf.DUMMYFUNCTION("""COMPUTED_VALUE"""),"Nguyễn Thu Hương")</f>
        <v>Nguyễn Thu Hương</v>
      </c>
      <c r="J6550" s="3" t="str">
        <f ca="1">IFERROR(__xludf.DUMMYFUNCTION("""COMPUTED_VALUE"""),"0967646896")</f>
        <v>0967646896</v>
      </c>
      <c r="K6550" s="2" t="str">
        <f ca="1">IFERROR(__xludf.DUMMYFUNCTION("""COMPUTED_VALUE"""),"1763039277114")</f>
        <v>1763039277114</v>
      </c>
    </row>
    <row r="6551" spans="1:11" ht="12.45">
      <c r="A6551" s="2" t="str">
        <f ca="1">IFERROR(__xludf.DUMMYFUNCTION("""COMPUTED_VALUE"""),"1763039371827")</f>
        <v>1763039371827</v>
      </c>
      <c r="B6551" s="2"/>
      <c r="C6551" s="2" t="str">
        <v>0</v>
      </c>
      <c r="D6551" s="2"/>
      <c r="F6551" s="2" t="str">
        <v>0</v>
      </c>
      <c r="I6551" s="3" t="str">
        <f ca="1">IFERROR(__xludf.DUMMYFUNCTION("""COMPUTED_VALUE"""),"Nguyễn Hữu Thiên Huy")</f>
        <v>Nguyễn Hữu Thiên Huy</v>
      </c>
      <c r="J6551" s="3" t="str">
        <f ca="1">IFERROR(__xludf.DUMMYFUNCTION("""COMPUTED_VALUE"""),"0915165602")</f>
        <v>0915165602</v>
      </c>
      <c r="K6551" s="2" t="str">
        <f ca="1">IFERROR(__xludf.DUMMYFUNCTION("""COMPUTED_VALUE"""),"1763039371827")</f>
        <v>1763039371827</v>
      </c>
    </row>
    <row r="6552" spans="1:11" ht="12.45">
      <c r="A6552" s="2" t="str">
        <f ca="1">IFERROR(__xludf.DUMMYFUNCTION("""COMPUTED_VALUE"""),"1763039431433")</f>
        <v>1763039431433</v>
      </c>
      <c r="B6552" s="2"/>
      <c r="C6552" s="2" t="str">
        <v>0</v>
      </c>
      <c r="D6552" s="2"/>
      <c r="F6552" s="2" t="str">
        <v>0</v>
      </c>
      <c r="I6552" s="3" t="str">
        <f ca="1">IFERROR(__xludf.DUMMYFUNCTION("""COMPUTED_VALUE"""),"Kiều Minh Ngọc")</f>
        <v>Kiều Minh Ngọc</v>
      </c>
      <c r="J6552" s="3" t="str">
        <f ca="1">IFERROR(__xludf.DUMMYFUNCTION("""COMPUTED_VALUE"""),"0976907958")</f>
        <v>0976907958</v>
      </c>
      <c r="K6552" s="2" t="str">
        <f ca="1">IFERROR(__xludf.DUMMYFUNCTION("""COMPUTED_VALUE"""),"1763039431433")</f>
        <v>1763039431433</v>
      </c>
    </row>
    <row r="6553" spans="1:11" ht="12.45">
      <c r="A6553" s="2" t="str">
        <f ca="1">IFERROR(__xludf.DUMMYFUNCTION("""COMPUTED_VALUE"""),"1763039487413")</f>
        <v>1763039487413</v>
      </c>
      <c r="B6553" s="2"/>
      <c r="C6553" s="2" t="str">
        <v>0</v>
      </c>
      <c r="D6553" s="2"/>
      <c r="F6553" s="2" t="str">
        <v>0</v>
      </c>
      <c r="I6553" s="3" t="str">
        <f ca="1">IFERROR(__xludf.DUMMYFUNCTION("""COMPUTED_VALUE"""),"Trần Ngọc Khánh Băng")</f>
        <v>Trần Ngọc Khánh Băng</v>
      </c>
      <c r="J6553" s="3" t="str">
        <f ca="1">IFERROR(__xludf.DUMMYFUNCTION("""COMPUTED_VALUE"""),"0343353345")</f>
        <v>0343353345</v>
      </c>
      <c r="K6553" s="2" t="str">
        <f ca="1">IFERROR(__xludf.DUMMYFUNCTION("""COMPUTED_VALUE"""),"1763039487413")</f>
        <v>1763039487413</v>
      </c>
    </row>
    <row r="6554" spans="1:11" ht="12.45">
      <c r="A6554" s="2" t="str">
        <f ca="1">IFERROR(__xludf.DUMMYFUNCTION("""COMPUTED_VALUE"""),"1763039553731")</f>
        <v>1763039553731</v>
      </c>
      <c r="B6554" s="2"/>
      <c r="C6554" s="2" t="str">
        <v>0</v>
      </c>
      <c r="D6554" s="2"/>
      <c r="F6554" s="2" t="str">
        <v>0</v>
      </c>
      <c r="I6554" s="3" t="str">
        <f ca="1">IFERROR(__xludf.DUMMYFUNCTION("""COMPUTED_VALUE"""),"Nguyễn Thanh Trà")</f>
        <v>Nguyễn Thanh Trà</v>
      </c>
      <c r="J6554" s="3" t="str">
        <f ca="1">IFERROR(__xludf.DUMMYFUNCTION("""COMPUTED_VALUE"""),"0916751739")</f>
        <v>0916751739</v>
      </c>
      <c r="K6554" s="2" t="str">
        <f ca="1">IFERROR(__xludf.DUMMYFUNCTION("""COMPUTED_VALUE"""),"1763039553731")</f>
        <v>1763039553731</v>
      </c>
    </row>
    <row r="6555" spans="1:11" ht="12.45">
      <c r="A6555" s="2" t="str">
        <f ca="1">IFERROR(__xludf.DUMMYFUNCTION("""COMPUTED_VALUE"""),"1763039604823")</f>
        <v>1763039604823</v>
      </c>
      <c r="B6555" s="2"/>
      <c r="C6555" s="2" t="str">
        <v>0</v>
      </c>
      <c r="D6555" s="2"/>
      <c r="F6555" s="2" t="str">
        <v>0</v>
      </c>
      <c r="I6555" s="3" t="str">
        <f ca="1">IFERROR(__xludf.DUMMYFUNCTION("""COMPUTED_VALUE"""),"Nguyễn Thị Hồng Đoan ")</f>
        <v xml:space="preserve">Nguyễn Thị Hồng Đoan </v>
      </c>
      <c r="J6555" s="3" t="str">
        <f ca="1">IFERROR(__xludf.DUMMYFUNCTION("""COMPUTED_VALUE"""),"0362556390")</f>
        <v>0362556390</v>
      </c>
      <c r="K6555" s="2" t="str">
        <f ca="1">IFERROR(__xludf.DUMMYFUNCTION("""COMPUTED_VALUE"""),"1763039604823")</f>
        <v>1763039604823</v>
      </c>
    </row>
    <row r="6556" spans="1:11" ht="12.45">
      <c r="A6556" s="2" t="str">
        <f ca="1">IFERROR(__xludf.DUMMYFUNCTION("""COMPUTED_VALUE"""),"1763039655391")</f>
        <v>1763039655391</v>
      </c>
      <c r="B6556" s="2"/>
      <c r="C6556" s="2" t="str">
        <v>0</v>
      </c>
      <c r="D6556" s="2"/>
      <c r="F6556" s="2" t="str">
        <v>0</v>
      </c>
      <c r="I6556" s="3" t="str">
        <f ca="1">IFERROR(__xludf.DUMMYFUNCTION("""COMPUTED_VALUE"""),"Phùng Mai Yến Anh")</f>
        <v>Phùng Mai Yến Anh</v>
      </c>
      <c r="J6556" s="3" t="str">
        <f ca="1">IFERROR(__xludf.DUMMYFUNCTION("""COMPUTED_VALUE"""),"0838133124")</f>
        <v>0838133124</v>
      </c>
      <c r="K6556" s="2" t="str">
        <f ca="1">IFERROR(__xludf.DUMMYFUNCTION("""COMPUTED_VALUE"""),"1763039655391")</f>
        <v>1763039655391</v>
      </c>
    </row>
    <row r="6557" spans="1:11" ht="12.45">
      <c r="A6557" s="2" t="str">
        <f ca="1">IFERROR(__xludf.DUMMYFUNCTION("""COMPUTED_VALUE"""),"1763039714238")</f>
        <v>1763039714238</v>
      </c>
      <c r="B6557" s="2"/>
      <c r="C6557" s="2" t="str">
        <v>0</v>
      </c>
      <c r="D6557" s="2"/>
      <c r="F6557" s="2" t="str">
        <v>0</v>
      </c>
      <c r="I6557" s="3" t="str">
        <f ca="1">IFERROR(__xludf.DUMMYFUNCTION("""COMPUTED_VALUE"""),"Nguyễn Vũ Ngọc Quỳnh")</f>
        <v>Nguyễn Vũ Ngọc Quỳnh</v>
      </c>
      <c r="J6557" s="3" t="str">
        <f ca="1">IFERROR(__xludf.DUMMYFUNCTION("""COMPUTED_VALUE"""),"0325990277")</f>
        <v>0325990277</v>
      </c>
      <c r="K6557" s="2" t="str">
        <f ca="1">IFERROR(__xludf.DUMMYFUNCTION("""COMPUTED_VALUE"""),"1763039714238")</f>
        <v>1763039714238</v>
      </c>
    </row>
    <row r="6558" spans="1:11" ht="12.45">
      <c r="A6558" s="2" t="str">
        <f ca="1">IFERROR(__xludf.DUMMYFUNCTION("""COMPUTED_VALUE"""),"1763039787380")</f>
        <v>1763039787380</v>
      </c>
      <c r="B6558" s="2"/>
      <c r="C6558" s="2" t="str">
        <v>0</v>
      </c>
      <c r="D6558" s="2"/>
      <c r="F6558" s="2" t="str">
        <v>0</v>
      </c>
      <c r="I6558" s="3" t="str">
        <f ca="1">IFERROR(__xludf.DUMMYFUNCTION("""COMPUTED_VALUE"""),"Hơ Văn Di")</f>
        <v>Hơ Văn Di</v>
      </c>
      <c r="J6558" s="3" t="str">
        <f ca="1">IFERROR(__xludf.DUMMYFUNCTION("""COMPUTED_VALUE"""),"0398758506")</f>
        <v>0398758506</v>
      </c>
      <c r="K6558" s="2" t="str">
        <f ca="1">IFERROR(__xludf.DUMMYFUNCTION("""COMPUTED_VALUE"""),"1763039787380")</f>
        <v>1763039787380</v>
      </c>
    </row>
    <row r="6559" spans="1:11" ht="12.45">
      <c r="A6559" s="2" t="str">
        <f ca="1">IFERROR(__xludf.DUMMYFUNCTION("""COMPUTED_VALUE"""),"1758488501634")</f>
        <v>1758488501634</v>
      </c>
      <c r="B6559" s="2"/>
      <c r="C6559" s="2" t="str">
        <v>0</v>
      </c>
      <c r="D6559" s="2"/>
      <c r="F6559" s="2" t="str">
        <v>0</v>
      </c>
      <c r="I6559" s="3" t="str">
        <f ca="1">IFERROR(__xludf.DUMMYFUNCTION("""COMPUTED_VALUE"""),"Trần Thị Hải Yến")</f>
        <v>Trần Thị Hải Yến</v>
      </c>
      <c r="J6559" s="3" t="str">
        <f ca="1">IFERROR(__xludf.DUMMYFUNCTION("""COMPUTED_VALUE"""),"0773348584")</f>
        <v>0773348584</v>
      </c>
      <c r="K6559" s="2" t="str">
        <f ca="1">IFERROR(__xludf.DUMMYFUNCTION("""COMPUTED_VALUE"""),"1758488501634")</f>
        <v>1758488501634</v>
      </c>
    </row>
    <row r="6560" spans="1:11" ht="12.45">
      <c r="A6560" s="2" t="str">
        <f ca="1">IFERROR(__xludf.DUMMYFUNCTION("""COMPUTED_VALUE"""),"1763039853556")</f>
        <v>1763039853556</v>
      </c>
      <c r="B6560" s="2"/>
      <c r="C6560" s="2" t="str">
        <v>0</v>
      </c>
      <c r="D6560" s="2"/>
      <c r="F6560" s="2" t="str">
        <v>0</v>
      </c>
      <c r="I6560" s="3" t="str">
        <f ca="1">IFERROR(__xludf.DUMMYFUNCTION("""COMPUTED_VALUE"""),"Hoàng Ngọc Chinh ")</f>
        <v xml:space="preserve">Hoàng Ngọc Chinh </v>
      </c>
      <c r="J6560" s="3" t="str">
        <f ca="1">IFERROR(__xludf.DUMMYFUNCTION("""COMPUTED_VALUE"""),"0395042069")</f>
        <v>0395042069</v>
      </c>
      <c r="K6560" s="2" t="str">
        <f ca="1">IFERROR(__xludf.DUMMYFUNCTION("""COMPUTED_VALUE"""),"1763039853556")</f>
        <v>1763039853556</v>
      </c>
    </row>
    <row r="6561" spans="1:11" ht="12.45">
      <c r="A6561" s="2" t="str">
        <f ca="1">IFERROR(__xludf.DUMMYFUNCTION("""COMPUTED_VALUE"""),"1763039914032")</f>
        <v>1763039914032</v>
      </c>
      <c r="B6561" s="2"/>
      <c r="C6561" s="2" t="str">
        <v>0</v>
      </c>
      <c r="D6561" s="2"/>
      <c r="F6561" s="2" t="str">
        <v>0</v>
      </c>
      <c r="I6561" s="3" t="str">
        <f ca="1">IFERROR(__xludf.DUMMYFUNCTION("""COMPUTED_VALUE"""),"Phạm Thị Tố Uyên")</f>
        <v>Phạm Thị Tố Uyên</v>
      </c>
      <c r="J6561" s="3" t="str">
        <f ca="1">IFERROR(__xludf.DUMMYFUNCTION("""COMPUTED_VALUE"""),"0915756946")</f>
        <v>0915756946</v>
      </c>
      <c r="K6561" s="2" t="str">
        <f ca="1">IFERROR(__xludf.DUMMYFUNCTION("""COMPUTED_VALUE"""),"1763039914032")</f>
        <v>1763039914032</v>
      </c>
    </row>
    <row r="6562" spans="1:11" ht="12.45">
      <c r="A6562" s="2" t="str">
        <f ca="1">IFERROR(__xludf.DUMMYFUNCTION("""COMPUTED_VALUE"""),"1763039954674")</f>
        <v>1763039954674</v>
      </c>
      <c r="B6562" s="2"/>
      <c r="C6562" s="2" t="str">
        <v>0</v>
      </c>
      <c r="D6562" s="2"/>
      <c r="F6562" s="2" t="str">
        <v>0</v>
      </c>
      <c r="I6562" s="3" t="str">
        <f ca="1">IFERROR(__xludf.DUMMYFUNCTION("""COMPUTED_VALUE"""),"Võ Văn Thành Đạt")</f>
        <v>Võ Văn Thành Đạt</v>
      </c>
      <c r="J6562" s="3" t="str">
        <f ca="1">IFERROR(__xludf.DUMMYFUNCTION("""COMPUTED_VALUE"""),"0789918568")</f>
        <v>0789918568</v>
      </c>
      <c r="K6562" s="2" t="str">
        <f ca="1">IFERROR(__xludf.DUMMYFUNCTION("""COMPUTED_VALUE"""),"1763039954674")</f>
        <v>1763039954674</v>
      </c>
    </row>
    <row r="6563" spans="1:11" ht="12.45">
      <c r="A6563" s="2" t="str">
        <f ca="1">IFERROR(__xludf.DUMMYFUNCTION("""COMPUTED_VALUE"""),"1763040022417")</f>
        <v>1763040022417</v>
      </c>
      <c r="B6563" s="2"/>
      <c r="C6563" s="2" t="str">
        <v>0</v>
      </c>
      <c r="D6563" s="2"/>
      <c r="F6563" s="2" t="str">
        <v>0</v>
      </c>
      <c r="I6563" s="3" t="str">
        <f ca="1">IFERROR(__xludf.DUMMYFUNCTION("""COMPUTED_VALUE"""),"Trần Ngọc Tiến ")</f>
        <v xml:space="preserve">Trần Ngọc Tiến </v>
      </c>
      <c r="J6563" s="3" t="str">
        <f ca="1">IFERROR(__xludf.DUMMYFUNCTION("""COMPUTED_VALUE"""),"0383172814")</f>
        <v>0383172814</v>
      </c>
      <c r="K6563" s="2" t="str">
        <f ca="1">IFERROR(__xludf.DUMMYFUNCTION("""COMPUTED_VALUE"""),"1763040022417")</f>
        <v>1763040022417</v>
      </c>
    </row>
    <row r="6564" spans="1:11" ht="12.45">
      <c r="A6564" s="2" t="str">
        <f ca="1">IFERROR(__xludf.DUMMYFUNCTION("""COMPUTED_VALUE"""),"1763040091273")</f>
        <v>1763040091273</v>
      </c>
      <c r="B6564" s="2"/>
      <c r="C6564" s="2" t="str">
        <v>0</v>
      </c>
      <c r="D6564" s="2"/>
      <c r="F6564" s="2" t="str">
        <v>0</v>
      </c>
      <c r="I6564" s="3" t="str">
        <f ca="1">IFERROR(__xludf.DUMMYFUNCTION("""COMPUTED_VALUE"""),"Đỗ Nguyễn Thể Quân ")</f>
        <v xml:space="preserve">Đỗ Nguyễn Thể Quân </v>
      </c>
      <c r="J6564" s="3" t="str">
        <f ca="1">IFERROR(__xludf.DUMMYFUNCTION("""COMPUTED_VALUE"""),"0931175413")</f>
        <v>0931175413</v>
      </c>
      <c r="K6564" s="2" t="str">
        <f ca="1">IFERROR(__xludf.DUMMYFUNCTION("""COMPUTED_VALUE"""),"1763040091273")</f>
        <v>1763040091273</v>
      </c>
    </row>
    <row r="6565" spans="1:11" ht="12.45">
      <c r="A6565" s="2" t="str">
        <f ca="1">IFERROR(__xludf.DUMMYFUNCTION("""COMPUTED_VALUE"""),"1763040155287")</f>
        <v>1763040155287</v>
      </c>
      <c r="B6565" s="2"/>
      <c r="C6565" s="2" t="str">
        <v>0</v>
      </c>
      <c r="D6565" s="2"/>
      <c r="F6565" s="2" t="str">
        <v>0</v>
      </c>
      <c r="I6565" s="3" t="str">
        <f ca="1">IFERROR(__xludf.DUMMYFUNCTION("""COMPUTED_VALUE"""),"Vũ Minh Thái")</f>
        <v>Vũ Minh Thái</v>
      </c>
      <c r="J6565" s="3" t="str">
        <f ca="1">IFERROR(__xludf.DUMMYFUNCTION("""COMPUTED_VALUE"""),"0964471796")</f>
        <v>0964471796</v>
      </c>
      <c r="K6565" s="2" t="str">
        <f ca="1">IFERROR(__xludf.DUMMYFUNCTION("""COMPUTED_VALUE"""),"1763040155287")</f>
        <v>1763040155287</v>
      </c>
    </row>
    <row r="6566" spans="1:11" ht="12.45">
      <c r="A6566" s="2" t="str">
        <f ca="1">IFERROR(__xludf.DUMMYFUNCTION("""COMPUTED_VALUE"""),"1763040214861")</f>
        <v>1763040214861</v>
      </c>
      <c r="B6566" s="2"/>
      <c r="C6566" s="2" t="str">
        <v>0</v>
      </c>
      <c r="D6566" s="2"/>
      <c r="F6566" s="2" t="str">
        <v>0</v>
      </c>
      <c r="I6566" s="3" t="str">
        <f ca="1">IFERROR(__xludf.DUMMYFUNCTION("""COMPUTED_VALUE"""),"Nguyễn Ngọc An")</f>
        <v>Nguyễn Ngọc An</v>
      </c>
      <c r="J6566" s="3" t="str">
        <f ca="1">IFERROR(__xludf.DUMMYFUNCTION("""COMPUTED_VALUE"""),"0375578409")</f>
        <v>0375578409</v>
      </c>
      <c r="K6566" s="2" t="str">
        <f ca="1">IFERROR(__xludf.DUMMYFUNCTION("""COMPUTED_VALUE"""),"1763040214861")</f>
        <v>1763040214861</v>
      </c>
    </row>
    <row r="6567" spans="1:11" ht="12.45">
      <c r="A6567" s="2" t="str">
        <f ca="1">IFERROR(__xludf.DUMMYFUNCTION("""COMPUTED_VALUE"""),"1763040261199")</f>
        <v>1763040261199</v>
      </c>
      <c r="B6567" s="2"/>
      <c r="C6567" s="2" t="str">
        <v>0</v>
      </c>
      <c r="D6567" s="2"/>
      <c r="F6567" s="2" t="str">
        <v>0</v>
      </c>
      <c r="I6567" s="3" t="str">
        <f ca="1">IFERROR(__xludf.DUMMYFUNCTION("""COMPUTED_VALUE"""),"Khánh Nguyễn")</f>
        <v>Khánh Nguyễn</v>
      </c>
      <c r="J6567" s="3" t="str">
        <f ca="1">IFERROR(__xludf.DUMMYFUNCTION("""COMPUTED_VALUE"""),"0392404760")</f>
        <v>0392404760</v>
      </c>
      <c r="K6567" s="2" t="str">
        <f ca="1">IFERROR(__xludf.DUMMYFUNCTION("""COMPUTED_VALUE"""),"1763040261199")</f>
        <v>1763040261199</v>
      </c>
    </row>
    <row r="6568" spans="1:11" ht="12.45">
      <c r="A6568" s="2" t="str">
        <f ca="1">IFERROR(__xludf.DUMMYFUNCTION("""COMPUTED_VALUE"""),"1763040299768")</f>
        <v>1763040299768</v>
      </c>
      <c r="B6568" s="2"/>
      <c r="C6568" s="2" t="str">
        <v>0</v>
      </c>
      <c r="D6568" s="2"/>
      <c r="F6568" s="2" t="str">
        <v>0</v>
      </c>
      <c r="I6568" s="3" t="str">
        <f ca="1">IFERROR(__xludf.DUMMYFUNCTION("""COMPUTED_VALUE"""),"Nguyễn Thị Khánh Băng")</f>
        <v>Nguyễn Thị Khánh Băng</v>
      </c>
      <c r="J6568" s="3" t="str">
        <f ca="1">IFERROR(__xludf.DUMMYFUNCTION("""COMPUTED_VALUE"""),"0865984038")</f>
        <v>0865984038</v>
      </c>
      <c r="K6568" s="2" t="str">
        <f ca="1">IFERROR(__xludf.DUMMYFUNCTION("""COMPUTED_VALUE"""),"1763040299768")</f>
        <v>1763040299768</v>
      </c>
    </row>
    <row r="6569" spans="1:11" ht="12.45">
      <c r="A6569" s="2" t="str">
        <f ca="1">IFERROR(__xludf.DUMMYFUNCTION("""COMPUTED_VALUE"""),"1763040347187")</f>
        <v>1763040347187</v>
      </c>
      <c r="B6569" s="2"/>
      <c r="C6569" s="2" t="str">
        <v>0</v>
      </c>
      <c r="D6569" s="2"/>
      <c r="F6569" s="2" t="str">
        <v>0</v>
      </c>
      <c r="I6569" s="3" t="str">
        <f ca="1">IFERROR(__xludf.DUMMYFUNCTION("""COMPUTED_VALUE"""),"Võ Hoàng Thùy Ngân")</f>
        <v>Võ Hoàng Thùy Ngân</v>
      </c>
      <c r="J6569" s="3" t="str">
        <f ca="1">IFERROR(__xludf.DUMMYFUNCTION("""COMPUTED_VALUE"""),"0979301490")</f>
        <v>0979301490</v>
      </c>
      <c r="K6569" s="2" t="str">
        <f ca="1">IFERROR(__xludf.DUMMYFUNCTION("""COMPUTED_VALUE"""),"1763040347187")</f>
        <v>1763040347187</v>
      </c>
    </row>
    <row r="6570" spans="1:11" ht="12.45">
      <c r="A6570" s="2" t="str">
        <f ca="1">IFERROR(__xludf.DUMMYFUNCTION("""COMPUTED_VALUE"""),"1763040391843")</f>
        <v>1763040391843</v>
      </c>
      <c r="B6570" s="2"/>
      <c r="C6570" s="2" t="str">
        <v>0</v>
      </c>
      <c r="D6570" s="2"/>
      <c r="F6570" s="2" t="str">
        <v>0</v>
      </c>
      <c r="I6570" s="3" t="str">
        <f ca="1">IFERROR(__xludf.DUMMYFUNCTION("""COMPUTED_VALUE"""),"Lò Tuyết Mai")</f>
        <v>Lò Tuyết Mai</v>
      </c>
      <c r="J6570" s="3" t="str">
        <f ca="1">IFERROR(__xludf.DUMMYFUNCTION("""COMPUTED_VALUE"""),"0855850951")</f>
        <v>0855850951</v>
      </c>
      <c r="K6570" s="2" t="str">
        <f ca="1">IFERROR(__xludf.DUMMYFUNCTION("""COMPUTED_VALUE"""),"1763040391843")</f>
        <v>1763040391843</v>
      </c>
    </row>
    <row r="6571" spans="1:11" ht="12.45">
      <c r="A6571" s="2" t="str">
        <f ca="1">IFERROR(__xludf.DUMMYFUNCTION("""COMPUTED_VALUE"""),"1763040453366")</f>
        <v>1763040453366</v>
      </c>
      <c r="B6571" s="2"/>
      <c r="C6571" s="2" t="str">
        <v>0</v>
      </c>
      <c r="D6571" s="2"/>
      <c r="F6571" s="2" t="str">
        <v>0</v>
      </c>
      <c r="I6571" s="3" t="str">
        <f ca="1">IFERROR(__xludf.DUMMYFUNCTION("""COMPUTED_VALUE"""),"Bùi Nguyễn Thanh Trân")</f>
        <v>Bùi Nguyễn Thanh Trân</v>
      </c>
      <c r="J6571" s="3" t="str">
        <f ca="1">IFERROR(__xludf.DUMMYFUNCTION("""COMPUTED_VALUE"""),"0335879417")</f>
        <v>0335879417</v>
      </c>
      <c r="K6571" s="2" t="str">
        <f ca="1">IFERROR(__xludf.DUMMYFUNCTION("""COMPUTED_VALUE"""),"1763040453366")</f>
        <v>1763040453366</v>
      </c>
    </row>
    <row r="6572" spans="1:11" ht="12.45">
      <c r="A6572" s="2" t="str">
        <f ca="1">IFERROR(__xludf.DUMMYFUNCTION("""COMPUTED_VALUE"""),"1763040528244")</f>
        <v>1763040528244</v>
      </c>
      <c r="B6572" s="2"/>
      <c r="C6572" s="2" t="str">
        <v>0</v>
      </c>
      <c r="D6572" s="2"/>
      <c r="F6572" s="2" t="str">
        <v>0</v>
      </c>
      <c r="I6572" s="3" t="str">
        <f ca="1">IFERROR(__xludf.DUMMYFUNCTION("""COMPUTED_VALUE"""),"Trần Thanh Thảo")</f>
        <v>Trần Thanh Thảo</v>
      </c>
      <c r="J6572" s="3" t="str">
        <f ca="1">IFERROR(__xludf.DUMMYFUNCTION("""COMPUTED_VALUE"""),"0913415332")</f>
        <v>0913415332</v>
      </c>
      <c r="K6572" s="2" t="str">
        <f ca="1">IFERROR(__xludf.DUMMYFUNCTION("""COMPUTED_VALUE"""),"1763040528244")</f>
        <v>1763040528244</v>
      </c>
    </row>
    <row r="6573" spans="1:11" ht="12.45">
      <c r="A6573" s="2" t="str">
        <f ca="1">IFERROR(__xludf.DUMMYFUNCTION("""COMPUTED_VALUE"""),"1763040578835")</f>
        <v>1763040578835</v>
      </c>
      <c r="B6573" s="2"/>
      <c r="C6573" s="2" t="str">
        <v>0</v>
      </c>
      <c r="D6573" s="2"/>
      <c r="F6573" s="2" t="str">
        <v>0</v>
      </c>
      <c r="I6573" s="3" t="str">
        <f ca="1">IFERROR(__xludf.DUMMYFUNCTION("""COMPUTED_VALUE"""),"Nguyễn Thị Cao Thuỳ")</f>
        <v>Nguyễn Thị Cao Thuỳ</v>
      </c>
      <c r="J6573" s="3" t="str">
        <f ca="1">IFERROR(__xludf.DUMMYFUNCTION("""COMPUTED_VALUE"""),"0703063475")</f>
        <v>0703063475</v>
      </c>
      <c r="K6573" s="2" t="str">
        <f ca="1">IFERROR(__xludf.DUMMYFUNCTION("""COMPUTED_VALUE"""),"1763040578835")</f>
        <v>1763040578835</v>
      </c>
    </row>
    <row r="6574" spans="1:11" ht="12.45">
      <c r="A6574" s="2" t="str">
        <f ca="1">IFERROR(__xludf.DUMMYFUNCTION("""COMPUTED_VALUE"""),"1763040854990")</f>
        <v>1763040854990</v>
      </c>
      <c r="B6574" s="2"/>
      <c r="C6574" s="2" t="str">
        <v>0</v>
      </c>
      <c r="D6574" s="2"/>
      <c r="F6574" s="2" t="str">
        <v>0</v>
      </c>
      <c r="I6574" s="3" t="str">
        <f ca="1">IFERROR(__xludf.DUMMYFUNCTION("""COMPUTED_VALUE"""),"Hoàng vần tiến")</f>
        <v>Hoàng vần tiến</v>
      </c>
      <c r="J6574" s="3" t="str">
        <f ca="1">IFERROR(__xludf.DUMMYFUNCTION("""COMPUTED_VALUE"""),"0987146390")</f>
        <v>0987146390</v>
      </c>
      <c r="K6574" s="2" t="str">
        <f ca="1">IFERROR(__xludf.DUMMYFUNCTION("""COMPUTED_VALUE"""),"1763040854990")</f>
        <v>1763040854990</v>
      </c>
    </row>
    <row r="6575" spans="1:11" ht="12.45">
      <c r="A6575" s="2" t="str">
        <f ca="1">IFERROR(__xludf.DUMMYFUNCTION("""COMPUTED_VALUE"""),"1763040681512")</f>
        <v>1763040681512</v>
      </c>
      <c r="B6575" s="2"/>
      <c r="C6575" s="2" t="str">
        <v>0</v>
      </c>
      <c r="D6575" s="2"/>
      <c r="F6575" s="2" t="str">
        <v>0</v>
      </c>
      <c r="I6575" s="3" t="str">
        <f ca="1">IFERROR(__xludf.DUMMYFUNCTION("""COMPUTED_VALUE"""),"Dương Thị Như Quỳnh")</f>
        <v>Dương Thị Như Quỳnh</v>
      </c>
      <c r="J6575" s="3" t="str">
        <f ca="1">IFERROR(__xludf.DUMMYFUNCTION("""COMPUTED_VALUE"""),"0346302189")</f>
        <v>0346302189</v>
      </c>
      <c r="K6575" s="2" t="str">
        <f ca="1">IFERROR(__xludf.DUMMYFUNCTION("""COMPUTED_VALUE"""),"1763040681512")</f>
        <v>1763040681512</v>
      </c>
    </row>
    <row r="6576" spans="1:11" ht="12.45">
      <c r="A6576" s="2" t="str">
        <f ca="1">IFERROR(__xludf.DUMMYFUNCTION("""COMPUTED_VALUE"""),"1763378148280")</f>
        <v>1763378148280</v>
      </c>
      <c r="B6576" s="2"/>
      <c r="C6576" s="2" t="str">
        <v>0</v>
      </c>
      <c r="D6576" s="2"/>
      <c r="F6576" s="2" t="str">
        <v>0</v>
      </c>
      <c r="I6576" s="3" t="str">
        <f ca="1">IFERROR(__xludf.DUMMYFUNCTION("""COMPUTED_VALUE"""),"Nguyễn Thị Thúy Nga")</f>
        <v>Nguyễn Thị Thúy Nga</v>
      </c>
      <c r="J6576" s="3" t="str">
        <f ca="1">IFERROR(__xludf.DUMMYFUNCTION("""COMPUTED_VALUE"""),"0328236061")</f>
        <v>0328236061</v>
      </c>
      <c r="K6576" s="2" t="str">
        <f ca="1">IFERROR(__xludf.DUMMYFUNCTION("""COMPUTED_VALUE"""),"1763378148280")</f>
        <v>1763378148280</v>
      </c>
    </row>
    <row r="6577" spans="1:11" ht="12.45">
      <c r="A6577" s="2" t="str">
        <f ca="1">IFERROR(__xludf.DUMMYFUNCTION("""COMPUTED_VALUE"""),"1763040725762")</f>
        <v>1763040725762</v>
      </c>
      <c r="B6577" s="2"/>
      <c r="C6577" s="2" t="str">
        <v>0</v>
      </c>
      <c r="D6577" s="2"/>
      <c r="F6577" s="2" t="str">
        <v>0</v>
      </c>
      <c r="I6577" s="3" t="str">
        <f ca="1">IFERROR(__xludf.DUMMYFUNCTION("""COMPUTED_VALUE"""),"Nguyễn Lê Diễm My ")</f>
        <v xml:space="preserve">Nguyễn Lê Diễm My </v>
      </c>
      <c r="J6577" s="3" t="str">
        <f ca="1">IFERROR(__xludf.DUMMYFUNCTION("""COMPUTED_VALUE"""),"0788713239")</f>
        <v>0788713239</v>
      </c>
      <c r="K6577" s="2" t="str">
        <f ca="1">IFERROR(__xludf.DUMMYFUNCTION("""COMPUTED_VALUE"""),"1763040725762")</f>
        <v>1763040725762</v>
      </c>
    </row>
    <row r="6578" spans="1:11" ht="12.45">
      <c r="A6578" s="2" t="str">
        <f ca="1">IFERROR(__xludf.DUMMYFUNCTION("""COMPUTED_VALUE"""),"1763040768798")</f>
        <v>1763040768798</v>
      </c>
      <c r="B6578" s="2"/>
      <c r="C6578" s="2" t="str">
        <v>0</v>
      </c>
      <c r="D6578" s="2"/>
      <c r="F6578" s="2" t="str">
        <v>0</v>
      </c>
      <c r="I6578" s="3" t="str">
        <f ca="1">IFERROR(__xludf.DUMMYFUNCTION("""COMPUTED_VALUE"""),"Phan Thị Hà")</f>
        <v>Phan Thị Hà</v>
      </c>
      <c r="J6578" s="3" t="str">
        <f ca="1">IFERROR(__xludf.DUMMYFUNCTION("""COMPUTED_VALUE"""),"0877663710")</f>
        <v>0877663710</v>
      </c>
      <c r="K6578" s="2" t="str">
        <f ca="1">IFERROR(__xludf.DUMMYFUNCTION("""COMPUTED_VALUE"""),"1763040768798")</f>
        <v>1763040768798</v>
      </c>
    </row>
    <row r="6579" spans="1:11" ht="12.45">
      <c r="A6579" s="2" t="str">
        <f ca="1">IFERROR(__xludf.DUMMYFUNCTION("""COMPUTED_VALUE"""),"1763040807091")</f>
        <v>1763040807091</v>
      </c>
      <c r="B6579" s="2"/>
      <c r="C6579" s="2" t="str">
        <v>0</v>
      </c>
      <c r="D6579" s="2"/>
      <c r="F6579" s="2" t="str">
        <v>0</v>
      </c>
      <c r="I6579" s="3" t="str">
        <f ca="1">IFERROR(__xludf.DUMMYFUNCTION("""COMPUTED_VALUE"""),"Lương Quý Phước")</f>
        <v>Lương Quý Phước</v>
      </c>
      <c r="J6579" s="3" t="str">
        <f ca="1">IFERROR(__xludf.DUMMYFUNCTION("""COMPUTED_VALUE"""),"0349097703")</f>
        <v>0349097703</v>
      </c>
      <c r="K6579" s="2" t="str">
        <f ca="1">IFERROR(__xludf.DUMMYFUNCTION("""COMPUTED_VALUE"""),"1763040807091")</f>
        <v>1763040807091</v>
      </c>
    </row>
    <row r="6580" spans="1:11" ht="12.45">
      <c r="A6580" s="2">
        <f ca="1">IFERROR(__xludf.DUMMYFUNCTION("""COMPUTED_VALUE"""),1763040638456)</f>
        <v>1763040638456</v>
      </c>
      <c r="B6580" s="2"/>
      <c r="C6580" s="2" t="str">
        <v>0</v>
      </c>
      <c r="D6580" s="2"/>
      <c r="F6580" s="2" t="str">
        <v>0</v>
      </c>
      <c r="I6580" s="3" t="str">
        <f ca="1">IFERROR(__xludf.DUMMYFUNCTION("""COMPUTED_VALUE"""),"Hoàng vần tiến")</f>
        <v>Hoàng vần tiến</v>
      </c>
      <c r="J6580" s="3" t="str">
        <f ca="1">IFERROR(__xludf.DUMMYFUNCTION("""COMPUTED_VALUE"""),"0987146390")</f>
        <v>0987146390</v>
      </c>
      <c r="K6580" s="2">
        <f ca="1">IFERROR(__xludf.DUMMYFUNCTION("""COMPUTED_VALUE"""),1763040638456)</f>
        <v>1763040638456</v>
      </c>
    </row>
    <row r="6581" spans="1:11" ht="12.45">
      <c r="A6581" s="2" t="str">
        <f ca="1">IFERROR(__xludf.DUMMYFUNCTION("""COMPUTED_VALUE"""),"1763040902657")</f>
        <v>1763040902657</v>
      </c>
      <c r="B6581" s="2"/>
      <c r="C6581" s="2" t="str">
        <v>0</v>
      </c>
      <c r="D6581" s="2"/>
      <c r="F6581" s="2" t="str">
        <v>0</v>
      </c>
      <c r="I6581" s="3" t="str">
        <f ca="1">IFERROR(__xludf.DUMMYFUNCTION("""COMPUTED_VALUE"""),"Nông Thị Thùy Linh ")</f>
        <v xml:space="preserve">Nông Thị Thùy Linh </v>
      </c>
      <c r="J6581" s="3" t="str">
        <f ca="1">IFERROR(__xludf.DUMMYFUNCTION("""COMPUTED_VALUE"""),"0367905505")</f>
        <v>0367905505</v>
      </c>
      <c r="K6581" s="2" t="str">
        <f ca="1">IFERROR(__xludf.DUMMYFUNCTION("""COMPUTED_VALUE"""),"1763040902657")</f>
        <v>1763040902657</v>
      </c>
    </row>
    <row r="6582" spans="1:11" ht="12.45">
      <c r="A6582" s="2" t="str">
        <f ca="1">IFERROR(__xludf.DUMMYFUNCTION("""COMPUTED_VALUE"""),"1763040949020")</f>
        <v>1763040949020</v>
      </c>
      <c r="B6582" s="2"/>
      <c r="C6582" s="2" t="str">
        <v>0</v>
      </c>
      <c r="D6582" s="2"/>
      <c r="F6582" s="2" t="str">
        <v>0</v>
      </c>
      <c r="I6582" s="3" t="str">
        <f ca="1">IFERROR(__xludf.DUMMYFUNCTION("""COMPUTED_VALUE"""),"Hoàng Hải Nam")</f>
        <v>Hoàng Hải Nam</v>
      </c>
      <c r="J6582" s="3" t="str">
        <f ca="1">IFERROR(__xludf.DUMMYFUNCTION("""COMPUTED_VALUE"""),"0825115190")</f>
        <v>0825115190</v>
      </c>
      <c r="K6582" s="2" t="str">
        <f ca="1">IFERROR(__xludf.DUMMYFUNCTION("""COMPUTED_VALUE"""),"1763040949020")</f>
        <v>1763040949020</v>
      </c>
    </row>
    <row r="6583" spans="1:11" ht="12.45">
      <c r="A6583" s="2" t="str">
        <f ca="1">IFERROR(__xludf.DUMMYFUNCTION("""COMPUTED_VALUE"""),"1763040996208")</f>
        <v>1763040996208</v>
      </c>
      <c r="B6583" s="2"/>
      <c r="C6583" s="2" t="str">
        <v>0</v>
      </c>
      <c r="D6583" s="2"/>
      <c r="F6583" s="2" t="str">
        <v>0</v>
      </c>
      <c r="I6583" s="3" t="str">
        <f ca="1">IFERROR(__xludf.DUMMYFUNCTION("""COMPUTED_VALUE"""),"Đặng Trần Hà My")</f>
        <v>Đặng Trần Hà My</v>
      </c>
      <c r="J6583" s="3" t="str">
        <f ca="1">IFERROR(__xludf.DUMMYFUNCTION("""COMPUTED_VALUE"""),"0398134882")</f>
        <v>0398134882</v>
      </c>
      <c r="K6583" s="2" t="str">
        <f ca="1">IFERROR(__xludf.DUMMYFUNCTION("""COMPUTED_VALUE"""),"1763040996208")</f>
        <v>1763040996208</v>
      </c>
    </row>
    <row r="6584" spans="1:11" ht="12.45">
      <c r="A6584" s="2" t="str">
        <f ca="1">IFERROR(__xludf.DUMMYFUNCTION("""COMPUTED_VALUE"""),"Không giao sách")</f>
        <v>Không giao sách</v>
      </c>
      <c r="B6584" s="2"/>
      <c r="C6584" s="2" t="str">
        <v>0</v>
      </c>
      <c r="D6584" s="2"/>
      <c r="F6584" s="2" t="str">
        <v>0</v>
      </c>
      <c r="I6584" s="3" t="str">
        <f ca="1">IFERROR(__xludf.DUMMYFUNCTION("""COMPUTED_VALUE"""),"Đinh Quốc Vỹ Văn")</f>
        <v>Đinh Quốc Vỹ Văn</v>
      </c>
      <c r="J6584" s="3" t="str">
        <f ca="1">IFERROR(__xludf.DUMMYFUNCTION("""COMPUTED_VALUE"""),"0708778307")</f>
        <v>0708778307</v>
      </c>
      <c r="K6584" s="2" t="str">
        <f ca="1">IFERROR(__xludf.DUMMYFUNCTION("""COMPUTED_VALUE"""),"Không giao sách")</f>
        <v>Không giao sách</v>
      </c>
    </row>
    <row r="6585" spans="1:11" ht="12.45">
      <c r="A6585" s="2"/>
      <c r="B6585" s="2"/>
      <c r="C6585" s="2" t="str">
        <v>0</v>
      </c>
      <c r="D6585" s="2"/>
      <c r="F6585" s="2" t="str">
        <v>0</v>
      </c>
      <c r="I6585" s="3" t="str">
        <f ca="1">IFERROR(__xludf.DUMMYFUNCTION("""COMPUTED_VALUE"""),"Trần Thị Hải Anh")</f>
        <v>Trần Thị Hải Anh</v>
      </c>
      <c r="J6585" s="3" t="str">
        <f ca="1">IFERROR(__xludf.DUMMYFUNCTION("""COMPUTED_VALUE"""),"0369448912")</f>
        <v>0369448912</v>
      </c>
      <c r="K6585" s="2"/>
    </row>
    <row r="6586" spans="1:11" ht="12.45">
      <c r="A6586" s="2" t="str">
        <f ca="1">IFERROR(__xludf.DUMMYFUNCTION("""COMPUTED_VALUE"""),"1763041034659")</f>
        <v>1763041034659</v>
      </c>
      <c r="B6586" s="2"/>
      <c r="C6586" s="2" t="str">
        <v>0</v>
      </c>
      <c r="D6586" s="2"/>
      <c r="F6586" s="2" t="str">
        <v>0</v>
      </c>
      <c r="I6586" s="3" t="str">
        <f ca="1">IFERROR(__xludf.DUMMYFUNCTION("""COMPUTED_VALUE"""),"Nguyễn Ngọc Mai Anh")</f>
        <v>Nguyễn Ngọc Mai Anh</v>
      </c>
      <c r="J6586" s="3" t="str">
        <f ca="1">IFERROR(__xludf.DUMMYFUNCTION("""COMPUTED_VALUE"""),"0337231601")</f>
        <v>0337231601</v>
      </c>
      <c r="K6586" s="2" t="str">
        <f ca="1">IFERROR(__xludf.DUMMYFUNCTION("""COMPUTED_VALUE"""),"1763041034659")</f>
        <v>1763041034659</v>
      </c>
    </row>
    <row r="6587" spans="1:11" ht="12.45">
      <c r="A6587" s="2" t="str">
        <f ca="1">IFERROR(__xludf.DUMMYFUNCTION("""COMPUTED_VALUE"""),"1763041081375")</f>
        <v>1763041081375</v>
      </c>
      <c r="B6587" s="2"/>
      <c r="C6587" s="2" t="str">
        <v>0</v>
      </c>
      <c r="D6587" s="2"/>
      <c r="F6587" s="2" t="str">
        <v>0</v>
      </c>
      <c r="I6587" s="3" t="str">
        <f ca="1">IFERROR(__xludf.DUMMYFUNCTION("""COMPUTED_VALUE"""),"Trần Thị Phương Anh")</f>
        <v>Trần Thị Phương Anh</v>
      </c>
      <c r="J6587" s="3" t="str">
        <f ca="1">IFERROR(__xludf.DUMMYFUNCTION("""COMPUTED_VALUE"""),"0372773942")</f>
        <v>0372773942</v>
      </c>
      <c r="K6587" s="2" t="str">
        <f ca="1">IFERROR(__xludf.DUMMYFUNCTION("""COMPUTED_VALUE"""),"1763041081375")</f>
        <v>1763041081375</v>
      </c>
    </row>
    <row r="6588" spans="1:11" ht="12.45">
      <c r="A6588" s="2" t="str">
        <f ca="1">IFERROR(__xludf.DUMMYFUNCTION("""COMPUTED_VALUE"""),"1763041119316")</f>
        <v>1763041119316</v>
      </c>
      <c r="B6588" s="2"/>
      <c r="C6588" s="2" t="str">
        <v>0</v>
      </c>
      <c r="D6588" s="2"/>
      <c r="F6588" s="2" t="str">
        <v>0</v>
      </c>
      <c r="I6588" s="3" t="str">
        <f ca="1">IFERROR(__xludf.DUMMYFUNCTION("""COMPUTED_VALUE"""),"Trần Lê Ly Ny")</f>
        <v>Trần Lê Ly Ny</v>
      </c>
      <c r="J6588" s="3" t="str">
        <f ca="1">IFERROR(__xludf.DUMMYFUNCTION("""COMPUTED_VALUE"""),"0818708069")</f>
        <v>0818708069</v>
      </c>
      <c r="K6588" s="2" t="str">
        <f ca="1">IFERROR(__xludf.DUMMYFUNCTION("""COMPUTED_VALUE"""),"1763041119316")</f>
        <v>1763041119316</v>
      </c>
    </row>
    <row r="6589" spans="1:11" ht="12.45">
      <c r="A6589" s="2" t="str">
        <f ca="1">IFERROR(__xludf.DUMMYFUNCTION("""COMPUTED_VALUE"""),"1763041162181")</f>
        <v>1763041162181</v>
      </c>
      <c r="B6589" s="2"/>
      <c r="C6589" s="2" t="str">
        <v>0</v>
      </c>
      <c r="D6589" s="2"/>
      <c r="F6589" s="2" t="str">
        <v>0</v>
      </c>
      <c r="I6589" s="3" t="str">
        <f ca="1">IFERROR(__xludf.DUMMYFUNCTION("""COMPUTED_VALUE"""),"Nguyễn Thành Đạt")</f>
        <v>Nguyễn Thành Đạt</v>
      </c>
      <c r="J6589" s="3" t="str">
        <f ca="1">IFERROR(__xludf.DUMMYFUNCTION("""COMPUTED_VALUE"""),"0865828324")</f>
        <v>0865828324</v>
      </c>
      <c r="K6589" s="2" t="str">
        <f ca="1">IFERROR(__xludf.DUMMYFUNCTION("""COMPUTED_VALUE"""),"1763041162181")</f>
        <v>1763041162181</v>
      </c>
    </row>
    <row r="6590" spans="1:11" ht="12.45">
      <c r="A6590" s="2" t="str">
        <f ca="1">IFERROR(__xludf.DUMMYFUNCTION("""COMPUTED_VALUE"""),"1763041214732")</f>
        <v>1763041214732</v>
      </c>
      <c r="B6590" s="2"/>
      <c r="C6590" s="2" t="str">
        <v>0</v>
      </c>
      <c r="D6590" s="2"/>
      <c r="F6590" s="2" t="str">
        <v>0</v>
      </c>
      <c r="I6590" s="3" t="str">
        <f ca="1">IFERROR(__xludf.DUMMYFUNCTION("""COMPUTED_VALUE"""),"Trần Mai Phương")</f>
        <v>Trần Mai Phương</v>
      </c>
      <c r="J6590" s="3" t="str">
        <f ca="1">IFERROR(__xludf.DUMMYFUNCTION("""COMPUTED_VALUE"""),"0988369009")</f>
        <v>0988369009</v>
      </c>
      <c r="K6590" s="2" t="str">
        <f ca="1">IFERROR(__xludf.DUMMYFUNCTION("""COMPUTED_VALUE"""),"1763041214732")</f>
        <v>1763041214732</v>
      </c>
    </row>
    <row r="6591" spans="1:11" ht="12.45">
      <c r="A6591" s="2" t="str">
        <f ca="1">IFERROR(__xludf.DUMMYFUNCTION("""COMPUTED_VALUE"""),"1763041261746")</f>
        <v>1763041261746</v>
      </c>
      <c r="B6591" s="2"/>
      <c r="C6591" s="2" t="str">
        <v>0</v>
      </c>
      <c r="D6591" s="2"/>
      <c r="F6591" s="2" t="str">
        <v>0</v>
      </c>
      <c r="I6591" s="3" t="str">
        <f ca="1">IFERROR(__xludf.DUMMYFUNCTION("""COMPUTED_VALUE"""),"Nguyễn Thị Như Thảo")</f>
        <v>Nguyễn Thị Như Thảo</v>
      </c>
      <c r="J6591" s="3" t="str">
        <f ca="1">IFERROR(__xludf.DUMMYFUNCTION("""COMPUTED_VALUE"""),"0345182541")</f>
        <v>0345182541</v>
      </c>
      <c r="K6591" s="2" t="str">
        <f ca="1">IFERROR(__xludf.DUMMYFUNCTION("""COMPUTED_VALUE"""),"1763041261746")</f>
        <v>1763041261746</v>
      </c>
    </row>
    <row r="6592" spans="1:11" ht="12.45">
      <c r="A6592" s="2" t="str">
        <f ca="1">IFERROR(__xludf.DUMMYFUNCTION("""COMPUTED_VALUE"""),"1763041308536")</f>
        <v>1763041308536</v>
      </c>
      <c r="B6592" s="2"/>
      <c r="C6592" s="2" t="str">
        <v>0</v>
      </c>
      <c r="D6592" s="2"/>
      <c r="F6592" s="2" t="str">
        <v>0</v>
      </c>
      <c r="I6592" s="3" t="str">
        <f ca="1">IFERROR(__xludf.DUMMYFUNCTION("""COMPUTED_VALUE"""),"Vũ Lê Anh Phương")</f>
        <v>Vũ Lê Anh Phương</v>
      </c>
      <c r="J6592" s="3" t="str">
        <f ca="1">IFERROR(__xludf.DUMMYFUNCTION("""COMPUTED_VALUE"""),"0398275218")</f>
        <v>0398275218</v>
      </c>
      <c r="K6592" s="2" t="str">
        <f ca="1">IFERROR(__xludf.DUMMYFUNCTION("""COMPUTED_VALUE"""),"1763041308536")</f>
        <v>1763041308536</v>
      </c>
    </row>
    <row r="6593" spans="1:11" ht="12.45">
      <c r="A6593" s="2" t="str">
        <f ca="1">IFERROR(__xludf.DUMMYFUNCTION("""COMPUTED_VALUE"""),"1763041342947")</f>
        <v>1763041342947</v>
      </c>
      <c r="B6593" s="2"/>
      <c r="C6593" s="2" t="str">
        <v>0</v>
      </c>
      <c r="D6593" s="2"/>
      <c r="F6593" s="2" t="str">
        <v>0</v>
      </c>
      <c r="I6593" s="3" t="str">
        <f ca="1">IFERROR(__xludf.DUMMYFUNCTION("""COMPUTED_VALUE"""),"Nguyễn Tú Anh")</f>
        <v>Nguyễn Tú Anh</v>
      </c>
      <c r="J6593" s="3" t="str">
        <f ca="1">IFERROR(__xludf.DUMMYFUNCTION("""COMPUTED_VALUE"""),"0789963885")</f>
        <v>0789963885</v>
      </c>
      <c r="K6593" s="2" t="str">
        <f ca="1">IFERROR(__xludf.DUMMYFUNCTION("""COMPUTED_VALUE"""),"1763041342947")</f>
        <v>1763041342947</v>
      </c>
    </row>
    <row r="6594" spans="1:11" ht="12.45">
      <c r="A6594" s="2" t="str">
        <f ca="1">IFERROR(__xludf.DUMMYFUNCTION("""COMPUTED_VALUE"""),"1763041396801")</f>
        <v>1763041396801</v>
      </c>
      <c r="B6594" s="2"/>
      <c r="C6594" s="2" t="str">
        <v>0</v>
      </c>
      <c r="D6594" s="2"/>
      <c r="F6594" s="2" t="str">
        <v>0</v>
      </c>
      <c r="I6594" s="3" t="str">
        <f ca="1">IFERROR(__xludf.DUMMYFUNCTION("""COMPUTED_VALUE"""),"Phan Thị Mai Linh")</f>
        <v>Phan Thị Mai Linh</v>
      </c>
      <c r="J6594" s="3" t="str">
        <f ca="1">IFERROR(__xludf.DUMMYFUNCTION("""COMPUTED_VALUE"""),"0384856109")</f>
        <v>0384856109</v>
      </c>
      <c r="K6594" s="2" t="str">
        <f ca="1">IFERROR(__xludf.DUMMYFUNCTION("""COMPUTED_VALUE"""),"1763041396801")</f>
        <v>1763041396801</v>
      </c>
    </row>
    <row r="6595" spans="1:11" ht="12.45">
      <c r="A6595" s="2" t="str">
        <f ca="1">IFERROR(__xludf.DUMMYFUNCTION("""COMPUTED_VALUE"""),"1763041446522")</f>
        <v>1763041446522</v>
      </c>
      <c r="B6595" s="2"/>
      <c r="C6595" s="2" t="str">
        <v>0</v>
      </c>
      <c r="D6595" s="2"/>
      <c r="F6595" s="2" t="str">
        <v>0</v>
      </c>
      <c r="I6595" s="3" t="str">
        <f ca="1">IFERROR(__xludf.DUMMYFUNCTION("""COMPUTED_VALUE"""),"Nguyễn Ngô Trường Vy")</f>
        <v>Nguyễn Ngô Trường Vy</v>
      </c>
      <c r="J6595" s="3" t="str">
        <f ca="1">IFERROR(__xludf.DUMMYFUNCTION("""COMPUTED_VALUE"""),"0589044277")</f>
        <v>0589044277</v>
      </c>
      <c r="K6595" s="2" t="str">
        <f ca="1">IFERROR(__xludf.DUMMYFUNCTION("""COMPUTED_VALUE"""),"1763041446522")</f>
        <v>1763041446522</v>
      </c>
    </row>
    <row r="6596" spans="1:11" ht="12.45">
      <c r="A6596" s="2" t="str">
        <f ca="1">IFERROR(__xludf.DUMMYFUNCTION("""COMPUTED_VALUE"""),"1763041497941")</f>
        <v>1763041497941</v>
      </c>
      <c r="B6596" s="2"/>
      <c r="C6596" s="2" t="str">
        <v>0</v>
      </c>
      <c r="D6596" s="2"/>
      <c r="F6596" s="2" t="str">
        <v>0</v>
      </c>
      <c r="I6596" s="3" t="str">
        <f ca="1">IFERROR(__xludf.DUMMYFUNCTION("""COMPUTED_VALUE"""),"Phạm Ngọc Gia Hân")</f>
        <v>Phạm Ngọc Gia Hân</v>
      </c>
      <c r="J6596" s="3" t="str">
        <f ca="1">IFERROR(__xludf.DUMMYFUNCTION("""COMPUTED_VALUE"""),"0941430595")</f>
        <v>0941430595</v>
      </c>
      <c r="K6596" s="2" t="str">
        <f ca="1">IFERROR(__xludf.DUMMYFUNCTION("""COMPUTED_VALUE"""),"1763041497941")</f>
        <v>1763041497941</v>
      </c>
    </row>
    <row r="6597" spans="1:11" ht="12.45">
      <c r="A6597" s="2" t="str">
        <f ca="1">IFERROR(__xludf.DUMMYFUNCTION("""COMPUTED_VALUE"""),"1763041532556")</f>
        <v>1763041532556</v>
      </c>
      <c r="B6597" s="2"/>
      <c r="C6597" s="2" t="str">
        <v>0</v>
      </c>
      <c r="D6597" s="2"/>
      <c r="F6597" s="2" t="str">
        <v>0</v>
      </c>
      <c r="I6597" s="3" t="str">
        <f ca="1">IFERROR(__xludf.DUMMYFUNCTION("""COMPUTED_VALUE"""),"Nguyễn Thị Thảo Linh ")</f>
        <v xml:space="preserve">Nguyễn Thị Thảo Linh </v>
      </c>
      <c r="J6597" s="3" t="str">
        <f ca="1">IFERROR(__xludf.DUMMYFUNCTION("""COMPUTED_VALUE"""),"0352674420")</f>
        <v>0352674420</v>
      </c>
      <c r="K6597" s="2" t="str">
        <f ca="1">IFERROR(__xludf.DUMMYFUNCTION("""COMPUTED_VALUE"""),"1763041532556")</f>
        <v>1763041532556</v>
      </c>
    </row>
    <row r="6598" spans="1:11" ht="12.45">
      <c r="A6598" s="2" t="str">
        <f ca="1">IFERROR(__xludf.DUMMYFUNCTION("""COMPUTED_VALUE"""),"1763041580556")</f>
        <v>1763041580556</v>
      </c>
      <c r="B6598" s="2"/>
      <c r="C6598" s="2" t="str">
        <v>0</v>
      </c>
      <c r="D6598" s="2"/>
      <c r="F6598" s="2" t="str">
        <v>0</v>
      </c>
      <c r="I6598" s="3" t="str">
        <f ca="1">IFERROR(__xludf.DUMMYFUNCTION("""COMPUTED_VALUE"""),"Nguyễn Thị Ngọc Mai ")</f>
        <v xml:space="preserve">Nguyễn Thị Ngọc Mai </v>
      </c>
      <c r="J6598" s="3" t="str">
        <f ca="1">IFERROR(__xludf.DUMMYFUNCTION("""COMPUTED_VALUE"""),"0931390294")</f>
        <v>0931390294</v>
      </c>
      <c r="K6598" s="2" t="str">
        <f ca="1">IFERROR(__xludf.DUMMYFUNCTION("""COMPUTED_VALUE"""),"1763041580556")</f>
        <v>1763041580556</v>
      </c>
    </row>
    <row r="6599" spans="1:11" ht="12.45">
      <c r="A6599" s="2" t="str">
        <f ca="1">IFERROR(__xludf.DUMMYFUNCTION("""COMPUTED_VALUE"""),"1763041627219")</f>
        <v>1763041627219</v>
      </c>
      <c r="B6599" s="2"/>
      <c r="C6599" s="2" t="str">
        <v>0</v>
      </c>
      <c r="D6599" s="2"/>
      <c r="F6599" s="2" t="str">
        <v>0</v>
      </c>
      <c r="I6599" s="3" t="str">
        <f ca="1">IFERROR(__xludf.DUMMYFUNCTION("""COMPUTED_VALUE"""),"Lục Thị Hải Yến ")</f>
        <v xml:space="preserve">Lục Thị Hải Yến </v>
      </c>
      <c r="J6599" s="3" t="str">
        <f ca="1">IFERROR(__xludf.DUMMYFUNCTION("""COMPUTED_VALUE"""),"0329824944")</f>
        <v>0329824944</v>
      </c>
      <c r="K6599" s="2" t="str">
        <f ca="1">IFERROR(__xludf.DUMMYFUNCTION("""COMPUTED_VALUE"""),"1763041627219")</f>
        <v>1763041627219</v>
      </c>
    </row>
    <row r="6600" spans="1:11" ht="12.45">
      <c r="A6600" s="2" t="str">
        <f ca="1">IFERROR(__xludf.DUMMYFUNCTION("""COMPUTED_VALUE"""),"1763041678343")</f>
        <v>1763041678343</v>
      </c>
      <c r="B6600" s="2"/>
      <c r="C6600" s="2" t="str">
        <v>0</v>
      </c>
      <c r="D6600" s="2"/>
      <c r="F6600" s="2" t="str">
        <v>0</v>
      </c>
      <c r="I6600" s="3" t="str">
        <f ca="1">IFERROR(__xludf.DUMMYFUNCTION("""COMPUTED_VALUE"""),"Đặng Gia Mỹ")</f>
        <v>Đặng Gia Mỹ</v>
      </c>
      <c r="J6600" s="3" t="str">
        <f ca="1">IFERROR(__xludf.DUMMYFUNCTION("""COMPUTED_VALUE"""),"0867976843")</f>
        <v>0867976843</v>
      </c>
      <c r="K6600" s="2" t="str">
        <f ca="1">IFERROR(__xludf.DUMMYFUNCTION("""COMPUTED_VALUE"""),"1763041678343")</f>
        <v>1763041678343</v>
      </c>
    </row>
    <row r="6601" spans="1:11" ht="12.45">
      <c r="A6601" s="2" t="str">
        <f ca="1">IFERROR(__xludf.DUMMYFUNCTION("""COMPUTED_VALUE"""),"1763041752748")</f>
        <v>1763041752748</v>
      </c>
      <c r="B6601" s="2"/>
      <c r="C6601" s="2" t="str">
        <v>0</v>
      </c>
      <c r="D6601" s="2"/>
      <c r="F6601" s="2" t="str">
        <v>0</v>
      </c>
      <c r="I6601" s="3" t="str">
        <f ca="1">IFERROR(__xludf.DUMMYFUNCTION("""COMPUTED_VALUE"""),"Nguyễn Hà My")</f>
        <v>Nguyễn Hà My</v>
      </c>
      <c r="J6601" s="3" t="str">
        <f ca="1">IFERROR(__xludf.DUMMYFUNCTION("""COMPUTED_VALUE"""),"0986776448")</f>
        <v>0986776448</v>
      </c>
      <c r="K6601" s="2" t="str">
        <f ca="1">IFERROR(__xludf.DUMMYFUNCTION("""COMPUTED_VALUE"""),"1763041752748")</f>
        <v>1763041752748</v>
      </c>
    </row>
    <row r="6602" spans="1:11" ht="12.45">
      <c r="A6602" s="2" t="str">
        <f ca="1">IFERROR(__xludf.DUMMYFUNCTION("""COMPUTED_VALUE"""),"1763041811326")</f>
        <v>1763041811326</v>
      </c>
      <c r="B6602" s="2"/>
      <c r="C6602" s="2" t="str">
        <v>0</v>
      </c>
      <c r="D6602" s="2"/>
      <c r="F6602" s="2" t="str">
        <v>0</v>
      </c>
      <c r="I6602" s="3" t="str">
        <f ca="1">IFERROR(__xludf.DUMMYFUNCTION("""COMPUTED_VALUE"""),"Lưu Trần Khánh Minh")</f>
        <v>Lưu Trần Khánh Minh</v>
      </c>
      <c r="J6602" s="3" t="str">
        <f ca="1">IFERROR(__xludf.DUMMYFUNCTION("""COMPUTED_VALUE"""),"0943422177")</f>
        <v>0943422177</v>
      </c>
      <c r="K6602" s="2" t="str">
        <f ca="1">IFERROR(__xludf.DUMMYFUNCTION("""COMPUTED_VALUE"""),"1763041811326")</f>
        <v>1763041811326</v>
      </c>
    </row>
    <row r="6603" spans="1:11" ht="12.45">
      <c r="A6603" s="2" t="str">
        <f ca="1">IFERROR(__xludf.DUMMYFUNCTION("""COMPUTED_VALUE"""),"Không giao sách")</f>
        <v>Không giao sách</v>
      </c>
      <c r="B6603" s="2"/>
      <c r="C6603" s="2" t="str">
        <v>0</v>
      </c>
      <c r="D6603" s="2"/>
      <c r="F6603" s="2" t="str">
        <v>0</v>
      </c>
      <c r="I6603" s="3" t="str">
        <f ca="1">IFERROR(__xludf.DUMMYFUNCTION("""COMPUTED_VALUE"""),"Nguyễn Huyền Vy")</f>
        <v>Nguyễn Huyền Vy</v>
      </c>
      <c r="J6603" s="3" t="str">
        <f ca="1">IFERROR(__xludf.DUMMYFUNCTION("""COMPUTED_VALUE"""),"0779707317")</f>
        <v>0779707317</v>
      </c>
      <c r="K6603" s="2" t="str">
        <f ca="1">IFERROR(__xludf.DUMMYFUNCTION("""COMPUTED_VALUE"""),"Không giao sách")</f>
        <v>Không giao sách</v>
      </c>
    </row>
    <row r="6604" spans="1:11" ht="12.45">
      <c r="A6604" s="2" t="str">
        <f ca="1">IFERROR(__xludf.DUMMYFUNCTION("""COMPUTED_VALUE"""),"1763041876722")</f>
        <v>1763041876722</v>
      </c>
      <c r="B6604" s="2"/>
      <c r="C6604" s="2" t="str">
        <v>0</v>
      </c>
      <c r="D6604" s="2"/>
      <c r="F6604" s="2" t="str">
        <v>0</v>
      </c>
      <c r="I6604" s="3" t="str">
        <f ca="1">IFERROR(__xludf.DUMMYFUNCTION("""COMPUTED_VALUE"""),"Võ Ngọc Thuỷ Thương")</f>
        <v>Võ Ngọc Thuỷ Thương</v>
      </c>
      <c r="J6604" s="3" t="str">
        <f ca="1">IFERROR(__xludf.DUMMYFUNCTION("""COMPUTED_VALUE"""),"0359615808")</f>
        <v>0359615808</v>
      </c>
      <c r="K6604" s="2" t="str">
        <f ca="1">IFERROR(__xludf.DUMMYFUNCTION("""COMPUTED_VALUE"""),"1763041876722")</f>
        <v>1763041876722</v>
      </c>
    </row>
    <row r="6605" spans="1:11" ht="12.45">
      <c r="A6605" s="2" t="str">
        <f ca="1">IFERROR(__xludf.DUMMYFUNCTION("""COMPUTED_VALUE"""),"Không giao sách")</f>
        <v>Không giao sách</v>
      </c>
      <c r="B6605" s="2"/>
      <c r="C6605" s="2" t="str">
        <v>0</v>
      </c>
      <c r="D6605" s="2"/>
      <c r="F6605" s="2" t="str">
        <v>0</v>
      </c>
      <c r="I6605" s="3" t="str">
        <f ca="1">IFERROR(__xludf.DUMMYFUNCTION("""COMPUTED_VALUE"""),"Phan Thảo Nguyên")</f>
        <v>Phan Thảo Nguyên</v>
      </c>
      <c r="J6605" s="3" t="str">
        <f ca="1">IFERROR(__xludf.DUMMYFUNCTION("""COMPUTED_VALUE"""),"0332493490")</f>
        <v>0332493490</v>
      </c>
      <c r="K6605" s="2" t="str">
        <f ca="1">IFERROR(__xludf.DUMMYFUNCTION("""COMPUTED_VALUE"""),"Không giao sách")</f>
        <v>Không giao sách</v>
      </c>
    </row>
    <row r="6606" spans="1:11" ht="12.45">
      <c r="A6606" s="2" t="str">
        <f ca="1">IFERROR(__xludf.DUMMYFUNCTION("""COMPUTED_VALUE"""),"1763041933054")</f>
        <v>1763041933054</v>
      </c>
      <c r="B6606" s="2"/>
      <c r="C6606" s="2" t="str">
        <v>0</v>
      </c>
      <c r="D6606" s="2"/>
      <c r="F6606" s="2" t="str">
        <v>0</v>
      </c>
      <c r="I6606" s="3" t="str">
        <f ca="1">IFERROR(__xludf.DUMMYFUNCTION("""COMPUTED_VALUE"""),"Nông Thị Bảo Châu")</f>
        <v>Nông Thị Bảo Châu</v>
      </c>
      <c r="J6606" s="3" t="str">
        <f ca="1">IFERROR(__xludf.DUMMYFUNCTION("""COMPUTED_VALUE"""),"0815805788")</f>
        <v>0815805788</v>
      </c>
      <c r="K6606" s="2" t="str">
        <f ca="1">IFERROR(__xludf.DUMMYFUNCTION("""COMPUTED_VALUE"""),"1763041933054")</f>
        <v>1763041933054</v>
      </c>
    </row>
    <row r="6607" spans="1:11" ht="12.45">
      <c r="A6607" s="2" t="str">
        <f ca="1">IFERROR(__xludf.DUMMYFUNCTION("""COMPUTED_VALUE"""),"1763041981378")</f>
        <v>1763041981378</v>
      </c>
      <c r="B6607" s="2"/>
      <c r="C6607" s="2" t="str">
        <v>0</v>
      </c>
      <c r="D6607" s="2"/>
      <c r="F6607" s="2" t="str">
        <v>0</v>
      </c>
      <c r="I6607" s="3" t="str">
        <f ca="1">IFERROR(__xludf.DUMMYFUNCTION("""COMPUTED_VALUE"""),"Vũ Phạm Quỳnh Anh ")</f>
        <v xml:space="preserve">Vũ Phạm Quỳnh Anh </v>
      </c>
      <c r="J6607" s="3" t="str">
        <f ca="1">IFERROR(__xludf.DUMMYFUNCTION("""COMPUTED_VALUE"""),"0364370648")</f>
        <v>0364370648</v>
      </c>
      <c r="K6607" s="2" t="str">
        <f ca="1">IFERROR(__xludf.DUMMYFUNCTION("""COMPUTED_VALUE"""),"1763041981378")</f>
        <v>1763041981378</v>
      </c>
    </row>
    <row r="6608" spans="1:11" ht="12.45">
      <c r="A6608" s="2" t="str">
        <f ca="1">IFERROR(__xludf.DUMMYFUNCTION("""COMPUTED_VALUE"""),"1763042022533")</f>
        <v>1763042022533</v>
      </c>
      <c r="B6608" s="2"/>
      <c r="C6608" s="2" t="str">
        <v>0</v>
      </c>
      <c r="D6608" s="2"/>
      <c r="F6608" s="2" t="str">
        <v>0</v>
      </c>
      <c r="I6608" s="3" t="str">
        <f ca="1">IFERROR(__xludf.DUMMYFUNCTION("""COMPUTED_VALUE"""),"Phùng Thị Quỳnh Như ")</f>
        <v xml:space="preserve">Phùng Thị Quỳnh Như </v>
      </c>
      <c r="J6608" s="3" t="str">
        <f ca="1">IFERROR(__xludf.DUMMYFUNCTION("""COMPUTED_VALUE"""),"0346963152")</f>
        <v>0346963152</v>
      </c>
      <c r="K6608" s="2" t="str">
        <f ca="1">IFERROR(__xludf.DUMMYFUNCTION("""COMPUTED_VALUE"""),"1763042022533")</f>
        <v>1763042022533</v>
      </c>
    </row>
    <row r="6609" spans="1:11" ht="12.45">
      <c r="A6609" s="2" t="str">
        <f ca="1">IFERROR(__xludf.DUMMYFUNCTION("""COMPUTED_VALUE"""),"1763042063329")</f>
        <v>1763042063329</v>
      </c>
      <c r="B6609" s="2"/>
      <c r="C6609" s="2" t="str">
        <v>0</v>
      </c>
      <c r="D6609" s="2"/>
      <c r="F6609" s="2" t="str">
        <v>0</v>
      </c>
      <c r="I6609" s="3" t="str">
        <f ca="1">IFERROR(__xludf.DUMMYFUNCTION("""COMPUTED_VALUE"""),"Lê Thị Bích Huyền")</f>
        <v>Lê Thị Bích Huyền</v>
      </c>
      <c r="J6609" s="3" t="str">
        <f ca="1">IFERROR(__xludf.DUMMYFUNCTION("""COMPUTED_VALUE"""),"0931749413")</f>
        <v>0931749413</v>
      </c>
      <c r="K6609" s="2" t="str">
        <f ca="1">IFERROR(__xludf.DUMMYFUNCTION("""COMPUTED_VALUE"""),"1763042063329")</f>
        <v>1763042063329</v>
      </c>
    </row>
    <row r="6610" spans="1:11" ht="12.45">
      <c r="A6610" s="2" t="str">
        <f ca="1">IFERROR(__xludf.DUMMYFUNCTION("""COMPUTED_VALUE"""),"1763042115348")</f>
        <v>1763042115348</v>
      </c>
      <c r="B6610" s="2"/>
      <c r="C6610" s="2" t="str">
        <v>0</v>
      </c>
      <c r="D6610" s="2"/>
      <c r="F6610" s="2" t="str">
        <v>0</v>
      </c>
      <c r="I6610" s="3" t="str">
        <f ca="1">IFERROR(__xludf.DUMMYFUNCTION("""COMPUTED_VALUE"""),"Võ Kiều Vy")</f>
        <v>Võ Kiều Vy</v>
      </c>
      <c r="J6610" s="3" t="str">
        <f ca="1">IFERROR(__xludf.DUMMYFUNCTION("""COMPUTED_VALUE"""),"0352514459")</f>
        <v>0352514459</v>
      </c>
      <c r="K6610" s="2" t="str">
        <f ca="1">IFERROR(__xludf.DUMMYFUNCTION("""COMPUTED_VALUE"""),"1763042115348")</f>
        <v>1763042115348</v>
      </c>
    </row>
    <row r="6611" spans="1:11" ht="12.45">
      <c r="A6611" s="2" t="str">
        <f ca="1">IFERROR(__xludf.DUMMYFUNCTION("""COMPUTED_VALUE"""),"1758488596210")</f>
        <v>1758488596210</v>
      </c>
      <c r="B6611" s="2"/>
      <c r="C6611" s="2" t="str">
        <v>0</v>
      </c>
      <c r="D6611" s="2"/>
      <c r="F6611" s="2" t="str">
        <v>0</v>
      </c>
      <c r="I6611" s="3" t="str">
        <f ca="1">IFERROR(__xludf.DUMMYFUNCTION("""COMPUTED_VALUE"""),"Cảnh Lan Anh")</f>
        <v>Cảnh Lan Anh</v>
      </c>
      <c r="J6611" s="3" t="str">
        <f ca="1">IFERROR(__xludf.DUMMYFUNCTION("""COMPUTED_VALUE"""),"0366396769")</f>
        <v>0366396769</v>
      </c>
      <c r="K6611" s="2" t="str">
        <f ca="1">IFERROR(__xludf.DUMMYFUNCTION("""COMPUTED_VALUE"""),"1758488596210")</f>
        <v>1758488596210</v>
      </c>
    </row>
    <row r="6612" spans="1:11" ht="12.45">
      <c r="A6612" s="2" t="str">
        <f ca="1">IFERROR(__xludf.DUMMYFUNCTION("""COMPUTED_VALUE"""),"1763042155452")</f>
        <v>1763042155452</v>
      </c>
      <c r="B6612" s="2"/>
      <c r="C6612" s="2" t="str">
        <v>0</v>
      </c>
      <c r="D6612" s="2"/>
      <c r="F6612" s="2" t="str">
        <v>0</v>
      </c>
      <c r="I6612" s="3" t="str">
        <f ca="1">IFERROR(__xludf.DUMMYFUNCTION("""COMPUTED_VALUE"""),"Hà Phương Nga")</f>
        <v>Hà Phương Nga</v>
      </c>
      <c r="J6612" s="3" t="str">
        <f ca="1">IFERROR(__xludf.DUMMYFUNCTION("""COMPUTED_VALUE"""),"0948064549")</f>
        <v>0948064549</v>
      </c>
      <c r="K6612" s="2" t="str">
        <f ca="1">IFERROR(__xludf.DUMMYFUNCTION("""COMPUTED_VALUE"""),"1763042155452")</f>
        <v>1763042155452</v>
      </c>
    </row>
    <row r="6613" spans="1:11" ht="12.45">
      <c r="A6613" s="2" t="str">
        <f ca="1">IFERROR(__xludf.DUMMYFUNCTION("""COMPUTED_VALUE"""),"1763042211223")</f>
        <v>1763042211223</v>
      </c>
      <c r="B6613" s="2"/>
      <c r="C6613" s="2" t="str">
        <v>0</v>
      </c>
      <c r="D6613" s="2"/>
      <c r="F6613" s="2" t="str">
        <v>0</v>
      </c>
      <c r="I6613" s="3" t="str">
        <f ca="1">IFERROR(__xludf.DUMMYFUNCTION("""COMPUTED_VALUE"""),"Hồ Thanh Huyêbf")</f>
        <v>Hồ Thanh Huyêbf</v>
      </c>
      <c r="J6613" s="3" t="str">
        <f ca="1">IFERROR(__xludf.DUMMYFUNCTION("""COMPUTED_VALUE"""),"0855178406")</f>
        <v>0855178406</v>
      </c>
      <c r="K6613" s="2" t="str">
        <f ca="1">IFERROR(__xludf.DUMMYFUNCTION("""COMPUTED_VALUE"""),"1763042211223")</f>
        <v>1763042211223</v>
      </c>
    </row>
    <row r="6614" spans="1:11" ht="12.45">
      <c r="A6614" s="2" t="str">
        <f ca="1">IFERROR(__xludf.DUMMYFUNCTION("""COMPUTED_VALUE"""),"1763042261834")</f>
        <v>1763042261834</v>
      </c>
      <c r="B6614" s="2"/>
      <c r="C6614" s="2" t="str">
        <v>0</v>
      </c>
      <c r="D6614" s="2"/>
      <c r="F6614" s="2" t="str">
        <v>0</v>
      </c>
      <c r="I6614" s="3" t="str">
        <f ca="1">IFERROR(__xludf.DUMMYFUNCTION("""COMPUTED_VALUE"""),"Phạm Thị Diệp ")</f>
        <v xml:space="preserve">Phạm Thị Diệp </v>
      </c>
      <c r="J6614" s="3" t="str">
        <f ca="1">IFERROR(__xludf.DUMMYFUNCTION("""COMPUTED_VALUE"""),"0344664729")</f>
        <v>0344664729</v>
      </c>
      <c r="K6614" s="2" t="str">
        <f ca="1">IFERROR(__xludf.DUMMYFUNCTION("""COMPUTED_VALUE"""),"1763042261834")</f>
        <v>1763042261834</v>
      </c>
    </row>
    <row r="6615" spans="1:11" ht="12.45">
      <c r="A6615" s="2" t="str">
        <f ca="1">IFERROR(__xludf.DUMMYFUNCTION("""COMPUTED_VALUE"""),"1763042324236")</f>
        <v>1763042324236</v>
      </c>
      <c r="B6615" s="2"/>
      <c r="C6615" s="2" t="str">
        <v>0</v>
      </c>
      <c r="D6615" s="2"/>
      <c r="F6615" s="2" t="str">
        <v>0</v>
      </c>
      <c r="I6615" s="3" t="str">
        <f ca="1">IFERROR(__xludf.DUMMYFUNCTION("""COMPUTED_VALUE"""),"Nguyễn Việt Đức")</f>
        <v>Nguyễn Việt Đức</v>
      </c>
      <c r="J6615" s="3" t="str">
        <f ca="1">IFERROR(__xludf.DUMMYFUNCTION("""COMPUTED_VALUE"""),"0789970707")</f>
        <v>0789970707</v>
      </c>
      <c r="K6615" s="2" t="str">
        <f ca="1">IFERROR(__xludf.DUMMYFUNCTION("""COMPUTED_VALUE"""),"1763042324236")</f>
        <v>1763042324236</v>
      </c>
    </row>
    <row r="6616" spans="1:11" ht="12.45">
      <c r="A6616" s="2" t="str">
        <f ca="1">IFERROR(__xludf.DUMMYFUNCTION("""COMPUTED_VALUE"""),"1763042425634")</f>
        <v>1763042425634</v>
      </c>
      <c r="B6616" s="2"/>
      <c r="C6616" s="2" t="str">
        <v>0</v>
      </c>
      <c r="D6616" s="2"/>
      <c r="F6616" s="2" t="str">
        <v>0</v>
      </c>
      <c r="I6616" s="2" t="str">
        <f ca="1">IFERROR(__xludf.DUMMYFUNCTION("""COMPUTED_VALUE"""),"Đinh Thị Bích Hà")</f>
        <v>Đinh Thị Bích Hà</v>
      </c>
      <c r="J6616" s="3" t="str">
        <f ca="1">IFERROR(__xludf.DUMMYFUNCTION("""COMPUTED_VALUE"""),"8433773997")</f>
        <v>8433773997</v>
      </c>
      <c r="K6616" s="2" t="str">
        <f ca="1">IFERROR(__xludf.DUMMYFUNCTION("""COMPUTED_VALUE"""),"1763042425634")</f>
        <v>1763042425634</v>
      </c>
    </row>
    <row r="6617" spans="1:11" ht="12.45">
      <c r="A6617" s="2" t="str">
        <f ca="1">IFERROR(__xludf.DUMMYFUNCTION("""COMPUTED_VALUE"""),"1763042474431")</f>
        <v>1763042474431</v>
      </c>
      <c r="B6617" s="2"/>
      <c r="C6617" s="2" t="str">
        <v>0</v>
      </c>
      <c r="D6617" s="2"/>
      <c r="F6617" s="2" t="str">
        <v>0</v>
      </c>
      <c r="I6617" s="3" t="str">
        <f ca="1">IFERROR(__xludf.DUMMYFUNCTION("""COMPUTED_VALUE"""),"Giàng Văn Thư ")</f>
        <v xml:space="preserve">Giàng Văn Thư </v>
      </c>
      <c r="J6617" s="3" t="str">
        <f ca="1">IFERROR(__xludf.DUMMYFUNCTION("""COMPUTED_VALUE"""),"0943620405")</f>
        <v>0943620405</v>
      </c>
      <c r="K6617" s="2" t="str">
        <f ca="1">IFERROR(__xludf.DUMMYFUNCTION("""COMPUTED_VALUE"""),"1763042474431")</f>
        <v>1763042474431</v>
      </c>
    </row>
    <row r="6618" spans="1:11" ht="12.45">
      <c r="A6618" s="2" t="str">
        <f ca="1">IFERROR(__xludf.DUMMYFUNCTION("""COMPUTED_VALUE"""),"1763042521281")</f>
        <v>1763042521281</v>
      </c>
      <c r="B6618" s="2"/>
      <c r="C6618" s="2" t="str">
        <v>0</v>
      </c>
      <c r="D6618" s="2"/>
      <c r="F6618" s="2" t="str">
        <v>0</v>
      </c>
      <c r="I6618" s="3" t="str">
        <f ca="1">IFERROR(__xludf.DUMMYFUNCTION("""COMPUTED_VALUE"""),"Nguyễn Đăng Tùng")</f>
        <v>Nguyễn Đăng Tùng</v>
      </c>
      <c r="J6618" s="3" t="str">
        <f ca="1">IFERROR(__xludf.DUMMYFUNCTION("""COMPUTED_VALUE"""),"0787138525")</f>
        <v>0787138525</v>
      </c>
      <c r="K6618" s="2" t="str">
        <f ca="1">IFERROR(__xludf.DUMMYFUNCTION("""COMPUTED_VALUE"""),"1763042521281")</f>
        <v>1763042521281</v>
      </c>
    </row>
    <row r="6619" spans="1:11" ht="12.45">
      <c r="A6619" s="2" t="str">
        <f ca="1">IFERROR(__xludf.DUMMYFUNCTION("""COMPUTED_VALUE"""),"1763042576201")</f>
        <v>1763042576201</v>
      </c>
      <c r="B6619" s="2"/>
      <c r="C6619" s="2" t="str">
        <v>0</v>
      </c>
      <c r="D6619" s="2"/>
      <c r="F6619" s="2" t="str">
        <v>0</v>
      </c>
      <c r="I6619" s="3" t="str">
        <f ca="1">IFERROR(__xludf.DUMMYFUNCTION("""COMPUTED_VALUE"""),"Trịnh Thị Mai Anh")</f>
        <v>Trịnh Thị Mai Anh</v>
      </c>
      <c r="J6619" s="3" t="str">
        <f ca="1">IFERROR(__xludf.DUMMYFUNCTION("""COMPUTED_VALUE"""),"0852202963")</f>
        <v>0852202963</v>
      </c>
      <c r="K6619" s="2" t="str">
        <f ca="1">IFERROR(__xludf.DUMMYFUNCTION("""COMPUTED_VALUE"""),"1763042576201")</f>
        <v>1763042576201</v>
      </c>
    </row>
    <row r="6620" spans="1:11" ht="12.45">
      <c r="A6620" s="2" t="str">
        <f ca="1">IFERROR(__xludf.DUMMYFUNCTION("""COMPUTED_VALUE"""),"1763042615268")</f>
        <v>1763042615268</v>
      </c>
      <c r="B6620" s="2"/>
      <c r="C6620" s="2" t="str">
        <v>0</v>
      </c>
      <c r="D6620" s="2"/>
      <c r="F6620" s="2" t="str">
        <v>0</v>
      </c>
      <c r="I6620" s="3" t="str">
        <f ca="1">IFERROR(__xludf.DUMMYFUNCTION("""COMPUTED_VALUE"""),"VŨ THỊ HẰNG THU")</f>
        <v>VŨ THỊ HẰNG THU</v>
      </c>
      <c r="J6620" s="3" t="str">
        <f ca="1">IFERROR(__xludf.DUMMYFUNCTION("""COMPUTED_VALUE"""),"0935946828")</f>
        <v>0935946828</v>
      </c>
      <c r="K6620" s="2" t="str">
        <f ca="1">IFERROR(__xludf.DUMMYFUNCTION("""COMPUTED_VALUE"""),"1763042615268")</f>
        <v>1763042615268</v>
      </c>
    </row>
    <row r="6621" spans="1:11" ht="12.45">
      <c r="A6621" s="2" t="str">
        <f ca="1">IFERROR(__xludf.DUMMYFUNCTION("""COMPUTED_VALUE"""),"1763042658187")</f>
        <v>1763042658187</v>
      </c>
      <c r="B6621" s="2"/>
      <c r="C6621" s="2" t="str">
        <v>0</v>
      </c>
      <c r="D6621" s="2"/>
      <c r="F6621" s="2" t="str">
        <v>0</v>
      </c>
      <c r="I6621" s="3" t="str">
        <f ca="1">IFERROR(__xludf.DUMMYFUNCTION("""COMPUTED_VALUE"""),"Châu Hồng Anh")</f>
        <v>Châu Hồng Anh</v>
      </c>
      <c r="J6621" s="3" t="str">
        <f ca="1">IFERROR(__xludf.DUMMYFUNCTION("""COMPUTED_VALUE"""),"0975933680")</f>
        <v>0975933680</v>
      </c>
      <c r="K6621" s="2" t="str">
        <f ca="1">IFERROR(__xludf.DUMMYFUNCTION("""COMPUTED_VALUE"""),"1763042658187")</f>
        <v>1763042658187</v>
      </c>
    </row>
    <row r="6622" spans="1:11" ht="12.45">
      <c r="A6622" s="2" t="str">
        <f ca="1">IFERROR(__xludf.DUMMYFUNCTION("""COMPUTED_VALUE"""),"Không giao sách")</f>
        <v>Không giao sách</v>
      </c>
      <c r="B6622" s="2"/>
      <c r="C6622" s="2" t="str">
        <v>0</v>
      </c>
      <c r="D6622" s="2"/>
      <c r="F6622" s="2" t="str">
        <v>0</v>
      </c>
      <c r="I6622" s="3" t="str">
        <f ca="1">IFERROR(__xludf.DUMMYFUNCTION("""COMPUTED_VALUE"""),"Lê Đặng Thành Trung")</f>
        <v>Lê Đặng Thành Trung</v>
      </c>
      <c r="J6622" s="3" t="str">
        <f ca="1">IFERROR(__xludf.DUMMYFUNCTION("""COMPUTED_VALUE"""),"0902224378")</f>
        <v>0902224378</v>
      </c>
      <c r="K6622" s="2" t="str">
        <f ca="1">IFERROR(__xludf.DUMMYFUNCTION("""COMPUTED_VALUE"""),"Không giao sách")</f>
        <v>Không giao sách</v>
      </c>
    </row>
    <row r="6623" spans="1:11" ht="12.45">
      <c r="A6623" s="2" t="str">
        <f ca="1">IFERROR(__xludf.DUMMYFUNCTION("""COMPUTED_VALUE"""),"1763042697411")</f>
        <v>1763042697411</v>
      </c>
      <c r="B6623" s="2"/>
      <c r="C6623" s="2" t="str">
        <v>0</v>
      </c>
      <c r="D6623" s="2"/>
      <c r="F6623" s="2" t="str">
        <v>0</v>
      </c>
      <c r="I6623" s="3" t="str">
        <f ca="1">IFERROR(__xludf.DUMMYFUNCTION("""COMPUTED_VALUE"""),"Lê Gia Bảo")</f>
        <v>Lê Gia Bảo</v>
      </c>
      <c r="J6623" s="3" t="str">
        <f ca="1">IFERROR(__xludf.DUMMYFUNCTION("""COMPUTED_VALUE"""),"0899148207")</f>
        <v>0899148207</v>
      </c>
      <c r="K6623" s="2" t="str">
        <f ca="1">IFERROR(__xludf.DUMMYFUNCTION("""COMPUTED_VALUE"""),"1763042697411")</f>
        <v>1763042697411</v>
      </c>
    </row>
    <row r="6624" spans="1:11" ht="12.45">
      <c r="A6624" s="2" t="str">
        <f ca="1">IFERROR(__xludf.DUMMYFUNCTION("""COMPUTED_VALUE"""),"1763042734798")</f>
        <v>1763042734798</v>
      </c>
      <c r="B6624" s="2"/>
      <c r="C6624" s="2" t="str">
        <v>0</v>
      </c>
      <c r="D6624" s="2"/>
      <c r="F6624" s="2" t="str">
        <v>0</v>
      </c>
      <c r="I6624" s="3" t="str">
        <f ca="1">IFERROR(__xludf.DUMMYFUNCTION("""COMPUTED_VALUE"""),"Phạm Thị Diễm Quỳnh")</f>
        <v>Phạm Thị Diễm Quỳnh</v>
      </c>
      <c r="J6624" s="3" t="str">
        <f ca="1">IFERROR(__xludf.DUMMYFUNCTION("""COMPUTED_VALUE"""),"0914223804")</f>
        <v>0914223804</v>
      </c>
      <c r="K6624" s="2" t="str">
        <f ca="1">IFERROR(__xludf.DUMMYFUNCTION("""COMPUTED_VALUE"""),"1763042734798")</f>
        <v>1763042734798</v>
      </c>
    </row>
    <row r="6625" spans="1:11" ht="12.45">
      <c r="A6625" s="2" t="str">
        <f ca="1">IFERROR(__xludf.DUMMYFUNCTION("""COMPUTED_VALUE"""),"1763042766723")</f>
        <v>1763042766723</v>
      </c>
      <c r="B6625" s="2"/>
      <c r="C6625" s="2" t="str">
        <v>0</v>
      </c>
      <c r="D6625" s="2"/>
      <c r="F6625" s="2" t="str">
        <v>0</v>
      </c>
      <c r="I6625" s="3" t="str">
        <f ca="1">IFERROR(__xludf.DUMMYFUNCTION("""COMPUTED_VALUE"""),"Nguyễn Hải Ngọc Châu")</f>
        <v>Nguyễn Hải Ngọc Châu</v>
      </c>
      <c r="J6625" s="3" t="str">
        <f ca="1">IFERROR(__xludf.DUMMYFUNCTION("""COMPUTED_VALUE"""),"0838138333")</f>
        <v>0838138333</v>
      </c>
      <c r="K6625" s="2" t="str">
        <f ca="1">IFERROR(__xludf.DUMMYFUNCTION("""COMPUTED_VALUE"""),"1763042766723")</f>
        <v>1763042766723</v>
      </c>
    </row>
    <row r="6626" spans="1:11" ht="12.45">
      <c r="A6626" s="2" t="str">
        <f ca="1">IFERROR(__xludf.DUMMYFUNCTION("""COMPUTED_VALUE"""),"1763378215446")</f>
        <v>1763378215446</v>
      </c>
      <c r="B6626" s="2"/>
      <c r="C6626" s="2" t="str">
        <v>0</v>
      </c>
      <c r="D6626" s="2"/>
      <c r="F6626" s="2" t="str">
        <v>0</v>
      </c>
      <c r="I6626" s="3" t="str">
        <f ca="1">IFERROR(__xludf.DUMMYFUNCTION("""COMPUTED_VALUE"""),"Nguyễn Thị Diễm Quỳnh ")</f>
        <v xml:space="preserve">Nguyễn Thị Diễm Quỳnh </v>
      </c>
      <c r="J6626" s="3" t="str">
        <f ca="1">IFERROR(__xludf.DUMMYFUNCTION("""COMPUTED_VALUE"""),"0978191355")</f>
        <v>0978191355</v>
      </c>
      <c r="K6626" s="2" t="str">
        <f ca="1">IFERROR(__xludf.DUMMYFUNCTION("""COMPUTED_VALUE"""),"1763378215446")</f>
        <v>1763378215446</v>
      </c>
    </row>
    <row r="6627" spans="1:11" ht="12.45">
      <c r="A6627" s="2" t="str">
        <f ca="1">IFERROR(__xludf.DUMMYFUNCTION("""COMPUTED_VALUE"""),"1763042810452")</f>
        <v>1763042810452</v>
      </c>
      <c r="B6627" s="2"/>
      <c r="C6627" s="2" t="str">
        <v>0</v>
      </c>
      <c r="D6627" s="2"/>
      <c r="F6627" s="2" t="str">
        <v>0</v>
      </c>
      <c r="I6627" s="3" t="str">
        <f ca="1">IFERROR(__xludf.DUMMYFUNCTION("""COMPUTED_VALUE"""),"Nông Minh Quang")</f>
        <v>Nông Minh Quang</v>
      </c>
      <c r="J6627" s="3" t="str">
        <f ca="1">IFERROR(__xludf.DUMMYFUNCTION("""COMPUTED_VALUE"""),"0867932781")</f>
        <v>0867932781</v>
      </c>
      <c r="K6627" s="2" t="str">
        <f ca="1">IFERROR(__xludf.DUMMYFUNCTION("""COMPUTED_VALUE"""),"1763042810452")</f>
        <v>1763042810452</v>
      </c>
    </row>
    <row r="6628" spans="1:11" ht="12.45">
      <c r="A6628" s="2" t="str">
        <f ca="1">IFERROR(__xludf.DUMMYFUNCTION("""COMPUTED_VALUE"""),"1758488668487")</f>
        <v>1758488668487</v>
      </c>
      <c r="B6628" s="2"/>
      <c r="C6628" s="2" t="str">
        <v>0</v>
      </c>
      <c r="D6628" s="2"/>
      <c r="F6628" s="2" t="str">
        <v>0</v>
      </c>
      <c r="I6628" s="3" t="str">
        <f ca="1">IFERROR(__xludf.DUMMYFUNCTION("""COMPUTED_VALUE"""),"Bùi Bảo Ngọc")</f>
        <v>Bùi Bảo Ngọc</v>
      </c>
      <c r="J6628" s="3" t="str">
        <f ca="1">IFERROR(__xludf.DUMMYFUNCTION("""COMPUTED_VALUE"""),"0843161539")</f>
        <v>0843161539</v>
      </c>
      <c r="K6628" s="2" t="str">
        <f ca="1">IFERROR(__xludf.DUMMYFUNCTION("""COMPUTED_VALUE"""),"1758488668487")</f>
        <v>1758488668487</v>
      </c>
    </row>
    <row r="6629" spans="1:11" ht="12.45">
      <c r="A6629" s="2" t="str">
        <f ca="1">IFERROR(__xludf.DUMMYFUNCTION("""COMPUTED_VALUE"""),"1763042847450")</f>
        <v>1763042847450</v>
      </c>
      <c r="B6629" s="2"/>
      <c r="C6629" s="2" t="str">
        <v>0</v>
      </c>
      <c r="D6629" s="2"/>
      <c r="F6629" s="2" t="str">
        <v>0</v>
      </c>
      <c r="I6629" s="3" t="str">
        <f ca="1">IFERROR(__xludf.DUMMYFUNCTION("""COMPUTED_VALUE"""),"Đồng Thị Thanh Huyền")</f>
        <v>Đồng Thị Thanh Huyền</v>
      </c>
      <c r="J6629" s="3" t="str">
        <f ca="1">IFERROR(__xludf.DUMMYFUNCTION("""COMPUTED_VALUE"""),"0338970255")</f>
        <v>0338970255</v>
      </c>
      <c r="K6629" s="2" t="str">
        <f ca="1">IFERROR(__xludf.DUMMYFUNCTION("""COMPUTED_VALUE"""),"1763042847450")</f>
        <v>1763042847450</v>
      </c>
    </row>
    <row r="6630" spans="1:11" ht="12.45">
      <c r="A6630" s="2" t="str">
        <f ca="1">IFERROR(__xludf.DUMMYFUNCTION("""COMPUTED_VALUE"""),"1763042889191")</f>
        <v>1763042889191</v>
      </c>
      <c r="B6630" s="2"/>
      <c r="C6630" s="2" t="str">
        <v>0</v>
      </c>
      <c r="D6630" s="2"/>
      <c r="F6630" s="2" t="str">
        <v>0</v>
      </c>
      <c r="I6630" s="3" t="str">
        <f ca="1">IFERROR(__xludf.DUMMYFUNCTION("""COMPUTED_VALUE"""),"Nguyễn Ngọc Minh Thư")</f>
        <v>Nguyễn Ngọc Minh Thư</v>
      </c>
      <c r="J6630" s="3" t="str">
        <f ca="1">IFERROR(__xludf.DUMMYFUNCTION("""COMPUTED_VALUE"""),"0706216742")</f>
        <v>0706216742</v>
      </c>
      <c r="K6630" s="2" t="str">
        <f ca="1">IFERROR(__xludf.DUMMYFUNCTION("""COMPUTED_VALUE"""),"1763042889191")</f>
        <v>1763042889191</v>
      </c>
    </row>
    <row r="6631" spans="1:11" ht="12.45">
      <c r="A6631" s="2" t="str">
        <f ca="1">IFERROR(__xludf.DUMMYFUNCTION("""COMPUTED_VALUE"""),"1763042951865")</f>
        <v>1763042951865</v>
      </c>
      <c r="B6631" s="2"/>
      <c r="C6631" s="2" t="str">
        <v>0</v>
      </c>
      <c r="D6631" s="2"/>
      <c r="F6631" s="2" t="str">
        <v>0</v>
      </c>
      <c r="I6631" s="3" t="str">
        <f ca="1">IFERROR(__xludf.DUMMYFUNCTION("""COMPUTED_VALUE"""),"Nguyễn Gia Hân ")</f>
        <v xml:space="preserve">Nguyễn Gia Hân </v>
      </c>
      <c r="J6631" s="3" t="str">
        <f ca="1">IFERROR(__xludf.DUMMYFUNCTION("""COMPUTED_VALUE"""),"0911121497")</f>
        <v>0911121497</v>
      </c>
      <c r="K6631" s="2" t="str">
        <f ca="1">IFERROR(__xludf.DUMMYFUNCTION("""COMPUTED_VALUE"""),"1763042951865")</f>
        <v>1763042951865</v>
      </c>
    </row>
    <row r="6632" spans="1:11" ht="12.45">
      <c r="A6632" s="2" t="str">
        <f ca="1">IFERROR(__xludf.DUMMYFUNCTION("""COMPUTED_VALUE"""),"1763042991267")</f>
        <v>1763042991267</v>
      </c>
      <c r="B6632" s="2"/>
      <c r="C6632" s="2" t="str">
        <v>0</v>
      </c>
      <c r="D6632" s="2"/>
      <c r="F6632" s="2" t="str">
        <v>0</v>
      </c>
      <c r="I6632" s="3" t="str">
        <f ca="1">IFERROR(__xludf.DUMMYFUNCTION("""COMPUTED_VALUE"""),"Nguyễn Ái Lưu Hạnh ")</f>
        <v xml:space="preserve">Nguyễn Ái Lưu Hạnh </v>
      </c>
      <c r="J6632" s="3" t="str">
        <f ca="1">IFERROR(__xludf.DUMMYFUNCTION("""COMPUTED_VALUE"""),"0366324234")</f>
        <v>0366324234</v>
      </c>
      <c r="K6632" s="2" t="str">
        <f ca="1">IFERROR(__xludf.DUMMYFUNCTION("""COMPUTED_VALUE"""),"1763042991267")</f>
        <v>1763042991267</v>
      </c>
    </row>
    <row r="6633" spans="1:11" ht="12.45">
      <c r="A6633" s="2" t="str">
        <f ca="1">IFERROR(__xludf.DUMMYFUNCTION("""COMPUTED_VALUE"""),"1763043056300")</f>
        <v>1763043056300</v>
      </c>
      <c r="B6633" s="2"/>
      <c r="C6633" s="2" t="str">
        <v>0</v>
      </c>
      <c r="D6633" s="2"/>
      <c r="F6633" s="2" t="str">
        <v>0</v>
      </c>
      <c r="I6633" s="3" t="str">
        <f ca="1">IFERROR(__xludf.DUMMYFUNCTION("""COMPUTED_VALUE"""),"Nguyễn Mạnh Khôi")</f>
        <v>Nguyễn Mạnh Khôi</v>
      </c>
      <c r="J6633" s="3" t="str">
        <f ca="1">IFERROR(__xludf.DUMMYFUNCTION("""COMPUTED_VALUE"""),"0867388656")</f>
        <v>0867388656</v>
      </c>
      <c r="K6633" s="2" t="str">
        <f ca="1">IFERROR(__xludf.DUMMYFUNCTION("""COMPUTED_VALUE"""),"1763043056300")</f>
        <v>1763043056300</v>
      </c>
    </row>
    <row r="6634" spans="1:11" ht="12.45">
      <c r="A6634" s="2" t="str">
        <f ca="1">IFERROR(__xludf.DUMMYFUNCTION("""COMPUTED_VALUE"""),"1763043143444")</f>
        <v>1763043143444</v>
      </c>
      <c r="B6634" s="2"/>
      <c r="C6634" s="2" t="str">
        <v>0</v>
      </c>
      <c r="D6634" s="2"/>
      <c r="F6634" s="2" t="str">
        <v>0</v>
      </c>
      <c r="I6634" s="3" t="str">
        <f ca="1">IFERROR(__xludf.DUMMYFUNCTION("""COMPUTED_VALUE"""),"Đào Thị Thu Hương")</f>
        <v>Đào Thị Thu Hương</v>
      </c>
      <c r="J6634" s="3" t="str">
        <f ca="1">IFERROR(__xludf.DUMMYFUNCTION("""COMPUTED_VALUE"""),"0366982896")</f>
        <v>0366982896</v>
      </c>
      <c r="K6634" s="2" t="str">
        <f ca="1">IFERROR(__xludf.DUMMYFUNCTION("""COMPUTED_VALUE"""),"1763043143444")</f>
        <v>1763043143444</v>
      </c>
    </row>
    <row r="6635" spans="1:11" ht="12.45">
      <c r="A6635" s="2" t="str">
        <f ca="1">IFERROR(__xludf.DUMMYFUNCTION("""COMPUTED_VALUE"""),"1763043228694")</f>
        <v>1763043228694</v>
      </c>
      <c r="B6635" s="2"/>
      <c r="C6635" s="2" t="str">
        <v>0</v>
      </c>
      <c r="D6635" s="2"/>
      <c r="F6635" s="2" t="str">
        <v>0</v>
      </c>
      <c r="I6635" s="3" t="str">
        <f ca="1">IFERROR(__xludf.DUMMYFUNCTION("""COMPUTED_VALUE"""),"Lương Trà My")</f>
        <v>Lương Trà My</v>
      </c>
      <c r="J6635" s="3" t="str">
        <f ca="1">IFERROR(__xludf.DUMMYFUNCTION("""COMPUTED_VALUE"""),"0346240244")</f>
        <v>0346240244</v>
      </c>
      <c r="K6635" s="2" t="str">
        <f ca="1">IFERROR(__xludf.DUMMYFUNCTION("""COMPUTED_VALUE"""),"1763043228694")</f>
        <v>1763043228694</v>
      </c>
    </row>
    <row r="6636" spans="1:11" ht="12.45">
      <c r="A6636" s="2" t="str">
        <f ca="1">IFERROR(__xludf.DUMMYFUNCTION("""COMPUTED_VALUE"""),"1763278537854")</f>
        <v>1763278537854</v>
      </c>
      <c r="B6636" s="2"/>
      <c r="C6636" s="2" t="str">
        <v>0</v>
      </c>
      <c r="D6636" s="2"/>
      <c r="F6636" s="2" t="str">
        <v>0</v>
      </c>
      <c r="I6636" s="3" t="str">
        <f ca="1">IFERROR(__xludf.DUMMYFUNCTION("""COMPUTED_VALUE"""),"Nguyễn Thuỳ Linh")</f>
        <v>Nguyễn Thuỳ Linh</v>
      </c>
      <c r="J6636" s="3" t="str">
        <f ca="1">IFERROR(__xludf.DUMMYFUNCTION("""COMPUTED_VALUE"""),"0833862656")</f>
        <v>0833862656</v>
      </c>
      <c r="K6636" s="2" t="str">
        <f ca="1">IFERROR(__xludf.DUMMYFUNCTION("""COMPUTED_VALUE"""),"1763278537854")</f>
        <v>1763278537854</v>
      </c>
    </row>
    <row r="6637" spans="1:11" ht="12.45">
      <c r="A6637" s="2" t="str">
        <f ca="1">IFERROR(__xludf.DUMMYFUNCTION("""COMPUTED_VALUE"""),"1763278596531")</f>
        <v>1763278596531</v>
      </c>
      <c r="B6637" s="2"/>
      <c r="C6637" s="2" t="str">
        <v>0</v>
      </c>
      <c r="D6637" s="2"/>
      <c r="F6637" s="2" t="str">
        <v>0</v>
      </c>
      <c r="I6637" s="3" t="str">
        <f ca="1">IFERROR(__xludf.DUMMYFUNCTION("""COMPUTED_VALUE"""),"Trịnh Hải Yến")</f>
        <v>Trịnh Hải Yến</v>
      </c>
      <c r="J6637" s="3" t="str">
        <f ca="1">IFERROR(__xludf.DUMMYFUNCTION("""COMPUTED_VALUE"""),"0325319908")</f>
        <v>0325319908</v>
      </c>
      <c r="K6637" s="2" t="str">
        <f ca="1">IFERROR(__xludf.DUMMYFUNCTION("""COMPUTED_VALUE"""),"1763278596531")</f>
        <v>1763278596531</v>
      </c>
    </row>
    <row r="6638" spans="1:11" ht="12.45">
      <c r="A6638" s="2" t="str">
        <f ca="1">IFERROR(__xludf.DUMMYFUNCTION("""COMPUTED_VALUE"""),"1763278650951")</f>
        <v>1763278650951</v>
      </c>
      <c r="B6638" s="2"/>
      <c r="C6638" s="2" t="str">
        <v>0</v>
      </c>
      <c r="D6638" s="2"/>
      <c r="F6638" s="2" t="str">
        <v>0</v>
      </c>
      <c r="I6638" s="3" t="str">
        <f ca="1">IFERROR(__xludf.DUMMYFUNCTION("""COMPUTED_VALUE"""),"Nguyễn Anh Thư")</f>
        <v>Nguyễn Anh Thư</v>
      </c>
      <c r="J6638" s="3" t="str">
        <f ca="1">IFERROR(__xludf.DUMMYFUNCTION("""COMPUTED_VALUE"""),"0347952526")</f>
        <v>0347952526</v>
      </c>
      <c r="K6638" s="2" t="str">
        <f ca="1">IFERROR(__xludf.DUMMYFUNCTION("""COMPUTED_VALUE"""),"1763278650951")</f>
        <v>1763278650951</v>
      </c>
    </row>
    <row r="6639" spans="1:11" ht="12.45">
      <c r="A6639" s="2" t="str">
        <f ca="1">IFERROR(__xludf.DUMMYFUNCTION("""COMPUTED_VALUE"""),"1763278707803")</f>
        <v>1763278707803</v>
      </c>
      <c r="B6639" s="2"/>
      <c r="C6639" s="2" t="str">
        <v>0</v>
      </c>
      <c r="D6639" s="2"/>
      <c r="F6639" s="2" t="str">
        <v>0</v>
      </c>
      <c r="I6639" s="3" t="str">
        <f ca="1">IFERROR(__xludf.DUMMYFUNCTION("""COMPUTED_VALUE"""),"Hoàng Thị Thu Hiền")</f>
        <v>Hoàng Thị Thu Hiền</v>
      </c>
      <c r="J6639" s="3" t="str">
        <f ca="1">IFERROR(__xludf.DUMMYFUNCTION("""COMPUTED_VALUE"""),"0397134928")</f>
        <v>0397134928</v>
      </c>
      <c r="K6639" s="2" t="str">
        <f ca="1">IFERROR(__xludf.DUMMYFUNCTION("""COMPUTED_VALUE"""),"1763278707803")</f>
        <v>1763278707803</v>
      </c>
    </row>
    <row r="6640" spans="1:11" ht="12.45">
      <c r="A6640" s="2" t="str">
        <f ca="1">IFERROR(__xludf.DUMMYFUNCTION("""COMPUTED_VALUE"""),"1763278738829")</f>
        <v>1763278738829</v>
      </c>
      <c r="B6640" s="2"/>
      <c r="C6640" s="2" t="str">
        <v>0</v>
      </c>
      <c r="D6640" s="2"/>
      <c r="F6640" s="2" t="str">
        <v>0</v>
      </c>
      <c r="I6640" s="3" t="str">
        <f ca="1">IFERROR(__xludf.DUMMYFUNCTION("""COMPUTED_VALUE"""),"Phạm Phương Uyên ")</f>
        <v xml:space="preserve">Phạm Phương Uyên </v>
      </c>
      <c r="J6640" s="3" t="str">
        <f ca="1">IFERROR(__xludf.DUMMYFUNCTION("""COMPUTED_VALUE"""),"0985246198")</f>
        <v>0985246198</v>
      </c>
      <c r="K6640" s="2" t="str">
        <f ca="1">IFERROR(__xludf.DUMMYFUNCTION("""COMPUTED_VALUE"""),"1763278738829")</f>
        <v>1763278738829</v>
      </c>
    </row>
    <row r="6641" spans="1:11" ht="12.45">
      <c r="A6641" s="2" t="str">
        <f ca="1">IFERROR(__xludf.DUMMYFUNCTION("""COMPUTED_VALUE"""),"1763278766540")</f>
        <v>1763278766540</v>
      </c>
      <c r="B6641" s="2"/>
      <c r="C6641" s="2" t="str">
        <v>0</v>
      </c>
      <c r="D6641" s="2"/>
      <c r="F6641" s="2" t="str">
        <v>0</v>
      </c>
      <c r="I6641" s="3" t="str">
        <f ca="1">IFERROR(__xludf.DUMMYFUNCTION("""COMPUTED_VALUE"""),"Lê Minh Phương")</f>
        <v>Lê Minh Phương</v>
      </c>
      <c r="J6641" s="3" t="str">
        <f ca="1">IFERROR(__xludf.DUMMYFUNCTION("""COMPUTED_VALUE"""),"0961330625")</f>
        <v>0961330625</v>
      </c>
      <c r="K6641" s="2" t="str">
        <f ca="1">IFERROR(__xludf.DUMMYFUNCTION("""COMPUTED_VALUE"""),"1763278766540")</f>
        <v>1763278766540</v>
      </c>
    </row>
    <row r="6642" spans="1:11" ht="12.45">
      <c r="A6642" s="2" t="str">
        <f ca="1">IFERROR(__xludf.DUMMYFUNCTION("""COMPUTED_VALUE"""),"1763278802068")</f>
        <v>1763278802068</v>
      </c>
      <c r="B6642" s="2"/>
      <c r="C6642" s="2" t="str">
        <v>0</v>
      </c>
      <c r="D6642" s="2"/>
      <c r="F6642" s="2" t="str">
        <v>0</v>
      </c>
      <c r="I6642" s="3" t="str">
        <f ca="1">IFERROR(__xludf.DUMMYFUNCTION("""COMPUTED_VALUE"""),"Đinh Thị Hương Giang")</f>
        <v>Đinh Thị Hương Giang</v>
      </c>
      <c r="J6642" s="3" t="str">
        <f ca="1">IFERROR(__xludf.DUMMYFUNCTION("""COMPUTED_VALUE"""),"0385991158")</f>
        <v>0385991158</v>
      </c>
      <c r="K6642" s="2" t="str">
        <f ca="1">IFERROR(__xludf.DUMMYFUNCTION("""COMPUTED_VALUE"""),"1763278802068")</f>
        <v>1763278802068</v>
      </c>
    </row>
    <row r="6643" spans="1:11" ht="12.45">
      <c r="A6643" s="2" t="str">
        <f ca="1">IFERROR(__xludf.DUMMYFUNCTION("""COMPUTED_VALUE"""),"1763278835890")</f>
        <v>1763278835890</v>
      </c>
      <c r="B6643" s="2"/>
      <c r="C6643" s="2" t="str">
        <v>0</v>
      </c>
      <c r="D6643" s="2"/>
      <c r="F6643" s="2" t="str">
        <v>0</v>
      </c>
      <c r="I6643" s="3" t="str">
        <f ca="1">IFERROR(__xludf.DUMMYFUNCTION("""COMPUTED_VALUE"""),"LÊ THỊ NGỌC LINH")</f>
        <v>LÊ THỊ NGỌC LINH</v>
      </c>
      <c r="J6643" s="3" t="str">
        <f ca="1">IFERROR(__xludf.DUMMYFUNCTION("""COMPUTED_VALUE"""),"0388519276")</f>
        <v>0388519276</v>
      </c>
      <c r="K6643" s="2" t="str">
        <f ca="1">IFERROR(__xludf.DUMMYFUNCTION("""COMPUTED_VALUE"""),"1763278835890")</f>
        <v>1763278835890</v>
      </c>
    </row>
    <row r="6644" spans="1:11" ht="12.45">
      <c r="A6644" s="2" t="str">
        <f ca="1">IFERROR(__xludf.DUMMYFUNCTION("""COMPUTED_VALUE"""),"1763278879477")</f>
        <v>1763278879477</v>
      </c>
      <c r="B6644" s="2"/>
      <c r="C6644" s="2" t="str">
        <v>0</v>
      </c>
      <c r="D6644" s="2"/>
      <c r="F6644" s="2" t="str">
        <v>0</v>
      </c>
      <c r="I6644" s="3" t="str">
        <f ca="1">IFERROR(__xludf.DUMMYFUNCTION("""COMPUTED_VALUE"""),"Dương Khánh Trang ")</f>
        <v xml:space="preserve">Dương Khánh Trang </v>
      </c>
      <c r="J6644" s="3" t="str">
        <f ca="1">IFERROR(__xludf.DUMMYFUNCTION("""COMPUTED_VALUE"""),"0389133003")</f>
        <v>0389133003</v>
      </c>
      <c r="K6644" s="2" t="str">
        <f ca="1">IFERROR(__xludf.DUMMYFUNCTION("""COMPUTED_VALUE"""),"1763278879477")</f>
        <v>1763278879477</v>
      </c>
    </row>
    <row r="6645" spans="1:11" ht="12.45">
      <c r="A6645" s="2" t="str">
        <f ca="1">IFERROR(__xludf.DUMMYFUNCTION("""COMPUTED_VALUE"""),"1763278938806")</f>
        <v>1763278938806</v>
      </c>
      <c r="B6645" s="2"/>
      <c r="C6645" s="2" t="str">
        <v>0</v>
      </c>
      <c r="D6645" s="2"/>
      <c r="F6645" s="2" t="str">
        <v>0</v>
      </c>
      <c r="I6645" s="3" t="str">
        <f ca="1">IFERROR(__xludf.DUMMYFUNCTION("""COMPUTED_VALUE"""),"Vũ Thị Huyền Trang")</f>
        <v>Vũ Thị Huyền Trang</v>
      </c>
      <c r="J6645" s="3" t="str">
        <f ca="1">IFERROR(__xludf.DUMMYFUNCTION("""COMPUTED_VALUE"""),"0333541454")</f>
        <v>0333541454</v>
      </c>
      <c r="K6645" s="2" t="str">
        <f ca="1">IFERROR(__xludf.DUMMYFUNCTION("""COMPUTED_VALUE"""),"1763278938806")</f>
        <v>1763278938806</v>
      </c>
    </row>
    <row r="6646" spans="1:11" ht="12.45">
      <c r="A6646" s="2" t="str">
        <f ca="1">IFERROR(__xludf.DUMMYFUNCTION("""COMPUTED_VALUE"""),"1763278998067")</f>
        <v>1763278998067</v>
      </c>
      <c r="B6646" s="2"/>
      <c r="C6646" s="2" t="str">
        <v>0</v>
      </c>
      <c r="D6646" s="2"/>
      <c r="F6646" s="2" t="str">
        <v>0</v>
      </c>
      <c r="I6646" s="3" t="str">
        <f ca="1">IFERROR(__xludf.DUMMYFUNCTION("""COMPUTED_VALUE"""),"Trần Ngọc Gia Hân")</f>
        <v>Trần Ngọc Gia Hân</v>
      </c>
      <c r="J6646" s="3" t="str">
        <f ca="1">IFERROR(__xludf.DUMMYFUNCTION("""COMPUTED_VALUE"""),"0345313480")</f>
        <v>0345313480</v>
      </c>
      <c r="K6646" s="2" t="str">
        <f ca="1">IFERROR(__xludf.DUMMYFUNCTION("""COMPUTED_VALUE"""),"1763278998067")</f>
        <v>1763278998067</v>
      </c>
    </row>
    <row r="6647" spans="1:11" ht="12.45">
      <c r="A6647" s="2" t="str">
        <f ca="1">IFERROR(__xludf.DUMMYFUNCTION("""COMPUTED_VALUE"""),"1763279041634")</f>
        <v>1763279041634</v>
      </c>
      <c r="B6647" s="2"/>
      <c r="C6647" s="2" t="str">
        <v>0</v>
      </c>
      <c r="D6647" s="2"/>
      <c r="F6647" s="2" t="str">
        <v>0</v>
      </c>
      <c r="I6647" s="3" t="str">
        <f ca="1">IFERROR(__xludf.DUMMYFUNCTION("""COMPUTED_VALUE"""),"Lê Thị Lan Phương")</f>
        <v>Lê Thị Lan Phương</v>
      </c>
      <c r="J6647" s="3" t="str">
        <f ca="1">IFERROR(__xludf.DUMMYFUNCTION("""COMPUTED_VALUE"""),"0385603298")</f>
        <v>0385603298</v>
      </c>
      <c r="K6647" s="2" t="str">
        <f ca="1">IFERROR(__xludf.DUMMYFUNCTION("""COMPUTED_VALUE"""),"1763279041634")</f>
        <v>1763279041634</v>
      </c>
    </row>
    <row r="6648" spans="1:11" ht="12.45">
      <c r="A6648" s="2" t="str">
        <f ca="1">IFERROR(__xludf.DUMMYFUNCTION("""COMPUTED_VALUE"""),"1763279084837")</f>
        <v>1763279084837</v>
      </c>
      <c r="B6648" s="2"/>
      <c r="C6648" s="2" t="str">
        <v>0</v>
      </c>
      <c r="D6648" s="2"/>
      <c r="F6648" s="2" t="str">
        <v>0</v>
      </c>
      <c r="I6648" s="3" t="str">
        <f ca="1">IFERROR(__xludf.DUMMYFUNCTION("""COMPUTED_VALUE"""),"Nguyễn Thanh Phúc")</f>
        <v>Nguyễn Thanh Phúc</v>
      </c>
      <c r="J6648" s="3" t="str">
        <f ca="1">IFERROR(__xludf.DUMMYFUNCTION("""COMPUTED_VALUE"""),"0868956291")</f>
        <v>0868956291</v>
      </c>
      <c r="K6648" s="2" t="str">
        <f ca="1">IFERROR(__xludf.DUMMYFUNCTION("""COMPUTED_VALUE"""),"1763279084837")</f>
        <v>1763279084837</v>
      </c>
    </row>
    <row r="6649" spans="1:11" ht="12.45">
      <c r="A6649" s="2" t="str">
        <f ca="1">IFERROR(__xludf.DUMMYFUNCTION("""COMPUTED_VALUE"""),"1763279162367")</f>
        <v>1763279162367</v>
      </c>
      <c r="B6649" s="2"/>
      <c r="C6649" s="2" t="str">
        <v>0</v>
      </c>
      <c r="D6649" s="2"/>
      <c r="F6649" s="2" t="str">
        <v>0</v>
      </c>
      <c r="I6649" s="3" t="str">
        <f ca="1">IFERROR(__xludf.DUMMYFUNCTION("""COMPUTED_VALUE"""),"Nguyễn Sao Linh ")</f>
        <v xml:space="preserve">Nguyễn Sao Linh </v>
      </c>
      <c r="J6649" s="3" t="str">
        <f ca="1">IFERROR(__xludf.DUMMYFUNCTION("""COMPUTED_VALUE"""),"0354682891")</f>
        <v>0354682891</v>
      </c>
      <c r="K6649" s="2" t="str">
        <f ca="1">IFERROR(__xludf.DUMMYFUNCTION("""COMPUTED_VALUE"""),"1763279162367")</f>
        <v>1763279162367</v>
      </c>
    </row>
    <row r="6650" spans="1:11" ht="12.45">
      <c r="A6650" s="2" t="str">
        <f ca="1">IFERROR(__xludf.DUMMYFUNCTION("""COMPUTED_VALUE"""),"1763279205626")</f>
        <v>1763279205626</v>
      </c>
      <c r="B6650" s="2"/>
      <c r="C6650" s="2" t="str">
        <v>0</v>
      </c>
      <c r="D6650" s="2"/>
      <c r="F6650" s="2" t="str">
        <v>0</v>
      </c>
      <c r="I6650" s="3" t="str">
        <f ca="1">IFERROR(__xludf.DUMMYFUNCTION("""COMPUTED_VALUE"""),"Trần Thị Ngọc Trâm")</f>
        <v>Trần Thị Ngọc Trâm</v>
      </c>
      <c r="J6650" s="3" t="str">
        <f ca="1">IFERROR(__xludf.DUMMYFUNCTION("""COMPUTED_VALUE"""),"0344182937")</f>
        <v>0344182937</v>
      </c>
      <c r="K6650" s="2" t="str">
        <f ca="1">IFERROR(__xludf.DUMMYFUNCTION("""COMPUTED_VALUE"""),"1763279205626")</f>
        <v>1763279205626</v>
      </c>
    </row>
    <row r="6651" spans="1:11" ht="12.45">
      <c r="A6651" s="2" t="str">
        <f ca="1">IFERROR(__xludf.DUMMYFUNCTION("""COMPUTED_VALUE"""),"1763279298303")</f>
        <v>1763279298303</v>
      </c>
      <c r="B6651" s="2"/>
      <c r="C6651" s="2" t="str">
        <v>0</v>
      </c>
      <c r="D6651" s="2"/>
      <c r="F6651" s="2" t="str">
        <v>0</v>
      </c>
      <c r="I6651" s="3" t="str">
        <f ca="1">IFERROR(__xludf.DUMMYFUNCTION("""COMPUTED_VALUE"""),"Đoàn Hồng Hạnh")</f>
        <v>Đoàn Hồng Hạnh</v>
      </c>
      <c r="J6651" s="3" t="str">
        <f ca="1">IFERROR(__xludf.DUMMYFUNCTION("""COMPUTED_VALUE"""),"0913065262")</f>
        <v>0913065262</v>
      </c>
      <c r="K6651" s="2" t="str">
        <f ca="1">IFERROR(__xludf.DUMMYFUNCTION("""COMPUTED_VALUE"""),"1763279298303")</f>
        <v>1763279298303</v>
      </c>
    </row>
    <row r="6652" spans="1:11" ht="12.45">
      <c r="A6652" s="2" t="str">
        <f ca="1">IFERROR(__xludf.DUMMYFUNCTION("""COMPUTED_VALUE"""),"Không giao sách")</f>
        <v>Không giao sách</v>
      </c>
      <c r="B6652" s="2"/>
      <c r="C6652" s="2" t="str">
        <v>0</v>
      </c>
      <c r="D6652" s="2"/>
      <c r="F6652" s="2" t="str">
        <v>0</v>
      </c>
      <c r="I6652" s="3" t="str">
        <f ca="1">IFERROR(__xludf.DUMMYFUNCTION("""COMPUTED_VALUE"""),"Lê Nguyễn Minh Thư")</f>
        <v>Lê Nguyễn Minh Thư</v>
      </c>
      <c r="J6652" s="3" t="str">
        <f ca="1">IFERROR(__xludf.DUMMYFUNCTION("""COMPUTED_VALUE"""),"0374266098")</f>
        <v>0374266098</v>
      </c>
      <c r="K6652" s="2" t="str">
        <f ca="1">IFERROR(__xludf.DUMMYFUNCTION("""COMPUTED_VALUE"""),"Không giao sách")</f>
        <v>Không giao sách</v>
      </c>
    </row>
    <row r="6653" spans="1:11" ht="12.45">
      <c r="A6653" s="2" t="str">
        <f ca="1">IFERROR(__xludf.DUMMYFUNCTION("""COMPUTED_VALUE"""),"1763279374345")</f>
        <v>1763279374345</v>
      </c>
      <c r="B6653" s="2"/>
      <c r="C6653" s="2" t="str">
        <v>0</v>
      </c>
      <c r="D6653" s="2"/>
      <c r="F6653" s="2" t="str">
        <v>0</v>
      </c>
      <c r="I6653" s="3" t="str">
        <f ca="1">IFERROR(__xludf.DUMMYFUNCTION("""COMPUTED_VALUE"""),"Vũ thị na")</f>
        <v>Vũ thị na</v>
      </c>
      <c r="J6653" s="3" t="str">
        <f ca="1">IFERROR(__xludf.DUMMYFUNCTION("""COMPUTED_VALUE"""),"0878732414")</f>
        <v>0878732414</v>
      </c>
      <c r="K6653" s="2" t="str">
        <f ca="1">IFERROR(__xludf.DUMMYFUNCTION("""COMPUTED_VALUE"""),"1763279374345")</f>
        <v>1763279374345</v>
      </c>
    </row>
    <row r="6654" spans="1:11" ht="12.45">
      <c r="A6654" s="2" t="str">
        <f ca="1">IFERROR(__xludf.DUMMYFUNCTION("""COMPUTED_VALUE"""),"1763279484559")</f>
        <v>1763279484559</v>
      </c>
      <c r="B6654" s="2"/>
      <c r="C6654" s="2" t="str">
        <v>0</v>
      </c>
      <c r="D6654" s="2"/>
      <c r="F6654" s="2" t="str">
        <v>0</v>
      </c>
      <c r="I6654" s="3" t="str">
        <f ca="1">IFERROR(__xludf.DUMMYFUNCTION("""COMPUTED_VALUE"""),"Đinh Gia Huệ")</f>
        <v>Đinh Gia Huệ</v>
      </c>
      <c r="J6654" s="3" t="str">
        <f ca="1">IFERROR(__xludf.DUMMYFUNCTION("""COMPUTED_VALUE"""),"0977521141")</f>
        <v>0977521141</v>
      </c>
      <c r="K6654" s="2" t="str">
        <f ca="1">IFERROR(__xludf.DUMMYFUNCTION("""COMPUTED_VALUE"""),"1763279484559")</f>
        <v>1763279484559</v>
      </c>
    </row>
    <row r="6655" spans="1:11" ht="12.45">
      <c r="A6655" s="2" t="str">
        <f ca="1">IFERROR(__xludf.DUMMYFUNCTION("""COMPUTED_VALUE"""),"1763279570815")</f>
        <v>1763279570815</v>
      </c>
      <c r="B6655" s="2"/>
      <c r="C6655" s="2" t="str">
        <v>0</v>
      </c>
      <c r="D6655" s="2"/>
      <c r="F6655" s="2" t="str">
        <v>0</v>
      </c>
      <c r="I6655" s="3" t="str">
        <f ca="1">IFERROR(__xludf.DUMMYFUNCTION("""COMPUTED_VALUE"""),"Phạm HT Đạt")</f>
        <v>Phạm HT Đạt</v>
      </c>
      <c r="J6655" s="3" t="str">
        <f ca="1">IFERROR(__xludf.DUMMYFUNCTION("""COMPUTED_VALUE"""),"0862470041")</f>
        <v>0862470041</v>
      </c>
      <c r="K6655" s="2" t="str">
        <f ca="1">IFERROR(__xludf.DUMMYFUNCTION("""COMPUTED_VALUE"""),"1763279570815")</f>
        <v>1763279570815</v>
      </c>
    </row>
    <row r="6656" spans="1:11" ht="12.45">
      <c r="A6656" s="2" t="str">
        <f ca="1">IFERROR(__xludf.DUMMYFUNCTION("""COMPUTED_VALUE"""),"1763279622901")</f>
        <v>1763279622901</v>
      </c>
      <c r="B6656" s="2"/>
      <c r="C6656" s="2" t="str">
        <v>0</v>
      </c>
      <c r="D6656" s="2"/>
      <c r="F6656" s="2" t="str">
        <v>0</v>
      </c>
      <c r="I6656" s="3" t="str">
        <f ca="1">IFERROR(__xludf.DUMMYFUNCTION("""COMPUTED_VALUE"""),"Hà Ngọc Lan Thanh")</f>
        <v>Hà Ngọc Lan Thanh</v>
      </c>
      <c r="J6656" s="3" t="str">
        <f ca="1">IFERROR(__xludf.DUMMYFUNCTION("""COMPUTED_VALUE"""),"0903141874")</f>
        <v>0903141874</v>
      </c>
      <c r="K6656" s="2" t="str">
        <f ca="1">IFERROR(__xludf.DUMMYFUNCTION("""COMPUTED_VALUE"""),"1763279622901")</f>
        <v>1763279622901</v>
      </c>
    </row>
    <row r="6657" spans="1:11" ht="12.45">
      <c r="A6657" s="2" t="str">
        <f ca="1">IFERROR(__xludf.DUMMYFUNCTION("""COMPUTED_VALUE"""),"1763279668055")</f>
        <v>1763279668055</v>
      </c>
      <c r="B6657" s="2"/>
      <c r="C6657" s="2" t="str">
        <v>0</v>
      </c>
      <c r="D6657" s="2"/>
      <c r="F6657" s="2" t="str">
        <v>0</v>
      </c>
      <c r="I6657" s="3" t="str">
        <f ca="1">IFERROR(__xludf.DUMMYFUNCTION("""COMPUTED_VALUE"""),"Lê Thị Mai Anh")</f>
        <v>Lê Thị Mai Anh</v>
      </c>
      <c r="J6657" s="3" t="str">
        <f ca="1">IFERROR(__xludf.DUMMYFUNCTION("""COMPUTED_VALUE"""),"0352824696")</f>
        <v>0352824696</v>
      </c>
      <c r="K6657" s="2" t="str">
        <f ca="1">IFERROR(__xludf.DUMMYFUNCTION("""COMPUTED_VALUE"""),"1763279668055")</f>
        <v>1763279668055</v>
      </c>
    </row>
    <row r="6658" spans="1:11" ht="12.45">
      <c r="A6658" s="2" t="str">
        <f ca="1">IFERROR(__xludf.DUMMYFUNCTION("""COMPUTED_VALUE"""),"1763279731399")</f>
        <v>1763279731399</v>
      </c>
      <c r="B6658" s="2"/>
      <c r="C6658" s="2" t="str">
        <v>0</v>
      </c>
      <c r="D6658" s="2"/>
      <c r="F6658" s="2" t="str">
        <v>0</v>
      </c>
      <c r="I6658" s="3" t="str">
        <f ca="1">IFERROR(__xludf.DUMMYFUNCTION("""COMPUTED_VALUE"""),"Trần Thị Diễm Quỳnh ")</f>
        <v xml:space="preserve">Trần Thị Diễm Quỳnh </v>
      </c>
      <c r="J6658" s="3" t="str">
        <f ca="1">IFERROR(__xludf.DUMMYFUNCTION("""COMPUTED_VALUE"""),"0867909505")</f>
        <v>0867909505</v>
      </c>
      <c r="K6658" s="2" t="str">
        <f ca="1">IFERROR(__xludf.DUMMYFUNCTION("""COMPUTED_VALUE"""),"1763279731399")</f>
        <v>1763279731399</v>
      </c>
    </row>
    <row r="6659" spans="1:11" ht="12.45">
      <c r="A6659" s="2" t="str">
        <f ca="1">IFERROR(__xludf.DUMMYFUNCTION("""COMPUTED_VALUE"""),"1763279756750")</f>
        <v>1763279756750</v>
      </c>
      <c r="B6659" s="2"/>
      <c r="C6659" s="2" t="str">
        <v>0</v>
      </c>
      <c r="D6659" s="2"/>
      <c r="F6659" s="2" t="str">
        <v>0</v>
      </c>
      <c r="I6659" s="3" t="str">
        <f ca="1">IFERROR(__xludf.DUMMYFUNCTION("""COMPUTED_VALUE"""),"Vũ Thanh Hương")</f>
        <v>Vũ Thanh Hương</v>
      </c>
      <c r="J6659" s="3" t="str">
        <f ca="1">IFERROR(__xludf.DUMMYFUNCTION("""COMPUTED_VALUE"""),"0358983400")</f>
        <v>0358983400</v>
      </c>
      <c r="K6659" s="2" t="str">
        <f ca="1">IFERROR(__xludf.DUMMYFUNCTION("""COMPUTED_VALUE"""),"1763279756750")</f>
        <v>1763279756750</v>
      </c>
    </row>
    <row r="6660" spans="1:11" ht="12.45">
      <c r="A6660" s="2" t="str">
        <f ca="1">IFERROR(__xludf.DUMMYFUNCTION("""COMPUTED_VALUE"""),"1763279799220")</f>
        <v>1763279799220</v>
      </c>
      <c r="B6660" s="2"/>
      <c r="C6660" s="2" t="str">
        <v>0</v>
      </c>
      <c r="D6660" s="2"/>
      <c r="F6660" s="2" t="str">
        <v>0</v>
      </c>
      <c r="I6660" s="3" t="str">
        <f ca="1">IFERROR(__xludf.DUMMYFUNCTION("""COMPUTED_VALUE"""),"nguyễn thọ văn")</f>
        <v>nguyễn thọ văn</v>
      </c>
      <c r="J6660" s="3" t="str">
        <f ca="1">IFERROR(__xludf.DUMMYFUNCTION("""COMPUTED_VALUE"""),"0358192867")</f>
        <v>0358192867</v>
      </c>
      <c r="K6660" s="2" t="str">
        <f ca="1">IFERROR(__xludf.DUMMYFUNCTION("""COMPUTED_VALUE"""),"1763279799220")</f>
        <v>1763279799220</v>
      </c>
    </row>
    <row r="6661" spans="1:11" ht="12.45">
      <c r="A6661" s="2" t="str">
        <f ca="1">IFERROR(__xludf.DUMMYFUNCTION("""COMPUTED_VALUE"""),"1763279832354")</f>
        <v>1763279832354</v>
      </c>
      <c r="B6661" s="2"/>
      <c r="C6661" s="2" t="str">
        <v>0</v>
      </c>
      <c r="D6661" s="2"/>
      <c r="F6661" s="2" t="str">
        <v>0</v>
      </c>
      <c r="I6661" s="3" t="str">
        <f ca="1">IFERROR(__xludf.DUMMYFUNCTION("""COMPUTED_VALUE"""),"Đỗ Thuý")</f>
        <v>Đỗ Thuý</v>
      </c>
      <c r="J6661" s="3" t="str">
        <f ca="1">IFERROR(__xludf.DUMMYFUNCTION("""COMPUTED_VALUE"""),"0395824007")</f>
        <v>0395824007</v>
      </c>
      <c r="K6661" s="2" t="str">
        <f ca="1">IFERROR(__xludf.DUMMYFUNCTION("""COMPUTED_VALUE"""),"1763279832354")</f>
        <v>1763279832354</v>
      </c>
    </row>
    <row r="6662" spans="1:11" ht="12.45">
      <c r="A6662" s="2" t="str">
        <f ca="1">IFERROR(__xludf.DUMMYFUNCTION("""COMPUTED_VALUE"""),"1763279886525")</f>
        <v>1763279886525</v>
      </c>
      <c r="B6662" s="2"/>
      <c r="C6662" s="2" t="str">
        <v>0</v>
      </c>
      <c r="D6662" s="2"/>
      <c r="F6662" s="2" t="str">
        <v>0</v>
      </c>
      <c r="I6662" s="3" t="str">
        <f ca="1">IFERROR(__xludf.DUMMYFUNCTION("""COMPUTED_VALUE"""),"Hoàng Hải Yến")</f>
        <v>Hoàng Hải Yến</v>
      </c>
      <c r="J6662" s="3" t="str">
        <f ca="1">IFERROR(__xludf.DUMMYFUNCTION("""COMPUTED_VALUE"""),"0973373415")</f>
        <v>0973373415</v>
      </c>
      <c r="K6662" s="2" t="str">
        <f ca="1">IFERROR(__xludf.DUMMYFUNCTION("""COMPUTED_VALUE"""),"1763279886525")</f>
        <v>1763279886525</v>
      </c>
    </row>
    <row r="6663" spans="1:11" ht="12.45">
      <c r="A6663" s="2" t="str">
        <f ca="1">IFERROR(__xludf.DUMMYFUNCTION("""COMPUTED_VALUE"""),"1763279928856")</f>
        <v>1763279928856</v>
      </c>
      <c r="B6663" s="2"/>
      <c r="C6663" s="2" t="str">
        <v>0</v>
      </c>
      <c r="D6663" s="2"/>
      <c r="F6663" s="2" t="str">
        <v>0</v>
      </c>
      <c r="I6663" s="3" t="str">
        <f ca="1">IFERROR(__xludf.DUMMYFUNCTION("""COMPUTED_VALUE"""),"Nguyễn Thị Thu Thảo")</f>
        <v>Nguyễn Thị Thu Thảo</v>
      </c>
      <c r="J6663" s="3" t="str">
        <f ca="1">IFERROR(__xludf.DUMMYFUNCTION("""COMPUTED_VALUE"""),"0834048485")</f>
        <v>0834048485</v>
      </c>
      <c r="K6663" s="2" t="str">
        <f ca="1">IFERROR(__xludf.DUMMYFUNCTION("""COMPUTED_VALUE"""),"1763279928856")</f>
        <v>1763279928856</v>
      </c>
    </row>
    <row r="6664" spans="1:11" ht="12.45">
      <c r="A6664" s="2" t="str">
        <f ca="1">IFERROR(__xludf.DUMMYFUNCTION("""COMPUTED_VALUE"""),"1763279996051")</f>
        <v>1763279996051</v>
      </c>
      <c r="B6664" s="2"/>
      <c r="C6664" s="2" t="str">
        <v>0</v>
      </c>
      <c r="D6664" s="2"/>
      <c r="F6664" s="2" t="str">
        <v>0</v>
      </c>
      <c r="I6664" s="3" t="str">
        <f ca="1">IFERROR(__xludf.DUMMYFUNCTION("""COMPUTED_VALUE"""),"Vũ Phương Nhi")</f>
        <v>Vũ Phương Nhi</v>
      </c>
      <c r="J6664" s="3" t="str">
        <f ca="1">IFERROR(__xludf.DUMMYFUNCTION("""COMPUTED_VALUE"""),"0769267706")</f>
        <v>0769267706</v>
      </c>
      <c r="K6664" s="2" t="str">
        <f ca="1">IFERROR(__xludf.DUMMYFUNCTION("""COMPUTED_VALUE"""),"1763279996051")</f>
        <v>1763279996051</v>
      </c>
    </row>
    <row r="6665" spans="1:11" ht="12.45">
      <c r="A6665" s="2" t="str">
        <f ca="1">IFERROR(__xludf.DUMMYFUNCTION("""COMPUTED_VALUE"""),"1763280059511")</f>
        <v>1763280059511</v>
      </c>
      <c r="B6665" s="2"/>
      <c r="C6665" s="2" t="str">
        <v>0</v>
      </c>
      <c r="D6665" s="2"/>
      <c r="F6665" s="2" t="str">
        <v>0</v>
      </c>
      <c r="I6665" s="3" t="str">
        <f ca="1">IFERROR(__xludf.DUMMYFUNCTION("""COMPUTED_VALUE"""),"Hoàng Thị Ngọc Hoa")</f>
        <v>Hoàng Thị Ngọc Hoa</v>
      </c>
      <c r="J6665" s="3" t="str">
        <f ca="1">IFERROR(__xludf.DUMMYFUNCTION("""COMPUTED_VALUE"""),"0971586906")</f>
        <v>0971586906</v>
      </c>
      <c r="K6665" s="2" t="str">
        <f ca="1">IFERROR(__xludf.DUMMYFUNCTION("""COMPUTED_VALUE"""),"1763280059511")</f>
        <v>1763280059511</v>
      </c>
    </row>
    <row r="6666" spans="1:11" ht="12.45">
      <c r="A6666" s="2" t="str">
        <f ca="1">IFERROR(__xludf.DUMMYFUNCTION("""COMPUTED_VALUE"""),"1763280114916")</f>
        <v>1763280114916</v>
      </c>
      <c r="B6666" s="2"/>
      <c r="C6666" s="2" t="str">
        <v>0</v>
      </c>
      <c r="D6666" s="2"/>
      <c r="F6666" s="2" t="str">
        <v>0</v>
      </c>
      <c r="I6666" s="3" t="str">
        <f ca="1">IFERROR(__xludf.DUMMYFUNCTION("""COMPUTED_VALUE"""),"Đàm Huyền Mai")</f>
        <v>Đàm Huyền Mai</v>
      </c>
      <c r="J6666" s="3" t="str">
        <f ca="1">IFERROR(__xludf.DUMMYFUNCTION("""COMPUTED_VALUE"""),"0917971474")</f>
        <v>0917971474</v>
      </c>
      <c r="K6666" s="2" t="str">
        <f ca="1">IFERROR(__xludf.DUMMYFUNCTION("""COMPUTED_VALUE"""),"1763280114916")</f>
        <v>1763280114916</v>
      </c>
    </row>
    <row r="6667" spans="1:11" ht="12.45">
      <c r="A6667" s="2" t="str">
        <f ca="1">IFERROR(__xludf.DUMMYFUNCTION("""COMPUTED_VALUE"""),"Không giao sách")</f>
        <v>Không giao sách</v>
      </c>
      <c r="B6667" s="2"/>
      <c r="C6667" s="2" t="str">
        <v>0</v>
      </c>
      <c r="D6667" s="2"/>
      <c r="F6667" s="2" t="str">
        <v>0</v>
      </c>
      <c r="I6667" s="3" t="str">
        <f ca="1">IFERROR(__xludf.DUMMYFUNCTION("""COMPUTED_VALUE"""),"Nguyễn Thị Lê Hương")</f>
        <v>Nguyễn Thị Lê Hương</v>
      </c>
      <c r="J6667" s="3" t="str">
        <f ca="1">IFERROR(__xludf.DUMMYFUNCTION("""COMPUTED_VALUE"""),"0379062859")</f>
        <v>0379062859</v>
      </c>
      <c r="K6667" s="2" t="str">
        <f ca="1">IFERROR(__xludf.DUMMYFUNCTION("""COMPUTED_VALUE"""),"Không giao sách")</f>
        <v>Không giao sách</v>
      </c>
    </row>
    <row r="6668" spans="1:11" ht="12.45">
      <c r="A6668" s="2" t="str">
        <f ca="1">IFERROR(__xludf.DUMMYFUNCTION("""COMPUTED_VALUE"""),"1758488733867")</f>
        <v>1758488733867</v>
      </c>
      <c r="B6668" s="2"/>
      <c r="C6668" s="2" t="str">
        <v>0</v>
      </c>
      <c r="D6668" s="2"/>
      <c r="F6668" s="2" t="str">
        <v>0</v>
      </c>
      <c r="I6668" s="3" t="str">
        <f ca="1">IFERROR(__xludf.DUMMYFUNCTION("""COMPUTED_VALUE"""),"Dương Minh Nguyệt ")</f>
        <v xml:space="preserve">Dương Minh Nguyệt </v>
      </c>
      <c r="J6668" s="3" t="str">
        <f ca="1">IFERROR(__xludf.DUMMYFUNCTION("""COMPUTED_VALUE"""),"0867801596")</f>
        <v>0867801596</v>
      </c>
      <c r="K6668" s="2" t="str">
        <f ca="1">IFERROR(__xludf.DUMMYFUNCTION("""COMPUTED_VALUE"""),"1758488733867")</f>
        <v>1758488733867</v>
      </c>
    </row>
    <row r="6669" spans="1:11" ht="12.45">
      <c r="A6669" s="2" t="str">
        <f ca="1">IFERROR(__xludf.DUMMYFUNCTION("""COMPUTED_VALUE"""),"1758488807816")</f>
        <v>1758488807816</v>
      </c>
      <c r="B6669" s="2"/>
      <c r="C6669" s="2" t="str">
        <v>0</v>
      </c>
      <c r="D6669" s="2"/>
      <c r="F6669" s="2" t="str">
        <v>0</v>
      </c>
      <c r="I6669" s="3" t="str">
        <f ca="1">IFERROR(__xludf.DUMMYFUNCTION("""COMPUTED_VALUE"""),"Ngô Cẩm Dân")</f>
        <v>Ngô Cẩm Dân</v>
      </c>
      <c r="J6669" s="3" t="str">
        <f ca="1">IFERROR(__xludf.DUMMYFUNCTION("""COMPUTED_VALUE"""),"0373572811")</f>
        <v>0373572811</v>
      </c>
      <c r="K6669" s="2" t="str">
        <f ca="1">IFERROR(__xludf.DUMMYFUNCTION("""COMPUTED_VALUE"""),"1758488807816")</f>
        <v>1758488807816</v>
      </c>
    </row>
    <row r="6670" spans="1:11" ht="12.45">
      <c r="A6670" s="2" t="str">
        <f ca="1">IFERROR(__xludf.DUMMYFUNCTION("""COMPUTED_VALUE"""),"1758488909981")</f>
        <v>1758488909981</v>
      </c>
      <c r="B6670" s="2"/>
      <c r="C6670" s="2" t="str">
        <v>0</v>
      </c>
      <c r="D6670" s="2"/>
      <c r="F6670" s="2" t="str">
        <v>0</v>
      </c>
      <c r="I6670" s="3" t="str">
        <f ca="1">IFERROR(__xludf.DUMMYFUNCTION("""COMPUTED_VALUE"""),"NGÔ TRÚC MAI")</f>
        <v>NGÔ TRÚC MAI</v>
      </c>
      <c r="J6670" s="3" t="str">
        <f ca="1">IFERROR(__xludf.DUMMYFUNCTION("""COMPUTED_VALUE"""),"0966968416")</f>
        <v>0966968416</v>
      </c>
      <c r="K6670" s="2" t="str">
        <f ca="1">IFERROR(__xludf.DUMMYFUNCTION("""COMPUTED_VALUE"""),"1758488909981")</f>
        <v>1758488909981</v>
      </c>
    </row>
    <row r="6671" spans="1:11" ht="12.45">
      <c r="A6671" s="2" t="str">
        <f ca="1">IFERROR(__xludf.DUMMYFUNCTION("""COMPUTED_VALUE"""),"Không giao sách")</f>
        <v>Không giao sách</v>
      </c>
      <c r="B6671" s="2"/>
      <c r="C6671" s="2" t="str">
        <v>0</v>
      </c>
      <c r="D6671" s="2"/>
      <c r="F6671" s="2" t="str">
        <v>0</v>
      </c>
      <c r="I6671" s="3" t="str">
        <f ca="1">IFERROR(__xludf.DUMMYFUNCTION("""COMPUTED_VALUE"""),"Mai Thị Thu Huyền ")</f>
        <v xml:space="preserve">Mai Thị Thu Huyền </v>
      </c>
      <c r="J6671" s="3" t="str">
        <f ca="1">IFERROR(__xludf.DUMMYFUNCTION("""COMPUTED_VALUE"""),"0962103224")</f>
        <v>0962103224</v>
      </c>
      <c r="K6671" s="2" t="str">
        <f ca="1">IFERROR(__xludf.DUMMYFUNCTION("""COMPUTED_VALUE"""),"Không giao sách")</f>
        <v>Không giao sách</v>
      </c>
    </row>
    <row r="6672" spans="1:11" ht="12.45">
      <c r="A6672" s="2" t="str">
        <f ca="1">IFERROR(__xludf.DUMMYFUNCTION("""COMPUTED_VALUE"""),"1758488992423")</f>
        <v>1758488992423</v>
      </c>
      <c r="B6672" s="2"/>
      <c r="C6672" s="2" t="str">
        <v>0</v>
      </c>
      <c r="D6672" s="2"/>
      <c r="F6672" s="2" t="str">
        <v>0</v>
      </c>
      <c r="I6672" s="3" t="str">
        <f ca="1">IFERROR(__xludf.DUMMYFUNCTION("""COMPUTED_VALUE"""),"Nguyễn Lý Cát Tường ")</f>
        <v xml:space="preserve">Nguyễn Lý Cát Tường </v>
      </c>
      <c r="J6672" s="3" t="str">
        <f ca="1">IFERROR(__xludf.DUMMYFUNCTION("""COMPUTED_VALUE"""),"0931046372")</f>
        <v>0931046372</v>
      </c>
      <c r="K6672" s="2" t="str">
        <f ca="1">IFERROR(__xludf.DUMMYFUNCTION("""COMPUTED_VALUE"""),"1758488992423")</f>
        <v>1758488992423</v>
      </c>
    </row>
    <row r="6673" spans="1:11" ht="12.45">
      <c r="A6673" s="2" t="str">
        <f ca="1">IFERROR(__xludf.DUMMYFUNCTION("""COMPUTED_VALUE"""),"1758489085945")</f>
        <v>1758489085945</v>
      </c>
      <c r="B6673" s="2"/>
      <c r="C6673" s="2" t="str">
        <v>0</v>
      </c>
      <c r="D6673" s="2"/>
      <c r="F6673" s="2" t="str">
        <v>0</v>
      </c>
      <c r="I6673" s="3" t="str">
        <f ca="1">IFERROR(__xludf.DUMMYFUNCTION("""COMPUTED_VALUE"""),"Lê Diệu Thúy")</f>
        <v>Lê Diệu Thúy</v>
      </c>
      <c r="J6673" s="3" t="str">
        <f ca="1">IFERROR(__xludf.DUMMYFUNCTION("""COMPUTED_VALUE"""),"0326852007")</f>
        <v>0326852007</v>
      </c>
      <c r="K6673" s="2" t="str">
        <f ca="1">IFERROR(__xludf.DUMMYFUNCTION("""COMPUTED_VALUE"""),"1758489085945")</f>
        <v>1758489085945</v>
      </c>
    </row>
    <row r="6674" spans="1:11" ht="12.45">
      <c r="A6674" s="2" t="str">
        <f ca="1">IFERROR(__xludf.DUMMYFUNCTION("""COMPUTED_VALUE"""),"1758489142015")</f>
        <v>1758489142015</v>
      </c>
      <c r="B6674" s="2"/>
      <c r="C6674" s="2" t="str">
        <v>0</v>
      </c>
      <c r="D6674" s="2"/>
      <c r="F6674" s="2" t="str">
        <v>0</v>
      </c>
      <c r="I6674" s="3" t="str">
        <f ca="1">IFERROR(__xludf.DUMMYFUNCTION("""COMPUTED_VALUE"""),"Nguyễn Thị Minh Hà")</f>
        <v>Nguyễn Thị Minh Hà</v>
      </c>
      <c r="J6674" s="3" t="str">
        <f ca="1">IFERROR(__xludf.DUMMYFUNCTION("""COMPUTED_VALUE"""),"0816720007")</f>
        <v>0816720007</v>
      </c>
      <c r="K6674" s="2" t="str">
        <f ca="1">IFERROR(__xludf.DUMMYFUNCTION("""COMPUTED_VALUE"""),"1758489142015")</f>
        <v>1758489142015</v>
      </c>
    </row>
    <row r="6675" spans="1:11" ht="12.45">
      <c r="A6675" s="2" t="str">
        <f ca="1">IFERROR(__xludf.DUMMYFUNCTION("""COMPUTED_VALUE"""),"1762561344554")</f>
        <v>1762561344554</v>
      </c>
      <c r="B6675" s="2"/>
      <c r="C6675" s="2" t="str">
        <v>0</v>
      </c>
      <c r="D6675" s="2"/>
      <c r="F6675" s="2" t="str">
        <v>0</v>
      </c>
      <c r="I6675" s="3" t="str">
        <f ca="1">IFERROR(__xludf.DUMMYFUNCTION("""COMPUTED_VALUE"""),"Nguyễn Hoài Nam")</f>
        <v>Nguyễn Hoài Nam</v>
      </c>
      <c r="J6675" s="3" t="str">
        <f ca="1">IFERROR(__xludf.DUMMYFUNCTION("""COMPUTED_VALUE"""),"0337267713")</f>
        <v>0337267713</v>
      </c>
      <c r="K6675" s="2" t="str">
        <f ca="1">IFERROR(__xludf.DUMMYFUNCTION("""COMPUTED_VALUE"""),"1762561344554")</f>
        <v>1762561344554</v>
      </c>
    </row>
    <row r="6676" spans="1:11" ht="12.45">
      <c r="A6676" s="2">
        <f ca="1">IFERROR(__xludf.DUMMYFUNCTION("""COMPUTED_VALUE"""),1758718863667)</f>
        <v>1758718863667</v>
      </c>
      <c r="B6676" s="2"/>
      <c r="C6676" s="2" t="str">
        <v>0</v>
      </c>
      <c r="D6676" s="2"/>
      <c r="F6676" s="2" t="str">
        <v>0</v>
      </c>
      <c r="I6676" s="3" t="str">
        <f ca="1">IFERROR(__xludf.DUMMYFUNCTION("""COMPUTED_VALUE"""),"Đoàn Yến Nhi")</f>
        <v>Đoàn Yến Nhi</v>
      </c>
      <c r="J6676" s="3" t="str">
        <f ca="1">IFERROR(__xludf.DUMMYFUNCTION("""COMPUTED_VALUE"""),"0931024465")</f>
        <v>0931024465</v>
      </c>
      <c r="K6676" s="2">
        <f ca="1">IFERROR(__xludf.DUMMYFUNCTION("""COMPUTED_VALUE"""),1758718863667)</f>
        <v>1758718863667</v>
      </c>
    </row>
    <row r="6677" spans="1:11" ht="12.45">
      <c r="A6677" s="2" t="str">
        <f ca="1">IFERROR(__xludf.DUMMYFUNCTION("""COMPUTED_VALUE"""),"1756811900494")</f>
        <v>1756811900494</v>
      </c>
      <c r="B6677" s="2"/>
      <c r="C6677" s="2" t="str">
        <v>0</v>
      </c>
      <c r="D6677" s="2"/>
      <c r="F6677" s="2" t="str">
        <v>0</v>
      </c>
      <c r="I6677" s="3" t="str">
        <f ca="1">IFERROR(__xludf.DUMMYFUNCTION("""COMPUTED_VALUE"""),"Trần Đức Hưng")</f>
        <v>Trần Đức Hưng</v>
      </c>
      <c r="J6677" s="3" t="str">
        <f ca="1">IFERROR(__xludf.DUMMYFUNCTION("""COMPUTED_VALUE"""),"0394342020")</f>
        <v>0394342020</v>
      </c>
      <c r="K6677" s="2" t="str">
        <f ca="1">IFERROR(__xludf.DUMMYFUNCTION("""COMPUTED_VALUE"""),"1756811900494")</f>
        <v>1756811900494</v>
      </c>
    </row>
    <row r="6678" spans="1:11" ht="12.45">
      <c r="A6678" s="2" t="str">
        <f ca="1">IFERROR(__xludf.DUMMYFUNCTION("""COMPUTED_VALUE"""),"1762561457506")</f>
        <v>1762561457506</v>
      </c>
      <c r="B6678" s="2"/>
      <c r="C6678" s="2" t="str">
        <v>0</v>
      </c>
      <c r="D6678" s="2"/>
      <c r="F6678" s="2" t="str">
        <v>0</v>
      </c>
      <c r="I6678" s="3" t="str">
        <f ca="1">IFERROR(__xludf.DUMMYFUNCTION("""COMPUTED_VALUE"""),"ĐÀO THÙY TRÂM")</f>
        <v>ĐÀO THÙY TRÂM</v>
      </c>
      <c r="J6678" s="3" t="str">
        <f ca="1">IFERROR(__xludf.DUMMYFUNCTION("""COMPUTED_VALUE"""),"0865186165")</f>
        <v>0865186165</v>
      </c>
      <c r="K6678" s="2" t="str">
        <f ca="1">IFERROR(__xludf.DUMMYFUNCTION("""COMPUTED_VALUE"""),"1762561457506")</f>
        <v>1762561457506</v>
      </c>
    </row>
    <row r="6679" spans="1:11" ht="12.45">
      <c r="A6679" s="2" t="str">
        <f ca="1">IFERROR(__xludf.DUMMYFUNCTION("""COMPUTED_VALUE"""),"1762561496291")</f>
        <v>1762561496291</v>
      </c>
      <c r="B6679" s="2"/>
      <c r="C6679" s="2" t="str">
        <v>0</v>
      </c>
      <c r="D6679" s="2"/>
      <c r="F6679" s="2" t="str">
        <v>0</v>
      </c>
      <c r="I6679" s="3" t="str">
        <f ca="1">IFERROR(__xludf.DUMMYFUNCTION("""COMPUTED_VALUE"""),"Nguyễn Thị Tâm Tâm")</f>
        <v>Nguyễn Thị Tâm Tâm</v>
      </c>
      <c r="J6679" s="3" t="str">
        <f ca="1">IFERROR(__xludf.DUMMYFUNCTION("""COMPUTED_VALUE"""),"0979885956")</f>
        <v>0979885956</v>
      </c>
      <c r="K6679" s="2" t="str">
        <f ca="1">IFERROR(__xludf.DUMMYFUNCTION("""COMPUTED_VALUE"""),"1762561496291")</f>
        <v>1762561496291</v>
      </c>
    </row>
    <row r="6680" spans="1:11" ht="12.45">
      <c r="A6680" s="2" t="str">
        <f ca="1">IFERROR(__xludf.DUMMYFUNCTION("""COMPUTED_VALUE"""),"1758489231517")</f>
        <v>1758489231517</v>
      </c>
      <c r="B6680" s="2"/>
      <c r="C6680" s="2" t="str">
        <v>0</v>
      </c>
      <c r="D6680" s="2"/>
      <c r="F6680" s="2" t="str">
        <v>0</v>
      </c>
      <c r="I6680" s="3" t="str">
        <f ca="1">IFERROR(__xludf.DUMMYFUNCTION("""COMPUTED_VALUE"""),"Chu Vi Anh Tuấn")</f>
        <v>Chu Vi Anh Tuấn</v>
      </c>
      <c r="J6680" s="3" t="str">
        <f ca="1">IFERROR(__xludf.DUMMYFUNCTION("""COMPUTED_VALUE"""),"0976719202")</f>
        <v>0976719202</v>
      </c>
      <c r="K6680" s="2" t="str">
        <f ca="1">IFERROR(__xludf.DUMMYFUNCTION("""COMPUTED_VALUE"""),"1758489231517")</f>
        <v>1758489231517</v>
      </c>
    </row>
    <row r="6681" spans="1:11" ht="12.45">
      <c r="A6681" s="2" t="str">
        <f ca="1">IFERROR(__xludf.DUMMYFUNCTION("""COMPUTED_VALUE"""),"1758489297650")</f>
        <v>1758489297650</v>
      </c>
      <c r="B6681" s="2"/>
      <c r="C6681" s="2" t="str">
        <v>0</v>
      </c>
      <c r="D6681" s="2"/>
      <c r="F6681" s="2" t="str">
        <v>0</v>
      </c>
      <c r="I6681" s="3" t="str">
        <f ca="1">IFERROR(__xludf.DUMMYFUNCTION("""COMPUTED_VALUE"""),"Ngô Nguyễn Nhã Linh")</f>
        <v>Ngô Nguyễn Nhã Linh</v>
      </c>
      <c r="J6681" s="3" t="str">
        <f ca="1">IFERROR(__xludf.DUMMYFUNCTION("""COMPUTED_VALUE"""),"0943828296")</f>
        <v>0943828296</v>
      </c>
      <c r="K6681" s="2" t="str">
        <f ca="1">IFERROR(__xludf.DUMMYFUNCTION("""COMPUTED_VALUE"""),"1758489297650")</f>
        <v>1758489297650</v>
      </c>
    </row>
    <row r="6682" spans="1:11" ht="12.45">
      <c r="A6682" s="2" t="str">
        <f ca="1">IFERROR(__xludf.DUMMYFUNCTION("""COMPUTED_VALUE"""),"1758489389431")</f>
        <v>1758489389431</v>
      </c>
      <c r="B6682" s="2"/>
      <c r="C6682" s="2" t="str">
        <v>0</v>
      </c>
      <c r="D6682" s="2"/>
      <c r="F6682" s="2" t="str">
        <v>0</v>
      </c>
      <c r="I6682" s="3" t="str">
        <f ca="1">IFERROR(__xludf.DUMMYFUNCTION("""COMPUTED_VALUE"""),"Nguyễn Thuỳ Linh")</f>
        <v>Nguyễn Thuỳ Linh</v>
      </c>
      <c r="J6682" s="3" t="str">
        <f ca="1">IFERROR(__xludf.DUMMYFUNCTION("""COMPUTED_VALUE"""),"0353193843")</f>
        <v>0353193843</v>
      </c>
      <c r="K6682" s="2" t="str">
        <f ca="1">IFERROR(__xludf.DUMMYFUNCTION("""COMPUTED_VALUE"""),"1758489389431")</f>
        <v>1758489389431</v>
      </c>
    </row>
    <row r="6683" spans="1:11" ht="12.45">
      <c r="A6683" s="2" t="str">
        <f ca="1">IFERROR(__xludf.DUMMYFUNCTION("""COMPUTED_VALUE"""),"1762561543178")</f>
        <v>1762561543178</v>
      </c>
      <c r="B6683" s="2"/>
      <c r="C6683" s="2" t="str">
        <v>0</v>
      </c>
      <c r="D6683" s="2"/>
      <c r="F6683" s="2" t="str">
        <v>0</v>
      </c>
      <c r="I6683" s="3" t="str">
        <f ca="1">IFERROR(__xludf.DUMMYFUNCTION("""COMPUTED_VALUE"""),"Bàn Thị Nguyệt Nhi ")</f>
        <v xml:space="preserve">Bàn Thị Nguyệt Nhi </v>
      </c>
      <c r="J6683" s="3" t="str">
        <f ca="1">IFERROR(__xludf.DUMMYFUNCTION("""COMPUTED_VALUE"""),"0383025452")</f>
        <v>0383025452</v>
      </c>
      <c r="K6683" s="2" t="str">
        <f ca="1">IFERROR(__xludf.DUMMYFUNCTION("""COMPUTED_VALUE"""),"1762561543178")</f>
        <v>1762561543178</v>
      </c>
    </row>
    <row r="6684" spans="1:11" ht="12.45">
      <c r="A6684" s="2" t="str">
        <f ca="1">IFERROR(__xludf.DUMMYFUNCTION("""COMPUTED_VALUE"""),"1758489463027")</f>
        <v>1758489463027</v>
      </c>
      <c r="B6684" s="2"/>
      <c r="C6684" s="2" t="str">
        <v>0</v>
      </c>
      <c r="D6684" s="2"/>
      <c r="F6684" s="2" t="str">
        <v>0</v>
      </c>
      <c r="I6684" s="3" t="str">
        <f ca="1">IFERROR(__xludf.DUMMYFUNCTION("""COMPUTED_VALUE"""),"Mai Thị Thùy Diệu")</f>
        <v>Mai Thị Thùy Diệu</v>
      </c>
      <c r="J6684" s="3" t="str">
        <f ca="1">IFERROR(__xludf.DUMMYFUNCTION("""COMPUTED_VALUE"""),"0397829499")</f>
        <v>0397829499</v>
      </c>
      <c r="K6684" s="2" t="str">
        <f ca="1">IFERROR(__xludf.DUMMYFUNCTION("""COMPUTED_VALUE"""),"1758489463027")</f>
        <v>1758489463027</v>
      </c>
    </row>
    <row r="6685" spans="1:11" ht="12.45">
      <c r="A6685" s="2" t="str">
        <f ca="1">IFERROR(__xludf.DUMMYFUNCTION("""COMPUTED_VALUE"""),"1762561601390")</f>
        <v>1762561601390</v>
      </c>
      <c r="B6685" s="2"/>
      <c r="C6685" s="2" t="str">
        <v>0</v>
      </c>
      <c r="D6685" s="2"/>
      <c r="F6685" s="2" t="str">
        <v>0</v>
      </c>
      <c r="I6685" s="3" t="str">
        <f ca="1">IFERROR(__xludf.DUMMYFUNCTION("""COMPUTED_VALUE"""),"Nguyễn Thu Hiền")</f>
        <v>Nguyễn Thu Hiền</v>
      </c>
      <c r="J6685" s="3" t="str">
        <f ca="1">IFERROR(__xludf.DUMMYFUNCTION("""COMPUTED_VALUE"""),"0865661804")</f>
        <v>0865661804</v>
      </c>
      <c r="K6685" s="2" t="str">
        <f ca="1">IFERROR(__xludf.DUMMYFUNCTION("""COMPUTED_VALUE"""),"1762561601390")</f>
        <v>1762561601390</v>
      </c>
    </row>
    <row r="6686" spans="1:11" ht="12.45">
      <c r="A6686" s="2" t="str">
        <f ca="1">IFERROR(__xludf.DUMMYFUNCTION("""COMPUTED_VALUE"""),"1758489521857")</f>
        <v>1758489521857</v>
      </c>
      <c r="B6686" s="2"/>
      <c r="C6686" s="2" t="str">
        <v>0</v>
      </c>
      <c r="D6686" s="2"/>
      <c r="F6686" s="2" t="str">
        <v>0</v>
      </c>
      <c r="I6686" s="3" t="str">
        <f ca="1">IFERROR(__xludf.DUMMYFUNCTION("""COMPUTED_VALUE"""),"Cao Vũ Mai Uyên")</f>
        <v>Cao Vũ Mai Uyên</v>
      </c>
      <c r="J6686" s="3" t="str">
        <f ca="1">IFERROR(__xludf.DUMMYFUNCTION("""COMPUTED_VALUE"""),"0788577990")</f>
        <v>0788577990</v>
      </c>
      <c r="K6686" s="2" t="str">
        <f ca="1">IFERROR(__xludf.DUMMYFUNCTION("""COMPUTED_VALUE"""),"1758489521857")</f>
        <v>1758489521857</v>
      </c>
    </row>
    <row r="6687" spans="1:11" ht="12.45">
      <c r="A6687" s="2" t="str">
        <f ca="1">IFERROR(__xludf.DUMMYFUNCTION("""COMPUTED_VALUE"""),"1758489584012")</f>
        <v>1758489584012</v>
      </c>
      <c r="B6687" s="2"/>
      <c r="C6687" s="2" t="str">
        <v>0</v>
      </c>
      <c r="D6687" s="2"/>
      <c r="F6687" s="2" t="str">
        <v>0</v>
      </c>
      <c r="I6687" s="3" t="str">
        <f ca="1">IFERROR(__xludf.DUMMYFUNCTION("""COMPUTED_VALUE"""),"Ngô Bích Ngọc")</f>
        <v>Ngô Bích Ngọc</v>
      </c>
      <c r="J6687" s="3" t="str">
        <f ca="1">IFERROR(__xludf.DUMMYFUNCTION("""COMPUTED_VALUE"""),"0706649572")</f>
        <v>0706649572</v>
      </c>
      <c r="K6687" s="2" t="str">
        <f ca="1">IFERROR(__xludf.DUMMYFUNCTION("""COMPUTED_VALUE"""),"1758489584012")</f>
        <v>1758489584012</v>
      </c>
    </row>
    <row r="6688" spans="1:11" ht="12.45">
      <c r="A6688" s="2" t="str">
        <f ca="1">IFERROR(__xludf.DUMMYFUNCTION("""COMPUTED_VALUE"""),"1758489654118")</f>
        <v>1758489654118</v>
      </c>
      <c r="B6688" s="2"/>
      <c r="C6688" s="2" t="str">
        <v>0</v>
      </c>
      <c r="D6688" s="2"/>
      <c r="F6688" s="2" t="str">
        <v>0</v>
      </c>
      <c r="I6688" s="3" t="str">
        <f ca="1">IFERROR(__xludf.DUMMYFUNCTION("""COMPUTED_VALUE"""),"Võ Huỳnh Anh Thư")</f>
        <v>Võ Huỳnh Anh Thư</v>
      </c>
      <c r="J6688" s="3" t="str">
        <f ca="1">IFERROR(__xludf.DUMMYFUNCTION("""COMPUTED_VALUE"""),"0865246809")</f>
        <v>0865246809</v>
      </c>
      <c r="K6688" s="2" t="str">
        <f ca="1">IFERROR(__xludf.DUMMYFUNCTION("""COMPUTED_VALUE"""),"1758489654118")</f>
        <v>1758489654118</v>
      </c>
    </row>
    <row r="6689" spans="1:11" ht="12.45">
      <c r="A6689" s="2" t="str">
        <f ca="1">IFERROR(__xludf.DUMMYFUNCTION("""COMPUTED_VALUE"""),"1762561648386")</f>
        <v>1762561648386</v>
      </c>
      <c r="B6689" s="2"/>
      <c r="C6689" s="2" t="str">
        <v>0</v>
      </c>
      <c r="D6689" s="2"/>
      <c r="F6689" s="2" t="str">
        <v>0</v>
      </c>
      <c r="I6689" s="3" t="str">
        <f ca="1">IFERROR(__xludf.DUMMYFUNCTION("""COMPUTED_VALUE"""),"Trần Thị Khánh Vy ")</f>
        <v xml:space="preserve">Trần Thị Khánh Vy </v>
      </c>
      <c r="J6689" s="3" t="str">
        <f ca="1">IFERROR(__xludf.DUMMYFUNCTION("""COMPUTED_VALUE"""),"0829181006")</f>
        <v>0829181006</v>
      </c>
      <c r="K6689" s="2" t="str">
        <f ca="1">IFERROR(__xludf.DUMMYFUNCTION("""COMPUTED_VALUE"""),"1762561648386")</f>
        <v>1762561648386</v>
      </c>
    </row>
    <row r="6690" spans="1:11" ht="12.45">
      <c r="A6690" s="2" t="str">
        <f ca="1">IFERROR(__xludf.DUMMYFUNCTION("""COMPUTED_VALUE"""),"1758489710364")</f>
        <v>1758489710364</v>
      </c>
      <c r="B6690" s="2"/>
      <c r="C6690" s="2" t="str">
        <v>0</v>
      </c>
      <c r="D6690" s="2"/>
      <c r="F6690" s="2" t="str">
        <v>0</v>
      </c>
      <c r="I6690" s="3" t="str">
        <f ca="1">IFERROR(__xludf.DUMMYFUNCTION("""COMPUTED_VALUE"""),"Lâm Thị Huỳnh Như")</f>
        <v>Lâm Thị Huỳnh Như</v>
      </c>
      <c r="J6690" s="3" t="str">
        <f ca="1">IFERROR(__xludf.DUMMYFUNCTION("""COMPUTED_VALUE"""),"0774699924")</f>
        <v>0774699924</v>
      </c>
      <c r="K6690" s="2" t="str">
        <f ca="1">IFERROR(__xludf.DUMMYFUNCTION("""COMPUTED_VALUE"""),"1758489710364")</f>
        <v>1758489710364</v>
      </c>
    </row>
    <row r="6691" spans="1:11" ht="12.45">
      <c r="A6691" s="2" t="str">
        <f ca="1">IFERROR(__xludf.DUMMYFUNCTION("""COMPUTED_VALUE"""),"1758489823485")</f>
        <v>1758489823485</v>
      </c>
      <c r="B6691" s="2"/>
      <c r="C6691" s="2" t="str">
        <v>0</v>
      </c>
      <c r="D6691" s="2"/>
      <c r="F6691" s="2" t="str">
        <v>0</v>
      </c>
      <c r="I6691" s="3" t="str">
        <f ca="1">IFERROR(__xludf.DUMMYFUNCTION("""COMPUTED_VALUE"""),"Võ Lê Tấn Phát")</f>
        <v>Võ Lê Tấn Phát</v>
      </c>
      <c r="J6691" s="3" t="str">
        <f ca="1">IFERROR(__xludf.DUMMYFUNCTION("""COMPUTED_VALUE"""),"0913719891")</f>
        <v>0913719891</v>
      </c>
      <c r="K6691" s="2" t="str">
        <f ca="1">IFERROR(__xludf.DUMMYFUNCTION("""COMPUTED_VALUE"""),"1758489823485")</f>
        <v>1758489823485</v>
      </c>
    </row>
    <row r="6692" spans="1:11" ht="12.45">
      <c r="A6692" s="2" t="str">
        <f ca="1">IFERROR(__xludf.DUMMYFUNCTION("""COMPUTED_VALUE"""),"Không giao sách")</f>
        <v>Không giao sách</v>
      </c>
      <c r="B6692" s="2"/>
      <c r="C6692" s="2" t="str">
        <v>0</v>
      </c>
      <c r="D6692" s="2"/>
      <c r="F6692" s="2" t="str">
        <v>0</v>
      </c>
      <c r="I6692" s="3" t="str">
        <f ca="1">IFERROR(__xludf.DUMMYFUNCTION("""COMPUTED_VALUE"""),"Nguyễn Thanh Thảo")</f>
        <v>Nguyễn Thanh Thảo</v>
      </c>
      <c r="J6692" s="3" t="str">
        <f ca="1">IFERROR(__xludf.DUMMYFUNCTION("""COMPUTED_VALUE"""),"0828009384")</f>
        <v>0828009384</v>
      </c>
      <c r="K6692" s="2" t="str">
        <f ca="1">IFERROR(__xludf.DUMMYFUNCTION("""COMPUTED_VALUE"""),"Không giao sách")</f>
        <v>Không giao sách</v>
      </c>
    </row>
    <row r="6693" spans="1:11" ht="12.45">
      <c r="A6693" s="2" t="str">
        <f ca="1">IFERROR(__xludf.DUMMYFUNCTION("""COMPUTED_VALUE"""),"1758489889801")</f>
        <v>1758489889801</v>
      </c>
      <c r="B6693" s="2"/>
      <c r="C6693" s="2" t="str">
        <v>0</v>
      </c>
      <c r="D6693" s="2"/>
      <c r="F6693" s="2" t="str">
        <v>0</v>
      </c>
      <c r="I6693" s="3" t="str">
        <f ca="1">IFERROR(__xludf.DUMMYFUNCTION("""COMPUTED_VALUE"""),"Nguyễn Thị Mỹ Huyền ")</f>
        <v xml:space="preserve">Nguyễn Thị Mỹ Huyền </v>
      </c>
      <c r="J6693" s="3" t="str">
        <f ca="1">IFERROR(__xludf.DUMMYFUNCTION("""COMPUTED_VALUE"""),"0376794482")</f>
        <v>0376794482</v>
      </c>
      <c r="K6693" s="2" t="str">
        <f ca="1">IFERROR(__xludf.DUMMYFUNCTION("""COMPUTED_VALUE"""),"1758489889801")</f>
        <v>1758489889801</v>
      </c>
    </row>
    <row r="6694" spans="1:11" ht="12.45">
      <c r="A6694" s="2" t="str">
        <f ca="1">IFERROR(__xludf.DUMMYFUNCTION("""COMPUTED_VALUE"""),"1762744958762")</f>
        <v>1762744958762</v>
      </c>
      <c r="B6694" s="2"/>
      <c r="C6694" s="2" t="str">
        <v>0</v>
      </c>
      <c r="D6694" s="2"/>
      <c r="F6694" s="2" t="str">
        <v>0</v>
      </c>
      <c r="I6694" s="3" t="str">
        <f ca="1">IFERROR(__xludf.DUMMYFUNCTION("""COMPUTED_VALUE"""),"Giàng Thị Trang")</f>
        <v>Giàng Thị Trang</v>
      </c>
      <c r="J6694" s="3" t="str">
        <f ca="1">IFERROR(__xludf.DUMMYFUNCTION("""COMPUTED_VALUE"""),"0357505334")</f>
        <v>0357505334</v>
      </c>
      <c r="K6694" s="2" t="str">
        <f ca="1">IFERROR(__xludf.DUMMYFUNCTION("""COMPUTED_VALUE"""),"1762744958762")</f>
        <v>1762744958762</v>
      </c>
    </row>
    <row r="6695" spans="1:11" ht="12.45">
      <c r="A6695" s="2" t="str">
        <f ca="1">IFERROR(__xludf.DUMMYFUNCTION("""COMPUTED_VALUE"""),"1758489584012")</f>
        <v>1758489584012</v>
      </c>
      <c r="B6695" s="2"/>
      <c r="C6695" s="2" t="str">
        <v>0</v>
      </c>
      <c r="D6695" s="2"/>
      <c r="F6695" s="2" t="str">
        <v>0</v>
      </c>
      <c r="I6695" s="3" t="str">
        <f ca="1">IFERROR(__xludf.DUMMYFUNCTION("""COMPUTED_VALUE"""),"Ngô Bích Ngọc ")</f>
        <v xml:space="preserve">Ngô Bích Ngọc </v>
      </c>
      <c r="J6695" s="3" t="str">
        <f ca="1">IFERROR(__xludf.DUMMYFUNCTION("""COMPUTED_VALUE"""),"0706649572")</f>
        <v>0706649572</v>
      </c>
      <c r="K6695" s="2" t="str">
        <f ca="1">IFERROR(__xludf.DUMMYFUNCTION("""COMPUTED_VALUE"""),"1758489584012")</f>
        <v>1758489584012</v>
      </c>
    </row>
    <row r="6696" spans="1:11" ht="12.45">
      <c r="A6696" s="2" t="str">
        <f ca="1">IFERROR(__xludf.DUMMYFUNCTION("""COMPUTED_VALUE"""),"1758490028431")</f>
        <v>1758490028431</v>
      </c>
      <c r="B6696" s="2"/>
      <c r="C6696" s="2" t="str">
        <v>0</v>
      </c>
      <c r="D6696" s="2"/>
      <c r="F6696" s="2" t="str">
        <v>0</v>
      </c>
      <c r="I6696" s="3" t="str">
        <f ca="1">IFERROR(__xludf.DUMMYFUNCTION("""COMPUTED_VALUE"""),"Nguyễn Thị Kiều Trinh ")</f>
        <v xml:space="preserve">Nguyễn Thị Kiều Trinh </v>
      </c>
      <c r="J6696" s="3" t="str">
        <f ca="1">IFERROR(__xludf.DUMMYFUNCTION("""COMPUTED_VALUE"""),"0976477580")</f>
        <v>0976477580</v>
      </c>
      <c r="K6696" s="2" t="str">
        <f ca="1">IFERROR(__xludf.DUMMYFUNCTION("""COMPUTED_VALUE"""),"1758490028431")</f>
        <v>1758490028431</v>
      </c>
    </row>
    <row r="6697" spans="1:11" ht="12.45">
      <c r="A6697" s="2" t="str">
        <f ca="1">IFERROR(__xludf.DUMMYFUNCTION("""COMPUTED_VALUE"""),"1762561706180")</f>
        <v>1762561706180</v>
      </c>
      <c r="B6697" s="2"/>
      <c r="C6697" s="2" t="str">
        <v>0</v>
      </c>
      <c r="D6697" s="2"/>
      <c r="F6697" s="2" t="str">
        <v>0</v>
      </c>
      <c r="I6697" s="3" t="str">
        <f ca="1">IFERROR(__xludf.DUMMYFUNCTION("""COMPUTED_VALUE"""),"Lê Mai Phương")</f>
        <v>Lê Mai Phương</v>
      </c>
      <c r="J6697" s="3" t="str">
        <f ca="1">IFERROR(__xludf.DUMMYFUNCTION("""COMPUTED_VALUE"""),"0862183763")</f>
        <v>0862183763</v>
      </c>
      <c r="K6697" s="2" t="str">
        <f ca="1">IFERROR(__xludf.DUMMYFUNCTION("""COMPUTED_VALUE"""),"1762561706180")</f>
        <v>1762561706180</v>
      </c>
    </row>
    <row r="6698" spans="1:11" ht="12.45">
      <c r="A6698" s="2" t="str">
        <f ca="1">IFERROR(__xludf.DUMMYFUNCTION("""COMPUTED_VALUE"""),"1758490076683")</f>
        <v>1758490076683</v>
      </c>
      <c r="B6698" s="2"/>
      <c r="C6698" s="2" t="str">
        <v>0</v>
      </c>
      <c r="D6698" s="2"/>
      <c r="F6698" s="2" t="str">
        <v>0</v>
      </c>
      <c r="I6698" s="3" t="str">
        <f ca="1">IFERROR(__xludf.DUMMYFUNCTION("""COMPUTED_VALUE"""),"Lê Minh Nguyệt")</f>
        <v>Lê Minh Nguyệt</v>
      </c>
      <c r="J6698" s="3" t="str">
        <f ca="1">IFERROR(__xludf.DUMMYFUNCTION("""COMPUTED_VALUE"""),"0981670784")</f>
        <v>0981670784</v>
      </c>
      <c r="K6698" s="2" t="str">
        <f ca="1">IFERROR(__xludf.DUMMYFUNCTION("""COMPUTED_VALUE"""),"1758490076683")</f>
        <v>1758490076683</v>
      </c>
    </row>
    <row r="6699" spans="1:11" ht="12.45">
      <c r="A6699" s="2" t="str">
        <f ca="1">IFERROR(__xludf.DUMMYFUNCTION("""COMPUTED_VALUE"""),"1762561760606")</f>
        <v>1762561760606</v>
      </c>
      <c r="B6699" s="2"/>
      <c r="C6699" s="2" t="str">
        <v>0</v>
      </c>
      <c r="D6699" s="2"/>
      <c r="F6699" s="2" t="str">
        <v>0</v>
      </c>
      <c r="I6699" s="3" t="str">
        <f ca="1">IFERROR(__xludf.DUMMYFUNCTION("""COMPUTED_VALUE"""),"Vũ Phương Anh")</f>
        <v>Vũ Phương Anh</v>
      </c>
      <c r="J6699" s="3" t="str">
        <f ca="1">IFERROR(__xludf.DUMMYFUNCTION("""COMPUTED_VALUE"""),"0369376566")</f>
        <v>0369376566</v>
      </c>
      <c r="K6699" s="2" t="str">
        <f ca="1">IFERROR(__xludf.DUMMYFUNCTION("""COMPUTED_VALUE"""),"1762561760606")</f>
        <v>1762561760606</v>
      </c>
    </row>
    <row r="6700" spans="1:11" ht="12.45">
      <c r="A6700" s="2" t="str">
        <f ca="1">IFERROR(__xludf.DUMMYFUNCTION("""COMPUTED_VALUE"""),"Không giao sách")</f>
        <v>Không giao sách</v>
      </c>
      <c r="B6700" s="2"/>
      <c r="C6700" s="2" t="str">
        <v>0</v>
      </c>
      <c r="D6700" s="2"/>
      <c r="F6700" s="2" t="str">
        <v>0</v>
      </c>
      <c r="I6700" s="3" t="str">
        <f ca="1">IFERROR(__xludf.DUMMYFUNCTION("""COMPUTED_VALUE"""),"Võ Thuỳ Ngân")</f>
        <v>Võ Thuỳ Ngân</v>
      </c>
      <c r="J6700" s="3" t="str">
        <f ca="1">IFERROR(__xludf.DUMMYFUNCTION("""COMPUTED_VALUE"""),"0328516882")</f>
        <v>0328516882</v>
      </c>
      <c r="K6700" s="2" t="str">
        <f ca="1">IFERROR(__xludf.DUMMYFUNCTION("""COMPUTED_VALUE"""),"Không giao sách")</f>
        <v>Không giao sách</v>
      </c>
    </row>
    <row r="6701" spans="1:11" ht="12.45">
      <c r="A6701" s="2" t="str">
        <f ca="1">IFERROR(__xludf.DUMMYFUNCTION("""COMPUTED_VALUE"""),"1758490128846")</f>
        <v>1758490128846</v>
      </c>
      <c r="B6701" s="2"/>
      <c r="C6701" s="2" t="str">
        <v>0</v>
      </c>
      <c r="D6701" s="2"/>
      <c r="F6701" s="2" t="str">
        <v>0</v>
      </c>
      <c r="I6701" s="3" t="str">
        <f ca="1">IFERROR(__xludf.DUMMYFUNCTION("""COMPUTED_VALUE"""),"Trần Minh Quang")</f>
        <v>Trần Minh Quang</v>
      </c>
      <c r="J6701" s="3" t="str">
        <f ca="1">IFERROR(__xludf.DUMMYFUNCTION("""COMPUTED_VALUE"""),"0827006676")</f>
        <v>0827006676</v>
      </c>
      <c r="K6701" s="2" t="str">
        <f ca="1">IFERROR(__xludf.DUMMYFUNCTION("""COMPUTED_VALUE"""),"1758490128846")</f>
        <v>1758490128846</v>
      </c>
    </row>
    <row r="6702" spans="1:11" ht="12.45">
      <c r="A6702" s="2" t="str">
        <f ca="1">IFERROR(__xludf.DUMMYFUNCTION("""COMPUTED_VALUE"""),"1762561801517")</f>
        <v>1762561801517</v>
      </c>
      <c r="B6702" s="2"/>
      <c r="C6702" s="2" t="str">
        <v>0</v>
      </c>
      <c r="D6702" s="2"/>
      <c r="F6702" s="2" t="str">
        <v>0</v>
      </c>
      <c r="I6702" s="3" t="str">
        <f ca="1">IFERROR(__xludf.DUMMYFUNCTION("""COMPUTED_VALUE"""),"Nguyễn Thị Huệ")</f>
        <v>Nguyễn Thị Huệ</v>
      </c>
      <c r="J6702" s="3" t="str">
        <f ca="1">IFERROR(__xludf.DUMMYFUNCTION("""COMPUTED_VALUE"""),"0359629971")</f>
        <v>0359629971</v>
      </c>
      <c r="K6702" s="2" t="str">
        <f ca="1">IFERROR(__xludf.DUMMYFUNCTION("""COMPUTED_VALUE"""),"1762561801517")</f>
        <v>1762561801517</v>
      </c>
    </row>
    <row r="6703" spans="1:11" ht="12.45">
      <c r="A6703" s="2" t="str">
        <f ca="1">IFERROR(__xludf.DUMMYFUNCTION("""COMPUTED_VALUE"""),"1762561859664")</f>
        <v>1762561859664</v>
      </c>
      <c r="B6703" s="2"/>
      <c r="C6703" s="2" t="str">
        <v>0</v>
      </c>
      <c r="D6703" s="2"/>
      <c r="F6703" s="2" t="str">
        <v>0</v>
      </c>
      <c r="I6703" s="3" t="str">
        <f ca="1">IFERROR(__xludf.DUMMYFUNCTION("""COMPUTED_VALUE"""),"Vừ Thị Mỷ ")</f>
        <v xml:space="preserve">Vừ Thị Mỷ </v>
      </c>
      <c r="J6703" s="3" t="str">
        <f ca="1">IFERROR(__xludf.DUMMYFUNCTION("""COMPUTED_VALUE"""),"0983514280")</f>
        <v>0983514280</v>
      </c>
      <c r="K6703" s="2" t="str">
        <f ca="1">IFERROR(__xludf.DUMMYFUNCTION("""COMPUTED_VALUE"""),"1762561859664")</f>
        <v>1762561859664</v>
      </c>
    </row>
    <row r="6704" spans="1:11" ht="12.45">
      <c r="A6704" s="2" t="str">
        <f ca="1">IFERROR(__xludf.DUMMYFUNCTION("""COMPUTED_VALUE"""),"1762561903685")</f>
        <v>1762561903685</v>
      </c>
      <c r="B6704" s="2"/>
      <c r="C6704" s="2" t="str">
        <v>0</v>
      </c>
      <c r="D6704" s="2"/>
      <c r="F6704" s="2" t="str">
        <v>0</v>
      </c>
      <c r="I6704" s="3" t="str">
        <f ca="1">IFERROR(__xludf.DUMMYFUNCTION("""COMPUTED_VALUE"""),"Hoàng Văn Sơn ")</f>
        <v xml:space="preserve">Hoàng Văn Sơn </v>
      </c>
      <c r="J6704" s="3" t="str">
        <f ca="1">IFERROR(__xludf.DUMMYFUNCTION("""COMPUTED_VALUE"""),"0376024593")</f>
        <v>0376024593</v>
      </c>
      <c r="K6704" s="2" t="str">
        <f ca="1">IFERROR(__xludf.DUMMYFUNCTION("""COMPUTED_VALUE"""),"1762561903685")</f>
        <v>1762561903685</v>
      </c>
    </row>
    <row r="6705" spans="1:11" ht="12.45">
      <c r="A6705" s="2" t="str">
        <f ca="1">IFERROR(__xludf.DUMMYFUNCTION("""COMPUTED_VALUE"""),"Không giao sách")</f>
        <v>Không giao sách</v>
      </c>
      <c r="B6705" s="2"/>
      <c r="C6705" s="2" t="str">
        <v>0</v>
      </c>
      <c r="D6705" s="2"/>
      <c r="F6705" s="2" t="str">
        <v>0</v>
      </c>
      <c r="I6705" s="3" t="str">
        <f ca="1">IFERROR(__xludf.DUMMYFUNCTION("""COMPUTED_VALUE"""),"Nguyênc bích ngọc")</f>
        <v>Nguyênc bích ngọc</v>
      </c>
      <c r="J6705" s="3" t="str">
        <f ca="1">IFERROR(__xludf.DUMMYFUNCTION("""COMPUTED_VALUE"""),"0357208067")</f>
        <v>0357208067</v>
      </c>
      <c r="K6705" s="2" t="str">
        <f ca="1">IFERROR(__xludf.DUMMYFUNCTION("""COMPUTED_VALUE"""),"Không giao sách")</f>
        <v>Không giao sách</v>
      </c>
    </row>
    <row r="6706" spans="1:11" ht="12.45">
      <c r="A6706" s="2" t="str">
        <f ca="1">IFERROR(__xludf.DUMMYFUNCTION("""COMPUTED_VALUE"""),"1762561938708")</f>
        <v>1762561938708</v>
      </c>
      <c r="B6706" s="2"/>
      <c r="C6706" s="2" t="str">
        <v>0</v>
      </c>
      <c r="D6706" s="2"/>
      <c r="F6706" s="2" t="str">
        <v>0</v>
      </c>
      <c r="I6706" s="3" t="str">
        <f ca="1">IFERROR(__xludf.DUMMYFUNCTION("""COMPUTED_VALUE"""),"Trần Ngọc Khánh")</f>
        <v>Trần Ngọc Khánh</v>
      </c>
      <c r="J6706" s="3" t="str">
        <f ca="1">IFERROR(__xludf.DUMMYFUNCTION("""COMPUTED_VALUE"""),"0842927478")</f>
        <v>0842927478</v>
      </c>
      <c r="K6706" s="2" t="str">
        <f ca="1">IFERROR(__xludf.DUMMYFUNCTION("""COMPUTED_VALUE"""),"1762561938708")</f>
        <v>1762561938708</v>
      </c>
    </row>
    <row r="6707" spans="1:11" ht="12.45">
      <c r="A6707" s="2" t="str">
        <f ca="1">IFERROR(__xludf.DUMMYFUNCTION("""COMPUTED_VALUE"""),"1762561980613")</f>
        <v>1762561980613</v>
      </c>
      <c r="B6707" s="2"/>
      <c r="C6707" s="2" t="str">
        <v>0</v>
      </c>
      <c r="D6707" s="2"/>
      <c r="F6707" s="2" t="str">
        <v>0</v>
      </c>
      <c r="I6707" s="3" t="str">
        <f ca="1">IFERROR(__xludf.DUMMYFUNCTION("""COMPUTED_VALUE"""),"Nguyễn Chu Linh")</f>
        <v>Nguyễn Chu Linh</v>
      </c>
      <c r="J6707" s="3" t="str">
        <f ca="1">IFERROR(__xludf.DUMMYFUNCTION("""COMPUTED_VALUE"""),"0915424332")</f>
        <v>0915424332</v>
      </c>
      <c r="K6707" s="2" t="str">
        <f ca="1">IFERROR(__xludf.DUMMYFUNCTION("""COMPUTED_VALUE"""),"1762561980613")</f>
        <v>1762561980613</v>
      </c>
    </row>
    <row r="6708" spans="1:11" ht="12.45">
      <c r="A6708" s="2" t="str">
        <f ca="1">IFERROR(__xludf.DUMMYFUNCTION("""COMPUTED_VALUE"""),"1762562024648")</f>
        <v>1762562024648</v>
      </c>
      <c r="B6708" s="2"/>
      <c r="C6708" s="2" t="str">
        <v>0</v>
      </c>
      <c r="D6708" s="2"/>
      <c r="F6708" s="2" t="str">
        <v>0</v>
      </c>
      <c r="I6708" s="3" t="str">
        <f ca="1">IFERROR(__xludf.DUMMYFUNCTION("""COMPUTED_VALUE"""),"Cao kim chi ")</f>
        <v xml:space="preserve">Cao kim chi </v>
      </c>
      <c r="J6708" s="3" t="str">
        <f ca="1">IFERROR(__xludf.DUMMYFUNCTION("""COMPUTED_VALUE"""),"0339827396")</f>
        <v>0339827396</v>
      </c>
      <c r="K6708" s="2" t="str">
        <f ca="1">IFERROR(__xludf.DUMMYFUNCTION("""COMPUTED_VALUE"""),"1762562024648")</f>
        <v>1762562024648</v>
      </c>
    </row>
    <row r="6709" spans="1:11" ht="12.45">
      <c r="A6709" s="2" t="str">
        <f ca="1">IFERROR(__xludf.DUMMYFUNCTION("""COMPUTED_VALUE"""),"1762562069587")</f>
        <v>1762562069587</v>
      </c>
      <c r="B6709" s="2"/>
      <c r="C6709" s="2" t="str">
        <v>0</v>
      </c>
      <c r="D6709" s="2"/>
      <c r="F6709" s="2" t="str">
        <v>0</v>
      </c>
      <c r="I6709" s="3" t="str">
        <f ca="1">IFERROR(__xludf.DUMMYFUNCTION("""COMPUTED_VALUE"""),"Nguyễn Lâm Gia Huy")</f>
        <v>Nguyễn Lâm Gia Huy</v>
      </c>
      <c r="J6709" s="3" t="str">
        <f ca="1">IFERROR(__xludf.DUMMYFUNCTION("""COMPUTED_VALUE"""),"0335787007")</f>
        <v>0335787007</v>
      </c>
      <c r="K6709" s="2" t="str">
        <f ca="1">IFERROR(__xludf.DUMMYFUNCTION("""COMPUTED_VALUE"""),"1762562069587")</f>
        <v>1762562069587</v>
      </c>
    </row>
    <row r="6710" spans="1:11" ht="12.45">
      <c r="A6710" s="2" t="str">
        <f ca="1">IFERROR(__xludf.DUMMYFUNCTION("""COMPUTED_VALUE"""),"1762562112089")</f>
        <v>1762562112089</v>
      </c>
      <c r="B6710" s="2"/>
      <c r="C6710" s="2" t="str">
        <v>0</v>
      </c>
      <c r="D6710" s="2"/>
      <c r="F6710" s="2" t="str">
        <v>0</v>
      </c>
      <c r="I6710" s="3" t="str">
        <f ca="1">IFERROR(__xludf.DUMMYFUNCTION("""COMPUTED_VALUE"""),"Trần Thị Kim Hoàng")</f>
        <v>Trần Thị Kim Hoàng</v>
      </c>
      <c r="J6710" s="3" t="str">
        <f ca="1">IFERROR(__xludf.DUMMYFUNCTION("""COMPUTED_VALUE"""),"0868339630")</f>
        <v>0868339630</v>
      </c>
      <c r="K6710" s="2" t="str">
        <f ca="1">IFERROR(__xludf.DUMMYFUNCTION("""COMPUTED_VALUE"""),"1762562112089")</f>
        <v>1762562112089</v>
      </c>
    </row>
    <row r="6711" spans="1:11" ht="12.45">
      <c r="A6711" s="2" t="str">
        <f ca="1">IFERROR(__xludf.DUMMYFUNCTION("""COMPUTED_VALUE"""),"Không giao sách")</f>
        <v>Không giao sách</v>
      </c>
      <c r="B6711" s="2"/>
      <c r="C6711" s="2" t="str">
        <v>0</v>
      </c>
      <c r="D6711" s="2"/>
      <c r="F6711" s="2" t="str">
        <v>0</v>
      </c>
      <c r="I6711" s="3" t="str">
        <f ca="1">IFERROR(__xludf.DUMMYFUNCTION("""COMPUTED_VALUE"""),"Đàm Kiến Nam")</f>
        <v>Đàm Kiến Nam</v>
      </c>
      <c r="J6711" s="3" t="str">
        <f ca="1">IFERROR(__xludf.DUMMYFUNCTION("""COMPUTED_VALUE"""),"0834552225")</f>
        <v>0834552225</v>
      </c>
      <c r="K6711" s="2" t="str">
        <f ca="1">IFERROR(__xludf.DUMMYFUNCTION("""COMPUTED_VALUE"""),"Không giao sách")</f>
        <v>Không giao sách</v>
      </c>
    </row>
    <row r="6712" spans="1:11" ht="12.45">
      <c r="A6712" s="2" t="str">
        <f ca="1">IFERROR(__xludf.DUMMYFUNCTION("""COMPUTED_VALUE"""),"1762562179366")</f>
        <v>1762562179366</v>
      </c>
      <c r="B6712" s="2"/>
      <c r="C6712" s="2" t="str">
        <v>0</v>
      </c>
      <c r="D6712" s="2"/>
      <c r="F6712" s="2" t="str">
        <v>0</v>
      </c>
      <c r="I6712" s="3" t="str">
        <f ca="1">IFERROR(__xludf.DUMMYFUNCTION("""COMPUTED_VALUE"""),"Phan Thị Thu Phương")</f>
        <v>Phan Thị Thu Phương</v>
      </c>
      <c r="J6712" s="3" t="str">
        <f ca="1">IFERROR(__xludf.DUMMYFUNCTION("""COMPUTED_VALUE"""),"0793652857")</f>
        <v>0793652857</v>
      </c>
      <c r="K6712" s="2" t="str">
        <f ca="1">IFERROR(__xludf.DUMMYFUNCTION("""COMPUTED_VALUE"""),"1762562179366")</f>
        <v>1762562179366</v>
      </c>
    </row>
    <row r="6713" spans="1:11" ht="12.45">
      <c r="A6713" s="2" t="str">
        <f ca="1">IFERROR(__xludf.DUMMYFUNCTION("""COMPUTED_VALUE"""),"1762562228853")</f>
        <v>1762562228853</v>
      </c>
      <c r="B6713" s="2"/>
      <c r="C6713" s="2" t="str">
        <v>0</v>
      </c>
      <c r="D6713" s="2"/>
      <c r="F6713" s="2" t="str">
        <v>0</v>
      </c>
      <c r="I6713" s="3" t="str">
        <f ca="1">IFERROR(__xludf.DUMMYFUNCTION("""COMPUTED_VALUE"""),"Phạm Mai Trang")</f>
        <v>Phạm Mai Trang</v>
      </c>
      <c r="J6713" s="3" t="str">
        <f ca="1">IFERROR(__xludf.DUMMYFUNCTION("""COMPUTED_VALUE"""),"0981149606")</f>
        <v>0981149606</v>
      </c>
      <c r="K6713" s="2" t="str">
        <f ca="1">IFERROR(__xludf.DUMMYFUNCTION("""COMPUTED_VALUE"""),"1762562228853")</f>
        <v>1762562228853</v>
      </c>
    </row>
    <row r="6714" spans="1:11" ht="12.45">
      <c r="A6714" s="2" t="str">
        <f ca="1">IFERROR(__xludf.DUMMYFUNCTION("""COMPUTED_VALUE"""),"1763378257609")</f>
        <v>1763378257609</v>
      </c>
      <c r="B6714" s="2"/>
      <c r="C6714" s="2" t="str">
        <v>0</v>
      </c>
      <c r="D6714" s="2"/>
      <c r="F6714" s="2" t="str">
        <v>0</v>
      </c>
      <c r="I6714" s="3" t="str">
        <f ca="1">IFERROR(__xludf.DUMMYFUNCTION("""COMPUTED_VALUE"""),"Đoàn Thảo Vân ")</f>
        <v xml:space="preserve">Đoàn Thảo Vân </v>
      </c>
      <c r="J6714" s="3" t="str">
        <f ca="1">IFERROR(__xludf.DUMMYFUNCTION("""COMPUTED_VALUE"""),"0369846547")</f>
        <v>0369846547</v>
      </c>
      <c r="K6714" s="2" t="str">
        <f ca="1">IFERROR(__xludf.DUMMYFUNCTION("""COMPUTED_VALUE"""),"1763378257609")</f>
        <v>1763378257609</v>
      </c>
    </row>
    <row r="6715" spans="1:11" ht="12.45">
      <c r="A6715" s="2" t="str">
        <f ca="1">IFERROR(__xludf.DUMMYFUNCTION("""COMPUTED_VALUE"""),"1762562318953")</f>
        <v>1762562318953</v>
      </c>
      <c r="B6715" s="2"/>
      <c r="C6715" s="2" t="str">
        <v>0</v>
      </c>
      <c r="D6715" s="2"/>
      <c r="F6715" s="2" t="str">
        <v>0</v>
      </c>
      <c r="I6715" s="3" t="str">
        <f ca="1">IFERROR(__xludf.DUMMYFUNCTION("""COMPUTED_VALUE"""),"Nguyễn Phương Anh")</f>
        <v>Nguyễn Phương Anh</v>
      </c>
      <c r="J6715" s="3" t="str">
        <f ca="1">IFERROR(__xludf.DUMMYFUNCTION("""COMPUTED_VALUE"""),"0968627809")</f>
        <v>0968627809</v>
      </c>
      <c r="K6715" s="2" t="str">
        <f ca="1">IFERROR(__xludf.DUMMYFUNCTION("""COMPUTED_VALUE"""),"1762562318953")</f>
        <v>1762562318953</v>
      </c>
    </row>
    <row r="6716" spans="1:11" ht="12.45">
      <c r="A6716" s="2" t="str">
        <f ca="1">IFERROR(__xludf.DUMMYFUNCTION("""COMPUTED_VALUE"""),"1762562380933")</f>
        <v>1762562380933</v>
      </c>
      <c r="B6716" s="2"/>
      <c r="C6716" s="2" t="str">
        <v>0</v>
      </c>
      <c r="D6716" s="2"/>
      <c r="F6716" s="2" t="str">
        <v>0</v>
      </c>
      <c r="I6716" s="3" t="str">
        <f ca="1">IFERROR(__xludf.DUMMYFUNCTION("""COMPUTED_VALUE"""),"Lê Phương Thuý")</f>
        <v>Lê Phương Thuý</v>
      </c>
      <c r="J6716" s="3" t="str">
        <f ca="1">IFERROR(__xludf.DUMMYFUNCTION("""COMPUTED_VALUE"""),"0328049318")</f>
        <v>0328049318</v>
      </c>
      <c r="K6716" s="2" t="str">
        <f ca="1">IFERROR(__xludf.DUMMYFUNCTION("""COMPUTED_VALUE"""),"1762562380933")</f>
        <v>1762562380933</v>
      </c>
    </row>
    <row r="6717" spans="1:11" ht="12.45">
      <c r="A6717" s="2" t="str">
        <f ca="1">IFERROR(__xludf.DUMMYFUNCTION("""COMPUTED_VALUE"""),"1762562451865")</f>
        <v>1762562451865</v>
      </c>
      <c r="B6717" s="2"/>
      <c r="C6717" s="2" t="str">
        <v>0</v>
      </c>
      <c r="D6717" s="2"/>
      <c r="F6717" s="2" t="str">
        <v>0</v>
      </c>
      <c r="I6717" s="3" t="str">
        <f ca="1">IFERROR(__xludf.DUMMYFUNCTION("""COMPUTED_VALUE"""),"văn thị thuỳ hân")</f>
        <v>văn thị thuỳ hân</v>
      </c>
      <c r="J6717" s="3" t="str">
        <f ca="1">IFERROR(__xludf.DUMMYFUNCTION("""COMPUTED_VALUE"""),"0985485267")</f>
        <v>0985485267</v>
      </c>
      <c r="K6717" s="2" t="str">
        <f ca="1">IFERROR(__xludf.DUMMYFUNCTION("""COMPUTED_VALUE"""),"1762562451865")</f>
        <v>1762562451865</v>
      </c>
    </row>
    <row r="6718" spans="1:11" ht="12.45">
      <c r="A6718" s="2" t="str">
        <f ca="1">IFERROR(__xludf.DUMMYFUNCTION("""COMPUTED_VALUE"""),"1762562503192")</f>
        <v>1762562503192</v>
      </c>
      <c r="B6718" s="2"/>
      <c r="C6718" s="2" t="str">
        <v>0</v>
      </c>
      <c r="D6718" s="2"/>
      <c r="F6718" s="2" t="str">
        <v>0</v>
      </c>
      <c r="I6718" s="3" t="str">
        <f ca="1">IFERROR(__xludf.DUMMYFUNCTION("""COMPUTED_VALUE"""),"Nguyễn Bùi Hải Như ")</f>
        <v xml:space="preserve">Nguyễn Bùi Hải Như </v>
      </c>
      <c r="J6718" s="3" t="str">
        <f ca="1">IFERROR(__xludf.DUMMYFUNCTION("""COMPUTED_VALUE"""),"0822844171")</f>
        <v>0822844171</v>
      </c>
      <c r="K6718" s="2" t="str">
        <f ca="1">IFERROR(__xludf.DUMMYFUNCTION("""COMPUTED_VALUE"""),"1762562503192")</f>
        <v>1762562503192</v>
      </c>
    </row>
    <row r="6719" spans="1:11" ht="12.45">
      <c r="A6719" s="2" t="str">
        <f ca="1">IFERROR(__xludf.DUMMYFUNCTION("""COMPUTED_VALUE"""),"1762562552264")</f>
        <v>1762562552264</v>
      </c>
      <c r="B6719" s="2"/>
      <c r="C6719" s="2" t="str">
        <v>0</v>
      </c>
      <c r="D6719" s="2"/>
      <c r="F6719" s="2" t="str">
        <v>0</v>
      </c>
      <c r="I6719" s="3" t="str">
        <f ca="1">IFERROR(__xludf.DUMMYFUNCTION("""COMPUTED_VALUE"""),"Đoàn Hương Ly")</f>
        <v>Đoàn Hương Ly</v>
      </c>
      <c r="J6719" s="3" t="str">
        <f ca="1">IFERROR(__xludf.DUMMYFUNCTION("""COMPUTED_VALUE"""),"0345869722")</f>
        <v>0345869722</v>
      </c>
      <c r="K6719" s="2" t="str">
        <f ca="1">IFERROR(__xludf.DUMMYFUNCTION("""COMPUTED_VALUE"""),"1762562552264")</f>
        <v>1762562552264</v>
      </c>
    </row>
    <row r="6720" spans="1:11" ht="12.45">
      <c r="A6720" s="2" t="str">
        <f ca="1">IFERROR(__xludf.DUMMYFUNCTION("""COMPUTED_VALUE"""),"1762562613209")</f>
        <v>1762562613209</v>
      </c>
      <c r="B6720" s="2"/>
      <c r="C6720" s="2" t="str">
        <v>0</v>
      </c>
      <c r="D6720" s="2"/>
      <c r="F6720" s="2" t="str">
        <v>0</v>
      </c>
      <c r="I6720" s="3" t="str">
        <f ca="1">IFERROR(__xludf.DUMMYFUNCTION("""COMPUTED_VALUE"""),"Nguyễn Hải Yến ")</f>
        <v xml:space="preserve">Nguyễn Hải Yến </v>
      </c>
      <c r="J6720" s="3" t="str">
        <f ca="1">IFERROR(__xludf.DUMMYFUNCTION("""COMPUTED_VALUE"""),"0934324290")</f>
        <v>0934324290</v>
      </c>
      <c r="K6720" s="2" t="str">
        <f ca="1">IFERROR(__xludf.DUMMYFUNCTION("""COMPUTED_VALUE"""),"1762562613209")</f>
        <v>1762562613209</v>
      </c>
    </row>
    <row r="6721" spans="1:11" ht="12.45">
      <c r="A6721" s="2"/>
      <c r="B6721" s="2"/>
      <c r="C6721" s="2" t="str">
        <v>0</v>
      </c>
      <c r="D6721" s="2"/>
      <c r="F6721" s="2" t="str">
        <v>0</v>
      </c>
      <c r="I6721" s="3" t="str">
        <f ca="1">IFERROR(__xludf.DUMMYFUNCTION("""COMPUTED_VALUE"""),"phạm đào kim anh ")</f>
        <v xml:space="preserve">phạm đào kim anh </v>
      </c>
      <c r="J6721" s="3" t="str">
        <f ca="1">IFERROR(__xludf.DUMMYFUNCTION("""COMPUTED_VALUE"""),"0393036503")</f>
        <v>0393036503</v>
      </c>
      <c r="K6721" s="2"/>
    </row>
    <row r="6722" spans="1:11" ht="12.45">
      <c r="A6722" s="2" t="str">
        <f ca="1">IFERROR(__xludf.DUMMYFUNCTION("""COMPUTED_VALUE"""),"1762562665855")</f>
        <v>1762562665855</v>
      </c>
      <c r="B6722" s="2"/>
      <c r="C6722" s="2" t="str">
        <v>0</v>
      </c>
      <c r="D6722" s="2"/>
      <c r="F6722" s="2" t="str">
        <v>0</v>
      </c>
      <c r="I6722" s="3" t="str">
        <f ca="1">IFERROR(__xludf.DUMMYFUNCTION("""COMPUTED_VALUE"""),"Đào Ngọc Trà My")</f>
        <v>Đào Ngọc Trà My</v>
      </c>
      <c r="J6722" s="3" t="str">
        <f ca="1">IFERROR(__xludf.DUMMYFUNCTION("""COMPUTED_VALUE"""),"0941900883")</f>
        <v>0941900883</v>
      </c>
      <c r="K6722" s="2" t="str">
        <f ca="1">IFERROR(__xludf.DUMMYFUNCTION("""COMPUTED_VALUE"""),"1762562665855")</f>
        <v>1762562665855</v>
      </c>
    </row>
    <row r="6723" spans="1:11" ht="12.45">
      <c r="A6723" s="2" t="str">
        <f ca="1">IFERROR(__xludf.DUMMYFUNCTION("""COMPUTED_VALUE"""),"1762562718147")</f>
        <v>1762562718147</v>
      </c>
      <c r="B6723" s="2"/>
      <c r="C6723" s="2" t="str">
        <v>0</v>
      </c>
      <c r="D6723" s="2"/>
      <c r="F6723" s="2" t="str">
        <v>0</v>
      </c>
      <c r="I6723" s="3" t="str">
        <f ca="1">IFERROR(__xludf.DUMMYFUNCTION("""COMPUTED_VALUE"""),"Phan Thì Tuyết Quanh")</f>
        <v>Phan Thì Tuyết Quanh</v>
      </c>
      <c r="J6723" s="3" t="str">
        <f ca="1">IFERROR(__xludf.DUMMYFUNCTION("""COMPUTED_VALUE"""),"0344196772")</f>
        <v>0344196772</v>
      </c>
      <c r="K6723" s="2" t="str">
        <f ca="1">IFERROR(__xludf.DUMMYFUNCTION("""COMPUTED_VALUE"""),"1762562718147")</f>
        <v>1762562718147</v>
      </c>
    </row>
    <row r="6724" spans="1:11" ht="12.45">
      <c r="A6724" s="2" t="str">
        <f ca="1">IFERROR(__xludf.DUMMYFUNCTION("""COMPUTED_VALUE"""),"1762562811784")</f>
        <v>1762562811784</v>
      </c>
      <c r="B6724" s="2"/>
      <c r="C6724" s="2" t="str">
        <v>0</v>
      </c>
      <c r="D6724" s="2"/>
      <c r="F6724" s="2" t="str">
        <v>0</v>
      </c>
      <c r="I6724" s="3" t="str">
        <f ca="1">IFERROR(__xludf.DUMMYFUNCTION("""COMPUTED_VALUE"""),"Nguyễn Diệu Linh")</f>
        <v>Nguyễn Diệu Linh</v>
      </c>
      <c r="J6724" s="3" t="str">
        <f ca="1">IFERROR(__xludf.DUMMYFUNCTION("""COMPUTED_VALUE"""),"0986750632")</f>
        <v>0986750632</v>
      </c>
      <c r="K6724" s="2" t="str">
        <f ca="1">IFERROR(__xludf.DUMMYFUNCTION("""COMPUTED_VALUE"""),"1762562811784")</f>
        <v>1762562811784</v>
      </c>
    </row>
    <row r="6725" spans="1:11" ht="12.45">
      <c r="A6725" s="2" t="str">
        <f ca="1">IFERROR(__xludf.DUMMYFUNCTION("""COMPUTED_VALUE"""),"1762562892007")</f>
        <v>1762562892007</v>
      </c>
      <c r="B6725" s="2"/>
      <c r="C6725" s="2" t="str">
        <v>0</v>
      </c>
      <c r="D6725" s="2"/>
      <c r="F6725" s="2" t="str">
        <v>0</v>
      </c>
      <c r="I6725" s="3" t="str">
        <f ca="1">IFERROR(__xludf.DUMMYFUNCTION("""COMPUTED_VALUE"""),"Trần Thị Thủy Tiên")</f>
        <v>Trần Thị Thủy Tiên</v>
      </c>
      <c r="J6725" s="3" t="str">
        <f ca="1">IFERROR(__xludf.DUMMYFUNCTION("""COMPUTED_VALUE"""),"0395219677")</f>
        <v>0395219677</v>
      </c>
      <c r="K6725" s="2" t="str">
        <f ca="1">IFERROR(__xludf.DUMMYFUNCTION("""COMPUTED_VALUE"""),"1762562892007")</f>
        <v>1762562892007</v>
      </c>
    </row>
    <row r="6726" spans="1:11" ht="12.45">
      <c r="A6726" s="2" t="str">
        <f ca="1">IFERROR(__xludf.DUMMYFUNCTION("""COMPUTED_VALUE"""),"Không giao sách")</f>
        <v>Không giao sách</v>
      </c>
      <c r="B6726" s="2"/>
      <c r="C6726" s="2" t="str">
        <v>0</v>
      </c>
      <c r="D6726" s="2"/>
      <c r="F6726" s="2" t="str">
        <v>0</v>
      </c>
      <c r="I6726" s="3" t="str">
        <f ca="1">IFERROR(__xludf.DUMMYFUNCTION("""COMPUTED_VALUE"""),"Nguyễn Minh Duy ")</f>
        <v xml:space="preserve">Nguyễn Minh Duy </v>
      </c>
      <c r="J6726" s="3" t="str">
        <f ca="1">IFERROR(__xludf.DUMMYFUNCTION("""COMPUTED_VALUE"""),"0982869329")</f>
        <v>0982869329</v>
      </c>
      <c r="K6726" s="2" t="str">
        <f ca="1">IFERROR(__xludf.DUMMYFUNCTION("""COMPUTED_VALUE"""),"Không giao sách")</f>
        <v>Không giao sách</v>
      </c>
    </row>
    <row r="6727" spans="1:11" ht="12.45">
      <c r="A6727" s="2" t="str">
        <f ca="1">IFERROR(__xludf.DUMMYFUNCTION("""COMPUTED_VALUE"""),"Không giao sách")</f>
        <v>Không giao sách</v>
      </c>
      <c r="B6727" s="2"/>
      <c r="C6727" s="2" t="str">
        <v>0</v>
      </c>
      <c r="D6727" s="2"/>
      <c r="F6727" s="2" t="str">
        <v>0</v>
      </c>
      <c r="I6727" s="3" t="str">
        <f ca="1">IFERROR(__xludf.DUMMYFUNCTION("""COMPUTED_VALUE"""),"Nguyễn Phương Lê ")</f>
        <v xml:space="preserve">Nguyễn Phương Lê </v>
      </c>
      <c r="J6727" s="3" t="str">
        <f ca="1">IFERROR(__xludf.DUMMYFUNCTION("""COMPUTED_VALUE"""),"0981467556")</f>
        <v>0981467556</v>
      </c>
      <c r="K6727" s="2" t="str">
        <f ca="1">IFERROR(__xludf.DUMMYFUNCTION("""COMPUTED_VALUE"""),"Không giao sách")</f>
        <v>Không giao sách</v>
      </c>
    </row>
    <row r="6728" spans="1:11" ht="12.45">
      <c r="A6728" s="2" t="str">
        <f ca="1">IFERROR(__xludf.DUMMYFUNCTION("""COMPUTED_VALUE"""),"1762562967786")</f>
        <v>1762562967786</v>
      </c>
      <c r="B6728" s="2"/>
      <c r="C6728" s="2" t="str">
        <v>0</v>
      </c>
      <c r="D6728" s="2"/>
      <c r="F6728" s="2" t="str">
        <v>0</v>
      </c>
      <c r="I6728" s="3" t="str">
        <f ca="1">IFERROR(__xludf.DUMMYFUNCTION("""COMPUTED_VALUE"""),"Tô Diệp Quỳnh Thơ")</f>
        <v>Tô Diệp Quỳnh Thơ</v>
      </c>
      <c r="J6728" s="3" t="str">
        <f ca="1">IFERROR(__xludf.DUMMYFUNCTION("""COMPUTED_VALUE"""),"0903569224")</f>
        <v>0903569224</v>
      </c>
      <c r="K6728" s="2" t="str">
        <f ca="1">IFERROR(__xludf.DUMMYFUNCTION("""COMPUTED_VALUE"""),"1762562967786")</f>
        <v>1762562967786</v>
      </c>
    </row>
    <row r="6729" spans="1:11" ht="12.45">
      <c r="A6729" s="2" t="str">
        <f ca="1">IFERROR(__xludf.DUMMYFUNCTION("""COMPUTED_VALUE"""),"1762563034251")</f>
        <v>1762563034251</v>
      </c>
      <c r="B6729" s="2"/>
      <c r="C6729" s="2" t="str">
        <v>0</v>
      </c>
      <c r="D6729" s="2"/>
      <c r="F6729" s="2" t="str">
        <v>0</v>
      </c>
      <c r="I6729" s="3" t="str">
        <f ca="1">IFERROR(__xludf.DUMMYFUNCTION("""COMPUTED_VALUE"""),"Bùi Khánh Ngân")</f>
        <v>Bùi Khánh Ngân</v>
      </c>
      <c r="J6729" s="3" t="str">
        <f ca="1">IFERROR(__xludf.DUMMYFUNCTION("""COMPUTED_VALUE"""),"0374299207")</f>
        <v>0374299207</v>
      </c>
      <c r="K6729" s="2" t="str">
        <f ca="1">IFERROR(__xludf.DUMMYFUNCTION("""COMPUTED_VALUE"""),"1762563034251")</f>
        <v>1762563034251</v>
      </c>
    </row>
    <row r="6730" spans="1:11" ht="12.45">
      <c r="A6730" s="2" t="str">
        <f ca="1">IFERROR(__xludf.DUMMYFUNCTION("""COMPUTED_VALUE"""),"1762563133721")</f>
        <v>1762563133721</v>
      </c>
      <c r="B6730" s="2"/>
      <c r="C6730" s="2" t="str">
        <v>0</v>
      </c>
      <c r="D6730" s="2"/>
      <c r="F6730" s="2" t="str">
        <v>0</v>
      </c>
      <c r="I6730" s="3" t="str">
        <f ca="1">IFERROR(__xludf.DUMMYFUNCTION("""COMPUTED_VALUE"""),"Phạm Thành Nhân")</f>
        <v>Phạm Thành Nhân</v>
      </c>
      <c r="J6730" s="3" t="str">
        <f ca="1">IFERROR(__xludf.DUMMYFUNCTION("""COMPUTED_VALUE"""),"0822395328")</f>
        <v>0822395328</v>
      </c>
      <c r="K6730" s="2" t="str">
        <f ca="1">IFERROR(__xludf.DUMMYFUNCTION("""COMPUTED_VALUE"""),"1762563133721")</f>
        <v>1762563133721</v>
      </c>
    </row>
    <row r="6731" spans="1:11" ht="12.45">
      <c r="A6731" s="2" t="str">
        <f ca="1">IFERROR(__xludf.DUMMYFUNCTION("""COMPUTED_VALUE"""),"1762563234262")</f>
        <v>1762563234262</v>
      </c>
      <c r="B6731" s="2"/>
      <c r="C6731" s="2" t="str">
        <v>0</v>
      </c>
      <c r="D6731" s="2"/>
      <c r="F6731" s="2" t="str">
        <v>0</v>
      </c>
      <c r="I6731" s="3" t="str">
        <f ca="1">IFERROR(__xludf.DUMMYFUNCTION("""COMPUTED_VALUE"""),"Lê Thu Phương")</f>
        <v>Lê Thu Phương</v>
      </c>
      <c r="J6731" s="3" t="str">
        <f ca="1">IFERROR(__xludf.DUMMYFUNCTION("""COMPUTED_VALUE"""),"0962052880")</f>
        <v>0962052880</v>
      </c>
      <c r="K6731" s="2" t="str">
        <f ca="1">IFERROR(__xludf.DUMMYFUNCTION("""COMPUTED_VALUE"""),"1762563234262")</f>
        <v>1762563234262</v>
      </c>
    </row>
    <row r="6732" spans="1:11" ht="12.45">
      <c r="A6732" s="2" t="str">
        <f ca="1">IFERROR(__xludf.DUMMYFUNCTION("""COMPUTED_VALUE"""),"1762563323840")</f>
        <v>1762563323840</v>
      </c>
      <c r="B6732" s="2"/>
      <c r="C6732" s="2" t="str">
        <v>0</v>
      </c>
      <c r="D6732" s="2"/>
      <c r="F6732" s="2" t="str">
        <v>0</v>
      </c>
      <c r="I6732" s="3" t="str">
        <f ca="1">IFERROR(__xludf.DUMMYFUNCTION("""COMPUTED_VALUE"""),"Nguyễn Thị Trà My")</f>
        <v>Nguyễn Thị Trà My</v>
      </c>
      <c r="J6732" s="3" t="str">
        <f ca="1">IFERROR(__xludf.DUMMYFUNCTION("""COMPUTED_VALUE"""),"0337561726")</f>
        <v>0337561726</v>
      </c>
      <c r="K6732" s="2" t="str">
        <f ca="1">IFERROR(__xludf.DUMMYFUNCTION("""COMPUTED_VALUE"""),"1762563323840")</f>
        <v>1762563323840</v>
      </c>
    </row>
    <row r="6733" spans="1:11" ht="12.45">
      <c r="A6733" s="2" t="str">
        <f ca="1">IFERROR(__xludf.DUMMYFUNCTION("""COMPUTED_VALUE"""),"1762563427248")</f>
        <v>1762563427248</v>
      </c>
      <c r="B6733" s="2"/>
      <c r="C6733" s="2" t="str">
        <v>0</v>
      </c>
      <c r="D6733" s="2"/>
      <c r="F6733" s="2" t="str">
        <v>0</v>
      </c>
      <c r="I6733" s="3" t="str">
        <f ca="1">IFERROR(__xludf.DUMMYFUNCTION("""COMPUTED_VALUE"""),"Nguyễn Dương Nguyệt Linh")</f>
        <v>Nguyễn Dương Nguyệt Linh</v>
      </c>
      <c r="J6733" s="3" t="str">
        <f ca="1">IFERROR(__xludf.DUMMYFUNCTION("""COMPUTED_VALUE"""),"0813630866")</f>
        <v>0813630866</v>
      </c>
      <c r="K6733" s="2" t="str">
        <f ca="1">IFERROR(__xludf.DUMMYFUNCTION("""COMPUTED_VALUE"""),"1762563427248")</f>
        <v>1762563427248</v>
      </c>
    </row>
    <row r="6734" spans="1:11" ht="12.45">
      <c r="A6734" s="2" t="str">
        <f ca="1">IFERROR(__xludf.DUMMYFUNCTION("""COMPUTED_VALUE"""),"1762563501632")</f>
        <v>1762563501632</v>
      </c>
      <c r="B6734" s="2"/>
      <c r="C6734" s="2" t="str">
        <v>0</v>
      </c>
      <c r="D6734" s="2"/>
      <c r="F6734" s="2" t="str">
        <v>0</v>
      </c>
      <c r="I6734" s="3" t="str">
        <f ca="1">IFERROR(__xludf.DUMMYFUNCTION("""COMPUTED_VALUE"""),"Nguyễn Phan Thành Long")</f>
        <v>Nguyễn Phan Thành Long</v>
      </c>
      <c r="J6734" s="3" t="str">
        <f ca="1">IFERROR(__xludf.DUMMYFUNCTION("""COMPUTED_VALUE"""),"0815355926")</f>
        <v>0815355926</v>
      </c>
      <c r="K6734" s="2" t="str">
        <f ca="1">IFERROR(__xludf.DUMMYFUNCTION("""COMPUTED_VALUE"""),"1762563501632")</f>
        <v>1762563501632</v>
      </c>
    </row>
    <row r="6735" spans="1:11" ht="12.45">
      <c r="A6735" s="2" t="str">
        <f ca="1">IFERROR(__xludf.DUMMYFUNCTION("""COMPUTED_VALUE"""),"Không giao sách")</f>
        <v>Không giao sách</v>
      </c>
      <c r="B6735" s="2"/>
      <c r="C6735" s="2" t="str">
        <v>0</v>
      </c>
      <c r="D6735" s="2"/>
      <c r="F6735" s="2" t="str">
        <v>0</v>
      </c>
      <c r="I6735" s="3" t="str">
        <f ca="1">IFERROR(__xludf.DUMMYFUNCTION("""COMPUTED_VALUE"""),"Phạm Hồ Phương Linh")</f>
        <v>Phạm Hồ Phương Linh</v>
      </c>
      <c r="J6735" s="3" t="str">
        <f ca="1">IFERROR(__xludf.DUMMYFUNCTION("""COMPUTED_VALUE"""),"0378964583")</f>
        <v>0378964583</v>
      </c>
      <c r="K6735" s="2" t="str">
        <f ca="1">IFERROR(__xludf.DUMMYFUNCTION("""COMPUTED_VALUE"""),"Không giao sách")</f>
        <v>Không giao sách</v>
      </c>
    </row>
    <row r="6736" spans="1:11" ht="12.45">
      <c r="A6736" s="2" t="str">
        <f ca="1">IFERROR(__xludf.DUMMYFUNCTION("""COMPUTED_VALUE"""),"1762563608123")</f>
        <v>1762563608123</v>
      </c>
      <c r="B6736" s="2"/>
      <c r="C6736" s="2" t="str">
        <v>0</v>
      </c>
      <c r="D6736" s="2"/>
      <c r="F6736" s="2" t="str">
        <v>0</v>
      </c>
      <c r="I6736" s="3" t="str">
        <f ca="1">IFERROR(__xludf.DUMMYFUNCTION("""COMPUTED_VALUE"""),"Nguyễn Minh Phương")</f>
        <v>Nguyễn Minh Phương</v>
      </c>
      <c r="J6736" s="3" t="str">
        <f ca="1">IFERROR(__xludf.DUMMYFUNCTION("""COMPUTED_VALUE"""),"0866954581")</f>
        <v>0866954581</v>
      </c>
      <c r="K6736" s="2" t="str">
        <f ca="1">IFERROR(__xludf.DUMMYFUNCTION("""COMPUTED_VALUE"""),"1762563608123")</f>
        <v>1762563608123</v>
      </c>
    </row>
    <row r="6737" spans="1:11" ht="12.45">
      <c r="A6737" s="2" t="str">
        <f ca="1">IFERROR(__xludf.DUMMYFUNCTION("""COMPUTED_VALUE"""),"1762563678781")</f>
        <v>1762563678781</v>
      </c>
      <c r="B6737" s="2"/>
      <c r="C6737" s="2" t="str">
        <v>0</v>
      </c>
      <c r="D6737" s="2"/>
      <c r="F6737" s="2" t="str">
        <v>0</v>
      </c>
      <c r="I6737" s="3" t="str">
        <f ca="1">IFERROR(__xludf.DUMMYFUNCTION("""COMPUTED_VALUE"""),"Ngô Hải Yến")</f>
        <v>Ngô Hải Yến</v>
      </c>
      <c r="J6737" s="3" t="str">
        <f ca="1">IFERROR(__xludf.DUMMYFUNCTION("""COMPUTED_VALUE"""),"0763185255")</f>
        <v>0763185255</v>
      </c>
      <c r="K6737" s="2" t="str">
        <f ca="1">IFERROR(__xludf.DUMMYFUNCTION("""COMPUTED_VALUE"""),"1762563678781")</f>
        <v>1762563678781</v>
      </c>
    </row>
    <row r="6738" spans="1:11" ht="12.45">
      <c r="A6738" s="2" t="str">
        <f ca="1">IFERROR(__xludf.DUMMYFUNCTION("""COMPUTED_VALUE"""),"1762563753157")</f>
        <v>1762563753157</v>
      </c>
      <c r="B6738" s="2"/>
      <c r="C6738" s="2" t="str">
        <v>0</v>
      </c>
      <c r="D6738" s="2"/>
      <c r="F6738" s="2" t="str">
        <v>0</v>
      </c>
      <c r="I6738" s="3" t="str">
        <f ca="1">IFERROR(__xludf.DUMMYFUNCTION("""COMPUTED_VALUE"""),"Nguyễn Minh Vũ")</f>
        <v>Nguyễn Minh Vũ</v>
      </c>
      <c r="J6738" s="3" t="str">
        <f ca="1">IFERROR(__xludf.DUMMYFUNCTION("""COMPUTED_VALUE"""),"0969013721")</f>
        <v>0969013721</v>
      </c>
      <c r="K6738" s="2" t="str">
        <f ca="1">IFERROR(__xludf.DUMMYFUNCTION("""COMPUTED_VALUE"""),"1762563753157")</f>
        <v>1762563753157</v>
      </c>
    </row>
    <row r="6739" spans="1:11" ht="12.45">
      <c r="A6739" s="2" t="str">
        <f ca="1">IFERROR(__xludf.DUMMYFUNCTION("""COMPUTED_VALUE"""),"1762563858038")</f>
        <v>1762563858038</v>
      </c>
      <c r="B6739" s="2"/>
      <c r="C6739" s="2" t="str">
        <v>0</v>
      </c>
      <c r="D6739" s="2"/>
      <c r="F6739" s="2" t="str">
        <v>0</v>
      </c>
      <c r="I6739" s="3" t="str">
        <f ca="1">IFERROR(__xludf.DUMMYFUNCTION("""COMPUTED_VALUE"""),"Nguyễn Hà Vi")</f>
        <v>Nguyễn Hà Vi</v>
      </c>
      <c r="J6739" s="3" t="str">
        <f ca="1">IFERROR(__xludf.DUMMYFUNCTION("""COMPUTED_VALUE"""),"0365392099")</f>
        <v>0365392099</v>
      </c>
      <c r="K6739" s="2" t="str">
        <f ca="1">IFERROR(__xludf.DUMMYFUNCTION("""COMPUTED_VALUE"""),"1762563858038")</f>
        <v>1762563858038</v>
      </c>
    </row>
    <row r="6740" spans="1:11" ht="12.45">
      <c r="A6740" s="2" t="str">
        <f ca="1">IFERROR(__xludf.DUMMYFUNCTION("""COMPUTED_VALUE"""),"1762563945586")</f>
        <v>1762563945586</v>
      </c>
      <c r="B6740" s="2"/>
      <c r="C6740" s="2" t="str">
        <v>0</v>
      </c>
      <c r="D6740" s="2"/>
      <c r="F6740" s="2" t="str">
        <v>0</v>
      </c>
      <c r="I6740" s="3" t="str">
        <f ca="1">IFERROR(__xludf.DUMMYFUNCTION("""COMPUTED_VALUE"""),"Lê Thị Tiểu Ngân")</f>
        <v>Lê Thị Tiểu Ngân</v>
      </c>
      <c r="J6740" s="3" t="str">
        <f ca="1">IFERROR(__xludf.DUMMYFUNCTION("""COMPUTED_VALUE"""),"0964663190")</f>
        <v>0964663190</v>
      </c>
      <c r="K6740" s="2" t="str">
        <f ca="1">IFERROR(__xludf.DUMMYFUNCTION("""COMPUTED_VALUE"""),"1762563945586")</f>
        <v>1762563945586</v>
      </c>
    </row>
    <row r="6741" spans="1:11" ht="12.45">
      <c r="A6741" s="2" t="str">
        <f ca="1">IFERROR(__xludf.DUMMYFUNCTION("""COMPUTED_VALUE"""),"1762564033492")</f>
        <v>1762564033492</v>
      </c>
      <c r="B6741" s="2"/>
      <c r="C6741" s="2" t="str">
        <v>0</v>
      </c>
      <c r="D6741" s="2"/>
      <c r="F6741" s="2" t="str">
        <v>0</v>
      </c>
      <c r="I6741" s="3" t="str">
        <f ca="1">IFERROR(__xludf.DUMMYFUNCTION("""COMPUTED_VALUE"""),"Tòng Thanh Thảo")</f>
        <v>Tòng Thanh Thảo</v>
      </c>
      <c r="J6741" s="3" t="str">
        <f ca="1">IFERROR(__xludf.DUMMYFUNCTION("""COMPUTED_VALUE"""),"0333504119")</f>
        <v>0333504119</v>
      </c>
      <c r="K6741" s="2" t="str">
        <f ca="1">IFERROR(__xludf.DUMMYFUNCTION("""COMPUTED_VALUE"""),"1762564033492")</f>
        <v>1762564033492</v>
      </c>
    </row>
    <row r="6742" spans="1:11" ht="12.45">
      <c r="A6742" s="2" t="str">
        <f ca="1">IFERROR(__xludf.DUMMYFUNCTION("""COMPUTED_VALUE"""),"1762564152355")</f>
        <v>1762564152355</v>
      </c>
      <c r="B6742" s="2"/>
      <c r="C6742" s="2" t="str">
        <v>0</v>
      </c>
      <c r="D6742" s="2"/>
      <c r="F6742" s="2" t="str">
        <v>0</v>
      </c>
      <c r="I6742" s="3" t="str">
        <f ca="1">IFERROR(__xludf.DUMMYFUNCTION("""COMPUTED_VALUE"""),"Vũ Thị Minh Phương ")</f>
        <v xml:space="preserve">Vũ Thị Minh Phương </v>
      </c>
      <c r="J6742" s="3" t="str">
        <f ca="1">IFERROR(__xludf.DUMMYFUNCTION("""COMPUTED_VALUE"""),"0376593901")</f>
        <v>0376593901</v>
      </c>
      <c r="K6742" s="2" t="str">
        <f ca="1">IFERROR(__xludf.DUMMYFUNCTION("""COMPUTED_VALUE"""),"1762564152355")</f>
        <v>1762564152355</v>
      </c>
    </row>
    <row r="6743" spans="1:11" ht="12.45">
      <c r="A6743" s="2" t="str">
        <f ca="1">IFERROR(__xludf.DUMMYFUNCTION("""COMPUTED_VALUE"""),"1762564218217")</f>
        <v>1762564218217</v>
      </c>
      <c r="B6743" s="2"/>
      <c r="C6743" s="2" t="str">
        <v>0</v>
      </c>
      <c r="D6743" s="2"/>
      <c r="F6743" s="2" t="str">
        <v>0</v>
      </c>
      <c r="I6743" s="3" t="str">
        <f ca="1">IFERROR(__xludf.DUMMYFUNCTION("""COMPUTED_VALUE"""),"Nguyễn Thúc Tiến ")</f>
        <v xml:space="preserve">Nguyễn Thúc Tiến </v>
      </c>
      <c r="J6743" s="3" t="str">
        <f ca="1">IFERROR(__xludf.DUMMYFUNCTION("""COMPUTED_VALUE"""),"0362115007")</f>
        <v>0362115007</v>
      </c>
      <c r="K6743" s="2" t="str">
        <f ca="1">IFERROR(__xludf.DUMMYFUNCTION("""COMPUTED_VALUE"""),"1762564218217")</f>
        <v>1762564218217</v>
      </c>
    </row>
    <row r="6744" spans="1:11" ht="12.45">
      <c r="A6744" s="2" t="str">
        <f ca="1">IFERROR(__xludf.DUMMYFUNCTION("""COMPUTED_VALUE"""),"1762564300578")</f>
        <v>1762564300578</v>
      </c>
      <c r="B6744" s="2"/>
      <c r="C6744" s="2" t="str">
        <v>0</v>
      </c>
      <c r="D6744" s="2"/>
      <c r="F6744" s="2" t="str">
        <v>0</v>
      </c>
      <c r="I6744" s="3" t="str">
        <f ca="1">IFERROR(__xludf.DUMMYFUNCTION("""COMPUTED_VALUE"""),"Trần Phương Thảo ")</f>
        <v xml:space="preserve">Trần Phương Thảo </v>
      </c>
      <c r="J6744" s="3" t="str">
        <f ca="1">IFERROR(__xludf.DUMMYFUNCTION("""COMPUTED_VALUE"""),"0346538700")</f>
        <v>0346538700</v>
      </c>
      <c r="K6744" s="2" t="str">
        <f ca="1">IFERROR(__xludf.DUMMYFUNCTION("""COMPUTED_VALUE"""),"1762564300578")</f>
        <v>1762564300578</v>
      </c>
    </row>
    <row r="6745" spans="1:11" ht="12.45">
      <c r="A6745" s="2" t="str">
        <f ca="1">IFERROR(__xludf.DUMMYFUNCTION("""COMPUTED_VALUE"""),"1756812042897")</f>
        <v>1756812042897</v>
      </c>
      <c r="B6745" s="2"/>
      <c r="C6745" s="2" t="str">
        <v>0</v>
      </c>
      <c r="D6745" s="2"/>
      <c r="F6745" s="2" t="str">
        <v>0</v>
      </c>
      <c r="I6745" s="3" t="str">
        <f ca="1">IFERROR(__xludf.DUMMYFUNCTION("""COMPUTED_VALUE"""),"Hà Phương Thảo")</f>
        <v>Hà Phương Thảo</v>
      </c>
      <c r="J6745" s="3" t="str">
        <f ca="1">IFERROR(__xludf.DUMMYFUNCTION("""COMPUTED_VALUE"""),"0397416931")</f>
        <v>0397416931</v>
      </c>
      <c r="K6745" s="2" t="str">
        <f ca="1">IFERROR(__xludf.DUMMYFUNCTION("""COMPUTED_VALUE"""),"1756812042897")</f>
        <v>1756812042897</v>
      </c>
    </row>
    <row r="6746" spans="1:11" ht="12.45">
      <c r="A6746" s="2" t="str">
        <f ca="1">IFERROR(__xludf.DUMMYFUNCTION("""COMPUTED_VALUE"""),"1762564406333")</f>
        <v>1762564406333</v>
      </c>
      <c r="B6746" s="2"/>
      <c r="C6746" s="2" t="str">
        <v>0</v>
      </c>
      <c r="D6746" s="2"/>
      <c r="F6746" s="2" t="str">
        <v>0</v>
      </c>
      <c r="I6746" s="3" t="str">
        <f ca="1">IFERROR(__xludf.DUMMYFUNCTION("""COMPUTED_VALUE"""),"Phan Phan Hoài Tâm ")</f>
        <v xml:space="preserve">Phan Phan Hoài Tâm </v>
      </c>
      <c r="J6746" s="3" t="str">
        <f ca="1">IFERROR(__xludf.DUMMYFUNCTION("""COMPUTED_VALUE"""),"0967623117")</f>
        <v>0967623117</v>
      </c>
      <c r="K6746" s="2" t="str">
        <f ca="1">IFERROR(__xludf.DUMMYFUNCTION("""COMPUTED_VALUE"""),"1762564406333")</f>
        <v>1762564406333</v>
      </c>
    </row>
    <row r="6747" spans="1:11" ht="12.45">
      <c r="A6747" s="2" t="str">
        <f ca="1">IFERROR(__xludf.DUMMYFUNCTION("""COMPUTED_VALUE"""),"1762564450291")</f>
        <v>1762564450291</v>
      </c>
      <c r="B6747" s="2"/>
      <c r="C6747" s="2" t="str">
        <v>0</v>
      </c>
      <c r="D6747" s="2"/>
      <c r="F6747" s="2" t="str">
        <v>0</v>
      </c>
      <c r="I6747" s="3" t="str">
        <f ca="1">IFERROR(__xludf.DUMMYFUNCTION("""COMPUTED_VALUE"""),"Nguyễn Thanh Hằng ")</f>
        <v xml:space="preserve">Nguyễn Thanh Hằng </v>
      </c>
      <c r="J6747" s="3" t="str">
        <f ca="1">IFERROR(__xludf.DUMMYFUNCTION("""COMPUTED_VALUE"""),"0978769901")</f>
        <v>0978769901</v>
      </c>
      <c r="K6747" s="2" t="str">
        <f ca="1">IFERROR(__xludf.DUMMYFUNCTION("""COMPUTED_VALUE"""),"1762564450291")</f>
        <v>1762564450291</v>
      </c>
    </row>
    <row r="6748" spans="1:11" ht="12.45">
      <c r="A6748" s="2" t="str">
        <f ca="1">IFERROR(__xludf.DUMMYFUNCTION("""COMPUTED_VALUE"""),"1762564525173")</f>
        <v>1762564525173</v>
      </c>
      <c r="B6748" s="2"/>
      <c r="C6748" s="2" t="str">
        <v>0</v>
      </c>
      <c r="D6748" s="2"/>
      <c r="F6748" s="2" t="str">
        <v>0</v>
      </c>
      <c r="I6748" s="3" t="str">
        <f ca="1">IFERROR(__xludf.DUMMYFUNCTION("""COMPUTED_VALUE"""),"Phạm Lê Phương Uyên ")</f>
        <v xml:space="preserve">Phạm Lê Phương Uyên </v>
      </c>
      <c r="J6748" s="3" t="str">
        <f ca="1">IFERROR(__xludf.DUMMYFUNCTION("""COMPUTED_VALUE"""),"0382644681")</f>
        <v>0382644681</v>
      </c>
      <c r="K6748" s="2" t="str">
        <f ca="1">IFERROR(__xludf.DUMMYFUNCTION("""COMPUTED_VALUE"""),"1762564525173")</f>
        <v>1762564525173</v>
      </c>
    </row>
    <row r="6749" spans="1:11" ht="12.45">
      <c r="A6749" s="2" t="str">
        <f ca="1">IFERROR(__xludf.DUMMYFUNCTION("""COMPUTED_VALUE"""),"1762564585690")</f>
        <v>1762564585690</v>
      </c>
      <c r="B6749" s="2"/>
      <c r="C6749" s="2" t="str">
        <v>0</v>
      </c>
      <c r="D6749" s="2"/>
      <c r="F6749" s="2" t="str">
        <v>0</v>
      </c>
      <c r="I6749" s="3" t="str">
        <f ca="1">IFERROR(__xludf.DUMMYFUNCTION("""COMPUTED_VALUE"""),"Nguyễn Minh Thảo")</f>
        <v>Nguyễn Minh Thảo</v>
      </c>
      <c r="J6749" s="3" t="str">
        <f ca="1">IFERROR(__xludf.DUMMYFUNCTION("""COMPUTED_VALUE"""),"0982257437")</f>
        <v>0982257437</v>
      </c>
      <c r="K6749" s="2" t="str">
        <f ca="1">IFERROR(__xludf.DUMMYFUNCTION("""COMPUTED_VALUE"""),"1762564585690")</f>
        <v>1762564585690</v>
      </c>
    </row>
    <row r="6750" spans="1:11" ht="12.45">
      <c r="A6750" s="2" t="str">
        <f ca="1">IFERROR(__xludf.DUMMYFUNCTION("""COMPUTED_VALUE"""),"1762564672122")</f>
        <v>1762564672122</v>
      </c>
      <c r="B6750" s="2"/>
      <c r="C6750" s="2" t="str">
        <v>0</v>
      </c>
      <c r="D6750" s="2"/>
      <c r="F6750" s="2" t="str">
        <v>0</v>
      </c>
      <c r="I6750" s="3" t="str">
        <f ca="1">IFERROR(__xludf.DUMMYFUNCTION("""COMPUTED_VALUE"""),"Trần Diệu Quyên ")</f>
        <v xml:space="preserve">Trần Diệu Quyên </v>
      </c>
      <c r="J6750" s="3" t="str">
        <f ca="1">IFERROR(__xludf.DUMMYFUNCTION("""COMPUTED_VALUE"""),"0386642262")</f>
        <v>0386642262</v>
      </c>
      <c r="K6750" s="2" t="str">
        <f ca="1">IFERROR(__xludf.DUMMYFUNCTION("""COMPUTED_VALUE"""),"1762564672122")</f>
        <v>1762564672122</v>
      </c>
    </row>
    <row r="6751" spans="1:11" ht="12.45">
      <c r="A6751" s="2" t="str">
        <f ca="1">IFERROR(__xludf.DUMMYFUNCTION("""COMPUTED_VALUE"""),"1762564748113")</f>
        <v>1762564748113</v>
      </c>
      <c r="B6751" s="2"/>
      <c r="C6751" s="2" t="str">
        <v>0</v>
      </c>
      <c r="D6751" s="2"/>
      <c r="F6751" s="2" t="str">
        <v>0</v>
      </c>
      <c r="I6751" s="3" t="str">
        <f ca="1">IFERROR(__xludf.DUMMYFUNCTION("""COMPUTED_VALUE"""),"Trần Thị Nga")</f>
        <v>Trần Thị Nga</v>
      </c>
      <c r="J6751" s="3" t="str">
        <f ca="1">IFERROR(__xludf.DUMMYFUNCTION("""COMPUTED_VALUE"""),"0332764166")</f>
        <v>0332764166</v>
      </c>
      <c r="K6751" s="2" t="str">
        <f ca="1">IFERROR(__xludf.DUMMYFUNCTION("""COMPUTED_VALUE"""),"1762564748113")</f>
        <v>1762564748113</v>
      </c>
    </row>
    <row r="6752" spans="1:11" ht="12.45">
      <c r="A6752" s="2" t="str">
        <f ca="1">IFERROR(__xludf.DUMMYFUNCTION("""COMPUTED_VALUE"""),"1762564836030")</f>
        <v>1762564836030</v>
      </c>
      <c r="B6752" s="2"/>
      <c r="C6752" s="2" t="str">
        <v>0</v>
      </c>
      <c r="D6752" s="2"/>
      <c r="F6752" s="2" t="str">
        <v>0</v>
      </c>
      <c r="I6752" s="3" t="str">
        <f ca="1">IFERROR(__xludf.DUMMYFUNCTION("""COMPUTED_VALUE"""),"Đoàn Trà Mi ")</f>
        <v xml:space="preserve">Đoàn Trà Mi </v>
      </c>
      <c r="J6752" s="3" t="str">
        <f ca="1">IFERROR(__xludf.DUMMYFUNCTION("""COMPUTED_VALUE"""),"0384082486")</f>
        <v>0384082486</v>
      </c>
      <c r="K6752" s="2" t="str">
        <f ca="1">IFERROR(__xludf.DUMMYFUNCTION("""COMPUTED_VALUE"""),"1762564836030")</f>
        <v>1762564836030</v>
      </c>
    </row>
    <row r="6753" spans="1:11" ht="12.45">
      <c r="A6753" s="2" t="str">
        <f ca="1">IFERROR(__xludf.DUMMYFUNCTION("""COMPUTED_VALUE"""),"1762564893058")</f>
        <v>1762564893058</v>
      </c>
      <c r="B6753" s="2"/>
      <c r="C6753" s="2" t="str">
        <v>0</v>
      </c>
      <c r="D6753" s="2"/>
      <c r="F6753" s="2" t="str">
        <v>0</v>
      </c>
      <c r="I6753" s="3" t="str">
        <f ca="1">IFERROR(__xludf.DUMMYFUNCTION("""COMPUTED_VALUE"""),"Dương Thị Thanh Thảo")</f>
        <v>Dương Thị Thanh Thảo</v>
      </c>
      <c r="J6753" s="3" t="str">
        <f ca="1">IFERROR(__xludf.DUMMYFUNCTION("""COMPUTED_VALUE"""),"0395938964")</f>
        <v>0395938964</v>
      </c>
      <c r="K6753" s="2" t="str">
        <f ca="1">IFERROR(__xludf.DUMMYFUNCTION("""COMPUTED_VALUE"""),"1762564893058")</f>
        <v>1762564893058</v>
      </c>
    </row>
    <row r="6754" spans="1:11" ht="12.45">
      <c r="A6754" s="2" t="str">
        <f ca="1">IFERROR(__xludf.DUMMYFUNCTION("""COMPUTED_VALUE"""),"1762564939812")</f>
        <v>1762564939812</v>
      </c>
      <c r="B6754" s="2"/>
      <c r="C6754" s="2" t="str">
        <v>0</v>
      </c>
      <c r="D6754" s="2"/>
      <c r="F6754" s="2" t="str">
        <v>0</v>
      </c>
      <c r="I6754" s="3" t="str">
        <f ca="1">IFERROR(__xludf.DUMMYFUNCTION("""COMPUTED_VALUE"""),"Lê Quỳnh Trang")</f>
        <v>Lê Quỳnh Trang</v>
      </c>
      <c r="J6754" s="3" t="str">
        <f ca="1">IFERROR(__xludf.DUMMYFUNCTION("""COMPUTED_VALUE"""),"0866858307")</f>
        <v>0866858307</v>
      </c>
      <c r="K6754" s="2" t="str">
        <f ca="1">IFERROR(__xludf.DUMMYFUNCTION("""COMPUTED_VALUE"""),"1762564939812")</f>
        <v>1762564939812</v>
      </c>
    </row>
    <row r="6755" spans="1:11" ht="12.45">
      <c r="A6755" s="2" t="str">
        <f ca="1">IFERROR(__xludf.DUMMYFUNCTION("""COMPUTED_VALUE"""),"1762564981241")</f>
        <v>1762564981241</v>
      </c>
      <c r="B6755" s="2"/>
      <c r="C6755" s="2" t="str">
        <v>0</v>
      </c>
      <c r="D6755" s="2"/>
      <c r="F6755" s="2" t="str">
        <v>0</v>
      </c>
      <c r="I6755" s="3" t="str">
        <f ca="1">IFERROR(__xludf.DUMMYFUNCTION("""COMPUTED_VALUE"""),"Hoàng Thị Triều An")</f>
        <v>Hoàng Thị Triều An</v>
      </c>
      <c r="J6755" s="3" t="str">
        <f ca="1">IFERROR(__xludf.DUMMYFUNCTION("""COMPUTED_VALUE"""),"0337168207")</f>
        <v>0337168207</v>
      </c>
      <c r="K6755" s="2" t="str">
        <f ca="1">IFERROR(__xludf.DUMMYFUNCTION("""COMPUTED_VALUE"""),"1762564981241")</f>
        <v>1762564981241</v>
      </c>
    </row>
    <row r="6756" spans="1:11" ht="12.45">
      <c r="A6756" s="2" t="str">
        <f ca="1">IFERROR(__xludf.DUMMYFUNCTION("""COMPUTED_VALUE"""),"1762565023966")</f>
        <v>1762565023966</v>
      </c>
      <c r="B6756" s="2"/>
      <c r="C6756" s="2" t="str">
        <v>0</v>
      </c>
      <c r="D6756" s="2"/>
      <c r="F6756" s="2" t="str">
        <v>0</v>
      </c>
      <c r="I6756" s="3" t="str">
        <f ca="1">IFERROR(__xludf.DUMMYFUNCTION("""COMPUTED_VALUE"""),"Nguyễn Thị Hải Yến ")</f>
        <v xml:space="preserve">Nguyễn Thị Hải Yến </v>
      </c>
      <c r="J6756" s="3" t="str">
        <f ca="1">IFERROR(__xludf.DUMMYFUNCTION("""COMPUTED_VALUE"""),"0359273809")</f>
        <v>0359273809</v>
      </c>
      <c r="K6756" s="2" t="str">
        <f ca="1">IFERROR(__xludf.DUMMYFUNCTION("""COMPUTED_VALUE"""),"1762565023966")</f>
        <v>1762565023966</v>
      </c>
    </row>
    <row r="6757" spans="1:11" ht="12.45">
      <c r="A6757" s="2" t="str">
        <f ca="1">IFERROR(__xludf.DUMMYFUNCTION("""COMPUTED_VALUE"""),"Không giao sách")</f>
        <v>Không giao sách</v>
      </c>
      <c r="B6757" s="2"/>
      <c r="C6757" s="2" t="str">
        <v>0</v>
      </c>
      <c r="D6757" s="2"/>
      <c r="F6757" s="2" t="str">
        <v>0</v>
      </c>
      <c r="I6757" s="3" t="str">
        <f ca="1">IFERROR(__xludf.DUMMYFUNCTION("""COMPUTED_VALUE"""),"Vũ Nguyễn Hải Yến")</f>
        <v>Vũ Nguyễn Hải Yến</v>
      </c>
      <c r="J6757" s="3" t="str">
        <f ca="1">IFERROR(__xludf.DUMMYFUNCTION("""COMPUTED_VALUE"""),"0902675011")</f>
        <v>0902675011</v>
      </c>
      <c r="K6757" s="2" t="str">
        <f ca="1">IFERROR(__xludf.DUMMYFUNCTION("""COMPUTED_VALUE"""),"Không giao sách")</f>
        <v>Không giao sách</v>
      </c>
    </row>
    <row r="6758" spans="1:11" ht="12.45">
      <c r="A6758" s="2" t="str">
        <f ca="1">IFERROR(__xludf.DUMMYFUNCTION("""COMPUTED_VALUE"""),"1762565076164")</f>
        <v>1762565076164</v>
      </c>
      <c r="B6758" s="2"/>
      <c r="C6758" s="2" t="str">
        <v>0</v>
      </c>
      <c r="D6758" s="2"/>
      <c r="F6758" s="2" t="str">
        <v>0</v>
      </c>
      <c r="I6758" s="3" t="str">
        <f ca="1">IFERROR(__xludf.DUMMYFUNCTION("""COMPUTED_VALUE"""),"Trần Minh Anh")</f>
        <v>Trần Minh Anh</v>
      </c>
      <c r="J6758" s="3" t="str">
        <f ca="1">IFERROR(__xludf.DUMMYFUNCTION("""COMPUTED_VALUE"""),"8493253006")</f>
        <v>8493253006</v>
      </c>
      <c r="K6758" s="2" t="str">
        <f ca="1">IFERROR(__xludf.DUMMYFUNCTION("""COMPUTED_VALUE"""),"1762565076164")</f>
        <v>1762565076164</v>
      </c>
    </row>
    <row r="6759" spans="1:11" ht="12.45">
      <c r="A6759" s="2" t="str">
        <f ca="1">IFERROR(__xludf.DUMMYFUNCTION("""COMPUTED_VALUE"""),"Không giao sách")</f>
        <v>Không giao sách</v>
      </c>
      <c r="B6759" s="2"/>
      <c r="C6759" s="2" t="str">
        <v>0</v>
      </c>
      <c r="D6759" s="2"/>
      <c r="F6759" s="2" t="str">
        <v>0</v>
      </c>
      <c r="I6759" s="3" t="str">
        <f ca="1">IFERROR(__xludf.DUMMYFUNCTION("""COMPUTED_VALUE"""),"NGUYỄN LÊ THANH THẢO")</f>
        <v>NGUYỄN LÊ THANH THẢO</v>
      </c>
      <c r="J6759" s="3" t="str">
        <f ca="1">IFERROR(__xludf.DUMMYFUNCTION("""COMPUTED_VALUE"""),"0868636659")</f>
        <v>0868636659</v>
      </c>
      <c r="K6759" s="2" t="str">
        <f ca="1">IFERROR(__xludf.DUMMYFUNCTION("""COMPUTED_VALUE"""),"Không giao sách")</f>
        <v>Không giao sách</v>
      </c>
    </row>
    <row r="6760" spans="1:11" ht="12.45">
      <c r="A6760" s="2" t="str">
        <f ca="1">IFERROR(__xludf.DUMMYFUNCTION("""COMPUTED_VALUE"""),"1762565131598")</f>
        <v>1762565131598</v>
      </c>
      <c r="B6760" s="2"/>
      <c r="C6760" s="2" t="str">
        <v>0</v>
      </c>
      <c r="D6760" s="2"/>
      <c r="F6760" s="2" t="str">
        <v>0</v>
      </c>
      <c r="I6760" s="3" t="str">
        <f ca="1">IFERROR(__xludf.DUMMYFUNCTION("""COMPUTED_VALUE"""),"Nguyễn Ngô Khánh Ly")</f>
        <v>Nguyễn Ngô Khánh Ly</v>
      </c>
      <c r="J6760" s="3" t="str">
        <f ca="1">IFERROR(__xludf.DUMMYFUNCTION("""COMPUTED_VALUE"""),"0862560542")</f>
        <v>0862560542</v>
      </c>
      <c r="K6760" s="2" t="str">
        <f ca="1">IFERROR(__xludf.DUMMYFUNCTION("""COMPUTED_VALUE"""),"1762565131598")</f>
        <v>1762565131598</v>
      </c>
    </row>
    <row r="6761" spans="1:11" ht="12.45">
      <c r="A6761" s="2" t="str">
        <f ca="1">IFERROR(__xludf.DUMMYFUNCTION("""COMPUTED_VALUE"""),"1762565192908")</f>
        <v>1762565192908</v>
      </c>
      <c r="B6761" s="2"/>
      <c r="C6761" s="2" t="str">
        <v>0</v>
      </c>
      <c r="D6761" s="2"/>
      <c r="F6761" s="2" t="str">
        <v>0</v>
      </c>
      <c r="I6761" s="3" t="str">
        <f ca="1">IFERROR(__xludf.DUMMYFUNCTION("""COMPUTED_VALUE"""),"Hoàng Thị Thu Huyền")</f>
        <v>Hoàng Thị Thu Huyền</v>
      </c>
      <c r="J6761" s="3" t="str">
        <f ca="1">IFERROR(__xludf.DUMMYFUNCTION("""COMPUTED_VALUE"""),"0349583569")</f>
        <v>0349583569</v>
      </c>
      <c r="K6761" s="2" t="str">
        <f ca="1">IFERROR(__xludf.DUMMYFUNCTION("""COMPUTED_VALUE"""),"1762565192908")</f>
        <v>1762565192908</v>
      </c>
    </row>
    <row r="6762" spans="1:11" ht="12.45">
      <c r="A6762" s="2" t="str">
        <f ca="1">IFERROR(__xludf.DUMMYFUNCTION("""COMPUTED_VALUE"""),"1762565236186")</f>
        <v>1762565236186</v>
      </c>
      <c r="B6762" s="2"/>
      <c r="C6762" s="2" t="str">
        <v>0</v>
      </c>
      <c r="D6762" s="2"/>
      <c r="F6762" s="2" t="str">
        <v>0</v>
      </c>
      <c r="I6762" s="3" t="str">
        <f ca="1">IFERROR(__xludf.DUMMYFUNCTION("""COMPUTED_VALUE"""),"ĐÀO QUANG HIẾU")</f>
        <v>ĐÀO QUANG HIẾU</v>
      </c>
      <c r="J6762" s="3" t="str">
        <f ca="1">IFERROR(__xludf.DUMMYFUNCTION("""COMPUTED_VALUE"""),"0822160469")</f>
        <v>0822160469</v>
      </c>
      <c r="K6762" s="2" t="str">
        <f ca="1">IFERROR(__xludf.DUMMYFUNCTION("""COMPUTED_VALUE"""),"1762565236186")</f>
        <v>1762565236186</v>
      </c>
    </row>
    <row r="6763" spans="1:11" ht="12.45">
      <c r="A6763" s="2" t="str">
        <f ca="1">IFERROR(__xludf.DUMMYFUNCTION("""COMPUTED_VALUE"""),"1762565346731")</f>
        <v>1762565346731</v>
      </c>
      <c r="B6763" s="2"/>
      <c r="C6763" s="2" t="str">
        <v>0</v>
      </c>
      <c r="D6763" s="2"/>
      <c r="F6763" s="2" t="str">
        <v>0</v>
      </c>
      <c r="I6763" s="3" t="str">
        <f ca="1">IFERROR(__xludf.DUMMYFUNCTION("""COMPUTED_VALUE"""),"Trần Phương Anh")</f>
        <v>Trần Phương Anh</v>
      </c>
      <c r="J6763" s="3" t="str">
        <f ca="1">IFERROR(__xludf.DUMMYFUNCTION("""COMPUTED_VALUE"""),"0962427456")</f>
        <v>0962427456</v>
      </c>
      <c r="K6763" s="2" t="str">
        <f ca="1">IFERROR(__xludf.DUMMYFUNCTION("""COMPUTED_VALUE"""),"1762565346731")</f>
        <v>1762565346731</v>
      </c>
    </row>
    <row r="6764" spans="1:11" ht="12.45">
      <c r="A6764" s="2" t="str">
        <f ca="1">IFERROR(__xludf.DUMMYFUNCTION("""COMPUTED_VALUE"""),"1762565433465")</f>
        <v>1762565433465</v>
      </c>
      <c r="B6764" s="2"/>
      <c r="C6764" s="2" t="str">
        <v>0</v>
      </c>
      <c r="D6764" s="2"/>
      <c r="F6764" s="2" t="str">
        <v>0</v>
      </c>
      <c r="I6764" s="3" t="str">
        <f ca="1">IFERROR(__xludf.DUMMYFUNCTION("""COMPUTED_VALUE"""),"Nguyễn Thị Hồng Nhung ")</f>
        <v xml:space="preserve">Nguyễn Thị Hồng Nhung </v>
      </c>
      <c r="J6764" s="3" t="str">
        <f ca="1">IFERROR(__xludf.DUMMYFUNCTION("""COMPUTED_VALUE"""),"0346017709")</f>
        <v>0346017709</v>
      </c>
      <c r="K6764" s="2" t="str">
        <f ca="1">IFERROR(__xludf.DUMMYFUNCTION("""COMPUTED_VALUE"""),"1762565433465")</f>
        <v>1762565433465</v>
      </c>
    </row>
    <row r="6765" spans="1:11" ht="12.45">
      <c r="A6765" s="2" t="str">
        <f ca="1">IFERROR(__xludf.DUMMYFUNCTION("""COMPUTED_VALUE"""),"1762565476544")</f>
        <v>1762565476544</v>
      </c>
      <c r="B6765" s="2"/>
      <c r="C6765" s="2" t="str">
        <v>0</v>
      </c>
      <c r="D6765" s="2"/>
      <c r="F6765" s="2" t="str">
        <v>0</v>
      </c>
      <c r="I6765" s="3" t="str">
        <f ca="1">IFERROR(__xludf.DUMMYFUNCTION("""COMPUTED_VALUE"""),"Nguyễn Thị Hương Linh")</f>
        <v>Nguyễn Thị Hương Linh</v>
      </c>
      <c r="J6765" s="3" t="str">
        <f ca="1">IFERROR(__xludf.DUMMYFUNCTION("""COMPUTED_VALUE"""),"0394974360")</f>
        <v>0394974360</v>
      </c>
      <c r="K6765" s="2" t="str">
        <f ca="1">IFERROR(__xludf.DUMMYFUNCTION("""COMPUTED_VALUE"""),"1762565476544")</f>
        <v>1762565476544</v>
      </c>
    </row>
    <row r="6766" spans="1:11" ht="12.45">
      <c r="A6766" s="2" t="str">
        <f ca="1">IFERROR(__xludf.DUMMYFUNCTION("""COMPUTED_VALUE"""),"1762565526361")</f>
        <v>1762565526361</v>
      </c>
      <c r="B6766" s="2"/>
      <c r="C6766" s="2" t="str">
        <v>0</v>
      </c>
      <c r="D6766" s="2"/>
      <c r="F6766" s="2" t="str">
        <v>0</v>
      </c>
      <c r="I6766" s="3" t="str">
        <f ca="1">IFERROR(__xludf.DUMMYFUNCTION("""COMPUTED_VALUE"""),"Nguyễn đình kỳ")</f>
        <v>Nguyễn đình kỳ</v>
      </c>
      <c r="J6766" s="3" t="str">
        <f ca="1">IFERROR(__xludf.DUMMYFUNCTION("""COMPUTED_VALUE"""),"0876394802")</f>
        <v>0876394802</v>
      </c>
      <c r="K6766" s="2" t="str">
        <f ca="1">IFERROR(__xludf.DUMMYFUNCTION("""COMPUTED_VALUE"""),"1762565526361")</f>
        <v>1762565526361</v>
      </c>
    </row>
    <row r="6767" spans="1:11" ht="12.45">
      <c r="A6767" s="2" t="str">
        <f ca="1">IFERROR(__xludf.DUMMYFUNCTION("""COMPUTED_VALUE"""),"1762565577670")</f>
        <v>1762565577670</v>
      </c>
      <c r="B6767" s="2"/>
      <c r="C6767" s="2" t="str">
        <v>0</v>
      </c>
      <c r="D6767" s="2"/>
      <c r="F6767" s="2" t="str">
        <v>0</v>
      </c>
      <c r="I6767" s="3" t="str">
        <f ca="1">IFERROR(__xludf.DUMMYFUNCTION("""COMPUTED_VALUE"""),"Đặng Thị Hồng Nhung ")</f>
        <v xml:space="preserve">Đặng Thị Hồng Nhung </v>
      </c>
      <c r="J6767" s="3" t="str">
        <f ca="1">IFERROR(__xludf.DUMMYFUNCTION("""COMPUTED_VALUE"""),"0965901035")</f>
        <v>0965901035</v>
      </c>
      <c r="K6767" s="2" t="str">
        <f ca="1">IFERROR(__xludf.DUMMYFUNCTION("""COMPUTED_VALUE"""),"1762565577670")</f>
        <v>1762565577670</v>
      </c>
    </row>
    <row r="6768" spans="1:11" ht="12.45">
      <c r="A6768" s="2" t="str">
        <f ca="1">IFERROR(__xludf.DUMMYFUNCTION("""COMPUTED_VALUE"""),"1762565638256")</f>
        <v>1762565638256</v>
      </c>
      <c r="B6768" s="2"/>
      <c r="C6768" s="2" t="str">
        <v>0</v>
      </c>
      <c r="D6768" s="2"/>
      <c r="F6768" s="2" t="str">
        <v>0</v>
      </c>
      <c r="I6768" s="3" t="str">
        <f ca="1">IFERROR(__xludf.DUMMYFUNCTION("""COMPUTED_VALUE"""),"Trịnh Hà Uyên")</f>
        <v>Trịnh Hà Uyên</v>
      </c>
      <c r="J6768" s="3" t="str">
        <f ca="1">IFERROR(__xludf.DUMMYFUNCTION("""COMPUTED_VALUE"""),"0373247056")</f>
        <v>0373247056</v>
      </c>
      <c r="K6768" s="2" t="str">
        <f ca="1">IFERROR(__xludf.DUMMYFUNCTION("""COMPUTED_VALUE"""),"1762565638256")</f>
        <v>1762565638256</v>
      </c>
    </row>
    <row r="6769" spans="1:11" ht="12.45">
      <c r="A6769" s="2" t="str">
        <f ca="1">IFERROR(__xludf.DUMMYFUNCTION("""COMPUTED_VALUE"""),"1762565680333")</f>
        <v>1762565680333</v>
      </c>
      <c r="B6769" s="2"/>
      <c r="C6769" s="2" t="str">
        <v>0</v>
      </c>
      <c r="D6769" s="2"/>
      <c r="F6769" s="2" t="str">
        <v>0</v>
      </c>
      <c r="I6769" s="3" t="str">
        <f ca="1">IFERROR(__xludf.DUMMYFUNCTION("""COMPUTED_VALUE"""),"Phan Dạ Thảo ")</f>
        <v xml:space="preserve">Phan Dạ Thảo </v>
      </c>
      <c r="J6769" s="3" t="str">
        <f ca="1">IFERROR(__xludf.DUMMYFUNCTION("""COMPUTED_VALUE"""),"0924938933")</f>
        <v>0924938933</v>
      </c>
      <c r="K6769" s="2" t="str">
        <f ca="1">IFERROR(__xludf.DUMMYFUNCTION("""COMPUTED_VALUE"""),"1762565680333")</f>
        <v>1762565680333</v>
      </c>
    </row>
    <row r="6770" spans="1:11" ht="12.45">
      <c r="A6770" s="2" t="str">
        <f ca="1">IFERROR(__xludf.DUMMYFUNCTION("""COMPUTED_VALUE"""),"1762565760128")</f>
        <v>1762565760128</v>
      </c>
      <c r="B6770" s="2"/>
      <c r="C6770" s="2" t="str">
        <v>0</v>
      </c>
      <c r="D6770" s="2"/>
      <c r="F6770" s="2" t="str">
        <v>0</v>
      </c>
      <c r="I6770" s="3" t="str">
        <f ca="1">IFERROR(__xludf.DUMMYFUNCTION("""COMPUTED_VALUE"""),"Hoàng Hiếu Nguyễn")</f>
        <v>Hoàng Hiếu Nguyễn</v>
      </c>
      <c r="J6770" s="3" t="str">
        <f ca="1">IFERROR(__xludf.DUMMYFUNCTION("""COMPUTED_VALUE"""),"0337931703")</f>
        <v>0337931703</v>
      </c>
      <c r="K6770" s="2" t="str">
        <f ca="1">IFERROR(__xludf.DUMMYFUNCTION("""COMPUTED_VALUE"""),"1762565760128")</f>
        <v>1762565760128</v>
      </c>
    </row>
    <row r="6771" spans="1:11" ht="12.45">
      <c r="A6771" s="2" t="str">
        <f ca="1">IFERROR(__xludf.DUMMYFUNCTION("""COMPUTED_VALUE"""),"1762565855336")</f>
        <v>1762565855336</v>
      </c>
      <c r="B6771" s="2"/>
      <c r="C6771" s="2" t="str">
        <v>0</v>
      </c>
      <c r="D6771" s="2"/>
      <c r="F6771" s="2" t="str">
        <v>0</v>
      </c>
      <c r="I6771" s="3" t="str">
        <f ca="1">IFERROR(__xludf.DUMMYFUNCTION("""COMPUTED_VALUE"""),"Phạm Minh Ngọc")</f>
        <v>Phạm Minh Ngọc</v>
      </c>
      <c r="J6771" s="3" t="str">
        <f ca="1">IFERROR(__xludf.DUMMYFUNCTION("""COMPUTED_VALUE"""),"0354620633")</f>
        <v>0354620633</v>
      </c>
      <c r="K6771" s="2" t="str">
        <f ca="1">IFERROR(__xludf.DUMMYFUNCTION("""COMPUTED_VALUE"""),"1762565855336")</f>
        <v>1762565855336</v>
      </c>
    </row>
    <row r="6772" spans="1:11" ht="12.45">
      <c r="A6772" s="2" t="str">
        <f ca="1">IFERROR(__xludf.DUMMYFUNCTION("""COMPUTED_VALUE"""),"1762565972636")</f>
        <v>1762565972636</v>
      </c>
      <c r="B6772" s="2"/>
      <c r="C6772" s="2" t="str">
        <v>0</v>
      </c>
      <c r="D6772" s="2"/>
      <c r="F6772" s="2" t="str">
        <v>0</v>
      </c>
      <c r="I6772" s="3" t="str">
        <f ca="1">IFERROR(__xludf.DUMMYFUNCTION("""COMPUTED_VALUE"""),"Trương Ánh Hồng ")</f>
        <v xml:space="preserve">Trương Ánh Hồng </v>
      </c>
      <c r="J6772" s="3" t="str">
        <f ca="1">IFERROR(__xludf.DUMMYFUNCTION("""COMPUTED_VALUE"""),"0796819385")</f>
        <v>0796819385</v>
      </c>
      <c r="K6772" s="2" t="str">
        <f ca="1">IFERROR(__xludf.DUMMYFUNCTION("""COMPUTED_VALUE"""),"1762565972636")</f>
        <v>1762565972636</v>
      </c>
    </row>
    <row r="6773" spans="1:11" ht="12.45">
      <c r="A6773" s="2" t="str">
        <f ca="1">IFERROR(__xludf.DUMMYFUNCTION("""COMPUTED_VALUE"""),"1762566017911")</f>
        <v>1762566017911</v>
      </c>
      <c r="B6773" s="2"/>
      <c r="C6773" s="2" t="str">
        <v>0</v>
      </c>
      <c r="D6773" s="2"/>
      <c r="F6773" s="2" t="str">
        <v>0</v>
      </c>
      <c r="I6773" s="3" t="str">
        <f ca="1">IFERROR(__xludf.DUMMYFUNCTION("""COMPUTED_VALUE"""),"Nguyễn Ngọc Phương Uyên")</f>
        <v>Nguyễn Ngọc Phương Uyên</v>
      </c>
      <c r="J6773" s="3" t="str">
        <f ca="1">IFERROR(__xludf.DUMMYFUNCTION("""COMPUTED_VALUE"""),"0826527961")</f>
        <v>0826527961</v>
      </c>
      <c r="K6773" s="2" t="str">
        <f ca="1">IFERROR(__xludf.DUMMYFUNCTION("""COMPUTED_VALUE"""),"1762566017911")</f>
        <v>1762566017911</v>
      </c>
    </row>
    <row r="6774" spans="1:11" ht="12.45">
      <c r="A6774" s="2" t="str">
        <f ca="1">IFERROR(__xludf.DUMMYFUNCTION("""COMPUTED_VALUE"""),"1762566095358")</f>
        <v>1762566095358</v>
      </c>
      <c r="B6774" s="2"/>
      <c r="C6774" s="2" t="str">
        <v>0</v>
      </c>
      <c r="D6774" s="2"/>
      <c r="F6774" s="2" t="str">
        <v>0</v>
      </c>
      <c r="I6774" s="3" t="str">
        <f ca="1">IFERROR(__xludf.DUMMYFUNCTION("""COMPUTED_VALUE"""),"Phạm Duy Thanh")</f>
        <v>Phạm Duy Thanh</v>
      </c>
      <c r="J6774" s="3" t="str">
        <f ca="1">IFERROR(__xludf.DUMMYFUNCTION("""COMPUTED_VALUE"""),"0334520648")</f>
        <v>0334520648</v>
      </c>
      <c r="K6774" s="2" t="str">
        <f ca="1">IFERROR(__xludf.DUMMYFUNCTION("""COMPUTED_VALUE"""),"1762566095358")</f>
        <v>1762566095358</v>
      </c>
    </row>
    <row r="6775" spans="1:11" ht="12.45">
      <c r="A6775" s="2" t="str">
        <f ca="1">IFERROR(__xludf.DUMMYFUNCTION("""COMPUTED_VALUE"""),"1762566148732")</f>
        <v>1762566148732</v>
      </c>
      <c r="B6775" s="2"/>
      <c r="C6775" s="2" t="str">
        <v>0</v>
      </c>
      <c r="D6775" s="2"/>
      <c r="F6775" s="2" t="str">
        <v>0</v>
      </c>
      <c r="I6775" s="3" t="str">
        <f ca="1">IFERROR(__xludf.DUMMYFUNCTION("""COMPUTED_VALUE"""),"Trần Thị Thư")</f>
        <v>Trần Thị Thư</v>
      </c>
      <c r="J6775" s="3" t="str">
        <f ca="1">IFERROR(__xludf.DUMMYFUNCTION("""COMPUTED_VALUE"""),"8486212249")</f>
        <v>8486212249</v>
      </c>
      <c r="K6775" s="2" t="str">
        <f ca="1">IFERROR(__xludf.DUMMYFUNCTION("""COMPUTED_VALUE"""),"1762566148732")</f>
        <v>1762566148732</v>
      </c>
    </row>
    <row r="6776" spans="1:11" ht="12.45">
      <c r="A6776" s="2" t="str">
        <f ca="1">IFERROR(__xludf.DUMMYFUNCTION("""COMPUTED_VALUE"""),"1762566178553")</f>
        <v>1762566178553</v>
      </c>
      <c r="B6776" s="2"/>
      <c r="C6776" s="2" t="str">
        <v>0</v>
      </c>
      <c r="D6776" s="2"/>
      <c r="F6776" s="2" t="str">
        <v>0</v>
      </c>
      <c r="I6776" s="3" t="str">
        <f ca="1">IFERROR(__xludf.DUMMYFUNCTION("""COMPUTED_VALUE"""),"Nguyễn Thị Thu Hiền ")</f>
        <v xml:space="preserve">Nguyễn Thị Thu Hiền </v>
      </c>
      <c r="J6776" s="3" t="str">
        <f ca="1">IFERROR(__xludf.DUMMYFUNCTION("""COMPUTED_VALUE"""),"0877325288")</f>
        <v>0877325288</v>
      </c>
      <c r="K6776" s="2" t="str">
        <f ca="1">IFERROR(__xludf.DUMMYFUNCTION("""COMPUTED_VALUE"""),"1762566178553")</f>
        <v>1762566178553</v>
      </c>
    </row>
    <row r="6777" spans="1:11" ht="12.45">
      <c r="A6777" s="2" t="str">
        <f ca="1">IFERROR(__xludf.DUMMYFUNCTION("""COMPUTED_VALUE"""),"1762566210173")</f>
        <v>1762566210173</v>
      </c>
      <c r="B6777" s="2"/>
      <c r="C6777" s="2" t="str">
        <v>0</v>
      </c>
      <c r="D6777" s="2"/>
      <c r="F6777" s="2" t="str">
        <v>0</v>
      </c>
      <c r="I6777" s="3" t="str">
        <f ca="1">IFERROR(__xludf.DUMMYFUNCTION("""COMPUTED_VALUE"""),"Trần Lâm Tâm Như")</f>
        <v>Trần Lâm Tâm Như</v>
      </c>
      <c r="J6777" s="3" t="str">
        <f ca="1">IFERROR(__xludf.DUMMYFUNCTION("""COMPUTED_VALUE"""),"0964654581")</f>
        <v>0964654581</v>
      </c>
      <c r="K6777" s="2" t="str">
        <f ca="1">IFERROR(__xludf.DUMMYFUNCTION("""COMPUTED_VALUE"""),"1762566210173")</f>
        <v>1762566210173</v>
      </c>
    </row>
    <row r="6778" spans="1:11" ht="12.45">
      <c r="A6778" s="2" t="str">
        <f ca="1">IFERROR(__xludf.DUMMYFUNCTION("""COMPUTED_VALUE"""),"1762566252241")</f>
        <v>1762566252241</v>
      </c>
      <c r="B6778" s="2"/>
      <c r="C6778" s="2" t="str">
        <v>0</v>
      </c>
      <c r="D6778" s="2"/>
      <c r="F6778" s="2" t="str">
        <v>0</v>
      </c>
      <c r="I6778" s="3" t="str">
        <f ca="1">IFERROR(__xludf.DUMMYFUNCTION("""COMPUTED_VALUE"""),"Lê Hải Yến")</f>
        <v>Lê Hải Yến</v>
      </c>
      <c r="J6778" s="3" t="str">
        <f ca="1">IFERROR(__xludf.DUMMYFUNCTION("""COMPUTED_VALUE"""),"0855978889")</f>
        <v>0855978889</v>
      </c>
      <c r="K6778" s="2" t="str">
        <f ca="1">IFERROR(__xludf.DUMMYFUNCTION("""COMPUTED_VALUE"""),"1762566252241")</f>
        <v>1762566252241</v>
      </c>
    </row>
    <row r="6779" spans="1:11" ht="12.45">
      <c r="A6779" s="2" t="str">
        <f ca="1">IFERROR(__xludf.DUMMYFUNCTION("""COMPUTED_VALUE"""),"1762566283079")</f>
        <v>1762566283079</v>
      </c>
      <c r="B6779" s="2"/>
      <c r="C6779" s="2" t="str">
        <v>0</v>
      </c>
      <c r="D6779" s="2"/>
      <c r="F6779" s="2" t="str">
        <v>0</v>
      </c>
      <c r="I6779" s="3" t="str">
        <f ca="1">IFERROR(__xludf.DUMMYFUNCTION("""COMPUTED_VALUE"""),"Đoàn Phương Linh ")</f>
        <v xml:space="preserve">Đoàn Phương Linh </v>
      </c>
      <c r="J6779" s="3" t="str">
        <f ca="1">IFERROR(__xludf.DUMMYFUNCTION("""COMPUTED_VALUE"""),"0379887767")</f>
        <v>0379887767</v>
      </c>
      <c r="K6779" s="2" t="str">
        <f ca="1">IFERROR(__xludf.DUMMYFUNCTION("""COMPUTED_VALUE"""),"1762566283079")</f>
        <v>1762566283079</v>
      </c>
    </row>
    <row r="6780" spans="1:11" ht="12.45">
      <c r="A6780" s="2" t="str">
        <f ca="1">IFERROR(__xludf.DUMMYFUNCTION("""COMPUTED_VALUE"""),"Không giao sách")</f>
        <v>Không giao sách</v>
      </c>
      <c r="B6780" s="2"/>
      <c r="C6780" s="2" t="str">
        <v>0</v>
      </c>
      <c r="D6780" s="2"/>
      <c r="F6780" s="2" t="str">
        <v>0</v>
      </c>
      <c r="I6780" s="3" t="str">
        <f ca="1">IFERROR(__xludf.DUMMYFUNCTION("""COMPUTED_VALUE"""),"Nguyễn Phương Anh")</f>
        <v>Nguyễn Phương Anh</v>
      </c>
      <c r="J6780" s="3" t="str">
        <f ca="1">IFERROR(__xludf.DUMMYFUNCTION("""COMPUTED_VALUE"""),"0382062419")</f>
        <v>0382062419</v>
      </c>
      <c r="K6780" s="2" t="str">
        <f ca="1">IFERROR(__xludf.DUMMYFUNCTION("""COMPUTED_VALUE"""),"Không giao sách")</f>
        <v>Không giao sách</v>
      </c>
    </row>
    <row r="6781" spans="1:11" ht="12.45">
      <c r="A6781" s="2" t="str">
        <f ca="1">IFERROR(__xludf.DUMMYFUNCTION("""COMPUTED_VALUE"""),"1762566318307")</f>
        <v>1762566318307</v>
      </c>
      <c r="B6781" s="2"/>
      <c r="C6781" s="2" t="str">
        <v>0</v>
      </c>
      <c r="D6781" s="2"/>
      <c r="F6781" s="2" t="str">
        <v>0</v>
      </c>
      <c r="I6781" s="3" t="str">
        <f ca="1">IFERROR(__xludf.DUMMYFUNCTION("""COMPUTED_VALUE"""),"Võ Thị Văn Anh")</f>
        <v>Võ Thị Văn Anh</v>
      </c>
      <c r="J6781" s="3" t="str">
        <f ca="1">IFERROR(__xludf.DUMMYFUNCTION("""COMPUTED_VALUE"""),"0834551581")</f>
        <v>0834551581</v>
      </c>
      <c r="K6781" s="2" t="str">
        <f ca="1">IFERROR(__xludf.DUMMYFUNCTION("""COMPUTED_VALUE"""),"1762566318307")</f>
        <v>1762566318307</v>
      </c>
    </row>
    <row r="6782" spans="1:11" ht="12.45">
      <c r="A6782" s="2" t="str">
        <f ca="1">IFERROR(__xludf.DUMMYFUNCTION("""COMPUTED_VALUE"""),"1762566369883")</f>
        <v>1762566369883</v>
      </c>
      <c r="B6782" s="2"/>
      <c r="C6782" s="2" t="str">
        <v>0</v>
      </c>
      <c r="D6782" s="2"/>
      <c r="F6782" s="2" t="str">
        <v>0</v>
      </c>
      <c r="I6782" s="3" t="str">
        <f ca="1">IFERROR(__xludf.DUMMYFUNCTION("""COMPUTED_VALUE"""),"Trần Ngọc Linh")</f>
        <v>Trần Ngọc Linh</v>
      </c>
      <c r="J6782" s="3" t="str">
        <f ca="1">IFERROR(__xludf.DUMMYFUNCTION("""COMPUTED_VALUE"""),"0387628751")</f>
        <v>0387628751</v>
      </c>
      <c r="K6782" s="2" t="str">
        <f ca="1">IFERROR(__xludf.DUMMYFUNCTION("""COMPUTED_VALUE"""),"1762566369883")</f>
        <v>1762566369883</v>
      </c>
    </row>
    <row r="6783" spans="1:11" ht="12.45">
      <c r="A6783" s="2" t="str">
        <f ca="1">IFERROR(__xludf.DUMMYFUNCTION("""COMPUTED_VALUE"""),"1762566442230")</f>
        <v>1762566442230</v>
      </c>
      <c r="B6783" s="2"/>
      <c r="C6783" s="2" t="str">
        <v>0</v>
      </c>
      <c r="D6783" s="2"/>
      <c r="F6783" s="2" t="str">
        <v>0</v>
      </c>
      <c r="I6783" s="3" t="str">
        <f ca="1">IFERROR(__xludf.DUMMYFUNCTION("""COMPUTED_VALUE"""),"Vũ Thanh Hằng")</f>
        <v>Vũ Thanh Hằng</v>
      </c>
      <c r="J6783" s="3" t="str">
        <f ca="1">IFERROR(__xludf.DUMMYFUNCTION("""COMPUTED_VALUE"""),"0986454242")</f>
        <v>0986454242</v>
      </c>
      <c r="K6783" s="2" t="str">
        <f ca="1">IFERROR(__xludf.DUMMYFUNCTION("""COMPUTED_VALUE"""),"1762566442230")</f>
        <v>1762566442230</v>
      </c>
    </row>
    <row r="6784" spans="1:11" ht="12.45">
      <c r="A6784" s="2" t="str">
        <f ca="1">IFERROR(__xludf.DUMMYFUNCTION("""COMPUTED_VALUE"""),"1762566523177")</f>
        <v>1762566523177</v>
      </c>
      <c r="B6784" s="2"/>
      <c r="C6784" s="2" t="str">
        <v>0</v>
      </c>
      <c r="D6784" s="2"/>
      <c r="F6784" s="2" t="str">
        <v>0</v>
      </c>
      <c r="I6784" s="3" t="str">
        <f ca="1">IFERROR(__xludf.DUMMYFUNCTION("""COMPUTED_VALUE"""),"Phạm Hoàng Phương Nhi")</f>
        <v>Phạm Hoàng Phương Nhi</v>
      </c>
      <c r="J6784" s="3" t="str">
        <f ca="1">IFERROR(__xludf.DUMMYFUNCTION("""COMPUTED_VALUE"""),"0917019858")</f>
        <v>0917019858</v>
      </c>
      <c r="K6784" s="2" t="str">
        <f ca="1">IFERROR(__xludf.DUMMYFUNCTION("""COMPUTED_VALUE"""),"1762566523177")</f>
        <v>1762566523177</v>
      </c>
    </row>
    <row r="6785" spans="1:11" ht="12.45">
      <c r="A6785" s="2" t="str">
        <f ca="1">IFERROR(__xludf.DUMMYFUNCTION("""COMPUTED_VALUE"""),"1762566568532")</f>
        <v>1762566568532</v>
      </c>
      <c r="B6785" s="2"/>
      <c r="C6785" s="2" t="str">
        <v>0</v>
      </c>
      <c r="D6785" s="2"/>
      <c r="F6785" s="2" t="str">
        <v>0</v>
      </c>
      <c r="I6785" s="3" t="str">
        <f ca="1">IFERROR(__xludf.DUMMYFUNCTION("""COMPUTED_VALUE"""),"Trịnh Thi Hân")</f>
        <v>Trịnh Thi Hân</v>
      </c>
      <c r="J6785" s="3" t="str">
        <f ca="1">IFERROR(__xludf.DUMMYFUNCTION("""COMPUTED_VALUE"""),"0979072023")</f>
        <v>0979072023</v>
      </c>
      <c r="K6785" s="2" t="str">
        <f ca="1">IFERROR(__xludf.DUMMYFUNCTION("""COMPUTED_VALUE"""),"1762566568532")</f>
        <v>1762566568532</v>
      </c>
    </row>
    <row r="6786" spans="1:11" ht="12.45">
      <c r="A6786" s="2" t="str">
        <f ca="1">IFERROR(__xludf.DUMMYFUNCTION("""COMPUTED_VALUE"""),"1762566613160")</f>
        <v>1762566613160</v>
      </c>
      <c r="B6786" s="2"/>
      <c r="C6786" s="2" t="str">
        <v>0</v>
      </c>
      <c r="D6786" s="2"/>
      <c r="F6786" s="2" t="str">
        <v>0</v>
      </c>
      <c r="I6786" s="3" t="str">
        <f ca="1">IFERROR(__xludf.DUMMYFUNCTION("""COMPUTED_VALUE"""),"Nguyễn Ngọc Mai")</f>
        <v>Nguyễn Ngọc Mai</v>
      </c>
      <c r="J6786" s="3" t="str">
        <f ca="1">IFERROR(__xludf.DUMMYFUNCTION("""COMPUTED_VALUE"""),"0972848806")</f>
        <v>0972848806</v>
      </c>
      <c r="K6786" s="2" t="str">
        <f ca="1">IFERROR(__xludf.DUMMYFUNCTION("""COMPUTED_VALUE"""),"1762566613160")</f>
        <v>1762566613160</v>
      </c>
    </row>
    <row r="6787" spans="1:11" ht="12.45">
      <c r="A6787" s="2" t="str">
        <f ca="1">IFERROR(__xludf.DUMMYFUNCTION("""COMPUTED_VALUE"""),"1762566690143")</f>
        <v>1762566690143</v>
      </c>
      <c r="B6787" s="2"/>
      <c r="C6787" s="2" t="str">
        <v>0</v>
      </c>
      <c r="D6787" s="2"/>
      <c r="F6787" s="2" t="str">
        <v>0</v>
      </c>
      <c r="I6787" s="3" t="str">
        <f ca="1">IFERROR(__xludf.DUMMYFUNCTION("""COMPUTED_VALUE"""),"Đinh Văn Quang")</f>
        <v>Đinh Văn Quang</v>
      </c>
      <c r="J6787" s="3" t="str">
        <f ca="1">IFERROR(__xludf.DUMMYFUNCTION("""COMPUTED_VALUE"""),"0362244734")</f>
        <v>0362244734</v>
      </c>
      <c r="K6787" s="2" t="str">
        <f ca="1">IFERROR(__xludf.DUMMYFUNCTION("""COMPUTED_VALUE"""),"1762566690143")</f>
        <v>1762566690143</v>
      </c>
    </row>
    <row r="6788" spans="1:11" ht="12.45">
      <c r="A6788" s="2" t="str">
        <f ca="1">IFERROR(__xludf.DUMMYFUNCTION("""COMPUTED_VALUE"""),"1762566765126")</f>
        <v>1762566765126</v>
      </c>
      <c r="B6788" s="2"/>
      <c r="C6788" s="2" t="str">
        <v>0</v>
      </c>
      <c r="D6788" s="2"/>
      <c r="F6788" s="2" t="str">
        <v>0</v>
      </c>
      <c r="I6788" s="3" t="str">
        <f ca="1">IFERROR(__xludf.DUMMYFUNCTION("""COMPUTED_VALUE"""),"Trần Thị Thu Hiền")</f>
        <v>Trần Thị Thu Hiền</v>
      </c>
      <c r="J6788" s="3" t="str">
        <f ca="1">IFERROR(__xludf.DUMMYFUNCTION("""COMPUTED_VALUE"""),"0868183466")</f>
        <v>0868183466</v>
      </c>
      <c r="K6788" s="2" t="str">
        <f ca="1">IFERROR(__xludf.DUMMYFUNCTION("""COMPUTED_VALUE"""),"1762566765126")</f>
        <v>1762566765126</v>
      </c>
    </row>
    <row r="6789" spans="1:11" ht="12.45">
      <c r="A6789" s="2" t="str">
        <f ca="1">IFERROR(__xludf.DUMMYFUNCTION("""COMPUTED_VALUE"""),"1756812149534")</f>
        <v>1756812149534</v>
      </c>
      <c r="B6789" s="2"/>
      <c r="C6789" s="2" t="str">
        <v>0</v>
      </c>
      <c r="D6789" s="2"/>
      <c r="F6789" s="2" t="str">
        <v>0</v>
      </c>
      <c r="I6789" s="3" t="str">
        <f ca="1">IFERROR(__xludf.DUMMYFUNCTION("""COMPUTED_VALUE"""),"Huỳnh Lý Khả My")</f>
        <v>Huỳnh Lý Khả My</v>
      </c>
      <c r="J6789" s="3" t="str">
        <f ca="1">IFERROR(__xludf.DUMMYFUNCTION("""COMPUTED_VALUE"""),"0977718669")</f>
        <v>0977718669</v>
      </c>
      <c r="K6789" s="2" t="str">
        <f ca="1">IFERROR(__xludf.DUMMYFUNCTION("""COMPUTED_VALUE"""),"1756812149534")</f>
        <v>1756812149534</v>
      </c>
    </row>
    <row r="6790" spans="1:11" ht="12.45">
      <c r="A6790" s="2" t="str">
        <f ca="1">IFERROR(__xludf.DUMMYFUNCTION("""COMPUTED_VALUE"""),"1762566799857")</f>
        <v>1762566799857</v>
      </c>
      <c r="B6790" s="2"/>
      <c r="C6790" s="2" t="str">
        <v>0</v>
      </c>
      <c r="D6790" s="2"/>
      <c r="F6790" s="2" t="str">
        <v>0</v>
      </c>
      <c r="I6790" s="3" t="str">
        <f ca="1">IFERROR(__xludf.DUMMYFUNCTION("""COMPUTED_VALUE"""),"Nguyễn Thị Phương Ly")</f>
        <v>Nguyễn Thị Phương Ly</v>
      </c>
      <c r="J6790" s="3" t="str">
        <f ca="1">IFERROR(__xludf.DUMMYFUNCTION("""COMPUTED_VALUE"""),"0384408135")</f>
        <v>0384408135</v>
      </c>
      <c r="K6790" s="2" t="str">
        <f ca="1">IFERROR(__xludf.DUMMYFUNCTION("""COMPUTED_VALUE"""),"1762566799857")</f>
        <v>1762566799857</v>
      </c>
    </row>
    <row r="6791" spans="1:11" ht="12.45">
      <c r="A6791" s="2" t="str">
        <f ca="1">IFERROR(__xludf.DUMMYFUNCTION("""COMPUTED_VALUE"""),"1762566841179")</f>
        <v>1762566841179</v>
      </c>
      <c r="B6791" s="2"/>
      <c r="C6791" s="2" t="str">
        <v>0</v>
      </c>
      <c r="D6791" s="2"/>
      <c r="F6791" s="2" t="str">
        <v>0</v>
      </c>
      <c r="I6791" s="3" t="str">
        <f ca="1">IFERROR(__xludf.DUMMYFUNCTION("""COMPUTED_VALUE"""),"Phan Việt Xuân")</f>
        <v>Phan Việt Xuân</v>
      </c>
      <c r="J6791" s="3" t="str">
        <f ca="1">IFERROR(__xludf.DUMMYFUNCTION("""COMPUTED_VALUE"""),"0357423635")</f>
        <v>0357423635</v>
      </c>
      <c r="K6791" s="2" t="str">
        <f ca="1">IFERROR(__xludf.DUMMYFUNCTION("""COMPUTED_VALUE"""),"1762566841179")</f>
        <v>1762566841179</v>
      </c>
    </row>
    <row r="6792" spans="1:11" ht="12.45">
      <c r="A6792" s="2" t="str">
        <f ca="1">IFERROR(__xludf.DUMMYFUNCTION("""COMPUTED_VALUE"""),"1762566884403")</f>
        <v>1762566884403</v>
      </c>
      <c r="B6792" s="2"/>
      <c r="C6792" s="2" t="str">
        <v>0</v>
      </c>
      <c r="D6792" s="2"/>
      <c r="F6792" s="2" t="str">
        <v>0</v>
      </c>
      <c r="I6792" s="3" t="str">
        <f ca="1">IFERROR(__xludf.DUMMYFUNCTION("""COMPUTED_VALUE"""),"Trần Thảo Vy")</f>
        <v>Trần Thảo Vy</v>
      </c>
      <c r="J6792" s="3" t="str">
        <f ca="1">IFERROR(__xludf.DUMMYFUNCTION("""COMPUTED_VALUE"""),"0984722374")</f>
        <v>0984722374</v>
      </c>
      <c r="K6792" s="2" t="str">
        <f ca="1">IFERROR(__xludf.DUMMYFUNCTION("""COMPUTED_VALUE"""),"1762566884403")</f>
        <v>1762566884403</v>
      </c>
    </row>
    <row r="6793" spans="1:11" ht="12.45">
      <c r="A6793" s="2" t="str">
        <f ca="1">IFERROR(__xludf.DUMMYFUNCTION("""COMPUTED_VALUE"""),"1762566943125")</f>
        <v>1762566943125</v>
      </c>
      <c r="B6793" s="2"/>
      <c r="C6793" s="2" t="str">
        <v>0</v>
      </c>
      <c r="D6793" s="2"/>
      <c r="F6793" s="2" t="str">
        <v>0</v>
      </c>
      <c r="I6793" s="3" t="str">
        <f ca="1">IFERROR(__xludf.DUMMYFUNCTION("""COMPUTED_VALUE"""),"Huỳnh Chí Hùng Anh")</f>
        <v>Huỳnh Chí Hùng Anh</v>
      </c>
      <c r="J6793" s="3" t="str">
        <f ca="1">IFERROR(__xludf.DUMMYFUNCTION("""COMPUTED_VALUE"""),"0913068254")</f>
        <v>0913068254</v>
      </c>
      <c r="K6793" s="2" t="str">
        <f ca="1">IFERROR(__xludf.DUMMYFUNCTION("""COMPUTED_VALUE"""),"1762566943125")</f>
        <v>1762566943125</v>
      </c>
    </row>
    <row r="6794" spans="1:11" ht="12.45">
      <c r="A6794" s="2" t="str">
        <f ca="1">IFERROR(__xludf.DUMMYFUNCTION("""COMPUTED_VALUE"""),"1762566977420")</f>
        <v>1762566977420</v>
      </c>
      <c r="B6794" s="2"/>
      <c r="C6794" s="2" t="str">
        <v>0</v>
      </c>
      <c r="D6794" s="2"/>
      <c r="F6794" s="2" t="str">
        <v>0</v>
      </c>
      <c r="I6794" s="3" t="str">
        <f ca="1">IFERROR(__xludf.DUMMYFUNCTION("""COMPUTED_VALUE"""),"Vũ Lệ Quyên")</f>
        <v>Vũ Lệ Quyên</v>
      </c>
      <c r="J6794" s="3" t="str">
        <f ca="1">IFERROR(__xludf.DUMMYFUNCTION("""COMPUTED_VALUE"""),"0377545074")</f>
        <v>0377545074</v>
      </c>
      <c r="K6794" s="2" t="str">
        <f ca="1">IFERROR(__xludf.DUMMYFUNCTION("""COMPUTED_VALUE"""),"1762566977420")</f>
        <v>1762566977420</v>
      </c>
    </row>
    <row r="6795" spans="1:11" ht="12.45">
      <c r="A6795" s="2" t="str">
        <f ca="1">IFERROR(__xludf.DUMMYFUNCTION("""COMPUTED_VALUE"""),"1762567077577")</f>
        <v>1762567077577</v>
      </c>
      <c r="B6795" s="2"/>
      <c r="C6795" s="2" t="str">
        <v>0</v>
      </c>
      <c r="D6795" s="2"/>
      <c r="F6795" s="2" t="str">
        <v>0</v>
      </c>
      <c r="I6795" s="3" t="str">
        <f ca="1">IFERROR(__xludf.DUMMYFUNCTION("""COMPUTED_VALUE"""),"Nguyễn Ngọc Hạ My")</f>
        <v>Nguyễn Ngọc Hạ My</v>
      </c>
      <c r="J6795" s="3" t="str">
        <f ca="1">IFERROR(__xludf.DUMMYFUNCTION("""COMPUTED_VALUE"""),"0763848907")</f>
        <v>0763848907</v>
      </c>
      <c r="K6795" s="2" t="str">
        <f ca="1">IFERROR(__xludf.DUMMYFUNCTION("""COMPUTED_VALUE"""),"1762567077577")</f>
        <v>1762567077577</v>
      </c>
    </row>
    <row r="6796" spans="1:11" ht="12.45">
      <c r="A6796" s="2" t="str">
        <f ca="1">IFERROR(__xludf.DUMMYFUNCTION("""COMPUTED_VALUE"""),"1762567121392")</f>
        <v>1762567121392</v>
      </c>
      <c r="B6796" s="2"/>
      <c r="C6796" s="2" t="str">
        <v>0</v>
      </c>
      <c r="D6796" s="2"/>
      <c r="F6796" s="2" t="str">
        <v>0</v>
      </c>
      <c r="I6796" s="3" t="str">
        <f ca="1">IFERROR(__xludf.DUMMYFUNCTION("""COMPUTED_VALUE"""),"Trần Thị Quỳnh Anh")</f>
        <v>Trần Thị Quỳnh Anh</v>
      </c>
      <c r="J6796" s="3" t="str">
        <f ca="1">IFERROR(__xludf.DUMMYFUNCTION("""COMPUTED_VALUE"""),"0902950449")</f>
        <v>0902950449</v>
      </c>
      <c r="K6796" s="2" t="str">
        <f ca="1">IFERROR(__xludf.DUMMYFUNCTION("""COMPUTED_VALUE"""),"1762567121392")</f>
        <v>1762567121392</v>
      </c>
    </row>
    <row r="6797" spans="1:11" ht="12.45">
      <c r="A6797" s="2" t="str">
        <f ca="1">IFERROR(__xludf.DUMMYFUNCTION("""COMPUTED_VALUE"""),"1762567166622")</f>
        <v>1762567166622</v>
      </c>
      <c r="B6797" s="2"/>
      <c r="C6797" s="2" t="str">
        <v>0</v>
      </c>
      <c r="D6797" s="2"/>
      <c r="F6797" s="2" t="str">
        <v>0</v>
      </c>
      <c r="I6797" s="3" t="str">
        <f ca="1">IFERROR(__xludf.DUMMYFUNCTION("""COMPUTED_VALUE"""),"Lê Nguyệt Hà ")</f>
        <v xml:space="preserve">Lê Nguyệt Hà </v>
      </c>
      <c r="J6797" s="3" t="str">
        <f ca="1">IFERROR(__xludf.DUMMYFUNCTION("""COMPUTED_VALUE"""),"0816582108")</f>
        <v>0816582108</v>
      </c>
      <c r="K6797" s="2" t="str">
        <f ca="1">IFERROR(__xludf.DUMMYFUNCTION("""COMPUTED_VALUE"""),"1762567166622")</f>
        <v>1762567166622</v>
      </c>
    </row>
    <row r="6798" spans="1:11" ht="12.45">
      <c r="A6798" s="2" t="str">
        <f ca="1">IFERROR(__xludf.DUMMYFUNCTION("""COMPUTED_VALUE"""),"1762567200502")</f>
        <v>1762567200502</v>
      </c>
      <c r="B6798" s="2"/>
      <c r="C6798" s="2" t="str">
        <v>0</v>
      </c>
      <c r="D6798" s="2"/>
      <c r="F6798" s="2" t="str">
        <v>0</v>
      </c>
      <c r="I6798" s="3" t="str">
        <f ca="1">IFERROR(__xludf.DUMMYFUNCTION("""COMPUTED_VALUE"""),"Lê Như Ý")</f>
        <v>Lê Như Ý</v>
      </c>
      <c r="J6798" s="3" t="str">
        <f ca="1">IFERROR(__xludf.DUMMYFUNCTION("""COMPUTED_VALUE"""),"0854016577")</f>
        <v>0854016577</v>
      </c>
      <c r="K6798" s="2" t="str">
        <f ca="1">IFERROR(__xludf.DUMMYFUNCTION("""COMPUTED_VALUE"""),"1762567200502")</f>
        <v>1762567200502</v>
      </c>
    </row>
    <row r="6799" spans="1:11" ht="12.45">
      <c r="A6799" s="2" t="str">
        <f ca="1">IFERROR(__xludf.DUMMYFUNCTION("""COMPUTED_VALUE"""),"1763378310113")</f>
        <v>1763378310113</v>
      </c>
      <c r="B6799" s="2"/>
      <c r="C6799" s="2" t="str">
        <v>0</v>
      </c>
      <c r="D6799" s="2"/>
      <c r="F6799" s="2" t="str">
        <v>0</v>
      </c>
      <c r="I6799" s="3" t="str">
        <f ca="1">IFERROR(__xludf.DUMMYFUNCTION("""COMPUTED_VALUE"""),"NGÔ THUỲ DƯƠNG ")</f>
        <v xml:space="preserve">NGÔ THUỲ DƯƠNG </v>
      </c>
      <c r="J6799" s="3" t="str">
        <f ca="1">IFERROR(__xludf.DUMMYFUNCTION("""COMPUTED_VALUE"""),"0347549522")</f>
        <v>0347549522</v>
      </c>
      <c r="K6799" s="2" t="str">
        <f ca="1">IFERROR(__xludf.DUMMYFUNCTION("""COMPUTED_VALUE"""),"1763378310113")</f>
        <v>1763378310113</v>
      </c>
    </row>
    <row r="6800" spans="1:11" ht="12.45">
      <c r="A6800" s="2" t="str">
        <f ca="1">IFERROR(__xludf.DUMMYFUNCTION("""COMPUTED_VALUE"""),"1762567237784")</f>
        <v>1762567237784</v>
      </c>
      <c r="B6800" s="2"/>
      <c r="C6800" s="2" t="str">
        <v>0</v>
      </c>
      <c r="D6800" s="2"/>
      <c r="F6800" s="2" t="str">
        <v>0</v>
      </c>
      <c r="I6800" s="3" t="str">
        <f ca="1">IFERROR(__xludf.DUMMYFUNCTION("""COMPUTED_VALUE"""),"Nguyễn Minh Anh")</f>
        <v>Nguyễn Minh Anh</v>
      </c>
      <c r="J6800" s="3" t="str">
        <f ca="1">IFERROR(__xludf.DUMMYFUNCTION("""COMPUTED_VALUE"""),"0325882953")</f>
        <v>0325882953</v>
      </c>
      <c r="K6800" s="2" t="str">
        <f ca="1">IFERROR(__xludf.DUMMYFUNCTION("""COMPUTED_VALUE"""),"1762567237784")</f>
        <v>1762567237784</v>
      </c>
    </row>
    <row r="6801" spans="1:11" ht="12.45">
      <c r="A6801" s="2" t="str">
        <f ca="1">IFERROR(__xludf.DUMMYFUNCTION("""COMPUTED_VALUE"""),"1762567275244")</f>
        <v>1762567275244</v>
      </c>
      <c r="B6801" s="2"/>
      <c r="C6801" s="2" t="str">
        <v>0</v>
      </c>
      <c r="D6801" s="2"/>
      <c r="F6801" s="2" t="str">
        <v>0</v>
      </c>
      <c r="I6801" s="3" t="str">
        <f ca="1">IFERROR(__xludf.DUMMYFUNCTION("""COMPUTED_VALUE"""),"Vũ Hải Đăng")</f>
        <v>Vũ Hải Đăng</v>
      </c>
      <c r="J6801" s="3" t="str">
        <f ca="1">IFERROR(__xludf.DUMMYFUNCTION("""COMPUTED_VALUE"""),"0917698473")</f>
        <v>0917698473</v>
      </c>
      <c r="K6801" s="2" t="str">
        <f ca="1">IFERROR(__xludf.DUMMYFUNCTION("""COMPUTED_VALUE"""),"1762567275244")</f>
        <v>1762567275244</v>
      </c>
    </row>
    <row r="6802" spans="1:11" ht="12.45">
      <c r="A6802" s="2" t="str">
        <f ca="1">IFERROR(__xludf.DUMMYFUNCTION("""COMPUTED_VALUE"""),"1763185639102")</f>
        <v>1763185639102</v>
      </c>
      <c r="B6802" s="2"/>
      <c r="C6802" s="2" t="str">
        <v>0</v>
      </c>
      <c r="D6802" s="2"/>
      <c r="F6802" s="2" t="str">
        <v>0</v>
      </c>
      <c r="I6802" s="3" t="str">
        <f ca="1">IFERROR(__xludf.DUMMYFUNCTION("""COMPUTED_VALUE"""),"Lưu Thị Minh Hằng")</f>
        <v>Lưu Thị Minh Hằng</v>
      </c>
      <c r="J6802" s="3" t="str">
        <f ca="1">IFERROR(__xludf.DUMMYFUNCTION("""COMPUTED_VALUE"""),"0857707269")</f>
        <v>0857707269</v>
      </c>
      <c r="K6802" s="2" t="str">
        <f ca="1">IFERROR(__xludf.DUMMYFUNCTION("""COMPUTED_VALUE"""),"1763185639102")</f>
        <v>1763185639102</v>
      </c>
    </row>
    <row r="6803" spans="1:11" ht="12.45">
      <c r="A6803" s="2" t="str">
        <f ca="1">IFERROR(__xludf.DUMMYFUNCTION("""COMPUTED_VALUE"""),"1756812227146")</f>
        <v>1756812227146</v>
      </c>
      <c r="B6803" s="2"/>
      <c r="C6803" s="2" t="str">
        <v>0</v>
      </c>
      <c r="D6803" s="2"/>
      <c r="F6803" s="2" t="str">
        <v>0</v>
      </c>
      <c r="I6803" s="3" t="str">
        <f ca="1">IFERROR(__xludf.DUMMYFUNCTION("""COMPUTED_VALUE"""),"Phạm Thị Thảo Trang")</f>
        <v>Phạm Thị Thảo Trang</v>
      </c>
      <c r="J6803" s="3" t="str">
        <f ca="1">IFERROR(__xludf.DUMMYFUNCTION("""COMPUTED_VALUE"""),"0899244223")</f>
        <v>0899244223</v>
      </c>
      <c r="K6803" s="2" t="str">
        <f ca="1">IFERROR(__xludf.DUMMYFUNCTION("""COMPUTED_VALUE"""),"1756812227146")</f>
        <v>1756812227146</v>
      </c>
    </row>
    <row r="6804" spans="1:11" ht="12.45">
      <c r="A6804" s="2" t="str">
        <f ca="1">IFERROR(__xludf.DUMMYFUNCTION("""COMPUTED_VALUE"""),"1756812342280")</f>
        <v>1756812342280</v>
      </c>
      <c r="B6804" s="2"/>
      <c r="C6804" s="2" t="str">
        <v>0</v>
      </c>
      <c r="D6804" s="2"/>
      <c r="F6804" s="2" t="str">
        <v>0</v>
      </c>
      <c r="I6804" s="3" t="str">
        <f ca="1">IFERROR(__xludf.DUMMYFUNCTION("""COMPUTED_VALUE"""),"Phạm Thị Khánh Ly")</f>
        <v>Phạm Thị Khánh Ly</v>
      </c>
      <c r="J6804" s="3" t="str">
        <f ca="1">IFERROR(__xludf.DUMMYFUNCTION("""COMPUTED_VALUE"""),"0373359665")</f>
        <v>0373359665</v>
      </c>
      <c r="K6804" s="2" t="str">
        <f ca="1">IFERROR(__xludf.DUMMYFUNCTION("""COMPUTED_VALUE"""),"1756812342280")</f>
        <v>1756812342280</v>
      </c>
    </row>
    <row r="6805" spans="1:11" ht="12.45">
      <c r="A6805" s="2" t="str">
        <f ca="1">IFERROR(__xludf.DUMMYFUNCTION("""COMPUTED_VALUE"""),"1756812414313")</f>
        <v>1756812414313</v>
      </c>
      <c r="B6805" s="2"/>
      <c r="C6805" s="2" t="str">
        <v>0</v>
      </c>
      <c r="D6805" s="2"/>
      <c r="F6805" s="2" t="str">
        <v>0</v>
      </c>
      <c r="I6805" s="3" t="str">
        <f ca="1">IFERROR(__xludf.DUMMYFUNCTION("""COMPUTED_VALUE"""),"Trần Minh Triết")</f>
        <v>Trần Minh Triết</v>
      </c>
      <c r="J6805" s="3" t="str">
        <f ca="1">IFERROR(__xludf.DUMMYFUNCTION("""COMPUTED_VALUE"""),"0898598312")</f>
        <v>0898598312</v>
      </c>
      <c r="K6805" s="2" t="str">
        <f ca="1">IFERROR(__xludf.DUMMYFUNCTION("""COMPUTED_VALUE"""),"1756812414313")</f>
        <v>1756812414313</v>
      </c>
    </row>
    <row r="6806" spans="1:11" ht="12.45">
      <c r="A6806" s="2" t="str">
        <f ca="1">IFERROR(__xludf.DUMMYFUNCTION("""COMPUTED_VALUE"""),"1756812463131")</f>
        <v>1756812463131</v>
      </c>
      <c r="B6806" s="2"/>
      <c r="C6806" s="2" t="str">
        <v>0</v>
      </c>
      <c r="D6806" s="2"/>
      <c r="F6806" s="2" t="str">
        <v>0</v>
      </c>
      <c r="I6806" s="3" t="str">
        <f ca="1">IFERROR(__xludf.DUMMYFUNCTION("""COMPUTED_VALUE"""),"Đinh Nguyễn Gia Hân ")</f>
        <v xml:space="preserve">Đinh Nguyễn Gia Hân </v>
      </c>
      <c r="J6806" s="3" t="str">
        <f ca="1">IFERROR(__xludf.DUMMYFUNCTION("""COMPUTED_VALUE"""),"0868529837")</f>
        <v>0868529837</v>
      </c>
      <c r="K6806" s="2" t="str">
        <f ca="1">IFERROR(__xludf.DUMMYFUNCTION("""COMPUTED_VALUE"""),"1756812463131")</f>
        <v>1756812463131</v>
      </c>
    </row>
    <row r="6807" spans="1:11" ht="12.45">
      <c r="A6807" s="2" t="str">
        <f ca="1">IFERROR(__xludf.DUMMYFUNCTION("""COMPUTED_VALUE"""),"Không giao sách")</f>
        <v>Không giao sách</v>
      </c>
      <c r="B6807" s="2"/>
      <c r="C6807" s="2" t="str">
        <v>0</v>
      </c>
      <c r="D6807" s="2"/>
      <c r="F6807" s="2" t="str">
        <v>0</v>
      </c>
      <c r="I6807" s="3" t="str">
        <f ca="1">IFERROR(__xludf.DUMMYFUNCTION("""COMPUTED_VALUE"""),"Nguyễn thị nhã anh")</f>
        <v>Nguyễn thị nhã anh</v>
      </c>
      <c r="J6807" s="3" t="str">
        <f ca="1">IFERROR(__xludf.DUMMYFUNCTION("""COMPUTED_VALUE"""),"0922147815")</f>
        <v>0922147815</v>
      </c>
      <c r="K6807" s="2" t="str">
        <f ca="1">IFERROR(__xludf.DUMMYFUNCTION("""COMPUTED_VALUE"""),"Không giao sách")</f>
        <v>Không giao sách</v>
      </c>
    </row>
    <row r="6808" spans="1:11" ht="12.45">
      <c r="A6808" s="2" t="str">
        <f ca="1">IFERROR(__xludf.DUMMYFUNCTION("""COMPUTED_VALUE"""),"1756812517519")</f>
        <v>1756812517519</v>
      </c>
      <c r="B6808" s="2"/>
      <c r="C6808" s="2" t="str">
        <v>0</v>
      </c>
      <c r="D6808" s="2"/>
      <c r="F6808" s="2" t="str">
        <v>0</v>
      </c>
      <c r="I6808" s="3" t="str">
        <f ca="1">IFERROR(__xludf.DUMMYFUNCTION("""COMPUTED_VALUE"""),"Lê Trần Mai Anh")</f>
        <v>Lê Trần Mai Anh</v>
      </c>
      <c r="J6808" s="3" t="str">
        <f ca="1">IFERROR(__xludf.DUMMYFUNCTION("""COMPUTED_VALUE"""),"0382535372")</f>
        <v>0382535372</v>
      </c>
      <c r="K6808" s="2" t="str">
        <f ca="1">IFERROR(__xludf.DUMMYFUNCTION("""COMPUTED_VALUE"""),"1756812517519")</f>
        <v>1756812517519</v>
      </c>
    </row>
    <row r="6809" spans="1:11" ht="12.45">
      <c r="A6809" s="2" t="str">
        <f ca="1">IFERROR(__xludf.DUMMYFUNCTION("""COMPUTED_VALUE"""),"1756812576042")</f>
        <v>1756812576042</v>
      </c>
      <c r="B6809" s="2"/>
      <c r="C6809" s="2" t="str">
        <v>0</v>
      </c>
      <c r="D6809" s="2"/>
      <c r="F6809" s="2" t="str">
        <v>0</v>
      </c>
      <c r="I6809" s="3" t="str">
        <f ca="1">IFERROR(__xludf.DUMMYFUNCTION("""COMPUTED_VALUE"""),"Phạm Diệu Linh ")</f>
        <v xml:space="preserve">Phạm Diệu Linh </v>
      </c>
      <c r="J6809" s="3" t="str">
        <f ca="1">IFERROR(__xludf.DUMMYFUNCTION("""COMPUTED_VALUE"""),"0855567782")</f>
        <v>0855567782</v>
      </c>
      <c r="K6809" s="2" t="str">
        <f ca="1">IFERROR(__xludf.DUMMYFUNCTION("""COMPUTED_VALUE"""),"1756812576042")</f>
        <v>1756812576042</v>
      </c>
    </row>
    <row r="6810" spans="1:11" ht="12.45">
      <c r="A6810" s="2" t="str">
        <f ca="1">IFERROR(__xludf.DUMMYFUNCTION("""COMPUTED_VALUE"""),"1756812613548")</f>
        <v>1756812613548</v>
      </c>
      <c r="B6810" s="2"/>
      <c r="C6810" s="2" t="str">
        <v>0</v>
      </c>
      <c r="D6810" s="2"/>
      <c r="F6810" s="2" t="str">
        <v>0</v>
      </c>
      <c r="I6810" s="3" t="str">
        <f ca="1">IFERROR(__xludf.DUMMYFUNCTION("""COMPUTED_VALUE"""),"Vũ Thùy Linh")</f>
        <v>Vũ Thùy Linh</v>
      </c>
      <c r="J6810" s="3" t="str">
        <f ca="1">IFERROR(__xludf.DUMMYFUNCTION("""COMPUTED_VALUE"""),"0335290907")</f>
        <v>0335290907</v>
      </c>
      <c r="K6810" s="2" t="str">
        <f ca="1">IFERROR(__xludf.DUMMYFUNCTION("""COMPUTED_VALUE"""),"1756812613548")</f>
        <v>1756812613548</v>
      </c>
    </row>
    <row r="6811" spans="1:11" ht="12.45">
      <c r="A6811" s="2" t="str">
        <f ca="1">IFERROR(__xludf.DUMMYFUNCTION("""COMPUTED_VALUE"""),"1756812653505")</f>
        <v>1756812653505</v>
      </c>
      <c r="B6811" s="2"/>
      <c r="C6811" s="2" t="str">
        <v>0</v>
      </c>
      <c r="D6811" s="2"/>
      <c r="F6811" s="2" t="str">
        <v>0</v>
      </c>
      <c r="I6811" s="3" t="str">
        <f ca="1">IFERROR(__xludf.DUMMYFUNCTION("""COMPUTED_VALUE"""),"Trần Võ Khánh Ly ")</f>
        <v xml:space="preserve">Trần Võ Khánh Ly </v>
      </c>
      <c r="J6811" s="3" t="str">
        <f ca="1">IFERROR(__xludf.DUMMYFUNCTION("""COMPUTED_VALUE"""),"0365780589")</f>
        <v>0365780589</v>
      </c>
      <c r="K6811" s="2" t="str">
        <f ca="1">IFERROR(__xludf.DUMMYFUNCTION("""COMPUTED_VALUE"""),"1756812653505")</f>
        <v>1756812653505</v>
      </c>
    </row>
    <row r="6812" spans="1:11" ht="12.45">
      <c r="A6812" s="2" t="str">
        <f ca="1">IFERROR(__xludf.DUMMYFUNCTION("""COMPUTED_VALUE"""),"1756812688044")</f>
        <v>1756812688044</v>
      </c>
      <c r="B6812" s="2"/>
      <c r="C6812" s="2" t="str">
        <v>0</v>
      </c>
      <c r="D6812" s="2"/>
      <c r="F6812" s="2" t="str">
        <v>0</v>
      </c>
      <c r="I6812" s="3" t="str">
        <f ca="1">IFERROR(__xludf.DUMMYFUNCTION("""COMPUTED_VALUE"""),"Nguyễn huyền my")</f>
        <v>Nguyễn huyền my</v>
      </c>
      <c r="J6812" s="3" t="str">
        <f ca="1">IFERROR(__xludf.DUMMYFUNCTION("""COMPUTED_VALUE"""),"0986646704")</f>
        <v>0986646704</v>
      </c>
      <c r="K6812" s="2" t="str">
        <f ca="1">IFERROR(__xludf.DUMMYFUNCTION("""COMPUTED_VALUE"""),"1756812688044")</f>
        <v>1756812688044</v>
      </c>
    </row>
    <row r="6813" spans="1:11" ht="12.45">
      <c r="A6813" s="2" t="str">
        <f ca="1">IFERROR(__xludf.DUMMYFUNCTION("""COMPUTED_VALUE"""),"1763540686202")</f>
        <v>1763540686202</v>
      </c>
      <c r="B6813" s="2"/>
      <c r="C6813" s="2" t="str">
        <v>0</v>
      </c>
      <c r="D6813" s="2"/>
      <c r="F6813" s="2" t="str">
        <v>0</v>
      </c>
      <c r="I6813" s="3" t="str">
        <f ca="1">IFERROR(__xludf.DUMMYFUNCTION("""COMPUTED_VALUE"""),"Nguyễn Trần Bảo Ngọc")</f>
        <v>Nguyễn Trần Bảo Ngọc</v>
      </c>
      <c r="J6813" s="3" t="str">
        <f ca="1">IFERROR(__xludf.DUMMYFUNCTION("""COMPUTED_VALUE"""),"0812711086")</f>
        <v>0812711086</v>
      </c>
      <c r="K6813" s="2" t="str">
        <f ca="1">IFERROR(__xludf.DUMMYFUNCTION("""COMPUTED_VALUE"""),"1763540686202")</f>
        <v>1763540686202</v>
      </c>
    </row>
    <row r="6814" spans="1:11" ht="12.45">
      <c r="A6814" s="2" t="str">
        <f ca="1">IFERROR(__xludf.DUMMYFUNCTION("""COMPUTED_VALUE"""),"1756812741824")</f>
        <v>1756812741824</v>
      </c>
      <c r="B6814" s="2"/>
      <c r="C6814" s="2" t="str">
        <v>0</v>
      </c>
      <c r="D6814" s="2"/>
      <c r="F6814" s="2" t="str">
        <v>0</v>
      </c>
      <c r="I6814" s="3" t="str">
        <f ca="1">IFERROR(__xludf.DUMMYFUNCTION("""COMPUTED_VALUE"""),"Đỗ Ngọc Thúy Vy")</f>
        <v>Đỗ Ngọc Thúy Vy</v>
      </c>
      <c r="J6814" s="3" t="str">
        <f ca="1">IFERROR(__xludf.DUMMYFUNCTION("""COMPUTED_VALUE"""),"0335177357")</f>
        <v>0335177357</v>
      </c>
      <c r="K6814" s="2" t="str">
        <f ca="1">IFERROR(__xludf.DUMMYFUNCTION("""COMPUTED_VALUE"""),"1756812741824")</f>
        <v>1756812741824</v>
      </c>
    </row>
    <row r="6815" spans="1:11" ht="12.45">
      <c r="A6815" s="2" t="str">
        <f ca="1">IFERROR(__xludf.DUMMYFUNCTION("""COMPUTED_VALUE"""),"1756812782739")</f>
        <v>1756812782739</v>
      </c>
      <c r="B6815" s="2"/>
      <c r="C6815" s="2" t="str">
        <v>0</v>
      </c>
      <c r="D6815" s="2"/>
      <c r="F6815" s="2" t="str">
        <v>0</v>
      </c>
      <c r="I6815" s="3" t="str">
        <f ca="1">IFERROR(__xludf.DUMMYFUNCTION("""COMPUTED_VALUE"""),"Ngô Quỳnh Trang")</f>
        <v>Ngô Quỳnh Trang</v>
      </c>
      <c r="J6815" s="3" t="str">
        <f ca="1">IFERROR(__xludf.DUMMYFUNCTION("""COMPUTED_VALUE"""),"0385386318")</f>
        <v>0385386318</v>
      </c>
      <c r="K6815" s="2" t="str">
        <f ca="1">IFERROR(__xludf.DUMMYFUNCTION("""COMPUTED_VALUE"""),"1756812782739")</f>
        <v>1756812782739</v>
      </c>
    </row>
    <row r="6816" spans="1:11" ht="12.45">
      <c r="A6816" s="2" t="str">
        <f ca="1">IFERROR(__xludf.DUMMYFUNCTION("""COMPUTED_VALUE"""),"1756812838611")</f>
        <v>1756812838611</v>
      </c>
      <c r="B6816" s="2"/>
      <c r="C6816" s="2" t="str">
        <v>0</v>
      </c>
      <c r="D6816" s="2"/>
      <c r="F6816" s="2" t="str">
        <v>0</v>
      </c>
      <c r="I6816" s="3" t="str">
        <f ca="1">IFERROR(__xludf.DUMMYFUNCTION("""COMPUTED_VALUE"""),"Lương Thị Thủy ")</f>
        <v xml:space="preserve">Lương Thị Thủy </v>
      </c>
      <c r="J6816" s="3" t="str">
        <f ca="1">IFERROR(__xludf.DUMMYFUNCTION("""COMPUTED_VALUE"""),"0816363774")</f>
        <v>0816363774</v>
      </c>
      <c r="K6816" s="2" t="str">
        <f ca="1">IFERROR(__xludf.DUMMYFUNCTION("""COMPUTED_VALUE"""),"1756812838611")</f>
        <v>1756812838611</v>
      </c>
    </row>
    <row r="6817" spans="1:11" ht="12.45">
      <c r="A6817" s="2" t="str">
        <f ca="1">IFERROR(__xludf.DUMMYFUNCTION("""COMPUTED_VALUE"""),"1756812905044")</f>
        <v>1756812905044</v>
      </c>
      <c r="B6817" s="2"/>
      <c r="C6817" s="2" t="str">
        <v>0</v>
      </c>
      <c r="D6817" s="2"/>
      <c r="F6817" s="2" t="str">
        <v>0</v>
      </c>
      <c r="I6817" s="3" t="str">
        <f ca="1">IFERROR(__xludf.DUMMYFUNCTION("""COMPUTED_VALUE"""),"Dương Phạm Quỳnh Giang")</f>
        <v>Dương Phạm Quỳnh Giang</v>
      </c>
      <c r="J6817" s="3" t="str">
        <f ca="1">IFERROR(__xludf.DUMMYFUNCTION("""COMPUTED_VALUE"""),"0966595449")</f>
        <v>0966595449</v>
      </c>
      <c r="K6817" s="2" t="str">
        <f ca="1">IFERROR(__xludf.DUMMYFUNCTION("""COMPUTED_VALUE"""),"1756812905044")</f>
        <v>1756812905044</v>
      </c>
    </row>
    <row r="6818" spans="1:11" ht="12.45">
      <c r="A6818" s="2" t="str">
        <f ca="1">IFERROR(__xludf.DUMMYFUNCTION("""COMPUTED_VALUE"""),"1756812957799")</f>
        <v>1756812957799</v>
      </c>
      <c r="B6818" s="2"/>
      <c r="C6818" s="2" t="str">
        <v>0</v>
      </c>
      <c r="D6818" s="2"/>
      <c r="F6818" s="2" t="str">
        <v>0</v>
      </c>
      <c r="I6818" s="3" t="str">
        <f ca="1">IFERROR(__xludf.DUMMYFUNCTION("""COMPUTED_VALUE"""),"Trương quỳnh anh ")</f>
        <v xml:space="preserve">Trương quỳnh anh </v>
      </c>
      <c r="J6818" s="3" t="str">
        <f ca="1">IFERROR(__xludf.DUMMYFUNCTION("""COMPUTED_VALUE"""),"0769455559")</f>
        <v>0769455559</v>
      </c>
      <c r="K6818" s="2" t="str">
        <f ca="1">IFERROR(__xludf.DUMMYFUNCTION("""COMPUTED_VALUE"""),"1756812957799")</f>
        <v>1756812957799</v>
      </c>
    </row>
    <row r="6819" spans="1:11" ht="12.45">
      <c r="A6819" s="2" t="str">
        <f ca="1">IFERROR(__xludf.DUMMYFUNCTION("""COMPUTED_VALUE"""),"1756813001547")</f>
        <v>1756813001547</v>
      </c>
      <c r="B6819" s="2"/>
      <c r="C6819" s="2" t="str">
        <v>0</v>
      </c>
      <c r="D6819" s="2"/>
      <c r="F6819" s="2" t="str">
        <v>0</v>
      </c>
      <c r="I6819" s="3" t="str">
        <f ca="1">IFERROR(__xludf.DUMMYFUNCTION("""COMPUTED_VALUE"""),"Hà Thuỳ Trang")</f>
        <v>Hà Thuỳ Trang</v>
      </c>
      <c r="J6819" s="3" t="str">
        <f ca="1">IFERROR(__xludf.DUMMYFUNCTION("""COMPUTED_VALUE"""),"0364990134")</f>
        <v>0364990134</v>
      </c>
      <c r="K6819" s="2" t="str">
        <f ca="1">IFERROR(__xludf.DUMMYFUNCTION("""COMPUTED_VALUE"""),"1756813001547")</f>
        <v>1756813001547</v>
      </c>
    </row>
    <row r="6820" spans="1:11" ht="12.45">
      <c r="A6820" s="2" t="str">
        <f ca="1">IFERROR(__xludf.DUMMYFUNCTION("""COMPUTED_VALUE"""),"Không giao sách")</f>
        <v>Không giao sách</v>
      </c>
      <c r="B6820" s="2"/>
      <c r="C6820" s="2" t="str">
        <v>0</v>
      </c>
      <c r="D6820" s="2"/>
      <c r="F6820" s="2" t="str">
        <v>0</v>
      </c>
      <c r="I6820" s="3" t="str">
        <f ca="1">IFERROR(__xludf.DUMMYFUNCTION("""COMPUTED_VALUE"""),"Chu Thị Thúy Nga")</f>
        <v>Chu Thị Thúy Nga</v>
      </c>
      <c r="J6820" s="3" t="str">
        <f ca="1">IFERROR(__xludf.DUMMYFUNCTION("""COMPUTED_VALUE"""),"0376633506")</f>
        <v>0376633506</v>
      </c>
      <c r="K6820" s="2" t="str">
        <f ca="1">IFERROR(__xludf.DUMMYFUNCTION("""COMPUTED_VALUE"""),"Không giao sách")</f>
        <v>Không giao sách</v>
      </c>
    </row>
    <row r="6821" spans="1:11" ht="12.45">
      <c r="A6821" s="2" t="str">
        <f ca="1">IFERROR(__xludf.DUMMYFUNCTION("""COMPUTED_VALUE"""),"1756813056223")</f>
        <v>1756813056223</v>
      </c>
      <c r="B6821" s="2"/>
      <c r="C6821" s="2" t="str">
        <v>0</v>
      </c>
      <c r="D6821" s="2"/>
      <c r="F6821" s="2" t="str">
        <v>0</v>
      </c>
      <c r="I6821" s="3" t="str">
        <f ca="1">IFERROR(__xludf.DUMMYFUNCTION("""COMPUTED_VALUE"""),"Hoàng Thị Hồng Hạnh")</f>
        <v>Hoàng Thị Hồng Hạnh</v>
      </c>
      <c r="J6821" s="3" t="str">
        <f ca="1">IFERROR(__xludf.DUMMYFUNCTION("""COMPUTED_VALUE"""),"0972843920")</f>
        <v>0972843920</v>
      </c>
      <c r="K6821" s="2" t="str">
        <f ca="1">IFERROR(__xludf.DUMMYFUNCTION("""COMPUTED_VALUE"""),"1756813056223")</f>
        <v>1756813056223</v>
      </c>
    </row>
    <row r="6822" spans="1:11" ht="12.45">
      <c r="A6822" s="2" t="str">
        <f ca="1">IFERROR(__xludf.DUMMYFUNCTION("""COMPUTED_VALUE"""),"1756813116402")</f>
        <v>1756813116402</v>
      </c>
      <c r="B6822" s="2"/>
      <c r="C6822" s="2" t="str">
        <v>0</v>
      </c>
      <c r="D6822" s="2"/>
      <c r="F6822" s="2" t="str">
        <v>0</v>
      </c>
      <c r="I6822" s="3" t="str">
        <f ca="1">IFERROR(__xludf.DUMMYFUNCTION("""COMPUTED_VALUE"""),"Bùi Ngọc Linh")</f>
        <v>Bùi Ngọc Linh</v>
      </c>
      <c r="J6822" s="3" t="str">
        <f ca="1">IFERROR(__xludf.DUMMYFUNCTION("""COMPUTED_VALUE"""),"0387709663")</f>
        <v>0387709663</v>
      </c>
      <c r="K6822" s="2" t="str">
        <f ca="1">IFERROR(__xludf.DUMMYFUNCTION("""COMPUTED_VALUE"""),"1756813116402")</f>
        <v>1756813116402</v>
      </c>
    </row>
    <row r="6823" spans="1:11" ht="12.45">
      <c r="A6823" s="2" t="str">
        <f ca="1">IFERROR(__xludf.DUMMYFUNCTION("""COMPUTED_VALUE"""),"1756813184747")</f>
        <v>1756813184747</v>
      </c>
      <c r="B6823" s="2"/>
      <c r="C6823" s="2" t="str">
        <v>0</v>
      </c>
      <c r="D6823" s="2"/>
      <c r="F6823" s="2" t="str">
        <v>0</v>
      </c>
      <c r="I6823" s="3" t="str">
        <f ca="1">IFERROR(__xludf.DUMMYFUNCTION("""COMPUTED_VALUE"""),"Bùi Khánh Uyên")</f>
        <v>Bùi Khánh Uyên</v>
      </c>
      <c r="J6823" s="3" t="str">
        <f ca="1">IFERROR(__xludf.DUMMYFUNCTION("""COMPUTED_VALUE"""),"0819805239")</f>
        <v>0819805239</v>
      </c>
      <c r="K6823" s="2" t="str">
        <f ca="1">IFERROR(__xludf.DUMMYFUNCTION("""COMPUTED_VALUE"""),"1756813184747")</f>
        <v>1756813184747</v>
      </c>
    </row>
    <row r="6824" spans="1:11" ht="12.45">
      <c r="A6824" s="2" t="str">
        <f ca="1">IFERROR(__xludf.DUMMYFUNCTION("""COMPUTED_VALUE"""),"1756813227920")</f>
        <v>1756813227920</v>
      </c>
      <c r="B6824" s="2"/>
      <c r="C6824" s="2" t="str">
        <v>0</v>
      </c>
      <c r="D6824" s="2"/>
      <c r="F6824" s="2" t="str">
        <v>0</v>
      </c>
      <c r="I6824" s="3" t="str">
        <f ca="1">IFERROR(__xludf.DUMMYFUNCTION("""COMPUTED_VALUE"""),"Lê Trà Vy")</f>
        <v>Lê Trà Vy</v>
      </c>
      <c r="J6824" s="3" t="str">
        <f ca="1">IFERROR(__xludf.DUMMYFUNCTION("""COMPUTED_VALUE"""),"0925022431")</f>
        <v>0925022431</v>
      </c>
      <c r="K6824" s="2" t="str">
        <f ca="1">IFERROR(__xludf.DUMMYFUNCTION("""COMPUTED_VALUE"""),"1756813227920")</f>
        <v>1756813227920</v>
      </c>
    </row>
    <row r="6825" spans="1:11" ht="12.45">
      <c r="A6825" s="2" t="str">
        <f ca="1">IFERROR(__xludf.DUMMYFUNCTION("""COMPUTED_VALUE"""),"1756813272914")</f>
        <v>1756813272914</v>
      </c>
      <c r="B6825" s="2"/>
      <c r="C6825" s="2" t="str">
        <v>0</v>
      </c>
      <c r="D6825" s="2"/>
      <c r="F6825" s="2" t="str">
        <v>0</v>
      </c>
      <c r="I6825" s="3" t="str">
        <f ca="1">IFERROR(__xludf.DUMMYFUNCTION("""COMPUTED_VALUE"""),"Đào Thị Ngọc Lan")</f>
        <v>Đào Thị Ngọc Lan</v>
      </c>
      <c r="J6825" s="3" t="str">
        <f ca="1">IFERROR(__xludf.DUMMYFUNCTION("""COMPUTED_VALUE"""),"0983463942")</f>
        <v>0983463942</v>
      </c>
      <c r="K6825" s="2" t="str">
        <f ca="1">IFERROR(__xludf.DUMMYFUNCTION("""COMPUTED_VALUE"""),"1756813272914")</f>
        <v>1756813272914</v>
      </c>
    </row>
    <row r="6826" spans="1:11" ht="12.45">
      <c r="A6826" s="2" t="str">
        <f ca="1">IFERROR(__xludf.DUMMYFUNCTION("""COMPUTED_VALUE"""),"1756813329483")</f>
        <v>1756813329483</v>
      </c>
      <c r="B6826" s="2"/>
      <c r="C6826" s="2" t="str">
        <v>0</v>
      </c>
      <c r="D6826" s="2"/>
      <c r="F6826" s="2" t="str">
        <v>0</v>
      </c>
      <c r="I6826" s="3" t="str">
        <f ca="1">IFERROR(__xludf.DUMMYFUNCTION("""COMPUTED_VALUE"""),"Lê Thị Luyến")</f>
        <v>Lê Thị Luyến</v>
      </c>
      <c r="J6826" s="3" t="str">
        <f ca="1">IFERROR(__xludf.DUMMYFUNCTION("""COMPUTED_VALUE"""),"0365124617")</f>
        <v>0365124617</v>
      </c>
      <c r="K6826" s="2" t="str">
        <f ca="1">IFERROR(__xludf.DUMMYFUNCTION("""COMPUTED_VALUE"""),"1756813329483")</f>
        <v>1756813329483</v>
      </c>
    </row>
    <row r="6827" spans="1:11" ht="12.45">
      <c r="A6827" s="2" t="str">
        <f ca="1">IFERROR(__xludf.DUMMYFUNCTION("""COMPUTED_VALUE"""),"1756813423667")</f>
        <v>1756813423667</v>
      </c>
      <c r="B6827" s="2"/>
      <c r="C6827" s="2" t="str">
        <v>0</v>
      </c>
      <c r="D6827" s="2"/>
      <c r="F6827" s="2" t="str">
        <v>0</v>
      </c>
      <c r="I6827" s="3" t="str">
        <f ca="1">IFERROR(__xludf.DUMMYFUNCTION("""COMPUTED_VALUE"""),"Nguyễn Khánh Ly")</f>
        <v>Nguyễn Khánh Ly</v>
      </c>
      <c r="J6827" s="3" t="str">
        <f ca="1">IFERROR(__xludf.DUMMYFUNCTION("""COMPUTED_VALUE"""),"0382580294")</f>
        <v>0382580294</v>
      </c>
      <c r="K6827" s="2" t="str">
        <f ca="1">IFERROR(__xludf.DUMMYFUNCTION("""COMPUTED_VALUE"""),"1756813423667")</f>
        <v>1756813423667</v>
      </c>
    </row>
    <row r="6828" spans="1:11" ht="12.45">
      <c r="A6828" s="2" t="str">
        <f ca="1">IFERROR(__xludf.DUMMYFUNCTION("""COMPUTED_VALUE"""),"1756813505326")</f>
        <v>1756813505326</v>
      </c>
      <c r="B6828" s="2"/>
      <c r="C6828" s="2" t="str">
        <v>0</v>
      </c>
      <c r="D6828" s="2"/>
      <c r="F6828" s="2" t="str">
        <v>0</v>
      </c>
      <c r="I6828" s="3" t="str">
        <f ca="1">IFERROR(__xludf.DUMMYFUNCTION("""COMPUTED_VALUE"""),"Đinh Thị Quỳnh Như")</f>
        <v>Đinh Thị Quỳnh Như</v>
      </c>
      <c r="J6828" s="3" t="str">
        <f ca="1">IFERROR(__xludf.DUMMYFUNCTION("""COMPUTED_VALUE"""),"0948509836")</f>
        <v>0948509836</v>
      </c>
      <c r="K6828" s="2" t="str">
        <f ca="1">IFERROR(__xludf.DUMMYFUNCTION("""COMPUTED_VALUE"""),"1756813505326")</f>
        <v>1756813505326</v>
      </c>
    </row>
    <row r="6829" spans="1:11" ht="12.45">
      <c r="A6829" s="2" t="str">
        <f ca="1">IFERROR(__xludf.DUMMYFUNCTION("""COMPUTED_VALUE"""),"1756813573156")</f>
        <v>1756813573156</v>
      </c>
      <c r="B6829" s="2"/>
      <c r="C6829" s="2" t="str">
        <v>0</v>
      </c>
      <c r="D6829" s="2"/>
      <c r="F6829" s="2" t="str">
        <v>0</v>
      </c>
      <c r="I6829" s="3" t="str">
        <f ca="1">IFERROR(__xludf.DUMMYFUNCTION("""COMPUTED_VALUE"""),"Lê Hương Giang")</f>
        <v>Lê Hương Giang</v>
      </c>
      <c r="J6829" s="3" t="str">
        <f ca="1">IFERROR(__xludf.DUMMYFUNCTION("""COMPUTED_VALUE"""),"0335527337")</f>
        <v>0335527337</v>
      </c>
      <c r="K6829" s="2" t="str">
        <f ca="1">IFERROR(__xludf.DUMMYFUNCTION("""COMPUTED_VALUE"""),"1756813573156")</f>
        <v>1756813573156</v>
      </c>
    </row>
    <row r="6830" spans="1:11" ht="12.45">
      <c r="A6830" s="2" t="str">
        <f ca="1">IFERROR(__xludf.DUMMYFUNCTION("""COMPUTED_VALUE"""),"1756813628185")</f>
        <v>1756813628185</v>
      </c>
      <c r="B6830" s="2"/>
      <c r="C6830" s="2" t="str">
        <v>0</v>
      </c>
      <c r="D6830" s="2"/>
      <c r="F6830" s="2" t="str">
        <v>0</v>
      </c>
      <c r="I6830" s="3" t="str">
        <f ca="1">IFERROR(__xludf.DUMMYFUNCTION("""COMPUTED_VALUE"""),"Nguyễn Thị Ngọc Anh")</f>
        <v>Nguyễn Thị Ngọc Anh</v>
      </c>
      <c r="J6830" s="3" t="str">
        <f ca="1">IFERROR(__xludf.DUMMYFUNCTION("""COMPUTED_VALUE"""),"0373072207")</f>
        <v>0373072207</v>
      </c>
      <c r="K6830" s="2" t="str">
        <f ca="1">IFERROR(__xludf.DUMMYFUNCTION("""COMPUTED_VALUE"""),"1756813628185")</f>
        <v>1756813628185</v>
      </c>
    </row>
    <row r="6831" spans="1:11" ht="12.45">
      <c r="A6831" s="2" t="str">
        <f ca="1">IFERROR(__xludf.DUMMYFUNCTION("""COMPUTED_VALUE"""),"1756813692770")</f>
        <v>1756813692770</v>
      </c>
      <c r="B6831" s="2"/>
      <c r="C6831" s="2" t="str">
        <v>0</v>
      </c>
      <c r="D6831" s="2"/>
      <c r="F6831" s="2" t="str">
        <v>0</v>
      </c>
      <c r="I6831" s="3" t="str">
        <f ca="1">IFERROR(__xludf.DUMMYFUNCTION("""COMPUTED_VALUE"""),"Lê Phương Thảo")</f>
        <v>Lê Phương Thảo</v>
      </c>
      <c r="J6831" s="3" t="str">
        <f ca="1">IFERROR(__xludf.DUMMYFUNCTION("""COMPUTED_VALUE"""),"0933647175")</f>
        <v>0933647175</v>
      </c>
      <c r="K6831" s="2" t="str">
        <f ca="1">IFERROR(__xludf.DUMMYFUNCTION("""COMPUTED_VALUE"""),"1756813692770")</f>
        <v>1756813692770</v>
      </c>
    </row>
    <row r="6832" spans="1:11" ht="12.45">
      <c r="A6832" s="2" t="str">
        <f ca="1">IFERROR(__xludf.DUMMYFUNCTION("""COMPUTED_VALUE"""),"1756813735654")</f>
        <v>1756813735654</v>
      </c>
      <c r="B6832" s="2"/>
      <c r="C6832" s="2" t="str">
        <v>0</v>
      </c>
      <c r="D6832" s="2"/>
      <c r="F6832" s="2" t="str">
        <v>0</v>
      </c>
      <c r="I6832" s="3" t="str">
        <f ca="1">IFERROR(__xludf.DUMMYFUNCTION("""COMPUTED_VALUE"""),"Phạm phương thảo ")</f>
        <v xml:space="preserve">Phạm phương thảo </v>
      </c>
      <c r="J6832" s="3" t="str">
        <f ca="1">IFERROR(__xludf.DUMMYFUNCTION("""COMPUTED_VALUE"""),"0904983708")</f>
        <v>0904983708</v>
      </c>
      <c r="K6832" s="2" t="str">
        <f ca="1">IFERROR(__xludf.DUMMYFUNCTION("""COMPUTED_VALUE"""),"1756813735654")</f>
        <v>1756813735654</v>
      </c>
    </row>
    <row r="6833" spans="1:11" ht="12.45">
      <c r="A6833" s="2" t="str">
        <f ca="1">IFERROR(__xludf.DUMMYFUNCTION("""COMPUTED_VALUE"""),"1756813774803")</f>
        <v>1756813774803</v>
      </c>
      <c r="B6833" s="2"/>
      <c r="C6833" s="2" t="str">
        <v>0</v>
      </c>
      <c r="D6833" s="2"/>
      <c r="F6833" s="2" t="str">
        <v>0</v>
      </c>
      <c r="I6833" s="3" t="str">
        <f ca="1">IFERROR(__xludf.DUMMYFUNCTION("""COMPUTED_VALUE"""),"Lý Thị Bích")</f>
        <v>Lý Thị Bích</v>
      </c>
      <c r="J6833" s="3" t="str">
        <f ca="1">IFERROR(__xludf.DUMMYFUNCTION("""COMPUTED_VALUE"""),"0328588936")</f>
        <v>0328588936</v>
      </c>
      <c r="K6833" s="2" t="str">
        <f ca="1">IFERROR(__xludf.DUMMYFUNCTION("""COMPUTED_VALUE"""),"1756813774803")</f>
        <v>1756813774803</v>
      </c>
    </row>
    <row r="6834" spans="1:11" ht="12.45">
      <c r="A6834" s="2" t="str">
        <f ca="1">IFERROR(__xludf.DUMMYFUNCTION("""COMPUTED_VALUE"""),"1756813813482")</f>
        <v>1756813813482</v>
      </c>
      <c r="B6834" s="2"/>
      <c r="C6834" s="2" t="str">
        <v>0</v>
      </c>
      <c r="D6834" s="2"/>
      <c r="F6834" s="2" t="str">
        <v>0</v>
      </c>
      <c r="I6834" s="3" t="str">
        <f ca="1">IFERROR(__xludf.DUMMYFUNCTION("""COMPUTED_VALUE"""),"Mai Kiều Chinh")</f>
        <v>Mai Kiều Chinh</v>
      </c>
      <c r="J6834" s="3" t="str">
        <f ca="1">IFERROR(__xludf.DUMMYFUNCTION("""COMPUTED_VALUE"""),"0963955038")</f>
        <v>0963955038</v>
      </c>
      <c r="K6834" s="2" t="str">
        <f ca="1">IFERROR(__xludf.DUMMYFUNCTION("""COMPUTED_VALUE"""),"1756813813482")</f>
        <v>1756813813482</v>
      </c>
    </row>
    <row r="6835" spans="1:11" ht="12.45">
      <c r="A6835" s="2" t="str">
        <f ca="1">IFERROR(__xludf.DUMMYFUNCTION("""COMPUTED_VALUE"""),"1756813867187")</f>
        <v>1756813867187</v>
      </c>
      <c r="B6835" s="2"/>
      <c r="C6835" s="2" t="str">
        <v>0</v>
      </c>
      <c r="D6835" s="2"/>
      <c r="F6835" s="2" t="str">
        <v>0</v>
      </c>
      <c r="I6835" s="3" t="str">
        <f ca="1">IFERROR(__xludf.DUMMYFUNCTION("""COMPUTED_VALUE"""),"Nguyễn Thị Thanh Tâm")</f>
        <v>Nguyễn Thị Thanh Tâm</v>
      </c>
      <c r="J6835" s="3" t="str">
        <f ca="1">IFERROR(__xludf.DUMMYFUNCTION("""COMPUTED_VALUE"""),"0961149084")</f>
        <v>0961149084</v>
      </c>
      <c r="K6835" s="2" t="str">
        <f ca="1">IFERROR(__xludf.DUMMYFUNCTION("""COMPUTED_VALUE"""),"1756813867187")</f>
        <v>1756813867187</v>
      </c>
    </row>
    <row r="6836" spans="1:11" ht="12.45">
      <c r="A6836" s="2" t="str">
        <f ca="1">IFERROR(__xludf.DUMMYFUNCTION("""COMPUTED_VALUE"""),"1756813933145")</f>
        <v>1756813933145</v>
      </c>
      <c r="B6836" s="2"/>
      <c r="C6836" s="2" t="str">
        <v>0</v>
      </c>
      <c r="D6836" s="2"/>
      <c r="F6836" s="2" t="str">
        <v>0</v>
      </c>
      <c r="I6836" s="3" t="str">
        <f ca="1">IFERROR(__xludf.DUMMYFUNCTION("""COMPUTED_VALUE"""),"Nguyễn thị thuỳ trang")</f>
        <v>Nguyễn thị thuỳ trang</v>
      </c>
      <c r="J6836" s="3" t="str">
        <f ca="1">IFERROR(__xludf.DUMMYFUNCTION("""COMPUTED_VALUE"""),"0385696501")</f>
        <v>0385696501</v>
      </c>
      <c r="K6836" s="2" t="str">
        <f ca="1">IFERROR(__xludf.DUMMYFUNCTION("""COMPUTED_VALUE"""),"1756813933145")</f>
        <v>1756813933145</v>
      </c>
    </row>
    <row r="6837" spans="1:11" ht="12.45">
      <c r="A6837" s="2" t="str">
        <f ca="1">IFERROR(__xludf.DUMMYFUNCTION("""COMPUTED_VALUE"""),"1756813980063")</f>
        <v>1756813980063</v>
      </c>
      <c r="B6837" s="2"/>
      <c r="C6837" s="2" t="str">
        <v>0</v>
      </c>
      <c r="D6837" s="2"/>
      <c r="F6837" s="2" t="str">
        <v>0</v>
      </c>
      <c r="I6837" s="3" t="str">
        <f ca="1">IFERROR(__xludf.DUMMYFUNCTION("""COMPUTED_VALUE"""),"Phạm Thị Mai Hoa")</f>
        <v>Phạm Thị Mai Hoa</v>
      </c>
      <c r="J6837" s="3" t="str">
        <f ca="1">IFERROR(__xludf.DUMMYFUNCTION("""COMPUTED_VALUE"""),"0989201854")</f>
        <v>0989201854</v>
      </c>
      <c r="K6837" s="2" t="str">
        <f ca="1">IFERROR(__xludf.DUMMYFUNCTION("""COMPUTED_VALUE"""),"1756813980063")</f>
        <v>1756813980063</v>
      </c>
    </row>
    <row r="6838" spans="1:11" ht="12.45">
      <c r="A6838" s="2" t="str">
        <f ca="1">IFERROR(__xludf.DUMMYFUNCTION("""COMPUTED_VALUE"""),"1756814052217")</f>
        <v>1756814052217</v>
      </c>
      <c r="B6838" s="2"/>
      <c r="C6838" s="2" t="str">
        <v>0</v>
      </c>
      <c r="D6838" s="2"/>
      <c r="F6838" s="2" t="str">
        <v>0</v>
      </c>
      <c r="I6838" s="3" t="str">
        <f ca="1">IFERROR(__xludf.DUMMYFUNCTION("""COMPUTED_VALUE"""),"Vương Như Ngọc ")</f>
        <v xml:space="preserve">Vương Như Ngọc </v>
      </c>
      <c r="J6838" s="3" t="str">
        <f ca="1">IFERROR(__xludf.DUMMYFUNCTION("""COMPUTED_VALUE"""),"0382150258")</f>
        <v>0382150258</v>
      </c>
      <c r="K6838" s="2" t="str">
        <f ca="1">IFERROR(__xludf.DUMMYFUNCTION("""COMPUTED_VALUE"""),"1756814052217")</f>
        <v>1756814052217</v>
      </c>
    </row>
    <row r="6839" spans="1:11" ht="12.45">
      <c r="A6839" s="2" t="str">
        <f ca="1">IFERROR(__xludf.DUMMYFUNCTION("""COMPUTED_VALUE"""),"1756814151116")</f>
        <v>1756814151116</v>
      </c>
      <c r="B6839" s="2"/>
      <c r="C6839" s="2" t="str">
        <v>0</v>
      </c>
      <c r="D6839" s="2"/>
      <c r="F6839" s="2" t="str">
        <v>0</v>
      </c>
      <c r="I6839" s="3" t="str">
        <f ca="1">IFERROR(__xludf.DUMMYFUNCTION("""COMPUTED_VALUE"""),"Bùi Minh Long")</f>
        <v>Bùi Minh Long</v>
      </c>
      <c r="J6839" s="3" t="str">
        <f ca="1">IFERROR(__xludf.DUMMYFUNCTION("""COMPUTED_VALUE"""),"0375975056")</f>
        <v>0375975056</v>
      </c>
      <c r="K6839" s="2" t="str">
        <f ca="1">IFERROR(__xludf.DUMMYFUNCTION("""COMPUTED_VALUE"""),"1756814151116")</f>
        <v>1756814151116</v>
      </c>
    </row>
    <row r="6840" spans="1:11" ht="12.45">
      <c r="A6840" s="2" t="str">
        <f ca="1">IFERROR(__xludf.DUMMYFUNCTION("""COMPUTED_VALUE"""),"1756814218454")</f>
        <v>1756814218454</v>
      </c>
      <c r="B6840" s="2"/>
      <c r="C6840" s="2" t="str">
        <v>0</v>
      </c>
      <c r="D6840" s="2"/>
      <c r="F6840" s="2" t="str">
        <v>0</v>
      </c>
      <c r="I6840" s="3" t="str">
        <f ca="1">IFERROR(__xludf.DUMMYFUNCTION("""COMPUTED_VALUE"""),"Vũ Gia Bảo")</f>
        <v>Vũ Gia Bảo</v>
      </c>
      <c r="J6840" s="3" t="str">
        <f ca="1">IFERROR(__xludf.DUMMYFUNCTION("""COMPUTED_VALUE"""),"0917825668")</f>
        <v>0917825668</v>
      </c>
      <c r="K6840" s="2" t="str">
        <f ca="1">IFERROR(__xludf.DUMMYFUNCTION("""COMPUTED_VALUE"""),"1756814218454")</f>
        <v>1756814218454</v>
      </c>
    </row>
    <row r="6841" spans="1:11" ht="12.45">
      <c r="A6841" s="2" t="str">
        <f ca="1">IFERROR(__xludf.DUMMYFUNCTION("""COMPUTED_VALUE"""),"1756814270872")</f>
        <v>1756814270872</v>
      </c>
      <c r="B6841" s="2"/>
      <c r="C6841" s="2" t="str">
        <v>0</v>
      </c>
      <c r="D6841" s="2"/>
      <c r="F6841" s="2" t="str">
        <v>0</v>
      </c>
      <c r="I6841" s="3" t="str">
        <f ca="1">IFERROR(__xludf.DUMMYFUNCTION("""COMPUTED_VALUE"""),"Tăng Thanh Hà ")</f>
        <v xml:space="preserve">Tăng Thanh Hà </v>
      </c>
      <c r="J6841" s="3" t="str">
        <f ca="1">IFERROR(__xludf.DUMMYFUNCTION("""COMPUTED_VALUE"""),"0369422701")</f>
        <v>0369422701</v>
      </c>
      <c r="K6841" s="2" t="str">
        <f ca="1">IFERROR(__xludf.DUMMYFUNCTION("""COMPUTED_VALUE"""),"1756814270872")</f>
        <v>1756814270872</v>
      </c>
    </row>
    <row r="6842" spans="1:11" ht="12.45">
      <c r="A6842" s="2" t="str">
        <f ca="1">IFERROR(__xludf.DUMMYFUNCTION("""COMPUTED_VALUE"""),"1756814365351")</f>
        <v>1756814365351</v>
      </c>
      <c r="B6842" s="2"/>
      <c r="C6842" s="2" t="str">
        <v>0</v>
      </c>
      <c r="D6842" s="2"/>
      <c r="F6842" s="2" t="str">
        <v>0</v>
      </c>
      <c r="I6842" s="3" t="str">
        <f ca="1">IFERROR(__xludf.DUMMYFUNCTION("""COMPUTED_VALUE"""),"Chu thị hương giang ")</f>
        <v xml:space="preserve">Chu thị hương giang </v>
      </c>
      <c r="J6842" s="3" t="str">
        <f ca="1">IFERROR(__xludf.DUMMYFUNCTION("""COMPUTED_VALUE"""),"0363502733")</f>
        <v>0363502733</v>
      </c>
      <c r="K6842" s="2" t="str">
        <f ca="1">IFERROR(__xludf.DUMMYFUNCTION("""COMPUTED_VALUE"""),"1756814365351")</f>
        <v>1756814365351</v>
      </c>
    </row>
    <row r="6843" spans="1:11" ht="12.45">
      <c r="A6843" s="2" t="str">
        <f ca="1">IFERROR(__xludf.DUMMYFUNCTION("""COMPUTED_VALUE"""),"Không giao sách")</f>
        <v>Không giao sách</v>
      </c>
      <c r="B6843" s="2"/>
      <c r="C6843" s="2" t="str">
        <v>0</v>
      </c>
      <c r="D6843" s="2"/>
      <c r="F6843" s="2" t="str">
        <v>0</v>
      </c>
      <c r="I6843" s="3" t="str">
        <f ca="1">IFERROR(__xludf.DUMMYFUNCTION("""COMPUTED_VALUE"""),"NGUYỄN BẢO ĐĂNG")</f>
        <v>NGUYỄN BẢO ĐĂNG</v>
      </c>
      <c r="J6843" s="3" t="str">
        <f ca="1">IFERROR(__xludf.DUMMYFUNCTION("""COMPUTED_VALUE"""),"0395655487")</f>
        <v>0395655487</v>
      </c>
      <c r="K6843" s="2" t="str">
        <f ca="1">IFERROR(__xludf.DUMMYFUNCTION("""COMPUTED_VALUE"""),"Không giao sách")</f>
        <v>Không giao sách</v>
      </c>
    </row>
    <row r="6844" spans="1:11" ht="12.45">
      <c r="A6844" s="2" t="str">
        <f ca="1">IFERROR(__xludf.DUMMYFUNCTION("""COMPUTED_VALUE"""),"1756814456487")</f>
        <v>1756814456487</v>
      </c>
      <c r="B6844" s="2"/>
      <c r="C6844" s="2" t="str">
        <v>0</v>
      </c>
      <c r="D6844" s="2"/>
      <c r="F6844" s="2" t="str">
        <v>0</v>
      </c>
      <c r="I6844" s="3" t="str">
        <f ca="1">IFERROR(__xludf.DUMMYFUNCTION("""COMPUTED_VALUE"""),"Giàng A Xô")</f>
        <v>Giàng A Xô</v>
      </c>
      <c r="J6844" s="3" t="str">
        <f ca="1">IFERROR(__xludf.DUMMYFUNCTION("""COMPUTED_VALUE"""),"0869596144")</f>
        <v>0869596144</v>
      </c>
      <c r="K6844" s="2" t="str">
        <f ca="1">IFERROR(__xludf.DUMMYFUNCTION("""COMPUTED_VALUE"""),"1756814456487")</f>
        <v>1756814456487</v>
      </c>
    </row>
    <row r="6845" spans="1:11" ht="12.45">
      <c r="A6845" s="2"/>
      <c r="B6845" s="2"/>
      <c r="C6845" s="2" t="str">
        <v>0</v>
      </c>
      <c r="D6845" s="2"/>
      <c r="F6845" s="2" t="str">
        <v>0</v>
      </c>
      <c r="I6845" s="3" t="str">
        <f ca="1">IFERROR(__xludf.DUMMYFUNCTION("""COMPUTED_VALUE"""),"Hồ Nguyễn Anh Thư")</f>
        <v>Hồ Nguyễn Anh Thư</v>
      </c>
      <c r="J6845" s="3" t="str">
        <f ca="1">IFERROR(__xludf.DUMMYFUNCTION("""COMPUTED_VALUE"""),"0342786217")</f>
        <v>0342786217</v>
      </c>
      <c r="K6845" s="2"/>
    </row>
    <row r="6846" spans="1:11" ht="12.45">
      <c r="A6846" s="2" t="str">
        <f ca="1">IFERROR(__xludf.DUMMYFUNCTION("""COMPUTED_VALUE"""),"1756814526210")</f>
        <v>1756814526210</v>
      </c>
      <c r="B6846" s="2"/>
      <c r="C6846" s="2" t="str">
        <v>0</v>
      </c>
      <c r="D6846" s="2"/>
      <c r="F6846" s="2" t="str">
        <v>0</v>
      </c>
      <c r="I6846" s="3" t="str">
        <f ca="1">IFERROR(__xludf.DUMMYFUNCTION("""COMPUTED_VALUE"""),"Nguyễn Đăng Huy")</f>
        <v>Nguyễn Đăng Huy</v>
      </c>
      <c r="J6846" s="3" t="str">
        <f ca="1">IFERROR(__xludf.DUMMYFUNCTION("""COMPUTED_VALUE"""),"0326175682")</f>
        <v>0326175682</v>
      </c>
      <c r="K6846" s="2" t="str">
        <f ca="1">IFERROR(__xludf.DUMMYFUNCTION("""COMPUTED_VALUE"""),"1756814526210")</f>
        <v>1756814526210</v>
      </c>
    </row>
    <row r="6847" spans="1:11" ht="12.45">
      <c r="A6847" s="2" t="str">
        <f ca="1">IFERROR(__xludf.DUMMYFUNCTION("""COMPUTED_VALUE"""),"1756814617029")</f>
        <v>1756814617029</v>
      </c>
      <c r="B6847" s="2"/>
      <c r="C6847" s="2" t="str">
        <v>0</v>
      </c>
      <c r="D6847" s="2"/>
      <c r="F6847" s="2" t="str">
        <v>0</v>
      </c>
      <c r="I6847" s="3" t="str">
        <f ca="1">IFERROR(__xludf.DUMMYFUNCTION("""COMPUTED_VALUE"""),"Nguyễn Ánh Dương")</f>
        <v>Nguyễn Ánh Dương</v>
      </c>
      <c r="J6847" s="3" t="str">
        <f ca="1">IFERROR(__xludf.DUMMYFUNCTION("""COMPUTED_VALUE"""),"0862128326")</f>
        <v>0862128326</v>
      </c>
      <c r="K6847" s="2" t="str">
        <f ca="1">IFERROR(__xludf.DUMMYFUNCTION("""COMPUTED_VALUE"""),"1756814617029")</f>
        <v>1756814617029</v>
      </c>
    </row>
    <row r="6848" spans="1:11" ht="12.45">
      <c r="A6848" s="2" t="str">
        <f ca="1">IFERROR(__xludf.DUMMYFUNCTION("""COMPUTED_VALUE"""),"1756814741316")</f>
        <v>1756814741316</v>
      </c>
      <c r="B6848" s="2"/>
      <c r="C6848" s="2" t="str">
        <v>0</v>
      </c>
      <c r="D6848" s="2"/>
      <c r="F6848" s="2" t="str">
        <v>0</v>
      </c>
      <c r="I6848" s="3" t="str">
        <f ca="1">IFERROR(__xludf.DUMMYFUNCTION("""COMPUTED_VALUE"""),"Teo Li Vy")</f>
        <v>Teo Li Vy</v>
      </c>
      <c r="J6848" s="3" t="str">
        <f ca="1">IFERROR(__xludf.DUMMYFUNCTION("""COMPUTED_VALUE"""),"0901237483")</f>
        <v>0901237483</v>
      </c>
      <c r="K6848" s="2" t="str">
        <f ca="1">IFERROR(__xludf.DUMMYFUNCTION("""COMPUTED_VALUE"""),"1756814741316")</f>
        <v>1756814741316</v>
      </c>
    </row>
    <row r="6849" spans="1:11" ht="12.45">
      <c r="A6849" s="2" t="str">
        <f ca="1">IFERROR(__xludf.DUMMYFUNCTION("""COMPUTED_VALUE"""),"1756814832139")</f>
        <v>1756814832139</v>
      </c>
      <c r="B6849" s="2"/>
      <c r="C6849" s="2" t="str">
        <v>0</v>
      </c>
      <c r="D6849" s="2"/>
      <c r="F6849" s="2" t="str">
        <v>0</v>
      </c>
      <c r="I6849" s="3" t="str">
        <f ca="1">IFERROR(__xludf.DUMMYFUNCTION("""COMPUTED_VALUE"""),"Nguyễn Quân Bảo")</f>
        <v>Nguyễn Quân Bảo</v>
      </c>
      <c r="J6849" s="3" t="str">
        <f ca="1">IFERROR(__xludf.DUMMYFUNCTION("""COMPUTED_VALUE"""),"0383841335")</f>
        <v>0383841335</v>
      </c>
      <c r="K6849" s="2" t="str">
        <f ca="1">IFERROR(__xludf.DUMMYFUNCTION("""COMPUTED_VALUE"""),"1756814832139")</f>
        <v>1756814832139</v>
      </c>
    </row>
    <row r="6850" spans="1:11" ht="12.45">
      <c r="A6850" s="2" t="str">
        <f ca="1">IFERROR(__xludf.DUMMYFUNCTION("""COMPUTED_VALUE"""),"Không giao sách")</f>
        <v>Không giao sách</v>
      </c>
      <c r="B6850" s="2"/>
      <c r="C6850" s="2" t="str">
        <v>0</v>
      </c>
      <c r="D6850" s="2"/>
      <c r="F6850" s="2" t="str">
        <v>0</v>
      </c>
      <c r="I6850" s="3" t="str">
        <f ca="1">IFERROR(__xludf.DUMMYFUNCTION("""COMPUTED_VALUE"""),"Nguyễn Thị Minh Thi ")</f>
        <v xml:space="preserve">Nguyễn Thị Minh Thi </v>
      </c>
      <c r="J6850" s="3" t="str">
        <f ca="1">IFERROR(__xludf.DUMMYFUNCTION("""COMPUTED_VALUE"""),"0377928614")</f>
        <v>0377928614</v>
      </c>
      <c r="K6850" s="2" t="str">
        <f ca="1">IFERROR(__xludf.DUMMYFUNCTION("""COMPUTED_VALUE"""),"Không giao sách")</f>
        <v>Không giao sách</v>
      </c>
    </row>
    <row r="6851" spans="1:11" ht="12.45">
      <c r="A6851" s="2" t="str">
        <f ca="1">IFERROR(__xludf.DUMMYFUNCTION("""COMPUTED_VALUE"""),"1756814896857")</f>
        <v>1756814896857</v>
      </c>
      <c r="B6851" s="2"/>
      <c r="C6851" s="2" t="str">
        <v>0</v>
      </c>
      <c r="D6851" s="2"/>
      <c r="F6851" s="2" t="str">
        <v>0</v>
      </c>
      <c r="I6851" s="3" t="str">
        <f ca="1">IFERROR(__xludf.DUMMYFUNCTION("""COMPUTED_VALUE"""),"Vừ thị sinhh")</f>
        <v>Vừ thị sinhh</v>
      </c>
      <c r="J6851" s="3" t="str">
        <f ca="1">IFERROR(__xludf.DUMMYFUNCTION("""COMPUTED_VALUE"""),"0869262227")</f>
        <v>0869262227</v>
      </c>
      <c r="K6851" s="2" t="str">
        <f ca="1">IFERROR(__xludf.DUMMYFUNCTION("""COMPUTED_VALUE"""),"1756814896857")</f>
        <v>1756814896857</v>
      </c>
    </row>
    <row r="6852" spans="1:11" ht="12.45">
      <c r="A6852" s="2" t="str">
        <f ca="1">IFERROR(__xludf.DUMMYFUNCTION("""COMPUTED_VALUE"""),"1756814973859")</f>
        <v>1756814973859</v>
      </c>
      <c r="B6852" s="2"/>
      <c r="C6852" s="2" t="str">
        <v>0</v>
      </c>
      <c r="D6852" s="2"/>
      <c r="F6852" s="2" t="str">
        <v>0</v>
      </c>
      <c r="I6852" s="3" t="str">
        <f ca="1">IFERROR(__xludf.DUMMYFUNCTION("""COMPUTED_VALUE"""),"Nguyễn Thị Khánh Chi")</f>
        <v>Nguyễn Thị Khánh Chi</v>
      </c>
      <c r="J6852" s="3" t="str">
        <f ca="1">IFERROR(__xludf.DUMMYFUNCTION("""COMPUTED_VALUE"""),"0857270107")</f>
        <v>0857270107</v>
      </c>
      <c r="K6852" s="2" t="str">
        <f ca="1">IFERROR(__xludf.DUMMYFUNCTION("""COMPUTED_VALUE"""),"1756814973859")</f>
        <v>1756814973859</v>
      </c>
    </row>
    <row r="6853" spans="1:11" ht="12.45">
      <c r="A6853" s="2" t="str">
        <f ca="1">IFERROR(__xludf.DUMMYFUNCTION("""COMPUTED_VALUE"""),"1756815018316")</f>
        <v>1756815018316</v>
      </c>
      <c r="B6853" s="2"/>
      <c r="C6853" s="2" t="str">
        <v>0</v>
      </c>
      <c r="D6853" s="2"/>
      <c r="F6853" s="2" t="str">
        <v>0</v>
      </c>
      <c r="I6853" s="3" t="str">
        <f ca="1">IFERROR(__xludf.DUMMYFUNCTION("""COMPUTED_VALUE"""),"Chu Thị Mai Anh")</f>
        <v>Chu Thị Mai Anh</v>
      </c>
      <c r="J6853" s="3" t="str">
        <f ca="1">IFERROR(__xludf.DUMMYFUNCTION("""COMPUTED_VALUE"""),"0347280205")</f>
        <v>0347280205</v>
      </c>
      <c r="K6853" s="2" t="str">
        <f ca="1">IFERROR(__xludf.DUMMYFUNCTION("""COMPUTED_VALUE"""),"1756815018316")</f>
        <v>1756815018316</v>
      </c>
    </row>
    <row r="6854" spans="1:11" ht="12.45">
      <c r="A6854" s="2" t="str">
        <f ca="1">IFERROR(__xludf.DUMMYFUNCTION("""COMPUTED_VALUE"""),"1756815066612")</f>
        <v>1756815066612</v>
      </c>
      <c r="B6854" s="2"/>
      <c r="C6854" s="2" t="str">
        <v>0</v>
      </c>
      <c r="D6854" s="2"/>
      <c r="F6854" s="2" t="str">
        <v>0</v>
      </c>
      <c r="I6854" s="3" t="str">
        <f ca="1">IFERROR(__xludf.DUMMYFUNCTION("""COMPUTED_VALUE"""),"Liêu Nhã Tú Quyên")</f>
        <v>Liêu Nhã Tú Quyên</v>
      </c>
      <c r="J6854" s="3" t="str">
        <f ca="1">IFERROR(__xludf.DUMMYFUNCTION("""COMPUTED_VALUE"""),"0813791563")</f>
        <v>0813791563</v>
      </c>
      <c r="K6854" s="2" t="str">
        <f ca="1">IFERROR(__xludf.DUMMYFUNCTION("""COMPUTED_VALUE"""),"1756815066612")</f>
        <v>1756815066612</v>
      </c>
    </row>
    <row r="6855" spans="1:11" ht="12.45">
      <c r="A6855" s="2" t="str">
        <f ca="1">IFERROR(__xludf.DUMMYFUNCTION("""COMPUTED_VALUE"""),"1756815128328")</f>
        <v>1756815128328</v>
      </c>
      <c r="B6855" s="2"/>
      <c r="C6855" s="2" t="str">
        <v>0</v>
      </c>
      <c r="D6855" s="2"/>
      <c r="F6855" s="2" t="str">
        <v>0</v>
      </c>
      <c r="I6855" s="3" t="str">
        <f ca="1">IFERROR(__xludf.DUMMYFUNCTION("""COMPUTED_VALUE"""),"Nguyễn Thị Mai Lan")</f>
        <v>Nguyễn Thị Mai Lan</v>
      </c>
      <c r="J6855" s="3" t="str">
        <f ca="1">IFERROR(__xludf.DUMMYFUNCTION("""COMPUTED_VALUE"""),"0334293596")</f>
        <v>0334293596</v>
      </c>
      <c r="K6855" s="2" t="str">
        <f ca="1">IFERROR(__xludf.DUMMYFUNCTION("""COMPUTED_VALUE"""),"1756815128328")</f>
        <v>1756815128328</v>
      </c>
    </row>
    <row r="6856" spans="1:11" ht="12.45">
      <c r="A6856" s="2" t="str">
        <f ca="1">IFERROR(__xludf.DUMMYFUNCTION("""COMPUTED_VALUE"""),"1756815175441")</f>
        <v>1756815175441</v>
      </c>
      <c r="B6856" s="2"/>
      <c r="C6856" s="2" t="str">
        <v>0</v>
      </c>
      <c r="D6856" s="2"/>
      <c r="F6856" s="2" t="str">
        <v>0</v>
      </c>
      <c r="I6856" s="3" t="str">
        <f ca="1">IFERROR(__xludf.DUMMYFUNCTION("""COMPUTED_VALUE"""),"Tưởng Tất Thành ")</f>
        <v xml:space="preserve">Tưởng Tất Thành </v>
      </c>
      <c r="J6856" s="3" t="str">
        <f ca="1">IFERROR(__xludf.DUMMYFUNCTION("""COMPUTED_VALUE"""),"0961166919")</f>
        <v>0961166919</v>
      </c>
      <c r="K6856" s="2" t="str">
        <f ca="1">IFERROR(__xludf.DUMMYFUNCTION("""COMPUTED_VALUE"""),"1756815175441")</f>
        <v>1756815175441</v>
      </c>
    </row>
    <row r="6857" spans="1:11" ht="12.45">
      <c r="A6857" s="2" t="str">
        <f ca="1">IFERROR(__xludf.DUMMYFUNCTION("""COMPUTED_VALUE"""),"1756815237952")</f>
        <v>1756815237952</v>
      </c>
      <c r="B6857" s="2"/>
      <c r="C6857" s="2" t="str">
        <v>0</v>
      </c>
      <c r="D6857" s="2"/>
      <c r="F6857" s="2" t="str">
        <v>0</v>
      </c>
      <c r="I6857" s="3" t="str">
        <f ca="1">IFERROR(__xludf.DUMMYFUNCTION("""COMPUTED_VALUE"""),"Phạm Thị Minh Thư")</f>
        <v>Phạm Thị Minh Thư</v>
      </c>
      <c r="J6857" s="3" t="str">
        <f ca="1">IFERROR(__xludf.DUMMYFUNCTION("""COMPUTED_VALUE"""),"0975196855")</f>
        <v>0975196855</v>
      </c>
      <c r="K6857" s="2" t="str">
        <f ca="1">IFERROR(__xludf.DUMMYFUNCTION("""COMPUTED_VALUE"""),"1756815237952")</f>
        <v>1756815237952</v>
      </c>
    </row>
    <row r="6858" spans="1:11" ht="12.45">
      <c r="A6858" s="2" t="str">
        <f ca="1">IFERROR(__xludf.DUMMYFUNCTION("""COMPUTED_VALUE"""),"1756815295923")</f>
        <v>1756815295923</v>
      </c>
      <c r="B6858" s="2"/>
      <c r="C6858" s="2" t="str">
        <v>0</v>
      </c>
      <c r="D6858" s="2"/>
      <c r="F6858" s="2" t="str">
        <v>0</v>
      </c>
      <c r="I6858" s="3" t="str">
        <f ca="1">IFERROR(__xludf.DUMMYFUNCTION("""COMPUTED_VALUE"""),"Phan Văn Bắc")</f>
        <v>Phan Văn Bắc</v>
      </c>
      <c r="J6858" s="3" t="str">
        <f ca="1">IFERROR(__xludf.DUMMYFUNCTION("""COMPUTED_VALUE"""),"0383319272")</f>
        <v>0383319272</v>
      </c>
      <c r="K6858" s="2" t="str">
        <f ca="1">IFERROR(__xludf.DUMMYFUNCTION("""COMPUTED_VALUE"""),"1756815295923")</f>
        <v>1756815295923</v>
      </c>
    </row>
    <row r="6859" spans="1:11" ht="12.45">
      <c r="A6859" s="2" t="str">
        <f ca="1">IFERROR(__xludf.DUMMYFUNCTION("""COMPUTED_VALUE"""),"1756815341061")</f>
        <v>1756815341061</v>
      </c>
      <c r="B6859" s="2"/>
      <c r="C6859" s="2" t="str">
        <v>0</v>
      </c>
      <c r="D6859" s="2"/>
      <c r="F6859" s="2" t="str">
        <v>0</v>
      </c>
      <c r="I6859" s="3" t="str">
        <f ca="1">IFERROR(__xludf.DUMMYFUNCTION("""COMPUTED_VALUE"""),"Nguyễn Ngọc Anh")</f>
        <v>Nguyễn Ngọc Anh</v>
      </c>
      <c r="J6859" s="3" t="str">
        <f ca="1">IFERROR(__xludf.DUMMYFUNCTION("""COMPUTED_VALUE"""),"0902210958")</f>
        <v>0902210958</v>
      </c>
      <c r="K6859" s="2" t="str">
        <f ca="1">IFERROR(__xludf.DUMMYFUNCTION("""COMPUTED_VALUE"""),"1756815341061")</f>
        <v>1756815341061</v>
      </c>
    </row>
    <row r="6860" spans="1:11" ht="12.45">
      <c r="A6860" s="2" t="str">
        <f ca="1">IFERROR(__xludf.DUMMYFUNCTION("""COMPUTED_VALUE"""),"1756815390419")</f>
        <v>1756815390419</v>
      </c>
      <c r="B6860" s="2"/>
      <c r="C6860" s="2" t="str">
        <v>0</v>
      </c>
      <c r="D6860" s="2"/>
      <c r="F6860" s="2" t="str">
        <v>0</v>
      </c>
      <c r="I6860" s="3" t="str">
        <f ca="1">IFERROR(__xludf.DUMMYFUNCTION("""COMPUTED_VALUE"""),"Vũ phương anh")</f>
        <v>Vũ phương anh</v>
      </c>
      <c r="J6860" s="3" t="str">
        <f ca="1">IFERROR(__xludf.DUMMYFUNCTION("""COMPUTED_VALUE"""),"0352289261")</f>
        <v>0352289261</v>
      </c>
      <c r="K6860" s="2" t="str">
        <f ca="1">IFERROR(__xludf.DUMMYFUNCTION("""COMPUTED_VALUE"""),"1756815390419")</f>
        <v>1756815390419</v>
      </c>
    </row>
    <row r="6861" spans="1:11" ht="12.45">
      <c r="A6861" s="2" t="str">
        <f ca="1">IFERROR(__xludf.DUMMYFUNCTION("""COMPUTED_VALUE"""),"1756815423661")</f>
        <v>1756815423661</v>
      </c>
      <c r="B6861" s="2"/>
      <c r="C6861" s="2" t="str">
        <v>0</v>
      </c>
      <c r="D6861" s="2"/>
      <c r="F6861" s="2" t="str">
        <v>0</v>
      </c>
      <c r="I6861" s="3" t="str">
        <f ca="1">IFERROR(__xludf.DUMMYFUNCTION("""COMPUTED_VALUE"""),"Nguyễn Minh Thư ")</f>
        <v xml:space="preserve">Nguyễn Minh Thư </v>
      </c>
      <c r="J6861" s="3" t="str">
        <f ca="1">IFERROR(__xludf.DUMMYFUNCTION("""COMPUTED_VALUE"""),"0374952927")</f>
        <v>0374952927</v>
      </c>
      <c r="K6861" s="2" t="str">
        <f ca="1">IFERROR(__xludf.DUMMYFUNCTION("""COMPUTED_VALUE"""),"1756815423661")</f>
        <v>1756815423661</v>
      </c>
    </row>
    <row r="6862" spans="1:11" ht="12.45">
      <c r="A6862" s="2" t="str">
        <f ca="1">IFERROR(__xludf.DUMMYFUNCTION("""COMPUTED_VALUE"""),"1756815468581")</f>
        <v>1756815468581</v>
      </c>
      <c r="B6862" s="2"/>
      <c r="C6862" s="2" t="str">
        <v>0</v>
      </c>
      <c r="D6862" s="2"/>
      <c r="F6862" s="2" t="str">
        <v>0</v>
      </c>
      <c r="I6862" s="3" t="str">
        <f ca="1">IFERROR(__xludf.DUMMYFUNCTION("""COMPUTED_VALUE"""),"Phạm Nguyễn Băng Băng ")</f>
        <v xml:space="preserve">Phạm Nguyễn Băng Băng </v>
      </c>
      <c r="J6862" s="3" t="str">
        <f ca="1">IFERROR(__xludf.DUMMYFUNCTION("""COMPUTED_VALUE"""),"0393770387")</f>
        <v>0393770387</v>
      </c>
      <c r="K6862" s="2" t="str">
        <f ca="1">IFERROR(__xludf.DUMMYFUNCTION("""COMPUTED_VALUE"""),"1756815468581")</f>
        <v>1756815468581</v>
      </c>
    </row>
    <row r="6863" spans="1:11" ht="12.45">
      <c r="A6863" s="2" t="str">
        <f ca="1">IFERROR(__xludf.DUMMYFUNCTION("""COMPUTED_VALUE"""),"1756815498050")</f>
        <v>1756815498050</v>
      </c>
      <c r="B6863" s="2"/>
      <c r="C6863" s="2" t="str">
        <v>0</v>
      </c>
      <c r="D6863" s="2"/>
      <c r="F6863" s="2" t="str">
        <v>0</v>
      </c>
      <c r="I6863" s="3" t="str">
        <f ca="1">IFERROR(__xludf.DUMMYFUNCTION("""COMPUTED_VALUE"""),"Lý Huyền Trang")</f>
        <v>Lý Huyền Trang</v>
      </c>
      <c r="J6863" s="3" t="str">
        <f ca="1">IFERROR(__xludf.DUMMYFUNCTION("""COMPUTED_VALUE"""),"0377001540")</f>
        <v>0377001540</v>
      </c>
      <c r="K6863" s="2" t="str">
        <f ca="1">IFERROR(__xludf.DUMMYFUNCTION("""COMPUTED_VALUE"""),"1756815498050")</f>
        <v>1756815498050</v>
      </c>
    </row>
    <row r="6864" spans="1:11" ht="12.45">
      <c r="A6864" s="2" t="str">
        <f ca="1">IFERROR(__xludf.DUMMYFUNCTION("""COMPUTED_VALUE"""),"1756815532636")</f>
        <v>1756815532636</v>
      </c>
      <c r="B6864" s="2"/>
      <c r="C6864" s="2" t="str">
        <v>0</v>
      </c>
      <c r="D6864" s="2"/>
      <c r="F6864" s="2" t="str">
        <v>0</v>
      </c>
      <c r="I6864" s="3" t="str">
        <f ca="1">IFERROR(__xludf.DUMMYFUNCTION("""COMPUTED_VALUE"""),"Nguyễn Thị Minh Nụ")</f>
        <v>Nguyễn Thị Minh Nụ</v>
      </c>
      <c r="J6864" s="3" t="str">
        <f ca="1">IFERROR(__xludf.DUMMYFUNCTION("""COMPUTED_VALUE"""),"0325923511")</f>
        <v>0325923511</v>
      </c>
      <c r="K6864" s="2" t="str">
        <f ca="1">IFERROR(__xludf.DUMMYFUNCTION("""COMPUTED_VALUE"""),"1756815532636")</f>
        <v>1756815532636</v>
      </c>
    </row>
    <row r="6865" spans="1:11" ht="12.45">
      <c r="A6865" s="2" t="str">
        <f ca="1">IFERROR(__xludf.DUMMYFUNCTION("""COMPUTED_VALUE"""),"1756815564901")</f>
        <v>1756815564901</v>
      </c>
      <c r="B6865" s="2"/>
      <c r="C6865" s="2" t="str">
        <v>0</v>
      </c>
      <c r="D6865" s="2"/>
      <c r="F6865" s="2" t="str">
        <v>0</v>
      </c>
      <c r="I6865" s="3" t="str">
        <f ca="1">IFERROR(__xludf.DUMMYFUNCTION("""COMPUTED_VALUE"""),"Nguyễn Thị Ngọc Linh ")</f>
        <v xml:space="preserve">Nguyễn Thị Ngọc Linh </v>
      </c>
      <c r="J6865" s="3" t="str">
        <f ca="1">IFERROR(__xludf.DUMMYFUNCTION("""COMPUTED_VALUE"""),"0906105688")</f>
        <v>0906105688</v>
      </c>
      <c r="K6865" s="2" t="str">
        <f ca="1">IFERROR(__xludf.DUMMYFUNCTION("""COMPUTED_VALUE"""),"1756815564901")</f>
        <v>1756815564901</v>
      </c>
    </row>
    <row r="6866" spans="1:11" ht="12.45">
      <c r="A6866" s="2" t="str">
        <f ca="1">IFERROR(__xludf.DUMMYFUNCTION("""COMPUTED_VALUE"""),"1756815613645")</f>
        <v>1756815613645</v>
      </c>
      <c r="B6866" s="2"/>
      <c r="C6866" s="2" t="str">
        <v>0</v>
      </c>
      <c r="D6866" s="2"/>
      <c r="F6866" s="2" t="str">
        <v>0</v>
      </c>
      <c r="I6866" s="3" t="str">
        <f ca="1">IFERROR(__xludf.DUMMYFUNCTION("""COMPUTED_VALUE"""),"Cháu Vy Linh")</f>
        <v>Cháu Vy Linh</v>
      </c>
      <c r="J6866" s="3" t="str">
        <f ca="1">IFERROR(__xludf.DUMMYFUNCTION("""COMPUTED_VALUE"""),"0346965659")</f>
        <v>0346965659</v>
      </c>
      <c r="K6866" s="2" t="str">
        <f ca="1">IFERROR(__xludf.DUMMYFUNCTION("""COMPUTED_VALUE"""),"1756815613645")</f>
        <v>1756815613645</v>
      </c>
    </row>
    <row r="6867" spans="1:11" ht="12.45">
      <c r="A6867" s="2" t="str">
        <f ca="1">IFERROR(__xludf.DUMMYFUNCTION("""COMPUTED_VALUE"""),"1756815678075")</f>
        <v>1756815678075</v>
      </c>
      <c r="B6867" s="2"/>
      <c r="C6867" s="2" t="str">
        <v>0</v>
      </c>
      <c r="D6867" s="2"/>
      <c r="F6867" s="2" t="str">
        <v>0</v>
      </c>
      <c r="I6867" s="3" t="str">
        <f ca="1">IFERROR(__xludf.DUMMYFUNCTION("""COMPUTED_VALUE"""),"Vũ Thị Thu Thảo ")</f>
        <v xml:space="preserve">Vũ Thị Thu Thảo </v>
      </c>
      <c r="J6867" s="3" t="str">
        <f ca="1">IFERROR(__xludf.DUMMYFUNCTION("""COMPUTED_VALUE"""),"0339589288")</f>
        <v>0339589288</v>
      </c>
      <c r="K6867" s="2" t="str">
        <f ca="1">IFERROR(__xludf.DUMMYFUNCTION("""COMPUTED_VALUE"""),"1756815678075")</f>
        <v>1756815678075</v>
      </c>
    </row>
    <row r="6868" spans="1:11" ht="12.45">
      <c r="A6868" s="2" t="str">
        <f ca="1">IFERROR(__xludf.DUMMYFUNCTION("""COMPUTED_VALUE"""),"1756815727921")</f>
        <v>1756815727921</v>
      </c>
      <c r="B6868" s="2"/>
      <c r="C6868" s="2" t="str">
        <v>0</v>
      </c>
      <c r="D6868" s="2"/>
      <c r="F6868" s="2" t="str">
        <v>0</v>
      </c>
      <c r="I6868" s="3" t="str">
        <f ca="1">IFERROR(__xludf.DUMMYFUNCTION("""COMPUTED_VALUE"""),"Bùi Dương Ngọc Vy")</f>
        <v>Bùi Dương Ngọc Vy</v>
      </c>
      <c r="J6868" s="3" t="str">
        <f ca="1">IFERROR(__xludf.DUMMYFUNCTION("""COMPUTED_VALUE"""),"0363769318")</f>
        <v>0363769318</v>
      </c>
      <c r="K6868" s="2" t="str">
        <f ca="1">IFERROR(__xludf.DUMMYFUNCTION("""COMPUTED_VALUE"""),"1756815727921")</f>
        <v>1756815727921</v>
      </c>
    </row>
    <row r="6869" spans="1:11" ht="12.45">
      <c r="A6869" s="2" t="str">
        <f ca="1">IFERROR(__xludf.DUMMYFUNCTION("""COMPUTED_VALUE"""),"1756815799402")</f>
        <v>1756815799402</v>
      </c>
      <c r="B6869" s="2"/>
      <c r="C6869" s="2" t="str">
        <v>0</v>
      </c>
      <c r="D6869" s="2"/>
      <c r="F6869" s="2" t="str">
        <v>0</v>
      </c>
      <c r="I6869" s="3" t="str">
        <f ca="1">IFERROR(__xludf.DUMMYFUNCTION("""COMPUTED_VALUE"""),"Bùi Minh Châu ")</f>
        <v xml:space="preserve">Bùi Minh Châu </v>
      </c>
      <c r="J6869" s="3" t="str">
        <f ca="1">IFERROR(__xludf.DUMMYFUNCTION("""COMPUTED_VALUE"""),"0918177918")</f>
        <v>0918177918</v>
      </c>
      <c r="K6869" s="2" t="str">
        <f ca="1">IFERROR(__xludf.DUMMYFUNCTION("""COMPUTED_VALUE"""),"1756815799402")</f>
        <v>1756815799402</v>
      </c>
    </row>
    <row r="6870" spans="1:11" ht="12.45">
      <c r="A6870" s="2" t="str">
        <f ca="1">IFERROR(__xludf.DUMMYFUNCTION("""COMPUTED_VALUE"""),"1756815907908")</f>
        <v>1756815907908</v>
      </c>
      <c r="B6870" s="2"/>
      <c r="C6870" s="2" t="str">
        <v>0</v>
      </c>
      <c r="D6870" s="2"/>
      <c r="F6870" s="2" t="str">
        <v>0</v>
      </c>
      <c r="I6870" s="3" t="str">
        <f ca="1">IFERROR(__xludf.DUMMYFUNCTION("""COMPUTED_VALUE"""),"Dương Thị Anh Thư")</f>
        <v>Dương Thị Anh Thư</v>
      </c>
      <c r="J6870" s="3" t="str">
        <f ca="1">IFERROR(__xludf.DUMMYFUNCTION("""COMPUTED_VALUE"""),"0338070383")</f>
        <v>0338070383</v>
      </c>
      <c r="K6870" s="2" t="str">
        <f ca="1">IFERROR(__xludf.DUMMYFUNCTION("""COMPUTED_VALUE"""),"1756815907908")</f>
        <v>1756815907908</v>
      </c>
    </row>
    <row r="6871" spans="1:11" ht="12.45">
      <c r="A6871" s="2" t="str">
        <f ca="1">IFERROR(__xludf.DUMMYFUNCTION("""COMPUTED_VALUE"""),"1756815969477")</f>
        <v>1756815969477</v>
      </c>
      <c r="B6871" s="2"/>
      <c r="C6871" s="2" t="str">
        <v>0</v>
      </c>
      <c r="D6871" s="2"/>
      <c r="F6871" s="2" t="str">
        <v>0</v>
      </c>
      <c r="I6871" s="3" t="str">
        <f ca="1">IFERROR(__xludf.DUMMYFUNCTION("""COMPUTED_VALUE"""),"Bùi Thị Thùy Linh ")</f>
        <v xml:space="preserve">Bùi Thị Thùy Linh </v>
      </c>
      <c r="J6871" s="3" t="str">
        <f ca="1">IFERROR(__xludf.DUMMYFUNCTION("""COMPUTED_VALUE"""),"0886928739")</f>
        <v>0886928739</v>
      </c>
      <c r="K6871" s="2" t="str">
        <f ca="1">IFERROR(__xludf.DUMMYFUNCTION("""COMPUTED_VALUE"""),"1756815969477")</f>
        <v>1756815969477</v>
      </c>
    </row>
    <row r="6872" spans="1:11" ht="12.45">
      <c r="A6872" s="2" t="str">
        <f ca="1">IFERROR(__xludf.DUMMYFUNCTION("""COMPUTED_VALUE"""),"1756816038460")</f>
        <v>1756816038460</v>
      </c>
      <c r="B6872" s="2"/>
      <c r="C6872" s="2" t="str">
        <v>0</v>
      </c>
      <c r="D6872" s="2"/>
      <c r="F6872" s="2" t="str">
        <v>0</v>
      </c>
      <c r="I6872" s="3" t="str">
        <f ca="1">IFERROR(__xludf.DUMMYFUNCTION("""COMPUTED_VALUE"""),"Nguyễn Việt Hiếu")</f>
        <v>Nguyễn Việt Hiếu</v>
      </c>
      <c r="J6872" s="3" t="str">
        <f ca="1">IFERROR(__xludf.DUMMYFUNCTION("""COMPUTED_VALUE"""),"0356333280")</f>
        <v>0356333280</v>
      </c>
      <c r="K6872" s="2" t="str">
        <f ca="1">IFERROR(__xludf.DUMMYFUNCTION("""COMPUTED_VALUE"""),"1756816038460")</f>
        <v>1756816038460</v>
      </c>
    </row>
    <row r="6873" spans="1:11" ht="12.45">
      <c r="A6873" s="2" t="str">
        <f ca="1">IFERROR(__xludf.DUMMYFUNCTION("""COMPUTED_VALUE"""),"1756816119962")</f>
        <v>1756816119962</v>
      </c>
      <c r="B6873" s="2"/>
      <c r="C6873" s="2" t="str">
        <v>0</v>
      </c>
      <c r="D6873" s="2"/>
      <c r="F6873" s="2" t="str">
        <v>0</v>
      </c>
      <c r="I6873" s="3" t="str">
        <f ca="1">IFERROR(__xludf.DUMMYFUNCTION("""COMPUTED_VALUE"""),"Phạm Thị Thu Hương ")</f>
        <v xml:space="preserve">Phạm Thị Thu Hương </v>
      </c>
      <c r="J6873" s="3" t="str">
        <f ca="1">IFERROR(__xludf.DUMMYFUNCTION("""COMPUTED_VALUE"""),"0378463308")</f>
        <v>0378463308</v>
      </c>
      <c r="K6873" s="2" t="str">
        <f ca="1">IFERROR(__xludf.DUMMYFUNCTION("""COMPUTED_VALUE"""),"1756816119962")</f>
        <v>1756816119962</v>
      </c>
    </row>
    <row r="6874" spans="1:11" ht="12.45">
      <c r="A6874" s="2" t="str">
        <f ca="1">IFERROR(__xludf.DUMMYFUNCTION("""COMPUTED_VALUE"""),"1756816171536")</f>
        <v>1756816171536</v>
      </c>
      <c r="B6874" s="2"/>
      <c r="C6874" s="2" t="str">
        <v>0</v>
      </c>
      <c r="D6874" s="2"/>
      <c r="F6874" s="2" t="str">
        <v>0</v>
      </c>
      <c r="I6874" s="3" t="str">
        <f ca="1">IFERROR(__xludf.DUMMYFUNCTION("""COMPUTED_VALUE"""),"Lò Nhật Duy ")</f>
        <v xml:space="preserve">Lò Nhật Duy </v>
      </c>
      <c r="J6874" s="3" t="str">
        <f ca="1">IFERROR(__xludf.DUMMYFUNCTION("""COMPUTED_VALUE"""),"0357423812")</f>
        <v>0357423812</v>
      </c>
      <c r="K6874" s="2" t="str">
        <f ca="1">IFERROR(__xludf.DUMMYFUNCTION("""COMPUTED_VALUE"""),"1756816171536")</f>
        <v>1756816171536</v>
      </c>
    </row>
    <row r="6875" spans="1:11" ht="12.45">
      <c r="A6875" s="2" t="str">
        <f ca="1">IFERROR(__xludf.DUMMYFUNCTION("""COMPUTED_VALUE"""),"1756816201363")</f>
        <v>1756816201363</v>
      </c>
      <c r="B6875" s="2"/>
      <c r="C6875" s="2" t="str">
        <v>0</v>
      </c>
      <c r="D6875" s="2"/>
      <c r="F6875" s="2" t="str">
        <v>0</v>
      </c>
      <c r="I6875" s="3" t="str">
        <f ca="1">IFERROR(__xludf.DUMMYFUNCTION("""COMPUTED_VALUE"""),"Nguyễn Mai Trang")</f>
        <v>Nguyễn Mai Trang</v>
      </c>
      <c r="J6875" s="3" t="str">
        <f ca="1">IFERROR(__xludf.DUMMYFUNCTION("""COMPUTED_VALUE"""),"0869916753")</f>
        <v>0869916753</v>
      </c>
      <c r="K6875" s="2" t="str">
        <f ca="1">IFERROR(__xludf.DUMMYFUNCTION("""COMPUTED_VALUE"""),"1756816201363")</f>
        <v>1756816201363</v>
      </c>
    </row>
    <row r="6876" spans="1:11" ht="12.45">
      <c r="A6876" s="2" t="str">
        <f ca="1">IFERROR(__xludf.DUMMYFUNCTION("""COMPUTED_VALUE"""),"1756816244351")</f>
        <v>1756816244351</v>
      </c>
      <c r="B6876" s="2"/>
      <c r="C6876" s="2" t="str">
        <v>0</v>
      </c>
      <c r="D6876" s="2"/>
      <c r="F6876" s="2" t="str">
        <v>0</v>
      </c>
      <c r="I6876" s="3" t="str">
        <f ca="1">IFERROR(__xludf.DUMMYFUNCTION("""COMPUTED_VALUE"""),"Trương Thị Ngọc Ánh")</f>
        <v>Trương Thị Ngọc Ánh</v>
      </c>
      <c r="J6876" s="3" t="str">
        <f ca="1">IFERROR(__xludf.DUMMYFUNCTION("""COMPUTED_VALUE"""),"0378632306")</f>
        <v>0378632306</v>
      </c>
      <c r="K6876" s="2" t="str">
        <f ca="1">IFERROR(__xludf.DUMMYFUNCTION("""COMPUTED_VALUE"""),"1756816244351")</f>
        <v>1756816244351</v>
      </c>
    </row>
    <row r="6877" spans="1:11" ht="12.45">
      <c r="A6877" s="2" t="str">
        <f ca="1">IFERROR(__xludf.DUMMYFUNCTION("""COMPUTED_VALUE"""),"1756816285618")</f>
        <v>1756816285618</v>
      </c>
      <c r="B6877" s="2"/>
      <c r="C6877" s="2" t="str">
        <v>0</v>
      </c>
      <c r="D6877" s="2"/>
      <c r="F6877" s="2" t="str">
        <v>0</v>
      </c>
      <c r="I6877" s="3" t="str">
        <f ca="1">IFERROR(__xludf.DUMMYFUNCTION("""COMPUTED_VALUE"""),"Lê Hà Thương")</f>
        <v>Lê Hà Thương</v>
      </c>
      <c r="J6877" s="3" t="str">
        <f ca="1">IFERROR(__xludf.DUMMYFUNCTION("""COMPUTED_VALUE"""),"0985664822")</f>
        <v>0985664822</v>
      </c>
      <c r="K6877" s="2" t="str">
        <f ca="1">IFERROR(__xludf.DUMMYFUNCTION("""COMPUTED_VALUE"""),"1756816285618")</f>
        <v>1756816285618</v>
      </c>
    </row>
    <row r="6878" spans="1:11" ht="12.45">
      <c r="A6878" s="2" t="str">
        <f ca="1">IFERROR(__xludf.DUMMYFUNCTION("""COMPUTED_VALUE"""),"1756816350370")</f>
        <v>1756816350370</v>
      </c>
      <c r="B6878" s="2"/>
      <c r="C6878" s="2" t="str">
        <v>0</v>
      </c>
      <c r="D6878" s="2"/>
      <c r="F6878" s="2" t="str">
        <v>0</v>
      </c>
      <c r="I6878" s="3" t="str">
        <f ca="1">IFERROR(__xludf.DUMMYFUNCTION("""COMPUTED_VALUE"""),"Nguyễn Công Hậu")</f>
        <v>Nguyễn Công Hậu</v>
      </c>
      <c r="J6878" s="3" t="str">
        <f ca="1">IFERROR(__xludf.DUMMYFUNCTION("""COMPUTED_VALUE"""),"0334742149")</f>
        <v>0334742149</v>
      </c>
      <c r="K6878" s="2" t="str">
        <f ca="1">IFERROR(__xludf.DUMMYFUNCTION("""COMPUTED_VALUE"""),"1756816350370")</f>
        <v>1756816350370</v>
      </c>
    </row>
    <row r="6879" spans="1:11" ht="12.45">
      <c r="A6879" s="2" t="str">
        <f ca="1">IFERROR(__xludf.DUMMYFUNCTION("""COMPUTED_VALUE"""),"1763378368344")</f>
        <v>1763378368344</v>
      </c>
      <c r="B6879" s="2"/>
      <c r="C6879" s="2" t="str">
        <v>0</v>
      </c>
      <c r="D6879" s="2"/>
      <c r="F6879" s="2" t="str">
        <v>0</v>
      </c>
      <c r="I6879" s="3" t="str">
        <f ca="1">IFERROR(__xludf.DUMMYFUNCTION("""COMPUTED_VALUE"""),"Nguyễn Uý Thương")</f>
        <v>Nguyễn Uý Thương</v>
      </c>
      <c r="J6879" s="3" t="str">
        <f ca="1">IFERROR(__xludf.DUMMYFUNCTION("""COMPUTED_VALUE"""),"0334152425")</f>
        <v>0334152425</v>
      </c>
      <c r="K6879" s="2" t="str">
        <f ca="1">IFERROR(__xludf.DUMMYFUNCTION("""COMPUTED_VALUE"""),"1763378368344")</f>
        <v>1763378368344</v>
      </c>
    </row>
    <row r="6880" spans="1:11" ht="12.45">
      <c r="A6880" s="2" t="str">
        <f ca="1">IFERROR(__xludf.DUMMYFUNCTION("""COMPUTED_VALUE"""),"1756816457749")</f>
        <v>1756816457749</v>
      </c>
      <c r="B6880" s="2"/>
      <c r="C6880" s="2" t="str">
        <v>0</v>
      </c>
      <c r="D6880" s="2"/>
      <c r="F6880" s="2" t="str">
        <v>0</v>
      </c>
      <c r="I6880" s="3" t="str">
        <f ca="1">IFERROR(__xludf.DUMMYFUNCTION("""COMPUTED_VALUE"""),"Trương Thiết Bảo")</f>
        <v>Trương Thiết Bảo</v>
      </c>
      <c r="J6880" s="3" t="str">
        <f ca="1">IFERROR(__xludf.DUMMYFUNCTION("""COMPUTED_VALUE"""),"0963362931")</f>
        <v>0963362931</v>
      </c>
      <c r="K6880" s="2" t="str">
        <f ca="1">IFERROR(__xludf.DUMMYFUNCTION("""COMPUTED_VALUE"""),"1756816457749")</f>
        <v>1756816457749</v>
      </c>
    </row>
    <row r="6881" spans="1:11" ht="12.45">
      <c r="A6881" s="2" t="str">
        <f ca="1">IFERROR(__xludf.DUMMYFUNCTION("""COMPUTED_VALUE"""),"1756816530450")</f>
        <v>1756816530450</v>
      </c>
      <c r="B6881" s="2"/>
      <c r="C6881" s="2" t="str">
        <v>0</v>
      </c>
      <c r="D6881" s="2"/>
      <c r="F6881" s="2" t="str">
        <v>0</v>
      </c>
      <c r="I6881" s="3" t="str">
        <f ca="1">IFERROR(__xludf.DUMMYFUNCTION("""COMPUTED_VALUE"""),"Nguyễn Vũ Mai Anh ")</f>
        <v xml:space="preserve">Nguyễn Vũ Mai Anh </v>
      </c>
      <c r="J6881" s="3" t="str">
        <f ca="1">IFERROR(__xludf.DUMMYFUNCTION("""COMPUTED_VALUE"""),"0945334723")</f>
        <v>0945334723</v>
      </c>
      <c r="K6881" s="2" t="str">
        <f ca="1">IFERROR(__xludf.DUMMYFUNCTION("""COMPUTED_VALUE"""),"1756816530450")</f>
        <v>1756816530450</v>
      </c>
    </row>
    <row r="6882" spans="1:11" ht="12.45">
      <c r="A6882" s="2" t="str">
        <f ca="1">IFERROR(__xludf.DUMMYFUNCTION("""COMPUTED_VALUE"""),"1756816563274")</f>
        <v>1756816563274</v>
      </c>
      <c r="B6882" s="2"/>
      <c r="C6882" s="2" t="str">
        <v>0</v>
      </c>
      <c r="D6882" s="2"/>
      <c r="F6882" s="2" t="str">
        <v>0</v>
      </c>
      <c r="I6882" s="3" t="str">
        <f ca="1">IFERROR(__xludf.DUMMYFUNCTION("""COMPUTED_VALUE"""),"Đặng Thị Ngọc Tình")</f>
        <v>Đặng Thị Ngọc Tình</v>
      </c>
      <c r="J6882" s="3" t="str">
        <f ca="1">IFERROR(__xludf.DUMMYFUNCTION("""COMPUTED_VALUE"""),"0368591772")</f>
        <v>0368591772</v>
      </c>
      <c r="K6882" s="2" t="str">
        <f ca="1">IFERROR(__xludf.DUMMYFUNCTION("""COMPUTED_VALUE"""),"1756816563274")</f>
        <v>1756816563274</v>
      </c>
    </row>
    <row r="6883" spans="1:11" ht="12.45">
      <c r="A6883" s="2" t="str">
        <f ca="1">IFERROR(__xludf.DUMMYFUNCTION("""COMPUTED_VALUE"""),"1756816621217")</f>
        <v>1756816621217</v>
      </c>
      <c r="B6883" s="2"/>
      <c r="C6883" s="2" t="str">
        <v>0</v>
      </c>
      <c r="D6883" s="2"/>
      <c r="F6883" s="2" t="str">
        <v>0</v>
      </c>
      <c r="I6883" s="3" t="str">
        <f ca="1">IFERROR(__xludf.DUMMYFUNCTION("""COMPUTED_VALUE"""),"Đinh Trà My ")</f>
        <v xml:space="preserve">Đinh Trà My </v>
      </c>
      <c r="J6883" s="3" t="str">
        <f ca="1">IFERROR(__xludf.DUMMYFUNCTION("""COMPUTED_VALUE"""),"0368153194")</f>
        <v>0368153194</v>
      </c>
      <c r="K6883" s="2" t="str">
        <f ca="1">IFERROR(__xludf.DUMMYFUNCTION("""COMPUTED_VALUE"""),"1756816621217")</f>
        <v>1756816621217</v>
      </c>
    </row>
    <row r="6884" spans="1:11" ht="12.45">
      <c r="A6884" s="2" t="str">
        <f ca="1">IFERROR(__xludf.DUMMYFUNCTION("""COMPUTED_VALUE"""),"1756816726610")</f>
        <v>1756816726610</v>
      </c>
      <c r="B6884" s="2"/>
      <c r="C6884" s="2" t="str">
        <v>0</v>
      </c>
      <c r="D6884" s="2"/>
      <c r="F6884" s="2" t="str">
        <v>0</v>
      </c>
      <c r="I6884" s="3" t="str">
        <f ca="1">IFERROR(__xludf.DUMMYFUNCTION("""COMPUTED_VALUE"""),"Nguyễn thị kim linh ")</f>
        <v xml:space="preserve">Nguyễn thị kim linh </v>
      </c>
      <c r="J6884" s="3" t="str">
        <f ca="1">IFERROR(__xludf.DUMMYFUNCTION("""COMPUTED_VALUE"""),"0326599142")</f>
        <v>0326599142</v>
      </c>
      <c r="K6884" s="2" t="str">
        <f ca="1">IFERROR(__xludf.DUMMYFUNCTION("""COMPUTED_VALUE"""),"1756816726610")</f>
        <v>1756816726610</v>
      </c>
    </row>
    <row r="6885" spans="1:11" ht="12.45">
      <c r="A6885" s="2" t="str">
        <f ca="1">IFERROR(__xludf.DUMMYFUNCTION("""COMPUTED_VALUE"""),"1756816808405")</f>
        <v>1756816808405</v>
      </c>
      <c r="B6885" s="2"/>
      <c r="C6885" s="2" t="str">
        <v>0</v>
      </c>
      <c r="D6885" s="2"/>
      <c r="F6885" s="2" t="str">
        <v>0</v>
      </c>
      <c r="I6885" s="3" t="str">
        <f ca="1">IFERROR(__xludf.DUMMYFUNCTION("""COMPUTED_VALUE"""),"Nguyễn Dương Sơn")</f>
        <v>Nguyễn Dương Sơn</v>
      </c>
      <c r="J6885" s="3" t="str">
        <f ca="1">IFERROR(__xludf.DUMMYFUNCTION("""COMPUTED_VALUE"""),"0368905064")</f>
        <v>0368905064</v>
      </c>
      <c r="K6885" s="2" t="str">
        <f ca="1">IFERROR(__xludf.DUMMYFUNCTION("""COMPUTED_VALUE"""),"1756816808405")</f>
        <v>1756816808405</v>
      </c>
    </row>
    <row r="6886" spans="1:11" ht="12.45">
      <c r="A6886" s="2" t="str">
        <f ca="1">IFERROR(__xludf.DUMMYFUNCTION("""COMPUTED_VALUE"""),"Không giao sách")</f>
        <v>Không giao sách</v>
      </c>
      <c r="B6886" s="2"/>
      <c r="C6886" s="2" t="str">
        <v>0</v>
      </c>
      <c r="D6886" s="2"/>
      <c r="F6886" s="2" t="str">
        <v>0</v>
      </c>
      <c r="I6886" s="3" t="str">
        <f ca="1">IFERROR(__xludf.DUMMYFUNCTION("""COMPUTED_VALUE"""),"Nguyễn Mai Thùy Trang ")</f>
        <v xml:space="preserve">Nguyễn Mai Thùy Trang </v>
      </c>
      <c r="J6886" s="3" t="str">
        <f ca="1">IFERROR(__xludf.DUMMYFUNCTION("""COMPUTED_VALUE"""),"8437615690")</f>
        <v>8437615690</v>
      </c>
      <c r="K6886" s="2" t="str">
        <f ca="1">IFERROR(__xludf.DUMMYFUNCTION("""COMPUTED_VALUE"""),"Không giao sách")</f>
        <v>Không giao sách</v>
      </c>
    </row>
    <row r="6887" spans="1:11" ht="12.45">
      <c r="A6887" s="2" t="str">
        <f ca="1">IFERROR(__xludf.DUMMYFUNCTION("""COMPUTED_VALUE"""),"1756816887290")</f>
        <v>1756816887290</v>
      </c>
      <c r="B6887" s="2"/>
      <c r="C6887" s="2" t="str">
        <v>0</v>
      </c>
      <c r="D6887" s="2"/>
      <c r="F6887" s="2" t="str">
        <v>0</v>
      </c>
      <c r="I6887" s="3" t="str">
        <f ca="1">IFERROR(__xludf.DUMMYFUNCTION("""COMPUTED_VALUE"""),"Nguyễn Thanh Vân")</f>
        <v>Nguyễn Thanh Vân</v>
      </c>
      <c r="J6887" s="3" t="str">
        <f ca="1">IFERROR(__xludf.DUMMYFUNCTION("""COMPUTED_VALUE"""),"0346212476")</f>
        <v>0346212476</v>
      </c>
      <c r="K6887" s="2" t="str">
        <f ca="1">IFERROR(__xludf.DUMMYFUNCTION("""COMPUTED_VALUE"""),"1756816887290")</f>
        <v>1756816887290</v>
      </c>
    </row>
    <row r="6888" spans="1:11" ht="12.45">
      <c r="A6888" s="2" t="str">
        <f ca="1">IFERROR(__xludf.DUMMYFUNCTION("""COMPUTED_VALUE"""),"1756816973975")</f>
        <v>1756816973975</v>
      </c>
      <c r="B6888" s="2"/>
      <c r="C6888" s="2" t="str">
        <v>0</v>
      </c>
      <c r="D6888" s="2"/>
      <c r="F6888" s="2" t="str">
        <v>0</v>
      </c>
      <c r="I6888" s="3" t="str">
        <f ca="1">IFERROR(__xludf.DUMMYFUNCTION("""COMPUTED_VALUE"""),"Đỗ Anh Thư")</f>
        <v>Đỗ Anh Thư</v>
      </c>
      <c r="J6888" s="3" t="str">
        <f ca="1">IFERROR(__xludf.DUMMYFUNCTION("""COMPUTED_VALUE"""),"0817920201")</f>
        <v>0817920201</v>
      </c>
      <c r="K6888" s="2" t="str">
        <f ca="1">IFERROR(__xludf.DUMMYFUNCTION("""COMPUTED_VALUE"""),"1756816973975")</f>
        <v>1756816973975</v>
      </c>
    </row>
    <row r="6889" spans="1:11" ht="12.45">
      <c r="A6889" s="2" t="str">
        <f ca="1">IFERROR(__xludf.DUMMYFUNCTION("""COMPUTED_VALUE"""),"1756817040518")</f>
        <v>1756817040518</v>
      </c>
      <c r="B6889" s="2"/>
      <c r="C6889" s="2" t="str">
        <v>0</v>
      </c>
      <c r="D6889" s="2"/>
      <c r="F6889" s="2" t="str">
        <v>0</v>
      </c>
      <c r="I6889" s="3" t="str">
        <f ca="1">IFERROR(__xludf.DUMMYFUNCTION("""COMPUTED_VALUE"""),"Võ Phúc Ngọc Minh")</f>
        <v>Võ Phúc Ngọc Minh</v>
      </c>
      <c r="J6889" s="3" t="str">
        <f ca="1">IFERROR(__xludf.DUMMYFUNCTION("""COMPUTED_VALUE"""),"0342838907")</f>
        <v>0342838907</v>
      </c>
      <c r="K6889" s="2" t="str">
        <f ca="1">IFERROR(__xludf.DUMMYFUNCTION("""COMPUTED_VALUE"""),"1756817040518")</f>
        <v>1756817040518</v>
      </c>
    </row>
    <row r="6890" spans="1:11" ht="12.45">
      <c r="A6890" s="2" t="str">
        <f ca="1">IFERROR(__xludf.DUMMYFUNCTION("""COMPUTED_VALUE"""),"1756817110874")</f>
        <v>1756817110874</v>
      </c>
      <c r="B6890" s="2"/>
      <c r="C6890" s="2" t="str">
        <v>0</v>
      </c>
      <c r="D6890" s="2"/>
      <c r="F6890" s="2" t="str">
        <v>0</v>
      </c>
      <c r="I6890" s="3" t="str">
        <f ca="1">IFERROR(__xludf.DUMMYFUNCTION("""COMPUTED_VALUE"""),"Trương Thị Hồng Ngọc ")</f>
        <v xml:space="preserve">Trương Thị Hồng Ngọc </v>
      </c>
      <c r="J6890" s="3" t="str">
        <f ca="1">IFERROR(__xludf.DUMMYFUNCTION("""COMPUTED_VALUE"""),"0961693153")</f>
        <v>0961693153</v>
      </c>
      <c r="K6890" s="2" t="str">
        <f ca="1">IFERROR(__xludf.DUMMYFUNCTION("""COMPUTED_VALUE"""),"1756817110874")</f>
        <v>1756817110874</v>
      </c>
    </row>
    <row r="6891" spans="1:11" ht="12.45">
      <c r="A6891" s="2" t="str">
        <f ca="1">IFERROR(__xludf.DUMMYFUNCTION("""COMPUTED_VALUE"""),"1756817194410")</f>
        <v>1756817194410</v>
      </c>
      <c r="B6891" s="2"/>
      <c r="C6891" s="2" t="str">
        <v>0</v>
      </c>
      <c r="D6891" s="2"/>
      <c r="F6891" s="2" t="str">
        <v>0</v>
      </c>
      <c r="I6891" s="3" t="str">
        <f ca="1">IFERROR(__xludf.DUMMYFUNCTION("""COMPUTED_VALUE"""),"Bùi Thu Huyền")</f>
        <v>Bùi Thu Huyền</v>
      </c>
      <c r="J6891" s="3" t="str">
        <f ca="1">IFERROR(__xludf.DUMMYFUNCTION("""COMPUTED_VALUE"""),"0396652385")</f>
        <v>0396652385</v>
      </c>
      <c r="K6891" s="2" t="str">
        <f ca="1">IFERROR(__xludf.DUMMYFUNCTION("""COMPUTED_VALUE"""),"1756817194410")</f>
        <v>1756817194410</v>
      </c>
    </row>
    <row r="6892" spans="1:11" ht="12.45">
      <c r="A6892" s="2" t="str">
        <f ca="1">IFERROR(__xludf.DUMMYFUNCTION("""COMPUTED_VALUE"""),"Không giao sách")</f>
        <v>Không giao sách</v>
      </c>
      <c r="B6892" s="2"/>
      <c r="C6892" s="2" t="str">
        <v>0</v>
      </c>
      <c r="D6892" s="2"/>
      <c r="F6892" s="2" t="str">
        <v>0</v>
      </c>
      <c r="I6892" s="3" t="str">
        <f ca="1">IFERROR(__xludf.DUMMYFUNCTION("""COMPUTED_VALUE"""),"Nguyễn Huy Hoàng")</f>
        <v>Nguyễn Huy Hoàng</v>
      </c>
      <c r="J6892" s="3" t="str">
        <f ca="1">IFERROR(__xludf.DUMMYFUNCTION("""COMPUTED_VALUE"""),"0888165668")</f>
        <v>0888165668</v>
      </c>
      <c r="K6892" s="2" t="str">
        <f ca="1">IFERROR(__xludf.DUMMYFUNCTION("""COMPUTED_VALUE"""),"Không giao sách")</f>
        <v>Không giao sách</v>
      </c>
    </row>
    <row r="6893" spans="1:11" ht="12.45">
      <c r="A6893" s="2" t="str">
        <f ca="1">IFERROR(__xludf.DUMMYFUNCTION("""COMPUTED_VALUE"""),"1756817287590")</f>
        <v>1756817287590</v>
      </c>
      <c r="B6893" s="2"/>
      <c r="C6893" s="2" t="str">
        <v>0</v>
      </c>
      <c r="D6893" s="2"/>
      <c r="F6893" s="2" t="str">
        <v>0</v>
      </c>
      <c r="I6893" s="3" t="str">
        <f ca="1">IFERROR(__xludf.DUMMYFUNCTION("""COMPUTED_VALUE"""),"Bùi Phương Doanh")</f>
        <v>Bùi Phương Doanh</v>
      </c>
      <c r="J6893" s="3" t="str">
        <f ca="1">IFERROR(__xludf.DUMMYFUNCTION("""COMPUTED_VALUE"""),"0852603548")</f>
        <v>0852603548</v>
      </c>
      <c r="K6893" s="2" t="str">
        <f ca="1">IFERROR(__xludf.DUMMYFUNCTION("""COMPUTED_VALUE"""),"1756817287590")</f>
        <v>1756817287590</v>
      </c>
    </row>
    <row r="6894" spans="1:11" ht="12.45">
      <c r="A6894" s="2" t="str">
        <f ca="1">IFERROR(__xludf.DUMMYFUNCTION("""COMPUTED_VALUE"""),"1756817370592")</f>
        <v>1756817370592</v>
      </c>
      <c r="B6894" s="2"/>
      <c r="C6894" s="2" t="str">
        <v>0</v>
      </c>
      <c r="D6894" s="2"/>
      <c r="F6894" s="2" t="str">
        <v>0</v>
      </c>
      <c r="I6894" s="3" t="str">
        <f ca="1">IFERROR(__xludf.DUMMYFUNCTION("""COMPUTED_VALUE"""),"Nguyễn Mai Chi")</f>
        <v>Nguyễn Mai Chi</v>
      </c>
      <c r="J6894" s="3" t="str">
        <f ca="1">IFERROR(__xludf.DUMMYFUNCTION("""COMPUTED_VALUE"""),"0868453024")</f>
        <v>0868453024</v>
      </c>
      <c r="K6894" s="2" t="str">
        <f ca="1">IFERROR(__xludf.DUMMYFUNCTION("""COMPUTED_VALUE"""),"1756817370592")</f>
        <v>1756817370592</v>
      </c>
    </row>
    <row r="6895" spans="1:11" ht="12.45">
      <c r="A6895" s="2" t="str">
        <f ca="1">IFERROR(__xludf.DUMMYFUNCTION("""COMPUTED_VALUE"""),"1756817435402")</f>
        <v>1756817435402</v>
      </c>
      <c r="B6895" s="2"/>
      <c r="C6895" s="2" t="str">
        <v>0</v>
      </c>
      <c r="D6895" s="2"/>
      <c r="F6895" s="2" t="str">
        <v>0</v>
      </c>
      <c r="I6895" s="3" t="str">
        <f ca="1">IFERROR(__xludf.DUMMYFUNCTION("""COMPUTED_VALUE"""),"trịnh hương duyên")</f>
        <v>trịnh hương duyên</v>
      </c>
      <c r="J6895" s="3" t="str">
        <f ca="1">IFERROR(__xludf.DUMMYFUNCTION("""COMPUTED_VALUE"""),"0938899133")</f>
        <v>0938899133</v>
      </c>
      <c r="K6895" s="2" t="str">
        <f ca="1">IFERROR(__xludf.DUMMYFUNCTION("""COMPUTED_VALUE"""),"1756817435402")</f>
        <v>1756817435402</v>
      </c>
    </row>
    <row r="6896" spans="1:11" ht="12.45">
      <c r="A6896" s="2" t="str">
        <f ca="1">IFERROR(__xludf.DUMMYFUNCTION("""COMPUTED_VALUE"""),"1756817497995")</f>
        <v>1756817497995</v>
      </c>
      <c r="B6896" s="2"/>
      <c r="C6896" s="2" t="str">
        <v>0</v>
      </c>
      <c r="D6896" s="2"/>
      <c r="F6896" s="2" t="str">
        <v>0</v>
      </c>
      <c r="I6896" s="3" t="str">
        <f ca="1">IFERROR(__xludf.DUMMYFUNCTION("""COMPUTED_VALUE"""),"Phan Thị Như Quỳnh ")</f>
        <v xml:space="preserve">Phan Thị Như Quỳnh </v>
      </c>
      <c r="J6896" s="3" t="str">
        <f ca="1">IFERROR(__xludf.DUMMYFUNCTION("""COMPUTED_VALUE"""),"0353884297")</f>
        <v>0353884297</v>
      </c>
      <c r="K6896" s="2" t="str">
        <f ca="1">IFERROR(__xludf.DUMMYFUNCTION("""COMPUTED_VALUE"""),"1756817497995")</f>
        <v>1756817497995</v>
      </c>
    </row>
    <row r="6897" spans="1:11" ht="12.45">
      <c r="A6897" s="2" t="str">
        <f ca="1">IFERROR(__xludf.DUMMYFUNCTION("""COMPUTED_VALUE"""),"1756817554857")</f>
        <v>1756817554857</v>
      </c>
      <c r="B6897" s="2"/>
      <c r="C6897" s="2" t="str">
        <v>0</v>
      </c>
      <c r="D6897" s="2"/>
      <c r="F6897" s="2" t="str">
        <v>0</v>
      </c>
      <c r="I6897" s="3" t="str">
        <f ca="1">IFERROR(__xludf.DUMMYFUNCTION("""COMPUTED_VALUE"""),"Lưu Đoàn Thiên Long")</f>
        <v>Lưu Đoàn Thiên Long</v>
      </c>
      <c r="J6897" s="3" t="str">
        <f ca="1">IFERROR(__xludf.DUMMYFUNCTION("""COMPUTED_VALUE"""),"0977638052")</f>
        <v>0977638052</v>
      </c>
      <c r="K6897" s="2" t="str">
        <f ca="1">IFERROR(__xludf.DUMMYFUNCTION("""COMPUTED_VALUE"""),"1756817554857")</f>
        <v>1756817554857</v>
      </c>
    </row>
    <row r="6898" spans="1:11" ht="12.45">
      <c r="A6898" s="2" t="str">
        <f ca="1">IFERROR(__xludf.DUMMYFUNCTION("""COMPUTED_VALUE"""),"1756817616771")</f>
        <v>1756817616771</v>
      </c>
      <c r="B6898" s="2"/>
      <c r="C6898" s="2" t="str">
        <v>0</v>
      </c>
      <c r="D6898" s="2"/>
      <c r="F6898" s="2" t="str">
        <v>0</v>
      </c>
      <c r="I6898" s="3" t="str">
        <f ca="1">IFERROR(__xludf.DUMMYFUNCTION("""COMPUTED_VALUE"""),"Thào Thị Thi")</f>
        <v>Thào Thị Thi</v>
      </c>
      <c r="J6898" s="3" t="str">
        <f ca="1">IFERROR(__xludf.DUMMYFUNCTION("""COMPUTED_VALUE"""),"0945763106")</f>
        <v>0945763106</v>
      </c>
      <c r="K6898" s="2" t="str">
        <f ca="1">IFERROR(__xludf.DUMMYFUNCTION("""COMPUTED_VALUE"""),"1756817616771")</f>
        <v>1756817616771</v>
      </c>
    </row>
    <row r="6899" spans="1:11" ht="12.45">
      <c r="A6899" s="2" t="str">
        <f ca="1">IFERROR(__xludf.DUMMYFUNCTION("""COMPUTED_VALUE"""),"1756817674480")</f>
        <v>1756817674480</v>
      </c>
      <c r="B6899" s="2"/>
      <c r="C6899" s="2" t="str">
        <v>0</v>
      </c>
      <c r="D6899" s="2"/>
      <c r="F6899" s="2" t="str">
        <v>0</v>
      </c>
      <c r="I6899" s="3" t="str">
        <f ca="1">IFERROR(__xludf.DUMMYFUNCTION("""COMPUTED_VALUE"""),"Vũ Gia Học")</f>
        <v>Vũ Gia Học</v>
      </c>
      <c r="J6899" s="3" t="str">
        <f ca="1">IFERROR(__xludf.DUMMYFUNCTION("""COMPUTED_VALUE"""),"0353143967")</f>
        <v>0353143967</v>
      </c>
      <c r="K6899" s="2" t="str">
        <f ca="1">IFERROR(__xludf.DUMMYFUNCTION("""COMPUTED_VALUE"""),"1756817674480")</f>
        <v>1756817674480</v>
      </c>
    </row>
    <row r="6900" spans="1:11" ht="12.45">
      <c r="A6900" s="2" t="str">
        <f ca="1">IFERROR(__xludf.DUMMYFUNCTION("""COMPUTED_VALUE"""),"1756817756783")</f>
        <v>1756817756783</v>
      </c>
      <c r="B6900" s="2"/>
      <c r="C6900" s="2" t="str">
        <v>0</v>
      </c>
      <c r="D6900" s="2"/>
      <c r="F6900" s="2" t="str">
        <v>0</v>
      </c>
      <c r="I6900" s="3" t="str">
        <f ca="1">IFERROR(__xludf.DUMMYFUNCTION("""COMPUTED_VALUE"""),"Đỗ Thùy Linh")</f>
        <v>Đỗ Thùy Linh</v>
      </c>
      <c r="J6900" s="3" t="str">
        <f ca="1">IFERROR(__xludf.DUMMYFUNCTION("""COMPUTED_VALUE"""),"0386802379")</f>
        <v>0386802379</v>
      </c>
      <c r="K6900" s="2" t="str">
        <f ca="1">IFERROR(__xludf.DUMMYFUNCTION("""COMPUTED_VALUE"""),"1756817756783")</f>
        <v>1756817756783</v>
      </c>
    </row>
    <row r="6901" spans="1:11" ht="12.45">
      <c r="A6901" s="2" t="str">
        <f ca="1">IFERROR(__xludf.DUMMYFUNCTION("""COMPUTED_VALUE"""),"1756817809949")</f>
        <v>1756817809949</v>
      </c>
      <c r="B6901" s="2"/>
      <c r="C6901" s="2" t="str">
        <v>0</v>
      </c>
      <c r="D6901" s="2"/>
      <c r="F6901" s="2" t="str">
        <v>0</v>
      </c>
      <c r="I6901" s="3" t="str">
        <f ca="1">IFERROR(__xludf.DUMMYFUNCTION("""COMPUTED_VALUE"""),"Phan Thị Ngọc Hiếu")</f>
        <v>Phan Thị Ngọc Hiếu</v>
      </c>
      <c r="J6901" s="3" t="str">
        <f ca="1">IFERROR(__xludf.DUMMYFUNCTION("""COMPUTED_VALUE"""),"0325384074")</f>
        <v>0325384074</v>
      </c>
      <c r="K6901" s="2" t="str">
        <f ca="1">IFERROR(__xludf.DUMMYFUNCTION("""COMPUTED_VALUE"""),"1756817809949")</f>
        <v>1756817809949</v>
      </c>
    </row>
    <row r="6902" spans="1:11" ht="12.45">
      <c r="A6902" s="2" t="str">
        <f ca="1">IFERROR(__xludf.DUMMYFUNCTION("""COMPUTED_VALUE"""),"1756817889545")</f>
        <v>1756817889545</v>
      </c>
      <c r="B6902" s="2"/>
      <c r="C6902" s="2" t="str">
        <v>0</v>
      </c>
      <c r="D6902" s="2"/>
      <c r="F6902" s="2" t="str">
        <v>0</v>
      </c>
      <c r="I6902" s="3" t="str">
        <f ca="1">IFERROR(__xludf.DUMMYFUNCTION("""COMPUTED_VALUE"""),"Nguyễn Bảo Trâm")</f>
        <v>Nguyễn Bảo Trâm</v>
      </c>
      <c r="J6902" s="3" t="str">
        <f ca="1">IFERROR(__xludf.DUMMYFUNCTION("""COMPUTED_VALUE"""),"0836057907")</f>
        <v>0836057907</v>
      </c>
      <c r="K6902" s="2" t="str">
        <f ca="1">IFERROR(__xludf.DUMMYFUNCTION("""COMPUTED_VALUE"""),"1756817889545")</f>
        <v>1756817889545</v>
      </c>
    </row>
    <row r="6903" spans="1:11" ht="12.45">
      <c r="A6903" s="2" t="str">
        <f ca="1">IFERROR(__xludf.DUMMYFUNCTION("""COMPUTED_VALUE"""),"1756817949307")</f>
        <v>1756817949307</v>
      </c>
      <c r="B6903" s="2"/>
      <c r="C6903" s="2" t="str">
        <v>0</v>
      </c>
      <c r="D6903" s="2"/>
      <c r="F6903" s="2" t="str">
        <v>0</v>
      </c>
      <c r="I6903" s="3" t="str">
        <f ca="1">IFERROR(__xludf.DUMMYFUNCTION("""COMPUTED_VALUE"""),"Nguyễn Ngô Phương Anh")</f>
        <v>Nguyễn Ngô Phương Anh</v>
      </c>
      <c r="J6903" s="3" t="str">
        <f ca="1">IFERROR(__xludf.DUMMYFUNCTION("""COMPUTED_VALUE"""),"0384230248")</f>
        <v>0384230248</v>
      </c>
      <c r="K6903" s="2" t="str">
        <f ca="1">IFERROR(__xludf.DUMMYFUNCTION("""COMPUTED_VALUE"""),"1756817949307")</f>
        <v>1756817949307</v>
      </c>
    </row>
    <row r="6904" spans="1:11" ht="12.45">
      <c r="A6904" s="2" t="str">
        <f ca="1">IFERROR(__xludf.DUMMYFUNCTION("""COMPUTED_VALUE"""),"1756817991211")</f>
        <v>1756817991211</v>
      </c>
      <c r="B6904" s="2"/>
      <c r="C6904" s="2" t="str">
        <v>0</v>
      </c>
      <c r="D6904" s="2"/>
      <c r="F6904" s="2" t="str">
        <v>0</v>
      </c>
      <c r="I6904" s="3" t="str">
        <f ca="1">IFERROR(__xludf.DUMMYFUNCTION("""COMPUTED_VALUE"""),"Phạm Nguyễn Thảo Nguyêb")</f>
        <v>Phạm Nguyễn Thảo Nguyêb</v>
      </c>
      <c r="J6904" s="3" t="str">
        <f ca="1">IFERROR(__xludf.DUMMYFUNCTION("""COMPUTED_VALUE"""),"0909578907")</f>
        <v>0909578907</v>
      </c>
      <c r="K6904" s="2" t="str">
        <f ca="1">IFERROR(__xludf.DUMMYFUNCTION("""COMPUTED_VALUE"""),"1756817991211")</f>
        <v>1756817991211</v>
      </c>
    </row>
    <row r="6905" spans="1:11" ht="12.45">
      <c r="A6905" s="2" t="str">
        <f ca="1">IFERROR(__xludf.DUMMYFUNCTION("""COMPUTED_VALUE"""),"1756818051299")</f>
        <v>1756818051299</v>
      </c>
      <c r="B6905" s="2"/>
      <c r="C6905" s="2" t="str">
        <v>0</v>
      </c>
      <c r="D6905" s="2"/>
      <c r="F6905" s="2" t="str">
        <v>0</v>
      </c>
      <c r="I6905" s="3" t="str">
        <f ca="1">IFERROR(__xludf.DUMMYFUNCTION("""COMPUTED_VALUE"""),"Nguyễn Ngọc Linh")</f>
        <v>Nguyễn Ngọc Linh</v>
      </c>
      <c r="J6905" s="3" t="str">
        <f ca="1">IFERROR(__xludf.DUMMYFUNCTION("""COMPUTED_VALUE"""),"0347156526")</f>
        <v>0347156526</v>
      </c>
      <c r="K6905" s="2" t="str">
        <f ca="1">IFERROR(__xludf.DUMMYFUNCTION("""COMPUTED_VALUE"""),"1756818051299")</f>
        <v>1756818051299</v>
      </c>
    </row>
    <row r="6906" spans="1:11" ht="12.45">
      <c r="A6906" s="2" t="str">
        <f ca="1">IFERROR(__xludf.DUMMYFUNCTION("""COMPUTED_VALUE"""),"1756818091828")</f>
        <v>1756818091828</v>
      </c>
      <c r="B6906" s="2"/>
      <c r="C6906" s="2" t="str">
        <v>0</v>
      </c>
      <c r="D6906" s="2"/>
      <c r="F6906" s="2" t="str">
        <v>0</v>
      </c>
      <c r="I6906" s="3" t="str">
        <f ca="1">IFERROR(__xludf.DUMMYFUNCTION("""COMPUTED_VALUE"""),"Phạm Quỳnh Nhi ")</f>
        <v xml:space="preserve">Phạm Quỳnh Nhi </v>
      </c>
      <c r="J6906" s="3" t="str">
        <f ca="1">IFERROR(__xludf.DUMMYFUNCTION("""COMPUTED_VALUE"""),"0972950900")</f>
        <v>0972950900</v>
      </c>
      <c r="K6906" s="2" t="str">
        <f ca="1">IFERROR(__xludf.DUMMYFUNCTION("""COMPUTED_VALUE"""),"1756818091828")</f>
        <v>1756818091828</v>
      </c>
    </row>
    <row r="6907" spans="1:11" ht="12.45">
      <c r="A6907" s="2" t="str">
        <f ca="1">IFERROR(__xludf.DUMMYFUNCTION("""COMPUTED_VALUE"""),"1756830414836")</f>
        <v>1756830414836</v>
      </c>
      <c r="B6907" s="2"/>
      <c r="C6907" s="2" t="str">
        <v>0</v>
      </c>
      <c r="D6907" s="2"/>
      <c r="F6907" s="2" t="str">
        <v>0</v>
      </c>
      <c r="I6907" s="3" t="str">
        <f ca="1">IFERROR(__xludf.DUMMYFUNCTION("""COMPUTED_VALUE"""),"Nguyễn Thị Huyền")</f>
        <v>Nguyễn Thị Huyền</v>
      </c>
      <c r="J6907" s="3" t="str">
        <f ca="1">IFERROR(__xludf.DUMMYFUNCTION("""COMPUTED_VALUE"""),"0378075850")</f>
        <v>0378075850</v>
      </c>
      <c r="K6907" s="2" t="str">
        <f ca="1">IFERROR(__xludf.DUMMYFUNCTION("""COMPUTED_VALUE"""),"1756830414836")</f>
        <v>1756830414836</v>
      </c>
    </row>
    <row r="6908" spans="1:11" ht="12.45">
      <c r="A6908" s="2" t="str">
        <f ca="1">IFERROR(__xludf.DUMMYFUNCTION("""COMPUTED_VALUE"""),"1756830507151")</f>
        <v>1756830507151</v>
      </c>
      <c r="B6908" s="2"/>
      <c r="C6908" s="2" t="str">
        <v>0</v>
      </c>
      <c r="D6908" s="2"/>
      <c r="F6908" s="2" t="str">
        <v>0</v>
      </c>
      <c r="I6908" s="3" t="str">
        <f ca="1">IFERROR(__xludf.DUMMYFUNCTION("""COMPUTED_VALUE"""),"Trần Thùy Dương ")</f>
        <v xml:space="preserve">Trần Thùy Dương </v>
      </c>
      <c r="J6908" s="3" t="str">
        <f ca="1">IFERROR(__xludf.DUMMYFUNCTION("""COMPUTED_VALUE"""),"0931843107")</f>
        <v>0931843107</v>
      </c>
      <c r="K6908" s="2" t="str">
        <f ca="1">IFERROR(__xludf.DUMMYFUNCTION("""COMPUTED_VALUE"""),"1756830507151")</f>
        <v>1756830507151</v>
      </c>
    </row>
    <row r="6909" spans="1:11" ht="12.45">
      <c r="A6909" s="2" t="str">
        <f ca="1">IFERROR(__xludf.DUMMYFUNCTION("""COMPUTED_VALUE"""),"1756830546913")</f>
        <v>1756830546913</v>
      </c>
      <c r="B6909" s="2"/>
      <c r="C6909" s="2" t="str">
        <v>0</v>
      </c>
      <c r="D6909" s="2"/>
      <c r="F6909" s="2" t="str">
        <v>0</v>
      </c>
      <c r="I6909" s="3" t="str">
        <f ca="1">IFERROR(__xludf.DUMMYFUNCTION("""COMPUTED_VALUE"""),"Nguyễn Thanh Huyền")</f>
        <v>Nguyễn Thanh Huyền</v>
      </c>
      <c r="J6909" s="3" t="str">
        <f ca="1">IFERROR(__xludf.DUMMYFUNCTION("""COMPUTED_VALUE"""),"0975299163")</f>
        <v>0975299163</v>
      </c>
      <c r="K6909" s="2" t="str">
        <f ca="1">IFERROR(__xludf.DUMMYFUNCTION("""COMPUTED_VALUE"""),"1756830546913")</f>
        <v>1756830546913</v>
      </c>
    </row>
    <row r="6910" spans="1:11" ht="12.45">
      <c r="A6910" s="2" t="str">
        <f ca="1">IFERROR(__xludf.DUMMYFUNCTION("""COMPUTED_VALUE"""),"1756830607442")</f>
        <v>1756830607442</v>
      </c>
      <c r="B6910" s="2"/>
      <c r="C6910" s="2" t="str">
        <v>0</v>
      </c>
      <c r="D6910" s="2"/>
      <c r="F6910" s="2" t="str">
        <v>0</v>
      </c>
      <c r="I6910" s="3" t="str">
        <f ca="1">IFERROR(__xludf.DUMMYFUNCTION("""COMPUTED_VALUE"""),"Đậu Anh Dũng ")</f>
        <v xml:space="preserve">Đậu Anh Dũng </v>
      </c>
      <c r="J6910" s="3" t="str">
        <f ca="1">IFERROR(__xludf.DUMMYFUNCTION("""COMPUTED_VALUE"""),"0372010837")</f>
        <v>0372010837</v>
      </c>
      <c r="K6910" s="2" t="str">
        <f ca="1">IFERROR(__xludf.DUMMYFUNCTION("""COMPUTED_VALUE"""),"1756830607442")</f>
        <v>1756830607442</v>
      </c>
    </row>
    <row r="6911" spans="1:11" ht="12.45">
      <c r="A6911" s="2" t="str">
        <f ca="1">IFERROR(__xludf.DUMMYFUNCTION("""COMPUTED_VALUE"""),"1756830692869")</f>
        <v>1756830692869</v>
      </c>
      <c r="B6911" s="2"/>
      <c r="C6911" s="2" t="str">
        <v>0</v>
      </c>
      <c r="D6911" s="2"/>
      <c r="F6911" s="2" t="str">
        <v>0</v>
      </c>
      <c r="I6911" s="3" t="str">
        <f ca="1">IFERROR(__xludf.DUMMYFUNCTION("""COMPUTED_VALUE"""),"Võ Thị Hồng Nga")</f>
        <v>Võ Thị Hồng Nga</v>
      </c>
      <c r="J6911" s="3" t="str">
        <f ca="1">IFERROR(__xludf.DUMMYFUNCTION("""COMPUTED_VALUE"""),"0583785867")</f>
        <v>0583785867</v>
      </c>
      <c r="K6911" s="2" t="str">
        <f ca="1">IFERROR(__xludf.DUMMYFUNCTION("""COMPUTED_VALUE"""),"1756830692869")</f>
        <v>1756830692869</v>
      </c>
    </row>
    <row r="6912" spans="1:11" ht="12.45">
      <c r="A6912" s="2" t="str">
        <f ca="1">IFERROR(__xludf.DUMMYFUNCTION("""COMPUTED_VALUE"""),"1763378406064")</f>
        <v>1763378406064</v>
      </c>
      <c r="B6912" s="2"/>
      <c r="C6912" s="2" t="str">
        <v>0</v>
      </c>
      <c r="D6912" s="2"/>
      <c r="F6912" s="2" t="str">
        <v>0</v>
      </c>
      <c r="I6912" s="3" t="str">
        <f ca="1">IFERROR(__xludf.DUMMYFUNCTION("""COMPUTED_VALUE"""),"Nguyễn Thị Bảo Ngọc ")</f>
        <v xml:space="preserve">Nguyễn Thị Bảo Ngọc </v>
      </c>
      <c r="J6912" s="3" t="str">
        <f ca="1">IFERROR(__xludf.DUMMYFUNCTION("""COMPUTED_VALUE"""),"0378732103")</f>
        <v>0378732103</v>
      </c>
      <c r="K6912" s="2" t="str">
        <f ca="1">IFERROR(__xludf.DUMMYFUNCTION("""COMPUTED_VALUE"""),"1763378406064")</f>
        <v>1763378406064</v>
      </c>
    </row>
    <row r="6913" spans="1:11" ht="12.45">
      <c r="A6913" s="2" t="str">
        <f ca="1">IFERROR(__xludf.DUMMYFUNCTION("""COMPUTED_VALUE"""),"1756830737456")</f>
        <v>1756830737456</v>
      </c>
      <c r="B6913" s="2"/>
      <c r="C6913" s="2" t="str">
        <v>0</v>
      </c>
      <c r="D6913" s="2"/>
      <c r="F6913" s="2" t="str">
        <v>0</v>
      </c>
      <c r="I6913" s="3" t="str">
        <f ca="1">IFERROR(__xludf.DUMMYFUNCTION("""COMPUTED_VALUE"""),"Nguyễn Thị Mỹ Dung")</f>
        <v>Nguyễn Thị Mỹ Dung</v>
      </c>
      <c r="J6913" s="3" t="str">
        <f ca="1">IFERROR(__xludf.DUMMYFUNCTION("""COMPUTED_VALUE"""),"0814977866")</f>
        <v>0814977866</v>
      </c>
      <c r="K6913" s="2" t="str">
        <f ca="1">IFERROR(__xludf.DUMMYFUNCTION("""COMPUTED_VALUE"""),"1756830737456")</f>
        <v>1756830737456</v>
      </c>
    </row>
    <row r="6914" spans="1:11" ht="12.45">
      <c r="A6914" s="2" t="str">
        <f ca="1">IFERROR(__xludf.DUMMYFUNCTION("""COMPUTED_VALUE"""),"1756830796838")</f>
        <v>1756830796838</v>
      </c>
      <c r="B6914" s="2"/>
      <c r="C6914" s="2" t="str">
        <v>0</v>
      </c>
      <c r="D6914" s="2"/>
      <c r="F6914" s="2" t="str">
        <v>0</v>
      </c>
      <c r="I6914" s="3" t="str">
        <f ca="1">IFERROR(__xludf.DUMMYFUNCTION("""COMPUTED_VALUE"""),"Phạm Nữ Trà My")</f>
        <v>Phạm Nữ Trà My</v>
      </c>
      <c r="J6914" s="3" t="str">
        <f ca="1">IFERROR(__xludf.DUMMYFUNCTION("""COMPUTED_VALUE"""),"0797828600")</f>
        <v>0797828600</v>
      </c>
      <c r="K6914" s="2" t="str">
        <f ca="1">IFERROR(__xludf.DUMMYFUNCTION("""COMPUTED_VALUE"""),"1756830796838")</f>
        <v>1756830796838</v>
      </c>
    </row>
    <row r="6915" spans="1:11" ht="12.45">
      <c r="A6915" s="2" t="str">
        <f ca="1">IFERROR(__xludf.DUMMYFUNCTION("""COMPUTED_VALUE"""),"1756830866271")</f>
        <v>1756830866271</v>
      </c>
      <c r="B6915" s="2"/>
      <c r="C6915" s="2" t="str">
        <v>0</v>
      </c>
      <c r="D6915" s="2"/>
      <c r="F6915" s="2" t="str">
        <v>0</v>
      </c>
      <c r="I6915" s="3" t="str">
        <f ca="1">IFERROR(__xludf.DUMMYFUNCTION("""COMPUTED_VALUE"""),"Nguyễn Thị Anh Thư")</f>
        <v>Nguyễn Thị Anh Thư</v>
      </c>
      <c r="J6915" s="3" t="str">
        <f ca="1">IFERROR(__xludf.DUMMYFUNCTION("""COMPUTED_VALUE"""),"0366060978")</f>
        <v>0366060978</v>
      </c>
      <c r="K6915" s="2" t="str">
        <f ca="1">IFERROR(__xludf.DUMMYFUNCTION("""COMPUTED_VALUE"""),"1756830866271")</f>
        <v>1756830866271</v>
      </c>
    </row>
    <row r="6916" spans="1:11" ht="12.45">
      <c r="A6916" s="2" t="str">
        <f ca="1">IFERROR(__xludf.DUMMYFUNCTION("""COMPUTED_VALUE"""),"1756830997771")</f>
        <v>1756830997771</v>
      </c>
      <c r="B6916" s="2"/>
      <c r="C6916" s="2" t="str">
        <v>0</v>
      </c>
      <c r="D6916" s="2"/>
      <c r="F6916" s="2" t="str">
        <v>0</v>
      </c>
      <c r="I6916" s="3" t="str">
        <f ca="1">IFERROR(__xludf.DUMMYFUNCTION("""COMPUTED_VALUE"""),"Hồ Thị Ngọc Trinh")</f>
        <v>Hồ Thị Ngọc Trinh</v>
      </c>
      <c r="J6916" s="3" t="str">
        <f ca="1">IFERROR(__xludf.DUMMYFUNCTION("""COMPUTED_VALUE"""),"0914147309")</f>
        <v>0914147309</v>
      </c>
      <c r="K6916" s="2" t="str">
        <f ca="1">IFERROR(__xludf.DUMMYFUNCTION("""COMPUTED_VALUE"""),"1756830997771")</f>
        <v>1756830997771</v>
      </c>
    </row>
    <row r="6917" spans="1:11" ht="12.45">
      <c r="A6917" s="2" t="str">
        <f ca="1">IFERROR(__xludf.DUMMYFUNCTION("""COMPUTED_VALUE"""),"1756831089715")</f>
        <v>1756831089715</v>
      </c>
      <c r="B6917" s="2"/>
      <c r="C6917" s="2" t="str">
        <v>0</v>
      </c>
      <c r="D6917" s="2"/>
      <c r="F6917" s="2" t="str">
        <v>0</v>
      </c>
      <c r="I6917" s="3" t="str">
        <f ca="1">IFERROR(__xludf.DUMMYFUNCTION("""COMPUTED_VALUE"""),"Trần Huyền Trang")</f>
        <v>Trần Huyền Trang</v>
      </c>
      <c r="J6917" s="3" t="str">
        <f ca="1">IFERROR(__xludf.DUMMYFUNCTION("""COMPUTED_VALUE"""),"0867991675")</f>
        <v>0867991675</v>
      </c>
      <c r="K6917" s="2" t="str">
        <f ca="1">IFERROR(__xludf.DUMMYFUNCTION("""COMPUTED_VALUE"""),"1756831089715")</f>
        <v>1756831089715</v>
      </c>
    </row>
    <row r="6918" spans="1:11" ht="12.45">
      <c r="A6918" s="2" t="str">
        <f ca="1">IFERROR(__xludf.DUMMYFUNCTION("""COMPUTED_VALUE"""),"1756875716713")</f>
        <v>1756875716713</v>
      </c>
      <c r="B6918" s="2"/>
      <c r="C6918" s="2" t="str">
        <v>0</v>
      </c>
      <c r="D6918" s="2"/>
      <c r="F6918" s="2" t="str">
        <v>0</v>
      </c>
      <c r="I6918" s="3" t="str">
        <f ca="1">IFERROR(__xludf.DUMMYFUNCTION("""COMPUTED_VALUE"""),"Nguyễn Thị Thuỷ Tiên")</f>
        <v>Nguyễn Thị Thuỷ Tiên</v>
      </c>
      <c r="J6918" s="3" t="str">
        <f ca="1">IFERROR(__xludf.DUMMYFUNCTION("""COMPUTED_VALUE"""),"0354242818")</f>
        <v>0354242818</v>
      </c>
      <c r="K6918" s="2" t="str">
        <f ca="1">IFERROR(__xludf.DUMMYFUNCTION("""COMPUTED_VALUE"""),"1756875716713")</f>
        <v>1756875716713</v>
      </c>
    </row>
    <row r="6919" spans="1:11" ht="12.45">
      <c r="A6919" s="2">
        <f ca="1">IFERROR(__xludf.DUMMYFUNCTION("""COMPUTED_VALUE"""),1757350959189)</f>
        <v>1757350959189</v>
      </c>
      <c r="B6919" s="2"/>
      <c r="C6919" s="2" t="str">
        <v>0</v>
      </c>
      <c r="D6919" s="2"/>
      <c r="F6919" s="2" t="str">
        <v>0</v>
      </c>
      <c r="I6919" s="3" t="str">
        <f ca="1">IFERROR(__xludf.DUMMYFUNCTION("""COMPUTED_VALUE"""),"Nguyễn Thị Phương Thảo")</f>
        <v>Nguyễn Thị Phương Thảo</v>
      </c>
      <c r="J6919" s="3" t="str">
        <f ca="1">IFERROR(__xludf.DUMMYFUNCTION("""COMPUTED_VALUE"""),"0966717848")</f>
        <v>0966717848</v>
      </c>
      <c r="K6919" s="2">
        <f ca="1">IFERROR(__xludf.DUMMYFUNCTION("""COMPUTED_VALUE"""),1757350959189)</f>
        <v>1757350959189</v>
      </c>
    </row>
    <row r="6920" spans="1:11" ht="12.45">
      <c r="A6920" s="2" t="str">
        <f ca="1">IFERROR(__xludf.DUMMYFUNCTION("""COMPUTED_VALUE"""),"1756875782178")</f>
        <v>1756875782178</v>
      </c>
      <c r="B6920" s="2"/>
      <c r="C6920" s="2" t="str">
        <v>0</v>
      </c>
      <c r="D6920" s="2"/>
      <c r="F6920" s="2" t="str">
        <v>0</v>
      </c>
      <c r="I6920" s="3" t="str">
        <f ca="1">IFERROR(__xludf.DUMMYFUNCTION("""COMPUTED_VALUE"""),"Phạm Thị Hường")</f>
        <v>Phạm Thị Hường</v>
      </c>
      <c r="J6920" s="3" t="str">
        <f ca="1">IFERROR(__xludf.DUMMYFUNCTION("""COMPUTED_VALUE"""),"0376291151")</f>
        <v>0376291151</v>
      </c>
      <c r="K6920" s="2" t="str">
        <f ca="1">IFERROR(__xludf.DUMMYFUNCTION("""COMPUTED_VALUE"""),"1756875782178")</f>
        <v>1756875782178</v>
      </c>
    </row>
    <row r="6921" spans="1:11" ht="12.45">
      <c r="A6921" s="2" t="str">
        <f ca="1">IFERROR(__xludf.DUMMYFUNCTION("""COMPUTED_VALUE"""),"Không giao sách")</f>
        <v>Không giao sách</v>
      </c>
      <c r="B6921" s="2"/>
      <c r="C6921" s="2" t="str">
        <v>0</v>
      </c>
      <c r="D6921" s="2"/>
      <c r="F6921" s="2" t="str">
        <v>0</v>
      </c>
      <c r="I6921" s="3" t="str">
        <f ca="1">IFERROR(__xludf.DUMMYFUNCTION("""COMPUTED_VALUE"""),"Nguyễn Trần Khánh Anh ")</f>
        <v xml:space="preserve">Nguyễn Trần Khánh Anh </v>
      </c>
      <c r="J6921" s="3" t="str">
        <f ca="1">IFERROR(__xludf.DUMMYFUNCTION("""COMPUTED_VALUE"""),"0358060947")</f>
        <v>0358060947</v>
      </c>
      <c r="K6921" s="2" t="str">
        <f ca="1">IFERROR(__xludf.DUMMYFUNCTION("""COMPUTED_VALUE"""),"Không giao sách")</f>
        <v>Không giao sách</v>
      </c>
    </row>
    <row r="6922" spans="1:11" ht="12.45">
      <c r="A6922" s="2" t="str">
        <f ca="1">IFERROR(__xludf.DUMMYFUNCTION("""COMPUTED_VALUE"""),"1756875834648")</f>
        <v>1756875834648</v>
      </c>
      <c r="B6922" s="2"/>
      <c r="C6922" s="2" t="str">
        <v>0</v>
      </c>
      <c r="D6922" s="2"/>
      <c r="F6922" s="2" t="str">
        <v>0</v>
      </c>
      <c r="I6922" s="3" t="str">
        <f ca="1">IFERROR(__xludf.DUMMYFUNCTION("""COMPUTED_VALUE"""),"Lê Thuý Quỳnh")</f>
        <v>Lê Thuý Quỳnh</v>
      </c>
      <c r="J6922" s="3" t="str">
        <f ca="1">IFERROR(__xludf.DUMMYFUNCTION("""COMPUTED_VALUE"""),"0983867278")</f>
        <v>0983867278</v>
      </c>
      <c r="K6922" s="2" t="str">
        <f ca="1">IFERROR(__xludf.DUMMYFUNCTION("""COMPUTED_VALUE"""),"1756875834648")</f>
        <v>1756875834648</v>
      </c>
    </row>
    <row r="6923" spans="1:11" ht="12.45">
      <c r="A6923" s="2" t="str">
        <f ca="1">IFERROR(__xludf.DUMMYFUNCTION("""COMPUTED_VALUE"""),"1756875892737")</f>
        <v>1756875892737</v>
      </c>
      <c r="B6923" s="2"/>
      <c r="C6923" s="2" t="str">
        <v>0</v>
      </c>
      <c r="D6923" s="2"/>
      <c r="F6923" s="2" t="str">
        <v>0</v>
      </c>
      <c r="I6923" s="3" t="str">
        <f ca="1">IFERROR(__xludf.DUMMYFUNCTION("""COMPUTED_VALUE"""),"Nguyễn Tuệ Minh Anh ")</f>
        <v xml:space="preserve">Nguyễn Tuệ Minh Anh </v>
      </c>
      <c r="J6923" s="3" t="str">
        <f ca="1">IFERROR(__xludf.DUMMYFUNCTION("""COMPUTED_VALUE"""),"0327102345")</f>
        <v>0327102345</v>
      </c>
      <c r="K6923" s="2" t="str">
        <f ca="1">IFERROR(__xludf.DUMMYFUNCTION("""COMPUTED_VALUE"""),"1756875892737")</f>
        <v>1756875892737</v>
      </c>
    </row>
    <row r="6924" spans="1:11" ht="12.45">
      <c r="A6924" s="2" t="str">
        <f ca="1">IFERROR(__xludf.DUMMYFUNCTION("""COMPUTED_VALUE"""),"1756875934007")</f>
        <v>1756875934007</v>
      </c>
      <c r="B6924" s="2"/>
      <c r="C6924" s="2" t="str">
        <v>0</v>
      </c>
      <c r="D6924" s="2"/>
      <c r="F6924" s="2" t="str">
        <v>0</v>
      </c>
      <c r="I6924" s="3" t="str">
        <f ca="1">IFERROR(__xludf.DUMMYFUNCTION("""COMPUTED_VALUE"""),"Phan Thị Minh Anh")</f>
        <v>Phan Thị Minh Anh</v>
      </c>
      <c r="J6924" s="3" t="str">
        <f ca="1">IFERROR(__xludf.DUMMYFUNCTION("""COMPUTED_VALUE"""),"0393046986")</f>
        <v>0393046986</v>
      </c>
      <c r="K6924" s="2" t="str">
        <f ca="1">IFERROR(__xludf.DUMMYFUNCTION("""COMPUTED_VALUE"""),"1756875934007")</f>
        <v>1756875934007</v>
      </c>
    </row>
    <row r="6925" spans="1:11" ht="12.45">
      <c r="A6925" s="2" t="str">
        <f ca="1">IFERROR(__xludf.DUMMYFUNCTION("""COMPUTED_VALUE"""),"1756875988985")</f>
        <v>1756875988985</v>
      </c>
      <c r="B6925" s="2"/>
      <c r="C6925" s="2" t="str">
        <v>0</v>
      </c>
      <c r="D6925" s="2"/>
      <c r="F6925" s="2" t="str">
        <v>0</v>
      </c>
      <c r="I6925" s="3" t="str">
        <f ca="1">IFERROR(__xludf.DUMMYFUNCTION("""COMPUTED_VALUE"""),"Hoàng Thị Ái Vy")</f>
        <v>Hoàng Thị Ái Vy</v>
      </c>
      <c r="J6925" s="3" t="str">
        <f ca="1">IFERROR(__xludf.DUMMYFUNCTION("""COMPUTED_VALUE"""),"0345757450")</f>
        <v>0345757450</v>
      </c>
      <c r="K6925" s="2" t="str">
        <f ca="1">IFERROR(__xludf.DUMMYFUNCTION("""COMPUTED_VALUE"""),"1756875988985")</f>
        <v>1756875988985</v>
      </c>
    </row>
    <row r="6926" spans="1:11" ht="12.45">
      <c r="A6926" s="2" t="str">
        <f ca="1">IFERROR(__xludf.DUMMYFUNCTION("""COMPUTED_VALUE"""),"1756876034069")</f>
        <v>1756876034069</v>
      </c>
      <c r="B6926" s="2"/>
      <c r="C6926" s="2" t="str">
        <v>0</v>
      </c>
      <c r="D6926" s="2"/>
      <c r="F6926" s="2" t="str">
        <v>0</v>
      </c>
      <c r="I6926" s="3" t="str">
        <f ca="1">IFERROR(__xludf.DUMMYFUNCTION("""COMPUTED_VALUE"""),"Nguyễn Thị Quỳnh Hương ")</f>
        <v xml:space="preserve">Nguyễn Thị Quỳnh Hương </v>
      </c>
      <c r="J6926" s="3" t="str">
        <f ca="1">IFERROR(__xludf.DUMMYFUNCTION("""COMPUTED_VALUE"""),"0355680531")</f>
        <v>0355680531</v>
      </c>
      <c r="K6926" s="2" t="str">
        <f ca="1">IFERROR(__xludf.DUMMYFUNCTION("""COMPUTED_VALUE"""),"1756876034069")</f>
        <v>1756876034069</v>
      </c>
    </row>
    <row r="6927" spans="1:11" ht="12.45">
      <c r="A6927" s="2" t="str">
        <f ca="1">IFERROR(__xludf.DUMMYFUNCTION("""COMPUTED_VALUE"""),"1756876073034")</f>
        <v>1756876073034</v>
      </c>
      <c r="B6927" s="2"/>
      <c r="C6927" s="2" t="str">
        <v>0</v>
      </c>
      <c r="D6927" s="2"/>
      <c r="F6927" s="2" t="str">
        <v>0</v>
      </c>
      <c r="I6927" s="3" t="str">
        <f ca="1">IFERROR(__xludf.DUMMYFUNCTION("""COMPUTED_VALUE"""),"Phạm Ngọc Hoa")</f>
        <v>Phạm Ngọc Hoa</v>
      </c>
      <c r="J6927" s="3" t="str">
        <f ca="1">IFERROR(__xludf.DUMMYFUNCTION("""COMPUTED_VALUE"""),"0869091469")</f>
        <v>0869091469</v>
      </c>
      <c r="K6927" s="2" t="str">
        <f ca="1">IFERROR(__xludf.DUMMYFUNCTION("""COMPUTED_VALUE"""),"1756876073034")</f>
        <v>1756876073034</v>
      </c>
    </row>
    <row r="6928" spans="1:11" ht="12.45">
      <c r="A6928" s="2" t="str">
        <f ca="1">IFERROR(__xludf.DUMMYFUNCTION("""COMPUTED_VALUE"""),"1756876111041")</f>
        <v>1756876111041</v>
      </c>
      <c r="B6928" s="2"/>
      <c r="C6928" s="2" t="str">
        <v>0</v>
      </c>
      <c r="D6928" s="2"/>
      <c r="F6928" s="2" t="str">
        <v>0</v>
      </c>
      <c r="I6928" s="3" t="str">
        <f ca="1">IFERROR(__xludf.DUMMYFUNCTION("""COMPUTED_VALUE"""),"Trần Phạm Chi Na ")</f>
        <v xml:space="preserve">Trần Phạm Chi Na </v>
      </c>
      <c r="J6928" s="3" t="str">
        <f ca="1">IFERROR(__xludf.DUMMYFUNCTION("""COMPUTED_VALUE"""),"0973866139")</f>
        <v>0973866139</v>
      </c>
      <c r="K6928" s="2" t="str">
        <f ca="1">IFERROR(__xludf.DUMMYFUNCTION("""COMPUTED_VALUE"""),"1756876111041")</f>
        <v>1756876111041</v>
      </c>
    </row>
    <row r="6929" spans="1:11" ht="12.45">
      <c r="A6929" s="2" t="str">
        <f ca="1">IFERROR(__xludf.DUMMYFUNCTION("""COMPUTED_VALUE"""),"1756876155377")</f>
        <v>1756876155377</v>
      </c>
      <c r="B6929" s="2"/>
      <c r="C6929" s="2" t="str">
        <v>0</v>
      </c>
      <c r="D6929" s="2"/>
      <c r="F6929" s="2" t="str">
        <v>0</v>
      </c>
      <c r="I6929" s="3" t="str">
        <f ca="1">IFERROR(__xludf.DUMMYFUNCTION("""COMPUTED_VALUE"""),"Nguyễn Khánh Hằng")</f>
        <v>Nguyễn Khánh Hằng</v>
      </c>
      <c r="J6929" s="3" t="str">
        <f ca="1">IFERROR(__xludf.DUMMYFUNCTION("""COMPUTED_VALUE"""),"0329805418")</f>
        <v>0329805418</v>
      </c>
      <c r="K6929" s="2" t="str">
        <f ca="1">IFERROR(__xludf.DUMMYFUNCTION("""COMPUTED_VALUE"""),"1756876155377")</f>
        <v>1756876155377</v>
      </c>
    </row>
    <row r="6930" spans="1:11" ht="12.45">
      <c r="A6930" s="2" t="str">
        <f ca="1">IFERROR(__xludf.DUMMYFUNCTION("""COMPUTED_VALUE"""),"Không giao sách")</f>
        <v>Không giao sách</v>
      </c>
      <c r="B6930" s="2"/>
      <c r="C6930" s="2" t="str">
        <v>0</v>
      </c>
      <c r="D6930" s="2"/>
      <c r="F6930" s="2" t="str">
        <v>0</v>
      </c>
      <c r="I6930" s="3" t="str">
        <f ca="1">IFERROR(__xludf.DUMMYFUNCTION("""COMPUTED_VALUE"""),"Văn Đình Minh Đạt")</f>
        <v>Văn Đình Minh Đạt</v>
      </c>
      <c r="J6930" s="3" t="str">
        <f ca="1">IFERROR(__xludf.DUMMYFUNCTION("""COMPUTED_VALUE"""),"0385642568")</f>
        <v>0385642568</v>
      </c>
      <c r="K6930" s="2" t="str">
        <f ca="1">IFERROR(__xludf.DUMMYFUNCTION("""COMPUTED_VALUE"""),"Không giao sách")</f>
        <v>Không giao sách</v>
      </c>
    </row>
    <row r="6931" spans="1:11" ht="12.45">
      <c r="A6931" s="2" t="str">
        <f ca="1">IFERROR(__xludf.DUMMYFUNCTION("""COMPUTED_VALUE"""),"1756876209998")</f>
        <v>1756876209998</v>
      </c>
      <c r="B6931" s="2"/>
      <c r="C6931" s="2" t="str">
        <v>0</v>
      </c>
      <c r="D6931" s="2"/>
      <c r="F6931" s="2" t="str">
        <v>0</v>
      </c>
      <c r="I6931" s="3" t="str">
        <f ca="1">IFERROR(__xludf.DUMMYFUNCTION("""COMPUTED_VALUE"""),"Lại Thảo Linh ")</f>
        <v xml:space="preserve">Lại Thảo Linh </v>
      </c>
      <c r="J6931" s="3" t="str">
        <f ca="1">IFERROR(__xludf.DUMMYFUNCTION("""COMPUTED_VALUE"""),"0868972629")</f>
        <v>0868972629</v>
      </c>
      <c r="K6931" s="2" t="str">
        <f ca="1">IFERROR(__xludf.DUMMYFUNCTION("""COMPUTED_VALUE"""),"1756876209998")</f>
        <v>1756876209998</v>
      </c>
    </row>
    <row r="6932" spans="1:11" ht="12.45">
      <c r="A6932" s="2" t="str">
        <f ca="1">IFERROR(__xludf.DUMMYFUNCTION("""COMPUTED_VALUE"""),"1756876269249")</f>
        <v>1756876269249</v>
      </c>
      <c r="B6932" s="2"/>
      <c r="C6932" s="2" t="str">
        <v>0</v>
      </c>
      <c r="D6932" s="2"/>
      <c r="F6932" s="2" t="str">
        <v>0</v>
      </c>
      <c r="I6932" s="3" t="str">
        <f ca="1">IFERROR(__xludf.DUMMYFUNCTION("""COMPUTED_VALUE"""),"Lê Phúc Khang")</f>
        <v>Lê Phúc Khang</v>
      </c>
      <c r="J6932" s="3" t="str">
        <f ca="1">IFERROR(__xludf.DUMMYFUNCTION("""COMPUTED_VALUE"""),"0913985154")</f>
        <v>0913985154</v>
      </c>
      <c r="K6932" s="2" t="str">
        <f ca="1">IFERROR(__xludf.DUMMYFUNCTION("""COMPUTED_VALUE"""),"1756876269249")</f>
        <v>1756876269249</v>
      </c>
    </row>
    <row r="6933" spans="1:11" ht="12.45">
      <c r="A6933" s="2" t="str">
        <f ca="1">IFERROR(__xludf.DUMMYFUNCTION("""COMPUTED_VALUE"""),"1756876309867")</f>
        <v>1756876309867</v>
      </c>
      <c r="B6933" s="2"/>
      <c r="C6933" s="2" t="str">
        <v>0</v>
      </c>
      <c r="D6933" s="2"/>
      <c r="F6933" s="2" t="str">
        <v>0</v>
      </c>
      <c r="I6933" s="3" t="str">
        <f ca="1">IFERROR(__xludf.DUMMYFUNCTION("""COMPUTED_VALUE"""),"Phạm Thanh Thảo ")</f>
        <v xml:space="preserve">Phạm Thanh Thảo </v>
      </c>
      <c r="J6933" s="3" t="str">
        <f ca="1">IFERROR(__xludf.DUMMYFUNCTION("""COMPUTED_VALUE"""),"0377067960")</f>
        <v>0377067960</v>
      </c>
      <c r="K6933" s="2" t="str">
        <f ca="1">IFERROR(__xludf.DUMMYFUNCTION("""COMPUTED_VALUE"""),"1756876309867")</f>
        <v>1756876309867</v>
      </c>
    </row>
    <row r="6934" spans="1:11" ht="12.45">
      <c r="A6934" s="2" t="str">
        <f ca="1">IFERROR(__xludf.DUMMYFUNCTION("""COMPUTED_VALUE"""),"1756876365568")</f>
        <v>1756876365568</v>
      </c>
      <c r="B6934" s="2"/>
      <c r="C6934" s="2" t="str">
        <v>0</v>
      </c>
      <c r="D6934" s="2"/>
      <c r="F6934" s="2" t="str">
        <v>0</v>
      </c>
      <c r="I6934" s="3" t="str">
        <f ca="1">IFERROR(__xludf.DUMMYFUNCTION("""COMPUTED_VALUE"""),"Lê Linh Chi")</f>
        <v>Lê Linh Chi</v>
      </c>
      <c r="J6934" s="3" t="str">
        <f ca="1">IFERROR(__xludf.DUMMYFUNCTION("""COMPUTED_VALUE"""),"0911525023")</f>
        <v>0911525023</v>
      </c>
      <c r="K6934" s="2" t="str">
        <f ca="1">IFERROR(__xludf.DUMMYFUNCTION("""COMPUTED_VALUE"""),"1756876365568")</f>
        <v>1756876365568</v>
      </c>
    </row>
    <row r="6935" spans="1:11" ht="12.45">
      <c r="A6935" s="2" t="str">
        <f ca="1">IFERROR(__xludf.DUMMYFUNCTION("""COMPUTED_VALUE"""),"1756876406748")</f>
        <v>1756876406748</v>
      </c>
      <c r="B6935" s="2"/>
      <c r="C6935" s="2" t="str">
        <v>0</v>
      </c>
      <c r="D6935" s="2"/>
      <c r="F6935" s="2" t="str">
        <v>0</v>
      </c>
      <c r="I6935" s="3" t="str">
        <f ca="1">IFERROR(__xludf.DUMMYFUNCTION("""COMPUTED_VALUE"""),"Lê Hoàng Hải")</f>
        <v>Lê Hoàng Hải</v>
      </c>
      <c r="J6935" s="3" t="str">
        <f ca="1">IFERROR(__xludf.DUMMYFUNCTION("""COMPUTED_VALUE"""),"0941305939")</f>
        <v>0941305939</v>
      </c>
      <c r="K6935" s="2" t="str">
        <f ca="1">IFERROR(__xludf.DUMMYFUNCTION("""COMPUTED_VALUE"""),"1756876406748")</f>
        <v>1756876406748</v>
      </c>
    </row>
    <row r="6936" spans="1:11" ht="12.45">
      <c r="A6936" s="2" t="str">
        <f ca="1">IFERROR(__xludf.DUMMYFUNCTION("""COMPUTED_VALUE"""),"1756876468029")</f>
        <v>1756876468029</v>
      </c>
      <c r="B6936" s="2"/>
      <c r="C6936" s="2" t="str">
        <v>0</v>
      </c>
      <c r="D6936" s="2"/>
      <c r="F6936" s="2" t="str">
        <v>0</v>
      </c>
      <c r="I6936" s="3" t="str">
        <f ca="1">IFERROR(__xludf.DUMMYFUNCTION("""COMPUTED_VALUE"""),"Huỳnh Bảo Trâm")</f>
        <v>Huỳnh Bảo Trâm</v>
      </c>
      <c r="J6936" s="3" t="str">
        <f ca="1">IFERROR(__xludf.DUMMYFUNCTION("""COMPUTED_VALUE"""),"0376139865")</f>
        <v>0376139865</v>
      </c>
      <c r="K6936" s="2" t="str">
        <f ca="1">IFERROR(__xludf.DUMMYFUNCTION("""COMPUTED_VALUE"""),"1756876468029")</f>
        <v>1756876468029</v>
      </c>
    </row>
    <row r="6937" spans="1:11" ht="12.45">
      <c r="A6937" s="2" t="str">
        <f ca="1">IFERROR(__xludf.DUMMYFUNCTION("""COMPUTED_VALUE"""),"1756876512123")</f>
        <v>1756876512123</v>
      </c>
      <c r="B6937" s="2"/>
      <c r="C6937" s="2" t="str">
        <v>0</v>
      </c>
      <c r="D6937" s="2"/>
      <c r="F6937" s="2" t="str">
        <v>0</v>
      </c>
      <c r="I6937" s="3" t="str">
        <f ca="1">IFERROR(__xludf.DUMMYFUNCTION("""COMPUTED_VALUE"""),"Cao Thị Quỳnh Mai")</f>
        <v>Cao Thị Quỳnh Mai</v>
      </c>
      <c r="J6937" s="3" t="str">
        <f ca="1">IFERROR(__xludf.DUMMYFUNCTION("""COMPUTED_VALUE"""),"0388733500")</f>
        <v>0388733500</v>
      </c>
      <c r="K6937" s="2" t="str">
        <f ca="1">IFERROR(__xludf.DUMMYFUNCTION("""COMPUTED_VALUE"""),"1756876512123")</f>
        <v>1756876512123</v>
      </c>
    </row>
    <row r="6938" spans="1:11" ht="12.45">
      <c r="A6938" s="2" t="str">
        <f ca="1">IFERROR(__xludf.DUMMYFUNCTION("""COMPUTED_VALUE"""),"1756876550975")</f>
        <v>1756876550975</v>
      </c>
      <c r="B6938" s="2"/>
      <c r="C6938" s="2" t="str">
        <v>0</v>
      </c>
      <c r="D6938" s="2"/>
      <c r="F6938" s="2" t="str">
        <v>0</v>
      </c>
      <c r="I6938" s="3" t="str">
        <f ca="1">IFERROR(__xludf.DUMMYFUNCTION("""COMPUTED_VALUE"""),"Nguyễn Yến Nhi")</f>
        <v>Nguyễn Yến Nhi</v>
      </c>
      <c r="J6938" s="3" t="str">
        <f ca="1">IFERROR(__xludf.DUMMYFUNCTION("""COMPUTED_VALUE"""),"0972288463")</f>
        <v>0972288463</v>
      </c>
      <c r="K6938" s="2" t="str">
        <f ca="1">IFERROR(__xludf.DUMMYFUNCTION("""COMPUTED_VALUE"""),"1756876550975")</f>
        <v>1756876550975</v>
      </c>
    </row>
    <row r="6939" spans="1:11" ht="12.45">
      <c r="A6939" s="2" t="str">
        <f ca="1">IFERROR(__xludf.DUMMYFUNCTION("""COMPUTED_VALUE"""),"1756876602798")</f>
        <v>1756876602798</v>
      </c>
      <c r="B6939" s="2"/>
      <c r="C6939" s="2" t="str">
        <v>0</v>
      </c>
      <c r="D6939" s="2"/>
      <c r="F6939" s="2" t="str">
        <v>0</v>
      </c>
      <c r="I6939" s="3" t="str">
        <f ca="1">IFERROR(__xludf.DUMMYFUNCTION("""COMPUTED_VALUE"""),"Ngô Thị Lan Hương ")</f>
        <v xml:space="preserve">Ngô Thị Lan Hương </v>
      </c>
      <c r="J6939" s="3" t="str">
        <f ca="1">IFERROR(__xludf.DUMMYFUNCTION("""COMPUTED_VALUE"""),"0973150772")</f>
        <v>0973150772</v>
      </c>
      <c r="K6939" s="2" t="str">
        <f ca="1">IFERROR(__xludf.DUMMYFUNCTION("""COMPUTED_VALUE"""),"1756876602798")</f>
        <v>1756876602798</v>
      </c>
    </row>
    <row r="6940" spans="1:11" ht="12.45">
      <c r="A6940" s="2" t="str">
        <f ca="1">IFERROR(__xludf.DUMMYFUNCTION("""COMPUTED_VALUE"""),"1756876681040")</f>
        <v>1756876681040</v>
      </c>
      <c r="B6940" s="2"/>
      <c r="C6940" s="2" t="str">
        <v>0</v>
      </c>
      <c r="D6940" s="2"/>
      <c r="F6940" s="2" t="str">
        <v>0</v>
      </c>
      <c r="I6940" s="3" t="str">
        <f ca="1">IFERROR(__xludf.DUMMYFUNCTION("""COMPUTED_VALUE"""),"Nguyễn Thị Hạnh Nguyên")</f>
        <v>Nguyễn Thị Hạnh Nguyên</v>
      </c>
      <c r="J6940" s="3" t="str">
        <f ca="1">IFERROR(__xludf.DUMMYFUNCTION("""COMPUTED_VALUE"""),"0867435607")</f>
        <v>0867435607</v>
      </c>
      <c r="K6940" s="2" t="str">
        <f ca="1">IFERROR(__xludf.DUMMYFUNCTION("""COMPUTED_VALUE"""),"1756876681040")</f>
        <v>1756876681040</v>
      </c>
    </row>
    <row r="6941" spans="1:11" ht="12.45">
      <c r="A6941" s="2" t="str">
        <f ca="1">IFERROR(__xludf.DUMMYFUNCTION("""COMPUTED_VALUE"""),"1756876805850")</f>
        <v>1756876805850</v>
      </c>
      <c r="B6941" s="2"/>
      <c r="C6941" s="2" t="str">
        <v>0</v>
      </c>
      <c r="D6941" s="2"/>
      <c r="F6941" s="2" t="str">
        <v>0</v>
      </c>
      <c r="I6941" s="3" t="str">
        <f ca="1">IFERROR(__xludf.DUMMYFUNCTION("""COMPUTED_VALUE"""),"Nguyễn thanh Duy ")</f>
        <v xml:space="preserve">Nguyễn thanh Duy </v>
      </c>
      <c r="J6941" s="3" t="str">
        <f ca="1">IFERROR(__xludf.DUMMYFUNCTION("""COMPUTED_VALUE"""),"0787983927")</f>
        <v>0787983927</v>
      </c>
      <c r="K6941" s="2" t="str">
        <f ca="1">IFERROR(__xludf.DUMMYFUNCTION("""COMPUTED_VALUE"""),"1756876805850")</f>
        <v>1756876805850</v>
      </c>
    </row>
    <row r="6942" spans="1:11" ht="12.45">
      <c r="A6942" s="2" t="str">
        <f ca="1">IFERROR(__xludf.DUMMYFUNCTION("""COMPUTED_VALUE"""),"1756876869734")</f>
        <v>1756876869734</v>
      </c>
      <c r="B6942" s="2"/>
      <c r="C6942" s="2" t="str">
        <v>0</v>
      </c>
      <c r="D6942" s="2"/>
      <c r="F6942" s="2" t="str">
        <v>0</v>
      </c>
      <c r="I6942" s="3" t="str">
        <f ca="1">IFERROR(__xludf.DUMMYFUNCTION("""COMPUTED_VALUE"""),"Phùng Thị Quỳnh Hương")</f>
        <v>Phùng Thị Quỳnh Hương</v>
      </c>
      <c r="J6942" s="3" t="str">
        <f ca="1">IFERROR(__xludf.DUMMYFUNCTION("""COMPUTED_VALUE"""),"0337581206")</f>
        <v>0337581206</v>
      </c>
      <c r="K6942" s="2" t="str">
        <f ca="1">IFERROR(__xludf.DUMMYFUNCTION("""COMPUTED_VALUE"""),"1756876869734")</f>
        <v>1756876869734</v>
      </c>
    </row>
    <row r="6943" spans="1:11" ht="12.45">
      <c r="A6943" s="2" t="str">
        <f ca="1">IFERROR(__xludf.DUMMYFUNCTION("""COMPUTED_VALUE"""),"1756876920031")</f>
        <v>1756876920031</v>
      </c>
      <c r="B6943" s="2"/>
      <c r="C6943" s="2" t="str">
        <v>0</v>
      </c>
      <c r="D6943" s="2"/>
      <c r="F6943" s="2" t="str">
        <v>0</v>
      </c>
      <c r="I6943" s="3" t="str">
        <f ca="1">IFERROR(__xludf.DUMMYFUNCTION("""COMPUTED_VALUE"""),"Nguyễn Việt Nhật")</f>
        <v>Nguyễn Việt Nhật</v>
      </c>
      <c r="J6943" s="3" t="str">
        <f ca="1">IFERROR(__xludf.DUMMYFUNCTION("""COMPUTED_VALUE"""),"0919761118")</f>
        <v>0919761118</v>
      </c>
      <c r="K6943" s="2" t="str">
        <f ca="1">IFERROR(__xludf.DUMMYFUNCTION("""COMPUTED_VALUE"""),"1756876920031")</f>
        <v>1756876920031</v>
      </c>
    </row>
    <row r="6944" spans="1:11" ht="12.45">
      <c r="A6944" s="2" t="str">
        <f ca="1">IFERROR(__xludf.DUMMYFUNCTION("""COMPUTED_VALUE"""),"1756876988141")</f>
        <v>1756876988141</v>
      </c>
      <c r="B6944" s="2"/>
      <c r="C6944" s="2" t="str">
        <v>0</v>
      </c>
      <c r="D6944" s="2"/>
      <c r="F6944" s="2" t="str">
        <v>0</v>
      </c>
      <c r="I6944" s="3" t="str">
        <f ca="1">IFERROR(__xludf.DUMMYFUNCTION("""COMPUTED_VALUE"""),"Đoàn Lê Mỹ Ngọc")</f>
        <v>Đoàn Lê Mỹ Ngọc</v>
      </c>
      <c r="J6944" s="3" t="str">
        <f ca="1">IFERROR(__xludf.DUMMYFUNCTION("""COMPUTED_VALUE"""),"0372074733")</f>
        <v>0372074733</v>
      </c>
      <c r="K6944" s="2" t="str">
        <f ca="1">IFERROR(__xludf.DUMMYFUNCTION("""COMPUTED_VALUE"""),"1756876988141")</f>
        <v>1756876988141</v>
      </c>
    </row>
    <row r="6945" spans="1:11" ht="12.45">
      <c r="A6945" s="2" t="str">
        <f ca="1">IFERROR(__xludf.DUMMYFUNCTION("""COMPUTED_VALUE"""),"1756877084777")</f>
        <v>1756877084777</v>
      </c>
      <c r="B6945" s="2"/>
      <c r="C6945" s="2" t="str">
        <v>0</v>
      </c>
      <c r="D6945" s="2"/>
      <c r="F6945" s="2" t="str">
        <v>0</v>
      </c>
      <c r="I6945" s="3" t="str">
        <f ca="1">IFERROR(__xludf.DUMMYFUNCTION("""COMPUTED_VALUE"""),"Vũ Khánh Linh")</f>
        <v>Vũ Khánh Linh</v>
      </c>
      <c r="J6945" s="3" t="str">
        <f ca="1">IFERROR(__xludf.DUMMYFUNCTION("""COMPUTED_VALUE"""),"0947789725")</f>
        <v>0947789725</v>
      </c>
      <c r="K6945" s="2" t="str">
        <f ca="1">IFERROR(__xludf.DUMMYFUNCTION("""COMPUTED_VALUE"""),"1756877084777")</f>
        <v>1756877084777</v>
      </c>
    </row>
    <row r="6946" spans="1:11" ht="12.45">
      <c r="A6946" s="2" t="str">
        <f ca="1">IFERROR(__xludf.DUMMYFUNCTION("""COMPUTED_VALUE"""),"1756877151830")</f>
        <v>1756877151830</v>
      </c>
      <c r="B6946" s="2"/>
      <c r="C6946" s="2" t="str">
        <v>0</v>
      </c>
      <c r="D6946" s="2"/>
      <c r="F6946" s="2" t="str">
        <v>0</v>
      </c>
      <c r="I6946" s="3" t="str">
        <f ca="1">IFERROR(__xludf.DUMMYFUNCTION("""COMPUTED_VALUE"""),"Đinh Diệu Anh")</f>
        <v>Đinh Diệu Anh</v>
      </c>
      <c r="J6946" s="3" t="str">
        <f ca="1">IFERROR(__xludf.DUMMYFUNCTION("""COMPUTED_VALUE"""),"0353624828")</f>
        <v>0353624828</v>
      </c>
      <c r="K6946" s="2" t="str">
        <f ca="1">IFERROR(__xludf.DUMMYFUNCTION("""COMPUTED_VALUE"""),"1756877151830")</f>
        <v>1756877151830</v>
      </c>
    </row>
    <row r="6947" spans="1:11" ht="12.45">
      <c r="A6947" s="2" t="str">
        <f ca="1">IFERROR(__xludf.DUMMYFUNCTION("""COMPUTED_VALUE"""),"1756877221738")</f>
        <v>1756877221738</v>
      </c>
      <c r="B6947" s="2"/>
      <c r="C6947" s="2" t="str">
        <v>0</v>
      </c>
      <c r="D6947" s="2"/>
      <c r="F6947" s="2" t="str">
        <v>0</v>
      </c>
      <c r="I6947" s="3" t="str">
        <f ca="1">IFERROR(__xludf.DUMMYFUNCTION("""COMPUTED_VALUE"""),"Lại Hoàng Thanh Ngọc")</f>
        <v>Lại Hoàng Thanh Ngọc</v>
      </c>
      <c r="J6947" s="3" t="str">
        <f ca="1">IFERROR(__xludf.DUMMYFUNCTION("""COMPUTED_VALUE"""),"0934646597")</f>
        <v>0934646597</v>
      </c>
      <c r="K6947" s="2" t="str">
        <f ca="1">IFERROR(__xludf.DUMMYFUNCTION("""COMPUTED_VALUE"""),"1756877221738")</f>
        <v>1756877221738</v>
      </c>
    </row>
    <row r="6948" spans="1:11" ht="12.45">
      <c r="A6948" s="2" t="str">
        <f ca="1">IFERROR(__xludf.DUMMYFUNCTION("""COMPUTED_VALUE"""),"Không giao sách")</f>
        <v>Không giao sách</v>
      </c>
      <c r="B6948" s="2"/>
      <c r="C6948" s="2" t="str">
        <v>0</v>
      </c>
      <c r="D6948" s="2"/>
      <c r="F6948" s="2" t="str">
        <v>0</v>
      </c>
      <c r="I6948" s="3" t="str">
        <f ca="1">IFERROR(__xludf.DUMMYFUNCTION("""COMPUTED_VALUE"""),"Phạm Nguyễn Phương Trinh")</f>
        <v>Phạm Nguyễn Phương Trinh</v>
      </c>
      <c r="J6948" s="3" t="str">
        <f ca="1">IFERROR(__xludf.DUMMYFUNCTION("""COMPUTED_VALUE"""),"0378142884")</f>
        <v>0378142884</v>
      </c>
      <c r="K6948" s="2" t="str">
        <f ca="1">IFERROR(__xludf.DUMMYFUNCTION("""COMPUTED_VALUE"""),"Không giao sách")</f>
        <v>Không giao sách</v>
      </c>
    </row>
    <row r="6949" spans="1:11" ht="12.45">
      <c r="A6949" s="2" t="str">
        <f ca="1">IFERROR(__xludf.DUMMYFUNCTION("""COMPUTED_VALUE"""),"1756877293636")</f>
        <v>1756877293636</v>
      </c>
      <c r="B6949" s="2"/>
      <c r="C6949" s="2" t="str">
        <v>0</v>
      </c>
      <c r="D6949" s="2"/>
      <c r="F6949" s="2" t="str">
        <v>0</v>
      </c>
      <c r="I6949" s="3" t="str">
        <f ca="1">IFERROR(__xludf.DUMMYFUNCTION("""COMPUTED_VALUE"""),"Bùi Phạm Hà Phương")</f>
        <v>Bùi Phạm Hà Phương</v>
      </c>
      <c r="J6949" s="3" t="str">
        <f ca="1">IFERROR(__xludf.DUMMYFUNCTION("""COMPUTED_VALUE"""),"0911218145")</f>
        <v>0911218145</v>
      </c>
      <c r="K6949" s="2" t="str">
        <f ca="1">IFERROR(__xludf.DUMMYFUNCTION("""COMPUTED_VALUE"""),"1756877293636")</f>
        <v>1756877293636</v>
      </c>
    </row>
    <row r="6950" spans="1:11" ht="12.45">
      <c r="A6950" s="2" t="str">
        <f ca="1">IFERROR(__xludf.DUMMYFUNCTION("""COMPUTED_VALUE"""),"1756877374381")</f>
        <v>1756877374381</v>
      </c>
      <c r="B6950" s="2"/>
      <c r="C6950" s="2" t="str">
        <v>0</v>
      </c>
      <c r="D6950" s="2"/>
      <c r="F6950" s="2" t="str">
        <v>0</v>
      </c>
      <c r="I6950" s="3" t="str">
        <f ca="1">IFERROR(__xludf.DUMMYFUNCTION("""COMPUTED_VALUE"""),"Nguyễn Như Quỳnh")</f>
        <v>Nguyễn Như Quỳnh</v>
      </c>
      <c r="J6950" s="3" t="str">
        <f ca="1">IFERROR(__xludf.DUMMYFUNCTION("""COMPUTED_VALUE"""),"0985429707")</f>
        <v>0985429707</v>
      </c>
      <c r="K6950" s="2" t="str">
        <f ca="1">IFERROR(__xludf.DUMMYFUNCTION("""COMPUTED_VALUE"""),"1756877374381")</f>
        <v>1756877374381</v>
      </c>
    </row>
    <row r="6951" spans="1:11" ht="12.45">
      <c r="A6951" s="2" t="str">
        <f ca="1">IFERROR(__xludf.DUMMYFUNCTION("""COMPUTED_VALUE"""),"1756877425696")</f>
        <v>1756877425696</v>
      </c>
      <c r="B6951" s="2"/>
      <c r="C6951" s="2" t="str">
        <v>0</v>
      </c>
      <c r="D6951" s="2"/>
      <c r="F6951" s="2" t="str">
        <v>0</v>
      </c>
      <c r="I6951" s="3" t="str">
        <f ca="1">IFERROR(__xludf.DUMMYFUNCTION("""COMPUTED_VALUE"""),"Quach Ngoctien")</f>
        <v>Quach Ngoctien</v>
      </c>
      <c r="J6951" s="3" t="str">
        <f ca="1">IFERROR(__xludf.DUMMYFUNCTION("""COMPUTED_VALUE"""),"0947569717")</f>
        <v>0947569717</v>
      </c>
      <c r="K6951" s="2" t="str">
        <f ca="1">IFERROR(__xludf.DUMMYFUNCTION("""COMPUTED_VALUE"""),"1756877425696")</f>
        <v>1756877425696</v>
      </c>
    </row>
    <row r="6952" spans="1:11" ht="12.45">
      <c r="A6952" s="2" t="str">
        <f ca="1">IFERROR(__xludf.DUMMYFUNCTION("""COMPUTED_VALUE"""),"1756877477614")</f>
        <v>1756877477614</v>
      </c>
      <c r="B6952" s="2"/>
      <c r="C6952" s="2" t="str">
        <v>0</v>
      </c>
      <c r="D6952" s="2"/>
      <c r="F6952" s="2" t="str">
        <v>0</v>
      </c>
      <c r="I6952" s="3" t="str">
        <f ca="1">IFERROR(__xludf.DUMMYFUNCTION("""COMPUTED_VALUE"""),"Nguyễn Vũ Thanh Ngọc")</f>
        <v>Nguyễn Vũ Thanh Ngọc</v>
      </c>
      <c r="J6952" s="3" t="str">
        <f ca="1">IFERROR(__xludf.DUMMYFUNCTION("""COMPUTED_VALUE"""),"0373740924")</f>
        <v>0373740924</v>
      </c>
      <c r="K6952" s="2" t="str">
        <f ca="1">IFERROR(__xludf.DUMMYFUNCTION("""COMPUTED_VALUE"""),"1756877477614")</f>
        <v>1756877477614</v>
      </c>
    </row>
    <row r="6953" spans="1:11" ht="12.45">
      <c r="A6953" s="2" t="str">
        <f ca="1">IFERROR(__xludf.DUMMYFUNCTION("""COMPUTED_VALUE"""),"1756877536305")</f>
        <v>1756877536305</v>
      </c>
      <c r="B6953" s="2"/>
      <c r="C6953" s="2" t="str">
        <v>0</v>
      </c>
      <c r="D6953" s="2"/>
      <c r="F6953" s="2" t="str">
        <v>0</v>
      </c>
      <c r="I6953" s="3" t="str">
        <f ca="1">IFERROR(__xludf.DUMMYFUNCTION("""COMPUTED_VALUE"""),"Nguyễn Khánh Trang")</f>
        <v>Nguyễn Khánh Trang</v>
      </c>
      <c r="J6953" s="3" t="str">
        <f ca="1">IFERROR(__xludf.DUMMYFUNCTION("""COMPUTED_VALUE"""),"0816227798")</f>
        <v>0816227798</v>
      </c>
      <c r="K6953" s="2" t="str">
        <f ca="1">IFERROR(__xludf.DUMMYFUNCTION("""COMPUTED_VALUE"""),"1756877536305")</f>
        <v>1756877536305</v>
      </c>
    </row>
    <row r="6954" spans="1:11" ht="12.45">
      <c r="A6954" s="2" t="str">
        <f ca="1">IFERROR(__xludf.DUMMYFUNCTION("""COMPUTED_VALUE"""),"1756877593602")</f>
        <v>1756877593602</v>
      </c>
      <c r="B6954" s="2"/>
      <c r="C6954" s="2" t="str">
        <v>0</v>
      </c>
      <c r="D6954" s="2"/>
      <c r="F6954" s="2" t="str">
        <v>0</v>
      </c>
      <c r="I6954" s="3" t="str">
        <f ca="1">IFERROR(__xludf.DUMMYFUNCTION("""COMPUTED_VALUE"""),"Phan Hồng Ngọc")</f>
        <v>Phan Hồng Ngọc</v>
      </c>
      <c r="J6954" s="3" t="str">
        <f ca="1">IFERROR(__xludf.DUMMYFUNCTION("""COMPUTED_VALUE"""),"0986105876")</f>
        <v>0986105876</v>
      </c>
      <c r="K6954" s="2" t="str">
        <f ca="1">IFERROR(__xludf.DUMMYFUNCTION("""COMPUTED_VALUE"""),"1756877593602")</f>
        <v>1756877593602</v>
      </c>
    </row>
    <row r="6955" spans="1:11" ht="12.45">
      <c r="A6955" s="2" t="str">
        <f ca="1">IFERROR(__xludf.DUMMYFUNCTION("""COMPUTED_VALUE"""),"1756877657292")</f>
        <v>1756877657292</v>
      </c>
      <c r="B6955" s="2"/>
      <c r="C6955" s="2" t="str">
        <v>0</v>
      </c>
      <c r="D6955" s="2"/>
      <c r="F6955" s="2" t="str">
        <v>0</v>
      </c>
      <c r="I6955" s="3" t="str">
        <f ca="1">IFERROR(__xludf.DUMMYFUNCTION("""COMPUTED_VALUE"""),"Huỳnh Nguyễn Kim Ngọc")</f>
        <v>Huỳnh Nguyễn Kim Ngọc</v>
      </c>
      <c r="J6955" s="3" t="str">
        <f ca="1">IFERROR(__xludf.DUMMYFUNCTION("""COMPUTED_VALUE"""),"0528644736")</f>
        <v>0528644736</v>
      </c>
      <c r="K6955" s="2" t="str">
        <f ca="1">IFERROR(__xludf.DUMMYFUNCTION("""COMPUTED_VALUE"""),"1756877657292")</f>
        <v>1756877657292</v>
      </c>
    </row>
    <row r="6956" spans="1:11" ht="12.45">
      <c r="A6956" s="2" t="str">
        <f ca="1">IFERROR(__xludf.DUMMYFUNCTION("""COMPUTED_VALUE"""),"1756877746850")</f>
        <v>1756877746850</v>
      </c>
      <c r="B6956" s="2"/>
      <c r="C6956" s="2" t="str">
        <v>0</v>
      </c>
      <c r="D6956" s="2"/>
      <c r="F6956" s="2" t="str">
        <v>0</v>
      </c>
      <c r="I6956" s="3" t="str">
        <f ca="1">IFERROR(__xludf.DUMMYFUNCTION("""COMPUTED_VALUE"""),"Phạm Thảo Vy")</f>
        <v>Phạm Thảo Vy</v>
      </c>
      <c r="J6956" s="3" t="str">
        <f ca="1">IFERROR(__xludf.DUMMYFUNCTION("""COMPUTED_VALUE"""),"0967286130")</f>
        <v>0967286130</v>
      </c>
      <c r="K6956" s="2" t="str">
        <f ca="1">IFERROR(__xludf.DUMMYFUNCTION("""COMPUTED_VALUE"""),"1756877746850")</f>
        <v>1756877746850</v>
      </c>
    </row>
    <row r="6957" spans="1:11" ht="12.45">
      <c r="A6957" s="2" t="str">
        <f ca="1">IFERROR(__xludf.DUMMYFUNCTION("""COMPUTED_VALUE"""),"1756877803600")</f>
        <v>1756877803600</v>
      </c>
      <c r="B6957" s="2"/>
      <c r="C6957" s="2" t="str">
        <v>0</v>
      </c>
      <c r="D6957" s="2"/>
      <c r="F6957" s="2" t="str">
        <v>0</v>
      </c>
      <c r="I6957" s="3" t="str">
        <f ca="1">IFERROR(__xludf.DUMMYFUNCTION("""COMPUTED_VALUE"""),"Lê Nhật Uyên Trang")</f>
        <v>Lê Nhật Uyên Trang</v>
      </c>
      <c r="J6957" s="3" t="str">
        <f ca="1">IFERROR(__xludf.DUMMYFUNCTION("""COMPUTED_VALUE"""),"0848713367")</f>
        <v>0848713367</v>
      </c>
      <c r="K6957" s="2" t="str">
        <f ca="1">IFERROR(__xludf.DUMMYFUNCTION("""COMPUTED_VALUE"""),"1756877803600")</f>
        <v>1756877803600</v>
      </c>
    </row>
    <row r="6958" spans="1:11" ht="12.45">
      <c r="A6958" s="2" t="str">
        <f ca="1">IFERROR(__xludf.DUMMYFUNCTION("""COMPUTED_VALUE"""),"1756877848080")</f>
        <v>1756877848080</v>
      </c>
      <c r="B6958" s="2"/>
      <c r="C6958" s="2" t="str">
        <v>0</v>
      </c>
      <c r="D6958" s="2"/>
      <c r="F6958" s="2" t="str">
        <v>0</v>
      </c>
      <c r="I6958" s="3" t="str">
        <f ca="1">IFERROR(__xludf.DUMMYFUNCTION("""COMPUTED_VALUE"""),"Đinh Diệu Linh")</f>
        <v>Đinh Diệu Linh</v>
      </c>
      <c r="J6958" s="3" t="str">
        <f ca="1">IFERROR(__xludf.DUMMYFUNCTION("""COMPUTED_VALUE"""),"0362714570")</f>
        <v>0362714570</v>
      </c>
      <c r="K6958" s="2" t="str">
        <f ca="1">IFERROR(__xludf.DUMMYFUNCTION("""COMPUTED_VALUE"""),"1756877848080")</f>
        <v>1756877848080</v>
      </c>
    </row>
    <row r="6959" spans="1:11" ht="12.45">
      <c r="A6959" s="2" t="str">
        <f ca="1">IFERROR(__xludf.DUMMYFUNCTION("""COMPUTED_VALUE"""),"1756877919252")</f>
        <v>1756877919252</v>
      </c>
      <c r="B6959" s="2"/>
      <c r="C6959" s="2" t="str">
        <v>0</v>
      </c>
      <c r="D6959" s="2"/>
      <c r="F6959" s="2" t="str">
        <v>0</v>
      </c>
      <c r="I6959" s="3" t="str">
        <f ca="1">IFERROR(__xludf.DUMMYFUNCTION("""COMPUTED_VALUE"""),"Phùng Thị Hà Nhi")</f>
        <v>Phùng Thị Hà Nhi</v>
      </c>
      <c r="J6959" s="3" t="str">
        <f ca="1">IFERROR(__xludf.DUMMYFUNCTION("""COMPUTED_VALUE"""),"0363538180")</f>
        <v>0363538180</v>
      </c>
      <c r="K6959" s="2" t="str">
        <f ca="1">IFERROR(__xludf.DUMMYFUNCTION("""COMPUTED_VALUE"""),"1756877919252")</f>
        <v>1756877919252</v>
      </c>
    </row>
    <row r="6960" spans="1:11" ht="12.45">
      <c r="A6960" s="2" t="str">
        <f ca="1">IFERROR(__xludf.DUMMYFUNCTION("""COMPUTED_VALUE"""),"1756877960302")</f>
        <v>1756877960302</v>
      </c>
      <c r="B6960" s="2"/>
      <c r="C6960" s="2" t="str">
        <v>0</v>
      </c>
      <c r="D6960" s="2"/>
      <c r="F6960" s="2" t="str">
        <v>0</v>
      </c>
      <c r="I6960" s="3" t="str">
        <f ca="1">IFERROR(__xludf.DUMMYFUNCTION("""COMPUTED_VALUE"""),"Ngô Thị Ngọc Ánh")</f>
        <v>Ngô Thị Ngọc Ánh</v>
      </c>
      <c r="J6960" s="3" t="str">
        <f ca="1">IFERROR(__xludf.DUMMYFUNCTION("""COMPUTED_VALUE"""),"0382318650")</f>
        <v>0382318650</v>
      </c>
      <c r="K6960" s="2" t="str">
        <f ca="1">IFERROR(__xludf.DUMMYFUNCTION("""COMPUTED_VALUE"""),"1756877960302")</f>
        <v>1756877960302</v>
      </c>
    </row>
    <row r="6961" spans="1:11" ht="12.45">
      <c r="A6961" s="2">
        <f ca="1">IFERROR(__xludf.DUMMYFUNCTION("""COMPUTED_VALUE"""),1757425177978)</f>
        <v>1757425177978</v>
      </c>
      <c r="B6961" s="2"/>
      <c r="C6961" s="2" t="str">
        <v>0</v>
      </c>
      <c r="D6961" s="2"/>
      <c r="F6961" s="2" t="str">
        <v>0</v>
      </c>
      <c r="I6961" s="3" t="str">
        <f ca="1">IFERROR(__xludf.DUMMYFUNCTION("""COMPUTED_VALUE"""),"Trần Thị Lan Anh")</f>
        <v>Trần Thị Lan Anh</v>
      </c>
      <c r="J6961" s="3" t="str">
        <f ca="1">IFERROR(__xludf.DUMMYFUNCTION("""COMPUTED_VALUE"""),"0386187402")</f>
        <v>0386187402</v>
      </c>
      <c r="K6961" s="2">
        <f ca="1">IFERROR(__xludf.DUMMYFUNCTION("""COMPUTED_VALUE"""),1757425177978)</f>
        <v>1757425177978</v>
      </c>
    </row>
    <row r="6962" spans="1:11" ht="12.45">
      <c r="A6962" s="2" t="str">
        <f ca="1">IFERROR(__xludf.DUMMYFUNCTION("""COMPUTED_VALUE"""),"1763378459357")</f>
        <v>1763378459357</v>
      </c>
      <c r="B6962" s="2"/>
      <c r="C6962" s="2" t="str">
        <v>0</v>
      </c>
      <c r="D6962" s="2"/>
      <c r="F6962" s="2" t="str">
        <v>0</v>
      </c>
      <c r="I6962" s="3" t="str">
        <f ca="1">IFERROR(__xludf.DUMMYFUNCTION("""COMPUTED_VALUE"""),"Lê Thị Linh Chi")</f>
        <v>Lê Thị Linh Chi</v>
      </c>
      <c r="J6962" s="3" t="str">
        <f ca="1">IFERROR(__xludf.DUMMYFUNCTION("""COMPUTED_VALUE"""),"0344332857")</f>
        <v>0344332857</v>
      </c>
      <c r="K6962" s="2" t="str">
        <f ca="1">IFERROR(__xludf.DUMMYFUNCTION("""COMPUTED_VALUE"""),"1763378459357")</f>
        <v>1763378459357</v>
      </c>
    </row>
    <row r="6963" spans="1:11" ht="12.45">
      <c r="A6963" s="2" t="str">
        <f ca="1">IFERROR(__xludf.DUMMYFUNCTION("""COMPUTED_VALUE"""),"1763378501641")</f>
        <v>1763378501641</v>
      </c>
      <c r="B6963" s="2"/>
      <c r="C6963" s="2" t="str">
        <v>0</v>
      </c>
      <c r="D6963" s="2"/>
      <c r="F6963" s="2" t="str">
        <v>0</v>
      </c>
      <c r="I6963" s="3" t="str">
        <f ca="1">IFERROR(__xludf.DUMMYFUNCTION("""COMPUTED_VALUE"""),"Đỗ Phương Thảo")</f>
        <v>Đỗ Phương Thảo</v>
      </c>
      <c r="J6963" s="3" t="str">
        <f ca="1">IFERROR(__xludf.DUMMYFUNCTION("""COMPUTED_VALUE"""),"0364582859")</f>
        <v>0364582859</v>
      </c>
      <c r="K6963" s="2" t="str">
        <f ca="1">IFERROR(__xludf.DUMMYFUNCTION("""COMPUTED_VALUE"""),"1763378501641")</f>
        <v>1763378501641</v>
      </c>
    </row>
    <row r="6964" spans="1:11" ht="12.45">
      <c r="A6964" s="2" t="str">
        <f ca="1">IFERROR(__xludf.DUMMYFUNCTION("""COMPUTED_VALUE"""),"1763378557087")</f>
        <v>1763378557087</v>
      </c>
      <c r="B6964" s="2"/>
      <c r="C6964" s="2" t="str">
        <v>0</v>
      </c>
      <c r="D6964" s="2"/>
      <c r="F6964" s="2" t="str">
        <v>0</v>
      </c>
      <c r="I6964" s="3" t="str">
        <f ca="1">IFERROR(__xludf.DUMMYFUNCTION("""COMPUTED_VALUE"""),"Lê Quỳnh Anh")</f>
        <v>Lê Quỳnh Anh</v>
      </c>
      <c r="J6964" s="3" t="str">
        <f ca="1">IFERROR(__xludf.DUMMYFUNCTION("""COMPUTED_VALUE"""),"0564304826")</f>
        <v>0564304826</v>
      </c>
      <c r="K6964" s="2" t="str">
        <f ca="1">IFERROR(__xludf.DUMMYFUNCTION("""COMPUTED_VALUE"""),"1763378557087")</f>
        <v>1763378557087</v>
      </c>
    </row>
    <row r="6965" spans="1:11" ht="12.45">
      <c r="A6965" s="2" t="str">
        <f ca="1">IFERROR(__xludf.DUMMYFUNCTION("""COMPUTED_VALUE"""),"1763378607209")</f>
        <v>1763378607209</v>
      </c>
      <c r="B6965" s="2"/>
      <c r="C6965" s="2" t="str">
        <v>0</v>
      </c>
      <c r="D6965" s="2"/>
      <c r="F6965" s="2" t="str">
        <v>0</v>
      </c>
      <c r="I6965" s="3" t="str">
        <f ca="1">IFERROR(__xludf.DUMMYFUNCTION("""COMPUTED_VALUE"""),"Lê Hoàng Anh Thi")</f>
        <v>Lê Hoàng Anh Thi</v>
      </c>
      <c r="J6965" s="3" t="str">
        <f ca="1">IFERROR(__xludf.DUMMYFUNCTION("""COMPUTED_VALUE"""),"0913230207")</f>
        <v>0913230207</v>
      </c>
      <c r="K6965" s="2" t="str">
        <f ca="1">IFERROR(__xludf.DUMMYFUNCTION("""COMPUTED_VALUE"""),"1763378607209")</f>
        <v>1763378607209</v>
      </c>
    </row>
    <row r="6966" spans="1:11" ht="12.45">
      <c r="A6966" s="2" t="str">
        <f ca="1">IFERROR(__xludf.DUMMYFUNCTION("""COMPUTED_VALUE"""),"1763378651030")</f>
        <v>1763378651030</v>
      </c>
      <c r="B6966" s="2"/>
      <c r="C6966" s="2" t="str">
        <v>0</v>
      </c>
      <c r="D6966" s="2"/>
      <c r="F6966" s="2" t="str">
        <v>0</v>
      </c>
      <c r="I6966" s="3" t="str">
        <f ca="1">IFERROR(__xludf.DUMMYFUNCTION("""COMPUTED_VALUE"""),"Cao thiên hương")</f>
        <v>Cao thiên hương</v>
      </c>
      <c r="J6966" s="3" t="str">
        <f ca="1">IFERROR(__xludf.DUMMYFUNCTION("""COMPUTED_VALUE"""),"0962732180")</f>
        <v>0962732180</v>
      </c>
      <c r="K6966" s="2" t="str">
        <f ca="1">IFERROR(__xludf.DUMMYFUNCTION("""COMPUTED_VALUE"""),"1763378651030")</f>
        <v>1763378651030</v>
      </c>
    </row>
    <row r="6967" spans="1:11" ht="12.45">
      <c r="A6967" s="2" t="str">
        <f ca="1">IFERROR(__xludf.DUMMYFUNCTION("""COMPUTED_VALUE"""),"1763378687068")</f>
        <v>1763378687068</v>
      </c>
      <c r="B6967" s="2"/>
      <c r="C6967" s="2" t="str">
        <v>0</v>
      </c>
      <c r="D6967" s="2"/>
      <c r="F6967" s="2" t="str">
        <v>0</v>
      </c>
      <c r="I6967" s="3" t="str">
        <f ca="1">IFERROR(__xludf.DUMMYFUNCTION("""COMPUTED_VALUE"""),"Phạm Phương Linh")</f>
        <v>Phạm Phương Linh</v>
      </c>
      <c r="J6967" s="3" t="str">
        <f ca="1">IFERROR(__xludf.DUMMYFUNCTION("""COMPUTED_VALUE"""),"8488951885")</f>
        <v>8488951885</v>
      </c>
      <c r="K6967" s="2" t="str">
        <f ca="1">IFERROR(__xludf.DUMMYFUNCTION("""COMPUTED_VALUE"""),"1763378687068")</f>
        <v>1763378687068</v>
      </c>
    </row>
    <row r="6968" spans="1:11" ht="12.45">
      <c r="A6968" s="2" t="str">
        <f ca="1">IFERROR(__xludf.DUMMYFUNCTION("""COMPUTED_VALUE"""),"1763378721578")</f>
        <v>1763378721578</v>
      </c>
      <c r="B6968" s="2"/>
      <c r="C6968" s="2" t="str">
        <v>0</v>
      </c>
      <c r="D6968" s="2"/>
      <c r="F6968" s="2" t="str">
        <v>0</v>
      </c>
      <c r="I6968" s="3" t="str">
        <f ca="1">IFERROR(__xludf.DUMMYFUNCTION("""COMPUTED_VALUE"""),"Trương Hoàng Yến")</f>
        <v>Trương Hoàng Yến</v>
      </c>
      <c r="J6968" s="3" t="str">
        <f ca="1">IFERROR(__xludf.DUMMYFUNCTION("""COMPUTED_VALUE"""),"0357984822")</f>
        <v>0357984822</v>
      </c>
      <c r="K6968" s="2" t="str">
        <f ca="1">IFERROR(__xludf.DUMMYFUNCTION("""COMPUTED_VALUE"""),"1763378721578")</f>
        <v>1763378721578</v>
      </c>
    </row>
    <row r="6969" spans="1:11" ht="12.45">
      <c r="A6969" s="2" t="str">
        <f ca="1">IFERROR(__xludf.DUMMYFUNCTION("""COMPUTED_VALUE"""),"1763378750983")</f>
        <v>1763378750983</v>
      </c>
      <c r="B6969" s="2"/>
      <c r="C6969" s="2" t="str">
        <v>0</v>
      </c>
      <c r="D6969" s="2"/>
      <c r="F6969" s="2" t="str">
        <v>0</v>
      </c>
      <c r="I6969" s="3" t="str">
        <f ca="1">IFERROR(__xludf.DUMMYFUNCTION("""COMPUTED_VALUE"""),"Nguyễn Thị Huyền Trang ")</f>
        <v xml:space="preserve">Nguyễn Thị Huyền Trang </v>
      </c>
      <c r="J6969" s="3" t="str">
        <f ca="1">IFERROR(__xludf.DUMMYFUNCTION("""COMPUTED_VALUE"""),"0827685632")</f>
        <v>0827685632</v>
      </c>
      <c r="K6969" s="2" t="str">
        <f ca="1">IFERROR(__xludf.DUMMYFUNCTION("""COMPUTED_VALUE"""),"1763378750983")</f>
        <v>1763378750983</v>
      </c>
    </row>
    <row r="6970" spans="1:11" ht="12.45">
      <c r="A6970" s="2" t="str">
        <f ca="1">IFERROR(__xludf.DUMMYFUNCTION("""COMPUTED_VALUE"""),"1763378783909")</f>
        <v>1763378783909</v>
      </c>
      <c r="B6970" s="2"/>
      <c r="C6970" s="2" t="str">
        <v>0</v>
      </c>
      <c r="D6970" s="2"/>
      <c r="F6970" s="2" t="str">
        <v>0</v>
      </c>
      <c r="I6970" s="3" t="str">
        <f ca="1">IFERROR(__xludf.DUMMYFUNCTION("""COMPUTED_VALUE"""),"Phạm Phương Hoa")</f>
        <v>Phạm Phương Hoa</v>
      </c>
      <c r="J6970" s="3" t="str">
        <f ca="1">IFERROR(__xludf.DUMMYFUNCTION("""COMPUTED_VALUE"""),"0826288081")</f>
        <v>0826288081</v>
      </c>
      <c r="K6970" s="2" t="str">
        <f ca="1">IFERROR(__xludf.DUMMYFUNCTION("""COMPUTED_VALUE"""),"1763378783909")</f>
        <v>1763378783909</v>
      </c>
    </row>
    <row r="6971" spans="1:11" ht="12.45">
      <c r="A6971" s="2" t="str">
        <f ca="1">IFERROR(__xludf.DUMMYFUNCTION("""COMPUTED_VALUE"""),"1763378812294")</f>
        <v>1763378812294</v>
      </c>
      <c r="B6971" s="2"/>
      <c r="C6971" s="2" t="str">
        <v>0</v>
      </c>
      <c r="D6971" s="2"/>
      <c r="F6971" s="2" t="str">
        <v>0</v>
      </c>
      <c r="I6971" s="3" t="str">
        <f ca="1">IFERROR(__xludf.DUMMYFUNCTION("""COMPUTED_VALUE"""),"Tạ kim Hoàng")</f>
        <v>Tạ kim Hoàng</v>
      </c>
      <c r="J6971" s="3" t="str">
        <f ca="1">IFERROR(__xludf.DUMMYFUNCTION("""COMPUTED_VALUE"""),"0368845967")</f>
        <v>0368845967</v>
      </c>
      <c r="K6971" s="2" t="str">
        <f ca="1">IFERROR(__xludf.DUMMYFUNCTION("""COMPUTED_VALUE"""),"1763378812294")</f>
        <v>1763378812294</v>
      </c>
    </row>
    <row r="6972" spans="1:11" ht="12.45">
      <c r="A6972" s="2" t="str">
        <f ca="1">IFERROR(__xludf.DUMMYFUNCTION("""COMPUTED_VALUE"""),"1763378851648")</f>
        <v>1763378851648</v>
      </c>
      <c r="B6972" s="2"/>
      <c r="C6972" s="2" t="str">
        <v>0</v>
      </c>
      <c r="D6972" s="2"/>
      <c r="F6972" s="2" t="str">
        <v>0</v>
      </c>
      <c r="I6972" s="3" t="str">
        <f ca="1">IFERROR(__xludf.DUMMYFUNCTION("""COMPUTED_VALUE"""),"Nguyễn Thị Thh Hà")</f>
        <v>Nguyễn Thị Thh Hà</v>
      </c>
      <c r="J6972" s="3" t="str">
        <f ca="1">IFERROR(__xludf.DUMMYFUNCTION("""COMPUTED_VALUE"""),"0986630221")</f>
        <v>0986630221</v>
      </c>
      <c r="K6972" s="2" t="str">
        <f ca="1">IFERROR(__xludf.DUMMYFUNCTION("""COMPUTED_VALUE"""),"1763378851648")</f>
        <v>1763378851648</v>
      </c>
    </row>
    <row r="6973" spans="1:11" ht="12.45">
      <c r="A6973" s="2" t="str">
        <f ca="1">IFERROR(__xludf.DUMMYFUNCTION("""COMPUTED_VALUE"""),"1763378911033")</f>
        <v>1763378911033</v>
      </c>
      <c r="B6973" s="2"/>
      <c r="C6973" s="2" t="str">
        <v>0</v>
      </c>
      <c r="D6973" s="2"/>
      <c r="F6973" s="2" t="str">
        <v>0</v>
      </c>
      <c r="I6973" s="3" t="str">
        <f ca="1">IFERROR(__xludf.DUMMYFUNCTION("""COMPUTED_VALUE"""),"Nguyễn Tố Uyên ")</f>
        <v xml:space="preserve">Nguyễn Tố Uyên </v>
      </c>
      <c r="J6973" s="3" t="str">
        <f ca="1">IFERROR(__xludf.DUMMYFUNCTION("""COMPUTED_VALUE"""),"0867843096")</f>
        <v>0867843096</v>
      </c>
      <c r="K6973" s="2" t="str">
        <f ca="1">IFERROR(__xludf.DUMMYFUNCTION("""COMPUTED_VALUE"""),"1763378911033")</f>
        <v>1763378911033</v>
      </c>
    </row>
    <row r="6974" spans="1:11" ht="12.45">
      <c r="A6974" s="2" t="str">
        <f ca="1">IFERROR(__xludf.DUMMYFUNCTION("""COMPUTED_VALUE"""),"1763378958441")</f>
        <v>1763378958441</v>
      </c>
      <c r="B6974" s="2"/>
      <c r="C6974" s="2" t="str">
        <v>0</v>
      </c>
      <c r="D6974" s="2"/>
      <c r="F6974" s="2" t="str">
        <v>0</v>
      </c>
      <c r="I6974" s="3" t="str">
        <f ca="1">IFERROR(__xludf.DUMMYFUNCTION("""COMPUTED_VALUE"""),"Lê Nhựt Đăng Khôi ")</f>
        <v xml:space="preserve">Lê Nhựt Đăng Khôi </v>
      </c>
      <c r="J6974" s="3" t="str">
        <f ca="1">IFERROR(__xludf.DUMMYFUNCTION("""COMPUTED_VALUE"""),"0918160218")</f>
        <v>0918160218</v>
      </c>
      <c r="K6974" s="2" t="str">
        <f ca="1">IFERROR(__xludf.DUMMYFUNCTION("""COMPUTED_VALUE"""),"1763378958441")</f>
        <v>1763378958441</v>
      </c>
    </row>
    <row r="6975" spans="1:11" ht="12.45">
      <c r="A6975" s="2" t="str">
        <f ca="1">IFERROR(__xludf.DUMMYFUNCTION("""COMPUTED_VALUE"""),"Không giao sách")</f>
        <v>Không giao sách</v>
      </c>
      <c r="B6975" s="2"/>
      <c r="C6975" s="2" t="str">
        <v>0</v>
      </c>
      <c r="D6975" s="2"/>
      <c r="F6975" s="2" t="str">
        <v>0</v>
      </c>
      <c r="I6975" s="3" t="str">
        <f ca="1">IFERROR(__xludf.DUMMYFUNCTION("""COMPUTED_VALUE"""),"Hồ Nguyễn Anh Thư")</f>
        <v>Hồ Nguyễn Anh Thư</v>
      </c>
      <c r="J6975" s="3" t="str">
        <f ca="1">IFERROR(__xludf.DUMMYFUNCTION("""COMPUTED_VALUE"""),"0342786217")</f>
        <v>0342786217</v>
      </c>
      <c r="K6975" s="2" t="str">
        <f ca="1">IFERROR(__xludf.DUMMYFUNCTION("""COMPUTED_VALUE"""),"Không giao sách")</f>
        <v>Không giao sách</v>
      </c>
    </row>
    <row r="6976" spans="1:11" ht="12.45">
      <c r="A6976" s="2" t="str">
        <f ca="1">IFERROR(__xludf.DUMMYFUNCTION("""COMPUTED_VALUE"""),"1763379006335")</f>
        <v>1763379006335</v>
      </c>
      <c r="B6976" s="2"/>
      <c r="C6976" s="2" t="str">
        <v>0</v>
      </c>
      <c r="D6976" s="2"/>
      <c r="F6976" s="2" t="str">
        <v>0</v>
      </c>
      <c r="I6976" s="3" t="str">
        <f ca="1">IFERROR(__xludf.DUMMYFUNCTION("""COMPUTED_VALUE"""),"Phạm Gia Hân ")</f>
        <v xml:space="preserve">Phạm Gia Hân </v>
      </c>
      <c r="J6976" s="3" t="str">
        <f ca="1">IFERROR(__xludf.DUMMYFUNCTION("""COMPUTED_VALUE"""),"0862212706")</f>
        <v>0862212706</v>
      </c>
      <c r="K6976" s="2" t="str">
        <f ca="1">IFERROR(__xludf.DUMMYFUNCTION("""COMPUTED_VALUE"""),"1763379006335")</f>
        <v>1763379006335</v>
      </c>
    </row>
    <row r="6977" spans="1:11" ht="12.45">
      <c r="A6977" s="2" t="str">
        <f ca="1">IFERROR(__xludf.DUMMYFUNCTION("""COMPUTED_VALUE"""),"1763379043189")</f>
        <v>1763379043189</v>
      </c>
      <c r="B6977" s="2"/>
      <c r="C6977" s="2" t="str">
        <v>0</v>
      </c>
      <c r="D6977" s="2"/>
      <c r="F6977" s="2" t="str">
        <v>0</v>
      </c>
      <c r="I6977" s="3" t="str">
        <f ca="1">IFERROR(__xludf.DUMMYFUNCTION("""COMPUTED_VALUE"""),"Quàng Trung Hiếu")</f>
        <v>Quàng Trung Hiếu</v>
      </c>
      <c r="J6977" s="3" t="str">
        <f ca="1">IFERROR(__xludf.DUMMYFUNCTION("""COMPUTED_VALUE"""),"0837422313")</f>
        <v>0837422313</v>
      </c>
      <c r="K6977" s="2" t="str">
        <f ca="1">IFERROR(__xludf.DUMMYFUNCTION("""COMPUTED_VALUE"""),"1763379043189")</f>
        <v>1763379043189</v>
      </c>
    </row>
    <row r="6978" spans="1:11" ht="12.45">
      <c r="A6978" s="2" t="str">
        <f ca="1">IFERROR(__xludf.DUMMYFUNCTION("""COMPUTED_VALUE"""),"1763379081681")</f>
        <v>1763379081681</v>
      </c>
      <c r="B6978" s="2"/>
      <c r="C6978" s="2" t="str">
        <v>0</v>
      </c>
      <c r="D6978" s="2"/>
      <c r="F6978" s="2" t="str">
        <v>0</v>
      </c>
      <c r="I6978" s="3" t="str">
        <f ca="1">IFERROR(__xludf.DUMMYFUNCTION("""COMPUTED_VALUE"""),"Lương Thanh Vân")</f>
        <v>Lương Thanh Vân</v>
      </c>
      <c r="J6978" s="3" t="str">
        <f ca="1">IFERROR(__xludf.DUMMYFUNCTION("""COMPUTED_VALUE"""),"0886766372")</f>
        <v>0886766372</v>
      </c>
      <c r="K6978" s="2" t="str">
        <f ca="1">IFERROR(__xludf.DUMMYFUNCTION("""COMPUTED_VALUE"""),"1763379081681")</f>
        <v>1763379081681</v>
      </c>
    </row>
    <row r="6979" spans="1:11" ht="12.45">
      <c r="A6979" s="2" t="str">
        <f ca="1">IFERROR(__xludf.DUMMYFUNCTION("""COMPUTED_VALUE"""),"1763379117357")</f>
        <v>1763379117357</v>
      </c>
      <c r="B6979" s="2"/>
      <c r="C6979" s="2" t="str">
        <v>0</v>
      </c>
      <c r="D6979" s="2"/>
      <c r="F6979" s="2" t="str">
        <v>0</v>
      </c>
      <c r="I6979" s="3" t="str">
        <f ca="1">IFERROR(__xludf.DUMMYFUNCTION("""COMPUTED_VALUE"""),"Đỗ Hải Ánh")</f>
        <v>Đỗ Hải Ánh</v>
      </c>
      <c r="J6979" s="3" t="str">
        <f ca="1">IFERROR(__xludf.DUMMYFUNCTION("""COMPUTED_VALUE"""),"0799011758")</f>
        <v>0799011758</v>
      </c>
      <c r="K6979" s="2" t="str">
        <f ca="1">IFERROR(__xludf.DUMMYFUNCTION("""COMPUTED_VALUE"""),"1763379117357")</f>
        <v>1763379117357</v>
      </c>
    </row>
    <row r="6980" spans="1:11" ht="12.45">
      <c r="A6980" s="2" t="str">
        <f ca="1">IFERROR(__xludf.DUMMYFUNCTION("""COMPUTED_VALUE"""),"1763379144102")</f>
        <v>1763379144102</v>
      </c>
      <c r="B6980" s="2"/>
      <c r="C6980" s="2" t="str">
        <v>0</v>
      </c>
      <c r="D6980" s="2"/>
      <c r="F6980" s="2" t="str">
        <v>0</v>
      </c>
      <c r="I6980" s="3" t="str">
        <f ca="1">IFERROR(__xludf.DUMMYFUNCTION("""COMPUTED_VALUE"""),"Văn Thị Hải Yến")</f>
        <v>Văn Thị Hải Yến</v>
      </c>
      <c r="J6980" s="3" t="str">
        <f ca="1">IFERROR(__xludf.DUMMYFUNCTION("""COMPUTED_VALUE"""),"0896469421")</f>
        <v>0896469421</v>
      </c>
      <c r="K6980" s="2" t="str">
        <f ca="1">IFERROR(__xludf.DUMMYFUNCTION("""COMPUTED_VALUE"""),"1763379144102")</f>
        <v>1763379144102</v>
      </c>
    </row>
    <row r="6981" spans="1:11" ht="12.45">
      <c r="A6981" s="2" t="str">
        <f ca="1">IFERROR(__xludf.DUMMYFUNCTION("""COMPUTED_VALUE"""),"1763379177228")</f>
        <v>1763379177228</v>
      </c>
      <c r="B6981" s="2"/>
      <c r="C6981" s="2" t="str">
        <v>0</v>
      </c>
      <c r="D6981" s="2"/>
      <c r="F6981" s="2" t="str">
        <v>0</v>
      </c>
      <c r="I6981" s="3" t="str">
        <f ca="1">IFERROR(__xludf.DUMMYFUNCTION("""COMPUTED_VALUE"""),"Lê Thùy Diễm")</f>
        <v>Lê Thùy Diễm</v>
      </c>
      <c r="J6981" s="3" t="str">
        <f ca="1">IFERROR(__xludf.DUMMYFUNCTION("""COMPUTED_VALUE"""),"0989434271")</f>
        <v>0989434271</v>
      </c>
      <c r="K6981" s="2" t="str">
        <f ca="1">IFERROR(__xludf.DUMMYFUNCTION("""COMPUTED_VALUE"""),"1763379177228")</f>
        <v>1763379177228</v>
      </c>
    </row>
    <row r="6982" spans="1:11" ht="12.45">
      <c r="A6982" s="2" t="str">
        <f ca="1">IFERROR(__xludf.DUMMYFUNCTION("""COMPUTED_VALUE"""),"1763379232752")</f>
        <v>1763379232752</v>
      </c>
      <c r="B6982" s="2"/>
      <c r="C6982" s="2" t="str">
        <v>0</v>
      </c>
      <c r="D6982" s="2"/>
      <c r="F6982" s="2" t="str">
        <v>0</v>
      </c>
      <c r="I6982" s="3" t="str">
        <f ca="1">IFERROR(__xludf.DUMMYFUNCTION("""COMPUTED_VALUE"""),"Nguyễn Quỳnh Ly")</f>
        <v>Nguyễn Quỳnh Ly</v>
      </c>
      <c r="J6982" s="3" t="str">
        <f ca="1">IFERROR(__xludf.DUMMYFUNCTION("""COMPUTED_VALUE"""),"0982562132")</f>
        <v>0982562132</v>
      </c>
      <c r="K6982" s="2" t="str">
        <f ca="1">IFERROR(__xludf.DUMMYFUNCTION("""COMPUTED_VALUE"""),"1763379232752")</f>
        <v>1763379232752</v>
      </c>
    </row>
    <row r="6983" spans="1:11" ht="12.45">
      <c r="A6983" s="2" t="str">
        <f ca="1">IFERROR(__xludf.DUMMYFUNCTION("""COMPUTED_VALUE"""),"1763379265516")</f>
        <v>1763379265516</v>
      </c>
      <c r="B6983" s="2"/>
      <c r="C6983" s="2" t="str">
        <v>0</v>
      </c>
      <c r="D6983" s="2"/>
      <c r="F6983" s="2" t="str">
        <v>0</v>
      </c>
      <c r="I6983" s="3" t="str">
        <f ca="1">IFERROR(__xludf.DUMMYFUNCTION("""COMPUTED_VALUE"""),"Phạm Thị Phượng")</f>
        <v>Phạm Thị Phượng</v>
      </c>
      <c r="J6983" s="3" t="str">
        <f ca="1">IFERROR(__xludf.DUMMYFUNCTION("""COMPUTED_VALUE"""),"0388042426")</f>
        <v>0388042426</v>
      </c>
      <c r="K6983" s="2" t="str">
        <f ca="1">IFERROR(__xludf.DUMMYFUNCTION("""COMPUTED_VALUE"""),"1763379265516")</f>
        <v>1763379265516</v>
      </c>
    </row>
    <row r="6984" spans="1:11" ht="12.45">
      <c r="A6984" s="2" t="str">
        <f ca="1">IFERROR(__xludf.DUMMYFUNCTION("""COMPUTED_VALUE"""),"1763379296367")</f>
        <v>1763379296367</v>
      </c>
      <c r="B6984" s="2"/>
      <c r="C6984" s="2" t="str">
        <v>0</v>
      </c>
      <c r="D6984" s="2"/>
      <c r="F6984" s="2" t="str">
        <v>0</v>
      </c>
      <c r="I6984" s="3" t="str">
        <f ca="1">IFERROR(__xludf.DUMMYFUNCTION("""COMPUTED_VALUE"""),"Phạm Thị Anh Thư")</f>
        <v>Phạm Thị Anh Thư</v>
      </c>
      <c r="J6984" s="3" t="str">
        <f ca="1">IFERROR(__xludf.DUMMYFUNCTION("""COMPUTED_VALUE"""),"0962711938")</f>
        <v>0962711938</v>
      </c>
      <c r="K6984" s="2" t="str">
        <f ca="1">IFERROR(__xludf.DUMMYFUNCTION("""COMPUTED_VALUE"""),"1763379296367")</f>
        <v>1763379296367</v>
      </c>
    </row>
    <row r="6985" spans="1:11" ht="12.45">
      <c r="A6985" s="2" t="str">
        <f ca="1">IFERROR(__xludf.DUMMYFUNCTION("""COMPUTED_VALUE"""),"1763379335983")</f>
        <v>1763379335983</v>
      </c>
      <c r="B6985" s="2"/>
      <c r="C6985" s="2" t="str">
        <v>0</v>
      </c>
      <c r="D6985" s="2"/>
      <c r="F6985" s="2" t="str">
        <v>0</v>
      </c>
      <c r="I6985" s="3" t="str">
        <f ca="1">IFERROR(__xludf.DUMMYFUNCTION("""COMPUTED_VALUE"""),"Phạm Thị Tuyết Ngọc ")</f>
        <v xml:space="preserve">Phạm Thị Tuyết Ngọc </v>
      </c>
      <c r="J6985" s="3" t="str">
        <f ca="1">IFERROR(__xludf.DUMMYFUNCTION("""COMPUTED_VALUE"""),"0889823049")</f>
        <v>0889823049</v>
      </c>
      <c r="K6985" s="2" t="str">
        <f ca="1">IFERROR(__xludf.DUMMYFUNCTION("""COMPUTED_VALUE"""),"1763379335983")</f>
        <v>1763379335983</v>
      </c>
    </row>
    <row r="6986" spans="1:11" ht="12.45">
      <c r="A6986" s="2" t="str">
        <f ca="1">IFERROR(__xludf.DUMMYFUNCTION("""COMPUTED_VALUE"""),"1763379391102")</f>
        <v>1763379391102</v>
      </c>
      <c r="B6986" s="2"/>
      <c r="C6986" s="2" t="str">
        <v>0</v>
      </c>
      <c r="D6986" s="2"/>
      <c r="F6986" s="2" t="str">
        <v>0</v>
      </c>
      <c r="I6986" s="3" t="str">
        <f ca="1">IFERROR(__xludf.DUMMYFUNCTION("""COMPUTED_VALUE"""),"Lê Xuân Hạc")</f>
        <v>Lê Xuân Hạc</v>
      </c>
      <c r="J6986" s="3" t="str">
        <f ca="1">IFERROR(__xludf.DUMMYFUNCTION("""COMPUTED_VALUE"""),"0868611854")</f>
        <v>0868611854</v>
      </c>
      <c r="K6986" s="2" t="str">
        <f ca="1">IFERROR(__xludf.DUMMYFUNCTION("""COMPUTED_VALUE"""),"1763379391102")</f>
        <v>1763379391102</v>
      </c>
    </row>
    <row r="6987" spans="1:11" ht="12.45">
      <c r="A6987" s="2" t="str">
        <f ca="1">IFERROR(__xludf.DUMMYFUNCTION("""COMPUTED_VALUE"""),"1763379428366")</f>
        <v>1763379428366</v>
      </c>
      <c r="B6987" s="2"/>
      <c r="C6987" s="2" t="str">
        <v>0</v>
      </c>
      <c r="D6987" s="2"/>
      <c r="F6987" s="2" t="str">
        <v>0</v>
      </c>
      <c r="I6987" s="3" t="str">
        <f ca="1">IFERROR(__xludf.DUMMYFUNCTION("""COMPUTED_VALUE"""),"Chu Minh Tuyên")</f>
        <v>Chu Minh Tuyên</v>
      </c>
      <c r="J6987" s="3" t="str">
        <f ca="1">IFERROR(__xludf.DUMMYFUNCTION("""COMPUTED_VALUE"""),"0339672275")</f>
        <v>0339672275</v>
      </c>
      <c r="K6987" s="2" t="str">
        <f ca="1">IFERROR(__xludf.DUMMYFUNCTION("""COMPUTED_VALUE"""),"1763379428366")</f>
        <v>1763379428366</v>
      </c>
    </row>
    <row r="6988" spans="1:11" ht="12.45">
      <c r="A6988" s="2" t="str">
        <f ca="1">IFERROR(__xludf.DUMMYFUNCTION("""COMPUTED_VALUE"""),"1763379470580")</f>
        <v>1763379470580</v>
      </c>
      <c r="B6988" s="2"/>
      <c r="C6988" s="2" t="str">
        <v>0</v>
      </c>
      <c r="D6988" s="2"/>
      <c r="F6988" s="2" t="str">
        <v>0</v>
      </c>
      <c r="I6988" s="3" t="str">
        <f ca="1">IFERROR(__xludf.DUMMYFUNCTION("""COMPUTED_VALUE"""),"Trần Xuân Phương")</f>
        <v>Trần Xuân Phương</v>
      </c>
      <c r="J6988" s="3" t="str">
        <f ca="1">IFERROR(__xludf.DUMMYFUNCTION("""COMPUTED_VALUE"""),"0909487652")</f>
        <v>0909487652</v>
      </c>
      <c r="K6988" s="2" t="str">
        <f ca="1">IFERROR(__xludf.DUMMYFUNCTION("""COMPUTED_VALUE"""),"1763379470580")</f>
        <v>1763379470580</v>
      </c>
    </row>
    <row r="6989" spans="1:11" ht="12.45">
      <c r="A6989" s="2" t="str">
        <f ca="1">IFERROR(__xludf.DUMMYFUNCTION("""COMPUTED_VALUE"""),"1763379508327")</f>
        <v>1763379508327</v>
      </c>
      <c r="B6989" s="2"/>
      <c r="C6989" s="2" t="str">
        <v>0</v>
      </c>
      <c r="D6989" s="2"/>
      <c r="F6989" s="2" t="str">
        <v>0</v>
      </c>
      <c r="I6989" s="3" t="str">
        <f ca="1">IFERROR(__xludf.DUMMYFUNCTION("""COMPUTED_VALUE"""),"Đinh Thanh Tùng")</f>
        <v>Đinh Thanh Tùng</v>
      </c>
      <c r="J6989" s="3" t="str">
        <f ca="1">IFERROR(__xludf.DUMMYFUNCTION("""COMPUTED_VALUE"""),"0587907550")</f>
        <v>0587907550</v>
      </c>
      <c r="K6989" s="2" t="str">
        <f ca="1">IFERROR(__xludf.DUMMYFUNCTION("""COMPUTED_VALUE"""),"1763379508327")</f>
        <v>1763379508327</v>
      </c>
    </row>
    <row r="6990" spans="1:11" ht="12.45">
      <c r="A6990" s="2" t="str">
        <f ca="1">IFERROR(__xludf.DUMMYFUNCTION("""COMPUTED_VALUE"""),"1763379546051")</f>
        <v>1763379546051</v>
      </c>
      <c r="B6990" s="2"/>
      <c r="C6990" s="2" t="str">
        <v>0</v>
      </c>
      <c r="D6990" s="2"/>
      <c r="F6990" s="2" t="str">
        <v>0</v>
      </c>
      <c r="I6990" s="3" t="str">
        <f ca="1">IFERROR(__xludf.DUMMYFUNCTION("""COMPUTED_VALUE"""),"Nguyễn Ngọc Minh")</f>
        <v>Nguyễn Ngọc Minh</v>
      </c>
      <c r="J6990" s="3" t="str">
        <f ca="1">IFERROR(__xludf.DUMMYFUNCTION("""COMPUTED_VALUE"""),"0869279008")</f>
        <v>0869279008</v>
      </c>
      <c r="K6990" s="2" t="str">
        <f ca="1">IFERROR(__xludf.DUMMYFUNCTION("""COMPUTED_VALUE"""),"1763379546051")</f>
        <v>1763379546051</v>
      </c>
    </row>
    <row r="6991" spans="1:11" ht="12.45">
      <c r="A6991" s="2" t="str">
        <f ca="1">IFERROR(__xludf.DUMMYFUNCTION("""COMPUTED_VALUE"""),"1763379599160")</f>
        <v>1763379599160</v>
      </c>
      <c r="B6991" s="2"/>
      <c r="C6991" s="2" t="str">
        <v>0</v>
      </c>
      <c r="D6991" s="2"/>
      <c r="F6991" s="2" t="str">
        <v>0</v>
      </c>
      <c r="I6991" s="3" t="str">
        <f ca="1">IFERROR(__xludf.DUMMYFUNCTION("""COMPUTED_VALUE"""),"Lê Trần Minh Thy")</f>
        <v>Lê Trần Minh Thy</v>
      </c>
      <c r="J6991" s="3" t="str">
        <f ca="1">IFERROR(__xludf.DUMMYFUNCTION("""COMPUTED_VALUE"""),"0825983482")</f>
        <v>0825983482</v>
      </c>
      <c r="K6991" s="2" t="str">
        <f ca="1">IFERROR(__xludf.DUMMYFUNCTION("""COMPUTED_VALUE"""),"1763379599160")</f>
        <v>1763379599160</v>
      </c>
    </row>
    <row r="6992" spans="1:11" ht="12.45">
      <c r="A6992" s="2" t="str">
        <f ca="1">IFERROR(__xludf.DUMMYFUNCTION("""COMPUTED_VALUE"""),"1757996933992")</f>
        <v>1757996933992</v>
      </c>
      <c r="B6992" s="2"/>
      <c r="C6992" s="2" t="str">
        <v>0</v>
      </c>
      <c r="D6992" s="2"/>
      <c r="F6992" s="2" t="str">
        <v>0</v>
      </c>
      <c r="I6992" s="3" t="str">
        <f ca="1">IFERROR(__xludf.DUMMYFUNCTION("""COMPUTED_VALUE"""),"Đặng Thị Ngọc Bích")</f>
        <v>Đặng Thị Ngọc Bích</v>
      </c>
      <c r="J6992" s="3" t="str">
        <f ca="1">IFERROR(__xludf.DUMMYFUNCTION("""COMPUTED_VALUE"""),"0384107442")</f>
        <v>0384107442</v>
      </c>
      <c r="K6992" s="2" t="str">
        <f ca="1">IFERROR(__xludf.DUMMYFUNCTION("""COMPUTED_VALUE"""),"1757996933992")</f>
        <v>1757996933992</v>
      </c>
    </row>
    <row r="6993" spans="1:11" ht="12.45">
      <c r="A6993" s="2" t="str">
        <f ca="1">IFERROR(__xludf.DUMMYFUNCTION("""COMPUTED_VALUE"""),"1757996994820")</f>
        <v>1757996994820</v>
      </c>
      <c r="B6993" s="2"/>
      <c r="C6993" s="2" t="str">
        <v>0</v>
      </c>
      <c r="D6993" s="2"/>
      <c r="F6993" s="2" t="str">
        <v>0</v>
      </c>
      <c r="I6993" s="3" t="str">
        <f ca="1">IFERROR(__xludf.DUMMYFUNCTION("""COMPUTED_VALUE"""),"Hoàng Thị Yến Nhi ")</f>
        <v xml:space="preserve">Hoàng Thị Yến Nhi </v>
      </c>
      <c r="J6993" s="3" t="str">
        <f ca="1">IFERROR(__xludf.DUMMYFUNCTION("""COMPUTED_VALUE"""),"0392921455")</f>
        <v>0392921455</v>
      </c>
      <c r="K6993" s="2" t="str">
        <f ca="1">IFERROR(__xludf.DUMMYFUNCTION("""COMPUTED_VALUE"""),"1757996994820")</f>
        <v>1757996994820</v>
      </c>
    </row>
    <row r="6994" spans="1:11" ht="12.45">
      <c r="A6994" s="2" t="str">
        <f ca="1">IFERROR(__xludf.DUMMYFUNCTION("""COMPUTED_VALUE"""),"1757997050693")</f>
        <v>1757997050693</v>
      </c>
      <c r="B6994" s="2"/>
      <c r="C6994" s="2" t="str">
        <v>0</v>
      </c>
      <c r="D6994" s="2"/>
      <c r="F6994" s="2" t="str">
        <v>0</v>
      </c>
      <c r="I6994" s="3" t="str">
        <f ca="1">IFERROR(__xludf.DUMMYFUNCTION("""COMPUTED_VALUE"""),"Võ Thị Yến Nhi")</f>
        <v>Võ Thị Yến Nhi</v>
      </c>
      <c r="J6994" s="3" t="str">
        <f ca="1">IFERROR(__xludf.DUMMYFUNCTION("""COMPUTED_VALUE"""),"0985893146")</f>
        <v>0985893146</v>
      </c>
      <c r="K6994" s="2" t="str">
        <f ca="1">IFERROR(__xludf.DUMMYFUNCTION("""COMPUTED_VALUE"""),"1757997050693")</f>
        <v>1757997050693</v>
      </c>
    </row>
    <row r="6995" spans="1:11" ht="12.45">
      <c r="A6995" s="2" t="str">
        <f ca="1">IFERROR(__xludf.DUMMYFUNCTION("""COMPUTED_VALUE"""),"1757997111380")</f>
        <v>1757997111380</v>
      </c>
      <c r="B6995" s="2"/>
      <c r="C6995" s="2" t="str">
        <v>0</v>
      </c>
      <c r="D6995" s="2"/>
      <c r="F6995" s="2" t="str">
        <v>0</v>
      </c>
      <c r="I6995" s="3" t="str">
        <f ca="1">IFERROR(__xludf.DUMMYFUNCTION("""COMPUTED_VALUE"""),"Chu Hà Linh")</f>
        <v>Chu Hà Linh</v>
      </c>
      <c r="J6995" s="3" t="str">
        <f ca="1">IFERROR(__xludf.DUMMYFUNCTION("""COMPUTED_VALUE"""),"0865922107")</f>
        <v>0865922107</v>
      </c>
      <c r="K6995" s="2" t="str">
        <f ca="1">IFERROR(__xludf.DUMMYFUNCTION("""COMPUTED_VALUE"""),"1757997111380")</f>
        <v>1757997111380</v>
      </c>
    </row>
    <row r="6996" spans="1:11" ht="12.45">
      <c r="A6996" s="2" t="str">
        <f ca="1">IFERROR(__xludf.DUMMYFUNCTION("""COMPUTED_VALUE"""),"1757997161987")</f>
        <v>1757997161987</v>
      </c>
      <c r="B6996" s="2"/>
      <c r="C6996" s="2" t="str">
        <v>0</v>
      </c>
      <c r="D6996" s="2"/>
      <c r="F6996" s="2" t="str">
        <v>0</v>
      </c>
      <c r="I6996" s="3" t="str">
        <f ca="1">IFERROR(__xludf.DUMMYFUNCTION("""COMPUTED_VALUE"""),"Lâm Nguyễn Khánh Trâm")</f>
        <v>Lâm Nguyễn Khánh Trâm</v>
      </c>
      <c r="J6996" s="3" t="str">
        <f ca="1">IFERROR(__xludf.DUMMYFUNCTION("""COMPUTED_VALUE"""),"0943260344")</f>
        <v>0943260344</v>
      </c>
      <c r="K6996" s="2" t="str">
        <f ca="1">IFERROR(__xludf.DUMMYFUNCTION("""COMPUTED_VALUE"""),"1757997161987")</f>
        <v>1757997161987</v>
      </c>
    </row>
    <row r="6997" spans="1:11" ht="12.45">
      <c r="A6997" s="2" t="str">
        <f ca="1">IFERROR(__xludf.DUMMYFUNCTION("""COMPUTED_VALUE"""),"1757997201060")</f>
        <v>1757997201060</v>
      </c>
      <c r="B6997" s="2"/>
      <c r="C6997" s="2" t="str">
        <v>0</v>
      </c>
      <c r="D6997" s="2"/>
      <c r="F6997" s="2" t="str">
        <v>0</v>
      </c>
      <c r="I6997" s="3" t="str">
        <f ca="1">IFERROR(__xludf.DUMMYFUNCTION("""COMPUTED_VALUE"""),"Đào Mai Trà My")</f>
        <v>Đào Mai Trà My</v>
      </c>
      <c r="J6997" s="3" t="str">
        <f ca="1">IFERROR(__xludf.DUMMYFUNCTION("""COMPUTED_VALUE"""),"0911501106")</f>
        <v>0911501106</v>
      </c>
      <c r="K6997" s="2" t="str">
        <f ca="1">IFERROR(__xludf.DUMMYFUNCTION("""COMPUTED_VALUE"""),"1757997201060")</f>
        <v>1757997201060</v>
      </c>
    </row>
    <row r="6998" spans="1:11" ht="12.45">
      <c r="A6998" s="2" t="str">
        <f ca="1">IFERROR(__xludf.DUMMYFUNCTION("""COMPUTED_VALUE"""),"1757997267056")</f>
        <v>1757997267056</v>
      </c>
      <c r="B6998" s="2"/>
      <c r="C6998" s="2" t="str">
        <v>0</v>
      </c>
      <c r="D6998" s="2"/>
      <c r="F6998" s="2" t="str">
        <v>0</v>
      </c>
      <c r="I6998" s="3" t="str">
        <f ca="1">IFERROR(__xludf.DUMMYFUNCTION("""COMPUTED_VALUE"""),"Nguyễn Thị Tứ Qui")</f>
        <v>Nguyễn Thị Tứ Qui</v>
      </c>
      <c r="J6998" s="3" t="str">
        <f ca="1">IFERROR(__xludf.DUMMYFUNCTION("""COMPUTED_VALUE"""),"0368943704")</f>
        <v>0368943704</v>
      </c>
      <c r="K6998" s="2" t="str">
        <f ca="1">IFERROR(__xludf.DUMMYFUNCTION("""COMPUTED_VALUE"""),"1757997267056")</f>
        <v>1757997267056</v>
      </c>
    </row>
    <row r="6999" spans="1:11" ht="12.45">
      <c r="A6999" s="2" t="str">
        <f ca="1">IFERROR(__xludf.DUMMYFUNCTION("""COMPUTED_VALUE"""),"1757997308214")</f>
        <v>1757997308214</v>
      </c>
      <c r="B6999" s="2"/>
      <c r="C6999" s="2" t="str">
        <v>0</v>
      </c>
      <c r="D6999" s="2"/>
      <c r="F6999" s="2" t="str">
        <v>0</v>
      </c>
      <c r="I6999" s="3" t="str">
        <f ca="1">IFERROR(__xludf.DUMMYFUNCTION("""COMPUTED_VALUE"""),"Nguyễn Phương Anh")</f>
        <v>Nguyễn Phương Anh</v>
      </c>
      <c r="J6999" s="3" t="str">
        <f ca="1">IFERROR(__xludf.DUMMYFUNCTION("""COMPUTED_VALUE"""),"0931320185")</f>
        <v>0931320185</v>
      </c>
      <c r="K6999" s="2" t="str">
        <f ca="1">IFERROR(__xludf.DUMMYFUNCTION("""COMPUTED_VALUE"""),"1757997308214")</f>
        <v>1757997308214</v>
      </c>
    </row>
    <row r="7000" spans="1:11" ht="12.45">
      <c r="A7000" s="2" t="str">
        <f ca="1">IFERROR(__xludf.DUMMYFUNCTION("""COMPUTED_VALUE"""),"1757997371033")</f>
        <v>1757997371033</v>
      </c>
      <c r="B7000" s="2"/>
      <c r="C7000" s="2" t="str">
        <v>0</v>
      </c>
      <c r="D7000" s="2"/>
      <c r="F7000" s="2" t="str">
        <v>0</v>
      </c>
      <c r="I7000" s="3" t="str">
        <f ca="1">IFERROR(__xludf.DUMMYFUNCTION("""COMPUTED_VALUE"""),"Nguyễn Thùy Dương")</f>
        <v>Nguyễn Thùy Dương</v>
      </c>
      <c r="J7000" s="3" t="str">
        <f ca="1">IFERROR(__xludf.DUMMYFUNCTION("""COMPUTED_VALUE"""),"0389425225")</f>
        <v>0389425225</v>
      </c>
      <c r="K7000" s="2" t="str">
        <f ca="1">IFERROR(__xludf.DUMMYFUNCTION("""COMPUTED_VALUE"""),"1757997371033")</f>
        <v>1757997371033</v>
      </c>
    </row>
    <row r="7001" spans="1:11" ht="12.45">
      <c r="A7001" s="2" t="str">
        <f ca="1">IFERROR(__xludf.DUMMYFUNCTION("""COMPUTED_VALUE"""),"1757997471443")</f>
        <v>1757997471443</v>
      </c>
      <c r="B7001" s="2"/>
      <c r="C7001" s="2" t="str">
        <v>0</v>
      </c>
      <c r="D7001" s="2"/>
      <c r="F7001" s="2" t="str">
        <v>0</v>
      </c>
      <c r="I7001" s="3" t="str">
        <f ca="1">IFERROR(__xludf.DUMMYFUNCTION("""COMPUTED_VALUE"""),"Hà Quang Thành")</f>
        <v>Hà Quang Thành</v>
      </c>
      <c r="J7001" s="3" t="str">
        <f ca="1">IFERROR(__xludf.DUMMYFUNCTION("""COMPUTED_VALUE"""),"0868024595")</f>
        <v>0868024595</v>
      </c>
      <c r="K7001" s="2" t="str">
        <f ca="1">IFERROR(__xludf.DUMMYFUNCTION("""COMPUTED_VALUE"""),"1757997471443")</f>
        <v>1757997471443</v>
      </c>
    </row>
    <row r="7002" spans="1:11" ht="12.45">
      <c r="A7002" s="2" t="str">
        <f ca="1">IFERROR(__xludf.DUMMYFUNCTION("""COMPUTED_VALUE"""),"1757997541085")</f>
        <v>1757997541085</v>
      </c>
      <c r="B7002" s="2"/>
      <c r="C7002" s="2" t="str">
        <v>0</v>
      </c>
      <c r="D7002" s="2"/>
      <c r="F7002" s="2" t="str">
        <v>0</v>
      </c>
      <c r="I7002" s="3" t="str">
        <f ca="1">IFERROR(__xludf.DUMMYFUNCTION("""COMPUTED_VALUE"""),"Dương Ngọc Anh")</f>
        <v>Dương Ngọc Anh</v>
      </c>
      <c r="J7002" s="3" t="str">
        <f ca="1">IFERROR(__xludf.DUMMYFUNCTION("""COMPUTED_VALUE"""),"0327834089")</f>
        <v>0327834089</v>
      </c>
      <c r="K7002" s="2" t="str">
        <f ca="1">IFERROR(__xludf.DUMMYFUNCTION("""COMPUTED_VALUE"""),"1757997541085")</f>
        <v>1757997541085</v>
      </c>
    </row>
    <row r="7003" spans="1:11" ht="12.45">
      <c r="A7003" s="2" t="str">
        <f ca="1">IFERROR(__xludf.DUMMYFUNCTION("""COMPUTED_VALUE"""),"1757997623161")</f>
        <v>1757997623161</v>
      </c>
      <c r="B7003" s="2"/>
      <c r="C7003" s="2" t="str">
        <v>0</v>
      </c>
      <c r="D7003" s="2"/>
      <c r="F7003" s="2" t="str">
        <v>0</v>
      </c>
      <c r="I7003" s="3" t="str">
        <f ca="1">IFERROR(__xludf.DUMMYFUNCTION("""COMPUTED_VALUE"""),"Nguyễn Thị Phương Linh")</f>
        <v>Nguyễn Thị Phương Linh</v>
      </c>
      <c r="J7003" s="3" t="str">
        <f ca="1">IFERROR(__xludf.DUMMYFUNCTION("""COMPUTED_VALUE"""),"0358935638")</f>
        <v>0358935638</v>
      </c>
      <c r="K7003" s="2" t="str">
        <f ca="1">IFERROR(__xludf.DUMMYFUNCTION("""COMPUTED_VALUE"""),"1757997623161")</f>
        <v>1757997623161</v>
      </c>
    </row>
    <row r="7004" spans="1:11" ht="12.45">
      <c r="A7004" s="2" t="str">
        <f ca="1">IFERROR(__xludf.DUMMYFUNCTION("""COMPUTED_VALUE"""),"1757997664924")</f>
        <v>1757997664924</v>
      </c>
      <c r="B7004" s="2"/>
      <c r="C7004" s="2" t="str">
        <v>0</v>
      </c>
      <c r="D7004" s="2"/>
      <c r="F7004" s="2" t="str">
        <v>0</v>
      </c>
      <c r="I7004" s="3" t="str">
        <f ca="1">IFERROR(__xludf.DUMMYFUNCTION("""COMPUTED_VALUE"""),"Nguyễn Thị Ngọc Hằng")</f>
        <v>Nguyễn Thị Ngọc Hằng</v>
      </c>
      <c r="J7004" s="3" t="str">
        <f ca="1">IFERROR(__xludf.DUMMYFUNCTION("""COMPUTED_VALUE"""),"0799041601")</f>
        <v>0799041601</v>
      </c>
      <c r="K7004" s="2" t="str">
        <f ca="1">IFERROR(__xludf.DUMMYFUNCTION("""COMPUTED_VALUE"""),"1757997664924")</f>
        <v>1757997664924</v>
      </c>
    </row>
    <row r="7005" spans="1:11" ht="12.45">
      <c r="A7005" s="2" t="str">
        <f ca="1">IFERROR(__xludf.DUMMYFUNCTION("""COMPUTED_VALUE"""),"1757997741396")</f>
        <v>1757997741396</v>
      </c>
      <c r="B7005" s="2"/>
      <c r="C7005" s="2" t="str">
        <v>0</v>
      </c>
      <c r="D7005" s="2"/>
      <c r="F7005" s="2" t="str">
        <v>0</v>
      </c>
      <c r="I7005" s="3" t="str">
        <f ca="1">IFERROR(__xludf.DUMMYFUNCTION("""COMPUTED_VALUE"""),"Trần Nguyễn Trang Uyên ")</f>
        <v xml:space="preserve">Trần Nguyễn Trang Uyên </v>
      </c>
      <c r="J7005" s="3" t="str">
        <f ca="1">IFERROR(__xludf.DUMMYFUNCTION("""COMPUTED_VALUE"""),"0976553449")</f>
        <v>0976553449</v>
      </c>
      <c r="K7005" s="2" t="str">
        <f ca="1">IFERROR(__xludf.DUMMYFUNCTION("""COMPUTED_VALUE"""),"1757997741396")</f>
        <v>1757997741396</v>
      </c>
    </row>
    <row r="7006" spans="1:11" ht="12.45">
      <c r="A7006" s="2" t="str">
        <f ca="1">IFERROR(__xludf.DUMMYFUNCTION("""COMPUTED_VALUE"""),"1757997835716")</f>
        <v>1757997835716</v>
      </c>
      <c r="B7006" s="2"/>
      <c r="C7006" s="2" t="str">
        <v>0</v>
      </c>
      <c r="D7006" s="2"/>
      <c r="F7006" s="2" t="str">
        <v>0</v>
      </c>
      <c r="I7006" s="3" t="str">
        <f ca="1">IFERROR(__xludf.DUMMYFUNCTION("""COMPUTED_VALUE"""),"Nguyễn Thị Minh Tâm")</f>
        <v>Nguyễn Thị Minh Tâm</v>
      </c>
      <c r="J7006" s="3" t="str">
        <f ca="1">IFERROR(__xludf.DUMMYFUNCTION("""COMPUTED_VALUE"""),"0982576627")</f>
        <v>0982576627</v>
      </c>
      <c r="K7006" s="2" t="str">
        <f ca="1">IFERROR(__xludf.DUMMYFUNCTION("""COMPUTED_VALUE"""),"1757997835716")</f>
        <v>1757997835716</v>
      </c>
    </row>
    <row r="7007" spans="1:11" ht="12.45">
      <c r="A7007" s="2" t="str">
        <f ca="1">IFERROR(__xludf.DUMMYFUNCTION("""COMPUTED_VALUE"""),"1757997891795")</f>
        <v>1757997891795</v>
      </c>
      <c r="B7007" s="2"/>
      <c r="C7007" s="2" t="str">
        <v>0</v>
      </c>
      <c r="D7007" s="2"/>
      <c r="F7007" s="2" t="str">
        <v>0</v>
      </c>
      <c r="I7007" s="3" t="str">
        <f ca="1">IFERROR(__xludf.DUMMYFUNCTION("""COMPUTED_VALUE"""),"Nguyễn Quốc Hào")</f>
        <v>Nguyễn Quốc Hào</v>
      </c>
      <c r="J7007" s="3" t="str">
        <f ca="1">IFERROR(__xludf.DUMMYFUNCTION("""COMPUTED_VALUE"""),"0817254935")</f>
        <v>0817254935</v>
      </c>
      <c r="K7007" s="2" t="str">
        <f ca="1">IFERROR(__xludf.DUMMYFUNCTION("""COMPUTED_VALUE"""),"1757997891795")</f>
        <v>1757997891795</v>
      </c>
    </row>
    <row r="7008" spans="1:11" ht="12.45">
      <c r="A7008" s="2" t="str">
        <f ca="1">IFERROR(__xludf.DUMMYFUNCTION("""COMPUTED_VALUE"""),"1757997947948")</f>
        <v>1757997947948</v>
      </c>
      <c r="B7008" s="2"/>
      <c r="C7008" s="2" t="str">
        <v>0</v>
      </c>
      <c r="D7008" s="2"/>
      <c r="F7008" s="2" t="str">
        <v>0</v>
      </c>
      <c r="I7008" s="3" t="str">
        <f ca="1">IFERROR(__xludf.DUMMYFUNCTION("""COMPUTED_VALUE"""),"Nguyễn Xuân Thắng")</f>
        <v>Nguyễn Xuân Thắng</v>
      </c>
      <c r="J7008" s="3" t="str">
        <f ca="1">IFERROR(__xludf.DUMMYFUNCTION("""COMPUTED_VALUE"""),"0343763791")</f>
        <v>0343763791</v>
      </c>
      <c r="K7008" s="2" t="str">
        <f ca="1">IFERROR(__xludf.DUMMYFUNCTION("""COMPUTED_VALUE"""),"1757997947948")</f>
        <v>1757997947948</v>
      </c>
    </row>
    <row r="7009" spans="1:11" ht="12.45">
      <c r="A7009" s="2" t="str">
        <f ca="1">IFERROR(__xludf.DUMMYFUNCTION("""COMPUTED_VALUE"""),"1757998023842")</f>
        <v>1757998023842</v>
      </c>
      <c r="B7009" s="2"/>
      <c r="C7009" s="2" t="str">
        <v>0</v>
      </c>
      <c r="D7009" s="2"/>
      <c r="F7009" s="2" t="str">
        <v>0</v>
      </c>
      <c r="I7009" s="3" t="str">
        <f ca="1">IFERROR(__xludf.DUMMYFUNCTION("""COMPUTED_VALUE"""),"Nguyễn Hoàng Linh")</f>
        <v>Nguyễn Hoàng Linh</v>
      </c>
      <c r="J7009" s="3" t="str">
        <f ca="1">IFERROR(__xludf.DUMMYFUNCTION("""COMPUTED_VALUE"""),"0369963460")</f>
        <v>0369963460</v>
      </c>
      <c r="K7009" s="2" t="str">
        <f ca="1">IFERROR(__xludf.DUMMYFUNCTION("""COMPUTED_VALUE"""),"1757998023842")</f>
        <v>1757998023842</v>
      </c>
    </row>
    <row r="7010" spans="1:11" ht="12.45">
      <c r="A7010" s="2" t="str">
        <f ca="1">IFERROR(__xludf.DUMMYFUNCTION("""COMPUTED_VALUE"""),"1757998073187")</f>
        <v>1757998073187</v>
      </c>
      <c r="B7010" s="2"/>
      <c r="C7010" s="2" t="str">
        <v>0</v>
      </c>
      <c r="D7010" s="2"/>
      <c r="F7010" s="2" t="str">
        <v>0</v>
      </c>
      <c r="I7010" s="3" t="str">
        <f ca="1">IFERROR(__xludf.DUMMYFUNCTION("""COMPUTED_VALUE"""),"Nguyễn Lê Bảo Ngọc ")</f>
        <v xml:space="preserve">Nguyễn Lê Bảo Ngọc </v>
      </c>
      <c r="J7010" s="3" t="str">
        <f ca="1">IFERROR(__xludf.DUMMYFUNCTION("""COMPUTED_VALUE"""),"0355762430")</f>
        <v>0355762430</v>
      </c>
      <c r="K7010" s="2" t="str">
        <f ca="1">IFERROR(__xludf.DUMMYFUNCTION("""COMPUTED_VALUE"""),"1757998073187")</f>
        <v>1757998073187</v>
      </c>
    </row>
    <row r="7011" spans="1:11" ht="12.45">
      <c r="A7011" s="2" t="str">
        <f ca="1">IFERROR(__xludf.DUMMYFUNCTION("""COMPUTED_VALUE"""),"1757998121381")</f>
        <v>1757998121381</v>
      </c>
      <c r="B7011" s="2"/>
      <c r="C7011" s="2" t="str">
        <v>0</v>
      </c>
      <c r="D7011" s="2"/>
      <c r="F7011" s="2" t="str">
        <v>0</v>
      </c>
      <c r="I7011" s="3" t="str">
        <f ca="1">IFERROR(__xludf.DUMMYFUNCTION("""COMPUTED_VALUE"""),"Huỳnh Thanh Phương Vy")</f>
        <v>Huỳnh Thanh Phương Vy</v>
      </c>
      <c r="J7011" s="3" t="str">
        <f ca="1">IFERROR(__xludf.DUMMYFUNCTION("""COMPUTED_VALUE"""),"0795798386")</f>
        <v>0795798386</v>
      </c>
      <c r="K7011" s="2" t="str">
        <f ca="1">IFERROR(__xludf.DUMMYFUNCTION("""COMPUTED_VALUE"""),"1757998121381")</f>
        <v>1757998121381</v>
      </c>
    </row>
    <row r="7012" spans="1:11" ht="12.45">
      <c r="A7012" s="2" t="str">
        <f ca="1">IFERROR(__xludf.DUMMYFUNCTION("""COMPUTED_VALUE"""),"1757998155041")</f>
        <v>1757998155041</v>
      </c>
      <c r="B7012" s="2"/>
      <c r="C7012" s="2" t="str">
        <v>0</v>
      </c>
      <c r="D7012" s="2"/>
      <c r="F7012" s="2" t="str">
        <v>0</v>
      </c>
      <c r="I7012" s="3" t="str">
        <f ca="1">IFERROR(__xludf.DUMMYFUNCTION("""COMPUTED_VALUE"""),"Vũ Hoàng Việt ")</f>
        <v xml:space="preserve">Vũ Hoàng Việt </v>
      </c>
      <c r="J7012" s="3" t="str">
        <f ca="1">IFERROR(__xludf.DUMMYFUNCTION("""COMPUTED_VALUE"""),"0389739885")</f>
        <v>0389739885</v>
      </c>
      <c r="K7012" s="2" t="str">
        <f ca="1">IFERROR(__xludf.DUMMYFUNCTION("""COMPUTED_VALUE"""),"1757998155041")</f>
        <v>1757998155041</v>
      </c>
    </row>
    <row r="7013" spans="1:11" ht="12.45">
      <c r="A7013" s="2" t="str">
        <f ca="1">IFERROR(__xludf.DUMMYFUNCTION("""COMPUTED_VALUE"""),"1757998204944")</f>
        <v>1757998204944</v>
      </c>
      <c r="B7013" s="2"/>
      <c r="C7013" s="2" t="str">
        <v>0</v>
      </c>
      <c r="D7013" s="2"/>
      <c r="F7013" s="2" t="str">
        <v>0</v>
      </c>
      <c r="I7013" s="3" t="str">
        <f ca="1">IFERROR(__xludf.DUMMYFUNCTION("""COMPUTED_VALUE"""),"Nguyễn Thị Lâm Thư")</f>
        <v>Nguyễn Thị Lâm Thư</v>
      </c>
      <c r="J7013" s="3" t="str">
        <f ca="1">IFERROR(__xludf.DUMMYFUNCTION("""COMPUTED_VALUE"""),"0337212027")</f>
        <v>0337212027</v>
      </c>
      <c r="K7013" s="2" t="str">
        <f ca="1">IFERROR(__xludf.DUMMYFUNCTION("""COMPUTED_VALUE"""),"1757998204944")</f>
        <v>1757998204944</v>
      </c>
    </row>
    <row r="7014" spans="1:11" ht="12.45">
      <c r="A7014" s="2" t="str">
        <f ca="1">IFERROR(__xludf.DUMMYFUNCTION("""COMPUTED_VALUE"""),"1757998241215")</f>
        <v>1757998241215</v>
      </c>
      <c r="B7014" s="2"/>
      <c r="C7014" s="2" t="str">
        <v>0</v>
      </c>
      <c r="D7014" s="2"/>
      <c r="F7014" s="2" t="str">
        <v>0</v>
      </c>
      <c r="I7014" s="3" t="str">
        <f ca="1">IFERROR(__xludf.DUMMYFUNCTION("""COMPUTED_VALUE"""),"Phạm Minh Anh")</f>
        <v>Phạm Minh Anh</v>
      </c>
      <c r="J7014" s="3" t="str">
        <f ca="1">IFERROR(__xludf.DUMMYFUNCTION("""COMPUTED_VALUE"""),"0373952080")</f>
        <v>0373952080</v>
      </c>
      <c r="K7014" s="2" t="str">
        <f ca="1">IFERROR(__xludf.DUMMYFUNCTION("""COMPUTED_VALUE"""),"1757998241215")</f>
        <v>1757998241215</v>
      </c>
    </row>
    <row r="7015" spans="1:11" ht="12.45">
      <c r="A7015" s="2" t="str">
        <f ca="1">IFERROR(__xludf.DUMMYFUNCTION("""COMPUTED_VALUE"""),"1757998280447")</f>
        <v>1757998280447</v>
      </c>
      <c r="B7015" s="2"/>
      <c r="C7015" s="2" t="str">
        <v>0</v>
      </c>
      <c r="D7015" s="2"/>
      <c r="F7015" s="2" t="str">
        <v>0</v>
      </c>
      <c r="I7015" s="3" t="str">
        <f ca="1">IFERROR(__xludf.DUMMYFUNCTION("""COMPUTED_VALUE"""),"Nguyễn Thị Thu Thảo")</f>
        <v>Nguyễn Thị Thu Thảo</v>
      </c>
      <c r="J7015" s="3" t="str">
        <f ca="1">IFERROR(__xludf.DUMMYFUNCTION("""COMPUTED_VALUE"""),"0968324207")</f>
        <v>0968324207</v>
      </c>
      <c r="K7015" s="2" t="str">
        <f ca="1">IFERROR(__xludf.DUMMYFUNCTION("""COMPUTED_VALUE"""),"1757998280447")</f>
        <v>1757998280447</v>
      </c>
    </row>
    <row r="7016" spans="1:11" ht="12.45">
      <c r="A7016" s="2" t="str">
        <f ca="1">IFERROR(__xludf.DUMMYFUNCTION("""COMPUTED_VALUE"""),"1757998340421")</f>
        <v>1757998340421</v>
      </c>
      <c r="B7016" s="2"/>
      <c r="C7016" s="2" t="str">
        <v>0</v>
      </c>
      <c r="D7016" s="2"/>
      <c r="F7016" s="2" t="str">
        <v>0</v>
      </c>
      <c r="I7016" s="3" t="str">
        <f ca="1">IFERROR(__xludf.DUMMYFUNCTION("""COMPUTED_VALUE"""),"Bế Vũ Thu Thủy ")</f>
        <v xml:space="preserve">Bế Vũ Thu Thủy </v>
      </c>
      <c r="J7016" s="3" t="str">
        <f ca="1">IFERROR(__xludf.DUMMYFUNCTION("""COMPUTED_VALUE"""),"0986357019")</f>
        <v>0986357019</v>
      </c>
      <c r="K7016" s="2" t="str">
        <f ca="1">IFERROR(__xludf.DUMMYFUNCTION("""COMPUTED_VALUE"""),"1757998340421")</f>
        <v>1757998340421</v>
      </c>
    </row>
    <row r="7017" spans="1:11" ht="12.45">
      <c r="A7017" s="2" t="str">
        <f ca="1">IFERROR(__xludf.DUMMYFUNCTION("""COMPUTED_VALUE"""),"1757998387951")</f>
        <v>1757998387951</v>
      </c>
      <c r="B7017" s="2"/>
      <c r="C7017" s="2" t="str">
        <v>0</v>
      </c>
      <c r="D7017" s="2"/>
      <c r="F7017" s="2" t="str">
        <v>0</v>
      </c>
      <c r="I7017" s="3" t="str">
        <f ca="1">IFERROR(__xludf.DUMMYFUNCTION("""COMPUTED_VALUE"""),"Vũ Trường Phước")</f>
        <v>Vũ Trường Phước</v>
      </c>
      <c r="J7017" s="3" t="str">
        <f ca="1">IFERROR(__xludf.DUMMYFUNCTION("""COMPUTED_VALUE"""),"0963167151")</f>
        <v>0963167151</v>
      </c>
      <c r="K7017" s="2" t="str">
        <f ca="1">IFERROR(__xludf.DUMMYFUNCTION("""COMPUTED_VALUE"""),"1757998387951")</f>
        <v>1757998387951</v>
      </c>
    </row>
    <row r="7018" spans="1:11" ht="12.45">
      <c r="A7018" s="2" t="str">
        <f ca="1">IFERROR(__xludf.DUMMYFUNCTION("""COMPUTED_VALUE"""),"1757998448014")</f>
        <v>1757998448014</v>
      </c>
      <c r="B7018" s="2"/>
      <c r="C7018" s="2" t="str">
        <v>0</v>
      </c>
      <c r="D7018" s="2"/>
      <c r="F7018" s="2" t="str">
        <v>0</v>
      </c>
      <c r="I7018" s="3" t="str">
        <f ca="1">IFERROR(__xludf.DUMMYFUNCTION("""COMPUTED_VALUE"""),"Nguyễn Ngô Thuỳ Dương")</f>
        <v>Nguyễn Ngô Thuỳ Dương</v>
      </c>
      <c r="J7018" s="3" t="str">
        <f ca="1">IFERROR(__xludf.DUMMYFUNCTION("""COMPUTED_VALUE"""),"0796839402")</f>
        <v>0796839402</v>
      </c>
      <c r="K7018" s="2" t="str">
        <f ca="1">IFERROR(__xludf.DUMMYFUNCTION("""COMPUTED_VALUE"""),"1757998448014")</f>
        <v>1757998448014</v>
      </c>
    </row>
    <row r="7019" spans="1:11" ht="12.45">
      <c r="A7019" s="2" t="str">
        <f ca="1">IFERROR(__xludf.DUMMYFUNCTION("""COMPUTED_VALUE"""),"1757998539587")</f>
        <v>1757998539587</v>
      </c>
      <c r="B7019" s="2"/>
      <c r="C7019" s="2" t="str">
        <v>0</v>
      </c>
      <c r="D7019" s="2"/>
      <c r="F7019" s="2" t="str">
        <v>0</v>
      </c>
      <c r="I7019" s="3" t="str">
        <f ca="1">IFERROR(__xludf.DUMMYFUNCTION("""COMPUTED_VALUE"""),"Nguyễn Thanh Trà")</f>
        <v>Nguyễn Thanh Trà</v>
      </c>
      <c r="J7019" s="3" t="str">
        <f ca="1">IFERROR(__xludf.DUMMYFUNCTION("""COMPUTED_VALUE"""),"8432859236")</f>
        <v>8432859236</v>
      </c>
      <c r="K7019" s="2" t="str">
        <f ca="1">IFERROR(__xludf.DUMMYFUNCTION("""COMPUTED_VALUE"""),"1757998539587")</f>
        <v>1757998539587</v>
      </c>
    </row>
    <row r="7020" spans="1:11" ht="12.45">
      <c r="A7020" s="2"/>
      <c r="B7020" s="2"/>
      <c r="C7020" s="2" t="str">
        <v>0</v>
      </c>
      <c r="D7020" s="2"/>
      <c r="F7020" s="2" t="str">
        <v>0</v>
      </c>
      <c r="I7020" s="3" t="str">
        <f ca="1">IFERROR(__xludf.DUMMYFUNCTION("""COMPUTED_VALUE"""),"Nguyễn Trà My")</f>
        <v>Nguyễn Trà My</v>
      </c>
      <c r="J7020" s="3" t="str">
        <f ca="1">IFERROR(__xludf.DUMMYFUNCTION("""COMPUTED_VALUE"""),"0565535410")</f>
        <v>0565535410</v>
      </c>
      <c r="K7020" s="2"/>
    </row>
    <row r="7021" spans="1:11" ht="12.45">
      <c r="A7021" s="2" t="str">
        <f ca="1">IFERROR(__xludf.DUMMYFUNCTION("""COMPUTED_VALUE"""),"1757998613252")</f>
        <v>1757998613252</v>
      </c>
      <c r="B7021" s="2"/>
      <c r="C7021" s="2" t="str">
        <v>0</v>
      </c>
      <c r="D7021" s="2"/>
      <c r="F7021" s="2" t="str">
        <v>0</v>
      </c>
      <c r="I7021" s="3" t="str">
        <f ca="1">IFERROR(__xludf.DUMMYFUNCTION("""COMPUTED_VALUE"""),"Tống Bảo Thy")</f>
        <v>Tống Bảo Thy</v>
      </c>
      <c r="J7021" s="3" t="str">
        <f ca="1">IFERROR(__xludf.DUMMYFUNCTION("""COMPUTED_VALUE"""),"0392560733")</f>
        <v>0392560733</v>
      </c>
      <c r="K7021" s="2" t="str">
        <f ca="1">IFERROR(__xludf.DUMMYFUNCTION("""COMPUTED_VALUE"""),"1757998613252")</f>
        <v>1757998613252</v>
      </c>
    </row>
    <row r="7022" spans="1:11" ht="12.45">
      <c r="A7022" s="2" t="str">
        <f ca="1">IFERROR(__xludf.DUMMYFUNCTION("""COMPUTED_VALUE"""),"1757998666704")</f>
        <v>1757998666704</v>
      </c>
      <c r="B7022" s="2"/>
      <c r="C7022" s="2" t="str">
        <v>0</v>
      </c>
      <c r="D7022" s="2"/>
      <c r="F7022" s="2" t="str">
        <v>0</v>
      </c>
      <c r="I7022" s="3" t="str">
        <f ca="1">IFERROR(__xludf.DUMMYFUNCTION("""COMPUTED_VALUE"""),"Ngô Thị Thuý Ngân")</f>
        <v>Ngô Thị Thuý Ngân</v>
      </c>
      <c r="J7022" s="3" t="str">
        <f ca="1">IFERROR(__xludf.DUMMYFUNCTION("""COMPUTED_VALUE"""),"0332785927")</f>
        <v>0332785927</v>
      </c>
      <c r="K7022" s="2" t="str">
        <f ca="1">IFERROR(__xludf.DUMMYFUNCTION("""COMPUTED_VALUE"""),"1757998666704")</f>
        <v>1757998666704</v>
      </c>
    </row>
    <row r="7023" spans="1:11" ht="12.45">
      <c r="A7023" s="2" t="str">
        <f ca="1">IFERROR(__xludf.DUMMYFUNCTION("""COMPUTED_VALUE"""),"1757998706541")</f>
        <v>1757998706541</v>
      </c>
      <c r="B7023" s="2"/>
      <c r="C7023" s="2" t="str">
        <v>0</v>
      </c>
      <c r="D7023" s="2"/>
      <c r="F7023" s="2" t="str">
        <v>0</v>
      </c>
      <c r="I7023" s="3" t="str">
        <f ca="1">IFERROR(__xludf.DUMMYFUNCTION("""COMPUTED_VALUE"""),"Trần Thanh Tấn")</f>
        <v>Trần Thanh Tấn</v>
      </c>
      <c r="J7023" s="3" t="str">
        <f ca="1">IFERROR(__xludf.DUMMYFUNCTION("""COMPUTED_VALUE"""),"0398833920")</f>
        <v>0398833920</v>
      </c>
      <c r="K7023" s="2" t="str">
        <f ca="1">IFERROR(__xludf.DUMMYFUNCTION("""COMPUTED_VALUE"""),"1757998706541")</f>
        <v>1757998706541</v>
      </c>
    </row>
    <row r="7024" spans="1:11" ht="12.45">
      <c r="A7024" s="2"/>
      <c r="B7024" s="2"/>
      <c r="C7024" s="2" t="str">
        <v>0</v>
      </c>
      <c r="D7024" s="2"/>
      <c r="F7024" s="2" t="str">
        <v>0</v>
      </c>
      <c r="I7024" s="3" t="str">
        <f ca="1">IFERROR(__xludf.DUMMYFUNCTION("""COMPUTED_VALUE"""),"Phạm Hồng Hạnh")</f>
        <v>Phạm Hồng Hạnh</v>
      </c>
      <c r="J7024" s="3" t="str">
        <f ca="1">IFERROR(__xludf.DUMMYFUNCTION("""COMPUTED_VALUE"""),"0912025170")</f>
        <v>0912025170</v>
      </c>
      <c r="K7024" s="2"/>
    </row>
    <row r="7025" spans="1:11" ht="12.45">
      <c r="A7025" s="2" t="str">
        <f ca="1">IFERROR(__xludf.DUMMYFUNCTION("""COMPUTED_VALUE"""),"1757998740961")</f>
        <v>1757998740961</v>
      </c>
      <c r="B7025" s="2"/>
      <c r="C7025" s="2" t="str">
        <v>0</v>
      </c>
      <c r="D7025" s="2"/>
      <c r="F7025" s="2" t="str">
        <v>0</v>
      </c>
      <c r="I7025" s="3" t="str">
        <f ca="1">IFERROR(__xludf.DUMMYFUNCTION("""COMPUTED_VALUE"""),"Mai Như Quỳnh")</f>
        <v>Mai Như Quỳnh</v>
      </c>
      <c r="J7025" s="3" t="str">
        <f ca="1">IFERROR(__xludf.DUMMYFUNCTION("""COMPUTED_VALUE"""),"0939501683")</f>
        <v>0939501683</v>
      </c>
      <c r="K7025" s="2" t="str">
        <f ca="1">IFERROR(__xludf.DUMMYFUNCTION("""COMPUTED_VALUE"""),"1757998740961")</f>
        <v>1757998740961</v>
      </c>
    </row>
    <row r="7026" spans="1:11" ht="12.45">
      <c r="A7026" s="2" t="str">
        <f ca="1">IFERROR(__xludf.DUMMYFUNCTION("""COMPUTED_VALUE"""),"1757998772058")</f>
        <v>1757998772058</v>
      </c>
      <c r="B7026" s="2"/>
      <c r="C7026" s="2" t="str">
        <v>0</v>
      </c>
      <c r="D7026" s="2"/>
      <c r="F7026" s="2" t="str">
        <v>0</v>
      </c>
      <c r="I7026" s="3" t="str">
        <f ca="1">IFERROR(__xludf.DUMMYFUNCTION("""COMPUTED_VALUE"""),"Trần Thị Phương Thảo")</f>
        <v>Trần Thị Phương Thảo</v>
      </c>
      <c r="J7026" s="3" t="str">
        <f ca="1">IFERROR(__xludf.DUMMYFUNCTION("""COMPUTED_VALUE"""),"0383883162")</f>
        <v>0383883162</v>
      </c>
      <c r="K7026" s="2" t="str">
        <f ca="1">IFERROR(__xludf.DUMMYFUNCTION("""COMPUTED_VALUE"""),"1757998772058")</f>
        <v>1757998772058</v>
      </c>
    </row>
    <row r="7027" spans="1:11" ht="12.45">
      <c r="A7027" s="2" t="str">
        <f ca="1">IFERROR(__xludf.DUMMYFUNCTION("""COMPUTED_VALUE"""),"1757998824878")</f>
        <v>1757998824878</v>
      </c>
      <c r="B7027" s="2"/>
      <c r="C7027" s="2" t="str">
        <v>0</v>
      </c>
      <c r="D7027" s="2"/>
      <c r="F7027" s="2" t="str">
        <v>0</v>
      </c>
      <c r="I7027" s="3" t="str">
        <f ca="1">IFERROR(__xludf.DUMMYFUNCTION("""COMPUTED_VALUE"""),"Lê Thị Uyên Nhi")</f>
        <v>Lê Thị Uyên Nhi</v>
      </c>
      <c r="J7027" s="3" t="str">
        <f ca="1">IFERROR(__xludf.DUMMYFUNCTION("""COMPUTED_VALUE"""),"0911072049")</f>
        <v>0911072049</v>
      </c>
      <c r="K7027" s="2" t="str">
        <f ca="1">IFERROR(__xludf.DUMMYFUNCTION("""COMPUTED_VALUE"""),"1757998824878")</f>
        <v>1757998824878</v>
      </c>
    </row>
    <row r="7028" spans="1:11" ht="12.45">
      <c r="A7028" s="2"/>
      <c r="B7028" s="2"/>
      <c r="C7028" s="2" t="str">
        <v>0</v>
      </c>
      <c r="D7028" s="2"/>
      <c r="F7028" s="2" t="str">
        <v>0</v>
      </c>
      <c r="I7028" s="3" t="str">
        <f ca="1">IFERROR(__xludf.DUMMYFUNCTION("""COMPUTED_VALUE"""),"Dương Mỹ Duyên")</f>
        <v>Dương Mỹ Duyên</v>
      </c>
      <c r="J7028" s="3" t="str">
        <f ca="1">IFERROR(__xludf.DUMMYFUNCTION("""COMPUTED_VALUE"""),"0946135161")</f>
        <v>0946135161</v>
      </c>
      <c r="K7028" s="2"/>
    </row>
    <row r="7029" spans="1:11" ht="12.45">
      <c r="A7029" s="2" t="str">
        <f ca="1">IFERROR(__xludf.DUMMYFUNCTION("""COMPUTED_VALUE"""),"1757998877610")</f>
        <v>1757998877610</v>
      </c>
      <c r="B7029" s="2"/>
      <c r="C7029" s="2" t="str">
        <v>0</v>
      </c>
      <c r="D7029" s="2"/>
      <c r="F7029" s="2" t="str">
        <v>0</v>
      </c>
      <c r="I7029" s="3" t="str">
        <f ca="1">IFERROR(__xludf.DUMMYFUNCTION("""COMPUTED_VALUE"""),"Đặng Phạm Khánh Hà ")</f>
        <v xml:space="preserve">Đặng Phạm Khánh Hà </v>
      </c>
      <c r="J7029" s="3" t="str">
        <f ca="1">IFERROR(__xludf.DUMMYFUNCTION("""COMPUTED_VALUE"""),"0372706667")</f>
        <v>0372706667</v>
      </c>
      <c r="K7029" s="2" t="str">
        <f ca="1">IFERROR(__xludf.DUMMYFUNCTION("""COMPUTED_VALUE"""),"1757998877610")</f>
        <v>1757998877610</v>
      </c>
    </row>
    <row r="7030" spans="1:11" ht="12.45">
      <c r="A7030" s="2"/>
      <c r="B7030" s="2"/>
      <c r="C7030" s="2" t="str">
        <v>0</v>
      </c>
      <c r="D7030" s="2"/>
      <c r="F7030" s="2" t="str">
        <v>0</v>
      </c>
      <c r="I7030" s="3" t="str">
        <f ca="1">IFERROR(__xludf.DUMMYFUNCTION("""COMPUTED_VALUE"""),"Nguyễn thị ý nhi")</f>
        <v>Nguyễn thị ý nhi</v>
      </c>
      <c r="J7030" s="3" t="str">
        <f ca="1">IFERROR(__xludf.DUMMYFUNCTION("""COMPUTED_VALUE"""),"0987943144")</f>
        <v>0987943144</v>
      </c>
      <c r="K7030" s="2"/>
    </row>
    <row r="7031" spans="1:11" ht="12.45">
      <c r="A7031" s="2"/>
      <c r="B7031" s="2"/>
      <c r="C7031" s="2" t="str">
        <v>0</v>
      </c>
      <c r="D7031" s="2"/>
      <c r="F7031" s="2" t="str">
        <v>0</v>
      </c>
      <c r="I7031" s="3" t="str">
        <f ca="1">IFERROR(__xludf.DUMMYFUNCTION("""COMPUTED_VALUE"""),"Nguyễn Ngọc Thanh Mai")</f>
        <v>Nguyễn Ngọc Thanh Mai</v>
      </c>
      <c r="J7031" s="3" t="str">
        <f ca="1">IFERROR(__xludf.DUMMYFUNCTION("""COMPUTED_VALUE"""),"0971193736")</f>
        <v>0971193736</v>
      </c>
      <c r="K7031" s="2"/>
    </row>
    <row r="7032" spans="1:11" ht="12.45">
      <c r="A7032" s="2" t="str">
        <f ca="1">IFERROR(__xludf.DUMMYFUNCTION("""COMPUTED_VALUE"""),"1757998926211")</f>
        <v>1757998926211</v>
      </c>
      <c r="B7032" s="2"/>
      <c r="C7032" s="2" t="str">
        <v>0</v>
      </c>
      <c r="D7032" s="2"/>
      <c r="F7032" s="2" t="str">
        <v>0</v>
      </c>
      <c r="I7032" s="3" t="str">
        <f ca="1">IFERROR(__xludf.DUMMYFUNCTION("""COMPUTED_VALUE"""),"Lê Nguyễn Thị Hương Giang")</f>
        <v>Lê Nguyễn Thị Hương Giang</v>
      </c>
      <c r="J7032" s="3" t="str">
        <f ca="1">IFERROR(__xludf.DUMMYFUNCTION("""COMPUTED_VALUE"""),"0869844298")</f>
        <v>0869844298</v>
      </c>
      <c r="K7032" s="2" t="str">
        <f ca="1">IFERROR(__xludf.DUMMYFUNCTION("""COMPUTED_VALUE"""),"1757998926211")</f>
        <v>1757998926211</v>
      </c>
    </row>
    <row r="7033" spans="1:11" ht="12.45">
      <c r="A7033" s="2"/>
      <c r="B7033" s="2"/>
      <c r="C7033" s="2" t="str">
        <v>0</v>
      </c>
      <c r="D7033" s="2"/>
      <c r="F7033" s="2" t="str">
        <v>0</v>
      </c>
      <c r="I7033" s="3" t="str">
        <f ca="1">IFERROR(__xludf.DUMMYFUNCTION("""COMPUTED_VALUE"""),"Hoàng Anh Thảo")</f>
        <v>Hoàng Anh Thảo</v>
      </c>
      <c r="J7033" s="3" t="str">
        <f ca="1">IFERROR(__xludf.DUMMYFUNCTION("""COMPUTED_VALUE"""),"0919484612")</f>
        <v>0919484612</v>
      </c>
      <c r="K7033" s="2"/>
    </row>
    <row r="7034" spans="1:11" ht="12.45">
      <c r="A7034" s="2" t="str">
        <f ca="1">IFERROR(__xludf.DUMMYFUNCTION("""COMPUTED_VALUE"""),"1757998973307")</f>
        <v>1757998973307</v>
      </c>
      <c r="B7034" s="2"/>
      <c r="C7034" s="2" t="str">
        <v>0</v>
      </c>
      <c r="D7034" s="2"/>
      <c r="F7034" s="2" t="str">
        <v>0</v>
      </c>
      <c r="I7034" s="3" t="str">
        <f ca="1">IFERROR(__xludf.DUMMYFUNCTION("""COMPUTED_VALUE"""),"Nguyễn Trâm Anh")</f>
        <v>Nguyễn Trâm Anh</v>
      </c>
      <c r="J7034" s="3" t="str">
        <f ca="1">IFERROR(__xludf.DUMMYFUNCTION("""COMPUTED_VALUE"""),"0943312867")</f>
        <v>0943312867</v>
      </c>
      <c r="K7034" s="2" t="str">
        <f ca="1">IFERROR(__xludf.DUMMYFUNCTION("""COMPUTED_VALUE"""),"1757998973307")</f>
        <v>1757998973307</v>
      </c>
    </row>
    <row r="7035" spans="1:11" ht="12.45">
      <c r="A7035" s="2"/>
      <c r="B7035" s="2"/>
      <c r="C7035" s="2" t="str">
        <v>0</v>
      </c>
      <c r="D7035" s="2"/>
      <c r="F7035" s="2" t="str">
        <v>0</v>
      </c>
      <c r="I7035" s="3" t="str">
        <f ca="1">IFERROR(__xludf.DUMMYFUNCTION("""COMPUTED_VALUE"""),"Võ Nguyễn Thảo Nhi")</f>
        <v>Võ Nguyễn Thảo Nhi</v>
      </c>
      <c r="J7035" s="3" t="str">
        <f ca="1">IFERROR(__xludf.DUMMYFUNCTION("""COMPUTED_VALUE"""),"0935837215")</f>
        <v>0935837215</v>
      </c>
      <c r="K7035" s="2"/>
    </row>
    <row r="7036" spans="1:11" ht="12.45">
      <c r="A7036" s="2"/>
      <c r="B7036" s="2"/>
      <c r="C7036" s="2" t="str">
        <v>0</v>
      </c>
      <c r="D7036" s="2"/>
      <c r="F7036" s="2" t="str">
        <v>0</v>
      </c>
      <c r="I7036" s="3" t="str">
        <f ca="1">IFERROR(__xludf.DUMMYFUNCTION("""COMPUTED_VALUE"""),"Phạm Ý Nhi")</f>
        <v>Phạm Ý Nhi</v>
      </c>
      <c r="J7036" s="3" t="str">
        <f ca="1">IFERROR(__xludf.DUMMYFUNCTION("""COMPUTED_VALUE"""),"0838148416")</f>
        <v>0838148416</v>
      </c>
      <c r="K7036" s="2"/>
    </row>
    <row r="7037" spans="1:11" ht="12.45">
      <c r="A7037" s="2" t="str">
        <f ca="1">IFERROR(__xludf.DUMMYFUNCTION("""COMPUTED_VALUE"""),"1757999014165")</f>
        <v>1757999014165</v>
      </c>
      <c r="B7037" s="2"/>
      <c r="C7037" s="2" t="str">
        <v>0</v>
      </c>
      <c r="D7037" s="2"/>
      <c r="F7037" s="2" t="str">
        <v>0</v>
      </c>
      <c r="I7037" s="3" t="str">
        <f ca="1">IFERROR(__xludf.DUMMYFUNCTION("""COMPUTED_VALUE"""),"Nguyễn thị thu thuỷ")</f>
        <v>Nguyễn thị thu thuỷ</v>
      </c>
      <c r="J7037" s="3" t="str">
        <f ca="1">IFERROR(__xludf.DUMMYFUNCTION("""COMPUTED_VALUE"""),"8493737989")</f>
        <v>8493737989</v>
      </c>
      <c r="K7037" s="2" t="str">
        <f ca="1">IFERROR(__xludf.DUMMYFUNCTION("""COMPUTED_VALUE"""),"1757999014165")</f>
        <v>1757999014165</v>
      </c>
    </row>
    <row r="7038" spans="1:11" ht="12.45">
      <c r="A7038" s="2" t="str">
        <f ca="1">IFERROR(__xludf.DUMMYFUNCTION("""COMPUTED_VALUE"""),"1757999055840")</f>
        <v>1757999055840</v>
      </c>
      <c r="B7038" s="2"/>
      <c r="C7038" s="2" t="str">
        <v>0</v>
      </c>
      <c r="D7038" s="2"/>
      <c r="F7038" s="2" t="str">
        <v>0</v>
      </c>
      <c r="I7038" s="3" t="str">
        <f ca="1">IFERROR(__xludf.DUMMYFUNCTION("""COMPUTED_VALUE"""),"Nông Thị Bích Diệu")</f>
        <v>Nông Thị Bích Diệu</v>
      </c>
      <c r="J7038" s="3" t="str">
        <f ca="1">IFERROR(__xludf.DUMMYFUNCTION("""COMPUTED_VALUE"""),"0973908220")</f>
        <v>0973908220</v>
      </c>
      <c r="K7038" s="2" t="str">
        <f ca="1">IFERROR(__xludf.DUMMYFUNCTION("""COMPUTED_VALUE"""),"1757999055840")</f>
        <v>1757999055840</v>
      </c>
    </row>
    <row r="7039" spans="1:11" ht="12.45">
      <c r="A7039" s="2" t="str">
        <f ca="1">IFERROR(__xludf.DUMMYFUNCTION("""COMPUTED_VALUE"""),"1757999104671")</f>
        <v>1757999104671</v>
      </c>
      <c r="B7039" s="2"/>
      <c r="C7039" s="2" t="str">
        <v>0</v>
      </c>
      <c r="D7039" s="2"/>
      <c r="F7039" s="2" t="str">
        <v>0</v>
      </c>
      <c r="I7039" s="3" t="str">
        <f ca="1">IFERROR(__xludf.DUMMYFUNCTION("""COMPUTED_VALUE"""),"Ngô Quốc Huy")</f>
        <v>Ngô Quốc Huy</v>
      </c>
      <c r="J7039" s="3" t="str">
        <f ca="1">IFERROR(__xludf.DUMMYFUNCTION("""COMPUTED_VALUE"""),"0846784919")</f>
        <v>0846784919</v>
      </c>
      <c r="K7039" s="2" t="str">
        <f ca="1">IFERROR(__xludf.DUMMYFUNCTION("""COMPUTED_VALUE"""),"1757999104671")</f>
        <v>1757999104671</v>
      </c>
    </row>
    <row r="7040" spans="1:11" ht="12.45">
      <c r="A7040" s="2" t="str">
        <f ca="1">IFERROR(__xludf.DUMMYFUNCTION("""COMPUTED_VALUE"""),"1757999154325")</f>
        <v>1757999154325</v>
      </c>
      <c r="B7040" s="2"/>
      <c r="C7040" s="2" t="str">
        <v>0</v>
      </c>
      <c r="D7040" s="2"/>
      <c r="F7040" s="2" t="str">
        <v>0</v>
      </c>
      <c r="I7040" s="3" t="str">
        <f ca="1">IFERROR(__xludf.DUMMYFUNCTION("""COMPUTED_VALUE"""),"Trần Nguyễn Thanh ngân ")</f>
        <v xml:space="preserve">Trần Nguyễn Thanh ngân </v>
      </c>
      <c r="J7040" s="3" t="str">
        <f ca="1">IFERROR(__xludf.DUMMYFUNCTION("""COMPUTED_VALUE"""),"0945294294")</f>
        <v>0945294294</v>
      </c>
      <c r="K7040" s="2" t="str">
        <f ca="1">IFERROR(__xludf.DUMMYFUNCTION("""COMPUTED_VALUE"""),"1757999154325")</f>
        <v>1757999154325</v>
      </c>
    </row>
    <row r="7041" spans="1:11" ht="12.45">
      <c r="A7041" s="2" t="str">
        <f ca="1">IFERROR(__xludf.DUMMYFUNCTION("""COMPUTED_VALUE"""),"1757999205692")</f>
        <v>1757999205692</v>
      </c>
      <c r="B7041" s="2"/>
      <c r="C7041" s="2" t="str">
        <v>0</v>
      </c>
      <c r="D7041" s="2"/>
      <c r="F7041" s="2" t="str">
        <v>0</v>
      </c>
      <c r="I7041" s="3" t="str">
        <f ca="1">IFERROR(__xludf.DUMMYFUNCTION("""COMPUTED_VALUE"""),"Phạm Thị Bích Vân ")</f>
        <v xml:space="preserve">Phạm Thị Bích Vân </v>
      </c>
      <c r="J7041" s="3" t="str">
        <f ca="1">IFERROR(__xludf.DUMMYFUNCTION("""COMPUTED_VALUE"""),"0342569931")</f>
        <v>0342569931</v>
      </c>
      <c r="K7041" s="2" t="str">
        <f ca="1">IFERROR(__xludf.DUMMYFUNCTION("""COMPUTED_VALUE"""),"1757999205692")</f>
        <v>1757999205692</v>
      </c>
    </row>
    <row r="7042" spans="1:11" ht="12.45">
      <c r="A7042" s="2" t="str">
        <f ca="1">IFERROR(__xludf.DUMMYFUNCTION("""COMPUTED_VALUE"""),"1757999267376")</f>
        <v>1757999267376</v>
      </c>
      <c r="B7042" s="2"/>
      <c r="C7042" s="2" t="str">
        <v>0</v>
      </c>
      <c r="D7042" s="2"/>
      <c r="F7042" s="2" t="str">
        <v>0</v>
      </c>
      <c r="I7042" s="3" t="str">
        <f ca="1">IFERROR(__xludf.DUMMYFUNCTION("""COMPUTED_VALUE"""),"Vũ Trà My")</f>
        <v>Vũ Trà My</v>
      </c>
      <c r="J7042" s="3" t="str">
        <f ca="1">IFERROR(__xludf.DUMMYFUNCTION("""COMPUTED_VALUE"""),"0399801776")</f>
        <v>0399801776</v>
      </c>
      <c r="K7042" s="2" t="str">
        <f ca="1">IFERROR(__xludf.DUMMYFUNCTION("""COMPUTED_VALUE"""),"1757999267376")</f>
        <v>1757999267376</v>
      </c>
    </row>
    <row r="7043" spans="1:11" ht="12.45">
      <c r="A7043" s="2" t="str">
        <f ca="1">IFERROR(__xludf.DUMMYFUNCTION("""COMPUTED_VALUE"""),"1757999310069")</f>
        <v>1757999310069</v>
      </c>
      <c r="B7043" s="2"/>
      <c r="C7043" s="2" t="str">
        <v>0</v>
      </c>
      <c r="D7043" s="2"/>
      <c r="F7043" s="2" t="str">
        <v>0</v>
      </c>
      <c r="I7043" s="3" t="str">
        <f ca="1">IFERROR(__xludf.DUMMYFUNCTION("""COMPUTED_VALUE"""),"Nguyễn Mai Phương Anh")</f>
        <v>Nguyễn Mai Phương Anh</v>
      </c>
      <c r="J7043" s="3" t="str">
        <f ca="1">IFERROR(__xludf.DUMMYFUNCTION("""COMPUTED_VALUE"""),"0889054879")</f>
        <v>0889054879</v>
      </c>
      <c r="K7043" s="2" t="str">
        <f ca="1">IFERROR(__xludf.DUMMYFUNCTION("""COMPUTED_VALUE"""),"1757999310069")</f>
        <v>1757999310069</v>
      </c>
    </row>
    <row r="7044" spans="1:11" ht="12.45">
      <c r="A7044" s="2" t="str">
        <f ca="1">IFERROR(__xludf.DUMMYFUNCTION("""COMPUTED_VALUE"""),"1757999350756")</f>
        <v>1757999350756</v>
      </c>
      <c r="B7044" s="2"/>
      <c r="C7044" s="2" t="str">
        <v>0</v>
      </c>
      <c r="D7044" s="2"/>
      <c r="F7044" s="2" t="str">
        <v>0</v>
      </c>
      <c r="I7044" s="3" t="str">
        <f ca="1">IFERROR(__xludf.DUMMYFUNCTION("""COMPUTED_VALUE"""),"Phan Thị Hùynh Anh")</f>
        <v>Phan Thị Hùynh Anh</v>
      </c>
      <c r="J7044" s="3" t="str">
        <f ca="1">IFERROR(__xludf.DUMMYFUNCTION("""COMPUTED_VALUE"""),"0799552211")</f>
        <v>0799552211</v>
      </c>
      <c r="K7044" s="2" t="str">
        <f ca="1">IFERROR(__xludf.DUMMYFUNCTION("""COMPUTED_VALUE"""),"1757999350756")</f>
        <v>1757999350756</v>
      </c>
    </row>
    <row r="7045" spans="1:11" ht="12.45">
      <c r="A7045" s="2"/>
      <c r="B7045" s="2"/>
      <c r="C7045" s="2" t="str">
        <v>0</v>
      </c>
      <c r="D7045" s="2"/>
      <c r="F7045" s="2" t="str">
        <v>0</v>
      </c>
      <c r="I7045" s="3" t="str">
        <f ca="1">IFERROR(__xludf.DUMMYFUNCTION("""COMPUTED_VALUE"""),"Vũ Thảo Nguyễn")</f>
        <v>Vũ Thảo Nguyễn</v>
      </c>
      <c r="J7045" s="3" t="str">
        <f ca="1">IFERROR(__xludf.DUMMYFUNCTION("""COMPUTED_VALUE"""),"0935723039")</f>
        <v>0935723039</v>
      </c>
      <c r="K7045" s="2"/>
    </row>
    <row r="7046" spans="1:11" ht="12.45">
      <c r="A7046" s="2" t="str">
        <f ca="1">IFERROR(__xludf.DUMMYFUNCTION("""COMPUTED_VALUE"""),"1757999389557")</f>
        <v>1757999389557</v>
      </c>
      <c r="B7046" s="2"/>
      <c r="C7046" s="2" t="str">
        <v>0</v>
      </c>
      <c r="D7046" s="2"/>
      <c r="F7046" s="2" t="str">
        <v>0</v>
      </c>
      <c r="I7046" s="3" t="str">
        <f ca="1">IFERROR(__xludf.DUMMYFUNCTION("""COMPUTED_VALUE"""),"Nguyễn phương thảo")</f>
        <v>Nguyễn phương thảo</v>
      </c>
      <c r="J7046" s="3" t="str">
        <f ca="1">IFERROR(__xludf.DUMMYFUNCTION("""COMPUTED_VALUE"""),"0966020819")</f>
        <v>0966020819</v>
      </c>
      <c r="K7046" s="2" t="str">
        <f ca="1">IFERROR(__xludf.DUMMYFUNCTION("""COMPUTED_VALUE"""),"1757999389557")</f>
        <v>1757999389557</v>
      </c>
    </row>
    <row r="7047" spans="1:11" ht="12.45">
      <c r="A7047" s="2" t="str">
        <f ca="1">IFERROR(__xludf.DUMMYFUNCTION("""COMPUTED_VALUE"""),"1757999436781")</f>
        <v>1757999436781</v>
      </c>
      <c r="B7047" s="2"/>
      <c r="C7047" s="2" t="str">
        <v>0</v>
      </c>
      <c r="D7047" s="2"/>
      <c r="F7047" s="2" t="str">
        <v>0</v>
      </c>
      <c r="I7047" s="3" t="str">
        <f ca="1">IFERROR(__xludf.DUMMYFUNCTION("""COMPUTED_VALUE"""),"Võ Kim Anh")</f>
        <v>Võ Kim Anh</v>
      </c>
      <c r="J7047" s="3" t="str">
        <f ca="1">IFERROR(__xludf.DUMMYFUNCTION("""COMPUTED_VALUE"""),"0924984603")</f>
        <v>0924984603</v>
      </c>
      <c r="K7047" s="2" t="str">
        <f ca="1">IFERROR(__xludf.DUMMYFUNCTION("""COMPUTED_VALUE"""),"1757999436781")</f>
        <v>1757999436781</v>
      </c>
    </row>
    <row r="7048" spans="1:11" ht="12.45">
      <c r="A7048" s="2"/>
      <c r="B7048" s="2"/>
      <c r="C7048" s="2" t="str">
        <v>0</v>
      </c>
      <c r="D7048" s="2"/>
      <c r="F7048" s="2" t="str">
        <v>0</v>
      </c>
      <c r="I7048" s="3" t="str">
        <f ca="1">IFERROR(__xludf.DUMMYFUNCTION("""COMPUTED_VALUE"""),"Tuyết Anh")</f>
        <v>Tuyết Anh</v>
      </c>
      <c r="J7048" s="3" t="str">
        <f ca="1">IFERROR(__xludf.DUMMYFUNCTION("""COMPUTED_VALUE"""),"0988296254")</f>
        <v>0988296254</v>
      </c>
      <c r="K7048" s="2"/>
    </row>
    <row r="7049" spans="1:11" ht="12.45">
      <c r="A7049" s="2" t="str">
        <f ca="1">IFERROR(__xludf.DUMMYFUNCTION("""COMPUTED_VALUE"""),"1757999486550")</f>
        <v>1757999486550</v>
      </c>
      <c r="B7049" s="2"/>
      <c r="C7049" s="2" t="str">
        <v>0</v>
      </c>
      <c r="D7049" s="2"/>
      <c r="F7049" s="2" t="str">
        <v>0</v>
      </c>
      <c r="I7049" s="3" t="str">
        <f ca="1">IFERROR(__xludf.DUMMYFUNCTION("""COMPUTED_VALUE"""),"Lê Thị Hồng Nhung ")</f>
        <v xml:space="preserve">Lê Thị Hồng Nhung </v>
      </c>
      <c r="J7049" s="3" t="str">
        <f ca="1">IFERROR(__xludf.DUMMYFUNCTION("""COMPUTED_VALUE"""),"0865601725")</f>
        <v>0865601725</v>
      </c>
      <c r="K7049" s="2" t="str">
        <f ca="1">IFERROR(__xludf.DUMMYFUNCTION("""COMPUTED_VALUE"""),"1757999486550")</f>
        <v>1757999486550</v>
      </c>
    </row>
    <row r="7050" spans="1:11" ht="12.45">
      <c r="A7050" s="2" t="str">
        <f ca="1">IFERROR(__xludf.DUMMYFUNCTION("""COMPUTED_VALUE"""),"1757999521807")</f>
        <v>1757999521807</v>
      </c>
      <c r="B7050" s="2"/>
      <c r="C7050" s="2" t="str">
        <v>0</v>
      </c>
      <c r="D7050" s="2"/>
      <c r="F7050" s="2" t="str">
        <v>0</v>
      </c>
      <c r="I7050" s="3" t="str">
        <f ca="1">IFERROR(__xludf.DUMMYFUNCTION("""COMPUTED_VALUE"""),"Trương Minh Thu ")</f>
        <v xml:space="preserve">Trương Minh Thu </v>
      </c>
      <c r="J7050" s="3" t="str">
        <f ca="1">IFERROR(__xludf.DUMMYFUNCTION("""COMPUTED_VALUE"""),"0868268388")</f>
        <v>0868268388</v>
      </c>
      <c r="K7050" s="2" t="str">
        <f ca="1">IFERROR(__xludf.DUMMYFUNCTION("""COMPUTED_VALUE"""),"1757999521807")</f>
        <v>1757999521807</v>
      </c>
    </row>
    <row r="7051" spans="1:11" ht="12.45">
      <c r="A7051" s="2" t="str">
        <f ca="1">IFERROR(__xludf.DUMMYFUNCTION("""COMPUTED_VALUE"""),"1742995973932")</f>
        <v>1742995973932</v>
      </c>
      <c r="B7051" s="2"/>
      <c r="C7051" s="2" t="str">
        <v>0</v>
      </c>
      <c r="D7051" s="2"/>
      <c r="F7051" s="2" t="str">
        <v>0</v>
      </c>
      <c r="I7051" s="3" t="str">
        <f ca="1">IFERROR(__xludf.DUMMYFUNCTION("""COMPUTED_VALUE"""),"Nguyễn Phương Huệ")</f>
        <v>Nguyễn Phương Huệ</v>
      </c>
      <c r="J7051" s="3" t="str">
        <f ca="1">IFERROR(__xludf.DUMMYFUNCTION("""COMPUTED_VALUE"""),"0389146031")</f>
        <v>0389146031</v>
      </c>
      <c r="K7051" s="2" t="str">
        <f ca="1">IFERROR(__xludf.DUMMYFUNCTION("""COMPUTED_VALUE"""),"1742995973932")</f>
        <v>1742995973932</v>
      </c>
    </row>
    <row r="7052" spans="1:11" ht="12.45">
      <c r="A7052" s="2" t="str">
        <f ca="1">IFERROR(__xludf.DUMMYFUNCTION("""COMPUTED_VALUE"""),"1757999582125")</f>
        <v>1757999582125</v>
      </c>
      <c r="B7052" s="2"/>
      <c r="C7052" s="2" t="str">
        <v>0</v>
      </c>
      <c r="D7052" s="2"/>
      <c r="F7052" s="2" t="str">
        <v>0</v>
      </c>
      <c r="I7052" s="3" t="str">
        <f ca="1">IFERROR(__xludf.DUMMYFUNCTION("""COMPUTED_VALUE"""),"Nguyễn Tuấn Anh")</f>
        <v>Nguyễn Tuấn Anh</v>
      </c>
      <c r="J7052" s="3" t="str">
        <f ca="1">IFERROR(__xludf.DUMMYFUNCTION("""COMPUTED_VALUE"""),"0386191256")</f>
        <v>0386191256</v>
      </c>
      <c r="K7052" s="2" t="str">
        <f ca="1">IFERROR(__xludf.DUMMYFUNCTION("""COMPUTED_VALUE"""),"1757999582125")</f>
        <v>1757999582125</v>
      </c>
    </row>
    <row r="7053" spans="1:11" ht="12.45">
      <c r="A7053" s="2"/>
      <c r="B7053" s="2"/>
      <c r="C7053" s="2" t="str">
        <v>0</v>
      </c>
      <c r="D7053" s="2"/>
      <c r="F7053" s="2" t="str">
        <v>0</v>
      </c>
      <c r="I7053" s="3" t="str">
        <f ca="1">IFERROR(__xludf.DUMMYFUNCTION("""COMPUTED_VALUE"""),"Mai Thị Yến Nhi")</f>
        <v>Mai Thị Yến Nhi</v>
      </c>
      <c r="J7053" s="3" t="str">
        <f ca="1">IFERROR(__xludf.DUMMYFUNCTION("""COMPUTED_VALUE"""),"0838996589")</f>
        <v>0838996589</v>
      </c>
      <c r="K7053" s="2"/>
    </row>
    <row r="7054" spans="1:11" ht="12.45">
      <c r="A7054" s="2" t="str">
        <f ca="1">IFERROR(__xludf.DUMMYFUNCTION("""COMPUTED_VALUE"""),"1759330823547")</f>
        <v>1759330823547</v>
      </c>
      <c r="B7054" s="2"/>
      <c r="C7054" s="2" t="str">
        <v>0</v>
      </c>
      <c r="D7054" s="2"/>
      <c r="F7054" s="2" t="str">
        <v>0</v>
      </c>
      <c r="I7054" s="3" t="str">
        <f ca="1">IFERROR(__xludf.DUMMYFUNCTION("""COMPUTED_VALUE"""),"Khuất Thị Thuỳ Dương ")</f>
        <v xml:space="preserve">Khuất Thị Thuỳ Dương </v>
      </c>
      <c r="J7054" s="3" t="str">
        <f ca="1">IFERROR(__xludf.DUMMYFUNCTION("""COMPUTED_VALUE"""),"0333299986")</f>
        <v>0333299986</v>
      </c>
      <c r="K7054" s="2" t="str">
        <f ca="1">IFERROR(__xludf.DUMMYFUNCTION("""COMPUTED_VALUE"""),"1759330823547")</f>
        <v>1759330823547</v>
      </c>
    </row>
    <row r="7055" spans="1:11" ht="12.45">
      <c r="A7055" s="2" t="str">
        <f ca="1">IFERROR(__xludf.DUMMYFUNCTION("""COMPUTED_VALUE"""),"1759330875332")</f>
        <v>1759330875332</v>
      </c>
      <c r="B7055" s="2"/>
      <c r="C7055" s="2" t="str">
        <v>0</v>
      </c>
      <c r="D7055" s="2"/>
      <c r="F7055" s="2" t="str">
        <v>0</v>
      </c>
      <c r="I7055" s="3" t="str">
        <f ca="1">IFERROR(__xludf.DUMMYFUNCTION("""COMPUTED_VALUE"""),"đinh nguyễn quốc anh")</f>
        <v>đinh nguyễn quốc anh</v>
      </c>
      <c r="J7055" s="3" t="str">
        <f ca="1">IFERROR(__xludf.DUMMYFUNCTION("""COMPUTED_VALUE"""),"0869359883")</f>
        <v>0869359883</v>
      </c>
      <c r="K7055" s="2" t="str">
        <f ca="1">IFERROR(__xludf.DUMMYFUNCTION("""COMPUTED_VALUE"""),"1759330875332")</f>
        <v>1759330875332</v>
      </c>
    </row>
    <row r="7056" spans="1:11" ht="12.45">
      <c r="A7056" s="2" t="str">
        <f ca="1">IFERROR(__xludf.DUMMYFUNCTION("""COMPUTED_VALUE"""),"1759330916938")</f>
        <v>1759330916938</v>
      </c>
      <c r="B7056" s="2"/>
      <c r="C7056" s="2" t="str">
        <v>0</v>
      </c>
      <c r="D7056" s="2"/>
      <c r="F7056" s="2" t="str">
        <v>0</v>
      </c>
      <c r="I7056" s="3" t="str">
        <f ca="1">IFERROR(__xludf.DUMMYFUNCTION("""COMPUTED_VALUE"""),"Lò thị phinh")</f>
        <v>Lò thị phinh</v>
      </c>
      <c r="J7056" s="3" t="str">
        <f ca="1">IFERROR(__xludf.DUMMYFUNCTION("""COMPUTED_VALUE"""),"0339678522")</f>
        <v>0339678522</v>
      </c>
      <c r="K7056" s="2" t="str">
        <f ca="1">IFERROR(__xludf.DUMMYFUNCTION("""COMPUTED_VALUE"""),"1759330916938")</f>
        <v>1759330916938</v>
      </c>
    </row>
    <row r="7057" spans="1:11" ht="12.45">
      <c r="A7057" s="2" t="str">
        <f ca="1">IFERROR(__xludf.DUMMYFUNCTION("""COMPUTED_VALUE"""),"1759330950658")</f>
        <v>1759330950658</v>
      </c>
      <c r="B7057" s="2"/>
      <c r="C7057" s="2" t="str">
        <v>0</v>
      </c>
      <c r="D7057" s="2"/>
      <c r="F7057" s="2" t="str">
        <v>0</v>
      </c>
      <c r="I7057" s="3" t="str">
        <f ca="1">IFERROR(__xludf.DUMMYFUNCTION("""COMPUTED_VALUE"""),"Trần Thị Thu Trang ")</f>
        <v xml:space="preserve">Trần Thị Thu Trang </v>
      </c>
      <c r="J7057" s="3" t="str">
        <f ca="1">IFERROR(__xludf.DUMMYFUNCTION("""COMPUTED_VALUE"""),"0774526771")</f>
        <v>0774526771</v>
      </c>
      <c r="K7057" s="2" t="str">
        <f ca="1">IFERROR(__xludf.DUMMYFUNCTION("""COMPUTED_VALUE"""),"1759330950658")</f>
        <v>1759330950658</v>
      </c>
    </row>
    <row r="7058" spans="1:11" ht="12.45">
      <c r="A7058" s="2" t="str">
        <f ca="1">IFERROR(__xludf.DUMMYFUNCTION("""COMPUTED_VALUE"""),"1759330984573")</f>
        <v>1759330984573</v>
      </c>
      <c r="B7058" s="2"/>
      <c r="C7058" s="2" t="str">
        <v>0</v>
      </c>
      <c r="D7058" s="2"/>
      <c r="F7058" s="2" t="str">
        <v>0</v>
      </c>
      <c r="I7058" s="3" t="str">
        <f ca="1">IFERROR(__xludf.DUMMYFUNCTION("""COMPUTED_VALUE"""),"Dương Lê Hoàng Mai")</f>
        <v>Dương Lê Hoàng Mai</v>
      </c>
      <c r="J7058" s="3" t="str">
        <f ca="1">IFERROR(__xludf.DUMMYFUNCTION("""COMPUTED_VALUE"""),"0937432440")</f>
        <v>0937432440</v>
      </c>
      <c r="K7058" s="2" t="str">
        <f ca="1">IFERROR(__xludf.DUMMYFUNCTION("""COMPUTED_VALUE"""),"1759330984573")</f>
        <v>1759330984573</v>
      </c>
    </row>
    <row r="7059" spans="1:11" ht="12.45">
      <c r="A7059" s="2" t="str">
        <f ca="1">IFERROR(__xludf.DUMMYFUNCTION("""COMPUTED_VALUE"""),"1759331029328")</f>
        <v>1759331029328</v>
      </c>
      <c r="B7059" s="2"/>
      <c r="C7059" s="2" t="str">
        <v>0</v>
      </c>
      <c r="D7059" s="2"/>
      <c r="F7059" s="2" t="str">
        <v>0</v>
      </c>
      <c r="I7059" s="3" t="str">
        <f ca="1">IFERROR(__xludf.DUMMYFUNCTION("""COMPUTED_VALUE"""),"Nguyễn Thị Ngọc Ánh ")</f>
        <v xml:space="preserve">Nguyễn Thị Ngọc Ánh </v>
      </c>
      <c r="J7059" s="3" t="str">
        <f ca="1">IFERROR(__xludf.DUMMYFUNCTION("""COMPUTED_VALUE"""),"0834160807")</f>
        <v>0834160807</v>
      </c>
      <c r="K7059" s="2" t="str">
        <f ca="1">IFERROR(__xludf.DUMMYFUNCTION("""COMPUTED_VALUE"""),"1759331029328")</f>
        <v>1759331029328</v>
      </c>
    </row>
    <row r="7060" spans="1:11" ht="12.45">
      <c r="A7060" s="2" t="str">
        <f ca="1">IFERROR(__xludf.DUMMYFUNCTION("""COMPUTED_VALUE"""),"1759331061529")</f>
        <v>1759331061529</v>
      </c>
      <c r="B7060" s="2"/>
      <c r="C7060" s="2" t="str">
        <v>0</v>
      </c>
      <c r="D7060" s="2"/>
      <c r="F7060" s="2" t="str">
        <v>0</v>
      </c>
      <c r="I7060" s="3" t="str">
        <f ca="1">IFERROR(__xludf.DUMMYFUNCTION("""COMPUTED_VALUE"""),"Lê Ngọc Bảo Châu ")</f>
        <v xml:space="preserve">Lê Ngọc Bảo Châu </v>
      </c>
      <c r="J7060" s="3" t="str">
        <f ca="1">IFERROR(__xludf.DUMMYFUNCTION("""COMPUTED_VALUE"""),"0862529248")</f>
        <v>0862529248</v>
      </c>
      <c r="K7060" s="2" t="str">
        <f ca="1">IFERROR(__xludf.DUMMYFUNCTION("""COMPUTED_VALUE"""),"1759331061529")</f>
        <v>1759331061529</v>
      </c>
    </row>
    <row r="7061" spans="1:11" ht="12.45">
      <c r="A7061" s="2" t="str">
        <f ca="1">IFERROR(__xludf.DUMMYFUNCTION("""COMPUTED_VALUE"""),"1759331105288")</f>
        <v>1759331105288</v>
      </c>
      <c r="B7061" s="2"/>
      <c r="C7061" s="2" t="str">
        <v>0</v>
      </c>
      <c r="D7061" s="2"/>
      <c r="F7061" s="2" t="str">
        <v>0</v>
      </c>
      <c r="I7061" s="3" t="str">
        <f ca="1">IFERROR(__xludf.DUMMYFUNCTION("""COMPUTED_VALUE"""),"Nguyễn Thị Kim Dung ")</f>
        <v xml:space="preserve">Nguyễn Thị Kim Dung </v>
      </c>
      <c r="J7061" s="3" t="str">
        <f ca="1">IFERROR(__xludf.DUMMYFUNCTION("""COMPUTED_VALUE"""),"0343621596")</f>
        <v>0343621596</v>
      </c>
      <c r="K7061" s="2" t="str">
        <f ca="1">IFERROR(__xludf.DUMMYFUNCTION("""COMPUTED_VALUE"""),"1759331105288")</f>
        <v>1759331105288</v>
      </c>
    </row>
    <row r="7062" spans="1:11" ht="12.45">
      <c r="A7062" s="2"/>
      <c r="B7062" s="2"/>
      <c r="C7062" s="2" t="str">
        <v>0</v>
      </c>
      <c r="D7062" s="2"/>
      <c r="F7062" s="2" t="str">
        <v>0</v>
      </c>
      <c r="I7062" s="3" t="str">
        <f ca="1">IFERROR(__xludf.DUMMYFUNCTION("""COMPUTED_VALUE"""),"Phạm Phương Linh")</f>
        <v>Phạm Phương Linh</v>
      </c>
      <c r="J7062" s="3" t="str">
        <f ca="1">IFERROR(__xludf.DUMMYFUNCTION("""COMPUTED_VALUE"""),"0384124565")</f>
        <v>0384124565</v>
      </c>
      <c r="K7062" s="2"/>
    </row>
    <row r="7063" spans="1:11" ht="12.45">
      <c r="A7063" s="2" t="str">
        <f ca="1">IFERROR(__xludf.DUMMYFUNCTION("""COMPUTED_VALUE"""),"1759331158449")</f>
        <v>1759331158449</v>
      </c>
      <c r="B7063" s="2"/>
      <c r="C7063" s="2" t="str">
        <v>0</v>
      </c>
      <c r="D7063" s="2"/>
      <c r="F7063" s="2" t="str">
        <v>0</v>
      </c>
      <c r="I7063" s="3" t="str">
        <f ca="1">IFERROR(__xludf.DUMMYFUNCTION("""COMPUTED_VALUE"""),"Bùi Vũ Thảo Nguyên")</f>
        <v>Bùi Vũ Thảo Nguyên</v>
      </c>
      <c r="J7063" s="3" t="str">
        <f ca="1">IFERROR(__xludf.DUMMYFUNCTION("""COMPUTED_VALUE"""),"0931344908")</f>
        <v>0931344908</v>
      </c>
      <c r="K7063" s="2" t="str">
        <f ca="1">IFERROR(__xludf.DUMMYFUNCTION("""COMPUTED_VALUE"""),"1759331158449")</f>
        <v>1759331158449</v>
      </c>
    </row>
    <row r="7064" spans="1:11" ht="12.45">
      <c r="A7064" s="2" t="str">
        <f ca="1">IFERROR(__xludf.DUMMYFUNCTION("""COMPUTED_VALUE"""),"1759331213663")</f>
        <v>1759331213663</v>
      </c>
      <c r="B7064" s="2"/>
      <c r="C7064" s="2" t="str">
        <v>0</v>
      </c>
      <c r="D7064" s="2"/>
      <c r="F7064" s="2" t="str">
        <v>0</v>
      </c>
      <c r="I7064" s="3" t="str">
        <f ca="1">IFERROR(__xludf.DUMMYFUNCTION("""COMPUTED_VALUE"""),"Nguyễn Phương Thảo")</f>
        <v>Nguyễn Phương Thảo</v>
      </c>
      <c r="J7064" s="3" t="str">
        <f ca="1">IFERROR(__xludf.DUMMYFUNCTION("""COMPUTED_VALUE"""),"0349332798")</f>
        <v>0349332798</v>
      </c>
      <c r="K7064" s="2" t="str">
        <f ca="1">IFERROR(__xludf.DUMMYFUNCTION("""COMPUTED_VALUE"""),"1759331213663")</f>
        <v>1759331213663</v>
      </c>
    </row>
    <row r="7065" spans="1:11" ht="12.45">
      <c r="A7065" s="2" t="str">
        <f ca="1">IFERROR(__xludf.DUMMYFUNCTION("""COMPUTED_VALUE"""),"1759331267138")</f>
        <v>1759331267138</v>
      </c>
      <c r="B7065" s="2"/>
      <c r="C7065" s="2" t="str">
        <v>0</v>
      </c>
      <c r="D7065" s="2"/>
      <c r="F7065" s="2" t="str">
        <v>0</v>
      </c>
      <c r="I7065" s="3" t="str">
        <f ca="1">IFERROR(__xludf.DUMMYFUNCTION("""COMPUTED_VALUE"""),"Huỳnh Nữ Kỳ Duyên")</f>
        <v>Huỳnh Nữ Kỳ Duyên</v>
      </c>
      <c r="J7065" s="3" t="str">
        <f ca="1">IFERROR(__xludf.DUMMYFUNCTION("""COMPUTED_VALUE"""),"0347333491")</f>
        <v>0347333491</v>
      </c>
      <c r="K7065" s="2" t="str">
        <f ca="1">IFERROR(__xludf.DUMMYFUNCTION("""COMPUTED_VALUE"""),"1759331267138")</f>
        <v>1759331267138</v>
      </c>
    </row>
    <row r="7066" spans="1:11" ht="12.45">
      <c r="A7066" s="2" t="str">
        <f ca="1">IFERROR(__xludf.DUMMYFUNCTION("""COMPUTED_VALUE"""),"1759331312416")</f>
        <v>1759331312416</v>
      </c>
      <c r="B7066" s="2"/>
      <c r="C7066" s="2" t="str">
        <v>0</v>
      </c>
      <c r="D7066" s="2"/>
      <c r="F7066" s="2" t="str">
        <v>0</v>
      </c>
      <c r="I7066" s="3" t="str">
        <f ca="1">IFERROR(__xludf.DUMMYFUNCTION("""COMPUTED_VALUE"""),"Trần Nguyễn Khánh Phương")</f>
        <v>Trần Nguyễn Khánh Phương</v>
      </c>
      <c r="J7066" s="3" t="str">
        <f ca="1">IFERROR(__xludf.DUMMYFUNCTION("""COMPUTED_VALUE"""),"0944393134")</f>
        <v>0944393134</v>
      </c>
      <c r="K7066" s="2" t="str">
        <f ca="1">IFERROR(__xludf.DUMMYFUNCTION("""COMPUTED_VALUE"""),"1759331312416")</f>
        <v>1759331312416</v>
      </c>
    </row>
    <row r="7067" spans="1:11" ht="12.45">
      <c r="A7067" s="2" t="str">
        <f ca="1">IFERROR(__xludf.DUMMYFUNCTION("""COMPUTED_VALUE"""),"1759331339689")</f>
        <v>1759331339689</v>
      </c>
      <c r="B7067" s="2"/>
      <c r="C7067" s="2" t="str">
        <v>0</v>
      </c>
      <c r="D7067" s="2"/>
      <c r="F7067" s="2" t="str">
        <v>0</v>
      </c>
      <c r="I7067" s="3" t="str">
        <f ca="1">IFERROR(__xludf.DUMMYFUNCTION("""COMPUTED_VALUE"""),"lê bảo ngọc")</f>
        <v>lê bảo ngọc</v>
      </c>
      <c r="J7067" s="3" t="str">
        <f ca="1">IFERROR(__xludf.DUMMYFUNCTION("""COMPUTED_VALUE"""),"0865240534")</f>
        <v>0865240534</v>
      </c>
      <c r="K7067" s="2" t="str">
        <f ca="1">IFERROR(__xludf.DUMMYFUNCTION("""COMPUTED_VALUE"""),"1759331339689")</f>
        <v>1759331339689</v>
      </c>
    </row>
    <row r="7068" spans="1:11" ht="12.45">
      <c r="A7068" s="2" t="str">
        <f ca="1">IFERROR(__xludf.DUMMYFUNCTION("""COMPUTED_VALUE"""),"1759331376929")</f>
        <v>1759331376929</v>
      </c>
      <c r="B7068" s="2"/>
      <c r="C7068" s="2" t="str">
        <v>0</v>
      </c>
      <c r="D7068" s="2"/>
      <c r="F7068" s="2" t="str">
        <v>0</v>
      </c>
      <c r="I7068" s="3" t="str">
        <f ca="1">IFERROR(__xludf.DUMMYFUNCTION("""COMPUTED_VALUE"""),"PHÙNG THỊ TỐ UYÊN ")</f>
        <v xml:space="preserve">PHÙNG THỊ TỐ UYÊN </v>
      </c>
      <c r="J7068" s="3" t="str">
        <f ca="1">IFERROR(__xludf.DUMMYFUNCTION("""COMPUTED_VALUE"""),"0763538753")</f>
        <v>0763538753</v>
      </c>
      <c r="K7068" s="2" t="str">
        <f ca="1">IFERROR(__xludf.DUMMYFUNCTION("""COMPUTED_VALUE"""),"1759331376929")</f>
        <v>1759331376929</v>
      </c>
    </row>
    <row r="7069" spans="1:11" ht="12.45">
      <c r="A7069" s="2" t="str">
        <f ca="1">IFERROR(__xludf.DUMMYFUNCTION("""COMPUTED_VALUE"""),"1759331424353")</f>
        <v>1759331424353</v>
      </c>
      <c r="B7069" s="2"/>
      <c r="C7069" s="2" t="str">
        <v>0</v>
      </c>
      <c r="D7069" s="2"/>
      <c r="F7069" s="2" t="str">
        <v>0</v>
      </c>
      <c r="I7069" s="3" t="str">
        <f ca="1">IFERROR(__xludf.DUMMYFUNCTION("""COMPUTED_VALUE"""),"Nguyễn Thị Kiều Trâm")</f>
        <v>Nguyễn Thị Kiều Trâm</v>
      </c>
      <c r="J7069" s="3" t="str">
        <f ca="1">IFERROR(__xludf.DUMMYFUNCTION("""COMPUTED_VALUE"""),"0825990599")</f>
        <v>0825990599</v>
      </c>
      <c r="K7069" s="2" t="str">
        <f ca="1">IFERROR(__xludf.DUMMYFUNCTION("""COMPUTED_VALUE"""),"1759331424353")</f>
        <v>1759331424353</v>
      </c>
    </row>
    <row r="7070" spans="1:11" ht="12.45">
      <c r="A7070" s="2" t="str">
        <f ca="1">IFERROR(__xludf.DUMMYFUNCTION("""COMPUTED_VALUE"""),"1762961654126")</f>
        <v>1762961654126</v>
      </c>
      <c r="B7070" s="2"/>
      <c r="C7070" s="2" t="str">
        <v>0</v>
      </c>
      <c r="D7070" s="2"/>
      <c r="F7070" s="2" t="str">
        <v>0</v>
      </c>
      <c r="I7070" s="3" t="str">
        <f ca="1">IFERROR(__xludf.DUMMYFUNCTION("""COMPUTED_VALUE"""),"Hoàng Thu Uyên ")</f>
        <v xml:space="preserve">Hoàng Thu Uyên </v>
      </c>
      <c r="J7070" s="3" t="str">
        <f ca="1">IFERROR(__xludf.DUMMYFUNCTION("""COMPUTED_VALUE"""),"0961323258")</f>
        <v>0961323258</v>
      </c>
      <c r="K7070" s="2" t="str">
        <f ca="1">IFERROR(__xludf.DUMMYFUNCTION("""COMPUTED_VALUE"""),"1762961654126")</f>
        <v>1762961654126</v>
      </c>
    </row>
    <row r="7071" spans="1:11" ht="12.45">
      <c r="A7071" s="2" t="str">
        <f ca="1">IFERROR(__xludf.DUMMYFUNCTION("""COMPUTED_VALUE"""),"1759331489963")</f>
        <v>1759331489963</v>
      </c>
      <c r="B7071" s="2"/>
      <c r="C7071" s="2" t="str">
        <v>0</v>
      </c>
      <c r="D7071" s="2"/>
      <c r="F7071" s="2" t="str">
        <v>0</v>
      </c>
      <c r="I7071" s="3" t="str">
        <f ca="1">IFERROR(__xludf.DUMMYFUNCTION("""COMPUTED_VALUE"""),"Trương Ngọc Quốc Anh")</f>
        <v>Trương Ngọc Quốc Anh</v>
      </c>
      <c r="J7071" s="3" t="str">
        <f ca="1">IFERROR(__xludf.DUMMYFUNCTION("""COMPUTED_VALUE"""),"0333408259")</f>
        <v>0333408259</v>
      </c>
      <c r="K7071" s="2" t="str">
        <f ca="1">IFERROR(__xludf.DUMMYFUNCTION("""COMPUTED_VALUE"""),"1759331489963")</f>
        <v>1759331489963</v>
      </c>
    </row>
    <row r="7072" spans="1:11" ht="12.45">
      <c r="A7072" s="2" t="str">
        <f ca="1">IFERROR(__xludf.DUMMYFUNCTION("""COMPUTED_VALUE"""),"1759331530966")</f>
        <v>1759331530966</v>
      </c>
      <c r="B7072" s="2"/>
      <c r="C7072" s="2" t="str">
        <v>0</v>
      </c>
      <c r="D7072" s="2"/>
      <c r="F7072" s="2" t="str">
        <v>0</v>
      </c>
      <c r="I7072" s="3" t="str">
        <f ca="1">IFERROR(__xludf.DUMMYFUNCTION("""COMPUTED_VALUE"""),"Nguyễn Trần Khả Tú")</f>
        <v>Nguyễn Trần Khả Tú</v>
      </c>
      <c r="J7072" s="3" t="str">
        <f ca="1">IFERROR(__xludf.DUMMYFUNCTION("""COMPUTED_VALUE"""),"0973013641")</f>
        <v>0973013641</v>
      </c>
      <c r="K7072" s="2" t="str">
        <f ca="1">IFERROR(__xludf.DUMMYFUNCTION("""COMPUTED_VALUE"""),"1759331530966")</f>
        <v>1759331530966</v>
      </c>
    </row>
    <row r="7073" spans="1:11" ht="12.45">
      <c r="A7073" s="2" t="str">
        <f ca="1">IFERROR(__xludf.DUMMYFUNCTION("""COMPUTED_VALUE"""),"1759331565776")</f>
        <v>1759331565776</v>
      </c>
      <c r="B7073" s="2"/>
      <c r="C7073" s="2" t="str">
        <v>0</v>
      </c>
      <c r="D7073" s="2"/>
      <c r="F7073" s="2" t="str">
        <v>0</v>
      </c>
      <c r="I7073" s="3" t="str">
        <f ca="1">IFERROR(__xludf.DUMMYFUNCTION("""COMPUTED_VALUE"""),"Võ Khánh Nhật")</f>
        <v>Võ Khánh Nhật</v>
      </c>
      <c r="J7073" s="3" t="str">
        <f ca="1">IFERROR(__xludf.DUMMYFUNCTION("""COMPUTED_VALUE"""),"0356468198")</f>
        <v>0356468198</v>
      </c>
      <c r="K7073" s="2" t="str">
        <f ca="1">IFERROR(__xludf.DUMMYFUNCTION("""COMPUTED_VALUE"""),"1759331565776")</f>
        <v>1759331565776</v>
      </c>
    </row>
    <row r="7074" spans="1:11" ht="12.45">
      <c r="A7074" s="2" t="str">
        <f ca="1">IFERROR(__xludf.DUMMYFUNCTION("""COMPUTED_VALUE"""),"1759331634599")</f>
        <v>1759331634599</v>
      </c>
      <c r="B7074" s="2"/>
      <c r="C7074" s="2" t="str">
        <v>0</v>
      </c>
      <c r="D7074" s="2"/>
      <c r="F7074" s="2" t="str">
        <v>0</v>
      </c>
      <c r="I7074" s="3" t="str">
        <f ca="1">IFERROR(__xludf.DUMMYFUNCTION("""COMPUTED_VALUE"""),"Trần Võ Bảo Ngân")</f>
        <v>Trần Võ Bảo Ngân</v>
      </c>
      <c r="J7074" s="3" t="str">
        <f ca="1">IFERROR(__xludf.DUMMYFUNCTION("""COMPUTED_VALUE"""),"0898206176")</f>
        <v>0898206176</v>
      </c>
      <c r="K7074" s="2" t="str">
        <f ca="1">IFERROR(__xludf.DUMMYFUNCTION("""COMPUTED_VALUE"""),"1759331634599")</f>
        <v>1759331634599</v>
      </c>
    </row>
    <row r="7075" spans="1:11" ht="12.45">
      <c r="A7075" s="2" t="str">
        <f ca="1">IFERROR(__xludf.DUMMYFUNCTION("""COMPUTED_VALUE"""),"1759331667019")</f>
        <v>1759331667019</v>
      </c>
      <c r="B7075" s="2"/>
      <c r="C7075" s="2" t="str">
        <v>0</v>
      </c>
      <c r="D7075" s="2"/>
      <c r="F7075" s="2" t="str">
        <v>0</v>
      </c>
      <c r="I7075" s="3" t="str">
        <f ca="1">IFERROR(__xludf.DUMMYFUNCTION("""COMPUTED_VALUE"""),"Nguyễn Thị Ngọc Huyền")</f>
        <v>Nguyễn Thị Ngọc Huyền</v>
      </c>
      <c r="J7075" s="3" t="str">
        <f ca="1">IFERROR(__xludf.DUMMYFUNCTION("""COMPUTED_VALUE"""),"0393918637")</f>
        <v>0393918637</v>
      </c>
      <c r="K7075" s="2" t="str">
        <f ca="1">IFERROR(__xludf.DUMMYFUNCTION("""COMPUTED_VALUE"""),"1759331667019")</f>
        <v>1759331667019</v>
      </c>
    </row>
    <row r="7076" spans="1:11" ht="12.45">
      <c r="A7076" s="2" t="str">
        <f ca="1">IFERROR(__xludf.DUMMYFUNCTION("""COMPUTED_VALUE"""),"1759331687444")</f>
        <v>1759331687444</v>
      </c>
      <c r="B7076" s="2"/>
      <c r="C7076" s="2" t="str">
        <v>0</v>
      </c>
      <c r="D7076" s="2"/>
      <c r="F7076" s="2" t="str">
        <v>0</v>
      </c>
      <c r="I7076" s="3" t="str">
        <f ca="1">IFERROR(__xludf.DUMMYFUNCTION("""COMPUTED_VALUE"""),"Vũ Phương Thuỳ ")</f>
        <v xml:space="preserve">Vũ Phương Thuỳ </v>
      </c>
      <c r="J7076" s="3" t="str">
        <f ca="1">IFERROR(__xludf.DUMMYFUNCTION("""COMPUTED_VALUE"""),"0329671674")</f>
        <v>0329671674</v>
      </c>
      <c r="K7076" s="2" t="str">
        <f ca="1">IFERROR(__xludf.DUMMYFUNCTION("""COMPUTED_VALUE"""),"1759331687444")</f>
        <v>1759331687444</v>
      </c>
    </row>
    <row r="7077" spans="1:11" ht="12.45">
      <c r="A7077" s="2"/>
      <c r="B7077" s="2"/>
      <c r="C7077" s="2" t="str">
        <v>0</v>
      </c>
      <c r="D7077" s="2"/>
      <c r="F7077" s="2" t="str">
        <v>0</v>
      </c>
      <c r="I7077" s="3" t="str">
        <f ca="1">IFERROR(__xludf.DUMMYFUNCTION("""COMPUTED_VALUE"""),"Trương Thị Trà My ")</f>
        <v xml:space="preserve">Trương Thị Trà My </v>
      </c>
      <c r="J7077" s="3" t="str">
        <f ca="1">IFERROR(__xludf.DUMMYFUNCTION("""COMPUTED_VALUE"""),"0976149722")</f>
        <v>0976149722</v>
      </c>
      <c r="K7077" s="2"/>
    </row>
    <row r="7078" spans="1:11" ht="12.45">
      <c r="A7078" s="2" t="str">
        <f ca="1">IFERROR(__xludf.DUMMYFUNCTION("""COMPUTED_VALUE"""),"1759331735079")</f>
        <v>1759331735079</v>
      </c>
      <c r="B7078" s="2"/>
      <c r="C7078" s="2" t="str">
        <v>0</v>
      </c>
      <c r="D7078" s="2"/>
      <c r="F7078" s="2" t="str">
        <v>0</v>
      </c>
      <c r="I7078" s="3" t="str">
        <f ca="1">IFERROR(__xludf.DUMMYFUNCTION("""COMPUTED_VALUE"""),"Phạm Lý Ngọc Trâm")</f>
        <v>Phạm Lý Ngọc Trâm</v>
      </c>
      <c r="J7078" s="3" t="str">
        <f ca="1">IFERROR(__xludf.DUMMYFUNCTION("""COMPUTED_VALUE"""),"0788391839")</f>
        <v>0788391839</v>
      </c>
      <c r="K7078" s="2" t="str">
        <f ca="1">IFERROR(__xludf.DUMMYFUNCTION("""COMPUTED_VALUE"""),"1759331735079")</f>
        <v>1759331735079</v>
      </c>
    </row>
    <row r="7079" spans="1:11" ht="12.45">
      <c r="A7079" s="2" t="str">
        <f ca="1">IFERROR(__xludf.DUMMYFUNCTION("""COMPUTED_VALUE"""),"1759331771739")</f>
        <v>1759331771739</v>
      </c>
      <c r="B7079" s="2"/>
      <c r="C7079" s="2" t="str">
        <v>0</v>
      </c>
      <c r="D7079" s="2"/>
      <c r="F7079" s="2" t="str">
        <v>0</v>
      </c>
      <c r="I7079" s="3" t="str">
        <f ca="1">IFERROR(__xludf.DUMMYFUNCTION("""COMPUTED_VALUE"""),"Nguyễn Hồng Trâm")</f>
        <v>Nguyễn Hồng Trâm</v>
      </c>
      <c r="J7079" s="3" t="str">
        <f ca="1">IFERROR(__xludf.DUMMYFUNCTION("""COMPUTED_VALUE"""),"0823920727")</f>
        <v>0823920727</v>
      </c>
      <c r="K7079" s="2" t="str">
        <f ca="1">IFERROR(__xludf.DUMMYFUNCTION("""COMPUTED_VALUE"""),"1759331771739")</f>
        <v>1759331771739</v>
      </c>
    </row>
    <row r="7080" spans="1:11" ht="12.45">
      <c r="A7080" s="2" t="str">
        <f ca="1">IFERROR(__xludf.DUMMYFUNCTION("""COMPUTED_VALUE"""),"1759331797193")</f>
        <v>1759331797193</v>
      </c>
      <c r="B7080" s="2"/>
      <c r="C7080" s="2" t="str">
        <v>0</v>
      </c>
      <c r="D7080" s="2"/>
      <c r="F7080" s="2" t="str">
        <v>0</v>
      </c>
      <c r="I7080" s="3" t="str">
        <f ca="1">IFERROR(__xludf.DUMMYFUNCTION("""COMPUTED_VALUE"""),"Lê Thị Bích Loan")</f>
        <v>Lê Thị Bích Loan</v>
      </c>
      <c r="J7080" s="3" t="str">
        <f ca="1">IFERROR(__xludf.DUMMYFUNCTION("""COMPUTED_VALUE"""),"0329901007")</f>
        <v>0329901007</v>
      </c>
      <c r="K7080" s="2" t="str">
        <f ca="1">IFERROR(__xludf.DUMMYFUNCTION("""COMPUTED_VALUE"""),"1759331797193")</f>
        <v>1759331797193</v>
      </c>
    </row>
    <row r="7081" spans="1:11" ht="12.45">
      <c r="A7081" s="2"/>
      <c r="B7081" s="2"/>
      <c r="C7081" s="2" t="str">
        <v>0</v>
      </c>
      <c r="D7081" s="2"/>
      <c r="F7081" s="2" t="str">
        <v>0</v>
      </c>
      <c r="I7081" s="3" t="str">
        <f ca="1">IFERROR(__xludf.DUMMYFUNCTION("""COMPUTED_VALUE"""),"Hà Thị Hiền")</f>
        <v>Hà Thị Hiền</v>
      </c>
      <c r="J7081" s="3" t="str">
        <f ca="1">IFERROR(__xludf.DUMMYFUNCTION("""COMPUTED_VALUE"""),"0345917951")</f>
        <v>0345917951</v>
      </c>
      <c r="K7081" s="2"/>
    </row>
    <row r="7082" spans="1:11" ht="12.45">
      <c r="A7082" s="2" t="str">
        <f ca="1">IFERROR(__xludf.DUMMYFUNCTION("""COMPUTED_VALUE"""),"1759331836085")</f>
        <v>1759331836085</v>
      </c>
      <c r="B7082" s="2"/>
      <c r="C7082" s="2" t="str">
        <v>0</v>
      </c>
      <c r="D7082" s="2"/>
      <c r="F7082" s="2" t="str">
        <v>0</v>
      </c>
      <c r="I7082" s="3" t="str">
        <f ca="1">IFERROR(__xludf.DUMMYFUNCTION("""COMPUTED_VALUE"""),"Lý Thị Hương")</f>
        <v>Lý Thị Hương</v>
      </c>
      <c r="J7082" s="3" t="str">
        <f ca="1">IFERROR(__xludf.DUMMYFUNCTION("""COMPUTED_VALUE"""),"0386398588")</f>
        <v>0386398588</v>
      </c>
      <c r="K7082" s="2" t="str">
        <f ca="1">IFERROR(__xludf.DUMMYFUNCTION("""COMPUTED_VALUE"""),"1759331836085")</f>
        <v>1759331836085</v>
      </c>
    </row>
    <row r="7083" spans="1:11" ht="12.45">
      <c r="A7083" s="2" t="str">
        <f ca="1">IFERROR(__xludf.DUMMYFUNCTION("""COMPUTED_VALUE"""),"1759331880303")</f>
        <v>1759331880303</v>
      </c>
      <c r="B7083" s="2"/>
      <c r="C7083" s="2" t="str">
        <v>0</v>
      </c>
      <c r="D7083" s="2"/>
      <c r="F7083" s="2" t="str">
        <v>0</v>
      </c>
      <c r="I7083" s="3" t="str">
        <f ca="1">IFERROR(__xludf.DUMMYFUNCTION("""COMPUTED_VALUE"""),"Đỗ Quỳnh Chi")</f>
        <v>Đỗ Quỳnh Chi</v>
      </c>
      <c r="J7083" s="3" t="str">
        <f ca="1">IFERROR(__xludf.DUMMYFUNCTION("""COMPUTED_VALUE"""),"0965445089")</f>
        <v>0965445089</v>
      </c>
      <c r="K7083" s="2" t="str">
        <f ca="1">IFERROR(__xludf.DUMMYFUNCTION("""COMPUTED_VALUE"""),"1759331880303")</f>
        <v>1759331880303</v>
      </c>
    </row>
    <row r="7084" spans="1:11" ht="12.45">
      <c r="A7084" s="2" t="str">
        <f ca="1">IFERROR(__xludf.DUMMYFUNCTION("""COMPUTED_VALUE"""),"1759331919676")</f>
        <v>1759331919676</v>
      </c>
      <c r="B7084" s="2"/>
      <c r="C7084" s="2" t="str">
        <v>0</v>
      </c>
      <c r="D7084" s="2"/>
      <c r="F7084" s="2" t="str">
        <v>0</v>
      </c>
      <c r="I7084" s="3" t="str">
        <f ca="1">IFERROR(__xludf.DUMMYFUNCTION("""COMPUTED_VALUE"""),"Nguyễn Văn Dũng")</f>
        <v>Nguyễn Văn Dũng</v>
      </c>
      <c r="J7084" s="3" t="str">
        <f ca="1">IFERROR(__xludf.DUMMYFUNCTION("""COMPUTED_VALUE"""),"0888430614")</f>
        <v>0888430614</v>
      </c>
      <c r="K7084" s="2" t="str">
        <f ca="1">IFERROR(__xludf.DUMMYFUNCTION("""COMPUTED_VALUE"""),"1759331919676")</f>
        <v>1759331919676</v>
      </c>
    </row>
    <row r="7085" spans="1:11" ht="12.45">
      <c r="A7085" s="2" t="str">
        <f ca="1">IFERROR(__xludf.DUMMYFUNCTION("""COMPUTED_VALUE"""),"1759331972451")</f>
        <v>1759331972451</v>
      </c>
      <c r="B7085" s="2"/>
      <c r="C7085" s="2" t="str">
        <v>0</v>
      </c>
      <c r="D7085" s="2"/>
      <c r="F7085" s="2" t="str">
        <v>0</v>
      </c>
      <c r="I7085" s="3" t="str">
        <f ca="1">IFERROR(__xludf.DUMMYFUNCTION("""COMPUTED_VALUE"""),"NGUYỄN THỊ BẢO NGỌC")</f>
        <v>NGUYỄN THỊ BẢO NGỌC</v>
      </c>
      <c r="J7085" s="3" t="str">
        <f ca="1">IFERROR(__xludf.DUMMYFUNCTION("""COMPUTED_VALUE"""),"0343113307")</f>
        <v>0343113307</v>
      </c>
      <c r="K7085" s="2" t="str">
        <f ca="1">IFERROR(__xludf.DUMMYFUNCTION("""COMPUTED_VALUE"""),"1759331972451")</f>
        <v>1759331972451</v>
      </c>
    </row>
    <row r="7086" spans="1:11" ht="12.45">
      <c r="A7086" s="2" t="str">
        <f ca="1">IFERROR(__xludf.DUMMYFUNCTION("""COMPUTED_VALUE"""),"1759332016510")</f>
        <v>1759332016510</v>
      </c>
      <c r="B7086" s="2"/>
      <c r="C7086" s="2" t="str">
        <v>0</v>
      </c>
      <c r="D7086" s="2"/>
      <c r="F7086" s="2" t="str">
        <v>0</v>
      </c>
      <c r="I7086" s="3" t="str">
        <f ca="1">IFERROR(__xludf.DUMMYFUNCTION("""COMPUTED_VALUE"""),"Đặng Lê Trưởng")</f>
        <v>Đặng Lê Trưởng</v>
      </c>
      <c r="J7086" s="3" t="str">
        <f ca="1">IFERROR(__xludf.DUMMYFUNCTION("""COMPUTED_VALUE"""),"0394209147")</f>
        <v>0394209147</v>
      </c>
      <c r="K7086" s="2" t="str">
        <f ca="1">IFERROR(__xludf.DUMMYFUNCTION("""COMPUTED_VALUE"""),"1759332016510")</f>
        <v>1759332016510</v>
      </c>
    </row>
    <row r="7087" spans="1:11" ht="12.45">
      <c r="A7087" s="2" t="str">
        <f ca="1">IFERROR(__xludf.DUMMYFUNCTION("""COMPUTED_VALUE"""),"1759332075341")</f>
        <v>1759332075341</v>
      </c>
      <c r="B7087" s="2"/>
      <c r="C7087" s="2" t="str">
        <v>0</v>
      </c>
      <c r="D7087" s="2"/>
      <c r="F7087" s="2" t="str">
        <v>0</v>
      </c>
      <c r="I7087" s="3" t="str">
        <f ca="1">IFERROR(__xludf.DUMMYFUNCTION("""COMPUTED_VALUE"""),"Trương Thu An")</f>
        <v>Trương Thu An</v>
      </c>
      <c r="J7087" s="3" t="str">
        <f ca="1">IFERROR(__xludf.DUMMYFUNCTION("""COMPUTED_VALUE"""),"0862828756")</f>
        <v>0862828756</v>
      </c>
      <c r="K7087" s="2" t="str">
        <f ca="1">IFERROR(__xludf.DUMMYFUNCTION("""COMPUTED_VALUE"""),"1759332075341")</f>
        <v>1759332075341</v>
      </c>
    </row>
    <row r="7088" spans="1:11" ht="12.45">
      <c r="A7088" s="2" t="str">
        <f ca="1">IFERROR(__xludf.DUMMYFUNCTION("""COMPUTED_VALUE"""),"1759332128702")</f>
        <v>1759332128702</v>
      </c>
      <c r="B7088" s="2"/>
      <c r="C7088" s="2" t="str">
        <v>0</v>
      </c>
      <c r="D7088" s="2"/>
      <c r="F7088" s="2" t="str">
        <v>0</v>
      </c>
      <c r="I7088" s="3" t="str">
        <f ca="1">IFERROR(__xludf.DUMMYFUNCTION("""COMPUTED_VALUE"""),"Đào Thu Vân")</f>
        <v>Đào Thu Vân</v>
      </c>
      <c r="J7088" s="3" t="str">
        <f ca="1">IFERROR(__xludf.DUMMYFUNCTION("""COMPUTED_VALUE"""),"0901248604")</f>
        <v>0901248604</v>
      </c>
      <c r="K7088" s="2" t="str">
        <f ca="1">IFERROR(__xludf.DUMMYFUNCTION("""COMPUTED_VALUE"""),"1759332128702")</f>
        <v>1759332128702</v>
      </c>
    </row>
    <row r="7089" spans="1:11" ht="12.45">
      <c r="A7089" s="2" t="str">
        <f ca="1">IFERROR(__xludf.DUMMYFUNCTION("""COMPUTED_VALUE"""),"1759332215457")</f>
        <v>1759332215457</v>
      </c>
      <c r="B7089" s="2"/>
      <c r="C7089" s="2" t="str">
        <v>0</v>
      </c>
      <c r="D7089" s="2"/>
      <c r="F7089" s="2" t="str">
        <v>0</v>
      </c>
      <c r="I7089" s="3" t="str">
        <f ca="1">IFERROR(__xludf.DUMMYFUNCTION("""COMPUTED_VALUE"""),"Nguyễn Trần Thanh Ngọc")</f>
        <v>Nguyễn Trần Thanh Ngọc</v>
      </c>
      <c r="J7089" s="3" t="str">
        <f ca="1">IFERROR(__xludf.DUMMYFUNCTION("""COMPUTED_VALUE"""),"0917259839")</f>
        <v>0917259839</v>
      </c>
      <c r="K7089" s="2" t="str">
        <f ca="1">IFERROR(__xludf.DUMMYFUNCTION("""COMPUTED_VALUE"""),"1759332215457")</f>
        <v>1759332215457</v>
      </c>
    </row>
    <row r="7090" spans="1:11" ht="12.45">
      <c r="A7090" s="2" t="str">
        <f ca="1">IFERROR(__xludf.DUMMYFUNCTION("""COMPUTED_VALUE"""),"1759332247147")</f>
        <v>1759332247147</v>
      </c>
      <c r="B7090" s="2"/>
      <c r="C7090" s="2" t="str">
        <v>0</v>
      </c>
      <c r="D7090" s="2"/>
      <c r="F7090" s="2" t="str">
        <v>0</v>
      </c>
      <c r="I7090" s="3" t="str">
        <f ca="1">IFERROR(__xludf.DUMMYFUNCTION("""COMPUTED_VALUE"""),"Trịnh Ngọc Ánh")</f>
        <v>Trịnh Ngọc Ánh</v>
      </c>
      <c r="J7090" s="3" t="str">
        <f ca="1">IFERROR(__xludf.DUMMYFUNCTION("""COMPUTED_VALUE"""),"0921919699")</f>
        <v>0921919699</v>
      </c>
      <c r="K7090" s="2" t="str">
        <f ca="1">IFERROR(__xludf.DUMMYFUNCTION("""COMPUTED_VALUE"""),"1759332247147")</f>
        <v>1759332247147</v>
      </c>
    </row>
    <row r="7091" spans="1:11" ht="12.45">
      <c r="A7091" s="2" t="str">
        <f ca="1">IFERROR(__xludf.DUMMYFUNCTION("""COMPUTED_VALUE"""),"1759332284989")</f>
        <v>1759332284989</v>
      </c>
      <c r="B7091" s="2"/>
      <c r="C7091" s="2" t="str">
        <v>0</v>
      </c>
      <c r="D7091" s="2"/>
      <c r="F7091" s="2" t="str">
        <v>0</v>
      </c>
      <c r="I7091" s="3" t="str">
        <f ca="1">IFERROR(__xludf.DUMMYFUNCTION("""COMPUTED_VALUE"""),"Nguyễn Thu Trang ")</f>
        <v xml:space="preserve">Nguyễn Thu Trang </v>
      </c>
      <c r="J7091" s="3" t="str">
        <f ca="1">IFERROR(__xludf.DUMMYFUNCTION("""COMPUTED_VALUE"""),"0337287756")</f>
        <v>0337287756</v>
      </c>
      <c r="K7091" s="2" t="str">
        <f ca="1">IFERROR(__xludf.DUMMYFUNCTION("""COMPUTED_VALUE"""),"1759332284989")</f>
        <v>1759332284989</v>
      </c>
    </row>
    <row r="7092" spans="1:11" ht="12.45">
      <c r="A7092" s="2" t="str">
        <f ca="1">IFERROR(__xludf.DUMMYFUNCTION("""COMPUTED_VALUE"""),"1759332342318")</f>
        <v>1759332342318</v>
      </c>
      <c r="B7092" s="2"/>
      <c r="C7092" s="2" t="str">
        <v>0</v>
      </c>
      <c r="D7092" s="2"/>
      <c r="F7092" s="2" t="str">
        <v>0</v>
      </c>
      <c r="I7092" s="3" t="str">
        <f ca="1">IFERROR(__xludf.DUMMYFUNCTION("""COMPUTED_VALUE"""),"Nguyễn Quang Minh")</f>
        <v>Nguyễn Quang Minh</v>
      </c>
      <c r="J7092" s="3" t="str">
        <f ca="1">IFERROR(__xludf.DUMMYFUNCTION("""COMPUTED_VALUE"""),"0342350623")</f>
        <v>0342350623</v>
      </c>
      <c r="K7092" s="2" t="str">
        <f ca="1">IFERROR(__xludf.DUMMYFUNCTION("""COMPUTED_VALUE"""),"1759332342318")</f>
        <v>1759332342318</v>
      </c>
    </row>
    <row r="7093" spans="1:11" ht="12.45">
      <c r="A7093" s="2" t="str">
        <f ca="1">IFERROR(__xludf.DUMMYFUNCTION("""COMPUTED_VALUE"""),"1759332380783")</f>
        <v>1759332380783</v>
      </c>
      <c r="B7093" s="2"/>
      <c r="C7093" s="2" t="str">
        <v>0</v>
      </c>
      <c r="D7093" s="2"/>
      <c r="F7093" s="2" t="str">
        <v>0</v>
      </c>
      <c r="I7093" s="3" t="str">
        <f ca="1">IFERROR(__xludf.DUMMYFUNCTION("""COMPUTED_VALUE"""),"Đặng Thành Vinh")</f>
        <v>Đặng Thành Vinh</v>
      </c>
      <c r="J7093" s="3" t="str">
        <f ca="1">IFERROR(__xludf.DUMMYFUNCTION("""COMPUTED_VALUE"""),"0889510689")</f>
        <v>0889510689</v>
      </c>
      <c r="K7093" s="2" t="str">
        <f ca="1">IFERROR(__xludf.DUMMYFUNCTION("""COMPUTED_VALUE"""),"1759332380783")</f>
        <v>1759332380783</v>
      </c>
    </row>
    <row r="7094" spans="1:11" ht="12.45">
      <c r="A7094" s="2" t="str">
        <f ca="1">IFERROR(__xludf.DUMMYFUNCTION("""COMPUTED_VALUE"""),"1759332433453")</f>
        <v>1759332433453</v>
      </c>
      <c r="B7094" s="2"/>
      <c r="C7094" s="2" t="str">
        <v>0</v>
      </c>
      <c r="D7094" s="2"/>
      <c r="F7094" s="2" t="str">
        <v>0</v>
      </c>
      <c r="I7094" s="3" t="str">
        <f ca="1">IFERROR(__xludf.DUMMYFUNCTION("""COMPUTED_VALUE"""),"Phạm Quốc Huy")</f>
        <v>Phạm Quốc Huy</v>
      </c>
      <c r="J7094" s="3" t="str">
        <f ca="1">IFERROR(__xludf.DUMMYFUNCTION("""COMPUTED_VALUE"""),"0387181060")</f>
        <v>0387181060</v>
      </c>
      <c r="K7094" s="2" t="str">
        <f ca="1">IFERROR(__xludf.DUMMYFUNCTION("""COMPUTED_VALUE"""),"1759332433453")</f>
        <v>1759332433453</v>
      </c>
    </row>
    <row r="7095" spans="1:11" ht="12.45">
      <c r="A7095" s="2" t="str">
        <f ca="1">IFERROR(__xludf.DUMMYFUNCTION("""COMPUTED_VALUE"""),"1759332484282")</f>
        <v>1759332484282</v>
      </c>
      <c r="B7095" s="2"/>
      <c r="C7095" s="2" t="str">
        <v>0</v>
      </c>
      <c r="D7095" s="2"/>
      <c r="F7095" s="2" t="str">
        <v>0</v>
      </c>
      <c r="I7095" s="3" t="str">
        <f ca="1">IFERROR(__xludf.DUMMYFUNCTION("""COMPUTED_VALUE"""),"Nguyễn Thị Ánh Ngọc ")</f>
        <v xml:space="preserve">Nguyễn Thị Ánh Ngọc </v>
      </c>
      <c r="J7095" s="3" t="str">
        <f ca="1">IFERROR(__xludf.DUMMYFUNCTION("""COMPUTED_VALUE"""),"0386993305")</f>
        <v>0386993305</v>
      </c>
      <c r="K7095" s="2" t="str">
        <f ca="1">IFERROR(__xludf.DUMMYFUNCTION("""COMPUTED_VALUE"""),"1759332484282")</f>
        <v>1759332484282</v>
      </c>
    </row>
    <row r="7096" spans="1:11" ht="12.45">
      <c r="A7096" s="2" t="str">
        <f ca="1">IFERROR(__xludf.DUMMYFUNCTION("""COMPUTED_VALUE"""),"1759332520827")</f>
        <v>1759332520827</v>
      </c>
      <c r="B7096" s="2"/>
      <c r="C7096" s="2" t="str">
        <v>0</v>
      </c>
      <c r="D7096" s="2"/>
      <c r="F7096" s="2" t="str">
        <v>0</v>
      </c>
      <c r="I7096" s="3" t="str">
        <f ca="1">IFERROR(__xludf.DUMMYFUNCTION("""COMPUTED_VALUE"""),"Nguyễn Tiến Phong")</f>
        <v>Nguyễn Tiến Phong</v>
      </c>
      <c r="J7096" s="3" t="str">
        <f ca="1">IFERROR(__xludf.DUMMYFUNCTION("""COMPUTED_VALUE"""),"0354300076")</f>
        <v>0354300076</v>
      </c>
      <c r="K7096" s="2" t="str">
        <f ca="1">IFERROR(__xludf.DUMMYFUNCTION("""COMPUTED_VALUE"""),"1759332520827")</f>
        <v>1759332520827</v>
      </c>
    </row>
    <row r="7097" spans="1:11" ht="12.45">
      <c r="A7097" s="2" t="str">
        <f ca="1">IFERROR(__xludf.DUMMYFUNCTION("""COMPUTED_VALUE"""),"1759332567174")</f>
        <v>1759332567174</v>
      </c>
      <c r="B7097" s="2"/>
      <c r="C7097" s="2" t="str">
        <v>0</v>
      </c>
      <c r="D7097" s="2"/>
      <c r="F7097" s="2" t="str">
        <v>0</v>
      </c>
      <c r="I7097" s="3" t="str">
        <f ca="1">IFERROR(__xludf.DUMMYFUNCTION("""COMPUTED_VALUE"""),"Sùng A Kính ")</f>
        <v xml:space="preserve">Sùng A Kính </v>
      </c>
      <c r="J7097" s="3" t="str">
        <f ca="1">IFERROR(__xludf.DUMMYFUNCTION("""COMPUTED_VALUE"""),"0867761752")</f>
        <v>0867761752</v>
      </c>
      <c r="K7097" s="2" t="str">
        <f ca="1">IFERROR(__xludf.DUMMYFUNCTION("""COMPUTED_VALUE"""),"1759332567174")</f>
        <v>1759332567174</v>
      </c>
    </row>
    <row r="7098" spans="1:11" ht="12.45">
      <c r="A7098" s="2" t="str">
        <f ca="1">IFERROR(__xludf.DUMMYFUNCTION("""COMPUTED_VALUE"""),"1759332629564")</f>
        <v>1759332629564</v>
      </c>
      <c r="B7098" s="2"/>
      <c r="C7098" s="2" t="str">
        <v>0</v>
      </c>
      <c r="D7098" s="2"/>
      <c r="F7098" s="2" t="str">
        <v>0</v>
      </c>
      <c r="I7098" s="3" t="str">
        <f ca="1">IFERROR(__xludf.DUMMYFUNCTION("""COMPUTED_VALUE"""),"Hoàng Đinh Đan")</f>
        <v>Hoàng Đinh Đan</v>
      </c>
      <c r="J7098" s="3" t="str">
        <f ca="1">IFERROR(__xludf.DUMMYFUNCTION("""COMPUTED_VALUE"""),"0799564166")</f>
        <v>0799564166</v>
      </c>
      <c r="K7098" s="2" t="str">
        <f ca="1">IFERROR(__xludf.DUMMYFUNCTION("""COMPUTED_VALUE"""),"1759332629564")</f>
        <v>1759332629564</v>
      </c>
    </row>
    <row r="7099" spans="1:11" ht="12.45">
      <c r="A7099" s="2" t="str">
        <f ca="1">IFERROR(__xludf.DUMMYFUNCTION("""COMPUTED_VALUE"""),"1759332665514")</f>
        <v>1759332665514</v>
      </c>
      <c r="B7099" s="2"/>
      <c r="C7099" s="2" t="str">
        <v>0</v>
      </c>
      <c r="D7099" s="2"/>
      <c r="F7099" s="2" t="str">
        <v>0</v>
      </c>
      <c r="I7099" s="3" t="str">
        <f ca="1">IFERROR(__xludf.DUMMYFUNCTION("""COMPUTED_VALUE"""),"Trần Như Ngọc")</f>
        <v>Trần Như Ngọc</v>
      </c>
      <c r="J7099" s="3" t="str">
        <f ca="1">IFERROR(__xludf.DUMMYFUNCTION("""COMPUTED_VALUE"""),"0978223497")</f>
        <v>0978223497</v>
      </c>
      <c r="K7099" s="2" t="str">
        <f ca="1">IFERROR(__xludf.DUMMYFUNCTION("""COMPUTED_VALUE"""),"1759332665514")</f>
        <v>1759332665514</v>
      </c>
    </row>
    <row r="7100" spans="1:11" ht="12.45">
      <c r="A7100" s="2" t="str">
        <f ca="1">IFERROR(__xludf.DUMMYFUNCTION("""COMPUTED_VALUE"""),"1759332699200")</f>
        <v>1759332699200</v>
      </c>
      <c r="B7100" s="2"/>
      <c r="C7100" s="2" t="str">
        <v>0</v>
      </c>
      <c r="D7100" s="2"/>
      <c r="F7100" s="2" t="str">
        <v>0</v>
      </c>
      <c r="I7100" s="3" t="str">
        <f ca="1">IFERROR(__xludf.DUMMYFUNCTION("""COMPUTED_VALUE"""),"Trương Cát Tường")</f>
        <v>Trương Cát Tường</v>
      </c>
      <c r="J7100" s="3" t="str">
        <f ca="1">IFERROR(__xludf.DUMMYFUNCTION("""COMPUTED_VALUE"""),"0865862239")</f>
        <v>0865862239</v>
      </c>
      <c r="K7100" s="2" t="str">
        <f ca="1">IFERROR(__xludf.DUMMYFUNCTION("""COMPUTED_VALUE"""),"1759332699200")</f>
        <v>1759332699200</v>
      </c>
    </row>
    <row r="7101" spans="1:11" ht="12.45">
      <c r="A7101" s="2" t="str">
        <f ca="1">IFERROR(__xludf.DUMMYFUNCTION("""COMPUTED_VALUE"""),"1759332732922")</f>
        <v>1759332732922</v>
      </c>
      <c r="B7101" s="2"/>
      <c r="C7101" s="2" t="str">
        <v>0</v>
      </c>
      <c r="D7101" s="2"/>
      <c r="F7101" s="2" t="str">
        <v>0</v>
      </c>
      <c r="I7101" s="3" t="str">
        <f ca="1">IFERROR(__xludf.DUMMYFUNCTION("""COMPUTED_VALUE"""),"Phùng Ngọc Quang Sơn ")</f>
        <v xml:space="preserve">Phùng Ngọc Quang Sơn </v>
      </c>
      <c r="J7101" s="3" t="str">
        <f ca="1">IFERROR(__xludf.DUMMYFUNCTION("""COMPUTED_VALUE"""),"0364682188")</f>
        <v>0364682188</v>
      </c>
      <c r="K7101" s="2" t="str">
        <f ca="1">IFERROR(__xludf.DUMMYFUNCTION("""COMPUTED_VALUE"""),"1759332732922")</f>
        <v>1759332732922</v>
      </c>
    </row>
    <row r="7102" spans="1:11" ht="12.45">
      <c r="A7102" s="2" t="str">
        <f ca="1">IFERROR(__xludf.DUMMYFUNCTION("""COMPUTED_VALUE"""),"1759332786845")</f>
        <v>1759332786845</v>
      </c>
      <c r="B7102" s="2"/>
      <c r="C7102" s="2" t="str">
        <v>0</v>
      </c>
      <c r="D7102" s="2"/>
      <c r="F7102" s="2" t="str">
        <v>0</v>
      </c>
      <c r="I7102" s="3" t="str">
        <f ca="1">IFERROR(__xludf.DUMMYFUNCTION("""COMPUTED_VALUE"""),"Dương Thanh Quang")</f>
        <v>Dương Thanh Quang</v>
      </c>
      <c r="J7102" s="3" t="str">
        <f ca="1">IFERROR(__xludf.DUMMYFUNCTION("""COMPUTED_VALUE"""),"0869972428")</f>
        <v>0869972428</v>
      </c>
      <c r="K7102" s="2" t="str">
        <f ca="1">IFERROR(__xludf.DUMMYFUNCTION("""COMPUTED_VALUE"""),"1759332786845")</f>
        <v>1759332786845</v>
      </c>
    </row>
    <row r="7103" spans="1:11" ht="12.45">
      <c r="A7103" s="2" t="str">
        <f ca="1">IFERROR(__xludf.DUMMYFUNCTION("""COMPUTED_VALUE"""),"1759332813420")</f>
        <v>1759332813420</v>
      </c>
      <c r="B7103" s="2"/>
      <c r="C7103" s="2" t="str">
        <v>0</v>
      </c>
      <c r="D7103" s="2"/>
      <c r="F7103" s="2" t="str">
        <v>0</v>
      </c>
      <c r="I7103" s="3" t="str">
        <f ca="1">IFERROR(__xludf.DUMMYFUNCTION("""COMPUTED_VALUE"""),"Nguyễn Quang Sáng")</f>
        <v>Nguyễn Quang Sáng</v>
      </c>
      <c r="J7103" s="3" t="str">
        <f ca="1">IFERROR(__xludf.DUMMYFUNCTION("""COMPUTED_VALUE"""),"0967240907")</f>
        <v>0967240907</v>
      </c>
      <c r="K7103" s="2" t="str">
        <f ca="1">IFERROR(__xludf.DUMMYFUNCTION("""COMPUTED_VALUE"""),"1759332813420")</f>
        <v>1759332813420</v>
      </c>
    </row>
    <row r="7104" spans="1:11" ht="12.45">
      <c r="A7104" s="2" t="str">
        <f ca="1">IFERROR(__xludf.DUMMYFUNCTION("""COMPUTED_VALUE"""),"1759332873454")</f>
        <v>1759332873454</v>
      </c>
      <c r="B7104" s="2"/>
      <c r="C7104" s="2" t="str">
        <v>0</v>
      </c>
      <c r="D7104" s="2"/>
      <c r="F7104" s="2" t="str">
        <v>0</v>
      </c>
      <c r="I7104" s="3" t="str">
        <f ca="1">IFERROR(__xludf.DUMMYFUNCTION("""COMPUTED_VALUE"""),"Trần Thị Thủy Tiên ")</f>
        <v xml:space="preserve">Trần Thị Thủy Tiên </v>
      </c>
      <c r="J7104" s="3" t="str">
        <f ca="1">IFERROR(__xludf.DUMMYFUNCTION("""COMPUTED_VALUE"""),"0369069490")</f>
        <v>0369069490</v>
      </c>
      <c r="K7104" s="2" t="str">
        <f ca="1">IFERROR(__xludf.DUMMYFUNCTION("""COMPUTED_VALUE"""),"1759332873454")</f>
        <v>1759332873454</v>
      </c>
    </row>
    <row r="7105" spans="1:11" ht="12.45">
      <c r="A7105" s="2" t="str">
        <f ca="1">IFERROR(__xludf.DUMMYFUNCTION("""COMPUTED_VALUE"""),"1759332947190")</f>
        <v>1759332947190</v>
      </c>
      <c r="B7105" s="2"/>
      <c r="C7105" s="2" t="str">
        <v>0</v>
      </c>
      <c r="D7105" s="2"/>
      <c r="F7105" s="2" t="str">
        <v>0</v>
      </c>
      <c r="I7105" s="3" t="str">
        <f ca="1">IFERROR(__xludf.DUMMYFUNCTION("""COMPUTED_VALUE"""),"Nguyễn Vân Khánh")</f>
        <v>Nguyễn Vân Khánh</v>
      </c>
      <c r="J7105" s="3" t="str">
        <f ca="1">IFERROR(__xludf.DUMMYFUNCTION("""COMPUTED_VALUE"""),"0839668589")</f>
        <v>0839668589</v>
      </c>
      <c r="K7105" s="2" t="str">
        <f ca="1">IFERROR(__xludf.DUMMYFUNCTION("""COMPUTED_VALUE"""),"1759332947190")</f>
        <v>1759332947190</v>
      </c>
    </row>
    <row r="7106" spans="1:11" ht="12.45">
      <c r="A7106" s="2" t="str">
        <f ca="1">IFERROR(__xludf.DUMMYFUNCTION("""COMPUTED_VALUE"""),"1759333029452")</f>
        <v>1759333029452</v>
      </c>
      <c r="B7106" s="2"/>
      <c r="C7106" s="2" t="str">
        <v>0</v>
      </c>
      <c r="D7106" s="2"/>
      <c r="F7106" s="2" t="str">
        <v>0</v>
      </c>
      <c r="I7106" s="3" t="str">
        <f ca="1">IFERROR(__xludf.DUMMYFUNCTION("""COMPUTED_VALUE"""),"Lê Phạm Hà Linh")</f>
        <v>Lê Phạm Hà Linh</v>
      </c>
      <c r="J7106" s="3" t="str">
        <f ca="1">IFERROR(__xludf.DUMMYFUNCTION("""COMPUTED_VALUE"""),"0367221067")</f>
        <v>0367221067</v>
      </c>
      <c r="K7106" s="2" t="str">
        <f ca="1">IFERROR(__xludf.DUMMYFUNCTION("""COMPUTED_VALUE"""),"1759333029452")</f>
        <v>1759333029452</v>
      </c>
    </row>
    <row r="7107" spans="1:11" ht="12.45">
      <c r="A7107" s="2" t="str">
        <f ca="1">IFERROR(__xludf.DUMMYFUNCTION("""COMPUTED_VALUE"""),"1759333072258")</f>
        <v>1759333072258</v>
      </c>
      <c r="B7107" s="2"/>
      <c r="C7107" s="2" t="str">
        <v>0</v>
      </c>
      <c r="D7107" s="2"/>
      <c r="F7107" s="2" t="str">
        <v>0</v>
      </c>
      <c r="I7107" s="3" t="str">
        <f ca="1">IFERROR(__xludf.DUMMYFUNCTION("""COMPUTED_VALUE"""),"Đoàn Nguyễn Nhất Vy")</f>
        <v>Đoàn Nguyễn Nhất Vy</v>
      </c>
      <c r="J7107" s="3" t="str">
        <f ca="1">IFERROR(__xludf.DUMMYFUNCTION("""COMPUTED_VALUE"""),"0815077988")</f>
        <v>0815077988</v>
      </c>
      <c r="K7107" s="2" t="str">
        <f ca="1">IFERROR(__xludf.DUMMYFUNCTION("""COMPUTED_VALUE"""),"1759333072258")</f>
        <v>1759333072258</v>
      </c>
    </row>
    <row r="7108" spans="1:11" ht="12.45">
      <c r="A7108" s="2" t="str">
        <f ca="1">IFERROR(__xludf.DUMMYFUNCTION("""COMPUTED_VALUE"""),"1759333129328")</f>
        <v>1759333129328</v>
      </c>
      <c r="B7108" s="2"/>
      <c r="C7108" s="2" t="str">
        <v>0</v>
      </c>
      <c r="D7108" s="2"/>
      <c r="F7108" s="2" t="str">
        <v>0</v>
      </c>
      <c r="I7108" s="3" t="str">
        <f ca="1">IFERROR(__xludf.DUMMYFUNCTION("""COMPUTED_VALUE"""),"Nguyễn Phương Thuỳ")</f>
        <v>Nguyễn Phương Thuỳ</v>
      </c>
      <c r="J7108" s="3" t="str">
        <f ca="1">IFERROR(__xludf.DUMMYFUNCTION("""COMPUTED_VALUE"""),"0779428371")</f>
        <v>0779428371</v>
      </c>
      <c r="K7108" s="2" t="str">
        <f ca="1">IFERROR(__xludf.DUMMYFUNCTION("""COMPUTED_VALUE"""),"1759333129328")</f>
        <v>1759333129328</v>
      </c>
    </row>
    <row r="7109" spans="1:11" ht="12.45">
      <c r="A7109" s="2" t="str">
        <f ca="1">IFERROR(__xludf.DUMMYFUNCTION("""COMPUTED_VALUE"""),"1759333167770")</f>
        <v>1759333167770</v>
      </c>
      <c r="B7109" s="2"/>
      <c r="C7109" s="2" t="str">
        <v>0</v>
      </c>
      <c r="D7109" s="2"/>
      <c r="F7109" s="2" t="str">
        <v>0</v>
      </c>
      <c r="I7109" s="3" t="str">
        <f ca="1">IFERROR(__xludf.DUMMYFUNCTION("""COMPUTED_VALUE"""),"Nguyễn Hải Nam")</f>
        <v>Nguyễn Hải Nam</v>
      </c>
      <c r="J7109" s="3" t="str">
        <f ca="1">IFERROR(__xludf.DUMMYFUNCTION("""COMPUTED_VALUE"""),"0862772659")</f>
        <v>0862772659</v>
      </c>
      <c r="K7109" s="2" t="str">
        <f ca="1">IFERROR(__xludf.DUMMYFUNCTION("""COMPUTED_VALUE"""),"1759333167770")</f>
        <v>1759333167770</v>
      </c>
    </row>
    <row r="7110" spans="1:11" ht="12.45">
      <c r="A7110" s="2" t="str">
        <f ca="1">IFERROR(__xludf.DUMMYFUNCTION("""COMPUTED_VALUE"""),"1759333220161")</f>
        <v>1759333220161</v>
      </c>
      <c r="B7110" s="2"/>
      <c r="C7110" s="2" t="str">
        <v>0</v>
      </c>
      <c r="D7110" s="2"/>
      <c r="F7110" s="2" t="str">
        <v>0</v>
      </c>
      <c r="I7110" s="3" t="str">
        <f ca="1">IFERROR(__xludf.DUMMYFUNCTION("""COMPUTED_VALUE"""),"Nguyễn Thị Ngọc Minh")</f>
        <v>Nguyễn Thị Ngọc Minh</v>
      </c>
      <c r="J7110" s="3" t="str">
        <f ca="1">IFERROR(__xludf.DUMMYFUNCTION("""COMPUTED_VALUE"""),"0949358683")</f>
        <v>0949358683</v>
      </c>
      <c r="K7110" s="2" t="str">
        <f ca="1">IFERROR(__xludf.DUMMYFUNCTION("""COMPUTED_VALUE"""),"1759333220161")</f>
        <v>1759333220161</v>
      </c>
    </row>
    <row r="7111" spans="1:11" ht="12.45">
      <c r="A7111" s="2" t="str">
        <f ca="1">IFERROR(__xludf.DUMMYFUNCTION("""COMPUTED_VALUE"""),"1759333274280")</f>
        <v>1759333274280</v>
      </c>
      <c r="B7111" s="2"/>
      <c r="C7111" s="2" t="str">
        <v>0</v>
      </c>
      <c r="D7111" s="2"/>
      <c r="F7111" s="2" t="str">
        <v>0</v>
      </c>
      <c r="I7111" s="3" t="str">
        <f ca="1">IFERROR(__xludf.DUMMYFUNCTION("""COMPUTED_VALUE"""),"Thái Thị Thảo Nguyên ")</f>
        <v xml:space="preserve">Thái Thị Thảo Nguyên </v>
      </c>
      <c r="J7111" s="3" t="str">
        <f ca="1">IFERROR(__xludf.DUMMYFUNCTION("""COMPUTED_VALUE"""),"0375615440")</f>
        <v>0375615440</v>
      </c>
      <c r="K7111" s="2" t="str">
        <f ca="1">IFERROR(__xludf.DUMMYFUNCTION("""COMPUTED_VALUE"""),"1759333274280")</f>
        <v>1759333274280</v>
      </c>
    </row>
    <row r="7112" spans="1:11" ht="12.45">
      <c r="A7112" s="2" t="str">
        <f ca="1">IFERROR(__xludf.DUMMYFUNCTION("""COMPUTED_VALUE"""),"1759333330591")</f>
        <v>1759333330591</v>
      </c>
      <c r="B7112" s="2"/>
      <c r="C7112" s="2" t="str">
        <v>0</v>
      </c>
      <c r="D7112" s="2"/>
      <c r="F7112" s="2" t="str">
        <v>0</v>
      </c>
      <c r="I7112" s="3" t="str">
        <f ca="1">IFERROR(__xludf.DUMMYFUNCTION("""COMPUTED_VALUE"""),"Nguyễn Thị Thanh Tâm")</f>
        <v>Nguyễn Thị Thanh Tâm</v>
      </c>
      <c r="J7112" s="3" t="str">
        <f ca="1">IFERROR(__xludf.DUMMYFUNCTION("""COMPUTED_VALUE"""),"0961646287")</f>
        <v>0961646287</v>
      </c>
      <c r="K7112" s="2" t="str">
        <f ca="1">IFERROR(__xludf.DUMMYFUNCTION("""COMPUTED_VALUE"""),"1759333330591")</f>
        <v>1759333330591</v>
      </c>
    </row>
    <row r="7113" spans="1:11" ht="12.45">
      <c r="A7113" s="2" t="str">
        <f ca="1">IFERROR(__xludf.DUMMYFUNCTION("""COMPUTED_VALUE"""),"1759333377221")</f>
        <v>1759333377221</v>
      </c>
      <c r="B7113" s="2"/>
      <c r="C7113" s="2" t="str">
        <v>0</v>
      </c>
      <c r="D7113" s="2"/>
      <c r="F7113" s="2" t="str">
        <v>0</v>
      </c>
      <c r="I7113" s="3" t="str">
        <f ca="1">IFERROR(__xludf.DUMMYFUNCTION("""COMPUTED_VALUE"""),"Sử Hồ Phương Trinh")</f>
        <v>Sử Hồ Phương Trinh</v>
      </c>
      <c r="J7113" s="3" t="str">
        <f ca="1">IFERROR(__xludf.DUMMYFUNCTION("""COMPUTED_VALUE"""),"0702793029")</f>
        <v>0702793029</v>
      </c>
      <c r="K7113" s="2" t="str">
        <f ca="1">IFERROR(__xludf.DUMMYFUNCTION("""COMPUTED_VALUE"""),"1759333377221")</f>
        <v>1759333377221</v>
      </c>
    </row>
    <row r="7114" spans="1:11" ht="12.45">
      <c r="A7114" s="2" t="str">
        <f ca="1">IFERROR(__xludf.DUMMYFUNCTION("""COMPUTED_VALUE"""),"1759333427147")</f>
        <v>1759333427147</v>
      </c>
      <c r="B7114" s="2"/>
      <c r="C7114" s="2" t="str">
        <v>0</v>
      </c>
      <c r="D7114" s="2"/>
      <c r="F7114" s="2" t="str">
        <v>0</v>
      </c>
      <c r="I7114" s="3" t="str">
        <f ca="1">IFERROR(__xludf.DUMMYFUNCTION("""COMPUTED_VALUE"""),"Hoàng Thị Thảo Nguyên")</f>
        <v>Hoàng Thị Thảo Nguyên</v>
      </c>
      <c r="J7114" s="3" t="str">
        <f ca="1">IFERROR(__xludf.DUMMYFUNCTION("""COMPUTED_VALUE"""),"0913639781")</f>
        <v>0913639781</v>
      </c>
      <c r="K7114" s="2" t="str">
        <f ca="1">IFERROR(__xludf.DUMMYFUNCTION("""COMPUTED_VALUE"""),"1759333427147")</f>
        <v>1759333427147</v>
      </c>
    </row>
    <row r="7115" spans="1:11" ht="12.45">
      <c r="A7115" s="2" t="str">
        <f ca="1">IFERROR(__xludf.DUMMYFUNCTION("""COMPUTED_VALUE"""),"1759333458942")</f>
        <v>1759333458942</v>
      </c>
      <c r="B7115" s="2"/>
      <c r="C7115" s="2" t="str">
        <v>0</v>
      </c>
      <c r="D7115" s="2"/>
      <c r="F7115" s="2" t="str">
        <v>0</v>
      </c>
      <c r="I7115" s="3" t="str">
        <f ca="1">IFERROR(__xludf.DUMMYFUNCTION("""COMPUTED_VALUE"""),"Ngô Khải Hưng")</f>
        <v>Ngô Khải Hưng</v>
      </c>
      <c r="J7115" s="3" t="str">
        <f ca="1">IFERROR(__xludf.DUMMYFUNCTION("""COMPUTED_VALUE"""),"0356017185")</f>
        <v>0356017185</v>
      </c>
      <c r="K7115" s="2" t="str">
        <f ca="1">IFERROR(__xludf.DUMMYFUNCTION("""COMPUTED_VALUE"""),"1759333458942")</f>
        <v>1759333458942</v>
      </c>
    </row>
    <row r="7116" spans="1:11" ht="12.45">
      <c r="A7116" s="2" t="str">
        <f ca="1">IFERROR(__xludf.DUMMYFUNCTION("""COMPUTED_VALUE"""),"1759333489071")</f>
        <v>1759333489071</v>
      </c>
      <c r="B7116" s="2"/>
      <c r="C7116" s="2" t="str">
        <v>0</v>
      </c>
      <c r="D7116" s="2"/>
      <c r="F7116" s="2" t="str">
        <v>0</v>
      </c>
      <c r="I7116" s="3" t="str">
        <f ca="1">IFERROR(__xludf.DUMMYFUNCTION("""COMPUTED_VALUE"""),"Chu Ngọc Hà Phương")</f>
        <v>Chu Ngọc Hà Phương</v>
      </c>
      <c r="J7116" s="3" t="str">
        <f ca="1">IFERROR(__xludf.DUMMYFUNCTION("""COMPUTED_VALUE"""),"0338161689")</f>
        <v>0338161689</v>
      </c>
      <c r="K7116" s="2" t="str">
        <f ca="1">IFERROR(__xludf.DUMMYFUNCTION("""COMPUTED_VALUE"""),"1759333489071")</f>
        <v>1759333489071</v>
      </c>
    </row>
    <row r="7117" spans="1:11" ht="12.45">
      <c r="A7117" s="2" t="str">
        <f ca="1">IFERROR(__xludf.DUMMYFUNCTION("""COMPUTED_VALUE"""),"1759333517336")</f>
        <v>1759333517336</v>
      </c>
      <c r="B7117" s="2"/>
      <c r="C7117" s="2" t="str">
        <v>0</v>
      </c>
      <c r="D7117" s="2"/>
      <c r="F7117" s="2" t="str">
        <v>0</v>
      </c>
      <c r="I7117" s="3" t="str">
        <f ca="1">IFERROR(__xludf.DUMMYFUNCTION("""COMPUTED_VALUE"""),"Đào Vũ Quỳnh Anh ")</f>
        <v xml:space="preserve">Đào Vũ Quỳnh Anh </v>
      </c>
      <c r="J7117" s="3" t="str">
        <f ca="1">IFERROR(__xludf.DUMMYFUNCTION("""COMPUTED_VALUE"""),"0969287912")</f>
        <v>0969287912</v>
      </c>
      <c r="K7117" s="2" t="str">
        <f ca="1">IFERROR(__xludf.DUMMYFUNCTION("""COMPUTED_VALUE"""),"1759333517336")</f>
        <v>1759333517336</v>
      </c>
    </row>
    <row r="7118" spans="1:11" ht="12.45">
      <c r="A7118" s="2" t="str">
        <f ca="1">IFERROR(__xludf.DUMMYFUNCTION("""COMPUTED_VALUE"""),"1759333542210")</f>
        <v>1759333542210</v>
      </c>
      <c r="B7118" s="2"/>
      <c r="C7118" s="2" t="str">
        <v>0</v>
      </c>
      <c r="D7118" s="2"/>
      <c r="F7118" s="2" t="str">
        <v>0</v>
      </c>
      <c r="I7118" s="3" t="str">
        <f ca="1">IFERROR(__xludf.DUMMYFUNCTION("""COMPUTED_VALUE"""),"Lê Thuỳ Linh ")</f>
        <v xml:space="preserve">Lê Thuỳ Linh </v>
      </c>
      <c r="J7118" s="3" t="str">
        <f ca="1">IFERROR(__xludf.DUMMYFUNCTION("""COMPUTED_VALUE"""),"0961371352")</f>
        <v>0961371352</v>
      </c>
      <c r="K7118" s="2" t="str">
        <f ca="1">IFERROR(__xludf.DUMMYFUNCTION("""COMPUTED_VALUE"""),"1759333542210")</f>
        <v>1759333542210</v>
      </c>
    </row>
    <row r="7119" spans="1:11" ht="12.45">
      <c r="A7119" s="2" t="str">
        <f ca="1">IFERROR(__xludf.DUMMYFUNCTION("""COMPUTED_VALUE"""),"1759333573888")</f>
        <v>1759333573888</v>
      </c>
      <c r="B7119" s="2"/>
      <c r="C7119" s="2" t="str">
        <v>0</v>
      </c>
      <c r="D7119" s="2"/>
      <c r="F7119" s="2" t="str">
        <v>0</v>
      </c>
      <c r="I7119" s="3" t="str">
        <f ca="1">IFERROR(__xludf.DUMMYFUNCTION("""COMPUTED_VALUE"""),"HUỲNH NGỌC TÀI TÂM")</f>
        <v>HUỲNH NGỌC TÀI TÂM</v>
      </c>
      <c r="J7119" s="3" t="str">
        <f ca="1">IFERROR(__xludf.DUMMYFUNCTION("""COMPUTED_VALUE"""),"0365648077")</f>
        <v>0365648077</v>
      </c>
      <c r="K7119" s="2" t="str">
        <f ca="1">IFERROR(__xludf.DUMMYFUNCTION("""COMPUTED_VALUE"""),"1759333573888")</f>
        <v>1759333573888</v>
      </c>
    </row>
    <row r="7120" spans="1:11" ht="12.45">
      <c r="A7120" s="2" t="str">
        <f ca="1">IFERROR(__xludf.DUMMYFUNCTION("""COMPUTED_VALUE"""),"1759333608162")</f>
        <v>1759333608162</v>
      </c>
      <c r="B7120" s="2"/>
      <c r="C7120" s="2" t="str">
        <v>0</v>
      </c>
      <c r="D7120" s="2"/>
      <c r="F7120" s="2" t="str">
        <v>0</v>
      </c>
      <c r="I7120" s="3" t="str">
        <f ca="1">IFERROR(__xludf.DUMMYFUNCTION("""COMPUTED_VALUE"""),"Trần Cẩm Hường")</f>
        <v>Trần Cẩm Hường</v>
      </c>
      <c r="J7120" s="3" t="str">
        <f ca="1">IFERROR(__xludf.DUMMYFUNCTION("""COMPUTED_VALUE"""),"0382385011")</f>
        <v>0382385011</v>
      </c>
      <c r="K7120" s="2" t="str">
        <f ca="1">IFERROR(__xludf.DUMMYFUNCTION("""COMPUTED_VALUE"""),"1759333608162")</f>
        <v>1759333608162</v>
      </c>
    </row>
    <row r="7121" spans="1:11" ht="12.45">
      <c r="A7121" s="2" t="str">
        <f ca="1">IFERROR(__xludf.DUMMYFUNCTION("""COMPUTED_VALUE"""),"1759333647803")</f>
        <v>1759333647803</v>
      </c>
      <c r="B7121" s="2"/>
      <c r="C7121" s="2" t="str">
        <v>0</v>
      </c>
      <c r="D7121" s="2"/>
      <c r="F7121" s="2" t="str">
        <v>0</v>
      </c>
      <c r="I7121" s="3" t="str">
        <f ca="1">IFERROR(__xludf.DUMMYFUNCTION("""COMPUTED_VALUE"""),"May Chuc")</f>
        <v>May Chuc</v>
      </c>
      <c r="J7121" s="3" t="str">
        <f ca="1">IFERROR(__xludf.DUMMYFUNCTION("""COMPUTED_VALUE"""),"0362905899")</f>
        <v>0362905899</v>
      </c>
      <c r="K7121" s="2" t="str">
        <f ca="1">IFERROR(__xludf.DUMMYFUNCTION("""COMPUTED_VALUE"""),"1759333647803")</f>
        <v>1759333647803</v>
      </c>
    </row>
    <row r="7122" spans="1:11" ht="12.45">
      <c r="A7122" s="2" t="str">
        <f ca="1">IFERROR(__xludf.DUMMYFUNCTION("""COMPUTED_VALUE"""),"1759333693939")</f>
        <v>1759333693939</v>
      </c>
      <c r="B7122" s="2"/>
      <c r="C7122" s="2" t="str">
        <v>0</v>
      </c>
      <c r="D7122" s="2"/>
      <c r="F7122" s="2" t="str">
        <v>0</v>
      </c>
      <c r="I7122" s="3" t="str">
        <f ca="1">IFERROR(__xludf.DUMMYFUNCTION("""COMPUTED_VALUE"""),"Huỳnh Thị Xuân Mai")</f>
        <v>Huỳnh Thị Xuân Mai</v>
      </c>
      <c r="J7122" s="3" t="str">
        <f ca="1">IFERROR(__xludf.DUMMYFUNCTION("""COMPUTED_VALUE"""),"0896230307")</f>
        <v>0896230307</v>
      </c>
      <c r="K7122" s="2" t="str">
        <f ca="1">IFERROR(__xludf.DUMMYFUNCTION("""COMPUTED_VALUE"""),"1759333693939")</f>
        <v>1759333693939</v>
      </c>
    </row>
    <row r="7123" spans="1:11" ht="12.45">
      <c r="A7123" s="2" t="str">
        <f ca="1">IFERROR(__xludf.DUMMYFUNCTION("""COMPUTED_VALUE"""),"1759333726782")</f>
        <v>1759333726782</v>
      </c>
      <c r="B7123" s="2"/>
      <c r="C7123" s="2" t="str">
        <v>0</v>
      </c>
      <c r="D7123" s="2"/>
      <c r="F7123" s="2" t="str">
        <v>0</v>
      </c>
      <c r="I7123" s="3" t="str">
        <f ca="1">IFERROR(__xludf.DUMMYFUNCTION("""COMPUTED_VALUE"""),"Lê Gia Linh")</f>
        <v>Lê Gia Linh</v>
      </c>
      <c r="J7123" s="3" t="str">
        <f ca="1">IFERROR(__xludf.DUMMYFUNCTION("""COMPUTED_VALUE"""),"0969311610")</f>
        <v>0969311610</v>
      </c>
      <c r="K7123" s="2" t="str">
        <f ca="1">IFERROR(__xludf.DUMMYFUNCTION("""COMPUTED_VALUE"""),"1759333726782")</f>
        <v>1759333726782</v>
      </c>
    </row>
    <row r="7124" spans="1:11" ht="12.45">
      <c r="A7124" s="2" t="str">
        <f ca="1">IFERROR(__xludf.DUMMYFUNCTION("""COMPUTED_VALUE"""),"1759333747076")</f>
        <v>1759333747076</v>
      </c>
      <c r="B7124" s="2"/>
      <c r="C7124" s="2" t="str">
        <v>0</v>
      </c>
      <c r="D7124" s="2"/>
      <c r="F7124" s="2" t="str">
        <v>0</v>
      </c>
      <c r="I7124" s="3" t="str">
        <f ca="1">IFERROR(__xludf.DUMMYFUNCTION("""COMPUTED_VALUE"""),"nguyễn giang châu")</f>
        <v>nguyễn giang châu</v>
      </c>
      <c r="J7124" s="3" t="str">
        <f ca="1">IFERROR(__xludf.DUMMYFUNCTION("""COMPUTED_VALUE"""),"0373856860")</f>
        <v>0373856860</v>
      </c>
      <c r="K7124" s="2" t="str">
        <f ca="1">IFERROR(__xludf.DUMMYFUNCTION("""COMPUTED_VALUE"""),"1759333747076")</f>
        <v>1759333747076</v>
      </c>
    </row>
    <row r="7125" spans="1:11" ht="12.45">
      <c r="A7125" s="2" t="str">
        <f ca="1">IFERROR(__xludf.DUMMYFUNCTION("""COMPUTED_VALUE"""),"1762961734162")</f>
        <v>1762961734162</v>
      </c>
      <c r="B7125" s="2"/>
      <c r="C7125" s="2" t="str">
        <v>0</v>
      </c>
      <c r="D7125" s="2"/>
      <c r="F7125" s="2" t="str">
        <v>0</v>
      </c>
      <c r="I7125" s="3" t="str">
        <f ca="1">IFERROR(__xludf.DUMMYFUNCTION("""COMPUTED_VALUE"""),"Thu Nhi")</f>
        <v>Thu Nhi</v>
      </c>
      <c r="J7125" s="3" t="str">
        <f ca="1">IFERROR(__xludf.DUMMYFUNCTION("""COMPUTED_VALUE"""),"0373946337")</f>
        <v>0373946337</v>
      </c>
      <c r="K7125" s="2" t="str">
        <f ca="1">IFERROR(__xludf.DUMMYFUNCTION("""COMPUTED_VALUE"""),"1762961734162")</f>
        <v>1762961734162</v>
      </c>
    </row>
    <row r="7126" spans="1:11" ht="12.45">
      <c r="A7126" s="2" t="str">
        <f ca="1">IFERROR(__xludf.DUMMYFUNCTION("""COMPUTED_VALUE"""),"1762961788711")</f>
        <v>1762961788711</v>
      </c>
      <c r="B7126" s="2"/>
      <c r="C7126" s="2" t="str">
        <v>0</v>
      </c>
      <c r="D7126" s="2"/>
      <c r="F7126" s="2" t="str">
        <v>0</v>
      </c>
      <c r="I7126" s="3" t="str">
        <f ca="1">IFERROR(__xludf.DUMMYFUNCTION("""COMPUTED_VALUE"""),"Huỳnh Tú Liên ")</f>
        <v xml:space="preserve">Huỳnh Tú Liên </v>
      </c>
      <c r="J7126" s="3" t="str">
        <f ca="1">IFERROR(__xludf.DUMMYFUNCTION("""COMPUTED_VALUE"""),"0706568743")</f>
        <v>0706568743</v>
      </c>
      <c r="K7126" s="2" t="str">
        <f ca="1">IFERROR(__xludf.DUMMYFUNCTION("""COMPUTED_VALUE"""),"1762961788711")</f>
        <v>1762961788711</v>
      </c>
    </row>
    <row r="7127" spans="1:11" ht="12.45">
      <c r="A7127" s="2" t="str">
        <f ca="1">IFERROR(__xludf.DUMMYFUNCTION("""COMPUTED_VALUE"""),"1762961859109")</f>
        <v>1762961859109</v>
      </c>
      <c r="B7127" s="2"/>
      <c r="C7127" s="2" t="str">
        <v>0</v>
      </c>
      <c r="D7127" s="2"/>
      <c r="F7127" s="2" t="str">
        <v>0</v>
      </c>
      <c r="I7127" s="3" t="str">
        <f ca="1">IFERROR(__xludf.DUMMYFUNCTION("""COMPUTED_VALUE"""),"Vũ Thị Khánh linh ")</f>
        <v xml:space="preserve">Vũ Thị Khánh linh </v>
      </c>
      <c r="J7127" s="3" t="str">
        <f ca="1">IFERROR(__xludf.DUMMYFUNCTION("""COMPUTED_VALUE"""),"0387270439")</f>
        <v>0387270439</v>
      </c>
      <c r="K7127" s="2" t="str">
        <f ca="1">IFERROR(__xludf.DUMMYFUNCTION("""COMPUTED_VALUE"""),"1762961859109")</f>
        <v>1762961859109</v>
      </c>
    </row>
    <row r="7128" spans="1:11" ht="12.45">
      <c r="A7128" s="2" t="str">
        <f ca="1">IFERROR(__xludf.DUMMYFUNCTION("""COMPUTED_VALUE"""),"1762961939798")</f>
        <v>1762961939798</v>
      </c>
      <c r="B7128" s="2"/>
      <c r="C7128" s="2" t="str">
        <v>0</v>
      </c>
      <c r="D7128" s="2"/>
      <c r="F7128" s="2" t="str">
        <v>0</v>
      </c>
      <c r="I7128" s="3" t="str">
        <f ca="1">IFERROR(__xludf.DUMMYFUNCTION("""COMPUTED_VALUE"""),"Ngô Quỳnh Anh")</f>
        <v>Ngô Quỳnh Anh</v>
      </c>
      <c r="J7128" s="3" t="str">
        <f ca="1">IFERROR(__xludf.DUMMYFUNCTION("""COMPUTED_VALUE"""),"0388896192")</f>
        <v>0388896192</v>
      </c>
      <c r="K7128" s="2" t="str">
        <f ca="1">IFERROR(__xludf.DUMMYFUNCTION("""COMPUTED_VALUE"""),"1762961939798")</f>
        <v>1762961939798</v>
      </c>
    </row>
    <row r="7129" spans="1:11" ht="12.45">
      <c r="A7129" s="2" t="str">
        <f ca="1">IFERROR(__xludf.DUMMYFUNCTION("""COMPUTED_VALUE"""),"1762961999593")</f>
        <v>1762961999593</v>
      </c>
      <c r="B7129" s="2"/>
      <c r="C7129" s="2" t="str">
        <v>0</v>
      </c>
      <c r="D7129" s="2"/>
      <c r="F7129" s="2" t="str">
        <v>0</v>
      </c>
      <c r="I7129" s="3" t="str">
        <f ca="1">IFERROR(__xludf.DUMMYFUNCTION("""COMPUTED_VALUE"""),"Võ Nguyễn Phú Cường")</f>
        <v>Võ Nguyễn Phú Cường</v>
      </c>
      <c r="J7129" s="3" t="str">
        <f ca="1">IFERROR(__xludf.DUMMYFUNCTION("""COMPUTED_VALUE"""),"0909249098")</f>
        <v>0909249098</v>
      </c>
      <c r="K7129" s="2" t="str">
        <f ca="1">IFERROR(__xludf.DUMMYFUNCTION("""COMPUTED_VALUE"""),"1762961999593")</f>
        <v>1762961999593</v>
      </c>
    </row>
    <row r="7130" spans="1:11" ht="12.45">
      <c r="A7130" s="2"/>
      <c r="B7130" s="2"/>
      <c r="C7130" s="2" t="str">
        <v>0</v>
      </c>
      <c r="D7130" s="2"/>
      <c r="F7130" s="2" t="str">
        <v>0</v>
      </c>
      <c r="I7130" s="3" t="str">
        <f ca="1">IFERROR(__xludf.DUMMYFUNCTION("""COMPUTED_VALUE"""),"Nguyễn Thị Cẩm Ly")</f>
        <v>Nguyễn Thị Cẩm Ly</v>
      </c>
      <c r="J7130" s="3" t="str">
        <f ca="1">IFERROR(__xludf.DUMMYFUNCTION("""COMPUTED_VALUE"""),"0886873725")</f>
        <v>0886873725</v>
      </c>
      <c r="K7130" s="2"/>
    </row>
    <row r="7131" spans="1:11" ht="12.45">
      <c r="A7131" s="2" t="str">
        <f ca="1">IFERROR(__xludf.DUMMYFUNCTION("""COMPUTED_VALUE"""),"1762962081556")</f>
        <v>1762962081556</v>
      </c>
      <c r="B7131" s="2"/>
      <c r="C7131" s="2" t="str">
        <v>0</v>
      </c>
      <c r="D7131" s="2"/>
      <c r="F7131" s="2" t="str">
        <v>0</v>
      </c>
      <c r="I7131" s="3" t="str">
        <f ca="1">IFERROR(__xludf.DUMMYFUNCTION("""COMPUTED_VALUE"""),"Hồ Như Ý")</f>
        <v>Hồ Như Ý</v>
      </c>
      <c r="J7131" s="3" t="str">
        <f ca="1">IFERROR(__xludf.DUMMYFUNCTION("""COMPUTED_VALUE"""),"0369538713")</f>
        <v>0369538713</v>
      </c>
      <c r="K7131" s="2" t="str">
        <f ca="1">IFERROR(__xludf.DUMMYFUNCTION("""COMPUTED_VALUE"""),"1762962081556")</f>
        <v>1762962081556</v>
      </c>
    </row>
    <row r="7132" spans="1:11" ht="12.45">
      <c r="A7132" s="2" t="str">
        <f ca="1">IFERROR(__xludf.DUMMYFUNCTION("""COMPUTED_VALUE"""),"1762962129042")</f>
        <v>1762962129042</v>
      </c>
      <c r="B7132" s="2"/>
      <c r="C7132" s="2" t="str">
        <v>0</v>
      </c>
      <c r="D7132" s="2"/>
      <c r="F7132" s="2" t="str">
        <v>0</v>
      </c>
      <c r="I7132" s="3" t="str">
        <f ca="1">IFERROR(__xludf.DUMMYFUNCTION("""COMPUTED_VALUE"""),"Cao Huy Hoàng")</f>
        <v>Cao Huy Hoàng</v>
      </c>
      <c r="J7132" s="3" t="str">
        <f ca="1">IFERROR(__xludf.DUMMYFUNCTION("""COMPUTED_VALUE"""),"0378825728")</f>
        <v>0378825728</v>
      </c>
      <c r="K7132" s="2" t="str">
        <f ca="1">IFERROR(__xludf.DUMMYFUNCTION("""COMPUTED_VALUE"""),"1762962129042")</f>
        <v>1762962129042</v>
      </c>
    </row>
    <row r="7133" spans="1:11" ht="12.45">
      <c r="A7133" s="2"/>
      <c r="B7133" s="2"/>
      <c r="C7133" s="2" t="str">
        <v>0</v>
      </c>
      <c r="D7133" s="2"/>
      <c r="F7133" s="2" t="str">
        <v>0</v>
      </c>
      <c r="I7133" s="3" t="str">
        <f ca="1">IFERROR(__xludf.DUMMYFUNCTION("""COMPUTED_VALUE"""),"Phạm Thị Trà My")</f>
        <v>Phạm Thị Trà My</v>
      </c>
      <c r="J7133" s="3" t="str">
        <f ca="1">IFERROR(__xludf.DUMMYFUNCTION("""COMPUTED_VALUE"""),"0374042007")</f>
        <v>0374042007</v>
      </c>
      <c r="K7133" s="2"/>
    </row>
    <row r="7134" spans="1:11" ht="12.45">
      <c r="A7134" s="2" t="str">
        <f ca="1">IFERROR(__xludf.DUMMYFUNCTION("""COMPUTED_VALUE"""),"1762962188799")</f>
        <v>1762962188799</v>
      </c>
      <c r="B7134" s="2"/>
      <c r="C7134" s="2" t="str">
        <v>0</v>
      </c>
      <c r="D7134" s="2"/>
      <c r="F7134" s="2" t="str">
        <v>0</v>
      </c>
      <c r="I7134" s="3" t="str">
        <f ca="1">IFERROR(__xludf.DUMMYFUNCTION("""COMPUTED_VALUE"""),"Phạm Thu Minh")</f>
        <v>Phạm Thu Minh</v>
      </c>
      <c r="J7134" s="3" t="str">
        <f ca="1">IFERROR(__xludf.DUMMYFUNCTION("""COMPUTED_VALUE"""),"0869385695")</f>
        <v>0869385695</v>
      </c>
      <c r="K7134" s="2" t="str">
        <f ca="1">IFERROR(__xludf.DUMMYFUNCTION("""COMPUTED_VALUE"""),"1762962188799")</f>
        <v>1762962188799</v>
      </c>
    </row>
    <row r="7135" spans="1:11" ht="12.45">
      <c r="A7135" s="2" t="str">
        <f ca="1">IFERROR(__xludf.DUMMYFUNCTION("""COMPUTED_VALUE"""),"1762962261510")</f>
        <v>1762962261510</v>
      </c>
      <c r="B7135" s="2"/>
      <c r="C7135" s="2" t="str">
        <v>0</v>
      </c>
      <c r="D7135" s="2"/>
      <c r="F7135" s="2" t="str">
        <v>0</v>
      </c>
      <c r="I7135" s="3" t="str">
        <f ca="1">IFERROR(__xludf.DUMMYFUNCTION("""COMPUTED_VALUE"""),"Đỗ Thái Trân")</f>
        <v>Đỗ Thái Trân</v>
      </c>
      <c r="J7135" s="3" t="str">
        <f ca="1">IFERROR(__xludf.DUMMYFUNCTION("""COMPUTED_VALUE"""),"0907650399")</f>
        <v>0907650399</v>
      </c>
      <c r="K7135" s="2" t="str">
        <f ca="1">IFERROR(__xludf.DUMMYFUNCTION("""COMPUTED_VALUE"""),"1762962261510")</f>
        <v>1762962261510</v>
      </c>
    </row>
    <row r="7136" spans="1:11" ht="12.45">
      <c r="A7136" s="2" t="str">
        <f ca="1">IFERROR(__xludf.DUMMYFUNCTION("""COMPUTED_VALUE"""),"1762962319214")</f>
        <v>1762962319214</v>
      </c>
      <c r="B7136" s="2"/>
      <c r="C7136" s="2" t="str">
        <v>0</v>
      </c>
      <c r="D7136" s="2"/>
      <c r="F7136" s="2" t="str">
        <v>0</v>
      </c>
      <c r="I7136" s="3" t="str">
        <f ca="1">IFERROR(__xludf.DUMMYFUNCTION("""COMPUTED_VALUE"""),"Đỗ Thị Hạnh")</f>
        <v>Đỗ Thị Hạnh</v>
      </c>
      <c r="J7136" s="3" t="str">
        <f ca="1">IFERROR(__xludf.DUMMYFUNCTION("""COMPUTED_VALUE"""),"0366850483")</f>
        <v>0366850483</v>
      </c>
      <c r="K7136" s="2" t="str">
        <f ca="1">IFERROR(__xludf.DUMMYFUNCTION("""COMPUTED_VALUE"""),"1762962319214")</f>
        <v>1762962319214</v>
      </c>
    </row>
    <row r="7137" spans="1:11" ht="12.45">
      <c r="A7137" s="2" t="str">
        <f ca="1">IFERROR(__xludf.DUMMYFUNCTION("""COMPUTED_VALUE"""),"1762962380776")</f>
        <v>1762962380776</v>
      </c>
      <c r="B7137" s="2"/>
      <c r="C7137" s="2" t="str">
        <v>0</v>
      </c>
      <c r="D7137" s="2"/>
      <c r="F7137" s="2" t="str">
        <v>0</v>
      </c>
      <c r="I7137" s="3" t="str">
        <f ca="1">IFERROR(__xludf.DUMMYFUNCTION("""COMPUTED_VALUE"""),"Đỗ Lê Bảo Ngân ")</f>
        <v xml:space="preserve">Đỗ Lê Bảo Ngân </v>
      </c>
      <c r="J7137" s="3" t="str">
        <f ca="1">IFERROR(__xludf.DUMMYFUNCTION("""COMPUTED_VALUE"""),"0835713600")</f>
        <v>0835713600</v>
      </c>
      <c r="K7137" s="2" t="str">
        <f ca="1">IFERROR(__xludf.DUMMYFUNCTION("""COMPUTED_VALUE"""),"1762962380776")</f>
        <v>1762962380776</v>
      </c>
    </row>
    <row r="7138" spans="1:11" ht="12.45">
      <c r="A7138" s="2" t="str">
        <f ca="1">IFERROR(__xludf.DUMMYFUNCTION("""COMPUTED_VALUE"""),"1762962428344")</f>
        <v>1762962428344</v>
      </c>
      <c r="B7138" s="2"/>
      <c r="C7138" s="2" t="str">
        <v>0</v>
      </c>
      <c r="D7138" s="2"/>
      <c r="F7138" s="2" t="str">
        <v>0</v>
      </c>
      <c r="I7138" s="3" t="str">
        <f ca="1">IFERROR(__xludf.DUMMYFUNCTION("""COMPUTED_VALUE"""),"Nguyễn Diệu Linh")</f>
        <v>Nguyễn Diệu Linh</v>
      </c>
      <c r="J7138" s="3" t="str">
        <f ca="1">IFERROR(__xludf.DUMMYFUNCTION("""COMPUTED_VALUE"""),"0964351630")</f>
        <v>0964351630</v>
      </c>
      <c r="K7138" s="2" t="str">
        <f ca="1">IFERROR(__xludf.DUMMYFUNCTION("""COMPUTED_VALUE"""),"1762962428344")</f>
        <v>1762962428344</v>
      </c>
    </row>
    <row r="7139" spans="1:11" ht="12.45">
      <c r="A7139" s="2" t="str">
        <f ca="1">IFERROR(__xludf.DUMMYFUNCTION("""COMPUTED_VALUE"""),"1759333782389")</f>
        <v>1759333782389</v>
      </c>
      <c r="B7139" s="2"/>
      <c r="C7139" s="2" t="str">
        <v>0</v>
      </c>
      <c r="D7139" s="2"/>
      <c r="F7139" s="2" t="str">
        <v>0</v>
      </c>
      <c r="I7139" s="3" t="str">
        <f ca="1">IFERROR(__xludf.DUMMYFUNCTION("""COMPUTED_VALUE"""),"Lê Thị Hà Thanh")</f>
        <v>Lê Thị Hà Thanh</v>
      </c>
      <c r="J7139" s="3" t="str">
        <f ca="1">IFERROR(__xludf.DUMMYFUNCTION("""COMPUTED_VALUE"""),"0387246284")</f>
        <v>0387246284</v>
      </c>
      <c r="K7139" s="2" t="str">
        <f ca="1">IFERROR(__xludf.DUMMYFUNCTION("""COMPUTED_VALUE"""),"1759333782389")</f>
        <v>1759333782389</v>
      </c>
    </row>
    <row r="7140" spans="1:11" ht="12.45">
      <c r="A7140" s="2" t="str">
        <f ca="1">IFERROR(__xludf.DUMMYFUNCTION("""COMPUTED_VALUE"""),"1762962477959")</f>
        <v>1762962477959</v>
      </c>
      <c r="B7140" s="2"/>
      <c r="C7140" s="2" t="str">
        <v>0</v>
      </c>
      <c r="D7140" s="2"/>
      <c r="F7140" s="2" t="str">
        <v>0</v>
      </c>
      <c r="I7140" s="3" t="str">
        <f ca="1">IFERROR(__xludf.DUMMYFUNCTION("""COMPUTED_VALUE"""),"Trần Hiền Trang")</f>
        <v>Trần Hiền Trang</v>
      </c>
      <c r="J7140" s="3" t="str">
        <f ca="1">IFERROR(__xludf.DUMMYFUNCTION("""COMPUTED_VALUE"""),"0818537992")</f>
        <v>0818537992</v>
      </c>
      <c r="K7140" s="2" t="str">
        <f ca="1">IFERROR(__xludf.DUMMYFUNCTION("""COMPUTED_VALUE"""),"1762962477959")</f>
        <v>1762962477959</v>
      </c>
    </row>
    <row r="7141" spans="1:11" ht="12.45">
      <c r="A7141" s="2" t="str">
        <f ca="1">IFERROR(__xludf.DUMMYFUNCTION("""COMPUTED_VALUE"""),"1762962527896")</f>
        <v>1762962527896</v>
      </c>
      <c r="B7141" s="2"/>
      <c r="C7141" s="2" t="str">
        <v>0</v>
      </c>
      <c r="D7141" s="2"/>
      <c r="F7141" s="2" t="str">
        <v>0</v>
      </c>
      <c r="I7141" s="3" t="str">
        <f ca="1">IFERROR(__xludf.DUMMYFUNCTION("""COMPUTED_VALUE"""),"Lê Châu Thanh Hoà")</f>
        <v>Lê Châu Thanh Hoà</v>
      </c>
      <c r="J7141" s="3" t="str">
        <f ca="1">IFERROR(__xludf.DUMMYFUNCTION("""COMPUTED_VALUE"""),"0899884533")</f>
        <v>0899884533</v>
      </c>
      <c r="K7141" s="2" t="str">
        <f ca="1">IFERROR(__xludf.DUMMYFUNCTION("""COMPUTED_VALUE"""),"1762962527896")</f>
        <v>1762962527896</v>
      </c>
    </row>
    <row r="7142" spans="1:11" ht="12.45">
      <c r="A7142" s="2" t="str">
        <f ca="1">IFERROR(__xludf.DUMMYFUNCTION("""COMPUTED_VALUE"""),"1762962591735")</f>
        <v>1762962591735</v>
      </c>
      <c r="B7142" s="2"/>
      <c r="C7142" s="2" t="str">
        <v>0</v>
      </c>
      <c r="D7142" s="2"/>
      <c r="F7142" s="2" t="str">
        <v>0</v>
      </c>
      <c r="I7142" s="3" t="str">
        <f ca="1">IFERROR(__xludf.DUMMYFUNCTION("""COMPUTED_VALUE"""),"Nguyễn Huyền Trang ")</f>
        <v xml:space="preserve">Nguyễn Huyền Trang </v>
      </c>
      <c r="J7142" s="3" t="str">
        <f ca="1">IFERROR(__xludf.DUMMYFUNCTION("""COMPUTED_VALUE"""),"0869882356")</f>
        <v>0869882356</v>
      </c>
      <c r="K7142" s="2" t="str">
        <f ca="1">IFERROR(__xludf.DUMMYFUNCTION("""COMPUTED_VALUE"""),"1762962591735")</f>
        <v>1762962591735</v>
      </c>
    </row>
    <row r="7143" spans="1:11" ht="12.45">
      <c r="A7143" s="2" t="str">
        <f ca="1">IFERROR(__xludf.DUMMYFUNCTION("""COMPUTED_VALUE"""),"1742996051819")</f>
        <v>1742996051819</v>
      </c>
      <c r="B7143" s="2"/>
      <c r="C7143" s="2" t="str">
        <v>0</v>
      </c>
      <c r="D7143" s="2"/>
      <c r="F7143" s="2" t="str">
        <v>0</v>
      </c>
      <c r="I7143" s="3" t="str">
        <f ca="1">IFERROR(__xludf.DUMMYFUNCTION("""COMPUTED_VALUE"""),"SÔNG A CHAU")</f>
        <v>SÔNG A CHAU</v>
      </c>
      <c r="J7143" s="3" t="str">
        <f ca="1">IFERROR(__xludf.DUMMYFUNCTION("""COMPUTED_VALUE"""),"0347167947")</f>
        <v>0347167947</v>
      </c>
      <c r="K7143" s="2" t="str">
        <f ca="1">IFERROR(__xludf.DUMMYFUNCTION("""COMPUTED_VALUE"""),"1742996051819")</f>
        <v>1742996051819</v>
      </c>
    </row>
    <row r="7144" spans="1:11" ht="12.45">
      <c r="A7144" s="2" t="str">
        <f ca="1">IFERROR(__xludf.DUMMYFUNCTION("""COMPUTED_VALUE"""),"1762962644191")</f>
        <v>1762962644191</v>
      </c>
      <c r="B7144" s="2"/>
      <c r="C7144" s="2" t="str">
        <v>0</v>
      </c>
      <c r="D7144" s="2"/>
      <c r="F7144" s="2" t="str">
        <v>0</v>
      </c>
      <c r="I7144" s="3" t="str">
        <f ca="1">IFERROR(__xludf.DUMMYFUNCTION("""COMPUTED_VALUE"""),"Phan Thị Minh Diệu")</f>
        <v>Phan Thị Minh Diệu</v>
      </c>
      <c r="J7144" s="3" t="str">
        <f ca="1">IFERROR(__xludf.DUMMYFUNCTION("""COMPUTED_VALUE"""),"0868863741")</f>
        <v>0868863741</v>
      </c>
      <c r="K7144" s="2" t="str">
        <f ca="1">IFERROR(__xludf.DUMMYFUNCTION("""COMPUTED_VALUE"""),"1762962644191")</f>
        <v>1762962644191</v>
      </c>
    </row>
    <row r="7145" spans="1:11" ht="12.45">
      <c r="A7145" s="2" t="str">
        <f ca="1">IFERROR(__xludf.DUMMYFUNCTION("""COMPUTED_VALUE"""),"1762962713295")</f>
        <v>1762962713295</v>
      </c>
      <c r="B7145" s="2"/>
      <c r="C7145" s="2" t="str">
        <v>0</v>
      </c>
      <c r="D7145" s="2"/>
      <c r="F7145" s="2" t="str">
        <v>0</v>
      </c>
      <c r="I7145" s="3" t="str">
        <f ca="1">IFERROR(__xludf.DUMMYFUNCTION("""COMPUTED_VALUE"""),"vũ hà my")</f>
        <v>vũ hà my</v>
      </c>
      <c r="J7145" s="3" t="str">
        <f ca="1">IFERROR(__xludf.DUMMYFUNCTION("""COMPUTED_VALUE"""),"0372885483")</f>
        <v>0372885483</v>
      </c>
      <c r="K7145" s="2" t="str">
        <f ca="1">IFERROR(__xludf.DUMMYFUNCTION("""COMPUTED_VALUE"""),"1762962713295")</f>
        <v>1762962713295</v>
      </c>
    </row>
    <row r="7146" spans="1:11" ht="12.45">
      <c r="A7146" s="2" t="str">
        <f ca="1">IFERROR(__xludf.DUMMYFUNCTION("""COMPUTED_VALUE"""),"1762962769275")</f>
        <v>1762962769275</v>
      </c>
      <c r="B7146" s="2"/>
      <c r="C7146" s="2" t="str">
        <v>0</v>
      </c>
      <c r="D7146" s="2"/>
      <c r="F7146" s="2" t="str">
        <v>0</v>
      </c>
      <c r="I7146" s="3" t="str">
        <f ca="1">IFERROR(__xludf.DUMMYFUNCTION("""COMPUTED_VALUE"""),"Trần thị thuỳ dung ")</f>
        <v xml:space="preserve">Trần thị thuỳ dung </v>
      </c>
      <c r="J7146" s="3" t="str">
        <f ca="1">IFERROR(__xludf.DUMMYFUNCTION("""COMPUTED_VALUE"""),"0988796354")</f>
        <v>0988796354</v>
      </c>
      <c r="K7146" s="2" t="str">
        <f ca="1">IFERROR(__xludf.DUMMYFUNCTION("""COMPUTED_VALUE"""),"1762962769275")</f>
        <v>1762962769275</v>
      </c>
    </row>
    <row r="7147" spans="1:11" ht="12.45">
      <c r="A7147" s="2" t="str">
        <f ca="1">IFERROR(__xludf.DUMMYFUNCTION("""COMPUTED_VALUE"""),"1762962832435")</f>
        <v>1762962832435</v>
      </c>
      <c r="B7147" s="2"/>
      <c r="C7147" s="2" t="str">
        <v>0</v>
      </c>
      <c r="D7147" s="2"/>
      <c r="F7147" s="2" t="str">
        <v>0</v>
      </c>
      <c r="I7147" s="3" t="str">
        <f ca="1">IFERROR(__xludf.DUMMYFUNCTION("""COMPUTED_VALUE"""),"Ngô Chi Thái Ngọc ")</f>
        <v xml:space="preserve">Ngô Chi Thái Ngọc </v>
      </c>
      <c r="J7147" s="3" t="str">
        <f ca="1">IFERROR(__xludf.DUMMYFUNCTION("""COMPUTED_VALUE"""),"0703311008")</f>
        <v>0703311008</v>
      </c>
      <c r="K7147" s="2" t="str">
        <f ca="1">IFERROR(__xludf.DUMMYFUNCTION("""COMPUTED_VALUE"""),"1762962832435")</f>
        <v>1762962832435</v>
      </c>
    </row>
    <row r="7148" spans="1:11" ht="12.45">
      <c r="A7148" s="2" t="str">
        <f ca="1">IFERROR(__xludf.DUMMYFUNCTION("""COMPUTED_VALUE"""),"1762962940048")</f>
        <v>1762962940048</v>
      </c>
      <c r="B7148" s="2"/>
      <c r="C7148" s="2" t="str">
        <v>0</v>
      </c>
      <c r="D7148" s="2"/>
      <c r="F7148" s="2" t="str">
        <v>0</v>
      </c>
      <c r="I7148" s="3" t="str">
        <f ca="1">IFERROR(__xludf.DUMMYFUNCTION("""COMPUTED_VALUE"""),"Nguyễn Thị Thu Trang ")</f>
        <v xml:space="preserve">Nguyễn Thị Thu Trang </v>
      </c>
      <c r="J7148" s="3" t="str">
        <f ca="1">IFERROR(__xludf.DUMMYFUNCTION("""COMPUTED_VALUE"""),"0393046467")</f>
        <v>0393046467</v>
      </c>
      <c r="K7148" s="2" t="str">
        <f ca="1">IFERROR(__xludf.DUMMYFUNCTION("""COMPUTED_VALUE"""),"1762962940048")</f>
        <v>1762962940048</v>
      </c>
    </row>
    <row r="7149" spans="1:11" ht="12.45">
      <c r="A7149" s="2" t="str">
        <f ca="1">IFERROR(__xludf.DUMMYFUNCTION("""COMPUTED_VALUE"""),"1762962998390")</f>
        <v>1762962998390</v>
      </c>
      <c r="B7149" s="2"/>
      <c r="C7149" s="2" t="str">
        <v>0</v>
      </c>
      <c r="D7149" s="2"/>
      <c r="F7149" s="2" t="str">
        <v>0</v>
      </c>
      <c r="I7149" s="3" t="str">
        <f ca="1">IFERROR(__xludf.DUMMYFUNCTION("""COMPUTED_VALUE"""),"Nguyễn Hoàng Nhi")</f>
        <v>Nguyễn Hoàng Nhi</v>
      </c>
      <c r="J7149" s="3" t="str">
        <f ca="1">IFERROR(__xludf.DUMMYFUNCTION("""COMPUTED_VALUE"""),"0386492147")</f>
        <v>0386492147</v>
      </c>
      <c r="K7149" s="2" t="str">
        <f ca="1">IFERROR(__xludf.DUMMYFUNCTION("""COMPUTED_VALUE"""),"1762962998390")</f>
        <v>1762962998390</v>
      </c>
    </row>
    <row r="7150" spans="1:11" ht="12.45">
      <c r="A7150" s="2" t="str">
        <f ca="1">IFERROR(__xludf.DUMMYFUNCTION("""COMPUTED_VALUE"""),"1762963079408")</f>
        <v>1762963079408</v>
      </c>
      <c r="B7150" s="2"/>
      <c r="C7150" s="2" t="str">
        <v>0</v>
      </c>
      <c r="D7150" s="2"/>
      <c r="F7150" s="2" t="str">
        <v>0</v>
      </c>
      <c r="I7150" s="3" t="str">
        <f ca="1">IFERROR(__xludf.DUMMYFUNCTION("""COMPUTED_VALUE"""),"Lương Sơn Tình ")</f>
        <v xml:space="preserve">Lương Sơn Tình </v>
      </c>
      <c r="J7150" s="3" t="str">
        <f ca="1">IFERROR(__xludf.DUMMYFUNCTION("""COMPUTED_VALUE"""),"0776817236")</f>
        <v>0776817236</v>
      </c>
      <c r="K7150" s="2" t="str">
        <f ca="1">IFERROR(__xludf.DUMMYFUNCTION("""COMPUTED_VALUE"""),"1762963079408")</f>
        <v>1762963079408</v>
      </c>
    </row>
    <row r="7151" spans="1:11" ht="12.45">
      <c r="A7151" s="2" t="str">
        <f ca="1">IFERROR(__xludf.DUMMYFUNCTION("""COMPUTED_VALUE"""),"1762963209371")</f>
        <v>1762963209371</v>
      </c>
      <c r="B7151" s="2"/>
      <c r="C7151" s="2" t="str">
        <v>0</v>
      </c>
      <c r="D7151" s="2"/>
      <c r="F7151" s="2" t="str">
        <v>0</v>
      </c>
      <c r="I7151" s="3" t="str">
        <f ca="1">IFERROR(__xludf.DUMMYFUNCTION("""COMPUTED_VALUE"""),"Nguyễn Thị Mai Phương ")</f>
        <v xml:space="preserve">Nguyễn Thị Mai Phương </v>
      </c>
      <c r="J7151" s="3" t="str">
        <f ca="1">IFERROR(__xludf.DUMMYFUNCTION("""COMPUTED_VALUE"""),"0372917376")</f>
        <v>0372917376</v>
      </c>
      <c r="K7151" s="2" t="str">
        <f ca="1">IFERROR(__xludf.DUMMYFUNCTION("""COMPUTED_VALUE"""),"1762963209371")</f>
        <v>1762963209371</v>
      </c>
    </row>
    <row r="7152" spans="1:11" ht="12.45">
      <c r="A7152" s="2" t="str">
        <f ca="1">IFERROR(__xludf.DUMMYFUNCTION("""COMPUTED_VALUE"""),"1762963288859")</f>
        <v>1762963288859</v>
      </c>
      <c r="B7152" s="2"/>
      <c r="C7152" s="2" t="str">
        <v>0</v>
      </c>
      <c r="D7152" s="2"/>
      <c r="F7152" s="2" t="str">
        <v>0</v>
      </c>
      <c r="I7152" s="3" t="str">
        <f ca="1">IFERROR(__xludf.DUMMYFUNCTION("""COMPUTED_VALUE"""),"Phạm Minh Đức")</f>
        <v>Phạm Minh Đức</v>
      </c>
      <c r="J7152" s="3" t="str">
        <f ca="1">IFERROR(__xludf.DUMMYFUNCTION("""COMPUTED_VALUE"""),"0987168048")</f>
        <v>0987168048</v>
      </c>
      <c r="K7152" s="2" t="str">
        <f ca="1">IFERROR(__xludf.DUMMYFUNCTION("""COMPUTED_VALUE"""),"1762963288859")</f>
        <v>1762963288859</v>
      </c>
    </row>
    <row r="7153" spans="1:11" ht="12.45">
      <c r="A7153" s="2" t="str">
        <f ca="1">IFERROR(__xludf.DUMMYFUNCTION("""COMPUTED_VALUE"""),"1762963375519")</f>
        <v>1762963375519</v>
      </c>
      <c r="B7153" s="2"/>
      <c r="C7153" s="2" t="str">
        <v>0</v>
      </c>
      <c r="D7153" s="2"/>
      <c r="F7153" s="2" t="str">
        <v>0</v>
      </c>
      <c r="I7153" s="3" t="str">
        <f ca="1">IFERROR(__xludf.DUMMYFUNCTION("""COMPUTED_VALUE"""),"Võ Nguyễn Tuệ Lam")</f>
        <v>Võ Nguyễn Tuệ Lam</v>
      </c>
      <c r="J7153" s="3" t="str">
        <f ca="1">IFERROR(__xludf.DUMMYFUNCTION("""COMPUTED_VALUE"""),"0367912107")</f>
        <v>0367912107</v>
      </c>
      <c r="K7153" s="2" t="str">
        <f ca="1">IFERROR(__xludf.DUMMYFUNCTION("""COMPUTED_VALUE"""),"1762963375519")</f>
        <v>1762963375519</v>
      </c>
    </row>
    <row r="7154" spans="1:11" ht="12.45">
      <c r="A7154" s="2"/>
      <c r="B7154" s="2"/>
      <c r="C7154" s="2" t="str">
        <v>0</v>
      </c>
      <c r="D7154" s="2"/>
      <c r="F7154" s="2" t="str">
        <v>0</v>
      </c>
      <c r="I7154" s="3" t="str">
        <f ca="1">IFERROR(__xludf.DUMMYFUNCTION("""COMPUTED_VALUE"""),"Nguyễn Thị Khánh Huyền ")</f>
        <v xml:space="preserve">Nguyễn Thị Khánh Huyền </v>
      </c>
      <c r="J7154" s="3" t="str">
        <f ca="1">IFERROR(__xludf.DUMMYFUNCTION("""COMPUTED_VALUE"""),"0977897928")</f>
        <v>0977897928</v>
      </c>
      <c r="K7154" s="2"/>
    </row>
    <row r="7155" spans="1:11" ht="12.45">
      <c r="A7155" s="2" t="str">
        <f ca="1">IFERROR(__xludf.DUMMYFUNCTION("""COMPUTED_VALUE"""),"1762963425054")</f>
        <v>1762963425054</v>
      </c>
      <c r="B7155" s="2"/>
      <c r="C7155" s="2" t="str">
        <v>0</v>
      </c>
      <c r="D7155" s="2"/>
      <c r="F7155" s="2" t="str">
        <v>0</v>
      </c>
      <c r="I7155" s="3" t="str">
        <f ca="1">IFERROR(__xludf.DUMMYFUNCTION("""COMPUTED_VALUE"""),"Ngô Khả Hân")</f>
        <v>Ngô Khả Hân</v>
      </c>
      <c r="J7155" s="3" t="str">
        <f ca="1">IFERROR(__xludf.DUMMYFUNCTION("""COMPUTED_VALUE"""),"0365359331")</f>
        <v>0365359331</v>
      </c>
      <c r="K7155" s="2" t="str">
        <f ca="1">IFERROR(__xludf.DUMMYFUNCTION("""COMPUTED_VALUE"""),"1762963425054")</f>
        <v>1762963425054</v>
      </c>
    </row>
    <row r="7156" spans="1:11" ht="12.45">
      <c r="A7156" s="2" t="str">
        <f ca="1">IFERROR(__xludf.DUMMYFUNCTION("""COMPUTED_VALUE"""),"1762963487606")</f>
        <v>1762963487606</v>
      </c>
      <c r="B7156" s="2"/>
      <c r="C7156" s="2" t="str">
        <v>0</v>
      </c>
      <c r="D7156" s="2"/>
      <c r="F7156" s="2" t="str">
        <v>0</v>
      </c>
      <c r="I7156" s="3" t="str">
        <f ca="1">IFERROR(__xludf.DUMMYFUNCTION("""COMPUTED_VALUE"""),"Nguyễn Thị Thảo Mai")</f>
        <v>Nguyễn Thị Thảo Mai</v>
      </c>
      <c r="J7156" s="3" t="str">
        <f ca="1">IFERROR(__xludf.DUMMYFUNCTION("""COMPUTED_VALUE"""),"0398474395")</f>
        <v>0398474395</v>
      </c>
      <c r="K7156" s="2" t="str">
        <f ca="1">IFERROR(__xludf.DUMMYFUNCTION("""COMPUTED_VALUE"""),"1762963487606")</f>
        <v>1762963487606</v>
      </c>
    </row>
    <row r="7157" spans="1:11" ht="12.45">
      <c r="A7157" s="2" t="str">
        <f ca="1">IFERROR(__xludf.DUMMYFUNCTION("""COMPUTED_VALUE"""),"1762963517960")</f>
        <v>1762963517960</v>
      </c>
      <c r="B7157" s="2"/>
      <c r="C7157" s="2" t="str">
        <v>0</v>
      </c>
      <c r="D7157" s="2"/>
      <c r="F7157" s="2" t="str">
        <v>0</v>
      </c>
      <c r="I7157" s="3" t="str">
        <f ca="1">IFERROR(__xludf.DUMMYFUNCTION("""COMPUTED_VALUE"""),"Trần Quý Lộc")</f>
        <v>Trần Quý Lộc</v>
      </c>
      <c r="J7157" s="3" t="str">
        <f ca="1">IFERROR(__xludf.DUMMYFUNCTION("""COMPUTED_VALUE"""),"0376292416")</f>
        <v>0376292416</v>
      </c>
      <c r="K7157" s="2" t="str">
        <f ca="1">IFERROR(__xludf.DUMMYFUNCTION("""COMPUTED_VALUE"""),"1762963517960")</f>
        <v>1762963517960</v>
      </c>
    </row>
    <row r="7158" spans="1:11" ht="12.45">
      <c r="A7158" s="2" t="str">
        <f ca="1">IFERROR(__xludf.DUMMYFUNCTION("""COMPUTED_VALUE"""),"1762963553536")</f>
        <v>1762963553536</v>
      </c>
      <c r="B7158" s="2"/>
      <c r="C7158" s="2" t="str">
        <v>0</v>
      </c>
      <c r="D7158" s="2"/>
      <c r="F7158" s="2" t="str">
        <v>0</v>
      </c>
      <c r="I7158" s="3" t="str">
        <f ca="1">IFERROR(__xludf.DUMMYFUNCTION("""COMPUTED_VALUE"""),"Hoàng Châu Anh")</f>
        <v>Hoàng Châu Anh</v>
      </c>
      <c r="J7158" s="3" t="str">
        <f ca="1">IFERROR(__xludf.DUMMYFUNCTION("""COMPUTED_VALUE"""),"0822124336")</f>
        <v>0822124336</v>
      </c>
      <c r="K7158" s="2" t="str">
        <f ca="1">IFERROR(__xludf.DUMMYFUNCTION("""COMPUTED_VALUE"""),"1762963553536")</f>
        <v>1762963553536</v>
      </c>
    </row>
    <row r="7159" spans="1:11" ht="12.45">
      <c r="A7159" s="2" t="str">
        <f ca="1">IFERROR(__xludf.DUMMYFUNCTION("""COMPUTED_VALUE"""),"1759333837658")</f>
        <v>1759333837658</v>
      </c>
      <c r="B7159" s="2"/>
      <c r="C7159" s="2" t="str">
        <v>0</v>
      </c>
      <c r="D7159" s="2"/>
      <c r="F7159" s="2" t="str">
        <v>0</v>
      </c>
      <c r="I7159" s="3" t="str">
        <f ca="1">IFERROR(__xludf.DUMMYFUNCTION("""COMPUTED_VALUE"""),"Hoàng Việt Hoàng")</f>
        <v>Hoàng Việt Hoàng</v>
      </c>
      <c r="J7159" s="3" t="str">
        <f ca="1">IFERROR(__xludf.DUMMYFUNCTION("""COMPUTED_VALUE"""),"0349466450")</f>
        <v>0349466450</v>
      </c>
      <c r="K7159" s="2" t="str">
        <f ca="1">IFERROR(__xludf.DUMMYFUNCTION("""COMPUTED_VALUE"""),"1759333837658")</f>
        <v>1759333837658</v>
      </c>
    </row>
    <row r="7160" spans="1:11" ht="12.45">
      <c r="A7160" s="2" t="str">
        <f ca="1">IFERROR(__xludf.DUMMYFUNCTION("""COMPUTED_VALUE"""),"1759333897552")</f>
        <v>1759333897552</v>
      </c>
      <c r="B7160" s="2"/>
      <c r="C7160" s="2" t="str">
        <v>0</v>
      </c>
      <c r="D7160" s="2"/>
      <c r="F7160" s="2" t="str">
        <v>0</v>
      </c>
      <c r="I7160" s="3" t="str">
        <f ca="1">IFERROR(__xludf.DUMMYFUNCTION("""COMPUTED_VALUE"""),"Lại Ngọc Phương Trang")</f>
        <v>Lại Ngọc Phương Trang</v>
      </c>
      <c r="J7160" s="3" t="str">
        <f ca="1">IFERROR(__xludf.DUMMYFUNCTION("""COMPUTED_VALUE"""),"0974662612")</f>
        <v>0974662612</v>
      </c>
      <c r="K7160" s="2" t="str">
        <f ca="1">IFERROR(__xludf.DUMMYFUNCTION("""COMPUTED_VALUE"""),"1759333897552")</f>
        <v>1759333897552</v>
      </c>
    </row>
    <row r="7161" spans="1:11" ht="12.45">
      <c r="A7161" s="2" t="str">
        <f ca="1">IFERROR(__xludf.DUMMYFUNCTION("""COMPUTED_VALUE"""),"1759333940144")</f>
        <v>1759333940144</v>
      </c>
      <c r="B7161" s="2"/>
      <c r="C7161" s="2" t="str">
        <v>0</v>
      </c>
      <c r="D7161" s="2"/>
      <c r="F7161" s="2" t="str">
        <v>0</v>
      </c>
      <c r="I7161" s="3" t="str">
        <f ca="1">IFERROR(__xludf.DUMMYFUNCTION("""COMPUTED_VALUE"""),"Lù Thị Lan Hương")</f>
        <v>Lù Thị Lan Hương</v>
      </c>
      <c r="J7161" s="3" t="str">
        <f ca="1">IFERROR(__xludf.DUMMYFUNCTION("""COMPUTED_VALUE"""),"0976762226")</f>
        <v>0976762226</v>
      </c>
      <c r="K7161" s="2" t="str">
        <f ca="1">IFERROR(__xludf.DUMMYFUNCTION("""COMPUTED_VALUE"""),"1759333940144")</f>
        <v>1759333940144</v>
      </c>
    </row>
    <row r="7162" spans="1:11" ht="12.45">
      <c r="A7162" s="2" t="str">
        <f ca="1">IFERROR(__xludf.DUMMYFUNCTION("""COMPUTED_VALUE"""),"1759333969543")</f>
        <v>1759333969543</v>
      </c>
      <c r="B7162" s="2"/>
      <c r="C7162" s="2" t="str">
        <v>0</v>
      </c>
      <c r="D7162" s="2"/>
      <c r="F7162" s="2" t="str">
        <v>0</v>
      </c>
      <c r="I7162" s="3" t="str">
        <f ca="1">IFERROR(__xludf.DUMMYFUNCTION("""COMPUTED_VALUE"""),"Nguyễn Ánh Hồng")</f>
        <v>Nguyễn Ánh Hồng</v>
      </c>
      <c r="J7162" s="3" t="str">
        <f ca="1">IFERROR(__xludf.DUMMYFUNCTION("""COMPUTED_VALUE"""),"0368995902")</f>
        <v>0368995902</v>
      </c>
      <c r="K7162" s="2" t="str">
        <f ca="1">IFERROR(__xludf.DUMMYFUNCTION("""COMPUTED_VALUE"""),"1759333969543")</f>
        <v>1759333969543</v>
      </c>
    </row>
    <row r="7163" spans="1:11" ht="12.45">
      <c r="A7163" s="2" t="str">
        <f ca="1">IFERROR(__xludf.DUMMYFUNCTION("""COMPUTED_VALUE"""),"1759334009404")</f>
        <v>1759334009404</v>
      </c>
      <c r="B7163" s="2"/>
      <c r="C7163" s="2" t="str">
        <v>0</v>
      </c>
      <c r="D7163" s="2"/>
      <c r="F7163" s="2" t="str">
        <v>0</v>
      </c>
      <c r="I7163" s="3" t="str">
        <f ca="1">IFERROR(__xludf.DUMMYFUNCTION("""COMPUTED_VALUE"""),"Vũ Mai Tiến")</f>
        <v>Vũ Mai Tiến</v>
      </c>
      <c r="J7163" s="3" t="str">
        <f ca="1">IFERROR(__xludf.DUMMYFUNCTION("""COMPUTED_VALUE"""),"0813326236")</f>
        <v>0813326236</v>
      </c>
      <c r="K7163" s="2" t="str">
        <f ca="1">IFERROR(__xludf.DUMMYFUNCTION("""COMPUTED_VALUE"""),"1759334009404")</f>
        <v>1759334009404</v>
      </c>
    </row>
    <row r="7164" spans="1:11" ht="12.45">
      <c r="A7164" s="2" t="str">
        <f ca="1">IFERROR(__xludf.DUMMYFUNCTION("""COMPUTED_VALUE"""),"1759334063632")</f>
        <v>1759334063632</v>
      </c>
      <c r="B7164" s="2"/>
      <c r="C7164" s="2" t="str">
        <v>0</v>
      </c>
      <c r="D7164" s="2"/>
      <c r="F7164" s="2" t="str">
        <v>0</v>
      </c>
      <c r="I7164" s="3" t="str">
        <f ca="1">IFERROR(__xludf.DUMMYFUNCTION("""COMPUTED_VALUE"""),"Nguyễn Trung Thái")</f>
        <v>Nguyễn Trung Thái</v>
      </c>
      <c r="J7164" s="3" t="str">
        <f ca="1">IFERROR(__xludf.DUMMYFUNCTION("""COMPUTED_VALUE"""),"0937556897")</f>
        <v>0937556897</v>
      </c>
      <c r="K7164" s="2" t="str">
        <f ca="1">IFERROR(__xludf.DUMMYFUNCTION("""COMPUTED_VALUE"""),"1759334063632")</f>
        <v>1759334063632</v>
      </c>
    </row>
    <row r="7165" spans="1:11" ht="12.45">
      <c r="A7165" s="2" t="str">
        <f ca="1">IFERROR(__xludf.DUMMYFUNCTION("""COMPUTED_VALUE"""),"1762963609647")</f>
        <v>1762963609647</v>
      </c>
      <c r="B7165" s="2"/>
      <c r="C7165" s="2" t="str">
        <v>0</v>
      </c>
      <c r="D7165" s="2"/>
      <c r="F7165" s="2" t="str">
        <v>0</v>
      </c>
      <c r="I7165" s="3" t="str">
        <f ca="1">IFERROR(__xludf.DUMMYFUNCTION("""COMPUTED_VALUE"""),"Lê Khánh Hân")</f>
        <v>Lê Khánh Hân</v>
      </c>
      <c r="J7165" s="3" t="str">
        <f ca="1">IFERROR(__xludf.DUMMYFUNCTION("""COMPUTED_VALUE"""),"0762779106")</f>
        <v>0762779106</v>
      </c>
      <c r="K7165" s="2" t="str">
        <f ca="1">IFERROR(__xludf.DUMMYFUNCTION("""COMPUTED_VALUE"""),"1762963609647")</f>
        <v>1762963609647</v>
      </c>
    </row>
    <row r="7166" spans="1:11" ht="12.45">
      <c r="A7166" s="2" t="str">
        <f ca="1">IFERROR(__xludf.DUMMYFUNCTION("""COMPUTED_VALUE"""),"1762963659152")</f>
        <v>1762963659152</v>
      </c>
      <c r="B7166" s="2"/>
      <c r="C7166" s="2" t="str">
        <v>0</v>
      </c>
      <c r="D7166" s="2"/>
      <c r="F7166" s="2" t="str">
        <v>0</v>
      </c>
      <c r="I7166" s="3" t="str">
        <f ca="1">IFERROR(__xludf.DUMMYFUNCTION("""COMPUTED_VALUE"""),"Đỗ Thị Thảo Nhi")</f>
        <v>Đỗ Thị Thảo Nhi</v>
      </c>
      <c r="J7166" s="3" t="str">
        <f ca="1">IFERROR(__xludf.DUMMYFUNCTION("""COMPUTED_VALUE"""),"0913499976")</f>
        <v>0913499976</v>
      </c>
      <c r="K7166" s="2" t="str">
        <f ca="1">IFERROR(__xludf.DUMMYFUNCTION("""COMPUTED_VALUE"""),"1762963659152")</f>
        <v>1762963659152</v>
      </c>
    </row>
    <row r="7167" spans="1:11" ht="12.45">
      <c r="A7167" s="2" t="str">
        <f ca="1">IFERROR(__xludf.DUMMYFUNCTION("""COMPUTED_VALUE"""),"1762963735142")</f>
        <v>1762963735142</v>
      </c>
      <c r="B7167" s="2"/>
      <c r="C7167" s="2" t="str">
        <v>0</v>
      </c>
      <c r="D7167" s="2"/>
      <c r="F7167" s="2" t="str">
        <v>0</v>
      </c>
      <c r="I7167" s="3" t="str">
        <f ca="1">IFERROR(__xludf.DUMMYFUNCTION("""COMPUTED_VALUE"""),"Nguyễn Huyền Trâm")</f>
        <v>Nguyễn Huyền Trâm</v>
      </c>
      <c r="J7167" s="3" t="str">
        <f ca="1">IFERROR(__xludf.DUMMYFUNCTION("""COMPUTED_VALUE"""),"0389282276")</f>
        <v>0389282276</v>
      </c>
      <c r="K7167" s="2" t="str">
        <f ca="1">IFERROR(__xludf.DUMMYFUNCTION("""COMPUTED_VALUE"""),"1762963735142")</f>
        <v>1762963735142</v>
      </c>
    </row>
    <row r="7168" spans="1:11" ht="12.45">
      <c r="A7168" s="2" t="str">
        <f ca="1">IFERROR(__xludf.DUMMYFUNCTION("""COMPUTED_VALUE"""),"1762963801694")</f>
        <v>1762963801694</v>
      </c>
      <c r="B7168" s="2"/>
      <c r="C7168" s="2" t="str">
        <v>0</v>
      </c>
      <c r="D7168" s="2"/>
      <c r="F7168" s="2" t="str">
        <v>0</v>
      </c>
      <c r="I7168" s="3" t="str">
        <f ca="1">IFERROR(__xludf.DUMMYFUNCTION("""COMPUTED_VALUE"""),"Nguyễn Thị Vũ ")</f>
        <v xml:space="preserve">Nguyễn Thị Vũ </v>
      </c>
      <c r="J7168" s="3" t="str">
        <f ca="1">IFERROR(__xludf.DUMMYFUNCTION("""COMPUTED_VALUE"""),"0963869429")</f>
        <v>0963869429</v>
      </c>
      <c r="K7168" s="2" t="str">
        <f ca="1">IFERROR(__xludf.DUMMYFUNCTION("""COMPUTED_VALUE"""),"1762963801694")</f>
        <v>1762963801694</v>
      </c>
    </row>
    <row r="7169" spans="1:11" ht="12.45">
      <c r="A7169" s="2" t="str">
        <f ca="1">IFERROR(__xludf.DUMMYFUNCTION("""COMPUTED_VALUE"""),"1762963840987")</f>
        <v>1762963840987</v>
      </c>
      <c r="B7169" s="2"/>
      <c r="C7169" s="2" t="str">
        <v>0</v>
      </c>
      <c r="D7169" s="2"/>
      <c r="F7169" s="2" t="str">
        <v>0</v>
      </c>
      <c r="I7169" s="3" t="str">
        <f ca="1">IFERROR(__xludf.DUMMYFUNCTION("""COMPUTED_VALUE"""),"Nguyễn Thị Anh Thư")</f>
        <v>Nguyễn Thị Anh Thư</v>
      </c>
      <c r="J7169" s="3" t="str">
        <f ca="1">IFERROR(__xludf.DUMMYFUNCTION("""COMPUTED_VALUE"""),"0966799655")</f>
        <v>0966799655</v>
      </c>
      <c r="K7169" s="2" t="str">
        <f ca="1">IFERROR(__xludf.DUMMYFUNCTION("""COMPUTED_VALUE"""),"1762963840987")</f>
        <v>1762963840987</v>
      </c>
    </row>
    <row r="7170" spans="1:11" ht="12.45">
      <c r="A7170" s="2" t="str">
        <f ca="1">IFERROR(__xludf.DUMMYFUNCTION("""COMPUTED_VALUE"""),"1762963953258")</f>
        <v>1762963953258</v>
      </c>
      <c r="B7170" s="2"/>
      <c r="C7170" s="2" t="str">
        <v>0</v>
      </c>
      <c r="D7170" s="2"/>
      <c r="F7170" s="2" t="str">
        <v>0</v>
      </c>
      <c r="I7170" s="3" t="str">
        <f ca="1">IFERROR(__xludf.DUMMYFUNCTION("""COMPUTED_VALUE"""),"Đoàn Huỳnh Thảo Như")</f>
        <v>Đoàn Huỳnh Thảo Như</v>
      </c>
      <c r="J7170" s="3" t="str">
        <f ca="1">IFERROR(__xludf.DUMMYFUNCTION("""COMPUTED_VALUE"""),"0934995423")</f>
        <v>0934995423</v>
      </c>
      <c r="K7170" s="2" t="str">
        <f ca="1">IFERROR(__xludf.DUMMYFUNCTION("""COMPUTED_VALUE"""),"1762963953258")</f>
        <v>1762963953258</v>
      </c>
    </row>
    <row r="7171" spans="1:11" ht="12.45">
      <c r="A7171" s="2" t="str">
        <f ca="1">IFERROR(__xludf.DUMMYFUNCTION("""COMPUTED_VALUE"""),"1762964084394")</f>
        <v>1762964084394</v>
      </c>
      <c r="B7171" s="2"/>
      <c r="C7171" s="2" t="str">
        <v>0</v>
      </c>
      <c r="D7171" s="2"/>
      <c r="F7171" s="2" t="str">
        <v>0</v>
      </c>
      <c r="I7171" s="3" t="str">
        <f ca="1">IFERROR(__xludf.DUMMYFUNCTION("""COMPUTED_VALUE"""),"Phạm Thị Hằng")</f>
        <v>Phạm Thị Hằng</v>
      </c>
      <c r="J7171" s="3" t="str">
        <f ca="1">IFERROR(__xludf.DUMMYFUNCTION("""COMPUTED_VALUE"""),"0969451172")</f>
        <v>0969451172</v>
      </c>
      <c r="K7171" s="2" t="str">
        <f ca="1">IFERROR(__xludf.DUMMYFUNCTION("""COMPUTED_VALUE"""),"1762964084394")</f>
        <v>1762964084394</v>
      </c>
    </row>
    <row r="7172" spans="1:11" ht="12.45">
      <c r="A7172" s="2" t="str">
        <f ca="1">IFERROR(__xludf.DUMMYFUNCTION("""COMPUTED_VALUE"""),"1762964211292")</f>
        <v>1762964211292</v>
      </c>
      <c r="B7172" s="2"/>
      <c r="C7172" s="2" t="str">
        <v>0</v>
      </c>
      <c r="D7172" s="2"/>
      <c r="F7172" s="2" t="str">
        <v>0</v>
      </c>
      <c r="I7172" s="3" t="str">
        <f ca="1">IFERROR(__xludf.DUMMYFUNCTION("""COMPUTED_VALUE"""),"Lê Nguyễn Xuân Hoa")</f>
        <v>Lê Nguyễn Xuân Hoa</v>
      </c>
      <c r="J7172" s="3" t="str">
        <f ca="1">IFERROR(__xludf.DUMMYFUNCTION("""COMPUTED_VALUE"""),"0965504273")</f>
        <v>0965504273</v>
      </c>
      <c r="K7172" s="2" t="str">
        <f ca="1">IFERROR(__xludf.DUMMYFUNCTION("""COMPUTED_VALUE"""),"1762964211292")</f>
        <v>1762964211292</v>
      </c>
    </row>
    <row r="7173" spans="1:11" ht="12.45">
      <c r="A7173" s="2" t="str">
        <f ca="1">IFERROR(__xludf.DUMMYFUNCTION("""COMPUTED_VALUE"""),"1762964301855")</f>
        <v>1762964301855</v>
      </c>
      <c r="B7173" s="2"/>
      <c r="C7173" s="2" t="str">
        <v>0</v>
      </c>
      <c r="D7173" s="2"/>
      <c r="F7173" s="2" t="str">
        <v>0</v>
      </c>
      <c r="I7173" s="3" t="str">
        <f ca="1">IFERROR(__xludf.DUMMYFUNCTION("""COMPUTED_VALUE"""),"Nguyễn Kiều Trang")</f>
        <v>Nguyễn Kiều Trang</v>
      </c>
      <c r="J7173" s="3" t="str">
        <f ca="1">IFERROR(__xludf.DUMMYFUNCTION("""COMPUTED_VALUE"""),"0328705578")</f>
        <v>0328705578</v>
      </c>
      <c r="K7173" s="2" t="str">
        <f ca="1">IFERROR(__xludf.DUMMYFUNCTION("""COMPUTED_VALUE"""),"1762964301855")</f>
        <v>1762964301855</v>
      </c>
    </row>
    <row r="7174" spans="1:11" ht="12.45">
      <c r="A7174" s="2" t="str">
        <f ca="1">IFERROR(__xludf.DUMMYFUNCTION("""COMPUTED_VALUE"""),"1762964370180")</f>
        <v>1762964370180</v>
      </c>
      <c r="B7174" s="2"/>
      <c r="C7174" s="2" t="str">
        <v>0</v>
      </c>
      <c r="D7174" s="2"/>
      <c r="F7174" s="2" t="str">
        <v>0</v>
      </c>
      <c r="I7174" s="3" t="str">
        <f ca="1">IFERROR(__xludf.DUMMYFUNCTION("""COMPUTED_VALUE"""),"Phạm Thủy Tiên ")</f>
        <v xml:space="preserve">Phạm Thủy Tiên </v>
      </c>
      <c r="J7174" s="3" t="str">
        <f ca="1">IFERROR(__xludf.DUMMYFUNCTION("""COMPUTED_VALUE"""),"0333871796")</f>
        <v>0333871796</v>
      </c>
      <c r="K7174" s="2" t="str">
        <f ca="1">IFERROR(__xludf.DUMMYFUNCTION("""COMPUTED_VALUE"""),"1762964370180")</f>
        <v>1762964370180</v>
      </c>
    </row>
    <row r="7175" spans="1:11" ht="12.45">
      <c r="A7175" s="2" t="str">
        <f ca="1">IFERROR(__xludf.DUMMYFUNCTION("""COMPUTED_VALUE"""),"1762964463514")</f>
        <v>1762964463514</v>
      </c>
      <c r="B7175" s="2"/>
      <c r="C7175" s="2" t="str">
        <v>0</v>
      </c>
      <c r="D7175" s="2"/>
      <c r="F7175" s="2" t="str">
        <v>0</v>
      </c>
      <c r="I7175" s="3" t="str">
        <f ca="1">IFERROR(__xludf.DUMMYFUNCTION("""COMPUTED_VALUE"""),"Thạch Minh Thiện ")</f>
        <v xml:space="preserve">Thạch Minh Thiện </v>
      </c>
      <c r="J7175" s="3" t="str">
        <f ca="1">IFERROR(__xludf.DUMMYFUNCTION("""COMPUTED_VALUE"""),"0356936377")</f>
        <v>0356936377</v>
      </c>
      <c r="K7175" s="2" t="str">
        <f ca="1">IFERROR(__xludf.DUMMYFUNCTION("""COMPUTED_VALUE"""),"1762964463514")</f>
        <v>1762964463514</v>
      </c>
    </row>
    <row r="7176" spans="1:11" ht="12.45">
      <c r="A7176" s="2" t="str">
        <f ca="1">IFERROR(__xludf.DUMMYFUNCTION("""COMPUTED_VALUE"""),"1762964504382")</f>
        <v>1762964504382</v>
      </c>
      <c r="B7176" s="2"/>
      <c r="C7176" s="2" t="str">
        <v>0</v>
      </c>
      <c r="D7176" s="2"/>
      <c r="F7176" s="2" t="str">
        <v>0</v>
      </c>
      <c r="I7176" s="3" t="str">
        <f ca="1">IFERROR(__xludf.DUMMYFUNCTION("""COMPUTED_VALUE"""),"Nguyễn Ngọc Kiều ")</f>
        <v xml:space="preserve">Nguyễn Ngọc Kiều </v>
      </c>
      <c r="J7176" s="3" t="str">
        <f ca="1">IFERROR(__xludf.DUMMYFUNCTION("""COMPUTED_VALUE"""),"0363573776")</f>
        <v>0363573776</v>
      </c>
      <c r="K7176" s="2" t="str">
        <f ca="1">IFERROR(__xludf.DUMMYFUNCTION("""COMPUTED_VALUE"""),"1762964504382")</f>
        <v>1762964504382</v>
      </c>
    </row>
    <row r="7177" spans="1:11" ht="12.45">
      <c r="A7177" s="2" t="str">
        <f ca="1">IFERROR(__xludf.DUMMYFUNCTION("""COMPUTED_VALUE"""),"1762964558279")</f>
        <v>1762964558279</v>
      </c>
      <c r="B7177" s="2"/>
      <c r="C7177" s="2" t="str">
        <v>0</v>
      </c>
      <c r="D7177" s="2"/>
      <c r="F7177" s="2" t="str">
        <v>0</v>
      </c>
      <c r="I7177" s="3" t="str">
        <f ca="1">IFERROR(__xludf.DUMMYFUNCTION("""COMPUTED_VALUE"""),"Phạm Anh Tuấn")</f>
        <v>Phạm Anh Tuấn</v>
      </c>
      <c r="J7177" s="3" t="str">
        <f ca="1">IFERROR(__xludf.DUMMYFUNCTION("""COMPUTED_VALUE"""),"0386171767")</f>
        <v>0386171767</v>
      </c>
      <c r="K7177" s="2" t="str">
        <f ca="1">IFERROR(__xludf.DUMMYFUNCTION("""COMPUTED_VALUE"""),"1762964558279")</f>
        <v>1762964558279</v>
      </c>
    </row>
    <row r="7178" spans="1:11" ht="12.45">
      <c r="A7178" s="2" t="str">
        <f ca="1">IFERROR(__xludf.DUMMYFUNCTION("""COMPUTED_VALUE"""),"1762964614139")</f>
        <v>1762964614139</v>
      </c>
      <c r="B7178" s="2"/>
      <c r="C7178" s="2" t="str">
        <v>0</v>
      </c>
      <c r="D7178" s="2"/>
      <c r="F7178" s="2" t="str">
        <v>0</v>
      </c>
      <c r="I7178" s="3" t="str">
        <f ca="1">IFERROR(__xludf.DUMMYFUNCTION("""COMPUTED_VALUE"""),"Nguyễn Ngọc Thuý Vy ")</f>
        <v xml:space="preserve">Nguyễn Ngọc Thuý Vy </v>
      </c>
      <c r="J7178" s="3" t="str">
        <f ca="1">IFERROR(__xludf.DUMMYFUNCTION("""COMPUTED_VALUE"""),"0706805119")</f>
        <v>0706805119</v>
      </c>
      <c r="K7178" s="2" t="str">
        <f ca="1">IFERROR(__xludf.DUMMYFUNCTION("""COMPUTED_VALUE"""),"1762964614139")</f>
        <v>1762964614139</v>
      </c>
    </row>
    <row r="7179" spans="1:11" ht="12.45">
      <c r="A7179" s="2" t="str">
        <f ca="1">IFERROR(__xludf.DUMMYFUNCTION("""COMPUTED_VALUE"""),"1762964657790")</f>
        <v>1762964657790</v>
      </c>
      <c r="B7179" s="2"/>
      <c r="C7179" s="2" t="str">
        <v>0</v>
      </c>
      <c r="D7179" s="2"/>
      <c r="F7179" s="2" t="str">
        <v>0</v>
      </c>
      <c r="I7179" s="3" t="str">
        <f ca="1">IFERROR(__xludf.DUMMYFUNCTION("""COMPUTED_VALUE"""),"Quàng Thu Trang")</f>
        <v>Quàng Thu Trang</v>
      </c>
      <c r="J7179" s="3" t="str">
        <f ca="1">IFERROR(__xludf.DUMMYFUNCTION("""COMPUTED_VALUE"""),"0388058812")</f>
        <v>0388058812</v>
      </c>
      <c r="K7179" s="2" t="str">
        <f ca="1">IFERROR(__xludf.DUMMYFUNCTION("""COMPUTED_VALUE"""),"1762964657790")</f>
        <v>1762964657790</v>
      </c>
    </row>
    <row r="7180" spans="1:11" ht="12.45">
      <c r="A7180" s="2" t="str">
        <f ca="1">IFERROR(__xludf.DUMMYFUNCTION("""COMPUTED_VALUE"""),"1762964694096")</f>
        <v>1762964694096</v>
      </c>
      <c r="B7180" s="2"/>
      <c r="C7180" s="2" t="str">
        <v>0</v>
      </c>
      <c r="D7180" s="2"/>
      <c r="F7180" s="2" t="str">
        <v>0</v>
      </c>
      <c r="I7180" s="3" t="str">
        <f ca="1">IFERROR(__xludf.DUMMYFUNCTION("""COMPUTED_VALUE"""),"Lê Minh Huyền")</f>
        <v>Lê Minh Huyền</v>
      </c>
      <c r="J7180" s="3" t="str">
        <f ca="1">IFERROR(__xludf.DUMMYFUNCTION("""COMPUTED_VALUE"""),"0974077806")</f>
        <v>0974077806</v>
      </c>
      <c r="K7180" s="2" t="str">
        <f ca="1">IFERROR(__xludf.DUMMYFUNCTION("""COMPUTED_VALUE"""),"1762964694096")</f>
        <v>1762964694096</v>
      </c>
    </row>
    <row r="7181" spans="1:11" ht="12.45">
      <c r="A7181" s="2" t="str">
        <f ca="1">IFERROR(__xludf.DUMMYFUNCTION("""COMPUTED_VALUE"""),"1762964745056")</f>
        <v>1762964745056</v>
      </c>
      <c r="B7181" s="2"/>
      <c r="C7181" s="2" t="str">
        <v>0</v>
      </c>
      <c r="D7181" s="2"/>
      <c r="F7181" s="2" t="str">
        <v>0</v>
      </c>
      <c r="I7181" s="3" t="str">
        <f ca="1">IFERROR(__xludf.DUMMYFUNCTION("""COMPUTED_VALUE"""),"Nguyễn Ngọc Bảo Trâm")</f>
        <v>Nguyễn Ngọc Bảo Trâm</v>
      </c>
      <c r="J7181" s="3" t="str">
        <f ca="1">IFERROR(__xludf.DUMMYFUNCTION("""COMPUTED_VALUE"""),"0924122160")</f>
        <v>0924122160</v>
      </c>
      <c r="K7181" s="2" t="str">
        <f ca="1">IFERROR(__xludf.DUMMYFUNCTION("""COMPUTED_VALUE"""),"1762964745056")</f>
        <v>1762964745056</v>
      </c>
    </row>
    <row r="7182" spans="1:11" ht="12.45">
      <c r="A7182" s="2" t="str">
        <f ca="1">IFERROR(__xludf.DUMMYFUNCTION("""COMPUTED_VALUE"""),"1762964784725")</f>
        <v>1762964784725</v>
      </c>
      <c r="B7182" s="2"/>
      <c r="C7182" s="2" t="str">
        <v>0</v>
      </c>
      <c r="D7182" s="2"/>
      <c r="F7182" s="2" t="str">
        <v>0</v>
      </c>
      <c r="I7182" s="3" t="str">
        <f ca="1">IFERROR(__xludf.DUMMYFUNCTION("""COMPUTED_VALUE"""),"Dương Quốc Khánh ")</f>
        <v xml:space="preserve">Dương Quốc Khánh </v>
      </c>
      <c r="J7182" s="3" t="str">
        <f ca="1">IFERROR(__xludf.DUMMYFUNCTION("""COMPUTED_VALUE"""),"0782826664")</f>
        <v>0782826664</v>
      </c>
      <c r="K7182" s="2" t="str">
        <f ca="1">IFERROR(__xludf.DUMMYFUNCTION("""COMPUTED_VALUE"""),"1762964784725")</f>
        <v>1762964784725</v>
      </c>
    </row>
    <row r="7183" spans="1:11" ht="12.45">
      <c r="A7183" s="2" t="str">
        <f ca="1">IFERROR(__xludf.DUMMYFUNCTION("""COMPUTED_VALUE"""),"1762964821800")</f>
        <v>1762964821800</v>
      </c>
      <c r="B7183" s="2"/>
      <c r="C7183" s="2" t="str">
        <v>0</v>
      </c>
      <c r="D7183" s="2"/>
      <c r="F7183" s="2" t="str">
        <v>0</v>
      </c>
      <c r="I7183" s="3" t="str">
        <f ca="1">IFERROR(__xludf.DUMMYFUNCTION("""COMPUTED_VALUE"""),"Phạm Đức Vượng")</f>
        <v>Phạm Đức Vượng</v>
      </c>
      <c r="J7183" s="3" t="str">
        <f ca="1">IFERROR(__xludf.DUMMYFUNCTION("""COMPUTED_VALUE"""),"0917292195")</f>
        <v>0917292195</v>
      </c>
      <c r="K7183" s="2" t="str">
        <f ca="1">IFERROR(__xludf.DUMMYFUNCTION("""COMPUTED_VALUE"""),"1762964821800")</f>
        <v>1762964821800</v>
      </c>
    </row>
    <row r="7184" spans="1:11" ht="12.45">
      <c r="A7184" s="2" t="str">
        <f ca="1">IFERROR(__xludf.DUMMYFUNCTION("""COMPUTED_VALUE"""),"1762964858298")</f>
        <v>1762964858298</v>
      </c>
      <c r="B7184" s="2"/>
      <c r="C7184" s="2" t="str">
        <v>0</v>
      </c>
      <c r="D7184" s="2"/>
      <c r="F7184" s="2" t="str">
        <v>0</v>
      </c>
      <c r="I7184" s="3" t="str">
        <f ca="1">IFERROR(__xludf.DUMMYFUNCTION("""COMPUTED_VALUE"""),"Huỳnh Thị Hạnh Nguyên")</f>
        <v>Huỳnh Thị Hạnh Nguyên</v>
      </c>
      <c r="J7184" s="3" t="str">
        <f ca="1">IFERROR(__xludf.DUMMYFUNCTION("""COMPUTED_VALUE"""),"0388249194")</f>
        <v>0388249194</v>
      </c>
      <c r="K7184" s="2" t="str">
        <f ca="1">IFERROR(__xludf.DUMMYFUNCTION("""COMPUTED_VALUE"""),"1762964858298")</f>
        <v>1762964858298</v>
      </c>
    </row>
    <row r="7185" spans="1:11" ht="12.45">
      <c r="A7185" s="2" t="str">
        <f ca="1">IFERROR(__xludf.DUMMYFUNCTION("""COMPUTED_VALUE"""),"1742996119269")</f>
        <v>1742996119269</v>
      </c>
      <c r="B7185" s="2"/>
      <c r="C7185" s="2" t="str">
        <v>0</v>
      </c>
      <c r="D7185" s="2"/>
      <c r="F7185" s="2" t="str">
        <v>0</v>
      </c>
      <c r="I7185" s="3" t="str">
        <f ca="1">IFERROR(__xludf.DUMMYFUNCTION("""COMPUTED_VALUE"""),"Lê Thị Thanh Ngân")</f>
        <v>Lê Thị Thanh Ngân</v>
      </c>
      <c r="J7185" s="3" t="str">
        <f ca="1">IFERROR(__xludf.DUMMYFUNCTION("""COMPUTED_VALUE"""),"0983854230")</f>
        <v>0983854230</v>
      </c>
      <c r="K7185" s="2" t="str">
        <f ca="1">IFERROR(__xludf.DUMMYFUNCTION("""COMPUTED_VALUE"""),"1742996119269")</f>
        <v>1742996119269</v>
      </c>
    </row>
    <row r="7186" spans="1:11" ht="12.45">
      <c r="A7186" s="2" t="str">
        <f ca="1">IFERROR(__xludf.DUMMYFUNCTION("""COMPUTED_VALUE"""),"1742996186765")</f>
        <v>1742996186765</v>
      </c>
      <c r="B7186" s="2"/>
      <c r="C7186" s="2" t="str">
        <v>0</v>
      </c>
      <c r="D7186" s="2"/>
      <c r="F7186" s="2" t="str">
        <v>0</v>
      </c>
      <c r="I7186" s="3" t="str">
        <f ca="1">IFERROR(__xludf.DUMMYFUNCTION("""COMPUTED_VALUE"""),"Nguyễn Huy Toàn")</f>
        <v>Nguyễn Huy Toàn</v>
      </c>
      <c r="J7186" s="3" t="str">
        <f ca="1">IFERROR(__xludf.DUMMYFUNCTION("""COMPUTED_VALUE"""),"0769591518")</f>
        <v>0769591518</v>
      </c>
      <c r="K7186" s="2" t="str">
        <f ca="1">IFERROR(__xludf.DUMMYFUNCTION("""COMPUTED_VALUE"""),"1742996186765")</f>
        <v>1742996186765</v>
      </c>
    </row>
    <row r="7187" spans="1:11" ht="12.45">
      <c r="A7187" s="2" t="str">
        <f ca="1">IFERROR(__xludf.DUMMYFUNCTION("""COMPUTED_VALUE"""),"1742996243391")</f>
        <v>1742996243391</v>
      </c>
      <c r="B7187" s="2"/>
      <c r="C7187" s="2" t="str">
        <v>0</v>
      </c>
      <c r="D7187" s="2"/>
      <c r="F7187" s="2" t="str">
        <v>0</v>
      </c>
      <c r="I7187" s="3" t="str">
        <f ca="1">IFERROR(__xludf.DUMMYFUNCTION("""COMPUTED_VALUE"""),"Nguyễn Hùng Khôi")</f>
        <v>Nguyễn Hùng Khôi</v>
      </c>
      <c r="J7187" s="3" t="str">
        <f ca="1">IFERROR(__xludf.DUMMYFUNCTION("""COMPUTED_VALUE"""),"0975918252")</f>
        <v>0975918252</v>
      </c>
      <c r="K7187" s="2" t="str">
        <f ca="1">IFERROR(__xludf.DUMMYFUNCTION("""COMPUTED_VALUE"""),"1742996243391")</f>
        <v>1742996243391</v>
      </c>
    </row>
    <row r="7188" spans="1:11" ht="12.45">
      <c r="A7188" s="2"/>
      <c r="B7188" s="2"/>
      <c r="C7188" s="2" t="str">
        <v>0</v>
      </c>
      <c r="D7188" s="2"/>
      <c r="F7188" s="2" t="str">
        <v>0</v>
      </c>
      <c r="I7188" s="3" t="str">
        <f ca="1">IFERROR(__xludf.DUMMYFUNCTION("""COMPUTED_VALUE"""),"Nguyễn Trí Dũng")</f>
        <v>Nguyễn Trí Dũng</v>
      </c>
      <c r="J7188" s="3" t="str">
        <f ca="1">IFERROR(__xludf.DUMMYFUNCTION("""COMPUTED_VALUE"""),"0376690116")</f>
        <v>0376690116</v>
      </c>
      <c r="K7188" s="2"/>
    </row>
    <row r="7189" spans="1:11" ht="12.45">
      <c r="A7189" s="2" t="str">
        <f ca="1">IFERROR(__xludf.DUMMYFUNCTION("""COMPUTED_VALUE"""),"1742996318541")</f>
        <v>1742996318541</v>
      </c>
      <c r="B7189" s="2"/>
      <c r="C7189" s="2" t="str">
        <v>0</v>
      </c>
      <c r="D7189" s="2"/>
      <c r="F7189" s="2" t="str">
        <v>0</v>
      </c>
      <c r="I7189" s="3" t="str">
        <f ca="1">IFERROR(__xludf.DUMMYFUNCTION("""COMPUTED_VALUE"""),"Ngô Lệ Quyên")</f>
        <v>Ngô Lệ Quyên</v>
      </c>
      <c r="J7189" s="3" t="str">
        <f ca="1">IFERROR(__xludf.DUMMYFUNCTION("""COMPUTED_VALUE"""),"0976821329")</f>
        <v>0976821329</v>
      </c>
      <c r="K7189" s="2" t="str">
        <f ca="1">IFERROR(__xludf.DUMMYFUNCTION("""COMPUTED_VALUE"""),"1742996318541")</f>
        <v>1742996318541</v>
      </c>
    </row>
    <row r="7190" spans="1:11" ht="12.45">
      <c r="A7190" s="2" t="str">
        <f ca="1">IFERROR(__xludf.DUMMYFUNCTION("""COMPUTED_VALUE"""),"1759334100762")</f>
        <v>1759334100762</v>
      </c>
      <c r="B7190" s="2"/>
      <c r="C7190" s="2" t="str">
        <v>0</v>
      </c>
      <c r="D7190" s="2"/>
      <c r="F7190" s="2" t="str">
        <v>0</v>
      </c>
      <c r="I7190" s="3" t="str">
        <f ca="1">IFERROR(__xludf.DUMMYFUNCTION("""COMPUTED_VALUE"""),"Huỳnh Thị Kim Tiến")</f>
        <v>Huỳnh Thị Kim Tiến</v>
      </c>
      <c r="J7190" s="3" t="str">
        <f ca="1">IFERROR(__xludf.DUMMYFUNCTION("""COMPUTED_VALUE"""),"0332764585")</f>
        <v>0332764585</v>
      </c>
      <c r="K7190" s="2" t="str">
        <f ca="1">IFERROR(__xludf.DUMMYFUNCTION("""COMPUTED_VALUE"""),"1759334100762")</f>
        <v>1759334100762</v>
      </c>
    </row>
    <row r="7191" spans="1:11" ht="12.45">
      <c r="A7191" s="2" t="str">
        <f ca="1">IFERROR(__xludf.DUMMYFUNCTION("""COMPUTED_VALUE"""),"1742996417425")</f>
        <v>1742996417425</v>
      </c>
      <c r="B7191" s="2"/>
      <c r="C7191" s="2" t="str">
        <v>0</v>
      </c>
      <c r="D7191" s="2"/>
      <c r="F7191" s="2" t="str">
        <v>0</v>
      </c>
      <c r="I7191" s="3" t="str">
        <f ca="1">IFERROR(__xludf.DUMMYFUNCTION("""COMPUTED_VALUE"""),"Nguyễn Thị Ngọc Anh")</f>
        <v>Nguyễn Thị Ngọc Anh</v>
      </c>
      <c r="J7191" s="3" t="str">
        <f ca="1">IFERROR(__xludf.DUMMYFUNCTION("""COMPUTED_VALUE"""),"0348852877")</f>
        <v>0348852877</v>
      </c>
      <c r="K7191" s="2" t="str">
        <f ca="1">IFERROR(__xludf.DUMMYFUNCTION("""COMPUTED_VALUE"""),"1742996417425")</f>
        <v>1742996417425</v>
      </c>
    </row>
    <row r="7192" spans="1:11" ht="12.45">
      <c r="A7192" s="2" t="str">
        <f ca="1">IFERROR(__xludf.DUMMYFUNCTION("""COMPUTED_VALUE"""),"1742996495190")</f>
        <v>1742996495190</v>
      </c>
      <c r="B7192" s="2"/>
      <c r="C7192" s="2" t="str">
        <v>0</v>
      </c>
      <c r="D7192" s="2"/>
      <c r="F7192" s="2" t="str">
        <v>0</v>
      </c>
      <c r="I7192" s="3" t="str">
        <f ca="1">IFERROR(__xludf.DUMMYFUNCTION("""COMPUTED_VALUE"""),"Nguyễn Thị Hương")</f>
        <v>Nguyễn Thị Hương</v>
      </c>
      <c r="J7192" s="3" t="str">
        <f ca="1">IFERROR(__xludf.DUMMYFUNCTION("""COMPUTED_VALUE"""),"0368935094")</f>
        <v>0368935094</v>
      </c>
      <c r="K7192" s="2" t="str">
        <f ca="1">IFERROR(__xludf.DUMMYFUNCTION("""COMPUTED_VALUE"""),"1742996495190")</f>
        <v>1742996495190</v>
      </c>
    </row>
    <row r="7193" spans="1:11" ht="12.45">
      <c r="A7193" s="2" t="str">
        <f ca="1">IFERROR(__xludf.DUMMYFUNCTION("""COMPUTED_VALUE"""),"1742996596672")</f>
        <v>1742996596672</v>
      </c>
      <c r="B7193" s="2"/>
      <c r="C7193" s="2" t="str">
        <v>0</v>
      </c>
      <c r="D7193" s="2"/>
      <c r="F7193" s="2" t="str">
        <v>0</v>
      </c>
      <c r="I7193" s="3" t="str">
        <f ca="1">IFERROR(__xludf.DUMMYFUNCTION("""COMPUTED_VALUE"""),"Phạm Tuấn Tú")</f>
        <v>Phạm Tuấn Tú</v>
      </c>
      <c r="J7193" s="3" t="str">
        <f ca="1">IFERROR(__xludf.DUMMYFUNCTION("""COMPUTED_VALUE"""),"0988037562")</f>
        <v>0988037562</v>
      </c>
      <c r="K7193" s="2" t="str">
        <f ca="1">IFERROR(__xludf.DUMMYFUNCTION("""COMPUTED_VALUE"""),"1742996596672")</f>
        <v>1742996596672</v>
      </c>
    </row>
    <row r="7194" spans="1:11" ht="12.45">
      <c r="A7194" s="2" t="str">
        <f ca="1">IFERROR(__xludf.DUMMYFUNCTION("""COMPUTED_VALUE"""),"1742996688090")</f>
        <v>1742996688090</v>
      </c>
      <c r="B7194" s="2"/>
      <c r="C7194" s="2" t="str">
        <v>0</v>
      </c>
      <c r="D7194" s="2"/>
      <c r="F7194" s="2" t="str">
        <v>0</v>
      </c>
      <c r="I7194" s="3" t="str">
        <f ca="1">IFERROR(__xludf.DUMMYFUNCTION("""COMPUTED_VALUE"""),"Hoàng Hồ Huyền Chân")</f>
        <v>Hoàng Hồ Huyền Chân</v>
      </c>
      <c r="J7194" s="3" t="str">
        <f ca="1">IFERROR(__xludf.DUMMYFUNCTION("""COMPUTED_VALUE"""),"0386128121")</f>
        <v>0386128121</v>
      </c>
      <c r="K7194" s="2" t="str">
        <f ca="1">IFERROR(__xludf.DUMMYFUNCTION("""COMPUTED_VALUE"""),"1742996688090")</f>
        <v>1742996688090</v>
      </c>
    </row>
    <row r="7195" spans="1:11" ht="12.45">
      <c r="A7195" s="2" t="str">
        <f ca="1">IFERROR(__xludf.DUMMYFUNCTION("""COMPUTED_VALUE"""),"1742996769601")</f>
        <v>1742996769601</v>
      </c>
      <c r="B7195" s="2"/>
      <c r="C7195" s="2" t="str">
        <v>0</v>
      </c>
      <c r="D7195" s="2"/>
      <c r="F7195" s="2" t="str">
        <v>0</v>
      </c>
      <c r="I7195" s="3" t="str">
        <f ca="1">IFERROR(__xludf.DUMMYFUNCTION("""COMPUTED_VALUE"""),"Đỗ Phương Thảo")</f>
        <v>Đỗ Phương Thảo</v>
      </c>
      <c r="J7195" s="3" t="str">
        <f ca="1">IFERROR(__xludf.DUMMYFUNCTION("""COMPUTED_VALUE"""),"0373091647")</f>
        <v>0373091647</v>
      </c>
      <c r="K7195" s="2" t="str">
        <f ca="1">IFERROR(__xludf.DUMMYFUNCTION("""COMPUTED_VALUE"""),"1742996769601")</f>
        <v>1742996769601</v>
      </c>
    </row>
    <row r="7196" spans="1:11" ht="12.45">
      <c r="A7196" s="2" t="str">
        <f ca="1">IFERROR(__xludf.DUMMYFUNCTION("""COMPUTED_VALUE"""),"1742996831266")</f>
        <v>1742996831266</v>
      </c>
      <c r="B7196" s="2"/>
      <c r="C7196" s="2" t="str">
        <v>0</v>
      </c>
      <c r="D7196" s="2"/>
      <c r="F7196" s="2" t="str">
        <v>0</v>
      </c>
      <c r="I7196" s="3" t="str">
        <f ca="1">IFERROR(__xludf.DUMMYFUNCTION("""COMPUTED_VALUE"""),"Hứa Thị Lê Na ")</f>
        <v xml:space="preserve">Hứa Thị Lê Na </v>
      </c>
      <c r="J7196" s="3" t="str">
        <f ca="1">IFERROR(__xludf.DUMMYFUNCTION("""COMPUTED_VALUE"""),"0347284526")</f>
        <v>0347284526</v>
      </c>
      <c r="K7196" s="2" t="str">
        <f ca="1">IFERROR(__xludf.DUMMYFUNCTION("""COMPUTED_VALUE"""),"1742996831266")</f>
        <v>1742996831266</v>
      </c>
    </row>
    <row r="7197" spans="1:11" ht="12.45">
      <c r="A7197" s="2" t="str">
        <f ca="1">IFERROR(__xludf.DUMMYFUNCTION("""COMPUTED_VALUE"""),"1742996887799")</f>
        <v>1742996887799</v>
      </c>
      <c r="B7197" s="2"/>
      <c r="C7197" s="2" t="str">
        <v>0</v>
      </c>
      <c r="D7197" s="2"/>
      <c r="F7197" s="2" t="str">
        <v>0</v>
      </c>
      <c r="I7197" s="3" t="str">
        <f ca="1">IFERROR(__xludf.DUMMYFUNCTION("""COMPUTED_VALUE"""),"Nguyễn Đình Dũng")</f>
        <v>Nguyễn Đình Dũng</v>
      </c>
      <c r="J7197" s="3" t="str">
        <f ca="1">IFERROR(__xludf.DUMMYFUNCTION("""COMPUTED_VALUE"""),"0985065162")</f>
        <v>0985065162</v>
      </c>
      <c r="K7197" s="2" t="str">
        <f ca="1">IFERROR(__xludf.DUMMYFUNCTION("""COMPUTED_VALUE"""),"1742996887799")</f>
        <v>1742996887799</v>
      </c>
    </row>
    <row r="7198" spans="1:11" ht="12.45">
      <c r="A7198" s="2" t="str">
        <f ca="1">IFERROR(__xludf.DUMMYFUNCTION("""COMPUTED_VALUE"""),"1742996960978")</f>
        <v>1742996960978</v>
      </c>
      <c r="B7198" s="2"/>
      <c r="C7198" s="2" t="str">
        <v>0</v>
      </c>
      <c r="D7198" s="2"/>
      <c r="F7198" s="2" t="str">
        <v>0</v>
      </c>
      <c r="I7198" s="3" t="str">
        <f ca="1">IFERROR(__xludf.DUMMYFUNCTION("""COMPUTED_VALUE"""),"Lê Bích Ngọc")</f>
        <v>Lê Bích Ngọc</v>
      </c>
      <c r="J7198" s="3" t="str">
        <f ca="1">IFERROR(__xludf.DUMMYFUNCTION("""COMPUTED_VALUE"""),"0376339966")</f>
        <v>0376339966</v>
      </c>
      <c r="K7198" s="2" t="str">
        <f ca="1">IFERROR(__xludf.DUMMYFUNCTION("""COMPUTED_VALUE"""),"1742996960978")</f>
        <v>1742996960978</v>
      </c>
    </row>
    <row r="7199" spans="1:11" ht="12.45">
      <c r="A7199" s="2" t="str">
        <f ca="1">IFERROR(__xludf.DUMMYFUNCTION("""COMPUTED_VALUE"""),"1742997063887")</f>
        <v>1742997063887</v>
      </c>
      <c r="B7199" s="2"/>
      <c r="C7199" s="2" t="str">
        <v>0</v>
      </c>
      <c r="D7199" s="2"/>
      <c r="F7199" s="2" t="str">
        <v>0</v>
      </c>
      <c r="I7199" s="3" t="str">
        <f ca="1">IFERROR(__xludf.DUMMYFUNCTION("""COMPUTED_VALUE"""),"Hoàng Ngọc Anh")</f>
        <v>Hoàng Ngọc Anh</v>
      </c>
      <c r="J7199" s="3" t="str">
        <f ca="1">IFERROR(__xludf.DUMMYFUNCTION("""COMPUTED_VALUE"""),"0383301657")</f>
        <v>0383301657</v>
      </c>
      <c r="K7199" s="2" t="str">
        <f ca="1">IFERROR(__xludf.DUMMYFUNCTION("""COMPUTED_VALUE"""),"1742997063887")</f>
        <v>1742997063887</v>
      </c>
    </row>
    <row r="7200" spans="1:11" ht="12.45">
      <c r="A7200" s="2" t="str">
        <f ca="1">IFERROR(__xludf.DUMMYFUNCTION("""COMPUTED_VALUE"""),"1742997140030")</f>
        <v>1742997140030</v>
      </c>
      <c r="B7200" s="2"/>
      <c r="C7200" s="2" t="str">
        <v>0</v>
      </c>
      <c r="D7200" s="2"/>
      <c r="F7200" s="2" t="str">
        <v>0</v>
      </c>
      <c r="I7200" s="3" t="str">
        <f ca="1">IFERROR(__xludf.DUMMYFUNCTION("""COMPUTED_VALUE"""),"Lò Bảo Trâm")</f>
        <v>Lò Bảo Trâm</v>
      </c>
      <c r="J7200" s="3" t="str">
        <f ca="1">IFERROR(__xludf.DUMMYFUNCTION("""COMPUTED_VALUE"""),"0834741999")</f>
        <v>0834741999</v>
      </c>
      <c r="K7200" s="2" t="str">
        <f ca="1">IFERROR(__xludf.DUMMYFUNCTION("""COMPUTED_VALUE"""),"1742997140030")</f>
        <v>1742997140030</v>
      </c>
    </row>
    <row r="7201" spans="1:11" ht="12.45">
      <c r="A7201" s="2" t="str">
        <f ca="1">IFERROR(__xludf.DUMMYFUNCTION("""COMPUTED_VALUE"""),"1742997248043")</f>
        <v>1742997248043</v>
      </c>
      <c r="B7201" s="2"/>
      <c r="C7201" s="2" t="str">
        <v>0</v>
      </c>
      <c r="D7201" s="2"/>
      <c r="F7201" s="2" t="str">
        <v>0</v>
      </c>
      <c r="I7201" s="3" t="str">
        <f ca="1">IFERROR(__xludf.DUMMYFUNCTION("""COMPUTED_VALUE"""),"Lê Thanh Hương")</f>
        <v>Lê Thanh Hương</v>
      </c>
      <c r="J7201" s="3" t="str">
        <f ca="1">IFERROR(__xludf.DUMMYFUNCTION("""COMPUTED_VALUE"""),"0971866342")</f>
        <v>0971866342</v>
      </c>
      <c r="K7201" s="2" t="str">
        <f ca="1">IFERROR(__xludf.DUMMYFUNCTION("""COMPUTED_VALUE"""),"1742997248043")</f>
        <v>1742997248043</v>
      </c>
    </row>
    <row r="7202" spans="1:11" ht="12.45">
      <c r="A7202" s="2" t="str">
        <f ca="1">IFERROR(__xludf.DUMMYFUNCTION("""COMPUTED_VALUE"""),"1742997311762")</f>
        <v>1742997311762</v>
      </c>
      <c r="B7202" s="2"/>
      <c r="C7202" s="2" t="str">
        <v>0</v>
      </c>
      <c r="D7202" s="2"/>
      <c r="F7202" s="2" t="str">
        <v>0</v>
      </c>
      <c r="I7202" s="3" t="str">
        <f ca="1">IFERROR(__xludf.DUMMYFUNCTION("""COMPUTED_VALUE"""),"Huỳnh Lê Nhật Thành")</f>
        <v>Huỳnh Lê Nhật Thành</v>
      </c>
      <c r="J7202" s="3" t="str">
        <f ca="1">IFERROR(__xludf.DUMMYFUNCTION("""COMPUTED_VALUE"""),"0845004619")</f>
        <v>0845004619</v>
      </c>
      <c r="K7202" s="2" t="str">
        <f ca="1">IFERROR(__xludf.DUMMYFUNCTION("""COMPUTED_VALUE"""),"1742997311762")</f>
        <v>1742997311762</v>
      </c>
    </row>
    <row r="7203" spans="1:11" ht="12.45">
      <c r="A7203" s="2" t="str">
        <f ca="1">IFERROR(__xludf.DUMMYFUNCTION("""COMPUTED_VALUE"""),"1742997389907")</f>
        <v>1742997389907</v>
      </c>
      <c r="B7203" s="2"/>
      <c r="C7203" s="2" t="str">
        <v>0</v>
      </c>
      <c r="D7203" s="2"/>
      <c r="F7203" s="2" t="str">
        <v>0</v>
      </c>
      <c r="I7203" s="3" t="str">
        <f ca="1">IFERROR(__xludf.DUMMYFUNCTION("""COMPUTED_VALUE"""),"Đặng Như Mai")</f>
        <v>Đặng Như Mai</v>
      </c>
      <c r="J7203" s="3" t="str">
        <f ca="1">IFERROR(__xludf.DUMMYFUNCTION("""COMPUTED_VALUE"""),"0388226764")</f>
        <v>0388226764</v>
      </c>
      <c r="K7203" s="2" t="str">
        <f ca="1">IFERROR(__xludf.DUMMYFUNCTION("""COMPUTED_VALUE"""),"1742997389907")</f>
        <v>1742997389907</v>
      </c>
    </row>
    <row r="7204" spans="1:11" ht="12.45">
      <c r="A7204" s="2" t="str">
        <f ca="1">IFERROR(__xludf.DUMMYFUNCTION("""COMPUTED_VALUE"""),"1742997488825")</f>
        <v>1742997488825</v>
      </c>
      <c r="B7204" s="2"/>
      <c r="C7204" s="2" t="str">
        <v>0</v>
      </c>
      <c r="D7204" s="2"/>
      <c r="F7204" s="2" t="str">
        <v>0</v>
      </c>
      <c r="I7204" s="3" t="str">
        <f ca="1">IFERROR(__xludf.DUMMYFUNCTION("""COMPUTED_VALUE"""),"Trần Hoài Giang ")</f>
        <v xml:space="preserve">Trần Hoài Giang </v>
      </c>
      <c r="J7204" s="3" t="str">
        <f ca="1">IFERROR(__xludf.DUMMYFUNCTION("""COMPUTED_VALUE"""),"0847916234")</f>
        <v>0847916234</v>
      </c>
      <c r="K7204" s="2" t="str">
        <f ca="1">IFERROR(__xludf.DUMMYFUNCTION("""COMPUTED_VALUE"""),"1742997488825")</f>
        <v>1742997488825</v>
      </c>
    </row>
    <row r="7205" spans="1:11" ht="12.45">
      <c r="A7205" s="2" t="str">
        <f ca="1">IFERROR(__xludf.DUMMYFUNCTION("""COMPUTED_VALUE"""),"1742997542349")</f>
        <v>1742997542349</v>
      </c>
      <c r="B7205" s="2"/>
      <c r="C7205" s="2" t="str">
        <v>0</v>
      </c>
      <c r="D7205" s="2"/>
      <c r="F7205" s="2" t="str">
        <v>0</v>
      </c>
      <c r="I7205" s="3" t="str">
        <f ca="1">IFERROR(__xludf.DUMMYFUNCTION("""COMPUTED_VALUE"""),"Nghiêm Thị Thanh Ngân")</f>
        <v>Nghiêm Thị Thanh Ngân</v>
      </c>
      <c r="J7205" s="3" t="str">
        <f ca="1">IFERROR(__xludf.DUMMYFUNCTION("""COMPUTED_VALUE"""),"0867449007")</f>
        <v>0867449007</v>
      </c>
      <c r="K7205" s="2" t="str">
        <f ca="1">IFERROR(__xludf.DUMMYFUNCTION("""COMPUTED_VALUE"""),"1742997542349")</f>
        <v>1742997542349</v>
      </c>
    </row>
    <row r="7206" spans="1:11" ht="12.45">
      <c r="A7206" s="2" t="str">
        <f ca="1">IFERROR(__xludf.DUMMYFUNCTION("""COMPUTED_VALUE"""),"1742997614535")</f>
        <v>1742997614535</v>
      </c>
      <c r="B7206" s="2"/>
      <c r="C7206" s="2" t="str">
        <v>0</v>
      </c>
      <c r="D7206" s="2"/>
      <c r="F7206" s="2" t="str">
        <v>0</v>
      </c>
      <c r="I7206" s="3" t="str">
        <f ca="1">IFERROR(__xludf.DUMMYFUNCTION("""COMPUTED_VALUE"""),"Nguyễn Thị Khánh Linh")</f>
        <v>Nguyễn Thị Khánh Linh</v>
      </c>
      <c r="J7206" s="3" t="str">
        <f ca="1">IFERROR(__xludf.DUMMYFUNCTION("""COMPUTED_VALUE"""),"0869986306")</f>
        <v>0869986306</v>
      </c>
      <c r="K7206" s="2" t="str">
        <f ca="1">IFERROR(__xludf.DUMMYFUNCTION("""COMPUTED_VALUE"""),"1742997614535")</f>
        <v>1742997614535</v>
      </c>
    </row>
    <row r="7207" spans="1:11" ht="12.45">
      <c r="A7207" s="2" t="str">
        <f ca="1">IFERROR(__xludf.DUMMYFUNCTION("""COMPUTED_VALUE"""),"1742997684893")</f>
        <v>1742997684893</v>
      </c>
      <c r="B7207" s="2"/>
      <c r="C7207" s="2" t="str">
        <v>0</v>
      </c>
      <c r="D7207" s="2"/>
      <c r="F7207" s="2" t="str">
        <v>0</v>
      </c>
      <c r="I7207" s="3" t="str">
        <f ca="1">IFERROR(__xludf.DUMMYFUNCTION("""COMPUTED_VALUE"""),"Phạm bảo lan uyên")</f>
        <v>Phạm bảo lan uyên</v>
      </c>
      <c r="J7207" s="3" t="str">
        <f ca="1">IFERROR(__xludf.DUMMYFUNCTION("""COMPUTED_VALUE"""),"0788272207")</f>
        <v>0788272207</v>
      </c>
      <c r="K7207" s="2" t="str">
        <f ca="1">IFERROR(__xludf.DUMMYFUNCTION("""COMPUTED_VALUE"""),"1742997684893")</f>
        <v>1742997684893</v>
      </c>
    </row>
    <row r="7208" spans="1:11" ht="12.45">
      <c r="A7208" s="2" t="str">
        <f ca="1">IFERROR(__xludf.DUMMYFUNCTION("""COMPUTED_VALUE"""),"1742997774127")</f>
        <v>1742997774127</v>
      </c>
      <c r="B7208" s="2"/>
      <c r="C7208" s="2" t="str">
        <v>0</v>
      </c>
      <c r="D7208" s="2"/>
      <c r="F7208" s="2" t="str">
        <v>0</v>
      </c>
      <c r="I7208" s="3" t="str">
        <f ca="1">IFERROR(__xludf.DUMMYFUNCTION("""COMPUTED_VALUE"""),"Lâm Thị Thuý Hiền")</f>
        <v>Lâm Thị Thuý Hiền</v>
      </c>
      <c r="J7208" s="3" t="str">
        <f ca="1">IFERROR(__xludf.DUMMYFUNCTION("""COMPUTED_VALUE"""),"0706134969")</f>
        <v>0706134969</v>
      </c>
      <c r="K7208" s="2" t="str">
        <f ca="1">IFERROR(__xludf.DUMMYFUNCTION("""COMPUTED_VALUE"""),"1742997774127")</f>
        <v>1742997774127</v>
      </c>
    </row>
    <row r="7209" spans="1:11" ht="12.45">
      <c r="A7209" s="2" t="str">
        <f ca="1">IFERROR(__xludf.DUMMYFUNCTION("""COMPUTED_VALUE"""),"1742997834347")</f>
        <v>1742997834347</v>
      </c>
      <c r="B7209" s="2"/>
      <c r="C7209" s="2" t="str">
        <v>0</v>
      </c>
      <c r="D7209" s="2"/>
      <c r="F7209" s="2" t="str">
        <v>0</v>
      </c>
      <c r="I7209" s="3" t="str">
        <f ca="1">IFERROR(__xludf.DUMMYFUNCTION("""COMPUTED_VALUE"""),"Trần Xuân Vạn Phước s")</f>
        <v>Trần Xuân Vạn Phước s</v>
      </c>
      <c r="J7209" s="3" t="str">
        <f ca="1">IFERROR(__xludf.DUMMYFUNCTION("""COMPUTED_VALUE"""),"0961804355")</f>
        <v>0961804355</v>
      </c>
      <c r="K7209" s="2" t="str">
        <f ca="1">IFERROR(__xludf.DUMMYFUNCTION("""COMPUTED_VALUE"""),"1742997834347")</f>
        <v>1742997834347</v>
      </c>
    </row>
    <row r="7210" spans="1:11" ht="12.45">
      <c r="A7210" s="2" t="str">
        <f ca="1">IFERROR(__xludf.DUMMYFUNCTION("""COMPUTED_VALUE"""),"1742997901688")</f>
        <v>1742997901688</v>
      </c>
      <c r="B7210" s="2"/>
      <c r="C7210" s="2" t="str">
        <v>0</v>
      </c>
      <c r="D7210" s="2"/>
      <c r="F7210" s="2" t="str">
        <v>0</v>
      </c>
      <c r="I7210" s="3" t="str">
        <f ca="1">IFERROR(__xludf.DUMMYFUNCTION("""COMPUTED_VALUE"""),"Nguyễn Dạ Quỳnh")</f>
        <v>Nguyễn Dạ Quỳnh</v>
      </c>
      <c r="J7210" s="3" t="str">
        <f ca="1">IFERROR(__xludf.DUMMYFUNCTION("""COMPUTED_VALUE"""),"0352808152")</f>
        <v>0352808152</v>
      </c>
      <c r="K7210" s="2" t="str">
        <f ca="1">IFERROR(__xludf.DUMMYFUNCTION("""COMPUTED_VALUE"""),"1742997901688")</f>
        <v>1742997901688</v>
      </c>
    </row>
    <row r="7211" spans="1:11" ht="12.45">
      <c r="A7211" s="2" t="str">
        <f ca="1">IFERROR(__xludf.DUMMYFUNCTION("""COMPUTED_VALUE"""),"1742997974527")</f>
        <v>1742997974527</v>
      </c>
      <c r="B7211" s="2"/>
      <c r="C7211" s="2" t="str">
        <v>0</v>
      </c>
      <c r="D7211" s="2"/>
      <c r="F7211" s="2" t="str">
        <v>0</v>
      </c>
      <c r="I7211" s="3" t="str">
        <f ca="1">IFERROR(__xludf.DUMMYFUNCTION("""COMPUTED_VALUE"""),"Dương Thu Hoài")</f>
        <v>Dương Thu Hoài</v>
      </c>
      <c r="J7211" s="3" t="str">
        <f ca="1">IFERROR(__xludf.DUMMYFUNCTION("""COMPUTED_VALUE"""),"0848200106")</f>
        <v>0848200106</v>
      </c>
      <c r="K7211" s="2" t="str">
        <f ca="1">IFERROR(__xludf.DUMMYFUNCTION("""COMPUTED_VALUE"""),"1742997974527")</f>
        <v>1742997974527</v>
      </c>
    </row>
    <row r="7212" spans="1:11" ht="12.45">
      <c r="A7212" s="2" t="str">
        <f ca="1">IFERROR(__xludf.DUMMYFUNCTION("""COMPUTED_VALUE"""),"1742998060034")</f>
        <v>1742998060034</v>
      </c>
      <c r="B7212" s="2"/>
      <c r="C7212" s="2" t="str">
        <v>0</v>
      </c>
      <c r="D7212" s="2"/>
      <c r="F7212" s="2" t="str">
        <v>0</v>
      </c>
      <c r="I7212" s="3" t="str">
        <f ca="1">IFERROR(__xludf.DUMMYFUNCTION("""COMPUTED_VALUE"""),"Nguyễn Hồ Khả Tú")</f>
        <v>Nguyễn Hồ Khả Tú</v>
      </c>
      <c r="J7212" s="3" t="str">
        <f ca="1">IFERROR(__xludf.DUMMYFUNCTION("""COMPUTED_VALUE"""),"0867258344")</f>
        <v>0867258344</v>
      </c>
      <c r="K7212" s="2" t="str">
        <f ca="1">IFERROR(__xludf.DUMMYFUNCTION("""COMPUTED_VALUE"""),"1742998060034")</f>
        <v>1742998060034</v>
      </c>
    </row>
    <row r="7213" spans="1:11" ht="12.45">
      <c r="A7213" s="2" t="str">
        <f ca="1">IFERROR(__xludf.DUMMYFUNCTION("""COMPUTED_VALUE"""),"1742998144868")</f>
        <v>1742998144868</v>
      </c>
      <c r="B7213" s="2"/>
      <c r="C7213" s="2" t="str">
        <v>0</v>
      </c>
      <c r="D7213" s="2"/>
      <c r="F7213" s="2" t="str">
        <v>0</v>
      </c>
      <c r="I7213" s="3" t="str">
        <f ca="1">IFERROR(__xludf.DUMMYFUNCTION("""COMPUTED_VALUE"""),"Hồ Zơ Râm Thu Sương")</f>
        <v>Hồ Zơ Râm Thu Sương</v>
      </c>
      <c r="J7213" s="3" t="str">
        <f ca="1">IFERROR(__xludf.DUMMYFUNCTION("""COMPUTED_VALUE"""),"0374525371")</f>
        <v>0374525371</v>
      </c>
      <c r="K7213" s="2" t="str">
        <f ca="1">IFERROR(__xludf.DUMMYFUNCTION("""COMPUTED_VALUE"""),"1742998144868")</f>
        <v>1742998144868</v>
      </c>
    </row>
    <row r="7214" spans="1:11" ht="12.45">
      <c r="A7214" s="2" t="str">
        <f ca="1">IFERROR(__xludf.DUMMYFUNCTION("""COMPUTED_VALUE"""),"1742998212576")</f>
        <v>1742998212576</v>
      </c>
      <c r="B7214" s="2"/>
      <c r="C7214" s="2" t="str">
        <v>0</v>
      </c>
      <c r="D7214" s="2"/>
      <c r="F7214" s="2" t="str">
        <v>0</v>
      </c>
      <c r="I7214" s="3" t="str">
        <f ca="1">IFERROR(__xludf.DUMMYFUNCTION("""COMPUTED_VALUE"""),"Huỳnh Thị Thanh Tâm")</f>
        <v>Huỳnh Thị Thanh Tâm</v>
      </c>
      <c r="J7214" s="3" t="str">
        <f ca="1">IFERROR(__xludf.DUMMYFUNCTION("""COMPUTED_VALUE"""),"0829500115")</f>
        <v>0829500115</v>
      </c>
      <c r="K7214" s="2" t="str">
        <f ca="1">IFERROR(__xludf.DUMMYFUNCTION("""COMPUTED_VALUE"""),"1742998212576")</f>
        <v>1742998212576</v>
      </c>
    </row>
    <row r="7215" spans="1:11" ht="12.45">
      <c r="A7215" s="2" t="str">
        <f ca="1">IFERROR(__xludf.DUMMYFUNCTION("""COMPUTED_VALUE"""),"1742998283608")</f>
        <v>1742998283608</v>
      </c>
      <c r="B7215" s="2"/>
      <c r="C7215" s="2" t="str">
        <v>0</v>
      </c>
      <c r="D7215" s="2"/>
      <c r="F7215" s="2" t="str">
        <v>0</v>
      </c>
      <c r="I7215" s="3" t="str">
        <f ca="1">IFERROR(__xludf.DUMMYFUNCTION("""COMPUTED_VALUE"""),"Lê Kế Đăng Khoa")</f>
        <v>Lê Kế Đăng Khoa</v>
      </c>
      <c r="J7215" s="3" t="str">
        <f ca="1">IFERROR(__xludf.DUMMYFUNCTION("""COMPUTED_VALUE"""),"0977543772")</f>
        <v>0977543772</v>
      </c>
      <c r="K7215" s="2" t="str">
        <f ca="1">IFERROR(__xludf.DUMMYFUNCTION("""COMPUTED_VALUE"""),"1742998283608")</f>
        <v>1742998283608</v>
      </c>
    </row>
    <row r="7216" spans="1:11" ht="12.45">
      <c r="A7216" s="2" t="str">
        <f ca="1">IFERROR(__xludf.DUMMYFUNCTION("""COMPUTED_VALUE"""),"1742998371959")</f>
        <v>1742998371959</v>
      </c>
      <c r="B7216" s="2"/>
      <c r="C7216" s="2" t="str">
        <v>0</v>
      </c>
      <c r="D7216" s="2"/>
      <c r="F7216" s="2" t="str">
        <v>0</v>
      </c>
      <c r="I7216" s="3" t="str">
        <f ca="1">IFERROR(__xludf.DUMMYFUNCTION("""COMPUTED_VALUE"""),"Đoàn Hà Lệ Quyên")</f>
        <v>Đoàn Hà Lệ Quyên</v>
      </c>
      <c r="J7216" s="3" t="str">
        <f ca="1">IFERROR(__xludf.DUMMYFUNCTION("""COMPUTED_VALUE"""),"0945004587")</f>
        <v>0945004587</v>
      </c>
      <c r="K7216" s="2" t="str">
        <f ca="1">IFERROR(__xludf.DUMMYFUNCTION("""COMPUTED_VALUE"""),"1742998371959")</f>
        <v>1742998371959</v>
      </c>
    </row>
    <row r="7217" spans="1:11" ht="12.45">
      <c r="A7217" s="2" t="str">
        <f ca="1">IFERROR(__xludf.DUMMYFUNCTION("""COMPUTED_VALUE"""),"1742998467064")</f>
        <v>1742998467064</v>
      </c>
      <c r="B7217" s="2"/>
      <c r="C7217" s="2" t="str">
        <v>0</v>
      </c>
      <c r="D7217" s="2"/>
      <c r="F7217" s="2" t="str">
        <v>0</v>
      </c>
      <c r="I7217" s="3" t="str">
        <f ca="1">IFERROR(__xludf.DUMMYFUNCTION("""COMPUTED_VALUE"""),"Ngô Ngọc Trâm")</f>
        <v>Ngô Ngọc Trâm</v>
      </c>
      <c r="J7217" s="3" t="str">
        <f ca="1">IFERROR(__xludf.DUMMYFUNCTION("""COMPUTED_VALUE"""),"0816439238")</f>
        <v>0816439238</v>
      </c>
      <c r="K7217" s="2" t="str">
        <f ca="1">IFERROR(__xludf.DUMMYFUNCTION("""COMPUTED_VALUE"""),"1742998467064")</f>
        <v>1742998467064</v>
      </c>
    </row>
    <row r="7218" spans="1:11" ht="12.45">
      <c r="A7218" s="2"/>
      <c r="B7218" s="2"/>
      <c r="C7218" s="2" t="str">
        <v>0</v>
      </c>
      <c r="D7218" s="2"/>
      <c r="F7218" s="2" t="str">
        <v>0</v>
      </c>
      <c r="I7218" s="3" t="str">
        <f ca="1">IFERROR(__xludf.DUMMYFUNCTION("""COMPUTED_VALUE""")," Nguyễn Tú Anh")</f>
        <v xml:space="preserve"> Nguyễn Tú Anh</v>
      </c>
      <c r="J7218" s="3" t="str">
        <f ca="1">IFERROR(__xludf.DUMMYFUNCTION("""COMPUTED_VALUE"""),"0335895708")</f>
        <v>0335895708</v>
      </c>
      <c r="K7218" s="2"/>
    </row>
    <row r="7219" spans="1:11" ht="12.45">
      <c r="A7219" s="2" t="str">
        <f ca="1">IFERROR(__xludf.DUMMYFUNCTION("""COMPUTED_VALUE"""),"1742998547274")</f>
        <v>1742998547274</v>
      </c>
      <c r="B7219" s="2"/>
      <c r="C7219" s="2" t="str">
        <v>0</v>
      </c>
      <c r="D7219" s="2"/>
      <c r="F7219" s="2" t="str">
        <v>0</v>
      </c>
      <c r="I7219" s="3" t="str">
        <f ca="1">IFERROR(__xludf.DUMMYFUNCTION("""COMPUTED_VALUE"""),"Đỗ Thuỷ Tiên")</f>
        <v>Đỗ Thuỷ Tiên</v>
      </c>
      <c r="J7219" s="3" t="str">
        <f ca="1">IFERROR(__xludf.DUMMYFUNCTION("""COMPUTED_VALUE"""),"0338081443")</f>
        <v>0338081443</v>
      </c>
      <c r="K7219" s="2" t="str">
        <f ca="1">IFERROR(__xludf.DUMMYFUNCTION("""COMPUTED_VALUE"""),"1742998547274")</f>
        <v>1742998547274</v>
      </c>
    </row>
    <row r="7220" spans="1:11" ht="12.45">
      <c r="A7220" s="2" t="str">
        <f ca="1">IFERROR(__xludf.DUMMYFUNCTION("""COMPUTED_VALUE"""),"1742998632517")</f>
        <v>1742998632517</v>
      </c>
      <c r="B7220" s="2"/>
      <c r="C7220" s="2" t="str">
        <v>0</v>
      </c>
      <c r="D7220" s="2"/>
      <c r="F7220" s="2" t="str">
        <v>0</v>
      </c>
      <c r="I7220" s="3" t="str">
        <f ca="1">IFERROR(__xludf.DUMMYFUNCTION("""COMPUTED_VALUE"""),"Trần Thị Phương Như")</f>
        <v>Trần Thị Phương Như</v>
      </c>
      <c r="J7220" s="3" t="str">
        <f ca="1">IFERROR(__xludf.DUMMYFUNCTION("""COMPUTED_VALUE"""),"0866537617")</f>
        <v>0866537617</v>
      </c>
      <c r="K7220" s="2" t="str">
        <f ca="1">IFERROR(__xludf.DUMMYFUNCTION("""COMPUTED_VALUE"""),"1742998632517")</f>
        <v>1742998632517</v>
      </c>
    </row>
    <row r="7221" spans="1:11" ht="12.45">
      <c r="A7221" s="2" t="str">
        <f ca="1">IFERROR(__xludf.DUMMYFUNCTION("""COMPUTED_VALUE"""),"1742998718567")</f>
        <v>1742998718567</v>
      </c>
      <c r="B7221" s="2"/>
      <c r="C7221" s="2" t="str">
        <v>0</v>
      </c>
      <c r="D7221" s="2"/>
      <c r="F7221" s="2" t="str">
        <v>0</v>
      </c>
      <c r="I7221" s="3" t="str">
        <f ca="1">IFERROR(__xludf.DUMMYFUNCTION("""COMPUTED_VALUE"""),"Trần Phạm Anh Khôi")</f>
        <v>Trần Phạm Anh Khôi</v>
      </c>
      <c r="J7221" s="3" t="str">
        <f ca="1">IFERROR(__xludf.DUMMYFUNCTION("""COMPUTED_VALUE"""),"0932050542")</f>
        <v>0932050542</v>
      </c>
      <c r="K7221" s="2" t="str">
        <f ca="1">IFERROR(__xludf.DUMMYFUNCTION("""COMPUTED_VALUE"""),"1742998718567")</f>
        <v>1742998718567</v>
      </c>
    </row>
    <row r="7222" spans="1:11" ht="12.45">
      <c r="A7222" s="2" t="str">
        <f ca="1">IFERROR(__xludf.DUMMYFUNCTION("""COMPUTED_VALUE"""),"1742998802694")</f>
        <v>1742998802694</v>
      </c>
      <c r="B7222" s="2"/>
      <c r="C7222" s="2" t="str">
        <v>0</v>
      </c>
      <c r="D7222" s="2"/>
      <c r="F7222" s="2" t="str">
        <v>0</v>
      </c>
      <c r="I7222" s="3" t="str">
        <f ca="1">IFERROR(__xludf.DUMMYFUNCTION("""COMPUTED_VALUE"""),"Nguyễn Huyền Thư")</f>
        <v>Nguyễn Huyền Thư</v>
      </c>
      <c r="J7222" s="3" t="str">
        <f ca="1">IFERROR(__xludf.DUMMYFUNCTION("""COMPUTED_VALUE"""),"0966420627")</f>
        <v>0966420627</v>
      </c>
      <c r="K7222" s="2" t="str">
        <f ca="1">IFERROR(__xludf.DUMMYFUNCTION("""COMPUTED_VALUE"""),"1742998802694")</f>
        <v>1742998802694</v>
      </c>
    </row>
    <row r="7223" spans="1:11" ht="12.45">
      <c r="A7223" s="2" t="str">
        <f ca="1">IFERROR(__xludf.DUMMYFUNCTION("""COMPUTED_VALUE"""),"1742998909357")</f>
        <v>1742998909357</v>
      </c>
      <c r="B7223" s="2"/>
      <c r="C7223" s="2" t="str">
        <v>0</v>
      </c>
      <c r="D7223" s="2"/>
      <c r="F7223" s="2" t="str">
        <v>0</v>
      </c>
      <c r="I7223" s="3" t="str">
        <f ca="1">IFERROR(__xludf.DUMMYFUNCTION("""COMPUTED_VALUE"""),"Nguyễn Trần Hương Giang ")</f>
        <v xml:space="preserve">Nguyễn Trần Hương Giang </v>
      </c>
      <c r="J7223" s="3" t="str">
        <f ca="1">IFERROR(__xludf.DUMMYFUNCTION("""COMPUTED_VALUE"""),"0378492841")</f>
        <v>0378492841</v>
      </c>
      <c r="K7223" s="2" t="str">
        <f ca="1">IFERROR(__xludf.DUMMYFUNCTION("""COMPUTED_VALUE"""),"1742998909357")</f>
        <v>1742998909357</v>
      </c>
    </row>
    <row r="7224" spans="1:11" ht="12.45">
      <c r="A7224" s="2" t="str">
        <f ca="1">IFERROR(__xludf.DUMMYFUNCTION("""COMPUTED_VALUE"""),"1742998992434")</f>
        <v>1742998992434</v>
      </c>
      <c r="B7224" s="2"/>
      <c r="C7224" s="2" t="str">
        <v>0</v>
      </c>
      <c r="D7224" s="2"/>
      <c r="F7224" s="2" t="str">
        <v>0</v>
      </c>
      <c r="I7224" s="3" t="str">
        <f ca="1">IFERROR(__xludf.DUMMYFUNCTION("""COMPUTED_VALUE"""),"Phạm Thu Hiền ")</f>
        <v xml:space="preserve">Phạm Thu Hiền </v>
      </c>
      <c r="J7224" s="3" t="str">
        <f ca="1">IFERROR(__xludf.DUMMYFUNCTION("""COMPUTED_VALUE"""),"0813989128")</f>
        <v>0813989128</v>
      </c>
      <c r="K7224" s="2" t="str">
        <f ca="1">IFERROR(__xludf.DUMMYFUNCTION("""COMPUTED_VALUE"""),"1742998992434")</f>
        <v>1742998992434</v>
      </c>
    </row>
    <row r="7225" spans="1:11" ht="12.45">
      <c r="A7225" s="2" t="str">
        <f ca="1">IFERROR(__xludf.DUMMYFUNCTION("""COMPUTED_VALUE"""),"1742999100454")</f>
        <v>1742999100454</v>
      </c>
      <c r="B7225" s="2"/>
      <c r="C7225" s="2" t="str">
        <v>0</v>
      </c>
      <c r="D7225" s="2"/>
      <c r="F7225" s="2" t="str">
        <v>0</v>
      </c>
      <c r="I7225" s="3" t="str">
        <f ca="1">IFERROR(__xludf.DUMMYFUNCTION("""COMPUTED_VALUE"""),"Nguyễn Bảo Châu")</f>
        <v>Nguyễn Bảo Châu</v>
      </c>
      <c r="J7225" s="3" t="str">
        <f ca="1">IFERROR(__xludf.DUMMYFUNCTION("""COMPUTED_VALUE"""),"0379200407")</f>
        <v>0379200407</v>
      </c>
      <c r="K7225" s="2" t="str">
        <f ca="1">IFERROR(__xludf.DUMMYFUNCTION("""COMPUTED_VALUE"""),"1742999100454")</f>
        <v>1742999100454</v>
      </c>
    </row>
    <row r="7226" spans="1:11" ht="12.45">
      <c r="A7226" s="2" t="str">
        <f ca="1">IFERROR(__xludf.DUMMYFUNCTION("""COMPUTED_VALUE"""),"1742999159015")</f>
        <v>1742999159015</v>
      </c>
      <c r="B7226" s="2"/>
      <c r="C7226" s="2" t="str">
        <v>0</v>
      </c>
      <c r="D7226" s="2"/>
      <c r="F7226" s="2" t="str">
        <v>0</v>
      </c>
      <c r="I7226" s="3" t="str">
        <f ca="1">IFERROR(__xludf.DUMMYFUNCTION("""COMPUTED_VALUE"""),"Nguyễn Huyền Chi")</f>
        <v>Nguyễn Huyền Chi</v>
      </c>
      <c r="J7226" s="3" t="str">
        <f ca="1">IFERROR(__xludf.DUMMYFUNCTION("""COMPUTED_VALUE"""),"0822205174")</f>
        <v>0822205174</v>
      </c>
      <c r="K7226" s="2" t="str">
        <f ca="1">IFERROR(__xludf.DUMMYFUNCTION("""COMPUTED_VALUE"""),"1742999159015")</f>
        <v>1742999159015</v>
      </c>
    </row>
    <row r="7227" spans="1:11" ht="12.45">
      <c r="A7227" s="2" t="str">
        <f ca="1">IFERROR(__xludf.DUMMYFUNCTION("""COMPUTED_VALUE"""),"1742999288068")</f>
        <v>1742999288068</v>
      </c>
      <c r="B7227" s="2"/>
      <c r="C7227" s="2" t="str">
        <v>0</v>
      </c>
      <c r="D7227" s="2"/>
      <c r="F7227" s="2" t="str">
        <v>0</v>
      </c>
      <c r="I7227" s="3" t="str">
        <f ca="1">IFERROR(__xludf.DUMMYFUNCTION("""COMPUTED_VALUE"""),"Nguyễn Hồ Quỳnh Anh ")</f>
        <v xml:space="preserve">Nguyễn Hồ Quỳnh Anh </v>
      </c>
      <c r="J7227" s="3" t="str">
        <f ca="1">IFERROR(__xludf.DUMMYFUNCTION("""COMPUTED_VALUE"""),"0967017828")</f>
        <v>0967017828</v>
      </c>
      <c r="K7227" s="2" t="str">
        <f ca="1">IFERROR(__xludf.DUMMYFUNCTION("""COMPUTED_VALUE"""),"1742999288068")</f>
        <v>1742999288068</v>
      </c>
    </row>
    <row r="7228" spans="1:11" ht="12.45">
      <c r="A7228" s="2" t="str">
        <f ca="1">IFERROR(__xludf.DUMMYFUNCTION("""COMPUTED_VALUE"""),"1742999355135")</f>
        <v>1742999355135</v>
      </c>
      <c r="B7228" s="2"/>
      <c r="C7228" s="2" t="str">
        <v>0</v>
      </c>
      <c r="D7228" s="2"/>
      <c r="F7228" s="2" t="str">
        <v>0</v>
      </c>
      <c r="I7228" s="3" t="str">
        <f ca="1">IFERROR(__xludf.DUMMYFUNCTION("""COMPUTED_VALUE"""),"Nguyễn Phương Huệ")</f>
        <v>Nguyễn Phương Huệ</v>
      </c>
      <c r="J7228" s="3" t="str">
        <f ca="1">IFERROR(__xludf.DUMMYFUNCTION("""COMPUTED_VALUE"""),"0372440736")</f>
        <v>0372440736</v>
      </c>
      <c r="K7228" s="2" t="str">
        <f ca="1">IFERROR(__xludf.DUMMYFUNCTION("""COMPUTED_VALUE"""),"1742999355135")</f>
        <v>1742999355135</v>
      </c>
    </row>
    <row r="7229" spans="1:11" ht="12.45">
      <c r="A7229" s="2" t="str">
        <f ca="1">IFERROR(__xludf.DUMMYFUNCTION("""COMPUTED_VALUE"""),"1742999460193")</f>
        <v>1742999460193</v>
      </c>
      <c r="B7229" s="2"/>
      <c r="C7229" s="2" t="str">
        <v>0</v>
      </c>
      <c r="D7229" s="2"/>
      <c r="F7229" s="2" t="str">
        <v>0</v>
      </c>
      <c r="I7229" s="3" t="str">
        <f ca="1">IFERROR(__xludf.DUMMYFUNCTION("""COMPUTED_VALUE"""),"Phạm Khánh Ly ")</f>
        <v xml:space="preserve">Phạm Khánh Ly </v>
      </c>
      <c r="J7229" s="3" t="str">
        <f ca="1">IFERROR(__xludf.DUMMYFUNCTION("""COMPUTED_VALUE"""),"0377244307")</f>
        <v>0377244307</v>
      </c>
      <c r="K7229" s="2" t="str">
        <f ca="1">IFERROR(__xludf.DUMMYFUNCTION("""COMPUTED_VALUE"""),"1742999460193")</f>
        <v>1742999460193</v>
      </c>
    </row>
    <row r="7230" spans="1:11" ht="12.45">
      <c r="A7230" s="2" t="str">
        <f ca="1">IFERROR(__xludf.DUMMYFUNCTION("""COMPUTED_VALUE"""),"1742999504029")</f>
        <v>1742999504029</v>
      </c>
      <c r="B7230" s="2"/>
      <c r="C7230" s="2" t="str">
        <v>0</v>
      </c>
      <c r="D7230" s="2"/>
      <c r="F7230" s="2" t="str">
        <v>0</v>
      </c>
      <c r="I7230" s="3" t="str">
        <f ca="1">IFERROR(__xludf.DUMMYFUNCTION("""COMPUTED_VALUE"""),"Quàng Văn Điệp")</f>
        <v>Quàng Văn Điệp</v>
      </c>
      <c r="J7230" s="3" t="str">
        <f ca="1">IFERROR(__xludf.DUMMYFUNCTION("""COMPUTED_VALUE"""),"0788023977")</f>
        <v>0788023977</v>
      </c>
      <c r="K7230" s="2" t="str">
        <f ca="1">IFERROR(__xludf.DUMMYFUNCTION("""COMPUTED_VALUE"""),"1742999504029")</f>
        <v>1742999504029</v>
      </c>
    </row>
    <row r="7231" spans="1:11" ht="12.45">
      <c r="A7231" s="2" t="str">
        <f ca="1">IFERROR(__xludf.DUMMYFUNCTION("""COMPUTED_VALUE"""),"1742999561774")</f>
        <v>1742999561774</v>
      </c>
      <c r="B7231" s="2"/>
      <c r="C7231" s="2" t="str">
        <v>0</v>
      </c>
      <c r="D7231" s="2"/>
      <c r="F7231" s="2" t="str">
        <v>0</v>
      </c>
      <c r="I7231" s="3" t="str">
        <f ca="1">IFERROR(__xludf.DUMMYFUNCTION("""COMPUTED_VALUE"""),"Danh Thành Phát")</f>
        <v>Danh Thành Phát</v>
      </c>
      <c r="J7231" s="3" t="str">
        <f ca="1">IFERROR(__xludf.DUMMYFUNCTION("""COMPUTED_VALUE"""),"0392242933")</f>
        <v>0392242933</v>
      </c>
      <c r="K7231" s="2" t="str">
        <f ca="1">IFERROR(__xludf.DUMMYFUNCTION("""COMPUTED_VALUE"""),"1742999561774")</f>
        <v>1742999561774</v>
      </c>
    </row>
    <row r="7232" spans="1:11" ht="12.45">
      <c r="A7232" s="2" t="str">
        <f ca="1">IFERROR(__xludf.DUMMYFUNCTION("""COMPUTED_VALUE"""),"1742999613847")</f>
        <v>1742999613847</v>
      </c>
      <c r="B7232" s="2"/>
      <c r="C7232" s="2" t="str">
        <v>0</v>
      </c>
      <c r="D7232" s="2"/>
      <c r="F7232" s="2" t="str">
        <v>0</v>
      </c>
      <c r="I7232" s="3" t="str">
        <f ca="1">IFERROR(__xludf.DUMMYFUNCTION("""COMPUTED_VALUE"""),"Đoàn Thị Phương Hà")</f>
        <v>Đoàn Thị Phương Hà</v>
      </c>
      <c r="J7232" s="3" t="str">
        <f ca="1">IFERROR(__xludf.DUMMYFUNCTION("""COMPUTED_VALUE"""),"0582977296")</f>
        <v>0582977296</v>
      </c>
      <c r="K7232" s="2" t="str">
        <f ca="1">IFERROR(__xludf.DUMMYFUNCTION("""COMPUTED_VALUE"""),"1742999613847")</f>
        <v>1742999613847</v>
      </c>
    </row>
    <row r="7233" spans="1:11" ht="12.45">
      <c r="A7233" s="2" t="str">
        <f ca="1">IFERROR(__xludf.DUMMYFUNCTION("""COMPUTED_VALUE"""),"1742999665327")</f>
        <v>1742999665327</v>
      </c>
      <c r="B7233" s="2"/>
      <c r="C7233" s="2" t="str">
        <v>0</v>
      </c>
      <c r="D7233" s="2"/>
      <c r="F7233" s="2" t="str">
        <v>0</v>
      </c>
      <c r="I7233" s="3" t="str">
        <f ca="1">IFERROR(__xludf.DUMMYFUNCTION("""COMPUTED_VALUE"""),"Phạm Khánh ly")</f>
        <v>Phạm Khánh ly</v>
      </c>
      <c r="J7233" s="3" t="str">
        <f ca="1">IFERROR(__xludf.DUMMYFUNCTION("""COMPUTED_VALUE"""),"0338791058")</f>
        <v>0338791058</v>
      </c>
      <c r="K7233" s="2" t="str">
        <f ca="1">IFERROR(__xludf.DUMMYFUNCTION("""COMPUTED_VALUE"""),"1742999665327")</f>
        <v>1742999665327</v>
      </c>
    </row>
    <row r="7234" spans="1:11" ht="12.45">
      <c r="A7234" s="2" t="str">
        <f ca="1">IFERROR(__xludf.DUMMYFUNCTION("""COMPUTED_VALUE"""),"1742999716617")</f>
        <v>1742999716617</v>
      </c>
      <c r="B7234" s="2"/>
      <c r="C7234" s="2" t="str">
        <v>0</v>
      </c>
      <c r="D7234" s="2"/>
      <c r="F7234" s="2" t="str">
        <v>0</v>
      </c>
      <c r="I7234" s="3" t="str">
        <f ca="1">IFERROR(__xludf.DUMMYFUNCTION("""COMPUTED_VALUE"""),"Nguyễn Thị Ngọc Anh ")</f>
        <v xml:space="preserve">Nguyễn Thị Ngọc Anh </v>
      </c>
      <c r="J7234" s="3" t="str">
        <f ca="1">IFERROR(__xludf.DUMMYFUNCTION("""COMPUTED_VALUE"""),"0379123042")</f>
        <v>0379123042</v>
      </c>
      <c r="K7234" s="2" t="str">
        <f ca="1">IFERROR(__xludf.DUMMYFUNCTION("""COMPUTED_VALUE"""),"1742999716617")</f>
        <v>1742999716617</v>
      </c>
    </row>
    <row r="7235" spans="1:11" ht="12.45">
      <c r="A7235" s="2" t="str">
        <f ca="1">IFERROR(__xludf.DUMMYFUNCTION("""COMPUTED_VALUE"""),"1742999781433")</f>
        <v>1742999781433</v>
      </c>
      <c r="B7235" s="2"/>
      <c r="C7235" s="2" t="str">
        <v>0</v>
      </c>
      <c r="D7235" s="2"/>
      <c r="F7235" s="2" t="str">
        <v>0</v>
      </c>
      <c r="I7235" s="3" t="str">
        <f ca="1">IFERROR(__xludf.DUMMYFUNCTION("""COMPUTED_VALUE"""),"Nguyễn Tú Trâm")</f>
        <v>Nguyễn Tú Trâm</v>
      </c>
      <c r="J7235" s="3" t="str">
        <f ca="1">IFERROR(__xludf.DUMMYFUNCTION("""COMPUTED_VALUE"""),"0968585091")</f>
        <v>0968585091</v>
      </c>
      <c r="K7235" s="2" t="str">
        <f ca="1">IFERROR(__xludf.DUMMYFUNCTION("""COMPUTED_VALUE"""),"1742999781433")</f>
        <v>1742999781433</v>
      </c>
    </row>
    <row r="7236" spans="1:11" ht="12.45">
      <c r="A7236" s="2" t="str">
        <f ca="1">IFERROR(__xludf.DUMMYFUNCTION("""COMPUTED_VALUE"""),"1742999848190")</f>
        <v>1742999848190</v>
      </c>
      <c r="B7236" s="2"/>
      <c r="C7236" s="2" t="str">
        <v>0</v>
      </c>
      <c r="D7236" s="2"/>
      <c r="F7236" s="2" t="str">
        <v>0</v>
      </c>
      <c r="I7236" s="3" t="str">
        <f ca="1">IFERROR(__xludf.DUMMYFUNCTION("""COMPUTED_VALUE"""),"Lê Thúy Vy")</f>
        <v>Lê Thúy Vy</v>
      </c>
      <c r="J7236" s="3" t="str">
        <f ca="1">IFERROR(__xludf.DUMMYFUNCTION("""COMPUTED_VALUE"""),"0904741007")</f>
        <v>0904741007</v>
      </c>
      <c r="K7236" s="2" t="str">
        <f ca="1">IFERROR(__xludf.DUMMYFUNCTION("""COMPUTED_VALUE"""),"1742999848190")</f>
        <v>1742999848190</v>
      </c>
    </row>
    <row r="7237" spans="1:11" ht="12.45">
      <c r="A7237" s="2" t="str">
        <f ca="1">IFERROR(__xludf.DUMMYFUNCTION("""COMPUTED_VALUE"""),"1742999925683")</f>
        <v>1742999925683</v>
      </c>
      <c r="B7237" s="2"/>
      <c r="C7237" s="2" t="str">
        <v>0</v>
      </c>
      <c r="D7237" s="2"/>
      <c r="F7237" s="2" t="str">
        <v>0</v>
      </c>
      <c r="I7237" s="3" t="str">
        <f ca="1">IFERROR(__xludf.DUMMYFUNCTION("""COMPUTED_VALUE"""),"Nguyễn Anh Thư")</f>
        <v>Nguyễn Anh Thư</v>
      </c>
      <c r="J7237" s="3" t="str">
        <f ca="1">IFERROR(__xludf.DUMMYFUNCTION("""COMPUTED_VALUE"""),"0346972283")</f>
        <v>0346972283</v>
      </c>
      <c r="K7237" s="2" t="str">
        <f ca="1">IFERROR(__xludf.DUMMYFUNCTION("""COMPUTED_VALUE"""),"1742999925683")</f>
        <v>1742999925683</v>
      </c>
    </row>
    <row r="7238" spans="1:11" ht="12.45">
      <c r="A7238" s="2" t="str">
        <f ca="1">IFERROR(__xludf.DUMMYFUNCTION("""COMPUTED_VALUE"""),"1742999992642")</f>
        <v>1742999992642</v>
      </c>
      <c r="B7238" s="2"/>
      <c r="C7238" s="2" t="str">
        <v>0</v>
      </c>
      <c r="D7238" s="2"/>
      <c r="F7238" s="2" t="str">
        <v>0</v>
      </c>
      <c r="I7238" s="3" t="str">
        <f ca="1">IFERROR(__xludf.DUMMYFUNCTION("""COMPUTED_VALUE"""),"Trần Hiền Giang")</f>
        <v>Trần Hiền Giang</v>
      </c>
      <c r="J7238" s="3" t="str">
        <f ca="1">IFERROR(__xludf.DUMMYFUNCTION("""COMPUTED_VALUE"""),"0979018515")</f>
        <v>0979018515</v>
      </c>
      <c r="K7238" s="2" t="str">
        <f ca="1">IFERROR(__xludf.DUMMYFUNCTION("""COMPUTED_VALUE"""),"1742999992642")</f>
        <v>1742999992642</v>
      </c>
    </row>
    <row r="7239" spans="1:11" ht="12.45">
      <c r="A7239" s="2" t="str">
        <f ca="1">IFERROR(__xludf.DUMMYFUNCTION("""COMPUTED_VALUE"""),"1743000098909")</f>
        <v>1743000098909</v>
      </c>
      <c r="B7239" s="2"/>
      <c r="C7239" s="2" t="str">
        <v>0</v>
      </c>
      <c r="D7239" s="2"/>
      <c r="F7239" s="2" t="str">
        <v>0</v>
      </c>
      <c r="I7239" s="3" t="str">
        <f ca="1">IFERROR(__xludf.DUMMYFUNCTION("""COMPUTED_VALUE"""),"Nguyễn Thị Minh Xoan")</f>
        <v>Nguyễn Thị Minh Xoan</v>
      </c>
      <c r="J7239" s="3" t="str">
        <f ca="1">IFERROR(__xludf.DUMMYFUNCTION("""COMPUTED_VALUE"""),"0354464557")</f>
        <v>0354464557</v>
      </c>
      <c r="K7239" s="2" t="str">
        <f ca="1">IFERROR(__xludf.DUMMYFUNCTION("""COMPUTED_VALUE"""),"1743000098909")</f>
        <v>1743000098909</v>
      </c>
    </row>
    <row r="7240" spans="1:11" ht="12.45">
      <c r="A7240" s="2" t="str">
        <f ca="1">IFERROR(__xludf.DUMMYFUNCTION("""COMPUTED_VALUE"""),"1743000163061")</f>
        <v>1743000163061</v>
      </c>
      <c r="B7240" s="2"/>
      <c r="C7240" s="2" t="str">
        <v>0</v>
      </c>
      <c r="D7240" s="2"/>
      <c r="F7240" s="2" t="str">
        <v>0</v>
      </c>
      <c r="I7240" s="3" t="str">
        <f ca="1">IFERROR(__xludf.DUMMYFUNCTION("""COMPUTED_VALUE"""),"Lương Thị Hồng Ngọc")</f>
        <v>Lương Thị Hồng Ngọc</v>
      </c>
      <c r="J7240" s="3" t="str">
        <f ca="1">IFERROR(__xludf.DUMMYFUNCTION("""COMPUTED_VALUE"""),"0988079034")</f>
        <v>0988079034</v>
      </c>
      <c r="K7240" s="2" t="str">
        <f ca="1">IFERROR(__xludf.DUMMYFUNCTION("""COMPUTED_VALUE"""),"1743000163061")</f>
        <v>1743000163061</v>
      </c>
    </row>
    <row r="7241" spans="1:11" ht="12.45">
      <c r="A7241" s="2" t="str">
        <f ca="1">IFERROR(__xludf.DUMMYFUNCTION("""COMPUTED_VALUE"""),"1743000232760")</f>
        <v>1743000232760</v>
      </c>
      <c r="B7241" s="2"/>
      <c r="C7241" s="2" t="str">
        <v>0</v>
      </c>
      <c r="D7241" s="2"/>
      <c r="F7241" s="2" t="str">
        <v>0</v>
      </c>
      <c r="I7241" s="3" t="str">
        <f ca="1">IFERROR(__xludf.DUMMYFUNCTION("""COMPUTED_VALUE"""),"Trần Đức Hậu ")</f>
        <v xml:space="preserve">Trần Đức Hậu </v>
      </c>
      <c r="J7241" s="3" t="str">
        <f ca="1">IFERROR(__xludf.DUMMYFUNCTION("""COMPUTED_VALUE"""),"0867692291")</f>
        <v>0867692291</v>
      </c>
      <c r="K7241" s="2" t="str">
        <f ca="1">IFERROR(__xludf.DUMMYFUNCTION("""COMPUTED_VALUE"""),"1743000232760")</f>
        <v>1743000232760</v>
      </c>
    </row>
    <row r="7242" spans="1:11" ht="12.45">
      <c r="A7242" s="2" t="str">
        <f ca="1">IFERROR(__xludf.DUMMYFUNCTION("""COMPUTED_VALUE"""),"1743000306851")</f>
        <v>1743000306851</v>
      </c>
      <c r="B7242" s="2"/>
      <c r="C7242" s="2" t="str">
        <v>0</v>
      </c>
      <c r="D7242" s="2"/>
      <c r="F7242" s="2" t="str">
        <v>0</v>
      </c>
      <c r="I7242" s="3" t="str">
        <f ca="1">IFERROR(__xludf.DUMMYFUNCTION("""COMPUTED_VALUE"""),"Lê Thu Trang")</f>
        <v>Lê Thu Trang</v>
      </c>
      <c r="J7242" s="3" t="str">
        <f ca="1">IFERROR(__xludf.DUMMYFUNCTION("""COMPUTED_VALUE"""),"0866387746")</f>
        <v>0866387746</v>
      </c>
      <c r="K7242" s="2" t="str">
        <f ca="1">IFERROR(__xludf.DUMMYFUNCTION("""COMPUTED_VALUE"""),"1743000306851")</f>
        <v>1743000306851</v>
      </c>
    </row>
    <row r="7243" spans="1:11" ht="12.45">
      <c r="A7243" s="2" t="str">
        <f ca="1">IFERROR(__xludf.DUMMYFUNCTION("""COMPUTED_VALUE"""),"1743000407696")</f>
        <v>1743000407696</v>
      </c>
      <c r="B7243" s="2"/>
      <c r="C7243" s="2" t="str">
        <v>0</v>
      </c>
      <c r="D7243" s="2"/>
      <c r="F7243" s="2" t="str">
        <v>0</v>
      </c>
      <c r="I7243" s="3" t="str">
        <f ca="1">IFERROR(__xludf.DUMMYFUNCTION("""COMPUTED_VALUE"""),"Nguyễn khánh linh ")</f>
        <v xml:space="preserve">Nguyễn khánh linh </v>
      </c>
      <c r="J7243" s="3" t="str">
        <f ca="1">IFERROR(__xludf.DUMMYFUNCTION("""COMPUTED_VALUE"""),"0398873243")</f>
        <v>0398873243</v>
      </c>
      <c r="K7243" s="2" t="str">
        <f ca="1">IFERROR(__xludf.DUMMYFUNCTION("""COMPUTED_VALUE"""),"1743000407696")</f>
        <v>1743000407696</v>
      </c>
    </row>
    <row r="7244" spans="1:11" ht="12.45">
      <c r="A7244" s="2" t="str">
        <f ca="1">IFERROR(__xludf.DUMMYFUNCTION("""COMPUTED_VALUE"""),"1743000502915")</f>
        <v>1743000502915</v>
      </c>
      <c r="B7244" s="2"/>
      <c r="C7244" s="2" t="str">
        <v>0</v>
      </c>
      <c r="D7244" s="2"/>
      <c r="F7244" s="2" t="str">
        <v>0</v>
      </c>
      <c r="I7244" s="3" t="str">
        <f ca="1">IFERROR(__xludf.DUMMYFUNCTION("""COMPUTED_VALUE"""),"Bùi Việt Hùng ")</f>
        <v xml:space="preserve">Bùi Việt Hùng </v>
      </c>
      <c r="J7244" s="3" t="str">
        <f ca="1">IFERROR(__xludf.DUMMYFUNCTION("""COMPUTED_VALUE"""),"0395526183")</f>
        <v>0395526183</v>
      </c>
      <c r="K7244" s="2" t="str">
        <f ca="1">IFERROR(__xludf.DUMMYFUNCTION("""COMPUTED_VALUE"""),"1743000502915")</f>
        <v>1743000502915</v>
      </c>
    </row>
    <row r="7245" spans="1:11" ht="12.45">
      <c r="A7245" s="2" t="str">
        <f ca="1">IFERROR(__xludf.DUMMYFUNCTION("""COMPUTED_VALUE"""),"1743000578075")</f>
        <v>1743000578075</v>
      </c>
      <c r="B7245" s="2"/>
      <c r="C7245" s="2" t="str">
        <v>0</v>
      </c>
      <c r="D7245" s="2"/>
      <c r="F7245" s="2" t="str">
        <v>0</v>
      </c>
      <c r="I7245" s="3" t="str">
        <f ca="1">IFERROR(__xludf.DUMMYFUNCTION("""COMPUTED_VALUE"""),"Nguyễn Hoàng Vủ")</f>
        <v>Nguyễn Hoàng Vủ</v>
      </c>
      <c r="J7245" s="3" t="str">
        <f ca="1">IFERROR(__xludf.DUMMYFUNCTION("""COMPUTED_VALUE"""),"0819201542")</f>
        <v>0819201542</v>
      </c>
      <c r="K7245" s="2" t="str">
        <f ca="1">IFERROR(__xludf.DUMMYFUNCTION("""COMPUTED_VALUE"""),"1743000578075")</f>
        <v>1743000578075</v>
      </c>
    </row>
    <row r="7246" spans="1:11" ht="12.45">
      <c r="A7246" s="2"/>
      <c r="B7246" s="2"/>
      <c r="C7246" s="2" t="str">
        <v>0</v>
      </c>
      <c r="D7246" s="2"/>
      <c r="F7246" s="2" t="str">
        <v>0</v>
      </c>
      <c r="I7246" s="3" t="str">
        <f ca="1">IFERROR(__xludf.DUMMYFUNCTION("""COMPUTED_VALUE"""),"Vũ Thị Hồng Nhung")</f>
        <v>Vũ Thị Hồng Nhung</v>
      </c>
      <c r="J7246" s="3" t="str">
        <f ca="1">IFERROR(__xludf.DUMMYFUNCTION("""COMPUTED_VALUE"""),"0961901861")</f>
        <v>0961901861</v>
      </c>
      <c r="K7246" s="2"/>
    </row>
    <row r="7247" spans="1:11" ht="12.45">
      <c r="A7247" s="2" t="str">
        <f ca="1">IFERROR(__xludf.DUMMYFUNCTION("""COMPUTED_VALUE"""),"1743000639817")</f>
        <v>1743000639817</v>
      </c>
      <c r="B7247" s="2"/>
      <c r="C7247" s="2" t="str">
        <v>0</v>
      </c>
      <c r="D7247" s="2"/>
      <c r="F7247" s="2" t="str">
        <v>0</v>
      </c>
      <c r="I7247" s="3" t="str">
        <f ca="1">IFERROR(__xludf.DUMMYFUNCTION("""COMPUTED_VALUE"""),"Nguyễn Thị Na")</f>
        <v>Nguyễn Thị Na</v>
      </c>
      <c r="J7247" s="3" t="str">
        <f ca="1">IFERROR(__xludf.DUMMYFUNCTION("""COMPUTED_VALUE"""),"0378015921")</f>
        <v>0378015921</v>
      </c>
      <c r="K7247" s="2" t="str">
        <f ca="1">IFERROR(__xludf.DUMMYFUNCTION("""COMPUTED_VALUE"""),"1743000639817")</f>
        <v>1743000639817</v>
      </c>
    </row>
    <row r="7248" spans="1:11" ht="12.45">
      <c r="A7248" s="2" t="str">
        <f ca="1">IFERROR(__xludf.DUMMYFUNCTION("""COMPUTED_VALUE"""),"1743000698045")</f>
        <v>1743000698045</v>
      </c>
      <c r="B7248" s="2"/>
      <c r="C7248" s="2" t="str">
        <v>0</v>
      </c>
      <c r="D7248" s="2"/>
      <c r="F7248" s="2" t="str">
        <v>0</v>
      </c>
      <c r="I7248" s="3" t="str">
        <f ca="1">IFERROR(__xludf.DUMMYFUNCTION("""COMPUTED_VALUE"""),"Đỗ Tuấn Thành")</f>
        <v>Đỗ Tuấn Thành</v>
      </c>
      <c r="J7248" s="3" t="str">
        <f ca="1">IFERROR(__xludf.DUMMYFUNCTION("""COMPUTED_VALUE"""),"0912758743")</f>
        <v>0912758743</v>
      </c>
      <c r="K7248" s="2" t="str">
        <f ca="1">IFERROR(__xludf.DUMMYFUNCTION("""COMPUTED_VALUE"""),"1743000698045")</f>
        <v>1743000698045</v>
      </c>
    </row>
    <row r="7249" spans="1:11" ht="12.45">
      <c r="A7249" s="2" t="str">
        <f ca="1">IFERROR(__xludf.DUMMYFUNCTION("""COMPUTED_VALUE"""),"1743000758375")</f>
        <v>1743000758375</v>
      </c>
      <c r="B7249" s="2"/>
      <c r="C7249" s="2" t="str">
        <v>0</v>
      </c>
      <c r="D7249" s="2"/>
      <c r="F7249" s="2" t="str">
        <v>0</v>
      </c>
      <c r="I7249" s="3" t="str">
        <f ca="1">IFERROR(__xludf.DUMMYFUNCTION("""COMPUTED_VALUE"""),"Bùi Thị Trà My")</f>
        <v>Bùi Thị Trà My</v>
      </c>
      <c r="J7249" s="3" t="str">
        <f ca="1">IFERROR(__xludf.DUMMYFUNCTION("""COMPUTED_VALUE"""),"0942483107")</f>
        <v>0942483107</v>
      </c>
      <c r="K7249" s="2" t="str">
        <f ca="1">IFERROR(__xludf.DUMMYFUNCTION("""COMPUTED_VALUE"""),"1743000758375")</f>
        <v>1743000758375</v>
      </c>
    </row>
    <row r="7250" spans="1:11" ht="12.45">
      <c r="A7250" s="2"/>
      <c r="B7250" s="2"/>
      <c r="C7250" s="2" t="str">
        <v>0</v>
      </c>
      <c r="D7250" s="2"/>
      <c r="F7250" s="2" t="str">
        <v>0</v>
      </c>
      <c r="I7250" s="3" t="str">
        <f ca="1">IFERROR(__xludf.DUMMYFUNCTION("""COMPUTED_VALUE"""),"Phan Ngọc Khánh")</f>
        <v>Phan Ngọc Khánh</v>
      </c>
      <c r="J7250" s="3" t="str">
        <f ca="1">IFERROR(__xludf.DUMMYFUNCTION("""COMPUTED_VALUE"""),"0946771697")</f>
        <v>0946771697</v>
      </c>
      <c r="K7250" s="2"/>
    </row>
    <row r="7251" spans="1:11" ht="12.45">
      <c r="A7251" s="2" t="str">
        <f ca="1">IFERROR(__xludf.DUMMYFUNCTION("""COMPUTED_VALUE"""),"1743000810716")</f>
        <v>1743000810716</v>
      </c>
      <c r="B7251" s="2"/>
      <c r="C7251" s="2" t="str">
        <v>0</v>
      </c>
      <c r="D7251" s="2"/>
      <c r="F7251" s="2" t="str">
        <v>0</v>
      </c>
      <c r="I7251" s="3" t="str">
        <f ca="1">IFERROR(__xludf.DUMMYFUNCTION("""COMPUTED_VALUE"""),"Diệp Kim Hân")</f>
        <v>Diệp Kim Hân</v>
      </c>
      <c r="J7251" s="3" t="str">
        <f ca="1">IFERROR(__xludf.DUMMYFUNCTION("""COMPUTED_VALUE"""),"0346545960")</f>
        <v>0346545960</v>
      </c>
      <c r="K7251" s="2" t="str">
        <f ca="1">IFERROR(__xludf.DUMMYFUNCTION("""COMPUTED_VALUE"""),"1743000810716")</f>
        <v>1743000810716</v>
      </c>
    </row>
    <row r="7252" spans="1:11" ht="12.45">
      <c r="A7252" s="2" t="str">
        <f ca="1">IFERROR(__xludf.DUMMYFUNCTION("""COMPUTED_VALUE"""),"1743000910392")</f>
        <v>1743000910392</v>
      </c>
      <c r="B7252" s="2"/>
      <c r="C7252" s="2" t="str">
        <v>0</v>
      </c>
      <c r="D7252" s="2"/>
      <c r="F7252" s="2" t="str">
        <v>0</v>
      </c>
      <c r="I7252" s="3" t="str">
        <f ca="1">IFERROR(__xludf.DUMMYFUNCTION("""COMPUTED_VALUE"""),"Vũ Thanh Huyền ")</f>
        <v xml:space="preserve">Vũ Thanh Huyền </v>
      </c>
      <c r="J7252" s="3" t="str">
        <f ca="1">IFERROR(__xludf.DUMMYFUNCTION("""COMPUTED_VALUE"""),"0336723073")</f>
        <v>0336723073</v>
      </c>
      <c r="K7252" s="2" t="str">
        <f ca="1">IFERROR(__xludf.DUMMYFUNCTION("""COMPUTED_VALUE"""),"1743000910392")</f>
        <v>1743000910392</v>
      </c>
    </row>
    <row r="7253" spans="1:11" ht="12.45">
      <c r="A7253" s="2"/>
      <c r="B7253" s="2"/>
      <c r="C7253" s="2" t="str">
        <v>0</v>
      </c>
      <c r="D7253" s="2"/>
      <c r="F7253" s="2" t="str">
        <v>0</v>
      </c>
      <c r="I7253" s="3" t="str">
        <f ca="1">IFERROR(__xludf.DUMMYFUNCTION("""COMPUTED_VALUE"""),"Nguyễn Thị Minh Thi ")</f>
        <v xml:space="preserve">Nguyễn Thị Minh Thi </v>
      </c>
      <c r="J7253" s="3" t="str">
        <f ca="1">IFERROR(__xludf.DUMMYFUNCTION("""COMPUTED_VALUE"""),"0377928614")</f>
        <v>0377928614</v>
      </c>
      <c r="K7253" s="2"/>
    </row>
    <row r="7254" spans="1:11" ht="12.45">
      <c r="A7254" s="2" t="str">
        <f ca="1">IFERROR(__xludf.DUMMYFUNCTION("""COMPUTED_VALUE"""),"1743000979108")</f>
        <v>1743000979108</v>
      </c>
      <c r="B7254" s="2"/>
      <c r="C7254" s="2" t="str">
        <v>0</v>
      </c>
      <c r="D7254" s="2"/>
      <c r="F7254" s="2" t="str">
        <v>0</v>
      </c>
      <c r="I7254" s="3" t="str">
        <f ca="1">IFERROR(__xludf.DUMMYFUNCTION("""COMPUTED_VALUE"""),"Đoàn Linh Nhi")</f>
        <v>Đoàn Linh Nhi</v>
      </c>
      <c r="J7254" s="3" t="str">
        <f ca="1">IFERROR(__xludf.DUMMYFUNCTION("""COMPUTED_VALUE"""),"0328417858")</f>
        <v>0328417858</v>
      </c>
      <c r="K7254" s="2" t="str">
        <f ca="1">IFERROR(__xludf.DUMMYFUNCTION("""COMPUTED_VALUE"""),"1743000979108")</f>
        <v>1743000979108</v>
      </c>
    </row>
    <row r="7255" spans="1:11" ht="12.45">
      <c r="A7255" s="2" t="str">
        <f ca="1">IFERROR(__xludf.DUMMYFUNCTION("""COMPUTED_VALUE"""),"1743001086404")</f>
        <v>1743001086404</v>
      </c>
      <c r="B7255" s="2"/>
      <c r="C7255" s="2" t="str">
        <v>0</v>
      </c>
      <c r="D7255" s="2"/>
      <c r="F7255" s="2" t="str">
        <v>0</v>
      </c>
      <c r="I7255" s="3" t="str">
        <f ca="1">IFERROR(__xludf.DUMMYFUNCTION("""COMPUTED_VALUE"""),"Nguyễn Ngọc Minh Thư")</f>
        <v>Nguyễn Ngọc Minh Thư</v>
      </c>
      <c r="J7255" s="3" t="str">
        <f ca="1">IFERROR(__xludf.DUMMYFUNCTION("""COMPUTED_VALUE"""),"0395206998")</f>
        <v>0395206998</v>
      </c>
      <c r="K7255" s="2" t="str">
        <f ca="1">IFERROR(__xludf.DUMMYFUNCTION("""COMPUTED_VALUE"""),"1743001086404")</f>
        <v>1743001086404</v>
      </c>
    </row>
    <row r="7256" spans="1:11" ht="12.45">
      <c r="A7256" s="2" t="str">
        <f ca="1">IFERROR(__xludf.DUMMYFUNCTION("""COMPUTED_VALUE"""),"1743001164368")</f>
        <v>1743001164368</v>
      </c>
      <c r="B7256" s="2"/>
      <c r="C7256" s="2" t="str">
        <v>0</v>
      </c>
      <c r="D7256" s="2"/>
      <c r="F7256" s="2" t="str">
        <v>0</v>
      </c>
      <c r="I7256" s="3" t="str">
        <f ca="1">IFERROR(__xludf.DUMMYFUNCTION("""COMPUTED_VALUE"""),"Phạm Hoàng Ngọc Phụng ")</f>
        <v xml:space="preserve">Phạm Hoàng Ngọc Phụng </v>
      </c>
      <c r="J7256" s="3" t="str">
        <f ca="1">IFERROR(__xludf.DUMMYFUNCTION("""COMPUTED_VALUE"""),"0363196730")</f>
        <v>0363196730</v>
      </c>
      <c r="K7256" s="2" t="str">
        <f ca="1">IFERROR(__xludf.DUMMYFUNCTION("""COMPUTED_VALUE"""),"1743001164368")</f>
        <v>1743001164368</v>
      </c>
    </row>
    <row r="7257" spans="1:11" ht="12.45">
      <c r="A7257" s="2" t="str">
        <f ca="1">IFERROR(__xludf.DUMMYFUNCTION("""COMPUTED_VALUE"""),"1743001252349")</f>
        <v>1743001252349</v>
      </c>
      <c r="B7257" s="2"/>
      <c r="C7257" s="2" t="str">
        <v>0</v>
      </c>
      <c r="D7257" s="2"/>
      <c r="F7257" s="2" t="str">
        <v>0</v>
      </c>
      <c r="I7257" s="3" t="str">
        <f ca="1">IFERROR(__xludf.DUMMYFUNCTION("""COMPUTED_VALUE"""),"Nguyễn Thảo Na")</f>
        <v>Nguyễn Thảo Na</v>
      </c>
      <c r="J7257" s="3" t="str">
        <f ca="1">IFERROR(__xludf.DUMMYFUNCTION("""COMPUTED_VALUE"""),"0862793107")</f>
        <v>0862793107</v>
      </c>
      <c r="K7257" s="2" t="str">
        <f ca="1">IFERROR(__xludf.DUMMYFUNCTION("""COMPUTED_VALUE"""),"1743001252349")</f>
        <v>1743001252349</v>
      </c>
    </row>
    <row r="7258" spans="1:11" ht="12.45">
      <c r="A7258" s="2" t="str">
        <f ca="1">IFERROR(__xludf.DUMMYFUNCTION("""COMPUTED_VALUE"""),"1743001333573")</f>
        <v>1743001333573</v>
      </c>
      <c r="B7258" s="2"/>
      <c r="C7258" s="2" t="str">
        <v>0</v>
      </c>
      <c r="D7258" s="2"/>
      <c r="F7258" s="2" t="str">
        <v>0</v>
      </c>
      <c r="I7258" s="3" t="str">
        <f ca="1">IFERROR(__xludf.DUMMYFUNCTION("""COMPUTED_VALUE"""),"Mai Hoàng Kim Anh")</f>
        <v>Mai Hoàng Kim Anh</v>
      </c>
      <c r="J7258" s="3" t="str">
        <f ca="1">IFERROR(__xludf.DUMMYFUNCTION("""COMPUTED_VALUE"""),"0903204674")</f>
        <v>0903204674</v>
      </c>
      <c r="K7258" s="2" t="str">
        <f ca="1">IFERROR(__xludf.DUMMYFUNCTION("""COMPUTED_VALUE"""),"1743001333573")</f>
        <v>1743001333573</v>
      </c>
    </row>
    <row r="7259" spans="1:11" ht="12.45">
      <c r="A7259" s="2" t="str">
        <f ca="1">IFERROR(__xludf.DUMMYFUNCTION("""COMPUTED_VALUE"""),"1743001394912")</f>
        <v>1743001394912</v>
      </c>
      <c r="B7259" s="2"/>
      <c r="C7259" s="2" t="str">
        <v>0</v>
      </c>
      <c r="D7259" s="2"/>
      <c r="F7259" s="2" t="str">
        <v>0</v>
      </c>
      <c r="I7259" s="3" t="str">
        <f ca="1">IFERROR(__xludf.DUMMYFUNCTION("""COMPUTED_VALUE"""),"Hoàng Diệu Linh ")</f>
        <v xml:space="preserve">Hoàng Diệu Linh </v>
      </c>
      <c r="J7259" s="3" t="str">
        <f ca="1">IFERROR(__xludf.DUMMYFUNCTION("""COMPUTED_VALUE"""),"0825005050")</f>
        <v>0825005050</v>
      </c>
      <c r="K7259" s="2" t="str">
        <f ca="1">IFERROR(__xludf.DUMMYFUNCTION("""COMPUTED_VALUE"""),"1743001394912")</f>
        <v>1743001394912</v>
      </c>
    </row>
    <row r="7260" spans="1:11" ht="12.45">
      <c r="A7260" s="2" t="str">
        <f ca="1">IFERROR(__xludf.DUMMYFUNCTION("""COMPUTED_VALUE"""),"1743001474971")</f>
        <v>1743001474971</v>
      </c>
      <c r="B7260" s="2"/>
      <c r="C7260" s="2" t="str">
        <v>0</v>
      </c>
      <c r="D7260" s="2"/>
      <c r="F7260" s="2" t="str">
        <v>0</v>
      </c>
      <c r="I7260" s="3" t="str">
        <f ca="1">IFERROR(__xludf.DUMMYFUNCTION("""COMPUTED_VALUE"""),"Vũ Hoàng Đức Duy")</f>
        <v>Vũ Hoàng Đức Duy</v>
      </c>
      <c r="J7260" s="3" t="str">
        <f ca="1">IFERROR(__xludf.DUMMYFUNCTION("""COMPUTED_VALUE"""),"0328964329")</f>
        <v>0328964329</v>
      </c>
      <c r="K7260" s="2" t="str">
        <f ca="1">IFERROR(__xludf.DUMMYFUNCTION("""COMPUTED_VALUE"""),"1743001474971")</f>
        <v>1743001474971</v>
      </c>
    </row>
    <row r="7261" spans="1:11" ht="12.45">
      <c r="A7261" s="2" t="str">
        <f ca="1">IFERROR(__xludf.DUMMYFUNCTION("""COMPUTED_VALUE"""),"1743001588164")</f>
        <v>1743001588164</v>
      </c>
      <c r="B7261" s="2"/>
      <c r="C7261" s="2" t="str">
        <v>0</v>
      </c>
      <c r="D7261" s="2"/>
      <c r="F7261" s="2" t="str">
        <v>0</v>
      </c>
      <c r="I7261" s="3" t="str">
        <f ca="1">IFERROR(__xludf.DUMMYFUNCTION("""COMPUTED_VALUE"""),"Bùi Lê Thục Anh")</f>
        <v>Bùi Lê Thục Anh</v>
      </c>
      <c r="J7261" s="3" t="str">
        <f ca="1">IFERROR(__xludf.DUMMYFUNCTION("""COMPUTED_VALUE"""),"0368071836")</f>
        <v>0368071836</v>
      </c>
      <c r="K7261" s="2" t="str">
        <f ca="1">IFERROR(__xludf.DUMMYFUNCTION("""COMPUTED_VALUE"""),"1743001588164")</f>
        <v>1743001588164</v>
      </c>
    </row>
    <row r="7262" spans="1:11" ht="12.45">
      <c r="A7262" s="2" t="str">
        <f ca="1">IFERROR(__xludf.DUMMYFUNCTION("""COMPUTED_VALUE"""),"1743001666245")</f>
        <v>1743001666245</v>
      </c>
      <c r="B7262" s="2"/>
      <c r="C7262" s="2" t="str">
        <v>0</v>
      </c>
      <c r="D7262" s="2"/>
      <c r="F7262" s="2" t="str">
        <v>0</v>
      </c>
      <c r="I7262" s="3" t="str">
        <f ca="1">IFERROR(__xludf.DUMMYFUNCTION("""COMPUTED_VALUE"""),"Phạm Khánh Linh")</f>
        <v>Phạm Khánh Linh</v>
      </c>
      <c r="J7262" s="3" t="str">
        <f ca="1">IFERROR(__xludf.DUMMYFUNCTION("""COMPUTED_VALUE"""),"0915083007")</f>
        <v>0915083007</v>
      </c>
      <c r="K7262" s="2" t="str">
        <f ca="1">IFERROR(__xludf.DUMMYFUNCTION("""COMPUTED_VALUE"""),"1743001666245")</f>
        <v>1743001666245</v>
      </c>
    </row>
    <row r="7263" spans="1:11" ht="12.45">
      <c r="A7263" s="2" t="str">
        <f ca="1">IFERROR(__xludf.DUMMYFUNCTION("""COMPUTED_VALUE"""),"1743001770711")</f>
        <v>1743001770711</v>
      </c>
      <c r="B7263" s="2"/>
      <c r="C7263" s="2" t="str">
        <v>0</v>
      </c>
      <c r="D7263" s="2"/>
      <c r="F7263" s="2" t="str">
        <v>0</v>
      </c>
      <c r="I7263" s="3" t="str">
        <f ca="1">IFERROR(__xludf.DUMMYFUNCTION("""COMPUTED_VALUE"""),"Trần Khánh Linh")</f>
        <v>Trần Khánh Linh</v>
      </c>
      <c r="J7263" s="3" t="str">
        <f ca="1">IFERROR(__xludf.DUMMYFUNCTION("""COMPUTED_VALUE"""),"0941115169")</f>
        <v>0941115169</v>
      </c>
      <c r="K7263" s="2" t="str">
        <f ca="1">IFERROR(__xludf.DUMMYFUNCTION("""COMPUTED_VALUE"""),"1743001770711")</f>
        <v>1743001770711</v>
      </c>
    </row>
    <row r="7264" spans="1:11" ht="12.45">
      <c r="A7264" s="2" t="str">
        <f ca="1">IFERROR(__xludf.DUMMYFUNCTION("""COMPUTED_VALUE"""),"1743001848101")</f>
        <v>1743001848101</v>
      </c>
      <c r="B7264" s="2"/>
      <c r="C7264" s="2" t="str">
        <v>0</v>
      </c>
      <c r="D7264" s="2"/>
      <c r="F7264" s="2" t="str">
        <v>0</v>
      </c>
      <c r="I7264" s="3" t="str">
        <f ca="1">IFERROR(__xludf.DUMMYFUNCTION("""COMPUTED_VALUE"""),"Bùi Thị Ngọc Hải")</f>
        <v>Bùi Thị Ngọc Hải</v>
      </c>
      <c r="J7264" s="3" t="str">
        <f ca="1">IFERROR(__xludf.DUMMYFUNCTION("""COMPUTED_VALUE"""),"0346148791")</f>
        <v>0346148791</v>
      </c>
      <c r="K7264" s="2" t="str">
        <f ca="1">IFERROR(__xludf.DUMMYFUNCTION("""COMPUTED_VALUE"""),"1743001848101")</f>
        <v>1743001848101</v>
      </c>
    </row>
    <row r="7265" spans="1:11" ht="12.45">
      <c r="A7265" s="2" t="str">
        <f ca="1">IFERROR(__xludf.DUMMYFUNCTION("""COMPUTED_VALUE"""),"1743001929545")</f>
        <v>1743001929545</v>
      </c>
      <c r="B7265" s="2"/>
      <c r="C7265" s="2" t="str">
        <v>0</v>
      </c>
      <c r="D7265" s="2"/>
      <c r="F7265" s="2" t="str">
        <v>0</v>
      </c>
      <c r="I7265" s="3" t="str">
        <f ca="1">IFERROR(__xludf.DUMMYFUNCTION("""COMPUTED_VALUE"""),"Trịnh Thị Huế")</f>
        <v>Trịnh Thị Huế</v>
      </c>
      <c r="J7265" s="3" t="str">
        <f ca="1">IFERROR(__xludf.DUMMYFUNCTION("""COMPUTED_VALUE"""),"0968184536")</f>
        <v>0968184536</v>
      </c>
      <c r="K7265" s="2" t="str">
        <f ca="1">IFERROR(__xludf.DUMMYFUNCTION("""COMPUTED_VALUE"""),"1743001929545")</f>
        <v>1743001929545</v>
      </c>
    </row>
    <row r="7266" spans="1:11" ht="12.45">
      <c r="A7266" s="2" t="str">
        <f ca="1">IFERROR(__xludf.DUMMYFUNCTION("""COMPUTED_VALUE"""),"1743001997765")</f>
        <v>1743001997765</v>
      </c>
      <c r="B7266" s="2"/>
      <c r="C7266" s="2" t="str">
        <v>0</v>
      </c>
      <c r="D7266" s="2"/>
      <c r="F7266" s="2" t="str">
        <v>0</v>
      </c>
      <c r="I7266" s="3" t="str">
        <f ca="1">IFERROR(__xludf.DUMMYFUNCTION("""COMPUTED_VALUE"""),"Lê Quỳnh Trang")</f>
        <v>Lê Quỳnh Trang</v>
      </c>
      <c r="J7266" s="3" t="str">
        <f ca="1">IFERROR(__xludf.DUMMYFUNCTION("""COMPUTED_VALUE"""),"0366266019")</f>
        <v>0366266019</v>
      </c>
      <c r="K7266" s="2" t="str">
        <f ca="1">IFERROR(__xludf.DUMMYFUNCTION("""COMPUTED_VALUE"""),"1743001997765")</f>
        <v>1743001997765</v>
      </c>
    </row>
    <row r="7267" spans="1:11" ht="12.45">
      <c r="A7267" s="2" t="str">
        <f ca="1">IFERROR(__xludf.DUMMYFUNCTION("""COMPUTED_VALUE"""),"1743002081646")</f>
        <v>1743002081646</v>
      </c>
      <c r="B7267" s="2"/>
      <c r="C7267" s="2" t="str">
        <v>0</v>
      </c>
      <c r="D7267" s="2"/>
      <c r="F7267" s="2" t="str">
        <v>0</v>
      </c>
      <c r="I7267" s="3" t="str">
        <f ca="1">IFERROR(__xludf.DUMMYFUNCTION("""COMPUTED_VALUE"""),"Nguyễn Thúy Hoa")</f>
        <v>Nguyễn Thúy Hoa</v>
      </c>
      <c r="J7267" s="3" t="str">
        <f ca="1">IFERROR(__xludf.DUMMYFUNCTION("""COMPUTED_VALUE"""),"0399440058")</f>
        <v>0399440058</v>
      </c>
      <c r="K7267" s="2" t="str">
        <f ca="1">IFERROR(__xludf.DUMMYFUNCTION("""COMPUTED_VALUE"""),"1743002081646")</f>
        <v>1743002081646</v>
      </c>
    </row>
    <row r="7268" spans="1:11" ht="12.45">
      <c r="A7268" s="2" t="str">
        <f ca="1">IFERROR(__xludf.DUMMYFUNCTION("""COMPUTED_VALUE"""),"1743002152364")</f>
        <v>1743002152364</v>
      </c>
      <c r="B7268" s="2"/>
      <c r="C7268" s="2" t="str">
        <v>0</v>
      </c>
      <c r="D7268" s="2"/>
      <c r="F7268" s="2" t="str">
        <v>0</v>
      </c>
      <c r="I7268" s="3" t="str">
        <f ca="1">IFERROR(__xludf.DUMMYFUNCTION("""COMPUTED_VALUE"""),"NGUYỄN BẢO TRÂM ")</f>
        <v xml:space="preserve">NGUYỄN BẢO TRÂM </v>
      </c>
      <c r="J7268" s="3" t="str">
        <f ca="1">IFERROR(__xludf.DUMMYFUNCTION("""COMPUTED_VALUE"""),"0565464892")</f>
        <v>0565464892</v>
      </c>
      <c r="K7268" s="2" t="str">
        <f ca="1">IFERROR(__xludf.DUMMYFUNCTION("""COMPUTED_VALUE"""),"1743002152364")</f>
        <v>1743002152364</v>
      </c>
    </row>
    <row r="7269" spans="1:11" ht="12.45">
      <c r="A7269" s="2" t="str">
        <f ca="1">IFERROR(__xludf.DUMMYFUNCTION("""COMPUTED_VALUE"""),"1743002217262")</f>
        <v>1743002217262</v>
      </c>
      <c r="B7269" s="2"/>
      <c r="C7269" s="2" t="str">
        <v>0</v>
      </c>
      <c r="D7269" s="2"/>
      <c r="F7269" s="2" t="str">
        <v>0</v>
      </c>
      <c r="I7269" s="3" t="str">
        <f ca="1">IFERROR(__xludf.DUMMYFUNCTION("""COMPUTED_VALUE"""),"Nguyễn Hà My")</f>
        <v>Nguyễn Hà My</v>
      </c>
      <c r="J7269" s="3" t="str">
        <f ca="1">IFERROR(__xludf.DUMMYFUNCTION("""COMPUTED_VALUE"""),"0819257988")</f>
        <v>0819257988</v>
      </c>
      <c r="K7269" s="2" t="str">
        <f ca="1">IFERROR(__xludf.DUMMYFUNCTION("""COMPUTED_VALUE"""),"1743002217262")</f>
        <v>1743002217262</v>
      </c>
    </row>
    <row r="7270" spans="1:11" ht="12.45">
      <c r="A7270" s="2" t="str">
        <f ca="1">IFERROR(__xludf.DUMMYFUNCTION("""COMPUTED_VALUE"""),"1743002288001")</f>
        <v>1743002288001</v>
      </c>
      <c r="B7270" s="2"/>
      <c r="C7270" s="2" t="str">
        <v>0</v>
      </c>
      <c r="D7270" s="2"/>
      <c r="F7270" s="2" t="str">
        <v>0</v>
      </c>
      <c r="I7270" s="3" t="str">
        <f ca="1">IFERROR(__xludf.DUMMYFUNCTION("""COMPUTED_VALUE"""),"Lê Thị Thùy Dương")</f>
        <v>Lê Thị Thùy Dương</v>
      </c>
      <c r="J7270" s="3" t="str">
        <f ca="1">IFERROR(__xludf.DUMMYFUNCTION("""COMPUTED_VALUE"""),"0902884213")</f>
        <v>0902884213</v>
      </c>
      <c r="K7270" s="2" t="str">
        <f ca="1">IFERROR(__xludf.DUMMYFUNCTION("""COMPUTED_VALUE"""),"1743002288001")</f>
        <v>1743002288001</v>
      </c>
    </row>
    <row r="7271" spans="1:11" ht="12.45">
      <c r="A7271" s="2" t="str">
        <f ca="1">IFERROR(__xludf.DUMMYFUNCTION("""COMPUTED_VALUE"""),"1743002366526")</f>
        <v>1743002366526</v>
      </c>
      <c r="B7271" s="2"/>
      <c r="C7271" s="2" t="str">
        <v>0</v>
      </c>
      <c r="D7271" s="2"/>
      <c r="F7271" s="2" t="str">
        <v>0</v>
      </c>
      <c r="I7271" s="3" t="str">
        <f ca="1">IFERROR(__xludf.DUMMYFUNCTION("""COMPUTED_VALUE"""),"LÊ MINH THƯ")</f>
        <v>LÊ MINH THƯ</v>
      </c>
      <c r="J7271" s="3" t="str">
        <f ca="1">IFERROR(__xludf.DUMMYFUNCTION("""COMPUTED_VALUE"""),"0374151600")</f>
        <v>0374151600</v>
      </c>
      <c r="K7271" s="2" t="str">
        <f ca="1">IFERROR(__xludf.DUMMYFUNCTION("""COMPUTED_VALUE"""),"1743002366526")</f>
        <v>1743002366526</v>
      </c>
    </row>
    <row r="7272" spans="1:11" ht="12.45">
      <c r="A7272" s="2" t="str">
        <f ca="1">IFERROR(__xludf.DUMMYFUNCTION("""COMPUTED_VALUE"""),"1743002419165")</f>
        <v>1743002419165</v>
      </c>
      <c r="B7272" s="2"/>
      <c r="C7272" s="2" t="str">
        <v>0</v>
      </c>
      <c r="D7272" s="2"/>
      <c r="F7272" s="2" t="str">
        <v>0</v>
      </c>
      <c r="I7272" s="3" t="str">
        <f ca="1">IFERROR(__xludf.DUMMYFUNCTION("""COMPUTED_VALUE"""),"Trần Đức Anh ")</f>
        <v xml:space="preserve">Trần Đức Anh </v>
      </c>
      <c r="J7272" s="3" t="str">
        <f ca="1">IFERROR(__xludf.DUMMYFUNCTION("""COMPUTED_VALUE"""),"0967700448")</f>
        <v>0967700448</v>
      </c>
      <c r="K7272" s="2" t="str">
        <f ca="1">IFERROR(__xludf.DUMMYFUNCTION("""COMPUTED_VALUE"""),"1743002419165")</f>
        <v>1743002419165</v>
      </c>
    </row>
    <row r="7273" spans="1:11" ht="12.45">
      <c r="A7273" s="2" t="str">
        <f ca="1">IFERROR(__xludf.DUMMYFUNCTION("""COMPUTED_VALUE"""),"1743002503100")</f>
        <v>1743002503100</v>
      </c>
      <c r="B7273" s="2"/>
      <c r="C7273" s="2" t="str">
        <v>0</v>
      </c>
      <c r="D7273" s="2"/>
      <c r="F7273" s="2" t="str">
        <v>0</v>
      </c>
      <c r="I7273" s="3" t="str">
        <f ca="1">IFERROR(__xludf.DUMMYFUNCTION("""COMPUTED_VALUE"""),"Nguyễn Trần Diệu Ly")</f>
        <v>Nguyễn Trần Diệu Ly</v>
      </c>
      <c r="J7273" s="3" t="str">
        <f ca="1">IFERROR(__xludf.DUMMYFUNCTION("""COMPUTED_VALUE"""),"0765888286")</f>
        <v>0765888286</v>
      </c>
      <c r="K7273" s="2" t="str">
        <f ca="1">IFERROR(__xludf.DUMMYFUNCTION("""COMPUTED_VALUE"""),"1743002503100")</f>
        <v>1743002503100</v>
      </c>
    </row>
    <row r="7274" spans="1:11" ht="12.45">
      <c r="A7274" s="2"/>
      <c r="B7274" s="2"/>
      <c r="C7274" s="2" t="str">
        <v>0</v>
      </c>
      <c r="D7274" s="2"/>
      <c r="F7274" s="2" t="str">
        <v>0</v>
      </c>
      <c r="I7274" s="3" t="str">
        <f ca="1">IFERROR(__xludf.DUMMYFUNCTION("""COMPUTED_VALUE"""),"Đỗ Trần Hoàng Giang")</f>
        <v>Đỗ Trần Hoàng Giang</v>
      </c>
      <c r="J7274" s="3" t="str">
        <f ca="1">IFERROR(__xludf.DUMMYFUNCTION("""COMPUTED_VALUE"""),"0395692392")</f>
        <v>0395692392</v>
      </c>
      <c r="K7274" s="2"/>
    </row>
    <row r="7275" spans="1:11" ht="12.45">
      <c r="A7275" s="2" t="str">
        <f ca="1">IFERROR(__xludf.DUMMYFUNCTION("""COMPUTED_VALUE"""),"1743002560847")</f>
        <v>1743002560847</v>
      </c>
      <c r="B7275" s="2"/>
      <c r="C7275" s="2" t="str">
        <v>0</v>
      </c>
      <c r="D7275" s="2"/>
      <c r="F7275" s="2" t="str">
        <v>0</v>
      </c>
      <c r="I7275" s="3" t="str">
        <f ca="1">IFERROR(__xludf.DUMMYFUNCTION("""COMPUTED_VALUE"""),"Thành Hoà Khánh")</f>
        <v>Thành Hoà Khánh</v>
      </c>
      <c r="J7275" s="3" t="str">
        <f ca="1">IFERROR(__xludf.DUMMYFUNCTION("""COMPUTED_VALUE"""),"0916050734")</f>
        <v>0916050734</v>
      </c>
      <c r="K7275" s="2" t="str">
        <f ca="1">IFERROR(__xludf.DUMMYFUNCTION("""COMPUTED_VALUE"""),"1743002560847")</f>
        <v>1743002560847</v>
      </c>
    </row>
    <row r="7276" spans="1:11" ht="12.45">
      <c r="A7276" s="2" t="str">
        <f ca="1">IFERROR(__xludf.DUMMYFUNCTION("""COMPUTED_VALUE"""),"1743002694951")</f>
        <v>1743002694951</v>
      </c>
      <c r="B7276" s="2"/>
      <c r="C7276" s="2" t="str">
        <v>0</v>
      </c>
      <c r="D7276" s="2"/>
      <c r="F7276" s="2" t="str">
        <v>0</v>
      </c>
      <c r="I7276" s="3" t="str">
        <f ca="1">IFERROR(__xludf.DUMMYFUNCTION("""COMPUTED_VALUE"""),"Đặng Hoàng Thanh Ngân")</f>
        <v>Đặng Hoàng Thanh Ngân</v>
      </c>
      <c r="J7276" s="3" t="str">
        <f ca="1">IFERROR(__xludf.DUMMYFUNCTION("""COMPUTED_VALUE"""),"0336816713")</f>
        <v>0336816713</v>
      </c>
      <c r="K7276" s="2" t="str">
        <f ca="1">IFERROR(__xludf.DUMMYFUNCTION("""COMPUTED_VALUE"""),"1743002694951")</f>
        <v>1743002694951</v>
      </c>
    </row>
    <row r="7277" spans="1:11" ht="12.45">
      <c r="A7277" s="2" t="str">
        <f ca="1">IFERROR(__xludf.DUMMYFUNCTION("""COMPUTED_VALUE"""),"1743002791307")</f>
        <v>1743002791307</v>
      </c>
      <c r="B7277" s="2"/>
      <c r="C7277" s="2" t="str">
        <v>0</v>
      </c>
      <c r="D7277" s="2"/>
      <c r="F7277" s="2" t="str">
        <v>0</v>
      </c>
      <c r="I7277" s="3" t="str">
        <f ca="1">IFERROR(__xludf.DUMMYFUNCTION("""COMPUTED_VALUE"""),"Nguyễn Ngọc Hồng Hạnh ")</f>
        <v xml:space="preserve">Nguyễn Ngọc Hồng Hạnh </v>
      </c>
      <c r="J7277" s="3" t="str">
        <f ca="1">IFERROR(__xludf.DUMMYFUNCTION("""COMPUTED_VALUE"""),"0338290260")</f>
        <v>0338290260</v>
      </c>
      <c r="K7277" s="2" t="str">
        <f ca="1">IFERROR(__xludf.DUMMYFUNCTION("""COMPUTED_VALUE"""),"1743002791307")</f>
        <v>1743002791307</v>
      </c>
    </row>
    <row r="7278" spans="1:11" ht="12.45">
      <c r="A7278" s="2" t="str">
        <f ca="1">IFERROR(__xludf.DUMMYFUNCTION("""COMPUTED_VALUE"""),"1743002869589")</f>
        <v>1743002869589</v>
      </c>
      <c r="B7278" s="2"/>
      <c r="C7278" s="2" t="str">
        <v>0</v>
      </c>
      <c r="D7278" s="2"/>
      <c r="F7278" s="2" t="str">
        <v>0</v>
      </c>
      <c r="I7278" s="3" t="str">
        <f ca="1">IFERROR(__xludf.DUMMYFUNCTION("""COMPUTED_VALUE"""),"Trần Thị Ánh Nguyệt ")</f>
        <v xml:space="preserve">Trần Thị Ánh Nguyệt </v>
      </c>
      <c r="J7278" s="3" t="str">
        <f ca="1">IFERROR(__xludf.DUMMYFUNCTION("""COMPUTED_VALUE"""),"0353769201")</f>
        <v>0353769201</v>
      </c>
      <c r="K7278" s="2" t="str">
        <f ca="1">IFERROR(__xludf.DUMMYFUNCTION("""COMPUTED_VALUE"""),"1743002869589")</f>
        <v>1743002869589</v>
      </c>
    </row>
    <row r="7279" spans="1:11" ht="12.45">
      <c r="A7279" s="2"/>
      <c r="B7279" s="2"/>
      <c r="C7279" s="2" t="str">
        <v>0</v>
      </c>
      <c r="D7279" s="2"/>
      <c r="F7279" s="2" t="str">
        <v>0</v>
      </c>
      <c r="I7279" s="3" t="str">
        <f ca="1">IFERROR(__xludf.DUMMYFUNCTION("""COMPUTED_VALUE"""),"Trần Anh Tú")</f>
        <v>Trần Anh Tú</v>
      </c>
      <c r="J7279" s="3" t="str">
        <f ca="1">IFERROR(__xludf.DUMMYFUNCTION("""COMPUTED_VALUE"""),"0865416732")</f>
        <v>0865416732</v>
      </c>
      <c r="K7279" s="2"/>
    </row>
    <row r="7280" spans="1:11" ht="12.45">
      <c r="A7280" s="2"/>
      <c r="B7280" s="2"/>
      <c r="C7280" s="2" t="str">
        <v>0</v>
      </c>
      <c r="D7280" s="2"/>
      <c r="F7280" s="2" t="str">
        <v>0</v>
      </c>
      <c r="I7280" s="3" t="str">
        <f ca="1">IFERROR(__xludf.DUMMYFUNCTION("""COMPUTED_VALUE"""),"Lương Trung Văn")</f>
        <v>Lương Trung Văn</v>
      </c>
      <c r="J7280" s="3" t="str">
        <f ca="1">IFERROR(__xludf.DUMMYFUNCTION("""COMPUTED_VALUE"""),"0378944363")</f>
        <v>0378944363</v>
      </c>
      <c r="K7280" s="2"/>
    </row>
    <row r="7281" spans="1:11" ht="12.45">
      <c r="A7281" s="2"/>
      <c r="B7281" s="2"/>
      <c r="C7281" s="2" t="str">
        <v>0</v>
      </c>
      <c r="D7281" s="2"/>
      <c r="F7281" s="2" t="str">
        <v>0</v>
      </c>
      <c r="I7281" s="3" t="str">
        <f ca="1">IFERROR(__xludf.DUMMYFUNCTION("""COMPUTED_VALUE"""),"Bùi Vũ An Khánh")</f>
        <v>Bùi Vũ An Khánh</v>
      </c>
      <c r="J7281" s="3" t="str">
        <f ca="1">IFERROR(__xludf.DUMMYFUNCTION("""COMPUTED_VALUE"""),"0326306827")</f>
        <v>0326306827</v>
      </c>
      <c r="K7281" s="2"/>
    </row>
    <row r="7282" spans="1:11" ht="12.45">
      <c r="A7282" s="2" t="str">
        <f ca="1">IFERROR(__xludf.DUMMYFUNCTION("""COMPUTED_VALUE"""),"1743002996696")</f>
        <v>1743002996696</v>
      </c>
      <c r="B7282" s="2"/>
      <c r="C7282" s="2" t="str">
        <v>0</v>
      </c>
      <c r="D7282" s="2"/>
      <c r="F7282" s="2" t="str">
        <v>0</v>
      </c>
      <c r="I7282" s="3" t="str">
        <f ca="1">IFERROR(__xludf.DUMMYFUNCTION("""COMPUTED_VALUE"""),"Nguyễn Ngọc Bảo Trang")</f>
        <v>Nguyễn Ngọc Bảo Trang</v>
      </c>
      <c r="J7282" s="3" t="str">
        <f ca="1">IFERROR(__xludf.DUMMYFUNCTION("""COMPUTED_VALUE"""),"0799412802")</f>
        <v>0799412802</v>
      </c>
      <c r="K7282" s="2" t="str">
        <f ca="1">IFERROR(__xludf.DUMMYFUNCTION("""COMPUTED_VALUE"""),"1743002996696")</f>
        <v>1743002996696</v>
      </c>
    </row>
    <row r="7283" spans="1:11" ht="12.45">
      <c r="A7283" s="2" t="str">
        <f ca="1">IFERROR(__xludf.DUMMYFUNCTION("""COMPUTED_VALUE"""),"1743003115844")</f>
        <v>1743003115844</v>
      </c>
      <c r="B7283" s="2"/>
      <c r="C7283" s="2" t="str">
        <v>0</v>
      </c>
      <c r="D7283" s="2"/>
      <c r="F7283" s="2" t="str">
        <v>0</v>
      </c>
      <c r="I7283" s="3" t="str">
        <f ca="1">IFERROR(__xludf.DUMMYFUNCTION("""COMPUTED_VALUE"""),"Đỗ Thị Phương Anh")</f>
        <v>Đỗ Thị Phương Anh</v>
      </c>
      <c r="J7283" s="3" t="str">
        <f ca="1">IFERROR(__xludf.DUMMYFUNCTION("""COMPUTED_VALUE"""),"0878601329")</f>
        <v>0878601329</v>
      </c>
      <c r="K7283" s="2" t="str">
        <f ca="1">IFERROR(__xludf.DUMMYFUNCTION("""COMPUTED_VALUE"""),"1743003115844")</f>
        <v>1743003115844</v>
      </c>
    </row>
    <row r="7284" spans="1:11" ht="12.45">
      <c r="A7284" s="2" t="str">
        <f ca="1">IFERROR(__xludf.DUMMYFUNCTION("""COMPUTED_VALUE"""),"1743003174322")</f>
        <v>1743003174322</v>
      </c>
      <c r="B7284" s="2"/>
      <c r="C7284" s="2" t="str">
        <v>0</v>
      </c>
      <c r="D7284" s="2"/>
      <c r="F7284" s="2" t="str">
        <v>0</v>
      </c>
      <c r="I7284" s="3" t="str">
        <f ca="1">IFERROR(__xludf.DUMMYFUNCTION("""COMPUTED_VALUE"""),"Nguyễn Thị Thuỳ Trang")</f>
        <v>Nguyễn Thị Thuỳ Trang</v>
      </c>
      <c r="J7284" s="3" t="str">
        <f ca="1">IFERROR(__xludf.DUMMYFUNCTION("""COMPUTED_VALUE"""),"0989911840")</f>
        <v>0989911840</v>
      </c>
      <c r="K7284" s="2" t="str">
        <f ca="1">IFERROR(__xludf.DUMMYFUNCTION("""COMPUTED_VALUE"""),"1743003174322")</f>
        <v>1743003174322</v>
      </c>
    </row>
    <row r="7285" spans="1:11" ht="12.45">
      <c r="A7285" s="2" t="str">
        <f ca="1">IFERROR(__xludf.DUMMYFUNCTION("""COMPUTED_VALUE"""),"1743003246365")</f>
        <v>1743003246365</v>
      </c>
      <c r="B7285" s="2"/>
      <c r="C7285" s="2" t="str">
        <v>0</v>
      </c>
      <c r="D7285" s="2"/>
      <c r="F7285" s="2" t="str">
        <v>0</v>
      </c>
      <c r="I7285" s="3" t="str">
        <f ca="1">IFERROR(__xludf.DUMMYFUNCTION("""COMPUTED_VALUE"""),"Hồ Minh Phương")</f>
        <v>Hồ Minh Phương</v>
      </c>
      <c r="J7285" s="3" t="str">
        <f ca="1">IFERROR(__xludf.DUMMYFUNCTION("""COMPUTED_VALUE"""),"0948353710")</f>
        <v>0948353710</v>
      </c>
      <c r="K7285" s="2" t="str">
        <f ca="1">IFERROR(__xludf.DUMMYFUNCTION("""COMPUTED_VALUE"""),"1743003246365")</f>
        <v>1743003246365</v>
      </c>
    </row>
    <row r="7286" spans="1:11" ht="12.45">
      <c r="A7286" s="2" t="str">
        <f ca="1">IFERROR(__xludf.DUMMYFUNCTION("""COMPUTED_VALUE"""),"1743003309434")</f>
        <v>1743003309434</v>
      </c>
      <c r="B7286" s="2"/>
      <c r="C7286" s="2" t="str">
        <v>0</v>
      </c>
      <c r="D7286" s="2"/>
      <c r="F7286" s="2" t="str">
        <v>0</v>
      </c>
      <c r="I7286" s="3" t="str">
        <f ca="1">IFERROR(__xludf.DUMMYFUNCTION("""COMPUTED_VALUE"""),"Nguyễn Hoàng Thảo Ngân ")</f>
        <v xml:space="preserve">Nguyễn Hoàng Thảo Ngân </v>
      </c>
      <c r="J7286" s="3" t="str">
        <f ca="1">IFERROR(__xludf.DUMMYFUNCTION("""COMPUTED_VALUE"""),"0989377670")</f>
        <v>0989377670</v>
      </c>
      <c r="K7286" s="2" t="str">
        <f ca="1">IFERROR(__xludf.DUMMYFUNCTION("""COMPUTED_VALUE"""),"1743003309434")</f>
        <v>1743003309434</v>
      </c>
    </row>
    <row r="7287" spans="1:11" ht="12.45">
      <c r="A7287" s="2" t="str">
        <f ca="1">IFERROR(__xludf.DUMMYFUNCTION("""COMPUTED_VALUE"""),"1743003410242")</f>
        <v>1743003410242</v>
      </c>
      <c r="B7287" s="2"/>
      <c r="C7287" s="2" t="str">
        <v>0</v>
      </c>
      <c r="D7287" s="2"/>
      <c r="F7287" s="2" t="str">
        <v>0</v>
      </c>
      <c r="I7287" s="3" t="str">
        <f ca="1">IFERROR(__xludf.DUMMYFUNCTION("""COMPUTED_VALUE"""),"Nguyễn Ánh Dương")</f>
        <v>Nguyễn Ánh Dương</v>
      </c>
      <c r="J7287" s="3" t="str">
        <f ca="1">IFERROR(__xludf.DUMMYFUNCTION("""COMPUTED_VALUE"""),"0965768559")</f>
        <v>0965768559</v>
      </c>
      <c r="K7287" s="2" t="str">
        <f ca="1">IFERROR(__xludf.DUMMYFUNCTION("""COMPUTED_VALUE"""),"1743003410242")</f>
        <v>1743003410242</v>
      </c>
    </row>
    <row r="7288" spans="1:11" ht="12.45">
      <c r="A7288" s="2" t="str">
        <f ca="1">IFERROR(__xludf.DUMMYFUNCTION("""COMPUTED_VALUE"""),"1743003498868")</f>
        <v>1743003498868</v>
      </c>
      <c r="B7288" s="2"/>
      <c r="C7288" s="2" t="str">
        <v>0</v>
      </c>
      <c r="D7288" s="2"/>
      <c r="F7288" s="2" t="str">
        <v>0</v>
      </c>
      <c r="I7288" s="3" t="str">
        <f ca="1">IFERROR(__xludf.DUMMYFUNCTION("""COMPUTED_VALUE"""),"Trần Kim Chi")</f>
        <v>Trần Kim Chi</v>
      </c>
      <c r="J7288" s="3" t="str">
        <f ca="1">IFERROR(__xludf.DUMMYFUNCTION("""COMPUTED_VALUE"""),"0853693033")</f>
        <v>0853693033</v>
      </c>
      <c r="K7288" s="2" t="str">
        <f ca="1">IFERROR(__xludf.DUMMYFUNCTION("""COMPUTED_VALUE"""),"1743003498868")</f>
        <v>1743003498868</v>
      </c>
    </row>
    <row r="7289" spans="1:11" ht="12.45">
      <c r="A7289" s="2" t="str">
        <f ca="1">IFERROR(__xludf.DUMMYFUNCTION("""COMPUTED_VALUE"""),"1743003570618")</f>
        <v>1743003570618</v>
      </c>
      <c r="B7289" s="2"/>
      <c r="C7289" s="2" t="str">
        <v>0</v>
      </c>
      <c r="D7289" s="2"/>
      <c r="F7289" s="2" t="str">
        <v>0</v>
      </c>
      <c r="I7289" s="3" t="str">
        <f ca="1">IFERROR(__xludf.DUMMYFUNCTION("""COMPUTED_VALUE"""),"Ngô Ánh Nhi")</f>
        <v>Ngô Ánh Nhi</v>
      </c>
      <c r="J7289" s="3" t="str">
        <f ca="1">IFERROR(__xludf.DUMMYFUNCTION("""COMPUTED_VALUE"""),"0964927359")</f>
        <v>0964927359</v>
      </c>
      <c r="K7289" s="2" t="str">
        <f ca="1">IFERROR(__xludf.DUMMYFUNCTION("""COMPUTED_VALUE"""),"1743003570618")</f>
        <v>1743003570618</v>
      </c>
    </row>
    <row r="7290" spans="1:11" ht="12.45">
      <c r="A7290" s="2" t="str">
        <f ca="1">IFERROR(__xludf.DUMMYFUNCTION("""COMPUTED_VALUE"""),"1743003774221")</f>
        <v>1743003774221</v>
      </c>
      <c r="B7290" s="2"/>
      <c r="C7290" s="2" t="str">
        <v>0</v>
      </c>
      <c r="D7290" s="2"/>
      <c r="F7290" s="2" t="str">
        <v>0</v>
      </c>
      <c r="I7290" s="3" t="str">
        <f ca="1">IFERROR(__xludf.DUMMYFUNCTION("""COMPUTED_VALUE"""),"Hoàng Ngọc Huế")</f>
        <v>Hoàng Ngọc Huế</v>
      </c>
      <c r="J7290" s="3" t="str">
        <f ca="1">IFERROR(__xludf.DUMMYFUNCTION("""COMPUTED_VALUE"""),"0362382364")</f>
        <v>0362382364</v>
      </c>
      <c r="K7290" s="2" t="str">
        <f ca="1">IFERROR(__xludf.DUMMYFUNCTION("""COMPUTED_VALUE"""),"1743003774221")</f>
        <v>1743003774221</v>
      </c>
    </row>
    <row r="7291" spans="1:11" ht="12.45">
      <c r="A7291" s="2" t="str">
        <f ca="1">IFERROR(__xludf.DUMMYFUNCTION("""COMPUTED_VALUE"""),"1743003877953")</f>
        <v>1743003877953</v>
      </c>
      <c r="B7291" s="2"/>
      <c r="C7291" s="2" t="str">
        <v>0</v>
      </c>
      <c r="D7291" s="2"/>
      <c r="F7291" s="2" t="str">
        <v>0</v>
      </c>
      <c r="I7291" s="3" t="str">
        <f ca="1">IFERROR(__xludf.DUMMYFUNCTION("""COMPUTED_VALUE"""),"Phạm vy lâm")</f>
        <v>Phạm vy lâm</v>
      </c>
      <c r="J7291" s="3" t="str">
        <f ca="1">IFERROR(__xludf.DUMMYFUNCTION("""COMPUTED_VALUE"""),"0375803363")</f>
        <v>0375803363</v>
      </c>
      <c r="K7291" s="2" t="str">
        <f ca="1">IFERROR(__xludf.DUMMYFUNCTION("""COMPUTED_VALUE"""),"1743003877953")</f>
        <v>1743003877953</v>
      </c>
    </row>
    <row r="7292" spans="1:11" ht="12.45">
      <c r="A7292" s="2" t="str">
        <f ca="1">IFERROR(__xludf.DUMMYFUNCTION("""COMPUTED_VALUE"""),"1743004003690")</f>
        <v>1743004003690</v>
      </c>
      <c r="B7292" s="2"/>
      <c r="C7292" s="2" t="str">
        <v>0</v>
      </c>
      <c r="D7292" s="2"/>
      <c r="F7292" s="2" t="str">
        <v>0</v>
      </c>
      <c r="I7292" s="3" t="str">
        <f ca="1">IFERROR(__xludf.DUMMYFUNCTION("""COMPUTED_VALUE"""),"Trần Bội Ngọc")</f>
        <v>Trần Bội Ngọc</v>
      </c>
      <c r="J7292" s="3" t="str">
        <f ca="1">IFERROR(__xludf.DUMMYFUNCTION("""COMPUTED_VALUE"""),"0773745873")</f>
        <v>0773745873</v>
      </c>
      <c r="K7292" s="2" t="str">
        <f ca="1">IFERROR(__xludf.DUMMYFUNCTION("""COMPUTED_VALUE"""),"1743004003690")</f>
        <v>1743004003690</v>
      </c>
    </row>
    <row r="7293" spans="1:11" ht="12.45">
      <c r="A7293" s="2" t="str">
        <f ca="1">IFERROR(__xludf.DUMMYFUNCTION("""COMPUTED_VALUE"""),"1743118762723")</f>
        <v>1743118762723</v>
      </c>
      <c r="B7293" s="2"/>
      <c r="C7293" s="2" t="str">
        <v>0</v>
      </c>
      <c r="D7293" s="2"/>
      <c r="F7293" s="2" t="str">
        <v>0</v>
      </c>
      <c r="I7293" s="3" t="str">
        <f ca="1">IFERROR(__xludf.DUMMYFUNCTION("""COMPUTED_VALUE"""),"Nguyễn Ngọc Khánh Linh ")</f>
        <v xml:space="preserve">Nguyễn Ngọc Khánh Linh </v>
      </c>
      <c r="J7293" s="3" t="str">
        <f ca="1">IFERROR(__xludf.DUMMYFUNCTION("""COMPUTED_VALUE"""),"0357864048")</f>
        <v>0357864048</v>
      </c>
      <c r="K7293" s="2" t="str">
        <f ca="1">IFERROR(__xludf.DUMMYFUNCTION("""COMPUTED_VALUE"""),"1743118762723")</f>
        <v>1743118762723</v>
      </c>
    </row>
    <row r="7294" spans="1:11" ht="12.45">
      <c r="A7294" s="2" t="str">
        <f ca="1">IFERROR(__xludf.DUMMYFUNCTION("""COMPUTED_VALUE"""),"1743118845231")</f>
        <v>1743118845231</v>
      </c>
      <c r="B7294" s="2"/>
      <c r="C7294" s="2" t="str">
        <v>0</v>
      </c>
      <c r="D7294" s="2"/>
      <c r="F7294" s="2" t="str">
        <v>0</v>
      </c>
      <c r="I7294" s="3" t="str">
        <f ca="1">IFERROR(__xludf.DUMMYFUNCTION("""COMPUTED_VALUE"""),"Nguyễn Thái Nhật Anh")</f>
        <v>Nguyễn Thái Nhật Anh</v>
      </c>
      <c r="J7294" s="3" t="str">
        <f ca="1">IFERROR(__xludf.DUMMYFUNCTION("""COMPUTED_VALUE"""),"0354893324")</f>
        <v>0354893324</v>
      </c>
      <c r="K7294" s="2" t="str">
        <f ca="1">IFERROR(__xludf.DUMMYFUNCTION("""COMPUTED_VALUE"""),"1743118845231")</f>
        <v>1743118845231</v>
      </c>
    </row>
    <row r="7295" spans="1:11" ht="12.45">
      <c r="A7295" s="2" t="str">
        <f ca="1">IFERROR(__xludf.DUMMYFUNCTION("""COMPUTED_VALUE"""),"1743118954896")</f>
        <v>1743118954896</v>
      </c>
      <c r="B7295" s="2"/>
      <c r="C7295" s="2" t="str">
        <v>0</v>
      </c>
      <c r="D7295" s="2"/>
      <c r="F7295" s="2" t="str">
        <v>0</v>
      </c>
      <c r="I7295" s="3" t="str">
        <f ca="1">IFERROR(__xludf.DUMMYFUNCTION("""COMPUTED_VALUE"""),"Bùi Thi Phúc")</f>
        <v>Bùi Thi Phúc</v>
      </c>
      <c r="J7295" s="3" t="str">
        <f ca="1">IFERROR(__xludf.DUMMYFUNCTION("""COMPUTED_VALUE"""),"0585944643")</f>
        <v>0585944643</v>
      </c>
      <c r="K7295" s="2" t="str">
        <f ca="1">IFERROR(__xludf.DUMMYFUNCTION("""COMPUTED_VALUE"""),"1743118954896")</f>
        <v>1743118954896</v>
      </c>
    </row>
    <row r="7296" spans="1:11" ht="12.45">
      <c r="A7296" s="2" t="str">
        <f ca="1">IFERROR(__xludf.DUMMYFUNCTION("""COMPUTED_VALUE"""),"1743119035623")</f>
        <v>1743119035623</v>
      </c>
      <c r="B7296" s="2"/>
      <c r="C7296" s="2" t="str">
        <v>0</v>
      </c>
      <c r="D7296" s="2"/>
      <c r="F7296" s="2" t="str">
        <v>0</v>
      </c>
      <c r="I7296" s="3" t="str">
        <f ca="1">IFERROR(__xludf.DUMMYFUNCTION("""COMPUTED_VALUE"""),"Vũ Thị An Thư")</f>
        <v>Vũ Thị An Thư</v>
      </c>
      <c r="J7296" s="3" t="str">
        <f ca="1">IFERROR(__xludf.DUMMYFUNCTION("""COMPUTED_VALUE"""),"0967129763")</f>
        <v>0967129763</v>
      </c>
      <c r="K7296" s="2" t="str">
        <f ca="1">IFERROR(__xludf.DUMMYFUNCTION("""COMPUTED_VALUE"""),"1743119035623")</f>
        <v>1743119035623</v>
      </c>
    </row>
    <row r="7297" spans="1:11" ht="12.45">
      <c r="A7297" s="2" t="str">
        <f ca="1">IFERROR(__xludf.DUMMYFUNCTION("""COMPUTED_VALUE"""),"1743119123709")</f>
        <v>1743119123709</v>
      </c>
      <c r="B7297" s="2"/>
      <c r="C7297" s="2" t="str">
        <v>0</v>
      </c>
      <c r="D7297" s="2"/>
      <c r="F7297" s="2" t="str">
        <v>0</v>
      </c>
      <c r="I7297" s="3" t="str">
        <f ca="1">IFERROR(__xludf.DUMMYFUNCTION("""COMPUTED_VALUE"""),"Trần Thảo Vi ")</f>
        <v xml:space="preserve">Trần Thảo Vi </v>
      </c>
      <c r="J7297" s="3" t="str">
        <f ca="1">IFERROR(__xludf.DUMMYFUNCTION("""COMPUTED_VALUE"""),"0932653904")</f>
        <v>0932653904</v>
      </c>
      <c r="K7297" s="2" t="str">
        <f ca="1">IFERROR(__xludf.DUMMYFUNCTION("""COMPUTED_VALUE"""),"1743119123709")</f>
        <v>1743119123709</v>
      </c>
    </row>
    <row r="7298" spans="1:11" ht="12.45">
      <c r="A7298" s="2" t="str">
        <f ca="1">IFERROR(__xludf.DUMMYFUNCTION("""COMPUTED_VALUE"""),"1743119198589")</f>
        <v>1743119198589</v>
      </c>
      <c r="B7298" s="2"/>
      <c r="C7298" s="2" t="str">
        <v>0</v>
      </c>
      <c r="D7298" s="2"/>
      <c r="F7298" s="2" t="str">
        <v>0</v>
      </c>
      <c r="I7298" s="3" t="str">
        <f ca="1">IFERROR(__xludf.DUMMYFUNCTION("""COMPUTED_VALUE"""),"Vũ Thị Thiện")</f>
        <v>Vũ Thị Thiện</v>
      </c>
      <c r="J7298" s="3" t="str">
        <f ca="1">IFERROR(__xludf.DUMMYFUNCTION("""COMPUTED_VALUE"""),"0396479658")</f>
        <v>0396479658</v>
      </c>
      <c r="K7298" s="2" t="str">
        <f ca="1">IFERROR(__xludf.DUMMYFUNCTION("""COMPUTED_VALUE"""),"1743119198589")</f>
        <v>1743119198589</v>
      </c>
    </row>
    <row r="7299" spans="1:11" ht="12.45">
      <c r="A7299" s="2" t="str">
        <f ca="1">IFERROR(__xludf.DUMMYFUNCTION("""COMPUTED_VALUE"""),"1743119275908")</f>
        <v>1743119275908</v>
      </c>
      <c r="B7299" s="2"/>
      <c r="C7299" s="2" t="str">
        <v>0</v>
      </c>
      <c r="D7299" s="2"/>
      <c r="F7299" s="2" t="str">
        <v>0</v>
      </c>
      <c r="I7299" s="3" t="str">
        <f ca="1">IFERROR(__xludf.DUMMYFUNCTION("""COMPUTED_VALUE"""),"Nguyễn Ngọc Diệp")</f>
        <v>Nguyễn Ngọc Diệp</v>
      </c>
      <c r="J7299" s="3" t="str">
        <f ca="1">IFERROR(__xludf.DUMMYFUNCTION("""COMPUTED_VALUE"""),"0886877157")</f>
        <v>0886877157</v>
      </c>
      <c r="K7299" s="2" t="str">
        <f ca="1">IFERROR(__xludf.DUMMYFUNCTION("""COMPUTED_VALUE"""),"1743119275908")</f>
        <v>1743119275908</v>
      </c>
    </row>
    <row r="7300" spans="1:11" ht="12.45">
      <c r="A7300" s="2" t="str">
        <f ca="1">IFERROR(__xludf.DUMMYFUNCTION("""COMPUTED_VALUE"""),"1743119325716")</f>
        <v>1743119325716</v>
      </c>
      <c r="B7300" s="2"/>
      <c r="C7300" s="2" t="str">
        <v>0</v>
      </c>
      <c r="D7300" s="2"/>
      <c r="F7300" s="2" t="str">
        <v>0</v>
      </c>
      <c r="I7300" s="3" t="str">
        <f ca="1">IFERROR(__xludf.DUMMYFUNCTION("""COMPUTED_VALUE"""),"Phan Linh Chi")</f>
        <v>Phan Linh Chi</v>
      </c>
      <c r="J7300" s="3" t="str">
        <f ca="1">IFERROR(__xludf.DUMMYFUNCTION("""COMPUTED_VALUE"""),"0964448868")</f>
        <v>0964448868</v>
      </c>
      <c r="K7300" s="2" t="str">
        <f ca="1">IFERROR(__xludf.DUMMYFUNCTION("""COMPUTED_VALUE"""),"1743119325716")</f>
        <v>1743119325716</v>
      </c>
    </row>
    <row r="7301" spans="1:11" ht="12.45">
      <c r="A7301" s="2"/>
      <c r="B7301" s="2"/>
      <c r="C7301" s="2" t="str">
        <v>0</v>
      </c>
      <c r="D7301" s="2"/>
      <c r="F7301" s="2" t="str">
        <v>0</v>
      </c>
      <c r="I7301" s="3" t="str">
        <f ca="1">IFERROR(__xludf.DUMMYFUNCTION("""COMPUTED_VALUE"""),"Vũ Kiều Xuân")</f>
        <v>Vũ Kiều Xuân</v>
      </c>
      <c r="J7301" s="3" t="str">
        <f ca="1">IFERROR(__xludf.DUMMYFUNCTION("""COMPUTED_VALUE"""),"0565658420")</f>
        <v>0565658420</v>
      </c>
      <c r="K7301" s="2"/>
    </row>
    <row r="7302" spans="1:11" ht="12.45">
      <c r="A7302" s="2" t="str">
        <f ca="1">IFERROR(__xludf.DUMMYFUNCTION("""COMPUTED_VALUE"""),"1743119395831")</f>
        <v>1743119395831</v>
      </c>
      <c r="B7302" s="2"/>
      <c r="C7302" s="2" t="str">
        <v>0</v>
      </c>
      <c r="D7302" s="2"/>
      <c r="F7302" s="2" t="str">
        <v>0</v>
      </c>
      <c r="I7302" s="3" t="str">
        <f ca="1">IFERROR(__xludf.DUMMYFUNCTION("""COMPUTED_VALUE"""),"Nguyễn Ngọc Hoàng Anh")</f>
        <v>Nguyễn Ngọc Hoàng Anh</v>
      </c>
      <c r="J7302" s="3" t="str">
        <f ca="1">IFERROR(__xludf.DUMMYFUNCTION("""COMPUTED_VALUE"""),"0896457145")</f>
        <v>0896457145</v>
      </c>
      <c r="K7302" s="2" t="str">
        <f ca="1">IFERROR(__xludf.DUMMYFUNCTION("""COMPUTED_VALUE"""),"1743119395831")</f>
        <v>1743119395831</v>
      </c>
    </row>
    <row r="7303" spans="1:11" ht="12.45">
      <c r="A7303" s="2" t="str">
        <f ca="1">IFERROR(__xludf.DUMMYFUNCTION("""COMPUTED_VALUE"""),"1743119456310")</f>
        <v>1743119456310</v>
      </c>
      <c r="B7303" s="2"/>
      <c r="C7303" s="2" t="str">
        <v>0</v>
      </c>
      <c r="D7303" s="2"/>
      <c r="F7303" s="2" t="str">
        <v>0</v>
      </c>
      <c r="I7303" s="3" t="str">
        <f ca="1">IFERROR(__xludf.DUMMYFUNCTION("""COMPUTED_VALUE"""),"Phan Khánh Linh ")</f>
        <v xml:space="preserve">Phan Khánh Linh </v>
      </c>
      <c r="J7303" s="3" t="str">
        <f ca="1">IFERROR(__xludf.DUMMYFUNCTION("""COMPUTED_VALUE"""),"0987467583")</f>
        <v>0987467583</v>
      </c>
      <c r="K7303" s="2" t="str">
        <f ca="1">IFERROR(__xludf.DUMMYFUNCTION("""COMPUTED_VALUE"""),"1743119456310")</f>
        <v>1743119456310</v>
      </c>
    </row>
    <row r="7304" spans="1:11" ht="12.45">
      <c r="A7304" s="2" t="str">
        <f ca="1">IFERROR(__xludf.DUMMYFUNCTION("""COMPUTED_VALUE"""),"1743119559931")</f>
        <v>1743119559931</v>
      </c>
      <c r="B7304" s="2"/>
      <c r="C7304" s="2" t="str">
        <v>0</v>
      </c>
      <c r="D7304" s="2"/>
      <c r="F7304" s="2" t="str">
        <v>0</v>
      </c>
      <c r="I7304" s="3" t="str">
        <f ca="1">IFERROR(__xludf.DUMMYFUNCTION("""COMPUTED_VALUE"""),"Nguyễn Minh Anh")</f>
        <v>Nguyễn Minh Anh</v>
      </c>
      <c r="J7304" s="3" t="str">
        <f ca="1">IFERROR(__xludf.DUMMYFUNCTION("""COMPUTED_VALUE"""),"0848273335")</f>
        <v>0848273335</v>
      </c>
      <c r="K7304" s="2" t="str">
        <f ca="1">IFERROR(__xludf.DUMMYFUNCTION("""COMPUTED_VALUE"""),"1743119559931")</f>
        <v>1743119559931</v>
      </c>
    </row>
    <row r="7305" spans="1:11" ht="12.45">
      <c r="A7305" s="2" t="str">
        <f ca="1">IFERROR(__xludf.DUMMYFUNCTION("""COMPUTED_VALUE"""),"1743119648909")</f>
        <v>1743119648909</v>
      </c>
      <c r="B7305" s="2"/>
      <c r="C7305" s="2" t="str">
        <v>0</v>
      </c>
      <c r="D7305" s="2"/>
      <c r="F7305" s="2" t="str">
        <v>0</v>
      </c>
      <c r="I7305" s="3" t="str">
        <f ca="1">IFERROR(__xludf.DUMMYFUNCTION("""COMPUTED_VALUE"""),"Huỳnh Vương Hải My")</f>
        <v>Huỳnh Vương Hải My</v>
      </c>
      <c r="J7305" s="3" t="str">
        <f ca="1">IFERROR(__xludf.DUMMYFUNCTION("""COMPUTED_VALUE"""),"0908801742")</f>
        <v>0908801742</v>
      </c>
      <c r="K7305" s="2" t="str">
        <f ca="1">IFERROR(__xludf.DUMMYFUNCTION("""COMPUTED_VALUE"""),"1743119648909")</f>
        <v>1743119648909</v>
      </c>
    </row>
    <row r="7306" spans="1:11" ht="12.45">
      <c r="A7306" s="2" t="str">
        <f ca="1">IFERROR(__xludf.DUMMYFUNCTION("""COMPUTED_VALUE"""),"1743119716600")</f>
        <v>1743119716600</v>
      </c>
      <c r="B7306" s="2"/>
      <c r="C7306" s="2" t="str">
        <v>0</v>
      </c>
      <c r="D7306" s="2"/>
      <c r="F7306" s="2" t="str">
        <v>0</v>
      </c>
      <c r="I7306" s="3" t="str">
        <f ca="1">IFERROR(__xludf.DUMMYFUNCTION("""COMPUTED_VALUE"""),"Trần Thị Linh Hương ")</f>
        <v xml:space="preserve">Trần Thị Linh Hương </v>
      </c>
      <c r="J7306" s="3" t="str">
        <f ca="1">IFERROR(__xludf.DUMMYFUNCTION("""COMPUTED_VALUE"""),"0392842559")</f>
        <v>0392842559</v>
      </c>
      <c r="K7306" s="2" t="str">
        <f ca="1">IFERROR(__xludf.DUMMYFUNCTION("""COMPUTED_VALUE"""),"1743119716600")</f>
        <v>1743119716600</v>
      </c>
    </row>
    <row r="7307" spans="1:11" ht="12.45">
      <c r="A7307" s="2" t="str">
        <f ca="1">IFERROR(__xludf.DUMMYFUNCTION("""COMPUTED_VALUE"""),"1743119783697")</f>
        <v>1743119783697</v>
      </c>
      <c r="B7307" s="2"/>
      <c r="C7307" s="2" t="str">
        <v>0</v>
      </c>
      <c r="D7307" s="2"/>
      <c r="F7307" s="2" t="str">
        <v>0</v>
      </c>
      <c r="I7307" s="3" t="str">
        <f ca="1">IFERROR(__xludf.DUMMYFUNCTION("""COMPUTED_VALUE"""),"Trương Thị Mơ")</f>
        <v>Trương Thị Mơ</v>
      </c>
      <c r="J7307" s="3" t="str">
        <f ca="1">IFERROR(__xludf.DUMMYFUNCTION("""COMPUTED_VALUE"""),"0913740176")</f>
        <v>0913740176</v>
      </c>
      <c r="K7307" s="2" t="str">
        <f ca="1">IFERROR(__xludf.DUMMYFUNCTION("""COMPUTED_VALUE"""),"1743119783697")</f>
        <v>1743119783697</v>
      </c>
    </row>
    <row r="7308" spans="1:11" ht="12.45">
      <c r="A7308" s="2" t="str">
        <f ca="1">IFERROR(__xludf.DUMMYFUNCTION("""COMPUTED_VALUE"""),"1743119866078")</f>
        <v>1743119866078</v>
      </c>
      <c r="B7308" s="2"/>
      <c r="C7308" s="2" t="str">
        <v>0</v>
      </c>
      <c r="D7308" s="2"/>
      <c r="F7308" s="2" t="str">
        <v>0</v>
      </c>
      <c r="I7308" s="3" t="str">
        <f ca="1">IFERROR(__xludf.DUMMYFUNCTION("""COMPUTED_VALUE"""),"Đỗ Thị Quỳnh Giang ")</f>
        <v xml:space="preserve">Đỗ Thị Quỳnh Giang </v>
      </c>
      <c r="J7308" s="3" t="str">
        <f ca="1">IFERROR(__xludf.DUMMYFUNCTION("""COMPUTED_VALUE"""),"0379431406")</f>
        <v>0379431406</v>
      </c>
      <c r="K7308" s="2" t="str">
        <f ca="1">IFERROR(__xludf.DUMMYFUNCTION("""COMPUTED_VALUE"""),"1743119866078")</f>
        <v>1743119866078</v>
      </c>
    </row>
    <row r="7309" spans="1:11" ht="12.45">
      <c r="A7309" s="2"/>
      <c r="B7309" s="2"/>
      <c r="C7309" s="2" t="str">
        <v>0</v>
      </c>
      <c r="D7309" s="2"/>
      <c r="F7309" s="2" t="str">
        <v>0</v>
      </c>
      <c r="I7309" s="3" t="str">
        <f ca="1">IFERROR(__xludf.DUMMYFUNCTION("""COMPUTED_VALUE"""),"Trương Hồng Đào")</f>
        <v>Trương Hồng Đào</v>
      </c>
      <c r="J7309" s="3" t="str">
        <f ca="1">IFERROR(__xludf.DUMMYFUNCTION("""COMPUTED_VALUE"""),"0946330214")</f>
        <v>0946330214</v>
      </c>
      <c r="K7309" s="2"/>
    </row>
    <row r="7310" spans="1:11" ht="12.45">
      <c r="A7310" s="2"/>
      <c r="B7310" s="2"/>
      <c r="C7310" s="2" t="str">
        <v>0</v>
      </c>
      <c r="D7310" s="2"/>
      <c r="F7310" s="2" t="str">
        <v>0</v>
      </c>
      <c r="I7310" s="3" t="str">
        <f ca="1">IFERROR(__xludf.DUMMYFUNCTION("""COMPUTED_VALUE"""),"Nguyễn Thị Hậu")</f>
        <v>Nguyễn Thị Hậu</v>
      </c>
      <c r="J7310" s="3" t="str">
        <f ca="1">IFERROR(__xludf.DUMMYFUNCTION("""COMPUTED_VALUE"""),"0379401803")</f>
        <v>0379401803</v>
      </c>
      <c r="K7310" s="2"/>
    </row>
    <row r="7311" spans="1:11" ht="12.45">
      <c r="A7311" s="2" t="str">
        <f ca="1">IFERROR(__xludf.DUMMYFUNCTION("""COMPUTED_VALUE"""),"1743119923949")</f>
        <v>1743119923949</v>
      </c>
      <c r="B7311" s="2"/>
      <c r="C7311" s="2" t="str">
        <v>0</v>
      </c>
      <c r="D7311" s="2"/>
      <c r="F7311" s="2" t="str">
        <v>0</v>
      </c>
      <c r="I7311" s="3" t="str">
        <f ca="1">IFERROR(__xludf.DUMMYFUNCTION("""COMPUTED_VALUE"""),"Tạ Khánh Ly ")</f>
        <v xml:space="preserve">Tạ Khánh Ly </v>
      </c>
      <c r="J7311" s="3" t="str">
        <f ca="1">IFERROR(__xludf.DUMMYFUNCTION("""COMPUTED_VALUE"""),"0988226610")</f>
        <v>0988226610</v>
      </c>
      <c r="K7311" s="2" t="str">
        <f ca="1">IFERROR(__xludf.DUMMYFUNCTION("""COMPUTED_VALUE"""),"1743119923949")</f>
        <v>1743119923949</v>
      </c>
    </row>
    <row r="7312" spans="1:11" ht="12.45">
      <c r="A7312" s="2" t="str">
        <f ca="1">IFERROR(__xludf.DUMMYFUNCTION("""COMPUTED_VALUE"""),"1743120021295")</f>
        <v>1743120021295</v>
      </c>
      <c r="B7312" s="2"/>
      <c r="C7312" s="2" t="str">
        <v>0</v>
      </c>
      <c r="D7312" s="2"/>
      <c r="F7312" s="2" t="str">
        <v>0</v>
      </c>
      <c r="I7312" s="3" t="str">
        <f ca="1">IFERROR(__xludf.DUMMYFUNCTION("""COMPUTED_VALUE"""),"Trần Phương Loan")</f>
        <v>Trần Phương Loan</v>
      </c>
      <c r="J7312" s="3" t="str">
        <f ca="1">IFERROR(__xludf.DUMMYFUNCTION("""COMPUTED_VALUE"""),"0372319962")</f>
        <v>0372319962</v>
      </c>
      <c r="K7312" s="2" t="str">
        <f ca="1">IFERROR(__xludf.DUMMYFUNCTION("""COMPUTED_VALUE"""),"1743120021295")</f>
        <v>1743120021295</v>
      </c>
    </row>
    <row r="7313" spans="1:11" ht="12.45">
      <c r="A7313" s="2" t="str">
        <f ca="1">IFERROR(__xludf.DUMMYFUNCTION("""COMPUTED_VALUE"""),"1743120130281")</f>
        <v>1743120130281</v>
      </c>
      <c r="B7313" s="2"/>
      <c r="C7313" s="2" t="str">
        <v>0</v>
      </c>
      <c r="D7313" s="2"/>
      <c r="F7313" s="2" t="str">
        <v>0</v>
      </c>
      <c r="I7313" s="3" t="str">
        <f ca="1">IFERROR(__xludf.DUMMYFUNCTION("""COMPUTED_VALUE"""),"Dương Gia Hân")</f>
        <v>Dương Gia Hân</v>
      </c>
      <c r="J7313" s="3" t="str">
        <f ca="1">IFERROR(__xludf.DUMMYFUNCTION("""COMPUTED_VALUE"""),"0329908192")</f>
        <v>0329908192</v>
      </c>
      <c r="K7313" s="2" t="str">
        <f ca="1">IFERROR(__xludf.DUMMYFUNCTION("""COMPUTED_VALUE"""),"1743120130281")</f>
        <v>1743120130281</v>
      </c>
    </row>
    <row r="7314" spans="1:11" ht="12.45">
      <c r="A7314" s="2" t="str">
        <f ca="1">IFERROR(__xludf.DUMMYFUNCTION("""COMPUTED_VALUE"""),"1743120203350")</f>
        <v>1743120203350</v>
      </c>
      <c r="B7314" s="2"/>
      <c r="C7314" s="2" t="str">
        <v>0</v>
      </c>
      <c r="D7314" s="2"/>
      <c r="F7314" s="2" t="str">
        <v>0</v>
      </c>
      <c r="I7314" s="3" t="str">
        <f ca="1">IFERROR(__xludf.DUMMYFUNCTION("""COMPUTED_VALUE"""),"Nguyễn Thuý Nga")</f>
        <v>Nguyễn Thuý Nga</v>
      </c>
      <c r="J7314" s="3" t="str">
        <f ca="1">IFERROR(__xludf.DUMMYFUNCTION("""COMPUTED_VALUE"""),"0377882367")</f>
        <v>0377882367</v>
      </c>
      <c r="K7314" s="2" t="str">
        <f ca="1">IFERROR(__xludf.DUMMYFUNCTION("""COMPUTED_VALUE"""),"1743120203350")</f>
        <v>1743120203350</v>
      </c>
    </row>
    <row r="7315" spans="1:11" ht="12.45">
      <c r="A7315" s="2" t="str">
        <f ca="1">IFERROR(__xludf.DUMMYFUNCTION("""COMPUTED_VALUE"""),"1743120289621")</f>
        <v>1743120289621</v>
      </c>
      <c r="B7315" s="2"/>
      <c r="C7315" s="2" t="str">
        <v>0</v>
      </c>
      <c r="D7315" s="2"/>
      <c r="F7315" s="2" t="str">
        <v>0</v>
      </c>
      <c r="I7315" s="3" t="str">
        <f ca="1">IFERROR(__xludf.DUMMYFUNCTION("""COMPUTED_VALUE"""),"Trần Thị Kim Yến ")</f>
        <v xml:space="preserve">Trần Thị Kim Yến </v>
      </c>
      <c r="J7315" s="3" t="str">
        <f ca="1">IFERROR(__xludf.DUMMYFUNCTION("""COMPUTED_VALUE"""),"0935263521")</f>
        <v>0935263521</v>
      </c>
      <c r="K7315" s="2" t="str">
        <f ca="1">IFERROR(__xludf.DUMMYFUNCTION("""COMPUTED_VALUE"""),"1743120289621")</f>
        <v>1743120289621</v>
      </c>
    </row>
    <row r="7316" spans="1:11" ht="12.45">
      <c r="A7316" s="2" t="str">
        <f ca="1">IFERROR(__xludf.DUMMYFUNCTION("""COMPUTED_VALUE"""),"1743120353289")</f>
        <v>1743120353289</v>
      </c>
      <c r="B7316" s="2"/>
      <c r="C7316" s="2" t="str">
        <v>0</v>
      </c>
      <c r="D7316" s="2"/>
      <c r="F7316" s="2" t="str">
        <v>0</v>
      </c>
      <c r="I7316" s="3" t="str">
        <f ca="1">IFERROR(__xludf.DUMMYFUNCTION("""COMPUTED_VALUE"""),"Trần Thu Hoài")</f>
        <v>Trần Thu Hoài</v>
      </c>
      <c r="J7316" s="3" t="str">
        <f ca="1">IFERROR(__xludf.DUMMYFUNCTION("""COMPUTED_VALUE"""),"0982560830")</f>
        <v>0982560830</v>
      </c>
      <c r="K7316" s="2" t="str">
        <f ca="1">IFERROR(__xludf.DUMMYFUNCTION("""COMPUTED_VALUE"""),"1743120353289")</f>
        <v>1743120353289</v>
      </c>
    </row>
    <row r="7317" spans="1:11" ht="12.45">
      <c r="A7317" s="2"/>
      <c r="B7317" s="2"/>
      <c r="C7317" s="2" t="str">
        <v>0</v>
      </c>
      <c r="D7317" s="2"/>
      <c r="F7317" s="2" t="str">
        <v>0</v>
      </c>
      <c r="I7317" s="3" t="str">
        <f ca="1">IFERROR(__xludf.DUMMYFUNCTION("""COMPUTED_VALUE"""),"Ngô Trường Anh")</f>
        <v>Ngô Trường Anh</v>
      </c>
      <c r="J7317" s="3" t="str">
        <f ca="1">IFERROR(__xludf.DUMMYFUNCTION("""COMPUTED_VALUE"""),"0352189628")</f>
        <v>0352189628</v>
      </c>
      <c r="K7317" s="2"/>
    </row>
    <row r="7318" spans="1:11" ht="12.45">
      <c r="A7318" s="2" t="str">
        <f ca="1">IFERROR(__xludf.DUMMYFUNCTION("""COMPUTED_VALUE"""),"1743120443465")</f>
        <v>1743120443465</v>
      </c>
      <c r="B7318" s="2"/>
      <c r="C7318" s="2" t="str">
        <v>0</v>
      </c>
      <c r="D7318" s="2"/>
      <c r="F7318" s="2" t="str">
        <v>0</v>
      </c>
      <c r="I7318" s="3" t="str">
        <f ca="1">IFERROR(__xludf.DUMMYFUNCTION("""COMPUTED_VALUE"""),"Lê Gia Khánh ")</f>
        <v xml:space="preserve">Lê Gia Khánh </v>
      </c>
      <c r="J7318" s="3" t="str">
        <f ca="1">IFERROR(__xludf.DUMMYFUNCTION("""COMPUTED_VALUE"""),"0869291305")</f>
        <v>0869291305</v>
      </c>
      <c r="K7318" s="2" t="str">
        <f ca="1">IFERROR(__xludf.DUMMYFUNCTION("""COMPUTED_VALUE"""),"1743120443465")</f>
        <v>1743120443465</v>
      </c>
    </row>
    <row r="7319" spans="1:11" ht="12.45">
      <c r="A7319" s="2" t="str">
        <f ca="1">IFERROR(__xludf.DUMMYFUNCTION("""COMPUTED_VALUE"""),"1743120516009")</f>
        <v>1743120516009</v>
      </c>
      <c r="B7319" s="2"/>
      <c r="C7319" s="2" t="str">
        <v>0</v>
      </c>
      <c r="D7319" s="2"/>
      <c r="F7319" s="2" t="str">
        <v>0</v>
      </c>
      <c r="I7319" s="3" t="str">
        <f ca="1">IFERROR(__xludf.DUMMYFUNCTION("""COMPUTED_VALUE"""),"Lê Bảo Ngọc ")</f>
        <v xml:space="preserve">Lê Bảo Ngọc </v>
      </c>
      <c r="J7319" s="3" t="str">
        <f ca="1">IFERROR(__xludf.DUMMYFUNCTION("""COMPUTED_VALUE"""),"0961944581")</f>
        <v>0961944581</v>
      </c>
      <c r="K7319" s="2" t="str">
        <f ca="1">IFERROR(__xludf.DUMMYFUNCTION("""COMPUTED_VALUE"""),"1743120516009")</f>
        <v>1743120516009</v>
      </c>
    </row>
    <row r="7320" spans="1:11" ht="12.45">
      <c r="A7320" s="2" t="str">
        <f ca="1">IFERROR(__xludf.DUMMYFUNCTION("""COMPUTED_VALUE"""),"1743120613702")</f>
        <v>1743120613702</v>
      </c>
      <c r="B7320" s="2"/>
      <c r="C7320" s="2" t="str">
        <v>0</v>
      </c>
      <c r="D7320" s="2"/>
      <c r="F7320" s="2" t="str">
        <v>0</v>
      </c>
      <c r="I7320" s="3" t="str">
        <f ca="1">IFERROR(__xludf.DUMMYFUNCTION("""COMPUTED_VALUE"""),"Đặng Lâm Mỹ Huyền")</f>
        <v>Đặng Lâm Mỹ Huyền</v>
      </c>
      <c r="J7320" s="3" t="str">
        <f ca="1">IFERROR(__xludf.DUMMYFUNCTION("""COMPUTED_VALUE"""),"0384530249")</f>
        <v>0384530249</v>
      </c>
      <c r="K7320" s="2" t="str">
        <f ca="1">IFERROR(__xludf.DUMMYFUNCTION("""COMPUTED_VALUE"""),"1743120613702")</f>
        <v>1743120613702</v>
      </c>
    </row>
    <row r="7321" spans="1:11" ht="12.45">
      <c r="A7321" s="2" t="str">
        <f ca="1">IFERROR(__xludf.DUMMYFUNCTION("""COMPUTED_VALUE"""),"1743120720296")</f>
        <v>1743120720296</v>
      </c>
      <c r="B7321" s="2"/>
      <c r="C7321" s="2" t="str">
        <v>0</v>
      </c>
      <c r="D7321" s="2"/>
      <c r="F7321" s="2" t="str">
        <v>0</v>
      </c>
      <c r="I7321" s="3" t="str">
        <f ca="1">IFERROR(__xludf.DUMMYFUNCTION("""COMPUTED_VALUE"""),"Nguyễn Quỳnh Anh")</f>
        <v>Nguyễn Quỳnh Anh</v>
      </c>
      <c r="J7321" s="3" t="str">
        <f ca="1">IFERROR(__xludf.DUMMYFUNCTION("""COMPUTED_VALUE"""),"0869309778")</f>
        <v>0869309778</v>
      </c>
      <c r="K7321" s="2" t="str">
        <f ca="1">IFERROR(__xludf.DUMMYFUNCTION("""COMPUTED_VALUE"""),"1743120720296")</f>
        <v>1743120720296</v>
      </c>
    </row>
    <row r="7322" spans="1:11" ht="12.45">
      <c r="A7322" s="2" t="str">
        <f ca="1">IFERROR(__xludf.DUMMYFUNCTION("""COMPUTED_VALUE"""),"1743120799682")</f>
        <v>1743120799682</v>
      </c>
      <c r="B7322" s="2"/>
      <c r="C7322" s="2" t="str">
        <v>0</v>
      </c>
      <c r="D7322" s="2"/>
      <c r="F7322" s="2" t="str">
        <v>0</v>
      </c>
      <c r="I7322" s="3" t="str">
        <f ca="1">IFERROR(__xludf.DUMMYFUNCTION("""COMPUTED_VALUE"""),"Nịnh Thị Trang")</f>
        <v>Nịnh Thị Trang</v>
      </c>
      <c r="J7322" s="3" t="str">
        <f ca="1">IFERROR(__xludf.DUMMYFUNCTION("""COMPUTED_VALUE"""),"0528186282")</f>
        <v>0528186282</v>
      </c>
      <c r="K7322" s="2" t="str">
        <f ca="1">IFERROR(__xludf.DUMMYFUNCTION("""COMPUTED_VALUE"""),"1743120799682")</f>
        <v>1743120799682</v>
      </c>
    </row>
    <row r="7323" spans="1:11" ht="12.45">
      <c r="A7323" s="2" t="str">
        <f ca="1">IFERROR(__xludf.DUMMYFUNCTION("""COMPUTED_VALUE"""),"1743120885021")</f>
        <v>1743120885021</v>
      </c>
      <c r="B7323" s="2"/>
      <c r="C7323" s="2" t="str">
        <v>0</v>
      </c>
      <c r="D7323" s="2"/>
      <c r="F7323" s="2" t="str">
        <v>0</v>
      </c>
      <c r="I7323" s="3" t="str">
        <f ca="1">IFERROR(__xludf.DUMMYFUNCTION("""COMPUTED_VALUE"""),"Nguyễn Thanh Mỹ")</f>
        <v>Nguyễn Thanh Mỹ</v>
      </c>
      <c r="J7323" s="3" t="str">
        <f ca="1">IFERROR(__xludf.DUMMYFUNCTION("""COMPUTED_VALUE"""),"0843180107")</f>
        <v>0843180107</v>
      </c>
      <c r="K7323" s="2" t="str">
        <f ca="1">IFERROR(__xludf.DUMMYFUNCTION("""COMPUTED_VALUE"""),"1743120885021")</f>
        <v>1743120885021</v>
      </c>
    </row>
    <row r="7324" spans="1:11" ht="12.45">
      <c r="A7324" s="2" t="str">
        <f ca="1">IFERROR(__xludf.DUMMYFUNCTION("""COMPUTED_VALUE"""),"1743120929262")</f>
        <v>1743120929262</v>
      </c>
      <c r="B7324" s="2"/>
      <c r="C7324" s="2" t="str">
        <v>0</v>
      </c>
      <c r="D7324" s="2"/>
      <c r="F7324" s="2" t="str">
        <v>0</v>
      </c>
      <c r="I7324" s="3" t="str">
        <f ca="1">IFERROR(__xludf.DUMMYFUNCTION("""COMPUTED_VALUE"""),"Đoàn Ngọc Bảo Hân")</f>
        <v>Đoàn Ngọc Bảo Hân</v>
      </c>
      <c r="J7324" s="3" t="str">
        <f ca="1">IFERROR(__xludf.DUMMYFUNCTION("""COMPUTED_VALUE"""),"0838267859")</f>
        <v>0838267859</v>
      </c>
      <c r="K7324" s="2" t="str">
        <f ca="1">IFERROR(__xludf.DUMMYFUNCTION("""COMPUTED_VALUE"""),"1743120929262")</f>
        <v>1743120929262</v>
      </c>
    </row>
    <row r="7325" spans="1:11" ht="12.45">
      <c r="A7325" s="2" t="str">
        <f ca="1">IFERROR(__xludf.DUMMYFUNCTION("""COMPUTED_VALUE"""),"1743120991578")</f>
        <v>1743120991578</v>
      </c>
      <c r="B7325" s="2"/>
      <c r="C7325" s="2" t="str">
        <v>0</v>
      </c>
      <c r="D7325" s="2"/>
      <c r="F7325" s="2" t="str">
        <v>0</v>
      </c>
      <c r="I7325" s="3" t="str">
        <f ca="1">IFERROR(__xludf.DUMMYFUNCTION("""COMPUTED_VALUE"""),"Phạm Kiều Diễm")</f>
        <v>Phạm Kiều Diễm</v>
      </c>
      <c r="J7325" s="3" t="str">
        <f ca="1">IFERROR(__xludf.DUMMYFUNCTION("""COMPUTED_VALUE"""),"0813420249")</f>
        <v>0813420249</v>
      </c>
      <c r="K7325" s="2" t="str">
        <f ca="1">IFERROR(__xludf.DUMMYFUNCTION("""COMPUTED_VALUE"""),"1743120991578")</f>
        <v>1743120991578</v>
      </c>
    </row>
    <row r="7326" spans="1:11" ht="12.45">
      <c r="A7326" s="2" t="str">
        <f ca="1">IFERROR(__xludf.DUMMYFUNCTION("""COMPUTED_VALUE"""),"1743121064895")</f>
        <v>1743121064895</v>
      </c>
      <c r="B7326" s="2"/>
      <c r="C7326" s="2" t="str">
        <v>0</v>
      </c>
      <c r="D7326" s="2"/>
      <c r="F7326" s="2" t="str">
        <v>0</v>
      </c>
      <c r="I7326" s="3" t="str">
        <f ca="1">IFERROR(__xludf.DUMMYFUNCTION("""COMPUTED_VALUE"""),"Đỗ Trọng Minh ")</f>
        <v xml:space="preserve">Đỗ Trọng Minh </v>
      </c>
      <c r="J7326" s="3" t="str">
        <f ca="1">IFERROR(__xludf.DUMMYFUNCTION("""COMPUTED_VALUE"""),"0364810931")</f>
        <v>0364810931</v>
      </c>
      <c r="K7326" s="2" t="str">
        <f ca="1">IFERROR(__xludf.DUMMYFUNCTION("""COMPUTED_VALUE"""),"1743121064895")</f>
        <v>1743121064895</v>
      </c>
    </row>
    <row r="7327" spans="1:11" ht="12.45">
      <c r="A7327" s="2" t="str">
        <f ca="1">IFERROR(__xludf.DUMMYFUNCTION("""COMPUTED_VALUE"""),"1743121144239")</f>
        <v>1743121144239</v>
      </c>
      <c r="B7327" s="2"/>
      <c r="C7327" s="2" t="str">
        <v>0</v>
      </c>
      <c r="D7327" s="2"/>
      <c r="F7327" s="2" t="str">
        <v>0</v>
      </c>
      <c r="I7327" s="3" t="str">
        <f ca="1">IFERROR(__xludf.DUMMYFUNCTION("""COMPUTED_VALUE"""),"Lê Phạm Bích Ngân")</f>
        <v>Lê Phạm Bích Ngân</v>
      </c>
      <c r="J7327" s="3" t="str">
        <f ca="1">IFERROR(__xludf.DUMMYFUNCTION("""COMPUTED_VALUE"""),"0388913520")</f>
        <v>0388913520</v>
      </c>
      <c r="K7327" s="2" t="str">
        <f ca="1">IFERROR(__xludf.DUMMYFUNCTION("""COMPUTED_VALUE"""),"1743121144239")</f>
        <v>1743121144239</v>
      </c>
    </row>
    <row r="7328" spans="1:11" ht="12.45">
      <c r="A7328" s="2" t="str">
        <f ca="1">IFERROR(__xludf.DUMMYFUNCTION("""COMPUTED_VALUE"""),"1743121230816")</f>
        <v>1743121230816</v>
      </c>
      <c r="B7328" s="2"/>
      <c r="C7328" s="2" t="str">
        <v>0</v>
      </c>
      <c r="D7328" s="2"/>
      <c r="F7328" s="2" t="str">
        <v>0</v>
      </c>
      <c r="I7328" s="3" t="str">
        <f ca="1">IFERROR(__xludf.DUMMYFUNCTION("""COMPUTED_VALUE"""),"Bùi Khánh Uyên ")</f>
        <v xml:space="preserve">Bùi Khánh Uyên </v>
      </c>
      <c r="J7328" s="3" t="str">
        <f ca="1">IFERROR(__xludf.DUMMYFUNCTION("""COMPUTED_VALUE"""),"0941812825")</f>
        <v>0941812825</v>
      </c>
      <c r="K7328" s="2" t="str">
        <f ca="1">IFERROR(__xludf.DUMMYFUNCTION("""COMPUTED_VALUE"""),"1743121230816")</f>
        <v>1743121230816</v>
      </c>
    </row>
    <row r="7329" spans="1:11" ht="12.45">
      <c r="A7329" s="2" t="str">
        <f ca="1">IFERROR(__xludf.DUMMYFUNCTION("""COMPUTED_VALUE"""),"1743121327209")</f>
        <v>1743121327209</v>
      </c>
      <c r="B7329" s="2"/>
      <c r="C7329" s="2" t="str">
        <v>0</v>
      </c>
      <c r="D7329" s="2"/>
      <c r="F7329" s="2" t="str">
        <v>0</v>
      </c>
      <c r="I7329" s="3" t="str">
        <f ca="1">IFERROR(__xludf.DUMMYFUNCTION("""COMPUTED_VALUE"""),"Bùi Đức Huy Hoàng")</f>
        <v>Bùi Đức Huy Hoàng</v>
      </c>
      <c r="J7329" s="3" t="str">
        <f ca="1">IFERROR(__xludf.DUMMYFUNCTION("""COMPUTED_VALUE"""),"0865738441")</f>
        <v>0865738441</v>
      </c>
      <c r="K7329" s="2" t="str">
        <f ca="1">IFERROR(__xludf.DUMMYFUNCTION("""COMPUTED_VALUE"""),"1743121327209")</f>
        <v>1743121327209</v>
      </c>
    </row>
    <row r="7330" spans="1:11" ht="12.45">
      <c r="A7330" s="2" t="str">
        <f ca="1">IFERROR(__xludf.DUMMYFUNCTION("""COMPUTED_VALUE"""),"1743121421836")</f>
        <v>1743121421836</v>
      </c>
      <c r="B7330" s="2"/>
      <c r="C7330" s="2" t="str">
        <v>0</v>
      </c>
      <c r="D7330" s="2"/>
      <c r="F7330" s="2" t="str">
        <v>0</v>
      </c>
      <c r="I7330" s="3" t="str">
        <f ca="1">IFERROR(__xludf.DUMMYFUNCTION("""COMPUTED_VALUE"""),"Trần Võ Phương Thy")</f>
        <v>Trần Võ Phương Thy</v>
      </c>
      <c r="J7330" s="3" t="str">
        <f ca="1">IFERROR(__xludf.DUMMYFUNCTION("""COMPUTED_VALUE"""),"0914929224")</f>
        <v>0914929224</v>
      </c>
      <c r="K7330" s="2" t="str">
        <f ca="1">IFERROR(__xludf.DUMMYFUNCTION("""COMPUTED_VALUE"""),"1743121421836")</f>
        <v>1743121421836</v>
      </c>
    </row>
    <row r="7331" spans="1:11" ht="12.45">
      <c r="A7331" s="2" t="str">
        <f ca="1">IFERROR(__xludf.DUMMYFUNCTION("""COMPUTED_VALUE"""),"1743121502719")</f>
        <v>1743121502719</v>
      </c>
      <c r="B7331" s="2"/>
      <c r="C7331" s="2" t="str">
        <v>0</v>
      </c>
      <c r="D7331" s="2"/>
      <c r="F7331" s="2" t="str">
        <v>0</v>
      </c>
      <c r="I7331" s="3" t="str">
        <f ca="1">IFERROR(__xludf.DUMMYFUNCTION("""COMPUTED_VALUE"""),"Nguyễn Võ Phương Uyên ")</f>
        <v xml:space="preserve">Nguyễn Võ Phương Uyên </v>
      </c>
      <c r="J7331" s="3" t="str">
        <f ca="1">IFERROR(__xludf.DUMMYFUNCTION("""COMPUTED_VALUE"""),"0792234147")</f>
        <v>0792234147</v>
      </c>
      <c r="K7331" s="2" t="str">
        <f ca="1">IFERROR(__xludf.DUMMYFUNCTION("""COMPUTED_VALUE"""),"1743121502719")</f>
        <v>1743121502719</v>
      </c>
    </row>
    <row r="7332" spans="1:11" ht="12.45">
      <c r="A7332" s="2" t="str">
        <f ca="1">IFERROR(__xludf.DUMMYFUNCTION("""COMPUTED_VALUE"""),"1743121587452")</f>
        <v>1743121587452</v>
      </c>
      <c r="B7332" s="2"/>
      <c r="C7332" s="2" t="str">
        <v>0</v>
      </c>
      <c r="D7332" s="2"/>
      <c r="F7332" s="2" t="str">
        <v>0</v>
      </c>
      <c r="I7332" s="3" t="str">
        <f ca="1">IFERROR(__xludf.DUMMYFUNCTION("""COMPUTED_VALUE"""),"Vương Thế Núi")</f>
        <v>Vương Thế Núi</v>
      </c>
      <c r="J7332" s="3" t="str">
        <f ca="1">IFERROR(__xludf.DUMMYFUNCTION("""COMPUTED_VALUE"""),"0865598002")</f>
        <v>0865598002</v>
      </c>
      <c r="K7332" s="2" t="str">
        <f ca="1">IFERROR(__xludf.DUMMYFUNCTION("""COMPUTED_VALUE"""),"1743121587452")</f>
        <v>1743121587452</v>
      </c>
    </row>
    <row r="7333" spans="1:11" ht="12.45">
      <c r="A7333" s="2" t="str">
        <f ca="1">IFERROR(__xludf.DUMMYFUNCTION("""COMPUTED_VALUE"""),"1743121695039")</f>
        <v>1743121695039</v>
      </c>
      <c r="B7333" s="2"/>
      <c r="C7333" s="2" t="str">
        <v>0</v>
      </c>
      <c r="D7333" s="2"/>
      <c r="F7333" s="2" t="str">
        <v>0</v>
      </c>
      <c r="I7333" s="3" t="str">
        <f ca="1">IFERROR(__xludf.DUMMYFUNCTION("""COMPUTED_VALUE"""),"Trần Thị Diệu Trâm ")</f>
        <v xml:space="preserve">Trần Thị Diệu Trâm </v>
      </c>
      <c r="J7333" s="3" t="str">
        <f ca="1">IFERROR(__xludf.DUMMYFUNCTION("""COMPUTED_VALUE"""),"0373846877")</f>
        <v>0373846877</v>
      </c>
      <c r="K7333" s="2" t="str">
        <f ca="1">IFERROR(__xludf.DUMMYFUNCTION("""COMPUTED_VALUE"""),"1743121695039")</f>
        <v>1743121695039</v>
      </c>
    </row>
    <row r="7334" spans="1:11" ht="12.45">
      <c r="A7334" s="2" t="str">
        <f ca="1">IFERROR(__xludf.DUMMYFUNCTION("""COMPUTED_VALUE"""),"1743121796914")</f>
        <v>1743121796914</v>
      </c>
      <c r="B7334" s="2"/>
      <c r="C7334" s="2" t="str">
        <v>0</v>
      </c>
      <c r="D7334" s="2"/>
      <c r="F7334" s="2" t="str">
        <v>0</v>
      </c>
      <c r="I7334" s="3" t="str">
        <f ca="1">IFERROR(__xludf.DUMMYFUNCTION("""COMPUTED_VALUE"""),"Nguyễn Ngọc Phương Linh")</f>
        <v>Nguyễn Ngọc Phương Linh</v>
      </c>
      <c r="J7334" s="3" t="str">
        <f ca="1">IFERROR(__xludf.DUMMYFUNCTION("""COMPUTED_VALUE"""),"0827154767")</f>
        <v>0827154767</v>
      </c>
      <c r="K7334" s="2" t="str">
        <f ca="1">IFERROR(__xludf.DUMMYFUNCTION("""COMPUTED_VALUE"""),"1743121796914")</f>
        <v>1743121796914</v>
      </c>
    </row>
    <row r="7335" spans="1:11" ht="12.45">
      <c r="A7335" s="2" t="str">
        <f ca="1">IFERROR(__xludf.DUMMYFUNCTION("""COMPUTED_VALUE"""),"1743121850223")</f>
        <v>1743121850223</v>
      </c>
      <c r="B7335" s="2"/>
      <c r="C7335" s="2" t="str">
        <v>0</v>
      </c>
      <c r="D7335" s="2"/>
      <c r="F7335" s="2" t="str">
        <v>0</v>
      </c>
      <c r="I7335" s="3" t="str">
        <f ca="1">IFERROR(__xludf.DUMMYFUNCTION("""COMPUTED_VALUE"""),"Nguyễn Hải Phương")</f>
        <v>Nguyễn Hải Phương</v>
      </c>
      <c r="J7335" s="3" t="str">
        <f ca="1">IFERROR(__xludf.DUMMYFUNCTION("""COMPUTED_VALUE"""),"0965627861")</f>
        <v>0965627861</v>
      </c>
      <c r="K7335" s="2" t="str">
        <f ca="1">IFERROR(__xludf.DUMMYFUNCTION("""COMPUTED_VALUE"""),"1743121850223")</f>
        <v>1743121850223</v>
      </c>
    </row>
    <row r="7336" spans="1:11" ht="12.45">
      <c r="A7336" s="2" t="str">
        <f ca="1">IFERROR(__xludf.DUMMYFUNCTION("""COMPUTED_VALUE"""),"1743121946434")</f>
        <v>1743121946434</v>
      </c>
      <c r="B7336" s="2"/>
      <c r="C7336" s="2" t="str">
        <v>0</v>
      </c>
      <c r="D7336" s="2"/>
      <c r="F7336" s="2" t="str">
        <v>0</v>
      </c>
      <c r="I7336" s="3" t="str">
        <f ca="1">IFERROR(__xludf.DUMMYFUNCTION("""COMPUTED_VALUE"""),"Lâm Ngọc Thảo Như")</f>
        <v>Lâm Ngọc Thảo Như</v>
      </c>
      <c r="J7336" s="3" t="str">
        <f ca="1">IFERROR(__xludf.DUMMYFUNCTION("""COMPUTED_VALUE"""),"0909192644")</f>
        <v>0909192644</v>
      </c>
      <c r="K7336" s="2" t="str">
        <f ca="1">IFERROR(__xludf.DUMMYFUNCTION("""COMPUTED_VALUE"""),"1743121946434")</f>
        <v>1743121946434</v>
      </c>
    </row>
    <row r="7337" spans="1:11" ht="12.45">
      <c r="A7337" s="2" t="str">
        <f ca="1">IFERROR(__xludf.DUMMYFUNCTION("""COMPUTED_VALUE"""),"1743122032369")</f>
        <v>1743122032369</v>
      </c>
      <c r="B7337" s="2"/>
      <c r="C7337" s="2" t="str">
        <v>0</v>
      </c>
      <c r="D7337" s="2"/>
      <c r="F7337" s="2" t="str">
        <v>0</v>
      </c>
      <c r="I7337" s="3" t="str">
        <f ca="1">IFERROR(__xludf.DUMMYFUNCTION("""COMPUTED_VALUE"""),"Dương Nguyễn Quỳnh Anh")</f>
        <v>Dương Nguyễn Quỳnh Anh</v>
      </c>
      <c r="J7337" s="3" t="str">
        <f ca="1">IFERROR(__xludf.DUMMYFUNCTION("""COMPUTED_VALUE"""),"0971864438")</f>
        <v>0971864438</v>
      </c>
      <c r="K7337" s="2" t="str">
        <f ca="1">IFERROR(__xludf.DUMMYFUNCTION("""COMPUTED_VALUE"""),"1743122032369")</f>
        <v>1743122032369</v>
      </c>
    </row>
    <row r="7338" spans="1:11" ht="12.45">
      <c r="A7338" s="2" t="str">
        <f ca="1">IFERROR(__xludf.DUMMYFUNCTION("""COMPUTED_VALUE"""),"1743122104091")</f>
        <v>1743122104091</v>
      </c>
      <c r="B7338" s="2"/>
      <c r="C7338" s="2" t="str">
        <v>0</v>
      </c>
      <c r="D7338" s="2"/>
      <c r="F7338" s="2" t="str">
        <v>0</v>
      </c>
      <c r="I7338" s="3" t="str">
        <f ca="1">IFERROR(__xludf.DUMMYFUNCTION("""COMPUTED_VALUE"""),"Nguyễn Phương Trinh")</f>
        <v>Nguyễn Phương Trinh</v>
      </c>
      <c r="J7338" s="3" t="str">
        <f ca="1">IFERROR(__xludf.DUMMYFUNCTION("""COMPUTED_VALUE"""),"0862126306")</f>
        <v>0862126306</v>
      </c>
      <c r="K7338" s="2" t="str">
        <f ca="1">IFERROR(__xludf.DUMMYFUNCTION("""COMPUTED_VALUE"""),"1743122104091")</f>
        <v>1743122104091</v>
      </c>
    </row>
    <row r="7339" spans="1:11" ht="12.45">
      <c r="A7339" s="2"/>
      <c r="B7339" s="2"/>
      <c r="C7339" s="2" t="str">
        <v>0</v>
      </c>
      <c r="D7339" s="2"/>
      <c r="F7339" s="2" t="str">
        <v>0</v>
      </c>
      <c r="I7339" s="3" t="str">
        <f ca="1">IFERROR(__xludf.DUMMYFUNCTION("""COMPUTED_VALUE"""),"Mai Như Ý")</f>
        <v>Mai Như Ý</v>
      </c>
      <c r="J7339" s="3" t="str">
        <f ca="1">IFERROR(__xludf.DUMMYFUNCTION("""COMPUTED_VALUE"""),"0394317298")</f>
        <v>0394317298</v>
      </c>
      <c r="K7339" s="2"/>
    </row>
    <row r="7340" spans="1:11" ht="12.45">
      <c r="A7340" s="2" t="str">
        <f ca="1">IFERROR(__xludf.DUMMYFUNCTION("""COMPUTED_VALUE"""),"1743122179856")</f>
        <v>1743122179856</v>
      </c>
      <c r="B7340" s="2"/>
      <c r="C7340" s="2" t="str">
        <v>0</v>
      </c>
      <c r="D7340" s="2"/>
      <c r="F7340" s="2" t="str">
        <v>0</v>
      </c>
      <c r="I7340" s="3" t="str">
        <f ca="1">IFERROR(__xludf.DUMMYFUNCTION("""COMPUTED_VALUE"""),"Dương Thành Chương")</f>
        <v>Dương Thành Chương</v>
      </c>
      <c r="J7340" s="3" t="str">
        <f ca="1">IFERROR(__xludf.DUMMYFUNCTION("""COMPUTED_VALUE"""),"0337773462")</f>
        <v>0337773462</v>
      </c>
      <c r="K7340" s="2" t="str">
        <f ca="1">IFERROR(__xludf.DUMMYFUNCTION("""COMPUTED_VALUE"""),"1743122179856")</f>
        <v>1743122179856</v>
      </c>
    </row>
    <row r="7341" spans="1:11" ht="12.45">
      <c r="A7341" s="2" t="str">
        <f ca="1">IFERROR(__xludf.DUMMYFUNCTION("""COMPUTED_VALUE"""),"1743122237743")</f>
        <v>1743122237743</v>
      </c>
      <c r="B7341" s="2"/>
      <c r="C7341" s="2" t="str">
        <v>0</v>
      </c>
      <c r="D7341" s="2"/>
      <c r="F7341" s="2" t="str">
        <v>0</v>
      </c>
      <c r="I7341" s="3" t="str">
        <f ca="1">IFERROR(__xludf.DUMMYFUNCTION("""COMPUTED_VALUE"""),"Trần bảo nhi")</f>
        <v>Trần bảo nhi</v>
      </c>
      <c r="J7341" s="3" t="str">
        <f ca="1">IFERROR(__xludf.DUMMYFUNCTION("""COMPUTED_VALUE"""),"0946743168")</f>
        <v>0946743168</v>
      </c>
      <c r="K7341" s="2" t="str">
        <f ca="1">IFERROR(__xludf.DUMMYFUNCTION("""COMPUTED_VALUE"""),"1743122237743")</f>
        <v>1743122237743</v>
      </c>
    </row>
    <row r="7342" spans="1:11" ht="12.45">
      <c r="A7342" s="2" t="str">
        <f ca="1">IFERROR(__xludf.DUMMYFUNCTION("""COMPUTED_VALUE"""),"1743122314360")</f>
        <v>1743122314360</v>
      </c>
      <c r="B7342" s="2"/>
      <c r="C7342" s="2" t="str">
        <v>0</v>
      </c>
      <c r="D7342" s="2"/>
      <c r="F7342" s="2" t="str">
        <v>0</v>
      </c>
      <c r="I7342" s="3" t="str">
        <f ca="1">IFERROR(__xludf.DUMMYFUNCTION("""COMPUTED_VALUE"""),"Trần Thị Trang ")</f>
        <v xml:space="preserve">Trần Thị Trang </v>
      </c>
      <c r="J7342" s="3" t="str">
        <f ca="1">IFERROR(__xludf.DUMMYFUNCTION("""COMPUTED_VALUE"""),"0335304130")</f>
        <v>0335304130</v>
      </c>
      <c r="K7342" s="2" t="str">
        <f ca="1">IFERROR(__xludf.DUMMYFUNCTION("""COMPUTED_VALUE"""),"1743122314360")</f>
        <v>1743122314360</v>
      </c>
    </row>
    <row r="7343" spans="1:11" ht="12.45">
      <c r="A7343" s="2" t="str">
        <f ca="1">IFERROR(__xludf.DUMMYFUNCTION("""COMPUTED_VALUE"""),"1743122358811")</f>
        <v>1743122358811</v>
      </c>
      <c r="B7343" s="2"/>
      <c r="C7343" s="2" t="str">
        <v>0</v>
      </c>
      <c r="D7343" s="2"/>
      <c r="F7343" s="2" t="str">
        <v>0</v>
      </c>
      <c r="I7343" s="3" t="str">
        <f ca="1">IFERROR(__xludf.DUMMYFUNCTION("""COMPUTED_VALUE"""),"Trần Thu Giang")</f>
        <v>Trần Thu Giang</v>
      </c>
      <c r="J7343" s="3" t="str">
        <f ca="1">IFERROR(__xludf.DUMMYFUNCTION("""COMPUTED_VALUE"""),"0358850599")</f>
        <v>0358850599</v>
      </c>
      <c r="K7343" s="2" t="str">
        <f ca="1">IFERROR(__xludf.DUMMYFUNCTION("""COMPUTED_VALUE"""),"1743122358811")</f>
        <v>1743122358811</v>
      </c>
    </row>
    <row r="7344" spans="1:11" ht="12.45">
      <c r="A7344" s="2" t="str">
        <f ca="1">IFERROR(__xludf.DUMMYFUNCTION("""COMPUTED_VALUE"""),"1743122439935")</f>
        <v>1743122439935</v>
      </c>
      <c r="B7344" s="2"/>
      <c r="C7344" s="2" t="str">
        <v>0</v>
      </c>
      <c r="D7344" s="2"/>
      <c r="F7344" s="2" t="str">
        <v>0</v>
      </c>
      <c r="I7344" s="3" t="str">
        <f ca="1">IFERROR(__xludf.DUMMYFUNCTION("""COMPUTED_VALUE"""),"Hoàng Ngọc Trân")</f>
        <v>Hoàng Ngọc Trân</v>
      </c>
      <c r="J7344" s="3" t="str">
        <f ca="1">IFERROR(__xludf.DUMMYFUNCTION("""COMPUTED_VALUE"""),"0339895218")</f>
        <v>0339895218</v>
      </c>
      <c r="K7344" s="2" t="str">
        <f ca="1">IFERROR(__xludf.DUMMYFUNCTION("""COMPUTED_VALUE"""),"1743122439935")</f>
        <v>1743122439935</v>
      </c>
    </row>
    <row r="7345" spans="1:11" ht="12.45">
      <c r="A7345" s="2" t="str">
        <f ca="1">IFERROR(__xludf.DUMMYFUNCTION("""COMPUTED_VALUE"""),"1743122509675")</f>
        <v>1743122509675</v>
      </c>
      <c r="B7345" s="2"/>
      <c r="C7345" s="2" t="str">
        <v>0</v>
      </c>
      <c r="D7345" s="2"/>
      <c r="F7345" s="2" t="str">
        <v>0</v>
      </c>
      <c r="I7345" s="3" t="str">
        <f ca="1">IFERROR(__xludf.DUMMYFUNCTION("""COMPUTED_VALUE"""),"Hà Thị Bích Phượng ")</f>
        <v xml:space="preserve">Hà Thị Bích Phượng </v>
      </c>
      <c r="J7345" s="3" t="str">
        <f ca="1">IFERROR(__xludf.DUMMYFUNCTION("""COMPUTED_VALUE"""),"0342481478")</f>
        <v>0342481478</v>
      </c>
      <c r="K7345" s="2" t="str">
        <f ca="1">IFERROR(__xludf.DUMMYFUNCTION("""COMPUTED_VALUE"""),"1743122509675")</f>
        <v>1743122509675</v>
      </c>
    </row>
    <row r="7346" spans="1:11" ht="12.45">
      <c r="A7346" s="2" t="str">
        <f ca="1">IFERROR(__xludf.DUMMYFUNCTION("""COMPUTED_VALUE"""),"1743122599009")</f>
        <v>1743122599009</v>
      </c>
      <c r="B7346" s="2"/>
      <c r="C7346" s="2" t="str">
        <v>0</v>
      </c>
      <c r="D7346" s="2"/>
      <c r="F7346" s="2" t="str">
        <v>0</v>
      </c>
      <c r="I7346" s="3" t="str">
        <f ca="1">IFERROR(__xludf.DUMMYFUNCTION("""COMPUTED_VALUE"""),"Đào Huyền My")</f>
        <v>Đào Huyền My</v>
      </c>
      <c r="J7346" s="3" t="str">
        <f ca="1">IFERROR(__xludf.DUMMYFUNCTION("""COMPUTED_VALUE"""),"0888244616")</f>
        <v>0888244616</v>
      </c>
      <c r="K7346" s="2" t="str">
        <f ca="1">IFERROR(__xludf.DUMMYFUNCTION("""COMPUTED_VALUE"""),"1743122599009")</f>
        <v>1743122599009</v>
      </c>
    </row>
    <row r="7347" spans="1:11" ht="12.45">
      <c r="A7347" s="2" t="str">
        <f ca="1">IFERROR(__xludf.DUMMYFUNCTION("""COMPUTED_VALUE"""),"1743122693399")</f>
        <v>1743122693399</v>
      </c>
      <c r="B7347" s="2"/>
      <c r="C7347" s="2" t="str">
        <v>0</v>
      </c>
      <c r="D7347" s="2"/>
      <c r="F7347" s="2" t="str">
        <v>0</v>
      </c>
      <c r="I7347" s="3" t="str">
        <f ca="1">IFERROR(__xludf.DUMMYFUNCTION("""COMPUTED_VALUE"""),"Lê bảo thy")</f>
        <v>Lê bảo thy</v>
      </c>
      <c r="J7347" s="3" t="str">
        <f ca="1">IFERROR(__xludf.DUMMYFUNCTION("""COMPUTED_VALUE"""),"0368140307")</f>
        <v>0368140307</v>
      </c>
      <c r="K7347" s="2" t="str">
        <f ca="1">IFERROR(__xludf.DUMMYFUNCTION("""COMPUTED_VALUE"""),"1743122693399")</f>
        <v>1743122693399</v>
      </c>
    </row>
    <row r="7348" spans="1:11" ht="12.45">
      <c r="A7348" s="2" t="str">
        <f ca="1">IFERROR(__xludf.DUMMYFUNCTION("""COMPUTED_VALUE"""),"1743122794547")</f>
        <v>1743122794547</v>
      </c>
      <c r="B7348" s="2"/>
      <c r="C7348" s="2" t="str">
        <v>0</v>
      </c>
      <c r="D7348" s="2"/>
      <c r="F7348" s="2" t="str">
        <v>0</v>
      </c>
      <c r="I7348" s="3" t="str">
        <f ca="1">IFERROR(__xludf.DUMMYFUNCTION("""COMPUTED_VALUE"""),"Nguyễn Thị Diệu Linh ")</f>
        <v xml:space="preserve">Nguyễn Thị Diệu Linh </v>
      </c>
      <c r="J7348" s="3" t="str">
        <f ca="1">IFERROR(__xludf.DUMMYFUNCTION("""COMPUTED_VALUE"""),"0919836398")</f>
        <v>0919836398</v>
      </c>
      <c r="K7348" s="2" t="str">
        <f ca="1">IFERROR(__xludf.DUMMYFUNCTION("""COMPUTED_VALUE"""),"1743122794547")</f>
        <v>1743122794547</v>
      </c>
    </row>
    <row r="7349" spans="1:11" ht="12.45">
      <c r="A7349" s="2" t="str">
        <f ca="1">IFERROR(__xludf.DUMMYFUNCTION("""COMPUTED_VALUE"""),"1743122878004")</f>
        <v>1743122878004</v>
      </c>
      <c r="B7349" s="2"/>
      <c r="C7349" s="2" t="str">
        <v>0</v>
      </c>
      <c r="D7349" s="2"/>
      <c r="F7349" s="2" t="str">
        <v>0</v>
      </c>
      <c r="I7349" s="3" t="str">
        <f ca="1">IFERROR(__xludf.DUMMYFUNCTION("""COMPUTED_VALUE"""),"Lê Tâm Nhi")</f>
        <v>Lê Tâm Nhi</v>
      </c>
      <c r="J7349" s="3" t="str">
        <f ca="1">IFERROR(__xludf.DUMMYFUNCTION("""COMPUTED_VALUE"""),"0901953482")</f>
        <v>0901953482</v>
      </c>
      <c r="K7349" s="2" t="str">
        <f ca="1">IFERROR(__xludf.DUMMYFUNCTION("""COMPUTED_VALUE"""),"1743122878004")</f>
        <v>1743122878004</v>
      </c>
    </row>
    <row r="7350" spans="1:11" ht="12.45">
      <c r="A7350" s="2" t="str">
        <f ca="1">IFERROR(__xludf.DUMMYFUNCTION("""COMPUTED_VALUE"""),"1743122931691")</f>
        <v>1743122931691</v>
      </c>
      <c r="B7350" s="2"/>
      <c r="C7350" s="2" t="str">
        <v>0</v>
      </c>
      <c r="D7350" s="2"/>
      <c r="F7350" s="2" t="str">
        <v>0</v>
      </c>
      <c r="I7350" s="3" t="str">
        <f ca="1">IFERROR(__xludf.DUMMYFUNCTION("""COMPUTED_VALUE"""),"Trần Huỳnh Bảo Tiên ")</f>
        <v xml:space="preserve">Trần Huỳnh Bảo Tiên </v>
      </c>
      <c r="J7350" s="3" t="str">
        <f ca="1">IFERROR(__xludf.DUMMYFUNCTION("""COMPUTED_VALUE"""),"0338721036")</f>
        <v>0338721036</v>
      </c>
      <c r="K7350" s="2" t="str">
        <f ca="1">IFERROR(__xludf.DUMMYFUNCTION("""COMPUTED_VALUE"""),"1743122931691")</f>
        <v>1743122931691</v>
      </c>
    </row>
    <row r="7351" spans="1:11" ht="12.45">
      <c r="A7351" s="2" t="str">
        <f ca="1">IFERROR(__xludf.DUMMYFUNCTION("""COMPUTED_VALUE"""),"1743123027645")</f>
        <v>1743123027645</v>
      </c>
      <c r="B7351" s="2"/>
      <c r="C7351" s="2" t="str">
        <v>0</v>
      </c>
      <c r="D7351" s="2"/>
      <c r="F7351" s="2" t="str">
        <v>0</v>
      </c>
      <c r="I7351" s="3" t="str">
        <f ca="1">IFERROR(__xludf.DUMMYFUNCTION("""COMPUTED_VALUE"""),"Sùng Thị Hoa Mai ")</f>
        <v xml:space="preserve">Sùng Thị Hoa Mai </v>
      </c>
      <c r="J7351" s="3" t="str">
        <f ca="1">IFERROR(__xludf.DUMMYFUNCTION("""COMPUTED_VALUE"""),"0967659676")</f>
        <v>0967659676</v>
      </c>
      <c r="K7351" s="2" t="str">
        <f ca="1">IFERROR(__xludf.DUMMYFUNCTION("""COMPUTED_VALUE"""),"1743123027645")</f>
        <v>1743123027645</v>
      </c>
    </row>
    <row r="7352" spans="1:11" ht="12.45">
      <c r="A7352" s="2" t="str">
        <f ca="1">IFERROR(__xludf.DUMMYFUNCTION("""COMPUTED_VALUE"""),"1743123102257")</f>
        <v>1743123102257</v>
      </c>
      <c r="B7352" s="2"/>
      <c r="C7352" s="2" t="str">
        <v>0</v>
      </c>
      <c r="D7352" s="2"/>
      <c r="F7352" s="2" t="str">
        <v>0</v>
      </c>
      <c r="I7352" s="3" t="str">
        <f ca="1">IFERROR(__xludf.DUMMYFUNCTION("""COMPUTED_VALUE"""),"Nguyễn Hoàng Mai")</f>
        <v>Nguyễn Hoàng Mai</v>
      </c>
      <c r="J7352" s="3" t="str">
        <f ca="1">IFERROR(__xludf.DUMMYFUNCTION("""COMPUTED_VALUE"""),"0377581202")</f>
        <v>0377581202</v>
      </c>
      <c r="K7352" s="2" t="str">
        <f ca="1">IFERROR(__xludf.DUMMYFUNCTION("""COMPUTED_VALUE"""),"1743123102257")</f>
        <v>1743123102257</v>
      </c>
    </row>
    <row r="7353" spans="1:11" ht="12.45">
      <c r="A7353" s="2" t="str">
        <f ca="1">IFERROR(__xludf.DUMMYFUNCTION("""COMPUTED_VALUE"""),"1743123168194")</f>
        <v>1743123168194</v>
      </c>
      <c r="B7353" s="2"/>
      <c r="C7353" s="2" t="str">
        <v>0</v>
      </c>
      <c r="D7353" s="2"/>
      <c r="F7353" s="2" t="str">
        <v>0</v>
      </c>
      <c r="I7353" s="3" t="str">
        <f ca="1">IFERROR(__xludf.DUMMYFUNCTION("""COMPUTED_VALUE"""),"Ma Minh Vũ")</f>
        <v>Ma Minh Vũ</v>
      </c>
      <c r="J7353" s="3" t="str">
        <f ca="1">IFERROR(__xludf.DUMMYFUNCTION("""COMPUTED_VALUE"""),"0394494610")</f>
        <v>0394494610</v>
      </c>
      <c r="K7353" s="2" t="str">
        <f ca="1">IFERROR(__xludf.DUMMYFUNCTION("""COMPUTED_VALUE"""),"1743123168194")</f>
        <v>1743123168194</v>
      </c>
    </row>
    <row r="7354" spans="1:11" ht="12.45">
      <c r="A7354" s="2" t="str">
        <f ca="1">IFERROR(__xludf.DUMMYFUNCTION("""COMPUTED_VALUE"""),"1743123251401")</f>
        <v>1743123251401</v>
      </c>
      <c r="B7354" s="2"/>
      <c r="C7354" s="2" t="str">
        <v>0</v>
      </c>
      <c r="D7354" s="2"/>
      <c r="F7354" s="2" t="str">
        <v>0</v>
      </c>
      <c r="I7354" s="3" t="str">
        <f ca="1">IFERROR(__xludf.DUMMYFUNCTION("""COMPUTED_VALUE"""),"Đoàn Hà Vy")</f>
        <v>Đoàn Hà Vy</v>
      </c>
      <c r="J7354" s="3" t="str">
        <f ca="1">IFERROR(__xludf.DUMMYFUNCTION("""COMPUTED_VALUE"""),"0922279379")</f>
        <v>0922279379</v>
      </c>
      <c r="K7354" s="2" t="str">
        <f ca="1">IFERROR(__xludf.DUMMYFUNCTION("""COMPUTED_VALUE"""),"1743123251401")</f>
        <v>1743123251401</v>
      </c>
    </row>
    <row r="7355" spans="1:11" ht="12.45">
      <c r="A7355" s="2" t="str">
        <f ca="1">IFERROR(__xludf.DUMMYFUNCTION("""COMPUTED_VALUE"""),"1743123413824")</f>
        <v>1743123413824</v>
      </c>
      <c r="B7355" s="2"/>
      <c r="C7355" s="2" t="str">
        <v>0</v>
      </c>
      <c r="D7355" s="2"/>
      <c r="F7355" s="2" t="str">
        <v>0</v>
      </c>
      <c r="I7355" s="3" t="str">
        <f ca="1">IFERROR(__xludf.DUMMYFUNCTION("""COMPUTED_VALUE"""),"Phạm Hồ Hải")</f>
        <v>Phạm Hồ Hải</v>
      </c>
      <c r="J7355" s="3" t="str">
        <f ca="1">IFERROR(__xludf.DUMMYFUNCTION("""COMPUTED_VALUE"""),"0819362119")</f>
        <v>0819362119</v>
      </c>
      <c r="K7355" s="2" t="str">
        <f ca="1">IFERROR(__xludf.DUMMYFUNCTION("""COMPUTED_VALUE"""),"1743123413824")</f>
        <v>1743123413824</v>
      </c>
    </row>
    <row r="7356" spans="1:11" ht="12.45">
      <c r="A7356" s="2" t="str">
        <f ca="1">IFERROR(__xludf.DUMMYFUNCTION("""COMPUTED_VALUE"""),"1743123518768")</f>
        <v>1743123518768</v>
      </c>
      <c r="B7356" s="2"/>
      <c r="C7356" s="2" t="str">
        <v>0</v>
      </c>
      <c r="D7356" s="2"/>
      <c r="F7356" s="2" t="str">
        <v>0</v>
      </c>
      <c r="I7356" s="3" t="str">
        <f ca="1">IFERROR(__xludf.DUMMYFUNCTION("""COMPUTED_VALUE"""),"Cao Thục Đan")</f>
        <v>Cao Thục Đan</v>
      </c>
      <c r="J7356" s="3" t="str">
        <f ca="1">IFERROR(__xludf.DUMMYFUNCTION("""COMPUTED_VALUE"""),"0387708504")</f>
        <v>0387708504</v>
      </c>
      <c r="K7356" s="2" t="str">
        <f ca="1">IFERROR(__xludf.DUMMYFUNCTION("""COMPUTED_VALUE"""),"1743123518768")</f>
        <v>1743123518768</v>
      </c>
    </row>
    <row r="7357" spans="1:11" ht="12.45">
      <c r="A7357" s="2" t="str">
        <f ca="1">IFERROR(__xludf.DUMMYFUNCTION("""COMPUTED_VALUE"""),"1743123593300")</f>
        <v>1743123593300</v>
      </c>
      <c r="B7357" s="2"/>
      <c r="C7357" s="2" t="str">
        <v>0</v>
      </c>
      <c r="D7357" s="2"/>
      <c r="F7357" s="2" t="str">
        <v>0</v>
      </c>
      <c r="I7357" s="3" t="str">
        <f ca="1">IFERROR(__xludf.DUMMYFUNCTION("""COMPUTED_VALUE"""),"Nguyễn Thu Thảo")</f>
        <v>Nguyễn Thu Thảo</v>
      </c>
      <c r="J7357" s="3" t="str">
        <f ca="1">IFERROR(__xludf.DUMMYFUNCTION("""COMPUTED_VALUE"""),"0974702245")</f>
        <v>0974702245</v>
      </c>
      <c r="K7357" s="2" t="str">
        <f ca="1">IFERROR(__xludf.DUMMYFUNCTION("""COMPUTED_VALUE"""),"1743123593300")</f>
        <v>1743123593300</v>
      </c>
    </row>
    <row r="7358" spans="1:11" ht="12.45">
      <c r="A7358" s="2" t="str">
        <f ca="1">IFERROR(__xludf.DUMMYFUNCTION("""COMPUTED_VALUE"""),"1743123663899")</f>
        <v>1743123663899</v>
      </c>
      <c r="B7358" s="2"/>
      <c r="C7358" s="2" t="str">
        <v>0</v>
      </c>
      <c r="D7358" s="2"/>
      <c r="F7358" s="2" t="str">
        <v>0</v>
      </c>
      <c r="I7358" s="3" t="str">
        <f ca="1">IFERROR(__xludf.DUMMYFUNCTION("""COMPUTED_VALUE"""),"Phạm Quang Minh")</f>
        <v>Phạm Quang Minh</v>
      </c>
      <c r="J7358" s="3" t="str">
        <f ca="1">IFERROR(__xludf.DUMMYFUNCTION("""COMPUTED_VALUE"""),"0582883975")</f>
        <v>0582883975</v>
      </c>
      <c r="K7358" s="2" t="str">
        <f ca="1">IFERROR(__xludf.DUMMYFUNCTION("""COMPUTED_VALUE"""),"1743123663899")</f>
        <v>1743123663899</v>
      </c>
    </row>
    <row r="7359" spans="1:11" ht="12.45">
      <c r="A7359" s="2" t="str">
        <f ca="1">IFERROR(__xludf.DUMMYFUNCTION("""COMPUTED_VALUE"""),"1743123726362")</f>
        <v>1743123726362</v>
      </c>
      <c r="B7359" s="2"/>
      <c r="C7359" s="2" t="str">
        <v>0</v>
      </c>
      <c r="D7359" s="2"/>
      <c r="F7359" s="2" t="str">
        <v>0</v>
      </c>
      <c r="I7359" s="3" t="str">
        <f ca="1">IFERROR(__xludf.DUMMYFUNCTION("""COMPUTED_VALUE"""),"Nguyễn Anh Thư")</f>
        <v>Nguyễn Anh Thư</v>
      </c>
      <c r="J7359" s="3" t="str">
        <f ca="1">IFERROR(__xludf.DUMMYFUNCTION("""COMPUTED_VALUE"""),"0886969583")</f>
        <v>0886969583</v>
      </c>
      <c r="K7359" s="2" t="str">
        <f ca="1">IFERROR(__xludf.DUMMYFUNCTION("""COMPUTED_VALUE"""),"1743123726362")</f>
        <v>1743123726362</v>
      </c>
    </row>
    <row r="7360" spans="1:11" ht="12.45">
      <c r="A7360" s="2" t="str">
        <f ca="1">IFERROR(__xludf.DUMMYFUNCTION("""COMPUTED_VALUE"""),"1743123784184")</f>
        <v>1743123784184</v>
      </c>
      <c r="B7360" s="2"/>
      <c r="C7360" s="2" t="str">
        <v>0</v>
      </c>
      <c r="D7360" s="2"/>
      <c r="F7360" s="2" t="str">
        <v>0</v>
      </c>
      <c r="I7360" s="3" t="str">
        <f ca="1">IFERROR(__xludf.DUMMYFUNCTION("""COMPUTED_VALUE"""),"Trịnh Thị Khánh Vy")</f>
        <v>Trịnh Thị Khánh Vy</v>
      </c>
      <c r="J7360" s="3" t="str">
        <f ca="1">IFERROR(__xludf.DUMMYFUNCTION("""COMPUTED_VALUE"""),"0813399116")</f>
        <v>0813399116</v>
      </c>
      <c r="K7360" s="2" t="str">
        <f ca="1">IFERROR(__xludf.DUMMYFUNCTION("""COMPUTED_VALUE"""),"1743123784184")</f>
        <v>1743123784184</v>
      </c>
    </row>
    <row r="7361" spans="1:11" ht="12.45">
      <c r="A7361" s="2" t="str">
        <f ca="1">IFERROR(__xludf.DUMMYFUNCTION("""COMPUTED_VALUE"""),"1743123856778")</f>
        <v>1743123856778</v>
      </c>
      <c r="B7361" s="2"/>
      <c r="C7361" s="2" t="str">
        <v>0</v>
      </c>
      <c r="D7361" s="2"/>
      <c r="F7361" s="2" t="str">
        <v>0</v>
      </c>
      <c r="I7361" s="3" t="str">
        <f ca="1">IFERROR(__xludf.DUMMYFUNCTION("""COMPUTED_VALUE"""),"Cà Thị Minh Thư")</f>
        <v>Cà Thị Minh Thư</v>
      </c>
      <c r="J7361" s="3" t="str">
        <f ca="1">IFERROR(__xludf.DUMMYFUNCTION("""COMPUTED_VALUE"""),"0787472190")</f>
        <v>0787472190</v>
      </c>
      <c r="K7361" s="2" t="str">
        <f ca="1">IFERROR(__xludf.DUMMYFUNCTION("""COMPUTED_VALUE"""),"1743123856778")</f>
        <v>1743123856778</v>
      </c>
    </row>
    <row r="7362" spans="1:11" ht="12.45">
      <c r="A7362" s="2" t="str">
        <f ca="1">IFERROR(__xludf.DUMMYFUNCTION("""COMPUTED_VALUE"""),"1743123920694")</f>
        <v>1743123920694</v>
      </c>
      <c r="B7362" s="2"/>
      <c r="C7362" s="2" t="str">
        <v>0</v>
      </c>
      <c r="D7362" s="2"/>
      <c r="F7362" s="2" t="str">
        <v>0</v>
      </c>
      <c r="I7362" s="3" t="str">
        <f ca="1">IFERROR(__xludf.DUMMYFUNCTION("""COMPUTED_VALUE"""),"Nghiêm Thị Thu Trang")</f>
        <v>Nghiêm Thị Thu Trang</v>
      </c>
      <c r="J7362" s="3" t="str">
        <f ca="1">IFERROR(__xludf.DUMMYFUNCTION("""COMPUTED_VALUE"""),"0325867509")</f>
        <v>0325867509</v>
      </c>
      <c r="K7362" s="2" t="str">
        <f ca="1">IFERROR(__xludf.DUMMYFUNCTION("""COMPUTED_VALUE"""),"1743123920694")</f>
        <v>1743123920694</v>
      </c>
    </row>
    <row r="7363" spans="1:11" ht="12.45">
      <c r="A7363" s="2" t="str">
        <f ca="1">IFERROR(__xludf.DUMMYFUNCTION("""COMPUTED_VALUE"""),"1743123998035")</f>
        <v>1743123998035</v>
      </c>
      <c r="B7363" s="2"/>
      <c r="C7363" s="2" t="str">
        <v>0</v>
      </c>
      <c r="D7363" s="2"/>
      <c r="F7363" s="2" t="str">
        <v>0</v>
      </c>
      <c r="I7363" s="3" t="str">
        <f ca="1">IFERROR(__xludf.DUMMYFUNCTION("""COMPUTED_VALUE"""),"Trịnh Thị Kiều Lâm")</f>
        <v>Trịnh Thị Kiều Lâm</v>
      </c>
      <c r="J7363" s="3" t="str">
        <f ca="1">IFERROR(__xludf.DUMMYFUNCTION("""COMPUTED_VALUE"""),"0364502588")</f>
        <v>0364502588</v>
      </c>
      <c r="K7363" s="2" t="str">
        <f ca="1">IFERROR(__xludf.DUMMYFUNCTION("""COMPUTED_VALUE"""),"1743123998035")</f>
        <v>1743123998035</v>
      </c>
    </row>
    <row r="7364" spans="1:11" ht="12.45">
      <c r="A7364" s="2" t="str">
        <f ca="1">IFERROR(__xludf.DUMMYFUNCTION("""COMPUTED_VALUE"""),"1743124056039")</f>
        <v>1743124056039</v>
      </c>
      <c r="B7364" s="2"/>
      <c r="C7364" s="2" t="str">
        <v>0</v>
      </c>
      <c r="D7364" s="2"/>
      <c r="F7364" s="2" t="str">
        <v>0</v>
      </c>
      <c r="I7364" s="3" t="str">
        <f ca="1">IFERROR(__xludf.DUMMYFUNCTION("""COMPUTED_VALUE"""),"Nguyễn Trung Hiếu")</f>
        <v>Nguyễn Trung Hiếu</v>
      </c>
      <c r="J7364" s="3" t="str">
        <f ca="1">IFERROR(__xludf.DUMMYFUNCTION("""COMPUTED_VALUE"""),"0988151745")</f>
        <v>0988151745</v>
      </c>
      <c r="K7364" s="2" t="str">
        <f ca="1">IFERROR(__xludf.DUMMYFUNCTION("""COMPUTED_VALUE"""),"1743124056039")</f>
        <v>1743124056039</v>
      </c>
    </row>
    <row r="7365" spans="1:11" ht="12.45">
      <c r="A7365" s="2" t="str">
        <f ca="1">IFERROR(__xludf.DUMMYFUNCTION("""COMPUTED_VALUE"""),"1743124113671")</f>
        <v>1743124113671</v>
      </c>
      <c r="B7365" s="2"/>
      <c r="C7365" s="2" t="str">
        <v>0</v>
      </c>
      <c r="D7365" s="2"/>
      <c r="F7365" s="2" t="str">
        <v>0</v>
      </c>
      <c r="I7365" s="3" t="str">
        <f ca="1">IFERROR(__xludf.DUMMYFUNCTION("""COMPUTED_VALUE"""),"Nguyễn Thị Ngọc Hằng ")</f>
        <v xml:space="preserve">Nguyễn Thị Ngọc Hằng </v>
      </c>
      <c r="J7365" s="3" t="str">
        <f ca="1">IFERROR(__xludf.DUMMYFUNCTION("""COMPUTED_VALUE"""),"0816303404")</f>
        <v>0816303404</v>
      </c>
      <c r="K7365" s="2" t="str">
        <f ca="1">IFERROR(__xludf.DUMMYFUNCTION("""COMPUTED_VALUE"""),"1743124113671")</f>
        <v>1743124113671</v>
      </c>
    </row>
    <row r="7366" spans="1:11" ht="12.45">
      <c r="A7366" s="2" t="str">
        <f ca="1">IFERROR(__xludf.DUMMYFUNCTION("""COMPUTED_VALUE"""),"1743124204981")</f>
        <v>1743124204981</v>
      </c>
      <c r="B7366" s="2"/>
      <c r="C7366" s="2" t="str">
        <v>0</v>
      </c>
      <c r="D7366" s="2"/>
      <c r="F7366" s="2" t="str">
        <v>0</v>
      </c>
      <c r="I7366" s="3" t="str">
        <f ca="1">IFERROR(__xludf.DUMMYFUNCTION("""COMPUTED_VALUE"""),"Phạm Hồng Nhung")</f>
        <v>Phạm Hồng Nhung</v>
      </c>
      <c r="J7366" s="3" t="str">
        <f ca="1">IFERROR(__xludf.DUMMYFUNCTION("""COMPUTED_VALUE"""),"0981904962")</f>
        <v>0981904962</v>
      </c>
      <c r="K7366" s="2" t="str">
        <f ca="1">IFERROR(__xludf.DUMMYFUNCTION("""COMPUTED_VALUE"""),"1743124204981")</f>
        <v>1743124204981</v>
      </c>
    </row>
    <row r="7367" spans="1:11" ht="12.45">
      <c r="A7367" s="2" t="str">
        <f ca="1">IFERROR(__xludf.DUMMYFUNCTION("""COMPUTED_VALUE"""),"1743124266083")</f>
        <v>1743124266083</v>
      </c>
      <c r="B7367" s="2"/>
      <c r="C7367" s="2" t="str">
        <v>0</v>
      </c>
      <c r="D7367" s="2"/>
      <c r="F7367" s="2" t="str">
        <v>0</v>
      </c>
      <c r="I7367" s="3" t="str">
        <f ca="1">IFERROR(__xludf.DUMMYFUNCTION("""COMPUTED_VALUE"""),"Hướng Lệ Quyên ")</f>
        <v xml:space="preserve">Hướng Lệ Quyên </v>
      </c>
      <c r="J7367" s="3" t="str">
        <f ca="1">IFERROR(__xludf.DUMMYFUNCTION("""COMPUTED_VALUE"""),"0348614840")</f>
        <v>0348614840</v>
      </c>
      <c r="K7367" s="2" t="str">
        <f ca="1">IFERROR(__xludf.DUMMYFUNCTION("""COMPUTED_VALUE"""),"1743124266083")</f>
        <v>1743124266083</v>
      </c>
    </row>
    <row r="7368" spans="1:11" ht="12.45">
      <c r="A7368" s="2"/>
      <c r="B7368" s="2"/>
      <c r="C7368" s="2" t="str">
        <v>0</v>
      </c>
      <c r="D7368" s="2"/>
      <c r="F7368" s="2" t="str">
        <v>0</v>
      </c>
      <c r="I7368" s="3" t="str">
        <f ca="1">IFERROR(__xludf.DUMMYFUNCTION("""COMPUTED_VALUE"""),"Trần Thủy Tiên")</f>
        <v>Trần Thủy Tiên</v>
      </c>
      <c r="J7368" s="3" t="str">
        <f ca="1">IFERROR(__xludf.DUMMYFUNCTION("""COMPUTED_VALUE"""),"0348445705")</f>
        <v>0348445705</v>
      </c>
      <c r="K7368" s="2"/>
    </row>
    <row r="7369" spans="1:11" ht="12.45">
      <c r="A7369" s="2" t="str">
        <f ca="1">IFERROR(__xludf.DUMMYFUNCTION("""COMPUTED_VALUE"""),"1743124330143")</f>
        <v>1743124330143</v>
      </c>
      <c r="B7369" s="2"/>
      <c r="C7369" s="2" t="str">
        <v>0</v>
      </c>
      <c r="D7369" s="2"/>
      <c r="F7369" s="2" t="str">
        <v>0</v>
      </c>
      <c r="I7369" s="3" t="str">
        <f ca="1">IFERROR(__xludf.DUMMYFUNCTION("""COMPUTED_VALUE"""),"Đinh Thị Phương Anh")</f>
        <v>Đinh Thị Phương Anh</v>
      </c>
      <c r="J7369" s="3" t="str">
        <f ca="1">IFERROR(__xludf.DUMMYFUNCTION("""COMPUTED_VALUE"""),"0387111228")</f>
        <v>0387111228</v>
      </c>
      <c r="K7369" s="2" t="str">
        <f ca="1">IFERROR(__xludf.DUMMYFUNCTION("""COMPUTED_VALUE"""),"1743124330143")</f>
        <v>1743124330143</v>
      </c>
    </row>
    <row r="7370" spans="1:11" ht="12.45">
      <c r="A7370" s="2" t="str">
        <f ca="1">IFERROR(__xludf.DUMMYFUNCTION("""COMPUTED_VALUE"""),"1743124470641")</f>
        <v>1743124470641</v>
      </c>
      <c r="B7370" s="2"/>
      <c r="C7370" s="2" t="str">
        <v>0</v>
      </c>
      <c r="D7370" s="2"/>
      <c r="F7370" s="2" t="str">
        <v>0</v>
      </c>
      <c r="I7370" s="3" t="str">
        <f ca="1">IFERROR(__xludf.DUMMYFUNCTION("""COMPUTED_VALUE"""),"Nguyễn Thanh Hoài ")</f>
        <v xml:space="preserve">Nguyễn Thanh Hoài </v>
      </c>
      <c r="J7370" s="3" t="str">
        <f ca="1">IFERROR(__xludf.DUMMYFUNCTION("""COMPUTED_VALUE"""),"0984882173")</f>
        <v>0984882173</v>
      </c>
      <c r="K7370" s="2" t="str">
        <f ca="1">IFERROR(__xludf.DUMMYFUNCTION("""COMPUTED_VALUE"""),"1743124470641")</f>
        <v>1743124470641</v>
      </c>
    </row>
    <row r="7371" spans="1:11" ht="12.45">
      <c r="A7371" s="2" t="str">
        <f ca="1">IFERROR(__xludf.DUMMYFUNCTION("""COMPUTED_VALUE"""),"1743124550170")</f>
        <v>1743124550170</v>
      </c>
      <c r="B7371" s="2"/>
      <c r="C7371" s="2" t="str">
        <v>0</v>
      </c>
      <c r="D7371" s="2"/>
      <c r="F7371" s="2" t="str">
        <v>0</v>
      </c>
      <c r="I7371" s="3" t="str">
        <f ca="1">IFERROR(__xludf.DUMMYFUNCTION("""COMPUTED_VALUE"""),"Nguyễn Gia Bảo")</f>
        <v>Nguyễn Gia Bảo</v>
      </c>
      <c r="J7371" s="3" t="str">
        <f ca="1">IFERROR(__xludf.DUMMYFUNCTION("""COMPUTED_VALUE"""),"0784212879")</f>
        <v>0784212879</v>
      </c>
      <c r="K7371" s="2" t="str">
        <f ca="1">IFERROR(__xludf.DUMMYFUNCTION("""COMPUTED_VALUE"""),"1743124550170")</f>
        <v>1743124550170</v>
      </c>
    </row>
    <row r="7372" spans="1:11" ht="12.45">
      <c r="A7372" s="2" t="str">
        <f ca="1">IFERROR(__xludf.DUMMYFUNCTION("""COMPUTED_VALUE"""),"1743124605821")</f>
        <v>1743124605821</v>
      </c>
      <c r="B7372" s="2"/>
      <c r="C7372" s="2" t="str">
        <v>0</v>
      </c>
      <c r="D7372" s="2"/>
      <c r="F7372" s="2" t="str">
        <v>0</v>
      </c>
      <c r="I7372" s="3" t="str">
        <f ca="1">IFERROR(__xludf.DUMMYFUNCTION("""COMPUTED_VALUE"""),"Nguyễn thị thanh thuý ")</f>
        <v xml:space="preserve">Nguyễn thị thanh thuý </v>
      </c>
      <c r="J7372" s="3" t="str">
        <f ca="1">IFERROR(__xludf.DUMMYFUNCTION("""COMPUTED_VALUE"""),"0358500397")</f>
        <v>0358500397</v>
      </c>
      <c r="K7372" s="2" t="str">
        <f ca="1">IFERROR(__xludf.DUMMYFUNCTION("""COMPUTED_VALUE"""),"1743124605821")</f>
        <v>1743124605821</v>
      </c>
    </row>
    <row r="7373" spans="1:11" ht="12.45">
      <c r="A7373" s="2" t="str">
        <f ca="1">IFERROR(__xludf.DUMMYFUNCTION("""COMPUTED_VALUE"""),"1743124680858")</f>
        <v>1743124680858</v>
      </c>
      <c r="B7373" s="2"/>
      <c r="C7373" s="2" t="str">
        <v>0</v>
      </c>
      <c r="D7373" s="2"/>
      <c r="F7373" s="2" t="str">
        <v>0</v>
      </c>
      <c r="I7373" s="3" t="str">
        <f ca="1">IFERROR(__xludf.DUMMYFUNCTION("""COMPUTED_VALUE"""),"Trần văn tuấn")</f>
        <v>Trần văn tuấn</v>
      </c>
      <c r="J7373" s="3" t="str">
        <f ca="1">IFERROR(__xludf.DUMMYFUNCTION("""COMPUTED_VALUE"""),"0869970375")</f>
        <v>0869970375</v>
      </c>
      <c r="K7373" s="2" t="str">
        <f ca="1">IFERROR(__xludf.DUMMYFUNCTION("""COMPUTED_VALUE"""),"1743124680858")</f>
        <v>1743124680858</v>
      </c>
    </row>
    <row r="7374" spans="1:11" ht="12.45">
      <c r="A7374" s="2" t="str">
        <f ca="1">IFERROR(__xludf.DUMMYFUNCTION("""COMPUTED_VALUE"""),"1743124755165")</f>
        <v>1743124755165</v>
      </c>
      <c r="B7374" s="2"/>
      <c r="C7374" s="2" t="str">
        <v>0</v>
      </c>
      <c r="D7374" s="2"/>
      <c r="F7374" s="2" t="str">
        <v>0</v>
      </c>
      <c r="I7374" s="3" t="str">
        <f ca="1">IFERROR(__xludf.DUMMYFUNCTION("""COMPUTED_VALUE"""),"Nguyễn Trọng Nhân ")</f>
        <v xml:space="preserve">Nguyễn Trọng Nhân </v>
      </c>
      <c r="J7374" s="3" t="str">
        <f ca="1">IFERROR(__xludf.DUMMYFUNCTION("""COMPUTED_VALUE"""),"0866482422")</f>
        <v>0866482422</v>
      </c>
      <c r="K7374" s="2" t="str">
        <f ca="1">IFERROR(__xludf.DUMMYFUNCTION("""COMPUTED_VALUE"""),"1743124755165")</f>
        <v>1743124755165</v>
      </c>
    </row>
    <row r="7375" spans="1:11" ht="12.45">
      <c r="A7375" s="2" t="str">
        <f ca="1">IFERROR(__xludf.DUMMYFUNCTION("""COMPUTED_VALUE"""),"1743124814697")</f>
        <v>1743124814697</v>
      </c>
      <c r="B7375" s="2"/>
      <c r="C7375" s="2" t="str">
        <v>0</v>
      </c>
      <c r="D7375" s="2"/>
      <c r="F7375" s="2" t="str">
        <v>0</v>
      </c>
      <c r="I7375" s="3" t="str">
        <f ca="1">IFERROR(__xludf.DUMMYFUNCTION("""COMPUTED_VALUE"""),"Nguyễn Kim Hường")</f>
        <v>Nguyễn Kim Hường</v>
      </c>
      <c r="J7375" s="3" t="str">
        <f ca="1">IFERROR(__xludf.DUMMYFUNCTION("""COMPUTED_VALUE"""),"0353161236")</f>
        <v>0353161236</v>
      </c>
      <c r="K7375" s="2" t="str">
        <f ca="1">IFERROR(__xludf.DUMMYFUNCTION("""COMPUTED_VALUE"""),"1743124814697")</f>
        <v>1743124814697</v>
      </c>
    </row>
    <row r="7376" spans="1:11" ht="12.45">
      <c r="A7376" s="2" t="str">
        <f ca="1">IFERROR(__xludf.DUMMYFUNCTION("""COMPUTED_VALUE"""),"1743124925641")</f>
        <v>1743124925641</v>
      </c>
      <c r="B7376" s="2"/>
      <c r="C7376" s="2" t="str">
        <v>0</v>
      </c>
      <c r="D7376" s="2"/>
      <c r="F7376" s="2" t="str">
        <v>0</v>
      </c>
      <c r="I7376" s="3" t="str">
        <f ca="1">IFERROR(__xludf.DUMMYFUNCTION("""COMPUTED_VALUE"""),"Nguyễn Ngọc Lam")</f>
        <v>Nguyễn Ngọc Lam</v>
      </c>
      <c r="J7376" s="3" t="str">
        <f ca="1">IFERROR(__xludf.DUMMYFUNCTION("""COMPUTED_VALUE"""),"0921127789")</f>
        <v>0921127789</v>
      </c>
      <c r="K7376" s="2" t="str">
        <f ca="1">IFERROR(__xludf.DUMMYFUNCTION("""COMPUTED_VALUE"""),"1743124925641")</f>
        <v>1743124925641</v>
      </c>
    </row>
    <row r="7377" spans="1:11" ht="12.45">
      <c r="A7377" s="2" t="str">
        <f ca="1">IFERROR(__xludf.DUMMYFUNCTION("""COMPUTED_VALUE"""),"1743125052862")</f>
        <v>1743125052862</v>
      </c>
      <c r="B7377" s="2"/>
      <c r="C7377" s="2" t="str">
        <v>0</v>
      </c>
      <c r="D7377" s="2"/>
      <c r="F7377" s="2" t="str">
        <v>0</v>
      </c>
      <c r="I7377" s="3" t="str">
        <f ca="1">IFERROR(__xludf.DUMMYFUNCTION("""COMPUTED_VALUE"""),"Nguyễn Quỳnh Trang")</f>
        <v>Nguyễn Quỳnh Trang</v>
      </c>
      <c r="J7377" s="3" t="str">
        <f ca="1">IFERROR(__xludf.DUMMYFUNCTION("""COMPUTED_VALUE"""),"0369506396")</f>
        <v>0369506396</v>
      </c>
      <c r="K7377" s="2" t="str">
        <f ca="1">IFERROR(__xludf.DUMMYFUNCTION("""COMPUTED_VALUE"""),"1743125052862")</f>
        <v>1743125052862</v>
      </c>
    </row>
    <row r="7378" spans="1:11" ht="12.45">
      <c r="A7378" s="2" t="str">
        <f ca="1">IFERROR(__xludf.DUMMYFUNCTION("""COMPUTED_VALUE"""),"1743125152995")</f>
        <v>1743125152995</v>
      </c>
      <c r="B7378" s="2"/>
      <c r="C7378" s="2" t="str">
        <v>0</v>
      </c>
      <c r="D7378" s="2"/>
      <c r="F7378" s="2" t="str">
        <v>0</v>
      </c>
      <c r="I7378" s="3" t="str">
        <f ca="1">IFERROR(__xludf.DUMMYFUNCTION("""COMPUTED_VALUE"""),"Nguyễn Kiều Oanh")</f>
        <v>Nguyễn Kiều Oanh</v>
      </c>
      <c r="J7378" s="3" t="str">
        <f ca="1">IFERROR(__xludf.DUMMYFUNCTION("""COMPUTED_VALUE"""),"0935945646")</f>
        <v>0935945646</v>
      </c>
      <c r="K7378" s="2" t="str">
        <f ca="1">IFERROR(__xludf.DUMMYFUNCTION("""COMPUTED_VALUE"""),"1743125152995")</f>
        <v>1743125152995</v>
      </c>
    </row>
    <row r="7379" spans="1:11" ht="12.45">
      <c r="A7379" s="2" t="str">
        <f ca="1">IFERROR(__xludf.DUMMYFUNCTION("""COMPUTED_VALUE"""),"1743125281099")</f>
        <v>1743125281099</v>
      </c>
      <c r="B7379" s="2"/>
      <c r="C7379" s="2" t="str">
        <v>0</v>
      </c>
      <c r="D7379" s="2"/>
      <c r="F7379" s="2" t="str">
        <v>0</v>
      </c>
      <c r="I7379" s="3" t="str">
        <f ca="1">IFERROR(__xludf.DUMMYFUNCTION("""COMPUTED_VALUE"""),"Nguyễn Ngọc Linh")</f>
        <v>Nguyễn Ngọc Linh</v>
      </c>
      <c r="J7379" s="3" t="str">
        <f ca="1">IFERROR(__xludf.DUMMYFUNCTION("""COMPUTED_VALUE"""),"0946063552")</f>
        <v>0946063552</v>
      </c>
      <c r="K7379" s="2" t="str">
        <f ca="1">IFERROR(__xludf.DUMMYFUNCTION("""COMPUTED_VALUE"""),"1743125281099")</f>
        <v>1743125281099</v>
      </c>
    </row>
    <row r="7380" spans="1:11" ht="12.45">
      <c r="A7380" s="2" t="str">
        <f ca="1">IFERROR(__xludf.DUMMYFUNCTION("""COMPUTED_VALUE"""),"1743125381394")</f>
        <v>1743125381394</v>
      </c>
      <c r="B7380" s="2"/>
      <c r="C7380" s="2" t="str">
        <v>0</v>
      </c>
      <c r="D7380" s="2"/>
      <c r="F7380" s="2" t="str">
        <v>0</v>
      </c>
      <c r="I7380" s="3" t="str">
        <f ca="1">IFERROR(__xludf.DUMMYFUNCTION("""COMPUTED_VALUE"""),"Nguyễn Thị Thanh Diễm")</f>
        <v>Nguyễn Thị Thanh Diễm</v>
      </c>
      <c r="J7380" s="3" t="str">
        <f ca="1">IFERROR(__xludf.DUMMYFUNCTION("""COMPUTED_VALUE"""),"0374017137")</f>
        <v>0374017137</v>
      </c>
      <c r="K7380" s="2" t="str">
        <f ca="1">IFERROR(__xludf.DUMMYFUNCTION("""COMPUTED_VALUE"""),"1743125381394")</f>
        <v>1743125381394</v>
      </c>
    </row>
    <row r="7381" spans="1:11" ht="12.45">
      <c r="A7381" s="2" t="str">
        <f ca="1">IFERROR(__xludf.DUMMYFUNCTION("""COMPUTED_VALUE"""),"1743125444927")</f>
        <v>1743125444927</v>
      </c>
      <c r="B7381" s="2"/>
      <c r="C7381" s="2" t="str">
        <v>0</v>
      </c>
      <c r="D7381" s="2"/>
      <c r="F7381" s="2" t="str">
        <v>0</v>
      </c>
      <c r="I7381" s="3" t="str">
        <f ca="1">IFERROR(__xludf.DUMMYFUNCTION("""COMPUTED_VALUE"""),"Trần Ngọc Linh")</f>
        <v>Trần Ngọc Linh</v>
      </c>
      <c r="J7381" s="3" t="str">
        <f ca="1">IFERROR(__xludf.DUMMYFUNCTION("""COMPUTED_VALUE"""),"0384134207")</f>
        <v>0384134207</v>
      </c>
      <c r="K7381" s="2" t="str">
        <f ca="1">IFERROR(__xludf.DUMMYFUNCTION("""COMPUTED_VALUE"""),"1743125444927")</f>
        <v>1743125444927</v>
      </c>
    </row>
    <row r="7382" spans="1:11" ht="12.45">
      <c r="A7382" s="2" t="str">
        <f ca="1">IFERROR(__xludf.DUMMYFUNCTION("""COMPUTED_VALUE"""),"1762228692208")</f>
        <v>1762228692208</v>
      </c>
      <c r="B7382" s="2"/>
      <c r="C7382" s="2" t="str">
        <v>0</v>
      </c>
      <c r="D7382" s="2"/>
      <c r="F7382" s="2" t="str">
        <v>0</v>
      </c>
      <c r="I7382" s="3" t="str">
        <f ca="1">IFERROR(__xludf.DUMMYFUNCTION("""COMPUTED_VALUE"""),"Nguyễn Trần Thái Ny")</f>
        <v>Nguyễn Trần Thái Ny</v>
      </c>
      <c r="J7382" s="3" t="str">
        <f ca="1">IFERROR(__xludf.DUMMYFUNCTION("""COMPUTED_VALUE"""),"0905053479")</f>
        <v>0905053479</v>
      </c>
      <c r="K7382" s="2" t="str">
        <f ca="1">IFERROR(__xludf.DUMMYFUNCTION("""COMPUTED_VALUE"""),"1762228692208")</f>
        <v>1762228692208</v>
      </c>
    </row>
    <row r="7383" spans="1:11" ht="12.45">
      <c r="A7383" s="2"/>
      <c r="B7383" s="2"/>
      <c r="C7383" s="2" t="str">
        <v>0</v>
      </c>
      <c r="D7383" s="2"/>
      <c r="F7383" s="2" t="str">
        <v>0</v>
      </c>
      <c r="I7383" s="3" t="str">
        <f ca="1">IFERROR(__xludf.DUMMYFUNCTION("""COMPUTED_VALUE"""),"Nguyễn Trương Phương Anh")</f>
        <v>Nguyễn Trương Phương Anh</v>
      </c>
      <c r="J7383" s="3" t="str">
        <f ca="1">IFERROR(__xludf.DUMMYFUNCTION("""COMPUTED_VALUE"""),"0388458699")</f>
        <v>0388458699</v>
      </c>
      <c r="K7383" s="2"/>
    </row>
    <row r="7384" spans="1:11" ht="12.45">
      <c r="A7384" s="2" t="str">
        <f ca="1">IFERROR(__xludf.DUMMYFUNCTION("""COMPUTED_VALUE"""),"1743125513155")</f>
        <v>1743125513155</v>
      </c>
      <c r="B7384" s="2"/>
      <c r="C7384" s="2" t="str">
        <v>0</v>
      </c>
      <c r="D7384" s="2"/>
      <c r="F7384" s="2" t="str">
        <v>0</v>
      </c>
      <c r="I7384" s="3" t="str">
        <f ca="1">IFERROR(__xludf.DUMMYFUNCTION("""COMPUTED_VALUE"""),"Nguyễn Tiến Khải")</f>
        <v>Nguyễn Tiến Khải</v>
      </c>
      <c r="J7384" s="3" t="str">
        <f ca="1">IFERROR(__xludf.DUMMYFUNCTION("""COMPUTED_VALUE"""),"0342998997")</f>
        <v>0342998997</v>
      </c>
      <c r="K7384" s="2" t="str">
        <f ca="1">IFERROR(__xludf.DUMMYFUNCTION("""COMPUTED_VALUE"""),"1743125513155")</f>
        <v>1743125513155</v>
      </c>
    </row>
    <row r="7385" spans="1:11" ht="12.45">
      <c r="A7385" s="2" t="str">
        <f ca="1">IFERROR(__xludf.DUMMYFUNCTION("""COMPUTED_VALUE"""),"1743125591466")</f>
        <v>1743125591466</v>
      </c>
      <c r="B7385" s="2"/>
      <c r="C7385" s="2" t="str">
        <v>0</v>
      </c>
      <c r="D7385" s="2"/>
      <c r="F7385" s="2" t="str">
        <v>0</v>
      </c>
      <c r="I7385" s="3" t="str">
        <f ca="1">IFERROR(__xludf.DUMMYFUNCTION("""COMPUTED_VALUE"""),"LÊ THỊ HƯƠNG GIANG ")</f>
        <v xml:space="preserve">LÊ THỊ HƯƠNG GIANG </v>
      </c>
      <c r="J7385" s="3" t="str">
        <f ca="1">IFERROR(__xludf.DUMMYFUNCTION("""COMPUTED_VALUE"""),"0795204272")</f>
        <v>0795204272</v>
      </c>
      <c r="K7385" s="2" t="str">
        <f ca="1">IFERROR(__xludf.DUMMYFUNCTION("""COMPUTED_VALUE"""),"1743125591466")</f>
        <v>1743125591466</v>
      </c>
    </row>
    <row r="7386" spans="1:11" ht="12.45">
      <c r="A7386" s="2" t="str">
        <f ca="1">IFERROR(__xludf.DUMMYFUNCTION("""COMPUTED_VALUE"""),"1743125692737")</f>
        <v>1743125692737</v>
      </c>
      <c r="B7386" s="2"/>
      <c r="C7386" s="2" t="str">
        <v>0</v>
      </c>
      <c r="D7386" s="2"/>
      <c r="F7386" s="2" t="str">
        <v>0</v>
      </c>
      <c r="I7386" s="3" t="str">
        <f ca="1">IFERROR(__xludf.DUMMYFUNCTION("""COMPUTED_VALUE"""),"Huỳnh Nguyễn Bảo Nhi ")</f>
        <v xml:space="preserve">Huỳnh Nguyễn Bảo Nhi </v>
      </c>
      <c r="J7386" s="3" t="str">
        <f ca="1">IFERROR(__xludf.DUMMYFUNCTION("""COMPUTED_VALUE"""),"0367701323")</f>
        <v>0367701323</v>
      </c>
      <c r="K7386" s="2" t="str">
        <f ca="1">IFERROR(__xludf.DUMMYFUNCTION("""COMPUTED_VALUE"""),"1743125692737")</f>
        <v>1743125692737</v>
      </c>
    </row>
    <row r="7387" spans="1:11" ht="12.45">
      <c r="A7387" s="2" t="str">
        <f ca="1">IFERROR(__xludf.DUMMYFUNCTION("""COMPUTED_VALUE"""),"1743125843829")</f>
        <v>1743125843829</v>
      </c>
      <c r="B7387" s="2"/>
      <c r="C7387" s="2" t="str">
        <v>0</v>
      </c>
      <c r="D7387" s="2"/>
      <c r="F7387" s="2" t="str">
        <v>0</v>
      </c>
      <c r="I7387" s="3" t="str">
        <f ca="1">IFERROR(__xludf.DUMMYFUNCTION("""COMPUTED_VALUE"""),"Mai anh")</f>
        <v>Mai anh</v>
      </c>
      <c r="J7387" s="3" t="str">
        <f ca="1">IFERROR(__xludf.DUMMYFUNCTION("""COMPUTED_VALUE"""),"0399647546")</f>
        <v>0399647546</v>
      </c>
      <c r="K7387" s="2" t="str">
        <f ca="1">IFERROR(__xludf.DUMMYFUNCTION("""COMPUTED_VALUE"""),"1743125843829")</f>
        <v>1743125843829</v>
      </c>
    </row>
    <row r="7388" spans="1:11" ht="12.45">
      <c r="A7388" s="2"/>
      <c r="B7388" s="2"/>
      <c r="C7388" s="2" t="str">
        <v>0</v>
      </c>
      <c r="D7388" s="2"/>
      <c r="F7388" s="2" t="str">
        <v>0</v>
      </c>
      <c r="I7388" s="3" t="str">
        <f ca="1">IFERROR(__xludf.DUMMYFUNCTION("""COMPUTED_VALUE"""),"Nguyễn Thu Châm")</f>
        <v>Nguyễn Thu Châm</v>
      </c>
      <c r="J7388" s="3" t="str">
        <f ca="1">IFERROR(__xludf.DUMMYFUNCTION("""COMPUTED_VALUE"""),"0932206781")</f>
        <v>0932206781</v>
      </c>
      <c r="K7388" s="2"/>
    </row>
    <row r="7389" spans="1:11" ht="12.45">
      <c r="A7389" s="2" t="str">
        <f ca="1">IFERROR(__xludf.DUMMYFUNCTION("""COMPUTED_VALUE"""),"1743125947082")</f>
        <v>1743125947082</v>
      </c>
      <c r="B7389" s="2"/>
      <c r="C7389" s="2" t="str">
        <v>0</v>
      </c>
      <c r="D7389" s="2"/>
      <c r="F7389" s="2" t="str">
        <v>0</v>
      </c>
      <c r="I7389" s="3" t="str">
        <f ca="1">IFERROR(__xludf.DUMMYFUNCTION("""COMPUTED_VALUE"""),"Nguyễn Lê Phương Vy")</f>
        <v>Nguyễn Lê Phương Vy</v>
      </c>
      <c r="J7389" s="3" t="str">
        <f ca="1">IFERROR(__xludf.DUMMYFUNCTION("""COMPUTED_VALUE"""),"0948955685")</f>
        <v>0948955685</v>
      </c>
      <c r="K7389" s="2" t="str">
        <f ca="1">IFERROR(__xludf.DUMMYFUNCTION("""COMPUTED_VALUE"""),"1743125947082")</f>
        <v>1743125947082</v>
      </c>
    </row>
    <row r="7390" spans="1:11" ht="12.45">
      <c r="A7390" s="2" t="str">
        <f ca="1">IFERROR(__xludf.DUMMYFUNCTION("""COMPUTED_VALUE"""),"1743126037167")</f>
        <v>1743126037167</v>
      </c>
      <c r="B7390" s="2"/>
      <c r="C7390" s="2" t="str">
        <v>0</v>
      </c>
      <c r="D7390" s="2"/>
      <c r="F7390" s="2" t="str">
        <v>0</v>
      </c>
      <c r="I7390" s="3" t="str">
        <f ca="1">IFERROR(__xludf.DUMMYFUNCTION("""COMPUTED_VALUE"""),"Nguyễn Thùy Trang")</f>
        <v>Nguyễn Thùy Trang</v>
      </c>
      <c r="J7390" s="3" t="str">
        <f ca="1">IFERROR(__xludf.DUMMYFUNCTION("""COMPUTED_VALUE"""),"0353784188")</f>
        <v>0353784188</v>
      </c>
      <c r="K7390" s="2" t="str">
        <f ca="1">IFERROR(__xludf.DUMMYFUNCTION("""COMPUTED_VALUE"""),"1743126037167")</f>
        <v>1743126037167</v>
      </c>
    </row>
    <row r="7391" spans="1:11" ht="12.45">
      <c r="A7391" s="2" t="str">
        <f ca="1">IFERROR(__xludf.DUMMYFUNCTION("""COMPUTED_VALUE"""),"1743126110382")</f>
        <v>1743126110382</v>
      </c>
      <c r="B7391" s="2"/>
      <c r="C7391" s="2" t="str">
        <v>0</v>
      </c>
      <c r="D7391" s="2"/>
      <c r="F7391" s="2" t="str">
        <v>0</v>
      </c>
      <c r="I7391" s="3" t="str">
        <f ca="1">IFERROR(__xludf.DUMMYFUNCTION("""COMPUTED_VALUE"""),"Nguyễn Hà Khánh My ")</f>
        <v xml:space="preserve">Nguyễn Hà Khánh My </v>
      </c>
      <c r="J7391" s="3" t="str">
        <f ca="1">IFERROR(__xludf.DUMMYFUNCTION("""COMPUTED_VALUE"""),"0376882007")</f>
        <v>0376882007</v>
      </c>
      <c r="K7391" s="2" t="str">
        <f ca="1">IFERROR(__xludf.DUMMYFUNCTION("""COMPUTED_VALUE"""),"1743126110382")</f>
        <v>1743126110382</v>
      </c>
    </row>
    <row r="7392" spans="1:11" ht="12.45">
      <c r="A7392" s="2" t="str">
        <f ca="1">IFERROR(__xludf.DUMMYFUNCTION("""COMPUTED_VALUE"""),"1743126176789")</f>
        <v>1743126176789</v>
      </c>
      <c r="B7392" s="2"/>
      <c r="C7392" s="2" t="str">
        <v>0</v>
      </c>
      <c r="D7392" s="2"/>
      <c r="F7392" s="2" t="str">
        <v>0</v>
      </c>
      <c r="I7392" s="3" t="str">
        <f ca="1">IFERROR(__xludf.DUMMYFUNCTION("""COMPUTED_VALUE"""),"Phạm Thị Nhật Anh ")</f>
        <v xml:space="preserve">Phạm Thị Nhật Anh </v>
      </c>
      <c r="J7392" s="3" t="str">
        <f ca="1">IFERROR(__xludf.DUMMYFUNCTION("""COMPUTED_VALUE"""),"0982431644")</f>
        <v>0982431644</v>
      </c>
      <c r="K7392" s="2" t="str">
        <f ca="1">IFERROR(__xludf.DUMMYFUNCTION("""COMPUTED_VALUE"""),"1743126176789")</f>
        <v>1743126176789</v>
      </c>
    </row>
    <row r="7393" spans="1:11" ht="12.45">
      <c r="A7393" s="2"/>
      <c r="B7393" s="2"/>
      <c r="C7393" s="2" t="str">
        <v>0</v>
      </c>
      <c r="D7393" s="2"/>
      <c r="F7393" s="2" t="str">
        <v>0</v>
      </c>
      <c r="I7393" s="3" t="str">
        <f ca="1">IFERROR(__xludf.DUMMYFUNCTION("""COMPUTED_VALUE"""),"Hoàng Thị Út ")</f>
        <v xml:space="preserve">Hoàng Thị Út </v>
      </c>
      <c r="J7393" s="3" t="str">
        <f ca="1">IFERROR(__xludf.DUMMYFUNCTION("""COMPUTED_VALUE"""),"0834939235")</f>
        <v>0834939235</v>
      </c>
      <c r="K7393" s="2"/>
    </row>
    <row r="7394" spans="1:11" ht="12.45">
      <c r="A7394" s="2" t="str">
        <f ca="1">IFERROR(__xludf.DUMMYFUNCTION("""COMPUTED_VALUE"""),"1743126268667")</f>
        <v>1743126268667</v>
      </c>
      <c r="B7394" s="2"/>
      <c r="C7394" s="2" t="str">
        <v>0</v>
      </c>
      <c r="D7394" s="2"/>
      <c r="F7394" s="2" t="str">
        <v>0</v>
      </c>
      <c r="I7394" s="3" t="str">
        <f ca="1">IFERROR(__xludf.DUMMYFUNCTION("""COMPUTED_VALUE"""),"phan lê kiều linh ")</f>
        <v xml:space="preserve">phan lê kiều linh </v>
      </c>
      <c r="J7394" s="3" t="str">
        <f ca="1">IFERROR(__xludf.DUMMYFUNCTION("""COMPUTED_VALUE"""),"0945880816")</f>
        <v>0945880816</v>
      </c>
      <c r="K7394" s="2" t="str">
        <f ca="1">IFERROR(__xludf.DUMMYFUNCTION("""COMPUTED_VALUE"""),"1743126268667")</f>
        <v>1743126268667</v>
      </c>
    </row>
    <row r="7395" spans="1:11" ht="12.45">
      <c r="A7395" s="2" t="str">
        <f ca="1">IFERROR(__xludf.DUMMYFUNCTION("""COMPUTED_VALUE"""),"1743126344660")</f>
        <v>1743126344660</v>
      </c>
      <c r="B7395" s="2"/>
      <c r="C7395" s="2" t="str">
        <v>0</v>
      </c>
      <c r="D7395" s="2"/>
      <c r="F7395" s="2" t="str">
        <v>0</v>
      </c>
      <c r="I7395" s="3" t="str">
        <f ca="1">IFERROR(__xludf.DUMMYFUNCTION("""COMPUTED_VALUE"""),"Bùi Đắc Đạt")</f>
        <v>Bùi Đắc Đạt</v>
      </c>
      <c r="J7395" s="3" t="str">
        <f ca="1">IFERROR(__xludf.DUMMYFUNCTION("""COMPUTED_VALUE"""),"0981403415")</f>
        <v>0981403415</v>
      </c>
      <c r="K7395" s="2" t="str">
        <f ca="1">IFERROR(__xludf.DUMMYFUNCTION("""COMPUTED_VALUE"""),"1743126344660")</f>
        <v>1743126344660</v>
      </c>
    </row>
    <row r="7396" spans="1:11" ht="12.45">
      <c r="A7396" s="2" t="str">
        <f ca="1">IFERROR(__xludf.DUMMYFUNCTION("""COMPUTED_VALUE"""),"1743126457204")</f>
        <v>1743126457204</v>
      </c>
      <c r="B7396" s="2"/>
      <c r="C7396" s="2" t="str">
        <v>0</v>
      </c>
      <c r="D7396" s="2"/>
      <c r="F7396" s="2" t="str">
        <v>0</v>
      </c>
      <c r="I7396" s="3" t="str">
        <f ca="1">IFERROR(__xludf.DUMMYFUNCTION("""COMPUTED_VALUE"""),"Nguyễn Minh Nhật")</f>
        <v>Nguyễn Minh Nhật</v>
      </c>
      <c r="J7396" s="3" t="str">
        <f ca="1">IFERROR(__xludf.DUMMYFUNCTION("""COMPUTED_VALUE"""),"0983040468")</f>
        <v>0983040468</v>
      </c>
      <c r="K7396" s="2" t="str">
        <f ca="1">IFERROR(__xludf.DUMMYFUNCTION("""COMPUTED_VALUE"""),"1743126457204")</f>
        <v>1743126457204</v>
      </c>
    </row>
    <row r="7397" spans="1:11" ht="12.45">
      <c r="A7397" s="2" t="str">
        <f ca="1">IFERROR(__xludf.DUMMYFUNCTION("""COMPUTED_VALUE"""),"1743126580748")</f>
        <v>1743126580748</v>
      </c>
      <c r="B7397" s="2"/>
      <c r="C7397" s="2" t="str">
        <v>0</v>
      </c>
      <c r="D7397" s="2"/>
      <c r="F7397" s="2" t="str">
        <v>0</v>
      </c>
      <c r="I7397" s="3" t="str">
        <f ca="1">IFERROR(__xludf.DUMMYFUNCTION("""COMPUTED_VALUE"""),"Lê minh quang")</f>
        <v>Lê minh quang</v>
      </c>
      <c r="J7397" s="3" t="str">
        <f ca="1">IFERROR(__xludf.DUMMYFUNCTION("""COMPUTED_VALUE"""),"0976670611")</f>
        <v>0976670611</v>
      </c>
      <c r="K7397" s="2" t="str">
        <f ca="1">IFERROR(__xludf.DUMMYFUNCTION("""COMPUTED_VALUE"""),"1743126580748")</f>
        <v>1743126580748</v>
      </c>
    </row>
    <row r="7398" spans="1:11" ht="12.45">
      <c r="A7398" s="2"/>
      <c r="B7398" s="2"/>
      <c r="C7398" s="2" t="str">
        <v>0</v>
      </c>
      <c r="D7398" s="2"/>
      <c r="F7398" s="2" t="str">
        <v>0</v>
      </c>
      <c r="I7398" s="3" t="str">
        <f ca="1">IFERROR(__xludf.DUMMYFUNCTION("""COMPUTED_VALUE"""),"Tạ Ngọc Thuỳ Dương ")</f>
        <v xml:space="preserve">Tạ Ngọc Thuỳ Dương </v>
      </c>
      <c r="J7398" s="3" t="str">
        <f ca="1">IFERROR(__xludf.DUMMYFUNCTION("""COMPUTED_VALUE"""),"0349139374")</f>
        <v>0349139374</v>
      </c>
      <c r="K7398" s="2"/>
    </row>
    <row r="7399" spans="1:11" ht="12.45">
      <c r="A7399" s="2" t="str">
        <f ca="1">IFERROR(__xludf.DUMMYFUNCTION("""COMPUTED_VALUE"""),"1743126652959")</f>
        <v>1743126652959</v>
      </c>
      <c r="B7399" s="2"/>
      <c r="C7399" s="2" t="str">
        <v>0</v>
      </c>
      <c r="D7399" s="2"/>
      <c r="F7399" s="2" t="str">
        <v>0</v>
      </c>
      <c r="I7399" s="3" t="str">
        <f ca="1">IFERROR(__xludf.DUMMYFUNCTION("""COMPUTED_VALUE"""),"Nguyễn quang việt anh")</f>
        <v>Nguyễn quang việt anh</v>
      </c>
      <c r="J7399" s="3" t="str">
        <f ca="1">IFERROR(__xludf.DUMMYFUNCTION("""COMPUTED_VALUE"""),"0828321983")</f>
        <v>0828321983</v>
      </c>
      <c r="K7399" s="2" t="str">
        <f ca="1">IFERROR(__xludf.DUMMYFUNCTION("""COMPUTED_VALUE"""),"1743126652959")</f>
        <v>1743126652959</v>
      </c>
    </row>
    <row r="7400" spans="1:11" ht="12.45">
      <c r="A7400" s="2" t="str">
        <f ca="1">IFERROR(__xludf.DUMMYFUNCTION("""COMPUTED_VALUE"""),"1743126708609")</f>
        <v>1743126708609</v>
      </c>
      <c r="B7400" s="2"/>
      <c r="C7400" s="2" t="str">
        <v>0</v>
      </c>
      <c r="D7400" s="2"/>
      <c r="F7400" s="2" t="str">
        <v>0</v>
      </c>
      <c r="I7400" s="3" t="str">
        <f ca="1">IFERROR(__xludf.DUMMYFUNCTION("""COMPUTED_VALUE"""),"Lê Quang Huy")</f>
        <v>Lê Quang Huy</v>
      </c>
      <c r="J7400" s="3" t="str">
        <f ca="1">IFERROR(__xludf.DUMMYFUNCTION("""COMPUTED_VALUE"""),"0966801207")</f>
        <v>0966801207</v>
      </c>
      <c r="K7400" s="2" t="str">
        <f ca="1">IFERROR(__xludf.DUMMYFUNCTION("""COMPUTED_VALUE"""),"1743126708609")</f>
        <v>1743126708609</v>
      </c>
    </row>
    <row r="7401" spans="1:11" ht="12.45">
      <c r="A7401" s="2" t="str">
        <f ca="1">IFERROR(__xludf.DUMMYFUNCTION("""COMPUTED_VALUE"""),"1743126812384")</f>
        <v>1743126812384</v>
      </c>
      <c r="B7401" s="2"/>
      <c r="C7401" s="2" t="str">
        <v>0</v>
      </c>
      <c r="D7401" s="2"/>
      <c r="F7401" s="2" t="str">
        <v>0</v>
      </c>
      <c r="I7401" s="3" t="str">
        <f ca="1">IFERROR(__xludf.DUMMYFUNCTION("""COMPUTED_VALUE"""),"Nguyễn Thị Khuyên ")</f>
        <v xml:space="preserve">Nguyễn Thị Khuyên </v>
      </c>
      <c r="J7401" s="3" t="str">
        <f ca="1">IFERROR(__xludf.DUMMYFUNCTION("""COMPUTED_VALUE"""),"0379700844")</f>
        <v>0379700844</v>
      </c>
      <c r="K7401" s="2" t="str">
        <f ca="1">IFERROR(__xludf.DUMMYFUNCTION("""COMPUTED_VALUE"""),"1743126812384")</f>
        <v>1743126812384</v>
      </c>
    </row>
    <row r="7402" spans="1:11" ht="12.45">
      <c r="A7402" s="2" t="str">
        <f ca="1">IFERROR(__xludf.DUMMYFUNCTION("""COMPUTED_VALUE"""),"1762228784443")</f>
        <v>1762228784443</v>
      </c>
      <c r="B7402" s="2"/>
      <c r="C7402" s="2" t="str">
        <v>0</v>
      </c>
      <c r="D7402" s="2"/>
      <c r="F7402" s="2" t="str">
        <v>0</v>
      </c>
      <c r="I7402" s="3" t="str">
        <f ca="1">IFERROR(__xludf.DUMMYFUNCTION("""COMPUTED_VALUE"""),"tường thị hà phương")</f>
        <v>tường thị hà phương</v>
      </c>
      <c r="J7402" s="3" t="str">
        <f ca="1">IFERROR(__xludf.DUMMYFUNCTION("""COMPUTED_VALUE"""),"0835719665")</f>
        <v>0835719665</v>
      </c>
      <c r="K7402" s="2" t="str">
        <f ca="1">IFERROR(__xludf.DUMMYFUNCTION("""COMPUTED_VALUE"""),"1762228784443")</f>
        <v>1762228784443</v>
      </c>
    </row>
    <row r="7403" spans="1:11" ht="12.45">
      <c r="A7403" s="2" t="str">
        <f ca="1">IFERROR(__xludf.DUMMYFUNCTION("""COMPUTED_VALUE"""),"1758580919644")</f>
        <v>1758580919644</v>
      </c>
      <c r="B7403" s="2"/>
      <c r="C7403" s="2" t="str">
        <v>0</v>
      </c>
      <c r="D7403" s="2"/>
      <c r="F7403" s="2" t="str">
        <v>0</v>
      </c>
      <c r="I7403" s="3" t="str">
        <f ca="1">IFERROR(__xludf.DUMMYFUNCTION("""COMPUTED_VALUE"""),"Quang hà vi")</f>
        <v>Quang hà vi</v>
      </c>
      <c r="J7403" s="3" t="str">
        <f ca="1">IFERROR(__xludf.DUMMYFUNCTION("""COMPUTED_VALUE"""),"0362865207")</f>
        <v>0362865207</v>
      </c>
      <c r="K7403" s="2" t="str">
        <f ca="1">IFERROR(__xludf.DUMMYFUNCTION("""COMPUTED_VALUE"""),"1758580919644")</f>
        <v>1758580919644</v>
      </c>
    </row>
    <row r="7404" spans="1:11" ht="12.45">
      <c r="A7404" s="2" t="str">
        <f ca="1">IFERROR(__xludf.DUMMYFUNCTION("""COMPUTED_VALUE"""),"1762228849977")</f>
        <v>1762228849977</v>
      </c>
      <c r="B7404" s="2"/>
      <c r="C7404" s="2" t="str">
        <v>0</v>
      </c>
      <c r="D7404" s="2"/>
      <c r="F7404" s="2" t="str">
        <v>0</v>
      </c>
      <c r="I7404" s="3" t="str">
        <f ca="1">IFERROR(__xludf.DUMMYFUNCTION("""COMPUTED_VALUE"""),"Hoàng Nguyễn Tiến Minh")</f>
        <v>Hoàng Nguyễn Tiến Minh</v>
      </c>
      <c r="J7404" s="3" t="str">
        <f ca="1">IFERROR(__xludf.DUMMYFUNCTION("""COMPUTED_VALUE"""),"0342515487")</f>
        <v>0342515487</v>
      </c>
      <c r="K7404" s="2" t="str">
        <f ca="1">IFERROR(__xludf.DUMMYFUNCTION("""COMPUTED_VALUE"""),"1762228849977")</f>
        <v>1762228849977</v>
      </c>
    </row>
    <row r="7405" spans="1:11" ht="12.45">
      <c r="A7405" s="2"/>
      <c r="B7405" s="2"/>
      <c r="C7405" s="2" t="str">
        <v>0</v>
      </c>
      <c r="D7405" s="2"/>
      <c r="F7405" s="2" t="str">
        <v>0</v>
      </c>
      <c r="I7405" s="3" t="str">
        <f ca="1">IFERROR(__xludf.DUMMYFUNCTION("""COMPUTED_VALUE"""),"Hoàng Thị Kim Tiến")</f>
        <v>Hoàng Thị Kim Tiến</v>
      </c>
      <c r="J7405" s="3" t="str">
        <f ca="1">IFERROR(__xludf.DUMMYFUNCTION("""COMPUTED_VALUE"""),"0962203509")</f>
        <v>0962203509</v>
      </c>
      <c r="K7405" s="2"/>
    </row>
    <row r="7406" spans="1:11" ht="12.45">
      <c r="A7406" s="2">
        <f ca="1">IFERROR(__xludf.DUMMYFUNCTION("""COMPUTED_VALUE"""),1761226861652)</f>
        <v>1761226861652</v>
      </c>
      <c r="B7406" s="2"/>
      <c r="C7406" s="2" t="str">
        <v>0</v>
      </c>
      <c r="D7406" s="2"/>
      <c r="F7406" s="2" t="str">
        <v>0</v>
      </c>
      <c r="I7406" s="3" t="str">
        <f ca="1">IFERROR(__xludf.DUMMYFUNCTION("""COMPUTED_VALUE"""),"Trương Thị Vân Anh")</f>
        <v>Trương Thị Vân Anh</v>
      </c>
      <c r="J7406" s="3" t="str">
        <f ca="1">IFERROR(__xludf.DUMMYFUNCTION("""COMPUTED_VALUE"""),"0971357765")</f>
        <v>0971357765</v>
      </c>
      <c r="K7406" s="2">
        <f ca="1">IFERROR(__xludf.DUMMYFUNCTION("""COMPUTED_VALUE"""),1761226861652)</f>
        <v>1761226861652</v>
      </c>
    </row>
    <row r="7407" spans="1:11" ht="12.45">
      <c r="A7407" s="2" t="str">
        <f ca="1">IFERROR(__xludf.DUMMYFUNCTION("""COMPUTED_VALUE"""),"1762228916540")</f>
        <v>1762228916540</v>
      </c>
      <c r="B7407" s="2"/>
      <c r="C7407" s="2" t="str">
        <v>0</v>
      </c>
      <c r="D7407" s="2"/>
      <c r="F7407" s="2" t="str">
        <v>0</v>
      </c>
      <c r="I7407" s="3" t="str">
        <f ca="1">IFERROR(__xludf.DUMMYFUNCTION("""COMPUTED_VALUE"""),"Cao thị nhiên ")</f>
        <v xml:space="preserve">Cao thị nhiên </v>
      </c>
      <c r="J7407" s="3" t="str">
        <f ca="1">IFERROR(__xludf.DUMMYFUNCTION("""COMPUTED_VALUE"""),"8496552906")</f>
        <v>8496552906</v>
      </c>
      <c r="K7407" s="2" t="str">
        <f ca="1">IFERROR(__xludf.DUMMYFUNCTION("""COMPUTED_VALUE"""),"1762228916540")</f>
        <v>1762228916540</v>
      </c>
    </row>
    <row r="7408" spans="1:11" ht="12.45">
      <c r="A7408" s="2" t="str">
        <f ca="1">IFERROR(__xludf.DUMMYFUNCTION("""COMPUTED_VALUE"""),"1762228986193")</f>
        <v>1762228986193</v>
      </c>
      <c r="B7408" s="2"/>
      <c r="C7408" s="2" t="str">
        <v>0</v>
      </c>
      <c r="D7408" s="2"/>
      <c r="F7408" s="2" t="str">
        <v>0</v>
      </c>
      <c r="I7408" s="3" t="str">
        <f ca="1">IFERROR(__xludf.DUMMYFUNCTION("""COMPUTED_VALUE"""),"Nguyễn Thị Phương Linh")</f>
        <v>Nguyễn Thị Phương Linh</v>
      </c>
      <c r="J7408" s="3" t="str">
        <f ca="1">IFERROR(__xludf.DUMMYFUNCTION("""COMPUTED_VALUE"""),"0865177363")</f>
        <v>0865177363</v>
      </c>
      <c r="K7408" s="2" t="str">
        <f ca="1">IFERROR(__xludf.DUMMYFUNCTION("""COMPUTED_VALUE"""),"1762228986193")</f>
        <v>1762228986193</v>
      </c>
    </row>
    <row r="7409" spans="1:11" ht="12.45">
      <c r="A7409" s="2" t="str">
        <f ca="1">IFERROR(__xludf.DUMMYFUNCTION("""COMPUTED_VALUE"""),"1762229041088")</f>
        <v>1762229041088</v>
      </c>
      <c r="B7409" s="2"/>
      <c r="C7409" s="2" t="str">
        <v>0</v>
      </c>
      <c r="D7409" s="2"/>
      <c r="F7409" s="2" t="str">
        <v>0</v>
      </c>
      <c r="I7409" s="3" t="str">
        <f ca="1">IFERROR(__xludf.DUMMYFUNCTION("""COMPUTED_VALUE"""),"Đinh Thanh Thảo")</f>
        <v>Đinh Thanh Thảo</v>
      </c>
      <c r="J7409" s="3" t="str">
        <f ca="1">IFERROR(__xludf.DUMMYFUNCTION("""COMPUTED_VALUE"""),"0896899628")</f>
        <v>0896899628</v>
      </c>
      <c r="K7409" s="2" t="str">
        <f ca="1">IFERROR(__xludf.DUMMYFUNCTION("""COMPUTED_VALUE"""),"1762229041088")</f>
        <v>1762229041088</v>
      </c>
    </row>
    <row r="7410" spans="1:11" ht="12.45">
      <c r="A7410" s="2" t="str">
        <f ca="1">IFERROR(__xludf.DUMMYFUNCTION("""COMPUTED_VALUE"""),"k gửi sách")</f>
        <v>k gửi sách</v>
      </c>
      <c r="B7410" s="2"/>
      <c r="C7410" s="2" t="str">
        <v>0</v>
      </c>
      <c r="D7410" s="2"/>
      <c r="F7410" s="2" t="str">
        <v>0</v>
      </c>
      <c r="I7410" s="3" t="str">
        <f ca="1">IFERROR(__xludf.DUMMYFUNCTION("""COMPUTED_VALUE"""),"Trần Đoàn Ngọc Trầm")</f>
        <v>Trần Đoàn Ngọc Trầm</v>
      </c>
      <c r="J7410" s="3" t="str">
        <f ca="1">IFERROR(__xludf.DUMMYFUNCTION("""COMPUTED_VALUE"""),"0372204770")</f>
        <v>0372204770</v>
      </c>
      <c r="K7410" s="2" t="str">
        <f ca="1">IFERROR(__xludf.DUMMYFUNCTION("""COMPUTED_VALUE"""),"k gửi sách")</f>
        <v>k gửi sách</v>
      </c>
    </row>
    <row r="7411" spans="1:11" ht="12.45">
      <c r="A7411" s="2" t="str">
        <f ca="1">IFERROR(__xludf.DUMMYFUNCTION("""COMPUTED_VALUE"""),"1762229079688")</f>
        <v>1762229079688</v>
      </c>
      <c r="B7411" s="2"/>
      <c r="C7411" s="2" t="str">
        <v>0</v>
      </c>
      <c r="D7411" s="2"/>
      <c r="F7411" s="2" t="str">
        <v>0</v>
      </c>
      <c r="I7411" s="3" t="str">
        <f ca="1">IFERROR(__xludf.DUMMYFUNCTION("""COMPUTED_VALUE"""),"Hoàng Nguyễn Diệu Thảo")</f>
        <v>Hoàng Nguyễn Diệu Thảo</v>
      </c>
      <c r="J7411" s="3" t="str">
        <f ca="1">IFERROR(__xludf.DUMMYFUNCTION("""COMPUTED_VALUE"""),"0912307089")</f>
        <v>0912307089</v>
      </c>
      <c r="K7411" s="2" t="str">
        <f ca="1">IFERROR(__xludf.DUMMYFUNCTION("""COMPUTED_VALUE"""),"1762229079688")</f>
        <v>1762229079688</v>
      </c>
    </row>
    <row r="7412" spans="1:11" ht="12.45">
      <c r="A7412" s="2" t="str">
        <f ca="1">IFERROR(__xludf.DUMMYFUNCTION("""COMPUTED_VALUE"""),"1762229122117")</f>
        <v>1762229122117</v>
      </c>
      <c r="B7412" s="2"/>
      <c r="C7412" s="2" t="str">
        <v>0</v>
      </c>
      <c r="D7412" s="2"/>
      <c r="F7412" s="2" t="str">
        <v>0</v>
      </c>
      <c r="I7412" s="3" t="str">
        <f ca="1">IFERROR(__xludf.DUMMYFUNCTION("""COMPUTED_VALUE"""),"Lê Hữu Phúc")</f>
        <v>Lê Hữu Phúc</v>
      </c>
      <c r="J7412" s="3" t="str">
        <f ca="1">IFERROR(__xludf.DUMMYFUNCTION("""COMPUTED_VALUE"""),"0763501758")</f>
        <v>0763501758</v>
      </c>
      <c r="K7412" s="2" t="str">
        <f ca="1">IFERROR(__xludf.DUMMYFUNCTION("""COMPUTED_VALUE"""),"1762229122117")</f>
        <v>1762229122117</v>
      </c>
    </row>
    <row r="7413" spans="1:11" ht="12.45">
      <c r="A7413" s="2" t="str">
        <f ca="1">IFERROR(__xludf.DUMMYFUNCTION("""COMPUTED_VALUE"""),"1762229161918")</f>
        <v>1762229161918</v>
      </c>
      <c r="B7413" s="2"/>
      <c r="C7413" s="2" t="str">
        <v>0</v>
      </c>
      <c r="D7413" s="2"/>
      <c r="F7413" s="2" t="str">
        <v>0</v>
      </c>
      <c r="I7413" s="3" t="str">
        <f ca="1">IFERROR(__xludf.DUMMYFUNCTION("""COMPUTED_VALUE"""),"Phạm Quỳnh Tuyết Ngân ")</f>
        <v xml:space="preserve">Phạm Quỳnh Tuyết Ngân </v>
      </c>
      <c r="J7413" s="3" t="str">
        <f ca="1">IFERROR(__xludf.DUMMYFUNCTION("""COMPUTED_VALUE"""),"0931123339")</f>
        <v>0931123339</v>
      </c>
      <c r="K7413" s="2" t="str">
        <f ca="1">IFERROR(__xludf.DUMMYFUNCTION("""COMPUTED_VALUE"""),"1762229161918")</f>
        <v>1762229161918</v>
      </c>
    </row>
    <row r="7414" spans="1:11" ht="12.45">
      <c r="A7414" s="2" t="str">
        <f ca="1">IFERROR(__xludf.DUMMYFUNCTION("""COMPUTED_VALUE"""),"1762229199003")</f>
        <v>1762229199003</v>
      </c>
      <c r="B7414" s="2"/>
      <c r="C7414" s="2" t="str">
        <v>0</v>
      </c>
      <c r="D7414" s="2"/>
      <c r="F7414" s="2" t="str">
        <v>0</v>
      </c>
      <c r="I7414" s="3" t="str">
        <f ca="1">IFERROR(__xludf.DUMMYFUNCTION("""COMPUTED_VALUE"""),"Hồ Trần Mai Phương")</f>
        <v>Hồ Trần Mai Phương</v>
      </c>
      <c r="J7414" s="3" t="str">
        <f ca="1">IFERROR(__xludf.DUMMYFUNCTION("""COMPUTED_VALUE"""),"0356376420")</f>
        <v>0356376420</v>
      </c>
      <c r="K7414" s="2" t="str">
        <f ca="1">IFERROR(__xludf.DUMMYFUNCTION("""COMPUTED_VALUE"""),"1762229199003")</f>
        <v>1762229199003</v>
      </c>
    </row>
    <row r="7415" spans="1:11" ht="12.45">
      <c r="A7415" s="2" t="str">
        <f ca="1">IFERROR(__xludf.DUMMYFUNCTION("""COMPUTED_VALUE"""),"1762229249742")</f>
        <v>1762229249742</v>
      </c>
      <c r="B7415" s="2"/>
      <c r="C7415" s="2" t="str">
        <v>0</v>
      </c>
      <c r="D7415" s="2"/>
      <c r="F7415" s="2" t="str">
        <v>0</v>
      </c>
      <c r="I7415" s="3" t="str">
        <f ca="1">IFERROR(__xludf.DUMMYFUNCTION("""COMPUTED_VALUE"""),"Nguyễn Thị Hằng ")</f>
        <v xml:space="preserve">Nguyễn Thị Hằng </v>
      </c>
      <c r="J7415" s="3" t="str">
        <f ca="1">IFERROR(__xludf.DUMMYFUNCTION("""COMPUTED_VALUE"""),"0367288256")</f>
        <v>0367288256</v>
      </c>
      <c r="K7415" s="2" t="str">
        <f ca="1">IFERROR(__xludf.DUMMYFUNCTION("""COMPUTED_VALUE"""),"1762229249742")</f>
        <v>1762229249742</v>
      </c>
    </row>
    <row r="7416" spans="1:11" ht="12.45">
      <c r="A7416" s="2" t="str">
        <f ca="1">IFERROR(__xludf.DUMMYFUNCTION("""COMPUTED_VALUE"""),"1762229301346")</f>
        <v>1762229301346</v>
      </c>
      <c r="B7416" s="2"/>
      <c r="C7416" s="2" t="str">
        <v>0</v>
      </c>
      <c r="D7416" s="2"/>
      <c r="F7416" s="2" t="str">
        <v>0</v>
      </c>
      <c r="I7416" s="3" t="str">
        <f ca="1">IFERROR(__xludf.DUMMYFUNCTION("""COMPUTED_VALUE"""),"Bùi Thị Yến Nhi")</f>
        <v>Bùi Thị Yến Nhi</v>
      </c>
      <c r="J7416" s="3" t="str">
        <f ca="1">IFERROR(__xludf.DUMMYFUNCTION("""COMPUTED_VALUE"""),"0355830813")</f>
        <v>0355830813</v>
      </c>
      <c r="K7416" s="2" t="str">
        <f ca="1">IFERROR(__xludf.DUMMYFUNCTION("""COMPUTED_VALUE"""),"1762229301346")</f>
        <v>1762229301346</v>
      </c>
    </row>
    <row r="7417" spans="1:11" ht="12.45">
      <c r="A7417" s="2" t="str">
        <f ca="1">IFERROR(__xludf.DUMMYFUNCTION("""COMPUTED_VALUE"""),"1762229396350")</f>
        <v>1762229396350</v>
      </c>
      <c r="B7417" s="2"/>
      <c r="C7417" s="2" t="str">
        <v>0</v>
      </c>
      <c r="D7417" s="2"/>
      <c r="F7417" s="2" t="str">
        <v>0</v>
      </c>
      <c r="I7417" s="3" t="str">
        <f ca="1">IFERROR(__xludf.DUMMYFUNCTION("""COMPUTED_VALUE"""),"Trương Ngọc Ánh")</f>
        <v>Trương Ngọc Ánh</v>
      </c>
      <c r="J7417" s="3" t="str">
        <f ca="1">IFERROR(__xludf.DUMMYFUNCTION("""COMPUTED_VALUE"""),"0839402136")</f>
        <v>0839402136</v>
      </c>
      <c r="K7417" s="2" t="str">
        <f ca="1">IFERROR(__xludf.DUMMYFUNCTION("""COMPUTED_VALUE"""),"1762229396350")</f>
        <v>1762229396350</v>
      </c>
    </row>
    <row r="7418" spans="1:11" ht="12.45">
      <c r="A7418" s="2" t="str">
        <f ca="1">IFERROR(__xludf.DUMMYFUNCTION("""COMPUTED_VALUE"""),"1743126984580")</f>
        <v>1743126984580</v>
      </c>
      <c r="B7418" s="2"/>
      <c r="C7418" s="2" t="str">
        <v>0</v>
      </c>
      <c r="D7418" s="2"/>
      <c r="F7418" s="2" t="str">
        <v>0</v>
      </c>
      <c r="I7418" s="3" t="str">
        <f ca="1">IFERROR(__xludf.DUMMYFUNCTION("""COMPUTED_VALUE"""),"Trần Ngọc Dũng")</f>
        <v>Trần Ngọc Dũng</v>
      </c>
      <c r="J7418" s="3" t="str">
        <f ca="1">IFERROR(__xludf.DUMMYFUNCTION("""COMPUTED_VALUE"""),"0347094122")</f>
        <v>0347094122</v>
      </c>
      <c r="K7418" s="2" t="str">
        <f ca="1">IFERROR(__xludf.DUMMYFUNCTION("""COMPUTED_VALUE"""),"1743126984580")</f>
        <v>1743126984580</v>
      </c>
    </row>
    <row r="7419" spans="1:11" ht="12.45">
      <c r="A7419" s="2" t="str">
        <f ca="1">IFERROR(__xludf.DUMMYFUNCTION("""COMPUTED_VALUE"""),"1762229477689")</f>
        <v>1762229477689</v>
      </c>
      <c r="B7419" s="2"/>
      <c r="C7419" s="2" t="str">
        <v>0</v>
      </c>
      <c r="D7419" s="2"/>
      <c r="F7419" s="2" t="str">
        <v>0</v>
      </c>
      <c r="I7419" s="3" t="str">
        <f ca="1">IFERROR(__xludf.DUMMYFUNCTION("""COMPUTED_VALUE"""),"Nông Thị Anh Thơ ")</f>
        <v xml:space="preserve">Nông Thị Anh Thơ </v>
      </c>
      <c r="J7419" s="3" t="str">
        <f ca="1">IFERROR(__xludf.DUMMYFUNCTION("""COMPUTED_VALUE"""),"0353750433")</f>
        <v>0353750433</v>
      </c>
      <c r="K7419" s="2" t="str">
        <f ca="1">IFERROR(__xludf.DUMMYFUNCTION("""COMPUTED_VALUE"""),"1762229477689")</f>
        <v>1762229477689</v>
      </c>
    </row>
    <row r="7420" spans="1:11" ht="12.45">
      <c r="A7420" s="2" t="str">
        <f ca="1">IFERROR(__xludf.DUMMYFUNCTION("""COMPUTED_VALUE"""),"1762229621396")</f>
        <v>1762229621396</v>
      </c>
      <c r="B7420" s="2"/>
      <c r="C7420" s="2" t="str">
        <v>0</v>
      </c>
      <c r="D7420" s="2"/>
      <c r="F7420" s="2" t="str">
        <v>0</v>
      </c>
      <c r="I7420" s="3" t="str">
        <f ca="1">IFERROR(__xludf.DUMMYFUNCTION("""COMPUTED_VALUE"""),"Trần Khã Vy")</f>
        <v>Trần Khã Vy</v>
      </c>
      <c r="J7420" s="3" t="str">
        <f ca="1">IFERROR(__xludf.DUMMYFUNCTION("""COMPUTED_VALUE"""),"0914329530")</f>
        <v>0914329530</v>
      </c>
      <c r="K7420" s="2" t="str">
        <f ca="1">IFERROR(__xludf.DUMMYFUNCTION("""COMPUTED_VALUE"""),"1762229621396")</f>
        <v>1762229621396</v>
      </c>
    </row>
    <row r="7421" spans="1:11" ht="12.45">
      <c r="A7421" s="2" t="str">
        <f ca="1">IFERROR(__xludf.DUMMYFUNCTION("""COMPUTED_VALUE"""),"1762229671209")</f>
        <v>1762229671209</v>
      </c>
      <c r="B7421" s="2"/>
      <c r="C7421" s="2" t="str">
        <v>0</v>
      </c>
      <c r="D7421" s="2"/>
      <c r="F7421" s="2" t="str">
        <v>0</v>
      </c>
      <c r="I7421" s="3" t="str">
        <f ca="1">IFERROR(__xludf.DUMMYFUNCTION("""COMPUTED_VALUE"""),"Nguyễn thị thu bách")</f>
        <v>Nguyễn thị thu bách</v>
      </c>
      <c r="J7421" s="3" t="str">
        <f ca="1">IFERROR(__xludf.DUMMYFUNCTION("""COMPUTED_VALUE"""),"0353025455")</f>
        <v>0353025455</v>
      </c>
      <c r="K7421" s="2" t="str">
        <f ca="1">IFERROR(__xludf.DUMMYFUNCTION("""COMPUTED_VALUE"""),"1762229671209")</f>
        <v>1762229671209</v>
      </c>
    </row>
    <row r="7422" spans="1:11" ht="12.45">
      <c r="A7422" s="2" t="str">
        <f ca="1">IFERROR(__xludf.DUMMYFUNCTION("""COMPUTED_VALUE"""),"1762229766716")</f>
        <v>1762229766716</v>
      </c>
      <c r="B7422" s="2"/>
      <c r="C7422" s="2" t="str">
        <v>0</v>
      </c>
      <c r="D7422" s="2"/>
      <c r="F7422" s="2" t="str">
        <v>0</v>
      </c>
      <c r="I7422" s="3" t="str">
        <f ca="1">IFERROR(__xludf.DUMMYFUNCTION("""COMPUTED_VALUE"""),"Phạm Ngọc Phương Vy")</f>
        <v>Phạm Ngọc Phương Vy</v>
      </c>
      <c r="J7422" s="3" t="str">
        <f ca="1">IFERROR(__xludf.DUMMYFUNCTION("""COMPUTED_VALUE"""),"0339625405")</f>
        <v>0339625405</v>
      </c>
      <c r="K7422" s="2" t="str">
        <f ca="1">IFERROR(__xludf.DUMMYFUNCTION("""COMPUTED_VALUE"""),"1762229766716")</f>
        <v>1762229766716</v>
      </c>
    </row>
    <row r="7423" spans="1:11" ht="12.45">
      <c r="A7423" s="2" t="str">
        <f ca="1">IFERROR(__xludf.DUMMYFUNCTION("""COMPUTED_VALUE"""),"1762229872610")</f>
        <v>1762229872610</v>
      </c>
      <c r="B7423" s="2"/>
      <c r="C7423" s="2" t="str">
        <v>0</v>
      </c>
      <c r="D7423" s="2"/>
      <c r="F7423" s="2" t="str">
        <v>0</v>
      </c>
      <c r="I7423" s="3" t="str">
        <f ca="1">IFERROR(__xludf.DUMMYFUNCTION("""COMPUTED_VALUE"""),"Mai Đinh Thu San")</f>
        <v>Mai Đinh Thu San</v>
      </c>
      <c r="J7423" s="3" t="str">
        <f ca="1">IFERROR(__xludf.DUMMYFUNCTION("""COMPUTED_VALUE"""),"0348630304")</f>
        <v>0348630304</v>
      </c>
      <c r="K7423" s="2" t="str">
        <f ca="1">IFERROR(__xludf.DUMMYFUNCTION("""COMPUTED_VALUE"""),"1762229872610")</f>
        <v>1762229872610</v>
      </c>
    </row>
    <row r="7424" spans="1:11" ht="12.45">
      <c r="A7424" s="2" t="str">
        <f ca="1">IFERROR(__xludf.DUMMYFUNCTION("""COMPUTED_VALUE"""),"1762230000584")</f>
        <v>1762230000584</v>
      </c>
      <c r="B7424" s="2"/>
      <c r="C7424" s="2" t="str">
        <v>0</v>
      </c>
      <c r="D7424" s="2"/>
      <c r="F7424" s="2" t="str">
        <v>0</v>
      </c>
      <c r="I7424" s="3" t="str">
        <f ca="1">IFERROR(__xludf.DUMMYFUNCTION("""COMPUTED_VALUE"""),"Trần Nguyễn Thanh Mai")</f>
        <v>Trần Nguyễn Thanh Mai</v>
      </c>
      <c r="J7424" s="3" t="str">
        <f ca="1">IFERROR(__xludf.DUMMYFUNCTION("""COMPUTED_VALUE"""),"0336540163")</f>
        <v>0336540163</v>
      </c>
      <c r="K7424" s="2" t="str">
        <f ca="1">IFERROR(__xludf.DUMMYFUNCTION("""COMPUTED_VALUE"""),"1762230000584")</f>
        <v>1762230000584</v>
      </c>
    </row>
    <row r="7425" spans="1:11" ht="12.45">
      <c r="A7425" s="2" t="str">
        <f ca="1">IFERROR(__xludf.DUMMYFUNCTION("""COMPUTED_VALUE"""),"1762230083404")</f>
        <v>1762230083404</v>
      </c>
      <c r="B7425" s="2"/>
      <c r="C7425" s="2" t="str">
        <v>0</v>
      </c>
      <c r="D7425" s="2"/>
      <c r="F7425" s="2" t="str">
        <v>0</v>
      </c>
      <c r="I7425" s="3" t="str">
        <f ca="1">IFERROR(__xludf.DUMMYFUNCTION("""COMPUTED_VALUE"""),"Nguyễn Khánh Huyền ")</f>
        <v xml:space="preserve">Nguyễn Khánh Huyền </v>
      </c>
      <c r="J7425" s="3" t="str">
        <f ca="1">IFERROR(__xludf.DUMMYFUNCTION("""COMPUTED_VALUE"""),"0944492928")</f>
        <v>0944492928</v>
      </c>
      <c r="K7425" s="2" t="str">
        <f ca="1">IFERROR(__xludf.DUMMYFUNCTION("""COMPUTED_VALUE"""),"1762230083404")</f>
        <v>1762230083404</v>
      </c>
    </row>
    <row r="7426" spans="1:11" ht="12.45">
      <c r="A7426" s="2"/>
      <c r="B7426" s="2"/>
      <c r="C7426" s="2" t="str">
        <v>0</v>
      </c>
      <c r="D7426" s="2"/>
      <c r="F7426" s="2" t="str">
        <v>0</v>
      </c>
      <c r="I7426" s="3" t="str">
        <f ca="1">IFERROR(__xludf.DUMMYFUNCTION("""COMPUTED_VALUE"""),"Nguyễn Thị Bảo Anh")</f>
        <v>Nguyễn Thị Bảo Anh</v>
      </c>
      <c r="J7426" s="3" t="str">
        <f ca="1">IFERROR(__xludf.DUMMYFUNCTION("""COMPUTED_VALUE"""),"0912607399")</f>
        <v>0912607399</v>
      </c>
      <c r="K7426" s="2"/>
    </row>
    <row r="7427" spans="1:11" ht="12.45">
      <c r="A7427" s="2" t="str">
        <f ca="1">IFERROR(__xludf.DUMMYFUNCTION("""COMPUTED_VALUE"""),"1762230214926")</f>
        <v>1762230214926</v>
      </c>
      <c r="B7427" s="2"/>
      <c r="C7427" s="2" t="str">
        <v>0</v>
      </c>
      <c r="D7427" s="2"/>
      <c r="F7427" s="2" t="str">
        <v>0</v>
      </c>
      <c r="I7427" s="3" t="str">
        <f ca="1">IFERROR(__xludf.DUMMYFUNCTION("""COMPUTED_VALUE"""),"Trần Kim Ngọc")</f>
        <v>Trần Kim Ngọc</v>
      </c>
      <c r="J7427" s="3" t="str">
        <f ca="1">IFERROR(__xludf.DUMMYFUNCTION("""COMPUTED_VALUE"""),"0366427606")</f>
        <v>0366427606</v>
      </c>
      <c r="K7427" s="2" t="str">
        <f ca="1">IFERROR(__xludf.DUMMYFUNCTION("""COMPUTED_VALUE"""),"1762230214926")</f>
        <v>1762230214926</v>
      </c>
    </row>
    <row r="7428" spans="1:11" ht="12.45">
      <c r="A7428" s="2" t="str">
        <f ca="1">IFERROR(__xludf.DUMMYFUNCTION("""COMPUTED_VALUE"""),"1762230303226")</f>
        <v>1762230303226</v>
      </c>
      <c r="B7428" s="2"/>
      <c r="C7428" s="2" t="str">
        <v>0</v>
      </c>
      <c r="D7428" s="2"/>
      <c r="F7428" s="2" t="str">
        <v>0</v>
      </c>
      <c r="I7428" s="3" t="str">
        <f ca="1">IFERROR(__xludf.DUMMYFUNCTION("""COMPUTED_VALUE"""),"Mạc Khánh Huyền")</f>
        <v>Mạc Khánh Huyền</v>
      </c>
      <c r="J7428" s="3" t="str">
        <f ca="1">IFERROR(__xludf.DUMMYFUNCTION("""COMPUTED_VALUE"""),"0344671036")</f>
        <v>0344671036</v>
      </c>
      <c r="K7428" s="2" t="str">
        <f ca="1">IFERROR(__xludf.DUMMYFUNCTION("""COMPUTED_VALUE"""),"1762230303226")</f>
        <v>1762230303226</v>
      </c>
    </row>
    <row r="7429" spans="1:11" ht="12.45">
      <c r="A7429" s="2" t="str">
        <f ca="1">IFERROR(__xludf.DUMMYFUNCTION("""COMPUTED_VALUE"""),"1762230402695")</f>
        <v>1762230402695</v>
      </c>
      <c r="B7429" s="2"/>
      <c r="C7429" s="2" t="str">
        <v>0</v>
      </c>
      <c r="D7429" s="2"/>
      <c r="F7429" s="2" t="str">
        <v>0</v>
      </c>
      <c r="I7429" s="3" t="str">
        <f ca="1">IFERROR(__xludf.DUMMYFUNCTION("""COMPUTED_VALUE"""),"Lê Hoàng Khánh Chi")</f>
        <v>Lê Hoàng Khánh Chi</v>
      </c>
      <c r="J7429" s="3" t="str">
        <f ca="1">IFERROR(__xludf.DUMMYFUNCTION("""COMPUTED_VALUE"""),"0836966880")</f>
        <v>0836966880</v>
      </c>
      <c r="K7429" s="2" t="str">
        <f ca="1">IFERROR(__xludf.DUMMYFUNCTION("""COMPUTED_VALUE"""),"1762230402695")</f>
        <v>1762230402695</v>
      </c>
    </row>
    <row r="7430" spans="1:11" ht="12.45">
      <c r="A7430" s="2" t="str">
        <f ca="1">IFERROR(__xludf.DUMMYFUNCTION("""COMPUTED_VALUE"""),"1762230528159")</f>
        <v>1762230528159</v>
      </c>
      <c r="B7430" s="2"/>
      <c r="C7430" s="2" t="str">
        <v>0</v>
      </c>
      <c r="D7430" s="2"/>
      <c r="F7430" s="2" t="str">
        <v>0</v>
      </c>
      <c r="I7430" s="3" t="str">
        <f ca="1">IFERROR(__xludf.DUMMYFUNCTION("""COMPUTED_VALUE"""),"Phùng Lê Thanh Nhã ")</f>
        <v xml:space="preserve">Phùng Lê Thanh Nhã </v>
      </c>
      <c r="J7430" s="3" t="str">
        <f ca="1">IFERROR(__xludf.DUMMYFUNCTION("""COMPUTED_VALUE"""),"0814343363")</f>
        <v>0814343363</v>
      </c>
      <c r="K7430" s="2" t="str">
        <f ca="1">IFERROR(__xludf.DUMMYFUNCTION("""COMPUTED_VALUE"""),"1762230528159")</f>
        <v>1762230528159</v>
      </c>
    </row>
    <row r="7431" spans="1:11" ht="12.45">
      <c r="A7431" s="2" t="str">
        <f ca="1">IFERROR(__xludf.DUMMYFUNCTION("""COMPUTED_VALUE"""),"1762230635989")</f>
        <v>1762230635989</v>
      </c>
      <c r="B7431" s="2"/>
      <c r="C7431" s="2" t="str">
        <v>0</v>
      </c>
      <c r="D7431" s="2"/>
      <c r="F7431" s="2" t="str">
        <v>0</v>
      </c>
      <c r="I7431" s="3" t="str">
        <f ca="1">IFERROR(__xludf.DUMMYFUNCTION("""COMPUTED_VALUE"""),"Nguyễn Ngọc Phương Trinh")</f>
        <v>Nguyễn Ngọc Phương Trinh</v>
      </c>
      <c r="J7431" s="3" t="str">
        <f ca="1">IFERROR(__xludf.DUMMYFUNCTION("""COMPUTED_VALUE"""),"0988065878")</f>
        <v>0988065878</v>
      </c>
      <c r="K7431" s="2" t="str">
        <f ca="1">IFERROR(__xludf.DUMMYFUNCTION("""COMPUTED_VALUE"""),"1762230635989")</f>
        <v>1762230635989</v>
      </c>
    </row>
    <row r="7432" spans="1:11" ht="12.45">
      <c r="A7432" s="2" t="str">
        <f ca="1">IFERROR(__xludf.DUMMYFUNCTION("""COMPUTED_VALUE"""),"1762230779722")</f>
        <v>1762230779722</v>
      </c>
      <c r="B7432" s="2"/>
      <c r="C7432" s="2" t="str">
        <v>0</v>
      </c>
      <c r="D7432" s="2"/>
      <c r="F7432" s="2" t="str">
        <v>0</v>
      </c>
      <c r="I7432" s="3" t="str">
        <f ca="1">IFERROR(__xludf.DUMMYFUNCTION("""COMPUTED_VALUE"""),"BÙI THỊ HOÀI TRÂM")</f>
        <v>BÙI THỊ HOÀI TRÂM</v>
      </c>
      <c r="J7432" s="3" t="str">
        <f ca="1">IFERROR(__xludf.DUMMYFUNCTION("""COMPUTED_VALUE"""),"0862591723")</f>
        <v>0862591723</v>
      </c>
      <c r="K7432" s="2" t="str">
        <f ca="1">IFERROR(__xludf.DUMMYFUNCTION("""COMPUTED_VALUE"""),"1762230779722")</f>
        <v>1762230779722</v>
      </c>
    </row>
    <row r="7433" spans="1:11" ht="12.45">
      <c r="A7433" s="2" t="str">
        <f ca="1">IFERROR(__xludf.DUMMYFUNCTION("""COMPUTED_VALUE"""),"1762230843522")</f>
        <v>1762230843522</v>
      </c>
      <c r="B7433" s="2"/>
      <c r="C7433" s="2" t="str">
        <v>0</v>
      </c>
      <c r="D7433" s="2"/>
      <c r="F7433" s="2" t="str">
        <v>0</v>
      </c>
      <c r="I7433" s="3" t="str">
        <f ca="1">IFERROR(__xludf.DUMMYFUNCTION("""COMPUTED_VALUE"""),"Chu Đoàn Khánh Ngọc")</f>
        <v>Chu Đoàn Khánh Ngọc</v>
      </c>
      <c r="J7433" s="3" t="str">
        <f ca="1">IFERROR(__xludf.DUMMYFUNCTION("""COMPUTED_VALUE"""),"0816296899")</f>
        <v>0816296899</v>
      </c>
      <c r="K7433" s="2" t="str">
        <f ca="1">IFERROR(__xludf.DUMMYFUNCTION("""COMPUTED_VALUE"""),"1762230843522")</f>
        <v>1762230843522</v>
      </c>
    </row>
    <row r="7434" spans="1:11" ht="12.45">
      <c r="A7434" s="2" t="str">
        <f ca="1">IFERROR(__xludf.DUMMYFUNCTION("""COMPUTED_VALUE"""),"1762230932055")</f>
        <v>1762230932055</v>
      </c>
      <c r="B7434" s="2"/>
      <c r="C7434" s="2" t="str">
        <v>0</v>
      </c>
      <c r="D7434" s="2"/>
      <c r="F7434" s="2" t="str">
        <v>0</v>
      </c>
      <c r="I7434" s="3" t="str">
        <f ca="1">IFERROR(__xludf.DUMMYFUNCTION("""COMPUTED_VALUE"""),"Lê Ngọc Lan")</f>
        <v>Lê Ngọc Lan</v>
      </c>
      <c r="J7434" s="3" t="str">
        <f ca="1">IFERROR(__xludf.DUMMYFUNCTION("""COMPUTED_VALUE"""),"0357689228")</f>
        <v>0357689228</v>
      </c>
      <c r="K7434" s="2" t="str">
        <f ca="1">IFERROR(__xludf.DUMMYFUNCTION("""COMPUTED_VALUE"""),"1762230932055")</f>
        <v>1762230932055</v>
      </c>
    </row>
    <row r="7435" spans="1:11" ht="12.45">
      <c r="A7435" s="2" t="str">
        <f ca="1">IFERROR(__xludf.DUMMYFUNCTION("""COMPUTED_VALUE"""),"1762231007336")</f>
        <v>1762231007336</v>
      </c>
      <c r="B7435" s="2"/>
      <c r="C7435" s="2" t="str">
        <v>0</v>
      </c>
      <c r="D7435" s="2"/>
      <c r="F7435" s="2" t="str">
        <v>0</v>
      </c>
      <c r="I7435" s="3" t="str">
        <f ca="1">IFERROR(__xludf.DUMMYFUNCTION("""COMPUTED_VALUE"""),"Nguyễn Thảo Vy")</f>
        <v>Nguyễn Thảo Vy</v>
      </c>
      <c r="J7435" s="3" t="str">
        <f ca="1">IFERROR(__xludf.DUMMYFUNCTION("""COMPUTED_VALUE"""),"0968617763")</f>
        <v>0968617763</v>
      </c>
      <c r="K7435" s="2" t="str">
        <f ca="1">IFERROR(__xludf.DUMMYFUNCTION("""COMPUTED_VALUE"""),"1762231007336")</f>
        <v>1762231007336</v>
      </c>
    </row>
    <row r="7436" spans="1:11" ht="12.45">
      <c r="A7436" s="2" t="str">
        <f ca="1">IFERROR(__xludf.DUMMYFUNCTION("""COMPUTED_VALUE"""),"1762231097658")</f>
        <v>1762231097658</v>
      </c>
      <c r="B7436" s="2"/>
      <c r="C7436" s="2" t="str">
        <v>0</v>
      </c>
      <c r="D7436" s="2"/>
      <c r="F7436" s="2" t="str">
        <v>0</v>
      </c>
      <c r="I7436" s="3" t="str">
        <f ca="1">IFERROR(__xludf.DUMMYFUNCTION("""COMPUTED_VALUE"""),"Bùi Ngọc Hoàng My")</f>
        <v>Bùi Ngọc Hoàng My</v>
      </c>
      <c r="J7436" s="3" t="str">
        <f ca="1">IFERROR(__xludf.DUMMYFUNCTION("""COMPUTED_VALUE"""),"0828788668")</f>
        <v>0828788668</v>
      </c>
      <c r="K7436" s="2" t="str">
        <f ca="1">IFERROR(__xludf.DUMMYFUNCTION("""COMPUTED_VALUE"""),"1762231097658")</f>
        <v>1762231097658</v>
      </c>
    </row>
    <row r="7437" spans="1:11" ht="12.45">
      <c r="A7437" s="2" t="str">
        <f ca="1">IFERROR(__xludf.DUMMYFUNCTION("""COMPUTED_VALUE"""),"1762231164113")</f>
        <v>1762231164113</v>
      </c>
      <c r="B7437" s="2"/>
      <c r="C7437" s="2" t="str">
        <v>0</v>
      </c>
      <c r="D7437" s="2"/>
      <c r="F7437" s="2" t="str">
        <v>0</v>
      </c>
      <c r="I7437" s="3" t="str">
        <f ca="1">IFERROR(__xludf.DUMMYFUNCTION("""COMPUTED_VALUE"""),"Nguyễn Thị Hương Trà")</f>
        <v>Nguyễn Thị Hương Trà</v>
      </c>
      <c r="J7437" s="3" t="str">
        <f ca="1">IFERROR(__xludf.DUMMYFUNCTION("""COMPUTED_VALUE"""),"0842893750")</f>
        <v>0842893750</v>
      </c>
      <c r="K7437" s="2" t="str">
        <f ca="1">IFERROR(__xludf.DUMMYFUNCTION("""COMPUTED_VALUE"""),"1762231164113")</f>
        <v>1762231164113</v>
      </c>
    </row>
    <row r="7438" spans="1:11" ht="12.45">
      <c r="A7438" s="2" t="str">
        <f ca="1">IFERROR(__xludf.DUMMYFUNCTION("""COMPUTED_VALUE"""),"1762231255461")</f>
        <v>1762231255461</v>
      </c>
      <c r="B7438" s="2"/>
      <c r="C7438" s="2" t="str">
        <v>0</v>
      </c>
      <c r="D7438" s="2"/>
      <c r="F7438" s="2" t="str">
        <v>0</v>
      </c>
      <c r="I7438" s="3" t="str">
        <f ca="1">IFERROR(__xludf.DUMMYFUNCTION("""COMPUTED_VALUE"""),"Nguyễn Ngọc Mai")</f>
        <v>Nguyễn Ngọc Mai</v>
      </c>
      <c r="J7438" s="3" t="str">
        <f ca="1">IFERROR(__xludf.DUMMYFUNCTION("""COMPUTED_VALUE"""),"0869958761")</f>
        <v>0869958761</v>
      </c>
      <c r="K7438" s="2" t="str">
        <f ca="1">IFERROR(__xludf.DUMMYFUNCTION("""COMPUTED_VALUE"""),"1762231255461")</f>
        <v>1762231255461</v>
      </c>
    </row>
    <row r="7439" spans="1:11" ht="12.45">
      <c r="A7439" s="2" t="str">
        <f ca="1">IFERROR(__xludf.DUMMYFUNCTION("""COMPUTED_VALUE"""),"1762231324443")</f>
        <v>1762231324443</v>
      </c>
      <c r="B7439" s="2"/>
      <c r="C7439" s="2" t="str">
        <v>0</v>
      </c>
      <c r="D7439" s="2"/>
      <c r="F7439" s="2" t="str">
        <v>0</v>
      </c>
      <c r="I7439" s="3" t="str">
        <f ca="1">IFERROR(__xludf.DUMMYFUNCTION("""COMPUTED_VALUE"""),"Nguyễn Minh Nguyên")</f>
        <v>Nguyễn Minh Nguyên</v>
      </c>
      <c r="J7439" s="3" t="str">
        <f ca="1">IFERROR(__xludf.DUMMYFUNCTION("""COMPUTED_VALUE"""),"0913956899")</f>
        <v>0913956899</v>
      </c>
      <c r="K7439" s="2" t="str">
        <f ca="1">IFERROR(__xludf.DUMMYFUNCTION("""COMPUTED_VALUE"""),"1762231324443")</f>
        <v>1762231324443</v>
      </c>
    </row>
    <row r="7440" spans="1:11" ht="12.45">
      <c r="A7440" s="2" t="str">
        <f ca="1">IFERROR(__xludf.DUMMYFUNCTION("""COMPUTED_VALUE"""),"1762231399831")</f>
        <v>1762231399831</v>
      </c>
      <c r="B7440" s="2"/>
      <c r="C7440" s="2" t="str">
        <v>0</v>
      </c>
      <c r="D7440" s="2"/>
      <c r="F7440" s="2" t="str">
        <v>0</v>
      </c>
      <c r="I7440" s="3" t="str">
        <f ca="1">IFERROR(__xludf.DUMMYFUNCTION("""COMPUTED_VALUE"""),"Cao Thái Hà ")</f>
        <v xml:space="preserve">Cao Thái Hà </v>
      </c>
      <c r="J7440" s="3" t="str">
        <f ca="1">IFERROR(__xludf.DUMMYFUNCTION("""COMPUTED_VALUE"""),"0966069211")</f>
        <v>0966069211</v>
      </c>
      <c r="K7440" s="2" t="str">
        <f ca="1">IFERROR(__xludf.DUMMYFUNCTION("""COMPUTED_VALUE"""),"1762231399831")</f>
        <v>1762231399831</v>
      </c>
    </row>
    <row r="7441" spans="1:11" ht="12.45">
      <c r="A7441" s="2" t="str">
        <f ca="1">IFERROR(__xludf.DUMMYFUNCTION("""COMPUTED_VALUE"""),"1762231464148")</f>
        <v>1762231464148</v>
      </c>
      <c r="B7441" s="2"/>
      <c r="C7441" s="2" t="str">
        <v>0</v>
      </c>
      <c r="D7441" s="2"/>
      <c r="F7441" s="2" t="str">
        <v>0</v>
      </c>
      <c r="I7441" s="3" t="str">
        <f ca="1">IFERROR(__xludf.DUMMYFUNCTION("""COMPUTED_VALUE"""),"Tạ Ngọc Hân")</f>
        <v>Tạ Ngọc Hân</v>
      </c>
      <c r="J7441" s="3" t="str">
        <f ca="1">IFERROR(__xludf.DUMMYFUNCTION("""COMPUTED_VALUE"""),"0393961455")</f>
        <v>0393961455</v>
      </c>
      <c r="K7441" s="2" t="str">
        <f ca="1">IFERROR(__xludf.DUMMYFUNCTION("""COMPUTED_VALUE"""),"1762231464148")</f>
        <v>1762231464148</v>
      </c>
    </row>
    <row r="7442" spans="1:11" ht="12.45">
      <c r="A7442" s="2" t="str">
        <f ca="1">IFERROR(__xludf.DUMMYFUNCTION("""COMPUTED_VALUE"""),"1762231555872")</f>
        <v>1762231555872</v>
      </c>
      <c r="B7442" s="2"/>
      <c r="C7442" s="2" t="str">
        <v>0</v>
      </c>
      <c r="D7442" s="2"/>
      <c r="F7442" s="2" t="str">
        <v>0</v>
      </c>
      <c r="I7442" s="3" t="str">
        <f ca="1">IFERROR(__xludf.DUMMYFUNCTION("""COMPUTED_VALUE"""),"Phạm Minh Thư")</f>
        <v>Phạm Minh Thư</v>
      </c>
      <c r="J7442" s="3" t="str">
        <f ca="1">IFERROR(__xludf.DUMMYFUNCTION("""COMPUTED_VALUE"""),"0963234168")</f>
        <v>0963234168</v>
      </c>
      <c r="K7442" s="2" t="str">
        <f ca="1">IFERROR(__xludf.DUMMYFUNCTION("""COMPUTED_VALUE"""),"1762231555872")</f>
        <v>1762231555872</v>
      </c>
    </row>
    <row r="7443" spans="1:11" ht="12.45">
      <c r="A7443" s="2" t="str">
        <f ca="1">IFERROR(__xludf.DUMMYFUNCTION("""COMPUTED_VALUE"""),"1762231668855")</f>
        <v>1762231668855</v>
      </c>
      <c r="B7443" s="2"/>
      <c r="C7443" s="2" t="str">
        <v>0</v>
      </c>
      <c r="D7443" s="2"/>
      <c r="F7443" s="2" t="str">
        <v>0</v>
      </c>
      <c r="I7443" s="3" t="str">
        <f ca="1">IFERROR(__xludf.DUMMYFUNCTION("""COMPUTED_VALUE"""),"Hoàng Minh Châu")</f>
        <v>Hoàng Minh Châu</v>
      </c>
      <c r="J7443" s="3" t="str">
        <f ca="1">IFERROR(__xludf.DUMMYFUNCTION("""COMPUTED_VALUE"""),"0325768583")</f>
        <v>0325768583</v>
      </c>
      <c r="K7443" s="2" t="str">
        <f ca="1">IFERROR(__xludf.DUMMYFUNCTION("""COMPUTED_VALUE"""),"1762231668855")</f>
        <v>1762231668855</v>
      </c>
    </row>
    <row r="7444" spans="1:11" ht="12.45">
      <c r="A7444" s="2" t="str">
        <f ca="1">IFERROR(__xludf.DUMMYFUNCTION("""COMPUTED_VALUE"""),"k gửi sách")</f>
        <v>k gửi sách</v>
      </c>
      <c r="B7444" s="2"/>
      <c r="C7444" s="2" t="str">
        <v>0</v>
      </c>
      <c r="D7444" s="2"/>
      <c r="F7444" s="2" t="str">
        <v>0</v>
      </c>
      <c r="I7444" s="3" t="str">
        <f ca="1">IFERROR(__xludf.DUMMYFUNCTION("""COMPUTED_VALUE"""),"Đỗ Khánh Vy ")</f>
        <v xml:space="preserve">Đỗ Khánh Vy </v>
      </c>
      <c r="J7444" s="3" t="str">
        <f ca="1">IFERROR(__xludf.DUMMYFUNCTION("""COMPUTED_VALUE"""),"0707181642")</f>
        <v>0707181642</v>
      </c>
      <c r="K7444" s="2" t="str">
        <f ca="1">IFERROR(__xludf.DUMMYFUNCTION("""COMPUTED_VALUE"""),"k gửi sách")</f>
        <v>k gửi sách</v>
      </c>
    </row>
    <row r="7445" spans="1:11" ht="12.45">
      <c r="A7445" s="2" t="str">
        <f ca="1">IFERROR(__xludf.DUMMYFUNCTION("""COMPUTED_VALUE"""),"1762231744561")</f>
        <v>1762231744561</v>
      </c>
      <c r="B7445" s="2"/>
      <c r="C7445" s="2" t="str">
        <v>0</v>
      </c>
      <c r="D7445" s="2"/>
      <c r="F7445" s="2" t="str">
        <v>0</v>
      </c>
      <c r="I7445" s="3" t="str">
        <f ca="1">IFERROR(__xludf.DUMMYFUNCTION("""COMPUTED_VALUE"""),"Trần Thùy Trang")</f>
        <v>Trần Thùy Trang</v>
      </c>
      <c r="J7445" s="3" t="str">
        <f ca="1">IFERROR(__xludf.DUMMYFUNCTION("""COMPUTED_VALUE"""),"0393232181")</f>
        <v>0393232181</v>
      </c>
      <c r="K7445" s="2" t="str">
        <f ca="1">IFERROR(__xludf.DUMMYFUNCTION("""COMPUTED_VALUE"""),"1762231744561")</f>
        <v>1762231744561</v>
      </c>
    </row>
    <row r="7446" spans="1:11" ht="12.45">
      <c r="A7446" s="2" t="str">
        <f ca="1">IFERROR(__xludf.DUMMYFUNCTION("""COMPUTED_VALUE"""),"1762231852607")</f>
        <v>1762231852607</v>
      </c>
      <c r="B7446" s="2"/>
      <c r="C7446" s="2" t="str">
        <v>0</v>
      </c>
      <c r="D7446" s="2"/>
      <c r="F7446" s="2" t="str">
        <v>0</v>
      </c>
      <c r="I7446" s="3" t="str">
        <f ca="1">IFERROR(__xludf.DUMMYFUNCTION("""COMPUTED_VALUE"""),"Lê Thị Khánh Nhi")</f>
        <v>Lê Thị Khánh Nhi</v>
      </c>
      <c r="J7446" s="3" t="str">
        <f ca="1">IFERROR(__xludf.DUMMYFUNCTION("""COMPUTED_VALUE"""),"0865890040")</f>
        <v>0865890040</v>
      </c>
      <c r="K7446" s="2" t="str">
        <f ca="1">IFERROR(__xludf.DUMMYFUNCTION("""COMPUTED_VALUE"""),"1762231852607")</f>
        <v>1762231852607</v>
      </c>
    </row>
    <row r="7447" spans="1:11" ht="12.45">
      <c r="A7447" s="2" t="str">
        <f ca="1">IFERROR(__xludf.DUMMYFUNCTION("""COMPUTED_VALUE"""),"1762231942949")</f>
        <v>1762231942949</v>
      </c>
      <c r="B7447" s="2"/>
      <c r="C7447" s="2" t="str">
        <v>0</v>
      </c>
      <c r="D7447" s="2"/>
      <c r="F7447" s="2" t="str">
        <v>0</v>
      </c>
      <c r="I7447" s="3" t="str">
        <f ca="1">IFERROR(__xludf.DUMMYFUNCTION("""COMPUTED_VALUE"""),"Tạ Thị Thùy Linh ")</f>
        <v xml:space="preserve">Tạ Thị Thùy Linh </v>
      </c>
      <c r="J7447" s="3" t="str">
        <f ca="1">IFERROR(__xludf.DUMMYFUNCTION("""COMPUTED_VALUE"""),"0368294019")</f>
        <v>0368294019</v>
      </c>
      <c r="K7447" s="2" t="str">
        <f ca="1">IFERROR(__xludf.DUMMYFUNCTION("""COMPUTED_VALUE"""),"1762231942949")</f>
        <v>1762231942949</v>
      </c>
    </row>
    <row r="7448" spans="1:11" ht="12.45">
      <c r="A7448" s="2" t="str">
        <f ca="1">IFERROR(__xludf.DUMMYFUNCTION("""COMPUTED_VALUE"""),"1762232003145")</f>
        <v>1762232003145</v>
      </c>
      <c r="B7448" s="2"/>
      <c r="C7448" s="2" t="str">
        <v>0</v>
      </c>
      <c r="D7448" s="2"/>
      <c r="F7448" s="2" t="str">
        <v>0</v>
      </c>
      <c r="I7448" s="3" t="str">
        <f ca="1">IFERROR(__xludf.DUMMYFUNCTION("""COMPUTED_VALUE"""),"phan nguyễn anh thư")</f>
        <v>phan nguyễn anh thư</v>
      </c>
      <c r="J7448" s="3" t="str">
        <f ca="1">IFERROR(__xludf.DUMMYFUNCTION("""COMPUTED_VALUE"""),"0912451125")</f>
        <v>0912451125</v>
      </c>
      <c r="K7448" s="2" t="str">
        <f ca="1">IFERROR(__xludf.DUMMYFUNCTION("""COMPUTED_VALUE"""),"1762232003145")</f>
        <v>1762232003145</v>
      </c>
    </row>
    <row r="7449" spans="1:11" ht="12.45">
      <c r="A7449" s="2" t="str">
        <f ca="1">IFERROR(__xludf.DUMMYFUNCTION("""COMPUTED_VALUE"""),"k gửi sách")</f>
        <v>k gửi sách</v>
      </c>
      <c r="B7449" s="2"/>
      <c r="C7449" s="2" t="str">
        <v>0</v>
      </c>
      <c r="D7449" s="2"/>
      <c r="F7449" s="2" t="str">
        <v>0</v>
      </c>
      <c r="I7449" s="3" t="str">
        <f ca="1">IFERROR(__xludf.DUMMYFUNCTION("""COMPUTED_VALUE"""),"Triệu Phương Tranh ")</f>
        <v xml:space="preserve">Triệu Phương Tranh </v>
      </c>
      <c r="J7449" s="3" t="str">
        <f ca="1">IFERROR(__xludf.DUMMYFUNCTION("""COMPUTED_VALUE"""),"0339302675")</f>
        <v>0339302675</v>
      </c>
      <c r="K7449" s="2" t="str">
        <f ca="1">IFERROR(__xludf.DUMMYFUNCTION("""COMPUTED_VALUE"""),"k gửi sách")</f>
        <v>k gửi sách</v>
      </c>
    </row>
    <row r="7450" spans="1:11" ht="12.45">
      <c r="A7450" s="2" t="str">
        <f ca="1">IFERROR(__xludf.DUMMYFUNCTION("""COMPUTED_VALUE"""),"1762232070238")</f>
        <v>1762232070238</v>
      </c>
      <c r="B7450" s="2"/>
      <c r="C7450" s="2" t="str">
        <v>0</v>
      </c>
      <c r="D7450" s="2"/>
      <c r="F7450" s="2" t="str">
        <v>0</v>
      </c>
      <c r="I7450" s="3" t="str">
        <f ca="1">IFERROR(__xludf.DUMMYFUNCTION("""COMPUTED_VALUE"""),"Đỗ Đức Minh")</f>
        <v>Đỗ Đức Minh</v>
      </c>
      <c r="J7450" s="3" t="str">
        <f ca="1">IFERROR(__xludf.DUMMYFUNCTION("""COMPUTED_VALUE"""),"0914150877")</f>
        <v>0914150877</v>
      </c>
      <c r="K7450" s="2" t="str">
        <f ca="1">IFERROR(__xludf.DUMMYFUNCTION("""COMPUTED_VALUE"""),"1762232070238")</f>
        <v>1762232070238</v>
      </c>
    </row>
    <row r="7451" spans="1:11" ht="12.45">
      <c r="A7451" s="2" t="str">
        <f ca="1">IFERROR(__xludf.DUMMYFUNCTION("""COMPUTED_VALUE"""),"1762232187361")</f>
        <v>1762232187361</v>
      </c>
      <c r="B7451" s="2"/>
      <c r="C7451" s="2" t="str">
        <v>0</v>
      </c>
      <c r="D7451" s="2"/>
      <c r="F7451" s="2" t="str">
        <v>0</v>
      </c>
      <c r="I7451" s="3" t="str">
        <f ca="1">IFERROR(__xludf.DUMMYFUNCTION("""COMPUTED_VALUE"""),"Võ duy anh")</f>
        <v>Võ duy anh</v>
      </c>
      <c r="J7451" s="3" t="str">
        <f ca="1">IFERROR(__xludf.DUMMYFUNCTION("""COMPUTED_VALUE"""),"0971754164")</f>
        <v>0971754164</v>
      </c>
      <c r="K7451" s="2" t="str">
        <f ca="1">IFERROR(__xludf.DUMMYFUNCTION("""COMPUTED_VALUE"""),"1762232187361")</f>
        <v>1762232187361</v>
      </c>
    </row>
    <row r="7452" spans="1:11" ht="12.45">
      <c r="A7452" s="2" t="str">
        <f ca="1">IFERROR(__xludf.DUMMYFUNCTION("""COMPUTED_VALUE"""),"1762232235843")</f>
        <v>1762232235843</v>
      </c>
      <c r="B7452" s="2"/>
      <c r="C7452" s="2" t="str">
        <v>0</v>
      </c>
      <c r="D7452" s="2"/>
      <c r="F7452" s="2" t="str">
        <v>0</v>
      </c>
      <c r="I7452" s="3" t="str">
        <f ca="1">IFERROR(__xludf.DUMMYFUNCTION("""COMPUTED_VALUE"""),"Chang Nhi Đồng ")</f>
        <v xml:space="preserve">Chang Nhi Đồng </v>
      </c>
      <c r="J7452" s="3" t="str">
        <f ca="1">IFERROR(__xludf.DUMMYFUNCTION("""COMPUTED_VALUE"""),"0366417552")</f>
        <v>0366417552</v>
      </c>
      <c r="K7452" s="2" t="str">
        <f ca="1">IFERROR(__xludf.DUMMYFUNCTION("""COMPUTED_VALUE"""),"1762232235843")</f>
        <v>1762232235843</v>
      </c>
    </row>
    <row r="7453" spans="1:11" ht="12.45">
      <c r="A7453" s="2" t="str">
        <f ca="1">IFERROR(__xludf.DUMMYFUNCTION("""COMPUTED_VALUE"""),"1762232276841")</f>
        <v>1762232276841</v>
      </c>
      <c r="B7453" s="2"/>
      <c r="C7453" s="2" t="str">
        <v>0</v>
      </c>
      <c r="D7453" s="2"/>
      <c r="F7453" s="2" t="str">
        <v>0</v>
      </c>
      <c r="I7453" s="3" t="str">
        <f ca="1">IFERROR(__xludf.DUMMYFUNCTION("""COMPUTED_VALUE"""),"Thạch Lê Thiên Ngân")</f>
        <v>Thạch Lê Thiên Ngân</v>
      </c>
      <c r="J7453" s="3" t="str">
        <f ca="1">IFERROR(__xludf.DUMMYFUNCTION("""COMPUTED_VALUE"""),"0344423611")</f>
        <v>0344423611</v>
      </c>
      <c r="K7453" s="2" t="str">
        <f ca="1">IFERROR(__xludf.DUMMYFUNCTION("""COMPUTED_VALUE"""),"1762232276841")</f>
        <v>1762232276841</v>
      </c>
    </row>
    <row r="7454" spans="1:11" ht="12.45">
      <c r="A7454" s="2" t="str">
        <f ca="1">IFERROR(__xludf.DUMMYFUNCTION("""COMPUTED_VALUE"""),"1762232399018")</f>
        <v>1762232399018</v>
      </c>
      <c r="B7454" s="2"/>
      <c r="C7454" s="2" t="str">
        <v>0</v>
      </c>
      <c r="D7454" s="2"/>
      <c r="F7454" s="2" t="str">
        <v>0</v>
      </c>
      <c r="I7454" s="3" t="str">
        <f ca="1">IFERROR(__xludf.DUMMYFUNCTION("""COMPUTED_VALUE"""),"Trần Thị Phương Vy ")</f>
        <v xml:space="preserve">Trần Thị Phương Vy </v>
      </c>
      <c r="J7454" s="3" t="str">
        <f ca="1">IFERROR(__xludf.DUMMYFUNCTION("""COMPUTED_VALUE"""),"0965578047")</f>
        <v>0965578047</v>
      </c>
      <c r="K7454" s="2" t="str">
        <f ca="1">IFERROR(__xludf.DUMMYFUNCTION("""COMPUTED_VALUE"""),"1762232399018")</f>
        <v>1762232399018</v>
      </c>
    </row>
    <row r="7455" spans="1:11" ht="12.45">
      <c r="A7455" s="2" t="str">
        <f ca="1">IFERROR(__xludf.DUMMYFUNCTION("""COMPUTED_VALUE"""),"k gửi sách")</f>
        <v>k gửi sách</v>
      </c>
      <c r="B7455" s="2"/>
      <c r="C7455" s="2" t="str">
        <v>0</v>
      </c>
      <c r="D7455" s="2"/>
      <c r="F7455" s="2" t="str">
        <v>0</v>
      </c>
      <c r="I7455" s="3" t="str">
        <f ca="1">IFERROR(__xludf.DUMMYFUNCTION("""COMPUTED_VALUE"""),"Huỳnh Quốc Đại Hưng")</f>
        <v>Huỳnh Quốc Đại Hưng</v>
      </c>
      <c r="J7455" s="3" t="str">
        <f ca="1">IFERROR(__xludf.DUMMYFUNCTION("""COMPUTED_VALUE"""),"0332430883")</f>
        <v>0332430883</v>
      </c>
      <c r="K7455" s="2" t="str">
        <f ca="1">IFERROR(__xludf.DUMMYFUNCTION("""COMPUTED_VALUE"""),"k gửi sách")</f>
        <v>k gửi sách</v>
      </c>
    </row>
    <row r="7456" spans="1:11" ht="12.45">
      <c r="A7456" s="2" t="str">
        <f ca="1">IFERROR(__xludf.DUMMYFUNCTION("""COMPUTED_VALUE"""),"1762232442013")</f>
        <v>1762232442013</v>
      </c>
      <c r="B7456" s="2"/>
      <c r="C7456" s="2" t="str">
        <v>0</v>
      </c>
      <c r="D7456" s="2"/>
      <c r="F7456" s="2" t="str">
        <v>0</v>
      </c>
      <c r="I7456" s="3" t="str">
        <f ca="1">IFERROR(__xludf.DUMMYFUNCTION("""COMPUTED_VALUE"""),"Phạm Hồng Hạnh")</f>
        <v>Phạm Hồng Hạnh</v>
      </c>
      <c r="J7456" s="3" t="str">
        <f ca="1">IFERROR(__xludf.DUMMYFUNCTION("""COMPUTED_VALUE"""),"0343294798")</f>
        <v>0343294798</v>
      </c>
      <c r="K7456" s="2" t="str">
        <f ca="1">IFERROR(__xludf.DUMMYFUNCTION("""COMPUTED_VALUE"""),"1762232442013")</f>
        <v>1762232442013</v>
      </c>
    </row>
    <row r="7457" spans="1:11" ht="12.45">
      <c r="A7457" s="2" t="str">
        <f ca="1">IFERROR(__xludf.DUMMYFUNCTION("""COMPUTED_VALUE"""),"1762232501858")</f>
        <v>1762232501858</v>
      </c>
      <c r="B7457" s="2"/>
      <c r="C7457" s="2" t="str">
        <v>0</v>
      </c>
      <c r="D7457" s="2"/>
      <c r="F7457" s="2" t="str">
        <v>0</v>
      </c>
      <c r="I7457" s="3" t="str">
        <f ca="1">IFERROR(__xludf.DUMMYFUNCTION("""COMPUTED_VALUE"""),"Nguyễn Vũ Minh Tâm")</f>
        <v>Nguyễn Vũ Minh Tâm</v>
      </c>
      <c r="J7457" s="3" t="str">
        <f ca="1">IFERROR(__xludf.DUMMYFUNCTION("""COMPUTED_VALUE"""),"0988473540")</f>
        <v>0988473540</v>
      </c>
      <c r="K7457" s="2" t="str">
        <f ca="1">IFERROR(__xludf.DUMMYFUNCTION("""COMPUTED_VALUE"""),"1762232501858")</f>
        <v>1762232501858</v>
      </c>
    </row>
    <row r="7458" spans="1:11" ht="12.45">
      <c r="A7458" s="2" t="str">
        <f ca="1">IFERROR(__xludf.DUMMYFUNCTION("""COMPUTED_VALUE"""),"1762232604181")</f>
        <v>1762232604181</v>
      </c>
      <c r="B7458" s="2"/>
      <c r="C7458" s="2" t="str">
        <v>0</v>
      </c>
      <c r="D7458" s="2"/>
      <c r="F7458" s="2" t="str">
        <v>0</v>
      </c>
      <c r="I7458" s="3" t="str">
        <f ca="1">IFERROR(__xludf.DUMMYFUNCTION("""COMPUTED_VALUE"""),"Trần Duy Phương ")</f>
        <v xml:space="preserve">Trần Duy Phương </v>
      </c>
      <c r="J7458" s="3" t="str">
        <f ca="1">IFERROR(__xludf.DUMMYFUNCTION("""COMPUTED_VALUE"""),"0344516306")</f>
        <v>0344516306</v>
      </c>
      <c r="K7458" s="2" t="str">
        <f ca="1">IFERROR(__xludf.DUMMYFUNCTION("""COMPUTED_VALUE"""),"1762232604181")</f>
        <v>1762232604181</v>
      </c>
    </row>
    <row r="7459" spans="1:11" ht="12.45">
      <c r="A7459" s="2" t="str">
        <f ca="1">IFERROR(__xludf.DUMMYFUNCTION("""COMPUTED_VALUE"""),"1762232674398")</f>
        <v>1762232674398</v>
      </c>
      <c r="B7459" s="2"/>
      <c r="C7459" s="2" t="str">
        <v>0</v>
      </c>
      <c r="D7459" s="2"/>
      <c r="F7459" s="2" t="str">
        <v>0</v>
      </c>
      <c r="I7459" s="3" t="str">
        <f ca="1">IFERROR(__xludf.DUMMYFUNCTION("""COMPUTED_VALUE"""),"Nguyễn Thanh Trúc ")</f>
        <v xml:space="preserve">Nguyễn Thanh Trúc </v>
      </c>
      <c r="J7459" s="3" t="str">
        <f ca="1">IFERROR(__xludf.DUMMYFUNCTION("""COMPUTED_VALUE"""),"0356712381")</f>
        <v>0356712381</v>
      </c>
      <c r="K7459" s="2" t="str">
        <f ca="1">IFERROR(__xludf.DUMMYFUNCTION("""COMPUTED_VALUE"""),"1762232674398")</f>
        <v>1762232674398</v>
      </c>
    </row>
    <row r="7460" spans="1:11" ht="12.45">
      <c r="A7460" s="2" t="str">
        <f ca="1">IFERROR(__xludf.DUMMYFUNCTION("""COMPUTED_VALUE"""),"1762232757066")</f>
        <v>1762232757066</v>
      </c>
      <c r="B7460" s="2"/>
      <c r="C7460" s="2" t="str">
        <v>0</v>
      </c>
      <c r="D7460" s="2"/>
      <c r="F7460" s="2" t="str">
        <v>0</v>
      </c>
      <c r="I7460" s="3" t="str">
        <f ca="1">IFERROR(__xludf.DUMMYFUNCTION("""COMPUTED_VALUE"""),"Chu Trâm Anh")</f>
        <v>Chu Trâm Anh</v>
      </c>
      <c r="J7460" s="3" t="str">
        <f ca="1">IFERROR(__xludf.DUMMYFUNCTION("""COMPUTED_VALUE"""),"0348346207")</f>
        <v>0348346207</v>
      </c>
      <c r="K7460" s="2" t="str">
        <f ca="1">IFERROR(__xludf.DUMMYFUNCTION("""COMPUTED_VALUE"""),"1762232757066")</f>
        <v>1762232757066</v>
      </c>
    </row>
    <row r="7461" spans="1:11" ht="12.45">
      <c r="A7461" s="2" t="str">
        <f ca="1">IFERROR(__xludf.DUMMYFUNCTION("""COMPUTED_VALUE"""),"1762232836026")</f>
        <v>1762232836026</v>
      </c>
      <c r="B7461" s="2"/>
      <c r="C7461" s="2" t="str">
        <v>0</v>
      </c>
      <c r="D7461" s="2"/>
      <c r="F7461" s="2" t="str">
        <v>0</v>
      </c>
      <c r="I7461" s="3" t="str">
        <f ca="1">IFERROR(__xludf.DUMMYFUNCTION("""COMPUTED_VALUE"""),"Trần Quỳnh Chi")</f>
        <v>Trần Quỳnh Chi</v>
      </c>
      <c r="J7461" s="3" t="str">
        <f ca="1">IFERROR(__xludf.DUMMYFUNCTION("""COMPUTED_VALUE"""),"0346328264")</f>
        <v>0346328264</v>
      </c>
      <c r="K7461" s="2" t="str">
        <f ca="1">IFERROR(__xludf.DUMMYFUNCTION("""COMPUTED_VALUE"""),"1762232836026")</f>
        <v>1762232836026</v>
      </c>
    </row>
    <row r="7462" spans="1:11" ht="12.45">
      <c r="A7462" s="2" t="str">
        <f ca="1">IFERROR(__xludf.DUMMYFUNCTION("""COMPUTED_VALUE"""),"1762232920590")</f>
        <v>1762232920590</v>
      </c>
      <c r="B7462" s="2"/>
      <c r="C7462" s="2" t="str">
        <v>0</v>
      </c>
      <c r="D7462" s="2"/>
      <c r="F7462" s="2" t="str">
        <v>0</v>
      </c>
      <c r="I7462" s="3" t="str">
        <f ca="1">IFERROR(__xludf.DUMMYFUNCTION("""COMPUTED_VALUE"""),"Mùa Phương Thuỳ")</f>
        <v>Mùa Phương Thuỳ</v>
      </c>
      <c r="J7462" s="3" t="str">
        <f ca="1">IFERROR(__xludf.DUMMYFUNCTION("""COMPUTED_VALUE"""),"0971520645")</f>
        <v>0971520645</v>
      </c>
      <c r="K7462" s="2" t="str">
        <f ca="1">IFERROR(__xludf.DUMMYFUNCTION("""COMPUTED_VALUE"""),"1762232920590")</f>
        <v>1762232920590</v>
      </c>
    </row>
    <row r="7463" spans="1:11" ht="12.45">
      <c r="A7463" s="2"/>
      <c r="B7463" s="2"/>
      <c r="C7463" s="2" t="str">
        <v>0</v>
      </c>
      <c r="D7463" s="2"/>
      <c r="F7463" s="2" t="str">
        <v>0</v>
      </c>
      <c r="I7463" s="3" t="str">
        <f ca="1">IFERROR(__xludf.DUMMYFUNCTION("""COMPUTED_VALUE"""),"Dương Thành Chương")</f>
        <v>Dương Thành Chương</v>
      </c>
      <c r="J7463" s="3" t="str">
        <f ca="1">IFERROR(__xludf.DUMMYFUNCTION("""COMPUTED_VALUE"""),"0337773462")</f>
        <v>0337773462</v>
      </c>
      <c r="K7463" s="2"/>
    </row>
    <row r="7464" spans="1:11" ht="12.45">
      <c r="A7464" s="2" t="str">
        <f ca="1">IFERROR(__xludf.DUMMYFUNCTION("""COMPUTED_VALUE"""),"1762232986495")</f>
        <v>1762232986495</v>
      </c>
      <c r="B7464" s="2"/>
      <c r="C7464" s="2" t="str">
        <v>0</v>
      </c>
      <c r="D7464" s="2"/>
      <c r="F7464" s="2" t="str">
        <v>0</v>
      </c>
      <c r="I7464" s="3" t="str">
        <f ca="1">IFERROR(__xludf.DUMMYFUNCTION("""COMPUTED_VALUE"""),"Phạm Văn Huy")</f>
        <v>Phạm Văn Huy</v>
      </c>
      <c r="J7464" s="3" t="str">
        <f ca="1">IFERROR(__xludf.DUMMYFUNCTION("""COMPUTED_VALUE"""),"0964446948")</f>
        <v>0964446948</v>
      </c>
      <c r="K7464" s="2" t="str">
        <f ca="1">IFERROR(__xludf.DUMMYFUNCTION("""COMPUTED_VALUE"""),"1762232986495")</f>
        <v>1762232986495</v>
      </c>
    </row>
    <row r="7465" spans="1:11" ht="12.45">
      <c r="A7465" s="2" t="str">
        <f ca="1">IFERROR(__xludf.DUMMYFUNCTION("""COMPUTED_VALUE"""),"1762233042275")</f>
        <v>1762233042275</v>
      </c>
      <c r="B7465" s="2"/>
      <c r="C7465" s="2" t="str">
        <v>0</v>
      </c>
      <c r="D7465" s="2"/>
      <c r="F7465" s="2" t="str">
        <v>0</v>
      </c>
      <c r="I7465" s="3" t="str">
        <f ca="1">IFERROR(__xludf.DUMMYFUNCTION("""COMPUTED_VALUE"""),"Vũ Thị Thu Thảo ")</f>
        <v xml:space="preserve">Vũ Thị Thu Thảo </v>
      </c>
      <c r="J7465" s="3" t="str">
        <f ca="1">IFERROR(__xludf.DUMMYFUNCTION("""COMPUTED_VALUE"""),"0829313184")</f>
        <v>0829313184</v>
      </c>
      <c r="K7465" s="2" t="str">
        <f ca="1">IFERROR(__xludf.DUMMYFUNCTION("""COMPUTED_VALUE"""),"1762233042275")</f>
        <v>1762233042275</v>
      </c>
    </row>
    <row r="7466" spans="1:11" ht="12.45">
      <c r="A7466" s="2" t="str">
        <f ca="1">IFERROR(__xludf.DUMMYFUNCTION("""COMPUTED_VALUE"""),"1762233106594")</f>
        <v>1762233106594</v>
      </c>
      <c r="B7466" s="2"/>
      <c r="C7466" s="2" t="str">
        <v>0</v>
      </c>
      <c r="D7466" s="2"/>
      <c r="F7466" s="2" t="str">
        <v>0</v>
      </c>
      <c r="I7466" s="3" t="str">
        <f ca="1">IFERROR(__xludf.DUMMYFUNCTION("""COMPUTED_VALUE"""),"Lý Yến Ngọc")</f>
        <v>Lý Yến Ngọc</v>
      </c>
      <c r="J7466" s="3" t="str">
        <f ca="1">IFERROR(__xludf.DUMMYFUNCTION("""COMPUTED_VALUE"""),"0829081816")</f>
        <v>0829081816</v>
      </c>
      <c r="K7466" s="2" t="str">
        <f ca="1">IFERROR(__xludf.DUMMYFUNCTION("""COMPUTED_VALUE"""),"1762233106594")</f>
        <v>1762233106594</v>
      </c>
    </row>
    <row r="7467" spans="1:11" ht="12.45">
      <c r="A7467" s="2" t="str">
        <f ca="1">IFERROR(__xludf.DUMMYFUNCTION("""COMPUTED_VALUE"""),"1762233231457")</f>
        <v>1762233231457</v>
      </c>
      <c r="B7467" s="2"/>
      <c r="C7467" s="2" t="str">
        <v>0</v>
      </c>
      <c r="D7467" s="2"/>
      <c r="F7467" s="2" t="str">
        <v>0</v>
      </c>
      <c r="I7467" s="3" t="str">
        <f ca="1">IFERROR(__xludf.DUMMYFUNCTION("""COMPUTED_VALUE"""),"Hà Như Quỳnh")</f>
        <v>Hà Như Quỳnh</v>
      </c>
      <c r="J7467" s="3" t="str">
        <f ca="1">IFERROR(__xludf.DUMMYFUNCTION("""COMPUTED_VALUE"""),"0986682634")</f>
        <v>0986682634</v>
      </c>
      <c r="K7467" s="2" t="str">
        <f ca="1">IFERROR(__xludf.DUMMYFUNCTION("""COMPUTED_VALUE"""),"1762233231457")</f>
        <v>1762233231457</v>
      </c>
    </row>
    <row r="7468" spans="1:11" ht="12.45">
      <c r="A7468" s="2" t="str">
        <f ca="1">IFERROR(__xludf.DUMMYFUNCTION("""COMPUTED_VALUE"""),"1758581002276")</f>
        <v>1758581002276</v>
      </c>
      <c r="B7468" s="2"/>
      <c r="C7468" s="2" t="str">
        <v>0</v>
      </c>
      <c r="D7468" s="2"/>
      <c r="F7468" s="2" t="str">
        <v>0</v>
      </c>
      <c r="I7468" s="3" t="str">
        <f ca="1">IFERROR(__xludf.DUMMYFUNCTION("""COMPUTED_VALUE"""),"Đỗ Thị Tuyết Ngân ")</f>
        <v xml:space="preserve">Đỗ Thị Tuyết Ngân </v>
      </c>
      <c r="J7468" s="3" t="str">
        <f ca="1">IFERROR(__xludf.DUMMYFUNCTION("""COMPUTED_VALUE"""),"0939505917")</f>
        <v>0939505917</v>
      </c>
      <c r="K7468" s="2" t="str">
        <f ca="1">IFERROR(__xludf.DUMMYFUNCTION("""COMPUTED_VALUE"""),"1758581002276")</f>
        <v>1758581002276</v>
      </c>
    </row>
    <row r="7469" spans="1:11" ht="12.45">
      <c r="A7469" s="2" t="str">
        <f ca="1">IFERROR(__xludf.DUMMYFUNCTION("""COMPUTED_VALUE"""),"1762233312826")</f>
        <v>1762233312826</v>
      </c>
      <c r="B7469" s="2"/>
      <c r="C7469" s="2" t="str">
        <v>0</v>
      </c>
      <c r="D7469" s="2"/>
      <c r="F7469" s="2" t="str">
        <v>0</v>
      </c>
      <c r="I7469" s="3" t="str">
        <f ca="1">IFERROR(__xludf.DUMMYFUNCTION("""COMPUTED_VALUE"""),"Võ Nguyễn Kim Ngân")</f>
        <v>Võ Nguyễn Kim Ngân</v>
      </c>
      <c r="J7469" s="3" t="str">
        <f ca="1">IFERROR(__xludf.DUMMYFUNCTION("""COMPUTED_VALUE"""),"0332257282")</f>
        <v>0332257282</v>
      </c>
      <c r="K7469" s="2" t="str">
        <f ca="1">IFERROR(__xludf.DUMMYFUNCTION("""COMPUTED_VALUE"""),"1762233312826")</f>
        <v>1762233312826</v>
      </c>
    </row>
    <row r="7470" spans="1:11" ht="12.45">
      <c r="A7470" s="2" t="str">
        <f ca="1">IFERROR(__xludf.DUMMYFUNCTION("""COMPUTED_VALUE"""),"1762233417190")</f>
        <v>1762233417190</v>
      </c>
      <c r="B7470" s="2"/>
      <c r="C7470" s="2" t="str">
        <v>0</v>
      </c>
      <c r="D7470" s="2"/>
      <c r="F7470" s="2" t="str">
        <v>0</v>
      </c>
      <c r="I7470" s="3" t="str">
        <f ca="1">IFERROR(__xludf.DUMMYFUNCTION("""COMPUTED_VALUE"""),"Trương Thị Hậu")</f>
        <v>Trương Thị Hậu</v>
      </c>
      <c r="J7470" s="3" t="str">
        <f ca="1">IFERROR(__xludf.DUMMYFUNCTION("""COMPUTED_VALUE"""),"0774536815")</f>
        <v>0774536815</v>
      </c>
      <c r="K7470" s="2" t="str">
        <f ca="1">IFERROR(__xludf.DUMMYFUNCTION("""COMPUTED_VALUE"""),"1762233417190")</f>
        <v>1762233417190</v>
      </c>
    </row>
    <row r="7471" spans="1:11" ht="12.45">
      <c r="A7471" s="2" t="str">
        <f ca="1">IFERROR(__xludf.DUMMYFUNCTION("""COMPUTED_VALUE"""),"1762233554130")</f>
        <v>1762233554130</v>
      </c>
      <c r="B7471" s="2"/>
      <c r="C7471" s="2" t="str">
        <v>0</v>
      </c>
      <c r="D7471" s="2"/>
      <c r="F7471" s="2" t="str">
        <v>0</v>
      </c>
      <c r="I7471" s="3" t="str">
        <f ca="1">IFERROR(__xludf.DUMMYFUNCTION("""COMPUTED_VALUE"""),"Châu Huỳnh Thanh Tường")</f>
        <v>Châu Huỳnh Thanh Tường</v>
      </c>
      <c r="J7471" s="3" t="str">
        <f ca="1">IFERROR(__xludf.DUMMYFUNCTION("""COMPUTED_VALUE"""),"0946006249")</f>
        <v>0946006249</v>
      </c>
      <c r="K7471" s="2" t="str">
        <f ca="1">IFERROR(__xludf.DUMMYFUNCTION("""COMPUTED_VALUE"""),"1762233554130")</f>
        <v>1762233554130</v>
      </c>
    </row>
    <row r="7472" spans="1:11" ht="12.45">
      <c r="A7472" s="2" t="str">
        <f ca="1">IFERROR(__xludf.DUMMYFUNCTION("""COMPUTED_VALUE"""),"1762233631489")</f>
        <v>1762233631489</v>
      </c>
      <c r="B7472" s="2"/>
      <c r="C7472" s="2" t="str">
        <v>0</v>
      </c>
      <c r="D7472" s="2"/>
      <c r="F7472" s="2" t="str">
        <v>0</v>
      </c>
      <c r="I7472" s="3" t="str">
        <f ca="1">IFERROR(__xludf.DUMMYFUNCTION("""COMPUTED_VALUE"""),"Phạm Ngọc An Khuê ")</f>
        <v xml:space="preserve">Phạm Ngọc An Khuê </v>
      </c>
      <c r="J7472" s="3" t="str">
        <f ca="1">IFERROR(__xludf.DUMMYFUNCTION("""COMPUTED_VALUE"""),"0772460807")</f>
        <v>0772460807</v>
      </c>
      <c r="K7472" s="2" t="str">
        <f ca="1">IFERROR(__xludf.DUMMYFUNCTION("""COMPUTED_VALUE"""),"1762233631489")</f>
        <v>1762233631489</v>
      </c>
    </row>
    <row r="7473" spans="1:11" ht="12.45">
      <c r="A7473" s="2" t="str">
        <f ca="1">IFERROR(__xludf.DUMMYFUNCTION("""COMPUTED_VALUE"""),"1762233721710")</f>
        <v>1762233721710</v>
      </c>
      <c r="B7473" s="2"/>
      <c r="C7473" s="2" t="str">
        <v>0</v>
      </c>
      <c r="D7473" s="2"/>
      <c r="F7473" s="2" t="str">
        <v>0</v>
      </c>
      <c r="I7473" s="3" t="str">
        <f ca="1">IFERROR(__xludf.DUMMYFUNCTION("""COMPUTED_VALUE"""),"Nguyễn Mỹ Huyền ")</f>
        <v xml:space="preserve">Nguyễn Mỹ Huyền </v>
      </c>
      <c r="J7473" s="3" t="str">
        <f ca="1">IFERROR(__xludf.DUMMYFUNCTION("""COMPUTED_VALUE"""),"0342628252")</f>
        <v>0342628252</v>
      </c>
      <c r="K7473" s="2" t="str">
        <f ca="1">IFERROR(__xludf.DUMMYFUNCTION("""COMPUTED_VALUE"""),"1762233721710")</f>
        <v>1762233721710</v>
      </c>
    </row>
    <row r="7474" spans="1:11" ht="12.45">
      <c r="A7474" s="2" t="str">
        <f ca="1">IFERROR(__xludf.DUMMYFUNCTION("""COMPUTED_VALUE"""),"1762233823942")</f>
        <v>1762233823942</v>
      </c>
      <c r="B7474" s="2"/>
      <c r="C7474" s="2" t="str">
        <v>0</v>
      </c>
      <c r="D7474" s="2"/>
      <c r="F7474" s="2" t="str">
        <v>0</v>
      </c>
      <c r="I7474" s="3" t="str">
        <f ca="1">IFERROR(__xludf.DUMMYFUNCTION("""COMPUTED_VALUE"""),"Ka Nữ")</f>
        <v>Ka Nữ</v>
      </c>
      <c r="J7474" s="3" t="str">
        <f ca="1">IFERROR(__xludf.DUMMYFUNCTION("""COMPUTED_VALUE"""),"0396861473")</f>
        <v>0396861473</v>
      </c>
      <c r="K7474" s="2" t="str">
        <f ca="1">IFERROR(__xludf.DUMMYFUNCTION("""COMPUTED_VALUE"""),"1762233823942")</f>
        <v>1762233823942</v>
      </c>
    </row>
    <row r="7475" spans="1:11" ht="12.45">
      <c r="A7475" s="2" t="str">
        <f ca="1">IFERROR(__xludf.DUMMYFUNCTION("""COMPUTED_VALUE"""),"1762233890874")</f>
        <v>1762233890874</v>
      </c>
      <c r="B7475" s="2"/>
      <c r="C7475" s="2" t="str">
        <v>0</v>
      </c>
      <c r="D7475" s="2"/>
      <c r="F7475" s="2" t="str">
        <v>0</v>
      </c>
      <c r="I7475" s="3" t="str">
        <f ca="1">IFERROR(__xludf.DUMMYFUNCTION("""COMPUTED_VALUE"""),"Phạm Bảo Ngọc Châu ")</f>
        <v xml:space="preserve">Phạm Bảo Ngọc Châu </v>
      </c>
      <c r="J7475" s="3" t="str">
        <f ca="1">IFERROR(__xludf.DUMMYFUNCTION("""COMPUTED_VALUE"""),"0342641427")</f>
        <v>0342641427</v>
      </c>
      <c r="K7475" s="2" t="str">
        <f ca="1">IFERROR(__xludf.DUMMYFUNCTION("""COMPUTED_VALUE"""),"1762233890874")</f>
        <v>1762233890874</v>
      </c>
    </row>
    <row r="7476" spans="1:11" ht="12.45">
      <c r="A7476" s="2" t="str">
        <f ca="1">IFERROR(__xludf.DUMMYFUNCTION("""COMPUTED_VALUE"""),"1762233967978")</f>
        <v>1762233967978</v>
      </c>
      <c r="B7476" s="2"/>
      <c r="C7476" s="2" t="str">
        <v>0</v>
      </c>
      <c r="D7476" s="2"/>
      <c r="F7476" s="2" t="str">
        <v>0</v>
      </c>
      <c r="I7476" s="3" t="str">
        <f ca="1">IFERROR(__xludf.DUMMYFUNCTION("""COMPUTED_VALUE"""),"Nguyễn Quỳnh Anh")</f>
        <v>Nguyễn Quỳnh Anh</v>
      </c>
      <c r="J7476" s="3" t="str">
        <f ca="1">IFERROR(__xludf.DUMMYFUNCTION("""COMPUTED_VALUE"""),"0774593484")</f>
        <v>0774593484</v>
      </c>
      <c r="K7476" s="2" t="str">
        <f ca="1">IFERROR(__xludf.DUMMYFUNCTION("""COMPUTED_VALUE"""),"1762233967978")</f>
        <v>1762233967978</v>
      </c>
    </row>
    <row r="7477" spans="1:11" ht="12.45">
      <c r="A7477" s="2" t="str">
        <f ca="1">IFERROR(__xludf.DUMMYFUNCTION("""COMPUTED_VALUE"""),"1762234047830")</f>
        <v>1762234047830</v>
      </c>
      <c r="B7477" s="2"/>
      <c r="C7477" s="2" t="str">
        <v>0</v>
      </c>
      <c r="D7477" s="2"/>
      <c r="F7477" s="2" t="str">
        <v>0</v>
      </c>
      <c r="I7477" s="3" t="str">
        <f ca="1">IFERROR(__xludf.DUMMYFUNCTION("""COMPUTED_VALUE"""),"Nguyễn thị thu phượng")</f>
        <v>Nguyễn thị thu phượng</v>
      </c>
      <c r="J7477" s="3" t="str">
        <f ca="1">IFERROR(__xludf.DUMMYFUNCTION("""COMPUTED_VALUE"""),"0386834965")</f>
        <v>0386834965</v>
      </c>
      <c r="K7477" s="2" t="str">
        <f ca="1">IFERROR(__xludf.DUMMYFUNCTION("""COMPUTED_VALUE"""),"1762234047830")</f>
        <v>1762234047830</v>
      </c>
    </row>
    <row r="7478" spans="1:11" ht="12.45">
      <c r="A7478" s="2" t="str">
        <f ca="1">IFERROR(__xludf.DUMMYFUNCTION("""COMPUTED_VALUE"""),"1762234102165")</f>
        <v>1762234102165</v>
      </c>
      <c r="B7478" s="2"/>
      <c r="C7478" s="2" t="str">
        <v>0</v>
      </c>
      <c r="D7478" s="2"/>
      <c r="F7478" s="2" t="str">
        <v>0</v>
      </c>
      <c r="I7478" s="3" t="str">
        <f ca="1">IFERROR(__xludf.DUMMYFUNCTION("""COMPUTED_VALUE"""),"Liên Ngọc Như")</f>
        <v>Liên Ngọc Như</v>
      </c>
      <c r="J7478" s="3" t="str">
        <f ca="1">IFERROR(__xludf.DUMMYFUNCTION("""COMPUTED_VALUE"""),"0904402474")</f>
        <v>0904402474</v>
      </c>
      <c r="K7478" s="2" t="str">
        <f ca="1">IFERROR(__xludf.DUMMYFUNCTION("""COMPUTED_VALUE"""),"1762234102165")</f>
        <v>1762234102165</v>
      </c>
    </row>
    <row r="7479" spans="1:11" ht="12.45">
      <c r="A7479" s="2" t="str">
        <f ca="1">IFERROR(__xludf.DUMMYFUNCTION("""COMPUTED_VALUE"""),"1762234148267")</f>
        <v>1762234148267</v>
      </c>
      <c r="B7479" s="2"/>
      <c r="C7479" s="2" t="str">
        <v>0</v>
      </c>
      <c r="D7479" s="2"/>
      <c r="F7479" s="2" t="str">
        <v>0</v>
      </c>
      <c r="I7479" s="3" t="str">
        <f ca="1">IFERROR(__xludf.DUMMYFUNCTION("""COMPUTED_VALUE"""),"Lê Thị Khánh Vi")</f>
        <v>Lê Thị Khánh Vi</v>
      </c>
      <c r="J7479" s="3" t="str">
        <f ca="1">IFERROR(__xludf.DUMMYFUNCTION("""COMPUTED_VALUE"""),"0326573765")</f>
        <v>0326573765</v>
      </c>
      <c r="K7479" s="2" t="str">
        <f ca="1">IFERROR(__xludf.DUMMYFUNCTION("""COMPUTED_VALUE"""),"1762234148267")</f>
        <v>1762234148267</v>
      </c>
    </row>
    <row r="7480" spans="1:11" ht="12.45">
      <c r="A7480" s="2" t="str">
        <f ca="1">IFERROR(__xludf.DUMMYFUNCTION("""COMPUTED_VALUE"""),"1762234221880")</f>
        <v>1762234221880</v>
      </c>
      <c r="B7480" s="2"/>
      <c r="C7480" s="2" t="str">
        <v>0</v>
      </c>
      <c r="D7480" s="2"/>
      <c r="F7480" s="2" t="str">
        <v>0</v>
      </c>
      <c r="I7480" s="3" t="str">
        <f ca="1">IFERROR(__xludf.DUMMYFUNCTION("""COMPUTED_VALUE"""),"Đỗ Phạm Khánh Chi")</f>
        <v>Đỗ Phạm Khánh Chi</v>
      </c>
      <c r="J7480" s="3" t="str">
        <f ca="1">IFERROR(__xludf.DUMMYFUNCTION("""COMPUTED_VALUE"""),"0862466238")</f>
        <v>0862466238</v>
      </c>
      <c r="K7480" s="2" t="str">
        <f ca="1">IFERROR(__xludf.DUMMYFUNCTION("""COMPUTED_VALUE"""),"1762234221880")</f>
        <v>1762234221880</v>
      </c>
    </row>
    <row r="7481" spans="1:11" ht="12.45">
      <c r="A7481" s="2" t="str">
        <f ca="1">IFERROR(__xludf.DUMMYFUNCTION("""COMPUTED_VALUE"""),"1762234332540")</f>
        <v>1762234332540</v>
      </c>
      <c r="B7481" s="2"/>
      <c r="C7481" s="2" t="str">
        <v>0</v>
      </c>
      <c r="D7481" s="2"/>
      <c r="F7481" s="2" t="str">
        <v>0</v>
      </c>
      <c r="I7481" s="3" t="str">
        <f ca="1">IFERROR(__xludf.DUMMYFUNCTION("""COMPUTED_VALUE"""),"Đỗ Nguyễn Kiều Vi ")</f>
        <v xml:space="preserve">Đỗ Nguyễn Kiều Vi </v>
      </c>
      <c r="J7481" s="3" t="str">
        <f ca="1">IFERROR(__xludf.DUMMYFUNCTION("""COMPUTED_VALUE"""),"0333716307")</f>
        <v>0333716307</v>
      </c>
      <c r="K7481" s="2" t="str">
        <f ca="1">IFERROR(__xludf.DUMMYFUNCTION("""COMPUTED_VALUE"""),"1762234332540")</f>
        <v>1762234332540</v>
      </c>
    </row>
    <row r="7482" spans="1:11" ht="12.45">
      <c r="A7482" s="2" t="str">
        <f ca="1">IFERROR(__xludf.DUMMYFUNCTION("""COMPUTED_VALUE"""),"1762234411583")</f>
        <v>1762234411583</v>
      </c>
      <c r="B7482" s="2"/>
      <c r="C7482" s="2" t="str">
        <v>0</v>
      </c>
      <c r="D7482" s="2"/>
      <c r="F7482" s="2" t="str">
        <v>0</v>
      </c>
      <c r="I7482" s="3" t="str">
        <f ca="1">IFERROR(__xludf.DUMMYFUNCTION("""COMPUTED_VALUE"""),"Hoàng Thị Trúc Quỳnh ")</f>
        <v xml:space="preserve">Hoàng Thị Trúc Quỳnh </v>
      </c>
      <c r="J7482" s="3" t="str">
        <f ca="1">IFERROR(__xludf.DUMMYFUNCTION("""COMPUTED_VALUE"""),"0336037166")</f>
        <v>0336037166</v>
      </c>
      <c r="K7482" s="2" t="str">
        <f ca="1">IFERROR(__xludf.DUMMYFUNCTION("""COMPUTED_VALUE"""),"1762234411583")</f>
        <v>1762234411583</v>
      </c>
    </row>
    <row r="7483" spans="1:11" ht="12.45">
      <c r="A7483" s="2" t="str">
        <f ca="1">IFERROR(__xludf.DUMMYFUNCTION("""COMPUTED_VALUE"""),"1762234457506")</f>
        <v>1762234457506</v>
      </c>
      <c r="B7483" s="2"/>
      <c r="C7483" s="2" t="str">
        <v>0</v>
      </c>
      <c r="D7483" s="2"/>
      <c r="F7483" s="2" t="str">
        <v>0</v>
      </c>
      <c r="I7483" s="3" t="str">
        <f ca="1">IFERROR(__xludf.DUMMYFUNCTION("""COMPUTED_VALUE"""),"Nguyễn Thị Thanh Tú")</f>
        <v>Nguyễn Thị Thanh Tú</v>
      </c>
      <c r="J7483" s="3" t="str">
        <f ca="1">IFERROR(__xludf.DUMMYFUNCTION("""COMPUTED_VALUE"""),"0865075126")</f>
        <v>0865075126</v>
      </c>
      <c r="K7483" s="2" t="str">
        <f ca="1">IFERROR(__xludf.DUMMYFUNCTION("""COMPUTED_VALUE"""),"1762234457506")</f>
        <v>1762234457506</v>
      </c>
    </row>
    <row r="7484" spans="1:11" ht="12.45">
      <c r="A7484" s="2" t="str">
        <f ca="1">IFERROR(__xludf.DUMMYFUNCTION("""COMPUTED_VALUE"""),"1762234507256")</f>
        <v>1762234507256</v>
      </c>
      <c r="B7484" s="2"/>
      <c r="C7484" s="2" t="str">
        <v>0</v>
      </c>
      <c r="D7484" s="2"/>
      <c r="F7484" s="2" t="str">
        <v>0</v>
      </c>
      <c r="I7484" s="3" t="str">
        <f ca="1">IFERROR(__xludf.DUMMYFUNCTION("""COMPUTED_VALUE"""),"Nguyễn Thị Hương Giang")</f>
        <v>Nguyễn Thị Hương Giang</v>
      </c>
      <c r="J7484" s="3" t="str">
        <f ca="1">IFERROR(__xludf.DUMMYFUNCTION("""COMPUTED_VALUE"""),"0964395682")</f>
        <v>0964395682</v>
      </c>
      <c r="K7484" s="2" t="str">
        <f ca="1">IFERROR(__xludf.DUMMYFUNCTION("""COMPUTED_VALUE"""),"1762234507256")</f>
        <v>1762234507256</v>
      </c>
    </row>
    <row r="7485" spans="1:11" ht="12.45">
      <c r="A7485" s="2" t="str">
        <f ca="1">IFERROR(__xludf.DUMMYFUNCTION("""COMPUTED_VALUE"""),"1762234585607")</f>
        <v>1762234585607</v>
      </c>
      <c r="B7485" s="2"/>
      <c r="C7485" s="2" t="str">
        <v>0</v>
      </c>
      <c r="D7485" s="2"/>
      <c r="F7485" s="2" t="str">
        <v>0</v>
      </c>
      <c r="I7485" s="3" t="str">
        <f ca="1">IFERROR(__xludf.DUMMYFUNCTION("""COMPUTED_VALUE"""),"Võ Thị Mỹ Hân")</f>
        <v>Võ Thị Mỹ Hân</v>
      </c>
      <c r="J7485" s="3" t="str">
        <f ca="1">IFERROR(__xludf.DUMMYFUNCTION("""COMPUTED_VALUE"""),"0866631244")</f>
        <v>0866631244</v>
      </c>
      <c r="K7485" s="2" t="str">
        <f ca="1">IFERROR(__xludf.DUMMYFUNCTION("""COMPUTED_VALUE"""),"1762234585607")</f>
        <v>1762234585607</v>
      </c>
    </row>
    <row r="7486" spans="1:11" ht="12.45">
      <c r="A7486" s="2" t="str">
        <f ca="1">IFERROR(__xludf.DUMMYFUNCTION("""COMPUTED_VALUE"""),"1762234681640")</f>
        <v>1762234681640</v>
      </c>
      <c r="B7486" s="2"/>
      <c r="C7486" s="2" t="str">
        <v>0</v>
      </c>
      <c r="D7486" s="2"/>
      <c r="F7486" s="2" t="str">
        <v>0</v>
      </c>
      <c r="I7486" s="3" t="str">
        <f ca="1">IFERROR(__xludf.DUMMYFUNCTION("""COMPUTED_VALUE"""),"Nguyễn Thị Mỹ Linh ")</f>
        <v xml:space="preserve">Nguyễn Thị Mỹ Linh </v>
      </c>
      <c r="J7486" s="3" t="str">
        <f ca="1">IFERROR(__xludf.DUMMYFUNCTION("""COMPUTED_VALUE"""),"0336204724")</f>
        <v>0336204724</v>
      </c>
      <c r="K7486" s="2" t="str">
        <f ca="1">IFERROR(__xludf.DUMMYFUNCTION("""COMPUTED_VALUE"""),"1762234681640")</f>
        <v>1762234681640</v>
      </c>
    </row>
    <row r="7487" spans="1:11" ht="12.45">
      <c r="A7487" s="2" t="str">
        <f ca="1">IFERROR(__xludf.DUMMYFUNCTION("""COMPUTED_VALUE"""),"1762234775342")</f>
        <v>1762234775342</v>
      </c>
      <c r="B7487" s="2"/>
      <c r="C7487" s="2" t="str">
        <v>0</v>
      </c>
      <c r="D7487" s="2"/>
      <c r="F7487" s="2" t="str">
        <v>0</v>
      </c>
      <c r="I7487" s="3" t="str">
        <f ca="1">IFERROR(__xludf.DUMMYFUNCTION("""COMPUTED_VALUE"""),"Hoàng Như Quỳnh")</f>
        <v>Hoàng Như Quỳnh</v>
      </c>
      <c r="J7487" s="3" t="str">
        <f ca="1">IFERROR(__xludf.DUMMYFUNCTION("""COMPUTED_VALUE"""),"0846831266")</f>
        <v>0846831266</v>
      </c>
      <c r="K7487" s="2" t="str">
        <f ca="1">IFERROR(__xludf.DUMMYFUNCTION("""COMPUTED_VALUE"""),"1762234775342")</f>
        <v>1762234775342</v>
      </c>
    </row>
    <row r="7488" spans="1:11" ht="12.45">
      <c r="A7488" s="2" t="str">
        <f ca="1">IFERROR(__xludf.DUMMYFUNCTION("""COMPUTED_VALUE"""),"1762234848774")</f>
        <v>1762234848774</v>
      </c>
      <c r="B7488" s="2"/>
      <c r="C7488" s="2" t="str">
        <v>0</v>
      </c>
      <c r="D7488" s="2"/>
      <c r="F7488" s="2" t="str">
        <v>0</v>
      </c>
      <c r="I7488" s="3" t="str">
        <f ca="1">IFERROR(__xludf.DUMMYFUNCTION("""COMPUTED_VALUE"""),"Đặng Ngọc Nguyên Châu")</f>
        <v>Đặng Ngọc Nguyên Châu</v>
      </c>
      <c r="J7488" s="3" t="str">
        <f ca="1">IFERROR(__xludf.DUMMYFUNCTION("""COMPUTED_VALUE"""),"0833377669")</f>
        <v>0833377669</v>
      </c>
      <c r="K7488" s="2" t="str">
        <f ca="1">IFERROR(__xludf.DUMMYFUNCTION("""COMPUTED_VALUE"""),"1762234848774")</f>
        <v>1762234848774</v>
      </c>
    </row>
    <row r="7489" spans="1:11" ht="12.45">
      <c r="A7489" s="2" t="str">
        <f ca="1">IFERROR(__xludf.DUMMYFUNCTION("""COMPUTED_VALUE"""),"1762234904462")</f>
        <v>1762234904462</v>
      </c>
      <c r="B7489" s="2"/>
      <c r="C7489" s="2" t="str">
        <v>0</v>
      </c>
      <c r="D7489" s="2"/>
      <c r="F7489" s="2" t="str">
        <v>0</v>
      </c>
      <c r="I7489" s="3" t="str">
        <f ca="1">IFERROR(__xludf.DUMMYFUNCTION("""COMPUTED_VALUE"""),"Khúc Tuấn Hùng")</f>
        <v>Khúc Tuấn Hùng</v>
      </c>
      <c r="J7489" s="3" t="str">
        <f ca="1">IFERROR(__xludf.DUMMYFUNCTION("""COMPUTED_VALUE"""),"0911633635")</f>
        <v>0911633635</v>
      </c>
      <c r="K7489" s="2" t="str">
        <f ca="1">IFERROR(__xludf.DUMMYFUNCTION("""COMPUTED_VALUE"""),"1762234904462")</f>
        <v>1762234904462</v>
      </c>
    </row>
    <row r="7490" spans="1:11" ht="12.45">
      <c r="A7490" s="2" t="str">
        <f ca="1">IFERROR(__xludf.DUMMYFUNCTION("""COMPUTED_VALUE"""),"1762234978877")</f>
        <v>1762234978877</v>
      </c>
      <c r="B7490" s="2"/>
      <c r="C7490" s="2" t="str">
        <v>0</v>
      </c>
      <c r="D7490" s="2"/>
      <c r="F7490" s="2" t="str">
        <v>0</v>
      </c>
      <c r="I7490" s="3" t="str">
        <f ca="1">IFERROR(__xludf.DUMMYFUNCTION("""COMPUTED_VALUE"""),"Nguyễn Thị Thu Huyền")</f>
        <v>Nguyễn Thị Thu Huyền</v>
      </c>
      <c r="J7490" s="3" t="str">
        <f ca="1">IFERROR(__xludf.DUMMYFUNCTION("""COMPUTED_VALUE"""),"0987754131")</f>
        <v>0987754131</v>
      </c>
      <c r="K7490" s="2" t="str">
        <f ca="1">IFERROR(__xludf.DUMMYFUNCTION("""COMPUTED_VALUE"""),"1762234978877")</f>
        <v>1762234978877</v>
      </c>
    </row>
    <row r="7491" spans="1:11" ht="12.45">
      <c r="A7491" s="2" t="str">
        <f ca="1">IFERROR(__xludf.DUMMYFUNCTION("""COMPUTED_VALUE"""),"1762235073102")</f>
        <v>1762235073102</v>
      </c>
      <c r="B7491" s="2"/>
      <c r="C7491" s="2" t="str">
        <v>0</v>
      </c>
      <c r="D7491" s="2"/>
      <c r="F7491" s="2" t="str">
        <v>0</v>
      </c>
      <c r="I7491" s="3" t="str">
        <f ca="1">IFERROR(__xludf.DUMMYFUNCTION("""COMPUTED_VALUE"""),"Vũ Quỳnh Trang")</f>
        <v>Vũ Quỳnh Trang</v>
      </c>
      <c r="J7491" s="3" t="str">
        <f ca="1">IFERROR(__xludf.DUMMYFUNCTION("""COMPUTED_VALUE"""),"0976220225")</f>
        <v>0976220225</v>
      </c>
      <c r="K7491" s="2" t="str">
        <f ca="1">IFERROR(__xludf.DUMMYFUNCTION("""COMPUTED_VALUE"""),"1762235073102")</f>
        <v>1762235073102</v>
      </c>
    </row>
    <row r="7492" spans="1:11" ht="12.45">
      <c r="A7492" s="2" t="str">
        <f ca="1">IFERROR(__xludf.DUMMYFUNCTION("""COMPUTED_VALUE"""),"1762235125700")</f>
        <v>1762235125700</v>
      </c>
      <c r="B7492" s="2"/>
      <c r="C7492" s="2" t="str">
        <v>0</v>
      </c>
      <c r="D7492" s="2"/>
      <c r="F7492" s="2" t="str">
        <v>0</v>
      </c>
      <c r="I7492" s="3" t="str">
        <f ca="1">IFERROR(__xludf.DUMMYFUNCTION("""COMPUTED_VALUE"""),"Trần Hà Kiều Anh")</f>
        <v>Trần Hà Kiều Anh</v>
      </c>
      <c r="J7492" s="3" t="str">
        <f ca="1">IFERROR(__xludf.DUMMYFUNCTION("""COMPUTED_VALUE"""),"0365625591")</f>
        <v>0365625591</v>
      </c>
      <c r="K7492" s="2" t="str">
        <f ca="1">IFERROR(__xludf.DUMMYFUNCTION("""COMPUTED_VALUE"""),"1762235125700")</f>
        <v>1762235125700</v>
      </c>
    </row>
    <row r="7493" spans="1:11" ht="12.45">
      <c r="A7493" s="2" t="str">
        <f ca="1">IFERROR(__xludf.DUMMYFUNCTION("""COMPUTED_VALUE"""),"1762235240384")</f>
        <v>1762235240384</v>
      </c>
      <c r="B7493" s="2"/>
      <c r="C7493" s="2" t="str">
        <v>0</v>
      </c>
      <c r="D7493" s="2"/>
      <c r="F7493" s="2" t="str">
        <v>0</v>
      </c>
      <c r="I7493" s="3" t="str">
        <f ca="1">IFERROR(__xludf.DUMMYFUNCTION("""COMPUTED_VALUE"""),"Nguyễn Đặng Thu Trang")</f>
        <v>Nguyễn Đặng Thu Trang</v>
      </c>
      <c r="J7493" s="3" t="str">
        <f ca="1">IFERROR(__xludf.DUMMYFUNCTION("""COMPUTED_VALUE"""),"0372668810")</f>
        <v>0372668810</v>
      </c>
      <c r="K7493" s="2" t="str">
        <f ca="1">IFERROR(__xludf.DUMMYFUNCTION("""COMPUTED_VALUE"""),"1762235240384")</f>
        <v>1762235240384</v>
      </c>
    </row>
    <row r="7494" spans="1:11" ht="12.45">
      <c r="A7494" s="2" t="str">
        <f ca="1">IFERROR(__xludf.DUMMYFUNCTION("""COMPUTED_VALUE"""),"1762235329526")</f>
        <v>1762235329526</v>
      </c>
      <c r="B7494" s="2"/>
      <c r="C7494" s="2" t="str">
        <v>0</v>
      </c>
      <c r="D7494" s="2"/>
      <c r="F7494" s="2" t="str">
        <v>0</v>
      </c>
      <c r="I7494" s="3" t="str">
        <f ca="1">IFERROR(__xludf.DUMMYFUNCTION("""COMPUTED_VALUE"""),"PHÙNG THỊ QUỲNH ANH ")</f>
        <v xml:space="preserve">PHÙNG THỊ QUỲNH ANH </v>
      </c>
      <c r="J7494" s="3" t="str">
        <f ca="1">IFERROR(__xludf.DUMMYFUNCTION("""COMPUTED_VALUE"""),"0348196326")</f>
        <v>0348196326</v>
      </c>
      <c r="K7494" s="2" t="str">
        <f ca="1">IFERROR(__xludf.DUMMYFUNCTION("""COMPUTED_VALUE"""),"1762235329526")</f>
        <v>1762235329526</v>
      </c>
    </row>
    <row r="7495" spans="1:11" ht="12.45">
      <c r="A7495" s="2" t="str">
        <f ca="1">IFERROR(__xludf.DUMMYFUNCTION("""COMPUTED_VALUE"""),"1762235401576")</f>
        <v>1762235401576</v>
      </c>
      <c r="B7495" s="2"/>
      <c r="C7495" s="2" t="str">
        <v>0</v>
      </c>
      <c r="D7495" s="2"/>
      <c r="F7495" s="2" t="str">
        <v>0</v>
      </c>
      <c r="I7495" s="3" t="str">
        <f ca="1">IFERROR(__xludf.DUMMYFUNCTION("""COMPUTED_VALUE"""),"Phạm Văn Thành")</f>
        <v>Phạm Văn Thành</v>
      </c>
      <c r="J7495" s="3" t="str">
        <f ca="1">IFERROR(__xludf.DUMMYFUNCTION("""COMPUTED_VALUE"""),"0985554032")</f>
        <v>0985554032</v>
      </c>
      <c r="K7495" s="2" t="str">
        <f ca="1">IFERROR(__xludf.DUMMYFUNCTION("""COMPUTED_VALUE"""),"1762235401576")</f>
        <v>1762235401576</v>
      </c>
    </row>
    <row r="7496" spans="1:11" ht="12.45">
      <c r="A7496" s="2" t="str">
        <f ca="1">IFERROR(__xludf.DUMMYFUNCTION("""COMPUTED_VALUE"""),"1762235467093")</f>
        <v>1762235467093</v>
      </c>
      <c r="B7496" s="2"/>
      <c r="C7496" s="2" t="str">
        <v>0</v>
      </c>
      <c r="D7496" s="2"/>
      <c r="F7496" s="2" t="str">
        <v>0</v>
      </c>
      <c r="I7496" s="3" t="str">
        <f ca="1">IFERROR(__xludf.DUMMYFUNCTION("""COMPUTED_VALUE"""),"Đào Hà Thu")</f>
        <v>Đào Hà Thu</v>
      </c>
      <c r="J7496" s="3" t="str">
        <f ca="1">IFERROR(__xludf.DUMMYFUNCTION("""COMPUTED_VALUE"""),"0983491205")</f>
        <v>0983491205</v>
      </c>
      <c r="K7496" s="2" t="str">
        <f ca="1">IFERROR(__xludf.DUMMYFUNCTION("""COMPUTED_VALUE"""),"1762235467093")</f>
        <v>1762235467093</v>
      </c>
    </row>
    <row r="7497" spans="1:11" ht="12.45">
      <c r="A7497" s="2" t="str">
        <f ca="1">IFERROR(__xludf.DUMMYFUNCTION("""COMPUTED_VALUE"""),"1762235540809")</f>
        <v>1762235540809</v>
      </c>
      <c r="B7497" s="2"/>
      <c r="C7497" s="2" t="str">
        <v>0</v>
      </c>
      <c r="D7497" s="2"/>
      <c r="F7497" s="2" t="str">
        <v>0</v>
      </c>
      <c r="I7497" s="3" t="str">
        <f ca="1">IFERROR(__xludf.DUMMYFUNCTION("""COMPUTED_VALUE"""),"Lê Quỳnh Tâm")</f>
        <v>Lê Quỳnh Tâm</v>
      </c>
      <c r="J7497" s="3" t="str">
        <f ca="1">IFERROR(__xludf.DUMMYFUNCTION("""COMPUTED_VALUE"""),"0865584381")</f>
        <v>0865584381</v>
      </c>
      <c r="K7497" s="2" t="str">
        <f ca="1">IFERROR(__xludf.DUMMYFUNCTION("""COMPUTED_VALUE"""),"1762235540809")</f>
        <v>1762235540809</v>
      </c>
    </row>
    <row r="7498" spans="1:11" ht="12.45">
      <c r="A7498" s="2" t="str">
        <f ca="1">IFERROR(__xludf.DUMMYFUNCTION("""COMPUTED_VALUE"""),"1762235635399")</f>
        <v>1762235635399</v>
      </c>
      <c r="B7498" s="2"/>
      <c r="C7498" s="2" t="str">
        <v>0</v>
      </c>
      <c r="D7498" s="2"/>
      <c r="F7498" s="2" t="str">
        <v>0</v>
      </c>
      <c r="I7498" s="3" t="str">
        <f ca="1">IFERROR(__xludf.DUMMYFUNCTION("""COMPUTED_VALUE"""),"Nguyễn Nhật Hạ")</f>
        <v>Nguyễn Nhật Hạ</v>
      </c>
      <c r="J7498" s="3" t="str">
        <f ca="1">IFERROR(__xludf.DUMMYFUNCTION("""COMPUTED_VALUE"""),"0368378886")</f>
        <v>0368378886</v>
      </c>
      <c r="K7498" s="2" t="str">
        <f ca="1">IFERROR(__xludf.DUMMYFUNCTION("""COMPUTED_VALUE"""),"1762235635399")</f>
        <v>1762235635399</v>
      </c>
    </row>
    <row r="7499" spans="1:11" ht="12.45">
      <c r="A7499" s="2" t="str">
        <f ca="1">IFERROR(__xludf.DUMMYFUNCTION("""COMPUTED_VALUE"""),"1762235705779")</f>
        <v>1762235705779</v>
      </c>
      <c r="B7499" s="2"/>
      <c r="C7499" s="2" t="str">
        <v>0</v>
      </c>
      <c r="D7499" s="2"/>
      <c r="F7499" s="2" t="str">
        <v>0</v>
      </c>
      <c r="I7499" s="3" t="str">
        <f ca="1">IFERROR(__xludf.DUMMYFUNCTION("""COMPUTED_VALUE"""),"Lê Khánh Chi")</f>
        <v>Lê Khánh Chi</v>
      </c>
      <c r="J7499" s="3" t="str">
        <f ca="1">IFERROR(__xludf.DUMMYFUNCTION("""COMPUTED_VALUE"""),"0934465565")</f>
        <v>0934465565</v>
      </c>
      <c r="K7499" s="2" t="str">
        <f ca="1">IFERROR(__xludf.DUMMYFUNCTION("""COMPUTED_VALUE"""),"1762235705779")</f>
        <v>1762235705779</v>
      </c>
    </row>
    <row r="7500" spans="1:11" ht="12.45">
      <c r="A7500" s="2" t="str">
        <f ca="1">IFERROR(__xludf.DUMMYFUNCTION("""COMPUTED_VALUE"""),"1762235751927")</f>
        <v>1762235751927</v>
      </c>
      <c r="B7500" s="2"/>
      <c r="C7500" s="2" t="str">
        <v>0</v>
      </c>
      <c r="D7500" s="2"/>
      <c r="F7500" s="2" t="str">
        <v>0</v>
      </c>
      <c r="I7500" s="3" t="str">
        <f ca="1">IFERROR(__xludf.DUMMYFUNCTION("""COMPUTED_VALUE"""),"Đoàn Như Quỳnh")</f>
        <v>Đoàn Như Quỳnh</v>
      </c>
      <c r="J7500" s="3" t="str">
        <f ca="1">IFERROR(__xludf.DUMMYFUNCTION("""COMPUTED_VALUE"""),"0392495212")</f>
        <v>0392495212</v>
      </c>
      <c r="K7500" s="2" t="str">
        <f ca="1">IFERROR(__xludf.DUMMYFUNCTION("""COMPUTED_VALUE"""),"1762235751927")</f>
        <v>1762235751927</v>
      </c>
    </row>
    <row r="7501" spans="1:11" ht="12.45">
      <c r="A7501" s="2" t="str">
        <f ca="1">IFERROR(__xludf.DUMMYFUNCTION("""COMPUTED_VALUE"""),"1762235837021")</f>
        <v>1762235837021</v>
      </c>
      <c r="B7501" s="2"/>
      <c r="C7501" s="2" t="str">
        <v>0</v>
      </c>
      <c r="D7501" s="2"/>
      <c r="F7501" s="2" t="str">
        <v>0</v>
      </c>
      <c r="I7501" s="3" t="str">
        <f ca="1">IFERROR(__xludf.DUMMYFUNCTION("""COMPUTED_VALUE"""),"Đinh Trung Hiếu")</f>
        <v>Đinh Trung Hiếu</v>
      </c>
      <c r="J7501" s="3" t="str">
        <f ca="1">IFERROR(__xludf.DUMMYFUNCTION("""COMPUTED_VALUE"""),"0917571199")</f>
        <v>0917571199</v>
      </c>
      <c r="K7501" s="2" t="str">
        <f ca="1">IFERROR(__xludf.DUMMYFUNCTION("""COMPUTED_VALUE"""),"1762235837021")</f>
        <v>1762235837021</v>
      </c>
    </row>
    <row r="7502" spans="1:11" ht="12.45">
      <c r="A7502" s="2" t="str">
        <f ca="1">IFERROR(__xludf.DUMMYFUNCTION("""COMPUTED_VALUE"""),"1762235898748")</f>
        <v>1762235898748</v>
      </c>
      <c r="B7502" s="2"/>
      <c r="C7502" s="2" t="str">
        <v>0</v>
      </c>
      <c r="D7502" s="2"/>
      <c r="F7502" s="2" t="str">
        <v>0</v>
      </c>
      <c r="I7502" s="3" t="str">
        <f ca="1">IFERROR(__xludf.DUMMYFUNCTION("""COMPUTED_VALUE"""),"Lê Thị Ánh Lộc ")</f>
        <v xml:space="preserve">Lê Thị Ánh Lộc </v>
      </c>
      <c r="J7502" s="3" t="str">
        <f ca="1">IFERROR(__xludf.DUMMYFUNCTION("""COMPUTED_VALUE"""),"0393404814")</f>
        <v>0393404814</v>
      </c>
      <c r="K7502" s="2" t="str">
        <f ca="1">IFERROR(__xludf.DUMMYFUNCTION("""COMPUTED_VALUE"""),"1762235898748")</f>
        <v>1762235898748</v>
      </c>
    </row>
    <row r="7503" spans="1:11" ht="12.45">
      <c r="A7503" s="2" t="str">
        <f ca="1">IFERROR(__xludf.DUMMYFUNCTION("""COMPUTED_VALUE"""),"1762235967511")</f>
        <v>1762235967511</v>
      </c>
      <c r="B7503" s="2"/>
      <c r="C7503" s="2" t="str">
        <v>0</v>
      </c>
      <c r="D7503" s="2"/>
      <c r="F7503" s="2" t="str">
        <v>0</v>
      </c>
      <c r="I7503" s="3" t="str">
        <f ca="1">IFERROR(__xludf.DUMMYFUNCTION("""COMPUTED_VALUE"""),"Trần Thị Hoà")</f>
        <v>Trần Thị Hoà</v>
      </c>
      <c r="J7503" s="3" t="str">
        <f ca="1">IFERROR(__xludf.DUMMYFUNCTION("""COMPUTED_VALUE"""),"0878537959")</f>
        <v>0878537959</v>
      </c>
      <c r="K7503" s="2" t="str">
        <f ca="1">IFERROR(__xludf.DUMMYFUNCTION("""COMPUTED_VALUE"""),"1762235967511")</f>
        <v>1762235967511</v>
      </c>
    </row>
    <row r="7504" spans="1:11" ht="12.45">
      <c r="A7504" s="2" t="str">
        <f ca="1">IFERROR(__xludf.DUMMYFUNCTION("""COMPUTED_VALUE"""),"1762236009474")</f>
        <v>1762236009474</v>
      </c>
      <c r="B7504" s="2"/>
      <c r="C7504" s="2" t="str">
        <v>0</v>
      </c>
      <c r="D7504" s="2"/>
      <c r="F7504" s="2" t="str">
        <v>0</v>
      </c>
      <c r="I7504" s="3" t="str">
        <f ca="1">IFERROR(__xludf.DUMMYFUNCTION("""COMPUTED_VALUE"""),"Phạm Lan Anh")</f>
        <v>Phạm Lan Anh</v>
      </c>
      <c r="J7504" s="3" t="str">
        <f ca="1">IFERROR(__xludf.DUMMYFUNCTION("""COMPUTED_VALUE"""),"0372044655")</f>
        <v>0372044655</v>
      </c>
      <c r="K7504" s="2" t="str">
        <f ca="1">IFERROR(__xludf.DUMMYFUNCTION("""COMPUTED_VALUE"""),"1762236009474")</f>
        <v>1762236009474</v>
      </c>
    </row>
    <row r="7505" spans="1:11" ht="12.45">
      <c r="A7505" s="2" t="str">
        <f ca="1">IFERROR(__xludf.DUMMYFUNCTION("""COMPUTED_VALUE"""),"1762236056244")</f>
        <v>1762236056244</v>
      </c>
      <c r="B7505" s="2"/>
      <c r="C7505" s="2" t="str">
        <v>0</v>
      </c>
      <c r="D7505" s="2"/>
      <c r="F7505" s="2" t="str">
        <v>0</v>
      </c>
      <c r="I7505" s="3" t="str">
        <f ca="1">IFERROR(__xludf.DUMMYFUNCTION("""COMPUTED_VALUE"""),"Nguyễn Thị Thu Trâm")</f>
        <v>Nguyễn Thị Thu Trâm</v>
      </c>
      <c r="J7505" s="3" t="str">
        <f ca="1">IFERROR(__xludf.DUMMYFUNCTION("""COMPUTED_VALUE"""),"0359107020")</f>
        <v>0359107020</v>
      </c>
      <c r="K7505" s="2" t="str">
        <f ca="1">IFERROR(__xludf.DUMMYFUNCTION("""COMPUTED_VALUE"""),"1762236056244")</f>
        <v>1762236056244</v>
      </c>
    </row>
    <row r="7506" spans="1:11" ht="12.45">
      <c r="A7506" s="2" t="str">
        <f ca="1">IFERROR(__xludf.DUMMYFUNCTION("""COMPUTED_VALUE"""),"1762236114329")</f>
        <v>1762236114329</v>
      </c>
      <c r="B7506" s="2"/>
      <c r="C7506" s="2" t="str">
        <v>0</v>
      </c>
      <c r="D7506" s="2"/>
      <c r="F7506" s="2" t="str">
        <v>0</v>
      </c>
      <c r="I7506" s="3" t="str">
        <f ca="1">IFERROR(__xludf.DUMMYFUNCTION("""COMPUTED_VALUE"""),"Trần Thị Ngọc Ngân ")</f>
        <v xml:space="preserve">Trần Thị Ngọc Ngân </v>
      </c>
      <c r="J7506" s="3" t="str">
        <f ca="1">IFERROR(__xludf.DUMMYFUNCTION("""COMPUTED_VALUE"""),"0944591797")</f>
        <v>0944591797</v>
      </c>
      <c r="K7506" s="2" t="str">
        <f ca="1">IFERROR(__xludf.DUMMYFUNCTION("""COMPUTED_VALUE"""),"1762236114329")</f>
        <v>1762236114329</v>
      </c>
    </row>
    <row r="7507" spans="1:11" ht="12.45">
      <c r="A7507" s="2"/>
      <c r="B7507" s="2"/>
      <c r="C7507" s="2" t="str">
        <v>0</v>
      </c>
      <c r="D7507" s="2"/>
      <c r="F7507" s="2" t="str">
        <v>0</v>
      </c>
      <c r="I7507" s="3" t="str">
        <f ca="1">IFERROR(__xludf.DUMMYFUNCTION("""COMPUTED_VALUE"""),"Nguyễn Thị Huệ Anh")</f>
        <v>Nguyễn Thị Huệ Anh</v>
      </c>
      <c r="J7507" s="3" t="str">
        <f ca="1">IFERROR(__xludf.DUMMYFUNCTION("""COMPUTED_VALUE"""),"0971672530")</f>
        <v>0971672530</v>
      </c>
      <c r="K7507" s="2"/>
    </row>
    <row r="7508" spans="1:11" ht="12.45">
      <c r="A7508" s="2" t="str">
        <f ca="1">IFERROR(__xludf.DUMMYFUNCTION("""COMPUTED_VALUE"""),"1762236167761")</f>
        <v>1762236167761</v>
      </c>
      <c r="B7508" s="2"/>
      <c r="C7508" s="2" t="str">
        <v>0</v>
      </c>
      <c r="D7508" s="2"/>
      <c r="F7508" s="2" t="str">
        <v>0</v>
      </c>
      <c r="I7508" s="3" t="str">
        <f ca="1">IFERROR(__xludf.DUMMYFUNCTION("""COMPUTED_VALUE"""),"Trần Thanh Thảo ")</f>
        <v xml:space="preserve">Trần Thanh Thảo </v>
      </c>
      <c r="J7508" s="3" t="str">
        <f ca="1">IFERROR(__xludf.DUMMYFUNCTION("""COMPUTED_VALUE"""),"0818236253")</f>
        <v>0818236253</v>
      </c>
      <c r="K7508" s="2" t="str">
        <f ca="1">IFERROR(__xludf.DUMMYFUNCTION("""COMPUTED_VALUE"""),"1762236167761")</f>
        <v>1762236167761</v>
      </c>
    </row>
    <row r="7509" spans="1:11" ht="12.45">
      <c r="A7509" s="2" t="str">
        <f ca="1">IFERROR(__xludf.DUMMYFUNCTION("""COMPUTED_VALUE"""),"1762236215080")</f>
        <v>1762236215080</v>
      </c>
      <c r="B7509" s="2"/>
      <c r="C7509" s="2" t="str">
        <v>0</v>
      </c>
      <c r="D7509" s="2"/>
      <c r="F7509" s="2" t="str">
        <v>0</v>
      </c>
      <c r="I7509" s="3" t="str">
        <f ca="1">IFERROR(__xludf.DUMMYFUNCTION("""COMPUTED_VALUE"""),"Nguyễn Trịnh Ánh Hằng")</f>
        <v>Nguyễn Trịnh Ánh Hằng</v>
      </c>
      <c r="J7509" s="3" t="str">
        <f ca="1">IFERROR(__xludf.DUMMYFUNCTION("""COMPUTED_VALUE"""),"0367734987")</f>
        <v>0367734987</v>
      </c>
      <c r="K7509" s="2" t="str">
        <f ca="1">IFERROR(__xludf.DUMMYFUNCTION("""COMPUTED_VALUE"""),"1762236215080")</f>
        <v>1762236215080</v>
      </c>
    </row>
    <row r="7510" spans="1:11" ht="12.45">
      <c r="A7510" s="2" t="str">
        <f ca="1">IFERROR(__xludf.DUMMYFUNCTION("""COMPUTED_VALUE"""),"1762236258002")</f>
        <v>1762236258002</v>
      </c>
      <c r="B7510" s="2"/>
      <c r="C7510" s="2" t="str">
        <v>0</v>
      </c>
      <c r="D7510" s="2"/>
      <c r="F7510" s="2" t="str">
        <v>0</v>
      </c>
      <c r="I7510" s="3" t="str">
        <f ca="1">IFERROR(__xludf.DUMMYFUNCTION("""COMPUTED_VALUE"""),"Nguyễn Thị Ngọc Anh")</f>
        <v>Nguyễn Thị Ngọc Anh</v>
      </c>
      <c r="J7510" s="3" t="str">
        <f ca="1">IFERROR(__xludf.DUMMYFUNCTION("""COMPUTED_VALUE"""),"0368325528")</f>
        <v>0368325528</v>
      </c>
      <c r="K7510" s="2" t="str">
        <f ca="1">IFERROR(__xludf.DUMMYFUNCTION("""COMPUTED_VALUE"""),"1762236258002")</f>
        <v>1762236258002</v>
      </c>
    </row>
    <row r="7511" spans="1:11" ht="12.45">
      <c r="A7511" s="2" t="str">
        <f ca="1">IFERROR(__xludf.DUMMYFUNCTION("""COMPUTED_VALUE"""),"1762236313296")</f>
        <v>1762236313296</v>
      </c>
      <c r="B7511" s="2"/>
      <c r="C7511" s="2" t="str">
        <v>0</v>
      </c>
      <c r="D7511" s="2"/>
      <c r="F7511" s="2" t="str">
        <v>0</v>
      </c>
      <c r="I7511" s="3" t="str">
        <f ca="1">IFERROR(__xludf.DUMMYFUNCTION("""COMPUTED_VALUE"""),"Nguyễn Hạnh Chi")</f>
        <v>Nguyễn Hạnh Chi</v>
      </c>
      <c r="J7511" s="3" t="str">
        <f ca="1">IFERROR(__xludf.DUMMYFUNCTION("""COMPUTED_VALUE"""),"0376766022")</f>
        <v>0376766022</v>
      </c>
      <c r="K7511" s="2" t="str">
        <f ca="1">IFERROR(__xludf.DUMMYFUNCTION("""COMPUTED_VALUE"""),"1762236313296")</f>
        <v>1762236313296</v>
      </c>
    </row>
    <row r="7512" spans="1:11" ht="12.45">
      <c r="A7512" s="2" t="str">
        <f ca="1">IFERROR(__xludf.DUMMYFUNCTION("""COMPUTED_VALUE"""),"1762236368014")</f>
        <v>1762236368014</v>
      </c>
      <c r="B7512" s="2"/>
      <c r="C7512" s="2" t="str">
        <v>0</v>
      </c>
      <c r="D7512" s="2"/>
      <c r="F7512" s="2" t="str">
        <v>0</v>
      </c>
      <c r="I7512" s="3" t="str">
        <f ca="1">IFERROR(__xludf.DUMMYFUNCTION("""COMPUTED_VALUE"""),"Hoàng Minh Thư")</f>
        <v>Hoàng Minh Thư</v>
      </c>
      <c r="J7512" s="3" t="str">
        <f ca="1">IFERROR(__xludf.DUMMYFUNCTION("""COMPUTED_VALUE"""),"0357987868")</f>
        <v>0357987868</v>
      </c>
      <c r="K7512" s="2" t="str">
        <f ca="1">IFERROR(__xludf.DUMMYFUNCTION("""COMPUTED_VALUE"""),"1762236368014")</f>
        <v>1762236368014</v>
      </c>
    </row>
    <row r="7513" spans="1:11" ht="12.45">
      <c r="A7513" s="2" t="str">
        <f ca="1">IFERROR(__xludf.DUMMYFUNCTION("""COMPUTED_VALUE"""),"1748035499263")</f>
        <v>1748035499263</v>
      </c>
      <c r="B7513" s="2"/>
      <c r="C7513" s="2" t="str">
        <v>0</v>
      </c>
      <c r="D7513" s="2"/>
      <c r="F7513" s="2" t="str">
        <v>0</v>
      </c>
      <c r="I7513" s="3" t="str">
        <f ca="1">IFERROR(__xludf.DUMMYFUNCTION("""COMPUTED_VALUE"""),"Lê Minh Hiếu")</f>
        <v>Lê Minh Hiếu</v>
      </c>
      <c r="J7513" s="3" t="str">
        <f ca="1">IFERROR(__xludf.DUMMYFUNCTION("""COMPUTED_VALUE"""),"8491136662")</f>
        <v>8491136662</v>
      </c>
      <c r="K7513" s="2" t="str">
        <f ca="1">IFERROR(__xludf.DUMMYFUNCTION("""COMPUTED_VALUE"""),"1748035499263")</f>
        <v>1748035499263</v>
      </c>
    </row>
    <row r="7514" spans="1:11" ht="12.45">
      <c r="A7514" s="2" t="str">
        <f ca="1">IFERROR(__xludf.DUMMYFUNCTION("""COMPUTED_VALUE"""),"1748035544995")</f>
        <v>1748035544995</v>
      </c>
      <c r="B7514" s="2"/>
      <c r="C7514" s="2" t="str">
        <v>0</v>
      </c>
      <c r="D7514" s="2"/>
      <c r="F7514" s="2" t="str">
        <v>0</v>
      </c>
      <c r="I7514" s="3" t="str">
        <f ca="1">IFERROR(__xludf.DUMMYFUNCTION("""COMPUTED_VALUE"""),"Lê Quang Kim Xuân")</f>
        <v>Lê Quang Kim Xuân</v>
      </c>
      <c r="J7514" s="3" t="str">
        <f ca="1">IFERROR(__xludf.DUMMYFUNCTION("""COMPUTED_VALUE"""),"0337869382")</f>
        <v>0337869382</v>
      </c>
      <c r="K7514" s="2" t="str">
        <f ca="1">IFERROR(__xludf.DUMMYFUNCTION("""COMPUTED_VALUE"""),"1748035544995")</f>
        <v>1748035544995</v>
      </c>
    </row>
    <row r="7515" spans="1:11" ht="12.45">
      <c r="A7515" s="2" t="str">
        <f ca="1">IFERROR(__xludf.DUMMYFUNCTION("""COMPUTED_VALUE"""),"k gửi sách")</f>
        <v>k gửi sách</v>
      </c>
      <c r="B7515" s="2"/>
      <c r="C7515" s="2" t="str">
        <v>0</v>
      </c>
      <c r="D7515" s="2"/>
      <c r="F7515" s="2" t="str">
        <v>0</v>
      </c>
      <c r="I7515" s="3" t="str">
        <f ca="1">IFERROR(__xludf.DUMMYFUNCTION("""COMPUTED_VALUE"""),"Nguyễn Minh Tâm")</f>
        <v>Nguyễn Minh Tâm</v>
      </c>
      <c r="J7515" s="3" t="str">
        <f ca="1">IFERROR(__xludf.DUMMYFUNCTION("""COMPUTED_VALUE"""),"0395729030")</f>
        <v>0395729030</v>
      </c>
      <c r="K7515" s="2" t="str">
        <f ca="1">IFERROR(__xludf.DUMMYFUNCTION("""COMPUTED_VALUE"""),"k gửi sách")</f>
        <v>k gửi sách</v>
      </c>
    </row>
    <row r="7516" spans="1:11" ht="12.45">
      <c r="A7516" s="2" t="str">
        <f ca="1">IFERROR(__xludf.DUMMYFUNCTION("""COMPUTED_VALUE"""),"1748035577372")</f>
        <v>1748035577372</v>
      </c>
      <c r="B7516" s="2"/>
      <c r="C7516" s="2" t="str">
        <v>0</v>
      </c>
      <c r="D7516" s="2"/>
      <c r="F7516" s="2" t="str">
        <v>0</v>
      </c>
      <c r="I7516" s="3" t="str">
        <f ca="1">IFERROR(__xludf.DUMMYFUNCTION("""COMPUTED_VALUE"""),"Nguyễn Quỳnh Thy")</f>
        <v>Nguyễn Quỳnh Thy</v>
      </c>
      <c r="J7516" s="3" t="str">
        <f ca="1">IFERROR(__xludf.DUMMYFUNCTION("""COMPUTED_VALUE"""),"0906263435")</f>
        <v>0906263435</v>
      </c>
      <c r="K7516" s="2" t="str">
        <f ca="1">IFERROR(__xludf.DUMMYFUNCTION("""COMPUTED_VALUE"""),"1748035577372")</f>
        <v>1748035577372</v>
      </c>
    </row>
    <row r="7517" spans="1:11" ht="12.45">
      <c r="A7517" s="2" t="str">
        <f ca="1">IFERROR(__xludf.DUMMYFUNCTION("""COMPUTED_VALUE"""),"1748035609770")</f>
        <v>1748035609770</v>
      </c>
      <c r="B7517" s="2"/>
      <c r="C7517" s="2" t="str">
        <v>0</v>
      </c>
      <c r="D7517" s="2"/>
      <c r="F7517" s="2" t="str">
        <v>0</v>
      </c>
      <c r="I7517" s="3" t="str">
        <f ca="1">IFERROR(__xludf.DUMMYFUNCTION("""COMPUTED_VALUE"""),"Đặng Văn Phát")</f>
        <v>Đặng Văn Phát</v>
      </c>
      <c r="J7517" s="3" t="str">
        <f ca="1">IFERROR(__xludf.DUMMYFUNCTION("""COMPUTED_VALUE"""),"0824786039")</f>
        <v>0824786039</v>
      </c>
      <c r="K7517" s="2" t="str">
        <f ca="1">IFERROR(__xludf.DUMMYFUNCTION("""COMPUTED_VALUE"""),"1748035609770")</f>
        <v>1748035609770</v>
      </c>
    </row>
    <row r="7518" spans="1:11" ht="12.45">
      <c r="A7518" s="2" t="str">
        <f ca="1">IFERROR(__xludf.DUMMYFUNCTION("""COMPUTED_VALUE"""),"1748035637874")</f>
        <v>1748035637874</v>
      </c>
      <c r="B7518" s="2"/>
      <c r="C7518" s="2" t="str">
        <v>0</v>
      </c>
      <c r="D7518" s="2"/>
      <c r="F7518" s="2" t="str">
        <v>0</v>
      </c>
      <c r="I7518" s="3" t="str">
        <f ca="1">IFERROR(__xludf.DUMMYFUNCTION("""COMPUTED_VALUE"""),"Ngô Đan Nhi")</f>
        <v>Ngô Đan Nhi</v>
      </c>
      <c r="J7518" s="3" t="str">
        <f ca="1">IFERROR(__xludf.DUMMYFUNCTION("""COMPUTED_VALUE"""),"0943289207")</f>
        <v>0943289207</v>
      </c>
      <c r="K7518" s="2" t="str">
        <f ca="1">IFERROR(__xludf.DUMMYFUNCTION("""COMPUTED_VALUE"""),"1748035637874")</f>
        <v>1748035637874</v>
      </c>
    </row>
    <row r="7519" spans="1:11" ht="12.45">
      <c r="A7519" s="2" t="str">
        <f ca="1">IFERROR(__xludf.DUMMYFUNCTION("""COMPUTED_VALUE"""),"1748035672201")</f>
        <v>1748035672201</v>
      </c>
      <c r="B7519" s="2"/>
      <c r="C7519" s="2" t="str">
        <v>0</v>
      </c>
      <c r="D7519" s="2"/>
      <c r="F7519" s="2" t="str">
        <v>0</v>
      </c>
      <c r="I7519" s="3" t="str">
        <f ca="1">IFERROR(__xludf.DUMMYFUNCTION("""COMPUTED_VALUE"""),"Lê Thị Khánh Linh ")</f>
        <v xml:space="preserve">Lê Thị Khánh Linh </v>
      </c>
      <c r="J7519" s="3" t="str">
        <f ca="1">IFERROR(__xludf.DUMMYFUNCTION("""COMPUTED_VALUE"""),"0366527226")</f>
        <v>0366527226</v>
      </c>
      <c r="K7519" s="2" t="str">
        <f ca="1">IFERROR(__xludf.DUMMYFUNCTION("""COMPUTED_VALUE"""),"1748035672201")</f>
        <v>1748035672201</v>
      </c>
    </row>
    <row r="7520" spans="1:11" ht="12.45">
      <c r="A7520" s="2" t="str">
        <f ca="1">IFERROR(__xludf.DUMMYFUNCTION("""COMPUTED_VALUE"""),"1748035706550")</f>
        <v>1748035706550</v>
      </c>
      <c r="B7520" s="2"/>
      <c r="C7520" s="2" t="str">
        <v>0</v>
      </c>
      <c r="D7520" s="2"/>
      <c r="F7520" s="2" t="str">
        <v>0</v>
      </c>
      <c r="I7520" s="3" t="str">
        <f ca="1">IFERROR(__xludf.DUMMYFUNCTION("""COMPUTED_VALUE"""),"Nguyễn Thị Khánh Linh")</f>
        <v>Nguyễn Thị Khánh Linh</v>
      </c>
      <c r="J7520" s="3" t="str">
        <f ca="1">IFERROR(__xludf.DUMMYFUNCTION("""COMPUTED_VALUE"""),"0947495468")</f>
        <v>0947495468</v>
      </c>
      <c r="K7520" s="2" t="str">
        <f ca="1">IFERROR(__xludf.DUMMYFUNCTION("""COMPUTED_VALUE"""),"1748035706550")</f>
        <v>1748035706550</v>
      </c>
    </row>
    <row r="7521" spans="1:11" ht="12.45">
      <c r="A7521" s="2" t="str">
        <f ca="1">IFERROR(__xludf.DUMMYFUNCTION("""COMPUTED_VALUE"""),"1748035734556")</f>
        <v>1748035734556</v>
      </c>
      <c r="B7521" s="2"/>
      <c r="C7521" s="2" t="str">
        <v>0</v>
      </c>
      <c r="D7521" s="2"/>
      <c r="F7521" s="2" t="str">
        <v>0</v>
      </c>
      <c r="I7521" s="3" t="str">
        <f ca="1">IFERROR(__xludf.DUMMYFUNCTION("""COMPUTED_VALUE"""),"Phí Văn Linh")</f>
        <v>Phí Văn Linh</v>
      </c>
      <c r="J7521" s="3" t="str">
        <f ca="1">IFERROR(__xludf.DUMMYFUNCTION("""COMPUTED_VALUE"""),"0866930954")</f>
        <v>0866930954</v>
      </c>
      <c r="K7521" s="2" t="str">
        <f ca="1">IFERROR(__xludf.DUMMYFUNCTION("""COMPUTED_VALUE"""),"1748035734556")</f>
        <v>1748035734556</v>
      </c>
    </row>
    <row r="7522" spans="1:11" ht="12.45">
      <c r="A7522" s="2" t="str">
        <f ca="1">IFERROR(__xludf.DUMMYFUNCTION("""COMPUTED_VALUE"""),"1748035764943")</f>
        <v>1748035764943</v>
      </c>
      <c r="B7522" s="2"/>
      <c r="C7522" s="2" t="str">
        <v>0</v>
      </c>
      <c r="D7522" s="2"/>
      <c r="F7522" s="2" t="str">
        <v>0</v>
      </c>
      <c r="I7522" s="3" t="str">
        <f ca="1">IFERROR(__xludf.DUMMYFUNCTION("""COMPUTED_VALUE"""),"Nguyễn Thị Thảo Ly")</f>
        <v>Nguyễn Thị Thảo Ly</v>
      </c>
      <c r="J7522" s="3" t="str">
        <f ca="1">IFERROR(__xludf.DUMMYFUNCTION("""COMPUTED_VALUE"""),"0394504243")</f>
        <v>0394504243</v>
      </c>
      <c r="K7522" s="2" t="str">
        <f ca="1">IFERROR(__xludf.DUMMYFUNCTION("""COMPUTED_VALUE"""),"1748035764943")</f>
        <v>1748035764943</v>
      </c>
    </row>
    <row r="7523" spans="1:11" ht="12.45">
      <c r="A7523" s="2" t="str">
        <f ca="1">IFERROR(__xludf.DUMMYFUNCTION("""COMPUTED_VALUE"""),"1748035805827")</f>
        <v>1748035805827</v>
      </c>
      <c r="B7523" s="2"/>
      <c r="C7523" s="2" t="str">
        <v>0</v>
      </c>
      <c r="D7523" s="2"/>
      <c r="F7523" s="2" t="str">
        <v>0</v>
      </c>
      <c r="I7523" s="3" t="str">
        <f ca="1">IFERROR(__xludf.DUMMYFUNCTION("""COMPUTED_VALUE"""),"Hà Thị Cẩm Ly")</f>
        <v>Hà Thị Cẩm Ly</v>
      </c>
      <c r="J7523" s="3" t="str">
        <f ca="1">IFERROR(__xludf.DUMMYFUNCTION("""COMPUTED_VALUE"""),"0964359885")</f>
        <v>0964359885</v>
      </c>
      <c r="K7523" s="2" t="str">
        <f ca="1">IFERROR(__xludf.DUMMYFUNCTION("""COMPUTED_VALUE"""),"1748035805827")</f>
        <v>1748035805827</v>
      </c>
    </row>
    <row r="7524" spans="1:11" ht="12.45">
      <c r="A7524" s="2" t="str">
        <f ca="1">IFERROR(__xludf.DUMMYFUNCTION("""COMPUTED_VALUE"""),"1748035855205")</f>
        <v>1748035855205</v>
      </c>
      <c r="B7524" s="2"/>
      <c r="C7524" s="2" t="str">
        <v>0</v>
      </c>
      <c r="D7524" s="2"/>
      <c r="F7524" s="2" t="str">
        <v>0</v>
      </c>
      <c r="I7524" s="3" t="str">
        <f ca="1">IFERROR(__xludf.DUMMYFUNCTION("""COMPUTED_VALUE"""),"Tống Khánh Linh")</f>
        <v>Tống Khánh Linh</v>
      </c>
      <c r="J7524" s="3" t="str">
        <f ca="1">IFERROR(__xludf.DUMMYFUNCTION("""COMPUTED_VALUE"""),"0346556688")</f>
        <v>0346556688</v>
      </c>
      <c r="K7524" s="2" t="str">
        <f ca="1">IFERROR(__xludf.DUMMYFUNCTION("""COMPUTED_VALUE"""),"1748035855205")</f>
        <v>1748035855205</v>
      </c>
    </row>
    <row r="7525" spans="1:11" ht="12.45">
      <c r="A7525" s="2" t="str">
        <f ca="1">IFERROR(__xludf.DUMMYFUNCTION("""COMPUTED_VALUE"""),"1748035888812")</f>
        <v>1748035888812</v>
      </c>
      <c r="B7525" s="2"/>
      <c r="C7525" s="2" t="str">
        <v>0</v>
      </c>
      <c r="D7525" s="2"/>
      <c r="F7525" s="2" t="str">
        <v>0</v>
      </c>
      <c r="I7525" s="3" t="str">
        <f ca="1">IFERROR(__xludf.DUMMYFUNCTION("""COMPUTED_VALUE"""),"Nguyễn Thị Mai Sương ")</f>
        <v xml:space="preserve">Nguyễn Thị Mai Sương </v>
      </c>
      <c r="J7525" s="3" t="str">
        <f ca="1">IFERROR(__xludf.DUMMYFUNCTION("""COMPUTED_VALUE"""),"0964597618")</f>
        <v>0964597618</v>
      </c>
      <c r="K7525" s="2" t="str">
        <f ca="1">IFERROR(__xludf.DUMMYFUNCTION("""COMPUTED_VALUE"""),"1748035888812")</f>
        <v>1748035888812</v>
      </c>
    </row>
    <row r="7526" spans="1:11" ht="12.45">
      <c r="A7526" s="2" t="str">
        <f ca="1">IFERROR(__xludf.DUMMYFUNCTION("""COMPUTED_VALUE"""),"1748035926920")</f>
        <v>1748035926920</v>
      </c>
      <c r="B7526" s="2"/>
      <c r="C7526" s="2" t="str">
        <v>0</v>
      </c>
      <c r="D7526" s="2"/>
      <c r="F7526" s="2" t="str">
        <v>0</v>
      </c>
      <c r="I7526" s="3" t="str">
        <f ca="1">IFERROR(__xludf.DUMMYFUNCTION("""COMPUTED_VALUE"""),"Nguyễn Thu Hiền")</f>
        <v>Nguyễn Thu Hiền</v>
      </c>
      <c r="J7526" s="3" t="str">
        <f ca="1">IFERROR(__xludf.DUMMYFUNCTION("""COMPUTED_VALUE"""),"0973841935")</f>
        <v>0973841935</v>
      </c>
      <c r="K7526" s="2" t="str">
        <f ca="1">IFERROR(__xludf.DUMMYFUNCTION("""COMPUTED_VALUE"""),"1748035926920")</f>
        <v>1748035926920</v>
      </c>
    </row>
    <row r="7527" spans="1:11" ht="12.45">
      <c r="A7527" s="2" t="str">
        <f ca="1">IFERROR(__xludf.DUMMYFUNCTION("""COMPUTED_VALUE"""),"1748035951353")</f>
        <v>1748035951353</v>
      </c>
      <c r="B7527" s="2"/>
      <c r="C7527" s="2" t="str">
        <v>0</v>
      </c>
      <c r="D7527" s="2"/>
      <c r="F7527" s="2" t="str">
        <v>0</v>
      </c>
      <c r="I7527" s="3" t="str">
        <f ca="1">IFERROR(__xludf.DUMMYFUNCTION("""COMPUTED_VALUE"""),"Bùi Thị Thu Hiền")</f>
        <v>Bùi Thị Thu Hiền</v>
      </c>
      <c r="J7527" s="3" t="str">
        <f ca="1">IFERROR(__xludf.DUMMYFUNCTION("""COMPUTED_VALUE"""),"0988958014")</f>
        <v>0988958014</v>
      </c>
      <c r="K7527" s="2" t="str">
        <f ca="1">IFERROR(__xludf.DUMMYFUNCTION("""COMPUTED_VALUE"""),"1748035951353")</f>
        <v>1748035951353</v>
      </c>
    </row>
    <row r="7528" spans="1:11" ht="12.45">
      <c r="A7528" s="2" t="str">
        <f ca="1">IFERROR(__xludf.DUMMYFUNCTION("""COMPUTED_VALUE"""),"1748035977583")</f>
        <v>1748035977583</v>
      </c>
      <c r="B7528" s="2"/>
      <c r="C7528" s="2" t="str">
        <v>0</v>
      </c>
      <c r="D7528" s="2"/>
      <c r="F7528" s="2" t="str">
        <v>0</v>
      </c>
      <c r="I7528" s="3" t="str">
        <f ca="1">IFERROR(__xludf.DUMMYFUNCTION("""COMPUTED_VALUE"""),"Nguyễn Đức Dũng")</f>
        <v>Nguyễn Đức Dũng</v>
      </c>
      <c r="J7528" s="3" t="str">
        <f ca="1">IFERROR(__xludf.DUMMYFUNCTION("""COMPUTED_VALUE"""),"0398205962")</f>
        <v>0398205962</v>
      </c>
      <c r="K7528" s="2" t="str">
        <f ca="1">IFERROR(__xludf.DUMMYFUNCTION("""COMPUTED_VALUE"""),"1748035977583")</f>
        <v>1748035977583</v>
      </c>
    </row>
    <row r="7529" spans="1:11" ht="12.45">
      <c r="A7529" s="2" t="str">
        <f ca="1">IFERROR(__xludf.DUMMYFUNCTION("""COMPUTED_VALUE"""),"1748036007376")</f>
        <v>1748036007376</v>
      </c>
      <c r="B7529" s="2"/>
      <c r="C7529" s="2" t="str">
        <v>0</v>
      </c>
      <c r="D7529" s="2"/>
      <c r="F7529" s="2" t="str">
        <v>0</v>
      </c>
      <c r="I7529" s="3" t="str">
        <f ca="1">IFERROR(__xludf.DUMMYFUNCTION("""COMPUTED_VALUE"""),"Phạm Thanh Thảo ")</f>
        <v xml:space="preserve">Phạm Thanh Thảo </v>
      </c>
      <c r="J7529" s="3" t="str">
        <f ca="1">IFERROR(__xludf.DUMMYFUNCTION("""COMPUTED_VALUE"""),"0976855146")</f>
        <v>0976855146</v>
      </c>
      <c r="K7529" s="2" t="str">
        <f ca="1">IFERROR(__xludf.DUMMYFUNCTION("""COMPUTED_VALUE"""),"1748036007376")</f>
        <v>1748036007376</v>
      </c>
    </row>
    <row r="7530" spans="1:11" ht="12.45">
      <c r="A7530" s="2" t="str">
        <f ca="1">IFERROR(__xludf.DUMMYFUNCTION("""COMPUTED_VALUE"""),"1748036055274")</f>
        <v>1748036055274</v>
      </c>
      <c r="B7530" s="2"/>
      <c r="C7530" s="2" t="str">
        <v>0</v>
      </c>
      <c r="D7530" s="2"/>
      <c r="F7530" s="2" t="str">
        <v>0</v>
      </c>
      <c r="I7530" s="3" t="str">
        <f ca="1">IFERROR(__xludf.DUMMYFUNCTION("""COMPUTED_VALUE"""),"Lê Thị Nhung")</f>
        <v>Lê Thị Nhung</v>
      </c>
      <c r="J7530" s="3" t="str">
        <f ca="1">IFERROR(__xludf.DUMMYFUNCTION("""COMPUTED_VALUE"""),"0329573920")</f>
        <v>0329573920</v>
      </c>
      <c r="K7530" s="2" t="str">
        <f ca="1">IFERROR(__xludf.DUMMYFUNCTION("""COMPUTED_VALUE"""),"1748036055274")</f>
        <v>1748036055274</v>
      </c>
    </row>
    <row r="7531" spans="1:11" ht="12.45">
      <c r="A7531" s="2" t="str">
        <f ca="1">IFERROR(__xludf.DUMMYFUNCTION("""COMPUTED_VALUE"""),"1748036084381")</f>
        <v>1748036084381</v>
      </c>
      <c r="B7531" s="2"/>
      <c r="C7531" s="2" t="str">
        <v>0</v>
      </c>
      <c r="D7531" s="2"/>
      <c r="F7531" s="2" t="str">
        <v>0</v>
      </c>
      <c r="I7531" s="3" t="str">
        <f ca="1">IFERROR(__xludf.DUMMYFUNCTION("""COMPUTED_VALUE"""),"lê nguyễn khánh ngọc")</f>
        <v>lê nguyễn khánh ngọc</v>
      </c>
      <c r="J7531" s="3" t="str">
        <f ca="1">IFERROR(__xludf.DUMMYFUNCTION("""COMPUTED_VALUE"""),"0975732881")</f>
        <v>0975732881</v>
      </c>
      <c r="K7531" s="2" t="str">
        <f ca="1">IFERROR(__xludf.DUMMYFUNCTION("""COMPUTED_VALUE"""),"1748036084381")</f>
        <v>1748036084381</v>
      </c>
    </row>
    <row r="7532" spans="1:11" ht="12.45">
      <c r="A7532" s="2" t="str">
        <f ca="1">IFERROR(__xludf.DUMMYFUNCTION("""COMPUTED_VALUE"""),"1748036121102")</f>
        <v>1748036121102</v>
      </c>
      <c r="B7532" s="2"/>
      <c r="C7532" s="2" t="str">
        <v>0</v>
      </c>
      <c r="D7532" s="2"/>
      <c r="F7532" s="2" t="str">
        <v>0</v>
      </c>
      <c r="I7532" s="3" t="str">
        <f ca="1">IFERROR(__xludf.DUMMYFUNCTION("""COMPUTED_VALUE"""),"Nguyễn Hoàng Huy")</f>
        <v>Nguyễn Hoàng Huy</v>
      </c>
      <c r="J7532" s="3" t="str">
        <f ca="1">IFERROR(__xludf.DUMMYFUNCTION("""COMPUTED_VALUE"""),"0816818356")</f>
        <v>0816818356</v>
      </c>
      <c r="K7532" s="2" t="str">
        <f ca="1">IFERROR(__xludf.DUMMYFUNCTION("""COMPUTED_VALUE"""),"1748036121102")</f>
        <v>1748036121102</v>
      </c>
    </row>
    <row r="7533" spans="1:11" ht="12.45">
      <c r="A7533" s="2" t="str">
        <f ca="1">IFERROR(__xludf.DUMMYFUNCTION("""COMPUTED_VALUE"""),"1748036147850")</f>
        <v>1748036147850</v>
      </c>
      <c r="B7533" s="2"/>
      <c r="C7533" s="2" t="str">
        <v>0</v>
      </c>
      <c r="D7533" s="2"/>
      <c r="F7533" s="2" t="str">
        <v>0</v>
      </c>
      <c r="I7533" s="3" t="str">
        <f ca="1">IFERROR(__xludf.DUMMYFUNCTION("""COMPUTED_VALUE"""),"NGUYỄN LÊ CƯỜNG")</f>
        <v>NGUYỄN LÊ CƯỜNG</v>
      </c>
      <c r="J7533" s="3" t="str">
        <f ca="1">IFERROR(__xludf.DUMMYFUNCTION("""COMPUTED_VALUE"""),"0973118660")</f>
        <v>0973118660</v>
      </c>
      <c r="K7533" s="2" t="str">
        <f ca="1">IFERROR(__xludf.DUMMYFUNCTION("""COMPUTED_VALUE"""),"1748036147850")</f>
        <v>1748036147850</v>
      </c>
    </row>
    <row r="7534" spans="1:11" ht="12.45">
      <c r="A7534" s="2" t="str">
        <f ca="1">IFERROR(__xludf.DUMMYFUNCTION("""COMPUTED_VALUE"""),"1748036182361")</f>
        <v>1748036182361</v>
      </c>
      <c r="B7534" s="2"/>
      <c r="C7534" s="2" t="str">
        <v>0</v>
      </c>
      <c r="D7534" s="2"/>
      <c r="F7534" s="2" t="str">
        <v>0</v>
      </c>
      <c r="I7534" s="3" t="str">
        <f ca="1">IFERROR(__xludf.DUMMYFUNCTION("""COMPUTED_VALUE"""),"Vũ Nguyễn Tùng Lâm")</f>
        <v>Vũ Nguyễn Tùng Lâm</v>
      </c>
      <c r="J7534" s="3" t="str">
        <f ca="1">IFERROR(__xludf.DUMMYFUNCTION("""COMPUTED_VALUE"""),"0812213088")</f>
        <v>0812213088</v>
      </c>
      <c r="K7534" s="2" t="str">
        <f ca="1">IFERROR(__xludf.DUMMYFUNCTION("""COMPUTED_VALUE"""),"1748036182361")</f>
        <v>1748036182361</v>
      </c>
    </row>
    <row r="7535" spans="1:11" ht="12.45">
      <c r="A7535" s="2" t="str">
        <f ca="1">IFERROR(__xludf.DUMMYFUNCTION("""COMPUTED_VALUE"""),"1748036223440")</f>
        <v>1748036223440</v>
      </c>
      <c r="B7535" s="2"/>
      <c r="C7535" s="2" t="str">
        <v>0</v>
      </c>
      <c r="D7535" s="2"/>
      <c r="F7535" s="2" t="str">
        <v>0</v>
      </c>
      <c r="I7535" s="3" t="str">
        <f ca="1">IFERROR(__xludf.DUMMYFUNCTION("""COMPUTED_VALUE"""),"Nguyễn Cao Bảo Vy")</f>
        <v>Nguyễn Cao Bảo Vy</v>
      </c>
      <c r="J7535" s="3" t="str">
        <f ca="1">IFERROR(__xludf.DUMMYFUNCTION("""COMPUTED_VALUE"""),"0705203468")</f>
        <v>0705203468</v>
      </c>
      <c r="K7535" s="2" t="str">
        <f ca="1">IFERROR(__xludf.DUMMYFUNCTION("""COMPUTED_VALUE"""),"1748036223440")</f>
        <v>1748036223440</v>
      </c>
    </row>
    <row r="7536" spans="1:11" ht="12.45">
      <c r="A7536" s="2" t="str">
        <f ca="1">IFERROR(__xludf.DUMMYFUNCTION("""COMPUTED_VALUE"""),"1748036257838")</f>
        <v>1748036257838</v>
      </c>
      <c r="B7536" s="2"/>
      <c r="C7536" s="2" t="str">
        <v>0</v>
      </c>
      <c r="D7536" s="2"/>
      <c r="F7536" s="2" t="str">
        <v>0</v>
      </c>
      <c r="I7536" s="3" t="str">
        <f ca="1">IFERROR(__xludf.DUMMYFUNCTION("""COMPUTED_VALUE"""),"Lộ Não Tuyết Lê")</f>
        <v>Lộ Não Tuyết Lê</v>
      </c>
      <c r="J7536" s="3" t="str">
        <f ca="1">IFERROR(__xludf.DUMMYFUNCTION("""COMPUTED_VALUE"""),"0817147877")</f>
        <v>0817147877</v>
      </c>
      <c r="K7536" s="2" t="str">
        <f ca="1">IFERROR(__xludf.DUMMYFUNCTION("""COMPUTED_VALUE"""),"1748036257838")</f>
        <v>1748036257838</v>
      </c>
    </row>
    <row r="7537" spans="1:11" ht="12.45">
      <c r="A7537" s="2"/>
      <c r="B7537" s="2"/>
      <c r="C7537" s="2" t="str">
        <v>0</v>
      </c>
      <c r="D7537" s="2"/>
      <c r="F7537" s="2" t="str">
        <v>0</v>
      </c>
      <c r="I7537" s="3" t="str">
        <f ca="1">IFERROR(__xludf.DUMMYFUNCTION("""COMPUTED_VALUE"""),"Nguyễn Trịnh Ánh Hằng")</f>
        <v>Nguyễn Trịnh Ánh Hằng</v>
      </c>
      <c r="J7537" s="3" t="str">
        <f ca="1">IFERROR(__xludf.DUMMYFUNCTION("""COMPUTED_VALUE"""),"0367734987")</f>
        <v>0367734987</v>
      </c>
      <c r="K7537" s="2"/>
    </row>
    <row r="7538" spans="1:11" ht="12.45">
      <c r="A7538" s="2" t="str">
        <f ca="1">IFERROR(__xludf.DUMMYFUNCTION("""COMPUTED_VALUE"""),"1748036296951")</f>
        <v>1748036296951</v>
      </c>
      <c r="B7538" s="2"/>
      <c r="C7538" s="2" t="str">
        <v>0</v>
      </c>
      <c r="D7538" s="2"/>
      <c r="F7538" s="2" t="str">
        <v>0</v>
      </c>
      <c r="I7538" s="3" t="str">
        <f ca="1">IFERROR(__xludf.DUMMYFUNCTION("""COMPUTED_VALUE"""),"Nguyễn Trúc Lam")</f>
        <v>Nguyễn Trúc Lam</v>
      </c>
      <c r="J7538" s="3" t="str">
        <f ca="1">IFERROR(__xludf.DUMMYFUNCTION("""COMPUTED_VALUE"""),"0896481163")</f>
        <v>0896481163</v>
      </c>
      <c r="K7538" s="2" t="str">
        <f ca="1">IFERROR(__xludf.DUMMYFUNCTION("""COMPUTED_VALUE"""),"1748036296951")</f>
        <v>1748036296951</v>
      </c>
    </row>
    <row r="7539" spans="1:11" ht="12.45">
      <c r="A7539" s="2" t="str">
        <f ca="1">IFERROR(__xludf.DUMMYFUNCTION("""COMPUTED_VALUE"""),"1748036343688")</f>
        <v>1748036343688</v>
      </c>
      <c r="B7539" s="2"/>
      <c r="C7539" s="2" t="str">
        <v>0</v>
      </c>
      <c r="D7539" s="2"/>
      <c r="F7539" s="2" t="str">
        <v>0</v>
      </c>
      <c r="I7539" s="3" t="str">
        <f ca="1">IFERROR(__xludf.DUMMYFUNCTION("""COMPUTED_VALUE"""),"Nguyễn Phan Ánh Nguyệt")</f>
        <v>Nguyễn Phan Ánh Nguyệt</v>
      </c>
      <c r="J7539" s="3" t="str">
        <f ca="1">IFERROR(__xludf.DUMMYFUNCTION("""COMPUTED_VALUE"""),"0394599707")</f>
        <v>0394599707</v>
      </c>
      <c r="K7539" s="2" t="str">
        <f ca="1">IFERROR(__xludf.DUMMYFUNCTION("""COMPUTED_VALUE"""),"1748036343688")</f>
        <v>1748036343688</v>
      </c>
    </row>
    <row r="7540" spans="1:11" ht="12.45">
      <c r="A7540" s="2" t="str">
        <f ca="1">IFERROR(__xludf.DUMMYFUNCTION("""COMPUTED_VALUE"""),"1748036393968")</f>
        <v>1748036393968</v>
      </c>
      <c r="B7540" s="2"/>
      <c r="C7540" s="2" t="str">
        <v>0</v>
      </c>
      <c r="D7540" s="2"/>
      <c r="F7540" s="2" t="str">
        <v>0</v>
      </c>
      <c r="I7540" s="3" t="str">
        <f ca="1">IFERROR(__xludf.DUMMYFUNCTION("""COMPUTED_VALUE"""),"Trương Ngọc Hân")</f>
        <v>Trương Ngọc Hân</v>
      </c>
      <c r="J7540" s="3" t="str">
        <f ca="1">IFERROR(__xludf.DUMMYFUNCTION("""COMPUTED_VALUE"""),"0785640868")</f>
        <v>0785640868</v>
      </c>
      <c r="K7540" s="2" t="str">
        <f ca="1">IFERROR(__xludf.DUMMYFUNCTION("""COMPUTED_VALUE"""),"1748036393968")</f>
        <v>1748036393968</v>
      </c>
    </row>
    <row r="7541" spans="1:11" ht="12.45">
      <c r="A7541" s="2" t="str">
        <f ca="1">IFERROR(__xludf.DUMMYFUNCTION("""COMPUTED_VALUE"""),"1748036437608")</f>
        <v>1748036437608</v>
      </c>
      <c r="B7541" s="2"/>
      <c r="C7541" s="2" t="str">
        <v>0</v>
      </c>
      <c r="D7541" s="2"/>
      <c r="F7541" s="2" t="str">
        <v>0</v>
      </c>
      <c r="I7541" s="3" t="str">
        <f ca="1">IFERROR(__xludf.DUMMYFUNCTION("""COMPUTED_VALUE"""),"Nguyễn Thị Ngọc Hà ")</f>
        <v xml:space="preserve">Nguyễn Thị Ngọc Hà </v>
      </c>
      <c r="J7541" s="3" t="str">
        <f ca="1">IFERROR(__xludf.DUMMYFUNCTION("""COMPUTED_VALUE"""),"0916828517")</f>
        <v>0916828517</v>
      </c>
      <c r="K7541" s="2" t="str">
        <f ca="1">IFERROR(__xludf.DUMMYFUNCTION("""COMPUTED_VALUE"""),"1748036437608")</f>
        <v>1748036437608</v>
      </c>
    </row>
    <row r="7542" spans="1:11" ht="12.45">
      <c r="A7542" s="2" t="str">
        <f ca="1">IFERROR(__xludf.DUMMYFUNCTION("""COMPUTED_VALUE"""),"k gửi sách")</f>
        <v>k gửi sách</v>
      </c>
      <c r="B7542" s="2"/>
      <c r="C7542" s="2" t="str">
        <v>0</v>
      </c>
      <c r="D7542" s="2"/>
      <c r="F7542" s="2" t="str">
        <v>0</v>
      </c>
      <c r="I7542" s="3" t="str">
        <f ca="1">IFERROR(__xludf.DUMMYFUNCTION("""COMPUTED_VALUE"""),"Ma Ái Hằng ")</f>
        <v xml:space="preserve">Ma Ái Hằng </v>
      </c>
      <c r="J7542" s="3" t="str">
        <f ca="1">IFERROR(__xludf.DUMMYFUNCTION("""COMPUTED_VALUE"""),"0982297833")</f>
        <v>0982297833</v>
      </c>
      <c r="K7542" s="2" t="str">
        <f ca="1">IFERROR(__xludf.DUMMYFUNCTION("""COMPUTED_VALUE"""),"k gửi sách")</f>
        <v>k gửi sách</v>
      </c>
    </row>
    <row r="7543" spans="1:11" ht="12.45">
      <c r="A7543" s="2" t="str">
        <f ca="1">IFERROR(__xludf.DUMMYFUNCTION("""COMPUTED_VALUE"""),"1748036469616")</f>
        <v>1748036469616</v>
      </c>
      <c r="B7543" s="2"/>
      <c r="C7543" s="2" t="str">
        <v>0</v>
      </c>
      <c r="D7543" s="2"/>
      <c r="F7543" s="2" t="str">
        <v>0</v>
      </c>
      <c r="I7543" s="3" t="str">
        <f ca="1">IFERROR(__xludf.DUMMYFUNCTION("""COMPUTED_VALUE"""),"Bùi Hân")</f>
        <v>Bùi Hân</v>
      </c>
      <c r="J7543" s="3" t="str">
        <f ca="1">IFERROR(__xludf.DUMMYFUNCTION("""COMPUTED_VALUE"""),"0869011329")</f>
        <v>0869011329</v>
      </c>
      <c r="K7543" s="2" t="str">
        <f ca="1">IFERROR(__xludf.DUMMYFUNCTION("""COMPUTED_VALUE"""),"1748036469616")</f>
        <v>1748036469616</v>
      </c>
    </row>
    <row r="7544" spans="1:11" ht="12.45">
      <c r="A7544" s="2" t="str">
        <f ca="1">IFERROR(__xludf.DUMMYFUNCTION("""COMPUTED_VALUE"""),"1748036502463")</f>
        <v>1748036502463</v>
      </c>
      <c r="B7544" s="2"/>
      <c r="C7544" s="2" t="str">
        <v>0</v>
      </c>
      <c r="D7544" s="2"/>
      <c r="F7544" s="2" t="str">
        <v>0</v>
      </c>
      <c r="I7544" s="3" t="str">
        <f ca="1">IFERROR(__xludf.DUMMYFUNCTION("""COMPUTED_VALUE"""),"Vũ Minh Nhật")</f>
        <v>Vũ Minh Nhật</v>
      </c>
      <c r="J7544" s="3" t="str">
        <f ca="1">IFERROR(__xludf.DUMMYFUNCTION("""COMPUTED_VALUE"""),"0783270775")</f>
        <v>0783270775</v>
      </c>
      <c r="K7544" s="2" t="str">
        <f ca="1">IFERROR(__xludf.DUMMYFUNCTION("""COMPUTED_VALUE"""),"1748036502463")</f>
        <v>1748036502463</v>
      </c>
    </row>
    <row r="7545" spans="1:11" ht="12.45">
      <c r="A7545" s="2" t="str">
        <f ca="1">IFERROR(__xludf.DUMMYFUNCTION("""COMPUTED_VALUE"""),"1748036534644")</f>
        <v>1748036534644</v>
      </c>
      <c r="B7545" s="2"/>
      <c r="C7545" s="2" t="str">
        <v>0</v>
      </c>
      <c r="D7545" s="2"/>
      <c r="F7545" s="2" t="str">
        <v>0</v>
      </c>
      <c r="I7545" s="3" t="str">
        <f ca="1">IFERROR(__xludf.DUMMYFUNCTION("""COMPUTED_VALUE"""),"Phạm Nguyễn Bảo Hân")</f>
        <v>Phạm Nguyễn Bảo Hân</v>
      </c>
      <c r="J7545" s="3" t="str">
        <f ca="1">IFERROR(__xludf.DUMMYFUNCTION("""COMPUTED_VALUE"""),"0901386926")</f>
        <v>0901386926</v>
      </c>
      <c r="K7545" s="2" t="str">
        <f ca="1">IFERROR(__xludf.DUMMYFUNCTION("""COMPUTED_VALUE"""),"1748036534644")</f>
        <v>1748036534644</v>
      </c>
    </row>
    <row r="7546" spans="1:11" ht="12.45">
      <c r="A7546" s="2" t="str">
        <f ca="1">IFERROR(__xludf.DUMMYFUNCTION("""COMPUTED_VALUE"""),"1748036564921")</f>
        <v>1748036564921</v>
      </c>
      <c r="B7546" s="2"/>
      <c r="C7546" s="2" t="str">
        <v>0</v>
      </c>
      <c r="D7546" s="2"/>
      <c r="F7546" s="2" t="str">
        <v>0</v>
      </c>
      <c r="I7546" s="3" t="str">
        <f ca="1">IFERROR(__xludf.DUMMYFUNCTION("""COMPUTED_VALUE"""),"Dương Mai Trân")</f>
        <v>Dương Mai Trân</v>
      </c>
      <c r="J7546" s="3" t="str">
        <f ca="1">IFERROR(__xludf.DUMMYFUNCTION("""COMPUTED_VALUE"""),"0327122455")</f>
        <v>0327122455</v>
      </c>
      <c r="K7546" s="2" t="str">
        <f ca="1">IFERROR(__xludf.DUMMYFUNCTION("""COMPUTED_VALUE"""),"1748036564921")</f>
        <v>1748036564921</v>
      </c>
    </row>
    <row r="7547" spans="1:11" ht="12.45">
      <c r="A7547" s="2" t="str">
        <f ca="1">IFERROR(__xludf.DUMMYFUNCTION("""COMPUTED_VALUE"""),"1748036597523")</f>
        <v>1748036597523</v>
      </c>
      <c r="B7547" s="2"/>
      <c r="C7547" s="2" t="str">
        <v>0</v>
      </c>
      <c r="D7547" s="2"/>
      <c r="F7547" s="2" t="str">
        <v>0</v>
      </c>
      <c r="I7547" s="3" t="str">
        <f ca="1">IFERROR(__xludf.DUMMYFUNCTION("""COMPUTED_VALUE"""),"Trương Hoàng Xuân Thy")</f>
        <v>Trương Hoàng Xuân Thy</v>
      </c>
      <c r="J7547" s="3" t="str">
        <f ca="1">IFERROR(__xludf.DUMMYFUNCTION("""COMPUTED_VALUE"""),"0828246357")</f>
        <v>0828246357</v>
      </c>
      <c r="K7547" s="2" t="str">
        <f ca="1">IFERROR(__xludf.DUMMYFUNCTION("""COMPUTED_VALUE"""),"1748036597523")</f>
        <v>1748036597523</v>
      </c>
    </row>
    <row r="7548" spans="1:11" ht="12.45">
      <c r="A7548" s="2" t="str">
        <f ca="1">IFERROR(__xludf.DUMMYFUNCTION("""COMPUTED_VALUE"""),"1748036637321")</f>
        <v>1748036637321</v>
      </c>
      <c r="B7548" s="2"/>
      <c r="C7548" s="2" t="str">
        <v>0</v>
      </c>
      <c r="D7548" s="2"/>
      <c r="F7548" s="2" t="str">
        <v>0</v>
      </c>
      <c r="I7548" s="3" t="str">
        <f ca="1">IFERROR(__xludf.DUMMYFUNCTION("""COMPUTED_VALUE"""),"Phùng Thị Ngân ")</f>
        <v xml:space="preserve">Phùng Thị Ngân </v>
      </c>
      <c r="J7548" s="3" t="str">
        <f ca="1">IFERROR(__xludf.DUMMYFUNCTION("""COMPUTED_VALUE"""),"0982630159")</f>
        <v>0982630159</v>
      </c>
      <c r="K7548" s="2" t="str">
        <f ca="1">IFERROR(__xludf.DUMMYFUNCTION("""COMPUTED_VALUE"""),"1748036637321")</f>
        <v>1748036637321</v>
      </c>
    </row>
    <row r="7549" spans="1:11" ht="12.45">
      <c r="A7549" s="2" t="str">
        <f ca="1">IFERROR(__xludf.DUMMYFUNCTION("""COMPUTED_VALUE"""),"1748036683176")</f>
        <v>1748036683176</v>
      </c>
      <c r="B7549" s="2"/>
      <c r="C7549" s="2" t="str">
        <v>0</v>
      </c>
      <c r="D7549" s="2"/>
      <c r="F7549" s="2" t="str">
        <v>0</v>
      </c>
      <c r="I7549" s="3" t="str">
        <f ca="1">IFERROR(__xludf.DUMMYFUNCTION("""COMPUTED_VALUE"""),"Nguyễn Thị Anh Thư")</f>
        <v>Nguyễn Thị Anh Thư</v>
      </c>
      <c r="J7549" s="3" t="str">
        <f ca="1">IFERROR(__xludf.DUMMYFUNCTION("""COMPUTED_VALUE"""),"0845846357")</f>
        <v>0845846357</v>
      </c>
      <c r="K7549" s="2" t="str">
        <f ca="1">IFERROR(__xludf.DUMMYFUNCTION("""COMPUTED_VALUE"""),"1748036683176")</f>
        <v>1748036683176</v>
      </c>
    </row>
    <row r="7550" spans="1:11" ht="12.45">
      <c r="A7550" s="2" t="str">
        <f ca="1">IFERROR(__xludf.DUMMYFUNCTION("""COMPUTED_VALUE"""),"1748036732034")</f>
        <v>1748036732034</v>
      </c>
      <c r="B7550" s="2"/>
      <c r="C7550" s="2" t="str">
        <v>0</v>
      </c>
      <c r="D7550" s="2"/>
      <c r="F7550" s="2" t="str">
        <v>0</v>
      </c>
      <c r="I7550" s="3" t="str">
        <f ca="1">IFERROR(__xludf.DUMMYFUNCTION("""COMPUTED_VALUE"""),"Đỗ Quang Minh")</f>
        <v>Đỗ Quang Minh</v>
      </c>
      <c r="J7550" s="3" t="str">
        <f ca="1">IFERROR(__xludf.DUMMYFUNCTION("""COMPUTED_VALUE"""),"0944509100")</f>
        <v>0944509100</v>
      </c>
      <c r="K7550" s="2" t="str">
        <f ca="1">IFERROR(__xludf.DUMMYFUNCTION("""COMPUTED_VALUE"""),"1748036732034")</f>
        <v>1748036732034</v>
      </c>
    </row>
    <row r="7551" spans="1:11" ht="12.45">
      <c r="A7551" s="2" t="str">
        <f ca="1">IFERROR(__xludf.DUMMYFUNCTION("""COMPUTED_VALUE"""),"1748036763898")</f>
        <v>1748036763898</v>
      </c>
      <c r="B7551" s="2"/>
      <c r="C7551" s="2" t="str">
        <v>0</v>
      </c>
      <c r="D7551" s="2"/>
      <c r="F7551" s="2" t="str">
        <v>0</v>
      </c>
      <c r="I7551" s="3" t="str">
        <f ca="1">IFERROR(__xludf.DUMMYFUNCTION("""COMPUTED_VALUE"""),"Bùi Thị Khánh Ly")</f>
        <v>Bùi Thị Khánh Ly</v>
      </c>
      <c r="J7551" s="3" t="str">
        <f ca="1">IFERROR(__xludf.DUMMYFUNCTION("""COMPUTED_VALUE"""),"0382631232")</f>
        <v>0382631232</v>
      </c>
      <c r="K7551" s="2" t="str">
        <f ca="1">IFERROR(__xludf.DUMMYFUNCTION("""COMPUTED_VALUE"""),"1748036763898")</f>
        <v>1748036763898</v>
      </c>
    </row>
    <row r="7552" spans="1:11" ht="12.45">
      <c r="A7552" s="2" t="str">
        <f ca="1">IFERROR(__xludf.DUMMYFUNCTION("""COMPUTED_VALUE"""),"1748036799544")</f>
        <v>1748036799544</v>
      </c>
      <c r="B7552" s="2"/>
      <c r="C7552" s="2" t="str">
        <v>0</v>
      </c>
      <c r="D7552" s="2"/>
      <c r="F7552" s="2" t="str">
        <v>0</v>
      </c>
      <c r="I7552" s="3" t="str">
        <f ca="1">IFERROR(__xludf.DUMMYFUNCTION("""COMPUTED_VALUE"""),"Nguyễn Thị Việt Thảo ")</f>
        <v xml:space="preserve">Nguyễn Thị Việt Thảo </v>
      </c>
      <c r="J7552" s="3" t="str">
        <f ca="1">IFERROR(__xludf.DUMMYFUNCTION("""COMPUTED_VALUE"""),"0866928299")</f>
        <v>0866928299</v>
      </c>
      <c r="K7552" s="2" t="str">
        <f ca="1">IFERROR(__xludf.DUMMYFUNCTION("""COMPUTED_VALUE"""),"1748036799544")</f>
        <v>1748036799544</v>
      </c>
    </row>
    <row r="7553" spans="1:11" ht="12.45">
      <c r="A7553" s="2" t="str">
        <f ca="1">IFERROR(__xludf.DUMMYFUNCTION("""COMPUTED_VALUE"""),"1748036824373")</f>
        <v>1748036824373</v>
      </c>
      <c r="B7553" s="2"/>
      <c r="C7553" s="2" t="str">
        <v>0</v>
      </c>
      <c r="D7553" s="2"/>
      <c r="F7553" s="2" t="str">
        <v>0</v>
      </c>
      <c r="I7553" s="3" t="str">
        <f ca="1">IFERROR(__xludf.DUMMYFUNCTION("""COMPUTED_VALUE"""),"Vũ Nguyễn trà mi ")</f>
        <v xml:space="preserve">Vũ Nguyễn trà mi </v>
      </c>
      <c r="J7553" s="3" t="str">
        <f ca="1">IFERROR(__xludf.DUMMYFUNCTION("""COMPUTED_VALUE"""),"0363991923")</f>
        <v>0363991923</v>
      </c>
      <c r="K7553" s="2" t="str">
        <f ca="1">IFERROR(__xludf.DUMMYFUNCTION("""COMPUTED_VALUE"""),"1748036824373")</f>
        <v>1748036824373</v>
      </c>
    </row>
    <row r="7554" spans="1:11" ht="12.45">
      <c r="A7554" s="2" t="str">
        <f ca="1">IFERROR(__xludf.DUMMYFUNCTION("""COMPUTED_VALUE"""),"1748036857727")</f>
        <v>1748036857727</v>
      </c>
      <c r="B7554" s="2"/>
      <c r="C7554" s="2" t="str">
        <v>0</v>
      </c>
      <c r="D7554" s="2"/>
      <c r="F7554" s="2" t="str">
        <v>0</v>
      </c>
      <c r="I7554" s="3" t="str">
        <f ca="1">IFERROR(__xludf.DUMMYFUNCTION("""COMPUTED_VALUE"""),"Đàm Thị Lệ Hằng")</f>
        <v>Đàm Thị Lệ Hằng</v>
      </c>
      <c r="J7554" s="3" t="str">
        <f ca="1">IFERROR(__xludf.DUMMYFUNCTION("""COMPUTED_VALUE"""),"0843166259")</f>
        <v>0843166259</v>
      </c>
      <c r="K7554" s="2" t="str">
        <f ca="1">IFERROR(__xludf.DUMMYFUNCTION("""COMPUTED_VALUE"""),"1748036857727")</f>
        <v>1748036857727</v>
      </c>
    </row>
    <row r="7555" spans="1:11" ht="12.45">
      <c r="A7555" s="2" t="str">
        <f ca="1">IFERROR(__xludf.DUMMYFUNCTION("""COMPUTED_VALUE"""),"1748036891893")</f>
        <v>1748036891893</v>
      </c>
      <c r="B7555" s="2"/>
      <c r="C7555" s="2" t="str">
        <v>0</v>
      </c>
      <c r="D7555" s="2"/>
      <c r="F7555" s="2" t="str">
        <v>0</v>
      </c>
      <c r="I7555" s="3" t="str">
        <f ca="1">IFERROR(__xludf.DUMMYFUNCTION("""COMPUTED_VALUE"""),"Hồ Lý Phúc Hạo")</f>
        <v>Hồ Lý Phúc Hạo</v>
      </c>
      <c r="J7555" s="3" t="str">
        <f ca="1">IFERROR(__xludf.DUMMYFUNCTION("""COMPUTED_VALUE"""),"0947077648")</f>
        <v>0947077648</v>
      </c>
      <c r="K7555" s="2" t="str">
        <f ca="1">IFERROR(__xludf.DUMMYFUNCTION("""COMPUTED_VALUE"""),"1748036891893")</f>
        <v>1748036891893</v>
      </c>
    </row>
    <row r="7556" spans="1:11" ht="12.45">
      <c r="A7556" s="2" t="str">
        <f ca="1">IFERROR(__xludf.DUMMYFUNCTION("""COMPUTED_VALUE"""),"1748036926170")</f>
        <v>1748036926170</v>
      </c>
      <c r="B7556" s="2"/>
      <c r="C7556" s="2" t="str">
        <v>0</v>
      </c>
      <c r="D7556" s="2"/>
      <c r="F7556" s="2" t="str">
        <v>0</v>
      </c>
      <c r="I7556" s="3" t="str">
        <f ca="1">IFERROR(__xludf.DUMMYFUNCTION("""COMPUTED_VALUE"""),"Hà Đình Tin")</f>
        <v>Hà Đình Tin</v>
      </c>
      <c r="J7556" s="3" t="str">
        <f ca="1">IFERROR(__xludf.DUMMYFUNCTION("""COMPUTED_VALUE"""),"0964810344")</f>
        <v>0964810344</v>
      </c>
      <c r="K7556" s="2" t="str">
        <f ca="1">IFERROR(__xludf.DUMMYFUNCTION("""COMPUTED_VALUE"""),"1748036926170")</f>
        <v>1748036926170</v>
      </c>
    </row>
    <row r="7557" spans="1:11" ht="12.45">
      <c r="A7557" s="2" t="str">
        <f ca="1">IFERROR(__xludf.DUMMYFUNCTION("""COMPUTED_VALUE"""),"1748036963610")</f>
        <v>1748036963610</v>
      </c>
      <c r="B7557" s="2"/>
      <c r="C7557" s="2" t="str">
        <v>0</v>
      </c>
      <c r="D7557" s="2"/>
      <c r="F7557" s="2" t="str">
        <v>0</v>
      </c>
      <c r="I7557" s="3" t="str">
        <f ca="1">IFERROR(__xludf.DUMMYFUNCTION("""COMPUTED_VALUE"""),"Nguyễn Thị Nguyệt ")</f>
        <v xml:space="preserve">Nguyễn Thị Nguyệt </v>
      </c>
      <c r="J7557" s="3" t="str">
        <f ca="1">IFERROR(__xludf.DUMMYFUNCTION("""COMPUTED_VALUE"""),"0342126396")</f>
        <v>0342126396</v>
      </c>
      <c r="K7557" s="2" t="str">
        <f ca="1">IFERROR(__xludf.DUMMYFUNCTION("""COMPUTED_VALUE"""),"1748036963610")</f>
        <v>1748036963610</v>
      </c>
    </row>
    <row r="7558" spans="1:11" ht="12.45">
      <c r="A7558" s="2" t="str">
        <f ca="1">IFERROR(__xludf.DUMMYFUNCTION("""COMPUTED_VALUE"""),"1748036998690")</f>
        <v>1748036998690</v>
      </c>
      <c r="B7558" s="2"/>
      <c r="C7558" s="2" t="str">
        <v>0</v>
      </c>
      <c r="D7558" s="2"/>
      <c r="F7558" s="2" t="str">
        <v>0</v>
      </c>
      <c r="I7558" s="3" t="str">
        <f ca="1">IFERROR(__xludf.DUMMYFUNCTION("""COMPUTED_VALUE"""),"Nguyễn Ngọc Trinh Nữ")</f>
        <v>Nguyễn Ngọc Trinh Nữ</v>
      </c>
      <c r="J7558" s="3" t="str">
        <f ca="1">IFERROR(__xludf.DUMMYFUNCTION("""COMPUTED_VALUE"""),"0329519980")</f>
        <v>0329519980</v>
      </c>
      <c r="K7558" s="2" t="str">
        <f ca="1">IFERROR(__xludf.DUMMYFUNCTION("""COMPUTED_VALUE"""),"1748036998690")</f>
        <v>1748036998690</v>
      </c>
    </row>
    <row r="7559" spans="1:11" ht="12.45">
      <c r="A7559" s="2" t="str">
        <f ca="1">IFERROR(__xludf.DUMMYFUNCTION("""COMPUTED_VALUE"""),"1748037028525")</f>
        <v>1748037028525</v>
      </c>
      <c r="B7559" s="2"/>
      <c r="C7559" s="2" t="str">
        <v>0</v>
      </c>
      <c r="D7559" s="2"/>
      <c r="F7559" s="2" t="str">
        <v>0</v>
      </c>
      <c r="I7559" s="3" t="str">
        <f ca="1">IFERROR(__xludf.DUMMYFUNCTION("""COMPUTED_VALUE"""),"Trần Hồng Hân")</f>
        <v>Trần Hồng Hân</v>
      </c>
      <c r="J7559" s="3" t="str">
        <f ca="1">IFERROR(__xludf.DUMMYFUNCTION("""COMPUTED_VALUE"""),"0769955126")</f>
        <v>0769955126</v>
      </c>
      <c r="K7559" s="2" t="str">
        <f ca="1">IFERROR(__xludf.DUMMYFUNCTION("""COMPUTED_VALUE"""),"1748037028525")</f>
        <v>1748037028525</v>
      </c>
    </row>
    <row r="7560" spans="1:11" ht="12.45">
      <c r="A7560" s="2" t="str">
        <f ca="1">IFERROR(__xludf.DUMMYFUNCTION("""COMPUTED_VALUE"""),"1748037056818")</f>
        <v>1748037056818</v>
      </c>
      <c r="B7560" s="2"/>
      <c r="C7560" s="2" t="str">
        <v>0</v>
      </c>
      <c r="D7560" s="2"/>
      <c r="F7560" s="2" t="str">
        <v>0</v>
      </c>
      <c r="I7560" s="3" t="str">
        <f ca="1">IFERROR(__xludf.DUMMYFUNCTION("""COMPUTED_VALUE"""),"Ca Anh Vũ ")</f>
        <v xml:space="preserve">Ca Anh Vũ </v>
      </c>
      <c r="J7560" s="3" t="str">
        <f ca="1">IFERROR(__xludf.DUMMYFUNCTION("""COMPUTED_VALUE"""),"0327388465")</f>
        <v>0327388465</v>
      </c>
      <c r="K7560" s="2" t="str">
        <f ca="1">IFERROR(__xludf.DUMMYFUNCTION("""COMPUTED_VALUE"""),"1748037056818")</f>
        <v>1748037056818</v>
      </c>
    </row>
    <row r="7561" spans="1:11" ht="12.45">
      <c r="A7561" s="2" t="str">
        <f ca="1">IFERROR(__xludf.DUMMYFUNCTION("""COMPUTED_VALUE"""),"1748037086913")</f>
        <v>1748037086913</v>
      </c>
      <c r="B7561" s="2"/>
      <c r="C7561" s="2" t="str">
        <v>0</v>
      </c>
      <c r="D7561" s="2"/>
      <c r="F7561" s="2" t="str">
        <v>0</v>
      </c>
      <c r="I7561" s="3" t="str">
        <f ca="1">IFERROR(__xludf.DUMMYFUNCTION("""COMPUTED_VALUE"""),"Lò Thị Vân Anh")</f>
        <v>Lò Thị Vân Anh</v>
      </c>
      <c r="J7561" s="3" t="str">
        <f ca="1">IFERROR(__xludf.DUMMYFUNCTION("""COMPUTED_VALUE"""),"0334954280")</f>
        <v>0334954280</v>
      </c>
      <c r="K7561" s="2" t="str">
        <f ca="1">IFERROR(__xludf.DUMMYFUNCTION("""COMPUTED_VALUE"""),"1748037086913")</f>
        <v>1748037086913</v>
      </c>
    </row>
    <row r="7562" spans="1:11" ht="12.45">
      <c r="A7562" s="2" t="str">
        <f ca="1">IFERROR(__xludf.DUMMYFUNCTION("""COMPUTED_VALUE"""),"1748037116446")</f>
        <v>1748037116446</v>
      </c>
      <c r="B7562" s="2"/>
      <c r="C7562" s="2" t="str">
        <v>0</v>
      </c>
      <c r="D7562" s="2"/>
      <c r="F7562" s="2" t="str">
        <v>0</v>
      </c>
      <c r="I7562" s="3" t="str">
        <f ca="1">IFERROR(__xludf.DUMMYFUNCTION("""COMPUTED_VALUE"""),"Nguyễn Anh Thư")</f>
        <v>Nguyễn Anh Thư</v>
      </c>
      <c r="J7562" s="3" t="str">
        <f ca="1">IFERROR(__xludf.DUMMYFUNCTION("""COMPUTED_VALUE"""),"0981550034")</f>
        <v>0981550034</v>
      </c>
      <c r="K7562" s="2" t="str">
        <f ca="1">IFERROR(__xludf.DUMMYFUNCTION("""COMPUTED_VALUE"""),"1748037116446")</f>
        <v>1748037116446</v>
      </c>
    </row>
    <row r="7563" spans="1:11" ht="12.45">
      <c r="A7563" s="2" t="str">
        <f ca="1">IFERROR(__xludf.DUMMYFUNCTION("""COMPUTED_VALUE"""),"1748037146044")</f>
        <v>1748037146044</v>
      </c>
      <c r="B7563" s="2"/>
      <c r="C7563" s="2" t="str">
        <v>0</v>
      </c>
      <c r="D7563" s="2"/>
      <c r="F7563" s="2" t="str">
        <v>0</v>
      </c>
      <c r="I7563" s="3" t="str">
        <f ca="1">IFERROR(__xludf.DUMMYFUNCTION("""COMPUTED_VALUE"""),"Phạm Anh Tuấn")</f>
        <v>Phạm Anh Tuấn</v>
      </c>
      <c r="J7563" s="3" t="str">
        <f ca="1">IFERROR(__xludf.DUMMYFUNCTION("""COMPUTED_VALUE"""),"0963437769")</f>
        <v>0963437769</v>
      </c>
      <c r="K7563" s="2" t="str">
        <f ca="1">IFERROR(__xludf.DUMMYFUNCTION("""COMPUTED_VALUE"""),"1748037146044")</f>
        <v>1748037146044</v>
      </c>
    </row>
    <row r="7564" spans="1:11" ht="12.45">
      <c r="A7564" s="2" t="str">
        <f ca="1">IFERROR(__xludf.DUMMYFUNCTION("""COMPUTED_VALUE"""),"1748037175904")</f>
        <v>1748037175904</v>
      </c>
      <c r="B7564" s="2"/>
      <c r="C7564" s="2" t="str">
        <v>0</v>
      </c>
      <c r="D7564" s="2"/>
      <c r="F7564" s="2" t="str">
        <v>0</v>
      </c>
      <c r="I7564" s="3" t="str">
        <f ca="1">IFERROR(__xludf.DUMMYFUNCTION("""COMPUTED_VALUE"""),"Trần Gia Hân")</f>
        <v>Trần Gia Hân</v>
      </c>
      <c r="J7564" s="3" t="str">
        <f ca="1">IFERROR(__xludf.DUMMYFUNCTION("""COMPUTED_VALUE"""),"0938119331")</f>
        <v>0938119331</v>
      </c>
      <c r="K7564" s="2" t="str">
        <f ca="1">IFERROR(__xludf.DUMMYFUNCTION("""COMPUTED_VALUE"""),"1748037175904")</f>
        <v>1748037175904</v>
      </c>
    </row>
    <row r="7565" spans="1:11" ht="12.45">
      <c r="A7565" s="2" t="str">
        <f ca="1">IFERROR(__xludf.DUMMYFUNCTION("""COMPUTED_VALUE"""),"1748037203572")</f>
        <v>1748037203572</v>
      </c>
      <c r="B7565" s="2"/>
      <c r="C7565" s="2" t="str">
        <v>0</v>
      </c>
      <c r="D7565" s="2"/>
      <c r="F7565" s="2" t="str">
        <v>0</v>
      </c>
      <c r="I7565" s="3" t="str">
        <f ca="1">IFERROR(__xludf.DUMMYFUNCTION("""COMPUTED_VALUE"""),"Cao Thiên Kim")</f>
        <v>Cao Thiên Kim</v>
      </c>
      <c r="J7565" s="3" t="str">
        <f ca="1">IFERROR(__xludf.DUMMYFUNCTION("""COMPUTED_VALUE"""),"0986751374")</f>
        <v>0986751374</v>
      </c>
      <c r="K7565" s="2" t="str">
        <f ca="1">IFERROR(__xludf.DUMMYFUNCTION("""COMPUTED_VALUE"""),"1748037203572")</f>
        <v>1748037203572</v>
      </c>
    </row>
    <row r="7566" spans="1:11" ht="12.45">
      <c r="A7566" s="2" t="str">
        <f ca="1">IFERROR(__xludf.DUMMYFUNCTION("""COMPUTED_VALUE"""),"1748037255233")</f>
        <v>1748037255233</v>
      </c>
      <c r="B7566" s="2"/>
      <c r="C7566" s="2" t="str">
        <v>0</v>
      </c>
      <c r="D7566" s="2"/>
      <c r="F7566" s="2" t="str">
        <v>0</v>
      </c>
      <c r="I7566" s="3" t="str">
        <f ca="1">IFERROR(__xludf.DUMMYFUNCTION("""COMPUTED_VALUE"""),"TỪ VĂN HUY")</f>
        <v>TỪ VĂN HUY</v>
      </c>
      <c r="J7566" s="3" t="str">
        <f ca="1">IFERROR(__xludf.DUMMYFUNCTION("""COMPUTED_VALUE"""),"0356753328")</f>
        <v>0356753328</v>
      </c>
      <c r="K7566" s="2" t="str">
        <f ca="1">IFERROR(__xludf.DUMMYFUNCTION("""COMPUTED_VALUE"""),"1748037255233")</f>
        <v>1748037255233</v>
      </c>
    </row>
    <row r="7567" spans="1:11" ht="12.45">
      <c r="A7567" s="2" t="str">
        <f ca="1">IFERROR(__xludf.DUMMYFUNCTION("""COMPUTED_VALUE"""),"1748037286189")</f>
        <v>1748037286189</v>
      </c>
      <c r="B7567" s="2"/>
      <c r="C7567" s="2" t="str">
        <v>0</v>
      </c>
      <c r="D7567" s="2"/>
      <c r="F7567" s="2" t="str">
        <v>0</v>
      </c>
      <c r="I7567" s="3" t="str">
        <f ca="1">IFERROR(__xludf.DUMMYFUNCTION("""COMPUTED_VALUE"""),"Nguyễn Xuân Nguyên")</f>
        <v>Nguyễn Xuân Nguyên</v>
      </c>
      <c r="J7567" s="3" t="str">
        <f ca="1">IFERROR(__xludf.DUMMYFUNCTION("""COMPUTED_VALUE"""),"0943344516")</f>
        <v>0943344516</v>
      </c>
      <c r="K7567" s="2" t="str">
        <f ca="1">IFERROR(__xludf.DUMMYFUNCTION("""COMPUTED_VALUE"""),"1748037286189")</f>
        <v>1748037286189</v>
      </c>
    </row>
    <row r="7568" spans="1:11" ht="12.45">
      <c r="A7568" s="2" t="str">
        <f ca="1">IFERROR(__xludf.DUMMYFUNCTION("""COMPUTED_VALUE"""),"1748037313030")</f>
        <v>1748037313030</v>
      </c>
      <c r="B7568" s="2"/>
      <c r="C7568" s="2" t="str">
        <v>0</v>
      </c>
      <c r="D7568" s="2"/>
      <c r="F7568" s="2" t="str">
        <v>0</v>
      </c>
      <c r="I7568" s="3" t="str">
        <f ca="1">IFERROR(__xludf.DUMMYFUNCTION("""COMPUTED_VALUE"""),"Nguyễn Ngọc Bảo Trâm")</f>
        <v>Nguyễn Ngọc Bảo Trâm</v>
      </c>
      <c r="J7568" s="3" t="str">
        <f ca="1">IFERROR(__xludf.DUMMYFUNCTION("""COMPUTED_VALUE"""),"0329580433")</f>
        <v>0329580433</v>
      </c>
      <c r="K7568" s="2" t="str">
        <f ca="1">IFERROR(__xludf.DUMMYFUNCTION("""COMPUTED_VALUE"""),"1748037313030")</f>
        <v>1748037313030</v>
      </c>
    </row>
    <row r="7569" spans="1:11" ht="12.45">
      <c r="A7569" s="2" t="str">
        <f ca="1">IFERROR(__xludf.DUMMYFUNCTION("""COMPUTED_VALUE"""),"1748037348840")</f>
        <v>1748037348840</v>
      </c>
      <c r="B7569" s="2"/>
      <c r="C7569" s="2" t="str">
        <v>0</v>
      </c>
      <c r="D7569" s="2"/>
      <c r="F7569" s="2" t="str">
        <v>0</v>
      </c>
      <c r="I7569" s="3" t="str">
        <f ca="1">IFERROR(__xludf.DUMMYFUNCTION("""COMPUTED_VALUE"""),"Trần Ngọc Minh Anh")</f>
        <v>Trần Ngọc Minh Anh</v>
      </c>
      <c r="J7569" s="3" t="str">
        <f ca="1">IFERROR(__xludf.DUMMYFUNCTION("""COMPUTED_VALUE"""),"0908386475")</f>
        <v>0908386475</v>
      </c>
      <c r="K7569" s="2" t="str">
        <f ca="1">IFERROR(__xludf.DUMMYFUNCTION("""COMPUTED_VALUE"""),"1748037348840")</f>
        <v>1748037348840</v>
      </c>
    </row>
    <row r="7570" spans="1:11" ht="12.45">
      <c r="A7570" s="2" t="str">
        <f ca="1">IFERROR(__xludf.DUMMYFUNCTION("""COMPUTED_VALUE"""),"1748037384816")</f>
        <v>1748037384816</v>
      </c>
      <c r="B7570" s="2"/>
      <c r="C7570" s="2" t="str">
        <v>0</v>
      </c>
      <c r="D7570" s="2"/>
      <c r="F7570" s="2" t="str">
        <v>0</v>
      </c>
      <c r="I7570" s="3" t="str">
        <f ca="1">IFERROR(__xludf.DUMMYFUNCTION("""COMPUTED_VALUE"""),"Vy Khánh Duy ")</f>
        <v xml:space="preserve">Vy Khánh Duy </v>
      </c>
      <c r="J7570" s="3" t="str">
        <f ca="1">IFERROR(__xludf.DUMMYFUNCTION("""COMPUTED_VALUE"""),"0813171775")</f>
        <v>0813171775</v>
      </c>
      <c r="K7570" s="2" t="str">
        <f ca="1">IFERROR(__xludf.DUMMYFUNCTION("""COMPUTED_VALUE"""),"1748037384816")</f>
        <v>1748037384816</v>
      </c>
    </row>
    <row r="7571" spans="1:11" ht="12.45">
      <c r="A7571" s="2" t="str">
        <f ca="1">IFERROR(__xludf.DUMMYFUNCTION("""COMPUTED_VALUE"""),"1748037414632")</f>
        <v>1748037414632</v>
      </c>
      <c r="B7571" s="2"/>
      <c r="C7571" s="2" t="str">
        <v>0</v>
      </c>
      <c r="D7571" s="2"/>
      <c r="F7571" s="2" t="str">
        <v>0</v>
      </c>
      <c r="I7571" s="3" t="str">
        <f ca="1">IFERROR(__xludf.DUMMYFUNCTION("""COMPUTED_VALUE"""),"Nguyễn Ngọc Diệp Chi")</f>
        <v>Nguyễn Ngọc Diệp Chi</v>
      </c>
      <c r="J7571" s="3" t="str">
        <f ca="1">IFERROR(__xludf.DUMMYFUNCTION("""COMPUTED_VALUE"""),"0766358208")</f>
        <v>0766358208</v>
      </c>
      <c r="K7571" s="2" t="str">
        <f ca="1">IFERROR(__xludf.DUMMYFUNCTION("""COMPUTED_VALUE"""),"1748037414632")</f>
        <v>1748037414632</v>
      </c>
    </row>
    <row r="7572" spans="1:11" ht="12.45">
      <c r="A7572" s="2" t="str">
        <f ca="1">IFERROR(__xludf.DUMMYFUNCTION("""COMPUTED_VALUE"""),"k gửi sách")</f>
        <v>k gửi sách</v>
      </c>
      <c r="B7572" s="2"/>
      <c r="C7572" s="2" t="str">
        <v>0</v>
      </c>
      <c r="D7572" s="2"/>
      <c r="F7572" s="2" t="str">
        <v>0</v>
      </c>
      <c r="I7572" s="3" t="str">
        <f ca="1">IFERROR(__xludf.DUMMYFUNCTION("""COMPUTED_VALUE"""),"Đỗ Thị Thu Huyền ")</f>
        <v xml:space="preserve">Đỗ Thị Thu Huyền </v>
      </c>
      <c r="J7572" s="3" t="str">
        <f ca="1">IFERROR(__xludf.DUMMYFUNCTION("""COMPUTED_VALUE"""),"0333658761")</f>
        <v>0333658761</v>
      </c>
      <c r="K7572" s="2" t="str">
        <f ca="1">IFERROR(__xludf.DUMMYFUNCTION("""COMPUTED_VALUE"""),"k gửi sách")</f>
        <v>k gửi sách</v>
      </c>
    </row>
    <row r="7573" spans="1:11" ht="12.45">
      <c r="A7573" s="2" t="str">
        <f ca="1">IFERROR(__xludf.DUMMYFUNCTION("""COMPUTED_VALUE"""),"1748037449289")</f>
        <v>1748037449289</v>
      </c>
      <c r="B7573" s="2"/>
      <c r="C7573" s="2" t="str">
        <v>0</v>
      </c>
      <c r="D7573" s="2"/>
      <c r="F7573" s="2" t="str">
        <v>0</v>
      </c>
      <c r="I7573" s="3" t="str">
        <f ca="1">IFERROR(__xludf.DUMMYFUNCTION("""COMPUTED_VALUE"""),"Tạ Thị Thu Hiền")</f>
        <v>Tạ Thị Thu Hiền</v>
      </c>
      <c r="J7573" s="3" t="str">
        <f ca="1">IFERROR(__xludf.DUMMYFUNCTION("""COMPUTED_VALUE"""),"0343046277")</f>
        <v>0343046277</v>
      </c>
      <c r="K7573" s="2" t="str">
        <f ca="1">IFERROR(__xludf.DUMMYFUNCTION("""COMPUTED_VALUE"""),"1748037449289")</f>
        <v>1748037449289</v>
      </c>
    </row>
    <row r="7574" spans="1:11" ht="12.45">
      <c r="A7574" s="2" t="str">
        <f ca="1">IFERROR(__xludf.DUMMYFUNCTION("""COMPUTED_VALUE"""),"1748037481702")</f>
        <v>1748037481702</v>
      </c>
      <c r="B7574" s="2"/>
      <c r="C7574" s="2" t="str">
        <v>0</v>
      </c>
      <c r="D7574" s="2"/>
      <c r="F7574" s="2" t="str">
        <v>0</v>
      </c>
      <c r="I7574" s="3" t="str">
        <f ca="1">IFERROR(__xludf.DUMMYFUNCTION("""COMPUTED_VALUE"""),"Mạnh Quỳnh Trâm")</f>
        <v>Mạnh Quỳnh Trâm</v>
      </c>
      <c r="J7574" s="3" t="str">
        <f ca="1">IFERROR(__xludf.DUMMYFUNCTION("""COMPUTED_VALUE"""),"0585703679")</f>
        <v>0585703679</v>
      </c>
      <c r="K7574" s="2" t="str">
        <f ca="1">IFERROR(__xludf.DUMMYFUNCTION("""COMPUTED_VALUE"""),"1748037481702")</f>
        <v>1748037481702</v>
      </c>
    </row>
    <row r="7575" spans="1:11" ht="12.45">
      <c r="A7575" s="2" t="str">
        <f ca="1">IFERROR(__xludf.DUMMYFUNCTION("""COMPUTED_VALUE"""),"1748037510715")</f>
        <v>1748037510715</v>
      </c>
      <c r="B7575" s="2"/>
      <c r="C7575" s="2" t="str">
        <v>0</v>
      </c>
      <c r="D7575" s="2"/>
      <c r="F7575" s="2" t="str">
        <v>0</v>
      </c>
      <c r="I7575" s="3" t="str">
        <f ca="1">IFERROR(__xludf.DUMMYFUNCTION("""COMPUTED_VALUE"""),"Nguyễn Thị Yến Như")</f>
        <v>Nguyễn Thị Yến Như</v>
      </c>
      <c r="J7575" s="3" t="str">
        <f ca="1">IFERROR(__xludf.DUMMYFUNCTION("""COMPUTED_VALUE"""),"0966363043")</f>
        <v>0966363043</v>
      </c>
      <c r="K7575" s="2" t="str">
        <f ca="1">IFERROR(__xludf.DUMMYFUNCTION("""COMPUTED_VALUE"""),"1748037510715")</f>
        <v>1748037510715</v>
      </c>
    </row>
    <row r="7576" spans="1:11" ht="12.45">
      <c r="A7576" s="2" t="str">
        <f ca="1">IFERROR(__xludf.DUMMYFUNCTION("""COMPUTED_VALUE"""),"1748037547318")</f>
        <v>1748037547318</v>
      </c>
      <c r="B7576" s="2"/>
      <c r="C7576" s="2" t="str">
        <v>0</v>
      </c>
      <c r="D7576" s="2"/>
      <c r="F7576" s="2" t="str">
        <v>0</v>
      </c>
      <c r="I7576" s="3" t="str">
        <f ca="1">IFERROR(__xludf.DUMMYFUNCTION("""COMPUTED_VALUE"""),"Phạm Quỳnh Anh")</f>
        <v>Phạm Quỳnh Anh</v>
      </c>
      <c r="J7576" s="3" t="str">
        <f ca="1">IFERROR(__xludf.DUMMYFUNCTION("""COMPUTED_VALUE"""),"0846823888")</f>
        <v>0846823888</v>
      </c>
      <c r="K7576" s="2" t="str">
        <f ca="1">IFERROR(__xludf.DUMMYFUNCTION("""COMPUTED_VALUE"""),"1748037547318")</f>
        <v>1748037547318</v>
      </c>
    </row>
    <row r="7577" spans="1:11" ht="12.45">
      <c r="A7577" s="2" t="str">
        <f ca="1">IFERROR(__xludf.DUMMYFUNCTION("""COMPUTED_VALUE"""),"1748037581425")</f>
        <v>1748037581425</v>
      </c>
      <c r="B7577" s="2"/>
      <c r="C7577" s="2" t="str">
        <v>0</v>
      </c>
      <c r="D7577" s="2"/>
      <c r="F7577" s="2" t="str">
        <v>0</v>
      </c>
      <c r="I7577" s="3" t="str">
        <f ca="1">IFERROR(__xludf.DUMMYFUNCTION("""COMPUTED_VALUE"""),"Nguyễn Bích Ngọc")</f>
        <v>Nguyễn Bích Ngọc</v>
      </c>
      <c r="J7577" s="3" t="str">
        <f ca="1">IFERROR(__xludf.DUMMYFUNCTION("""COMPUTED_VALUE"""),"0343696288")</f>
        <v>0343696288</v>
      </c>
      <c r="K7577" s="2" t="str">
        <f ca="1">IFERROR(__xludf.DUMMYFUNCTION("""COMPUTED_VALUE"""),"1748037581425")</f>
        <v>1748037581425</v>
      </c>
    </row>
    <row r="7578" spans="1:11" ht="12.45">
      <c r="A7578" s="2" t="str">
        <f ca="1">IFERROR(__xludf.DUMMYFUNCTION("""COMPUTED_VALUE"""),"1748037607559")</f>
        <v>1748037607559</v>
      </c>
      <c r="B7578" s="2"/>
      <c r="C7578" s="2" t="str">
        <v>0</v>
      </c>
      <c r="D7578" s="2"/>
      <c r="F7578" s="2" t="str">
        <v>0</v>
      </c>
      <c r="I7578" s="3" t="str">
        <f ca="1">IFERROR(__xludf.DUMMYFUNCTION("""COMPUTED_VALUE"""),"Trần Ngọc Trâm Anh")</f>
        <v>Trần Ngọc Trâm Anh</v>
      </c>
      <c r="J7578" s="3" t="str">
        <f ca="1">IFERROR(__xludf.DUMMYFUNCTION("""COMPUTED_VALUE"""),"0329052728")</f>
        <v>0329052728</v>
      </c>
      <c r="K7578" s="2" t="str">
        <f ca="1">IFERROR(__xludf.DUMMYFUNCTION("""COMPUTED_VALUE"""),"1748037607559")</f>
        <v>1748037607559</v>
      </c>
    </row>
    <row r="7579" spans="1:11" ht="12.45">
      <c r="A7579" s="2" t="str">
        <f ca="1">IFERROR(__xludf.DUMMYFUNCTION("""COMPUTED_VALUE"""),"1748037640917")</f>
        <v>1748037640917</v>
      </c>
      <c r="B7579" s="2"/>
      <c r="C7579" s="2" t="str">
        <v>0</v>
      </c>
      <c r="D7579" s="2"/>
      <c r="F7579" s="2" t="str">
        <v>0</v>
      </c>
      <c r="I7579" s="3" t="str">
        <f ca="1">IFERROR(__xludf.DUMMYFUNCTION("""COMPUTED_VALUE"""),"Trần Đoàn Hồng Ngọc")</f>
        <v>Trần Đoàn Hồng Ngọc</v>
      </c>
      <c r="J7579" s="3" t="str">
        <f ca="1">IFERROR(__xludf.DUMMYFUNCTION("""COMPUTED_VALUE"""),"0978146576")</f>
        <v>0978146576</v>
      </c>
      <c r="K7579" s="2" t="str">
        <f ca="1">IFERROR(__xludf.DUMMYFUNCTION("""COMPUTED_VALUE"""),"1748037640917")</f>
        <v>1748037640917</v>
      </c>
    </row>
    <row r="7580" spans="1:11" ht="12.45">
      <c r="A7580" s="2" t="str">
        <f ca="1">IFERROR(__xludf.DUMMYFUNCTION("""COMPUTED_VALUE"""),"1748037665343")</f>
        <v>1748037665343</v>
      </c>
      <c r="B7580" s="2"/>
      <c r="C7580" s="2" t="str">
        <v>0</v>
      </c>
      <c r="D7580" s="2"/>
      <c r="F7580" s="2" t="str">
        <v>0</v>
      </c>
      <c r="I7580" s="3" t="str">
        <f ca="1">IFERROR(__xludf.DUMMYFUNCTION("""COMPUTED_VALUE"""),"Nguyễn Hải Linh Mai")</f>
        <v>Nguyễn Hải Linh Mai</v>
      </c>
      <c r="J7580" s="3" t="str">
        <f ca="1">IFERROR(__xludf.DUMMYFUNCTION("""COMPUTED_VALUE"""),"0969099249")</f>
        <v>0969099249</v>
      </c>
      <c r="K7580" s="2" t="str">
        <f ca="1">IFERROR(__xludf.DUMMYFUNCTION("""COMPUTED_VALUE"""),"1748037665343")</f>
        <v>1748037665343</v>
      </c>
    </row>
    <row r="7581" spans="1:11" ht="12.45">
      <c r="A7581" s="2" t="str">
        <f ca="1">IFERROR(__xludf.DUMMYFUNCTION("""COMPUTED_VALUE"""),"1748037720185")</f>
        <v>1748037720185</v>
      </c>
      <c r="B7581" s="2"/>
      <c r="C7581" s="2" t="str">
        <v>0</v>
      </c>
      <c r="D7581" s="2"/>
      <c r="F7581" s="2" t="str">
        <v>0</v>
      </c>
      <c r="I7581" s="3" t="str">
        <f ca="1">IFERROR(__xludf.DUMMYFUNCTION("""COMPUTED_VALUE"""),"Phạm Anh Kiệt ")</f>
        <v xml:space="preserve">Phạm Anh Kiệt </v>
      </c>
      <c r="J7581" s="3" t="str">
        <f ca="1">IFERROR(__xludf.DUMMYFUNCTION("""COMPUTED_VALUE"""),"0961033215")</f>
        <v>0961033215</v>
      </c>
      <c r="K7581" s="2" t="str">
        <f ca="1">IFERROR(__xludf.DUMMYFUNCTION("""COMPUTED_VALUE"""),"1748037720185")</f>
        <v>1748037720185</v>
      </c>
    </row>
    <row r="7582" spans="1:11" ht="12.45">
      <c r="A7582" s="2" t="str">
        <f ca="1">IFERROR(__xludf.DUMMYFUNCTION("""COMPUTED_VALUE"""),"k gửi sách")</f>
        <v>k gửi sách</v>
      </c>
      <c r="B7582" s="2"/>
      <c r="C7582" s="2" t="str">
        <v>0</v>
      </c>
      <c r="D7582" s="2"/>
      <c r="F7582" s="2" t="str">
        <v>0</v>
      </c>
      <c r="I7582" s="3" t="str">
        <f ca="1">IFERROR(__xludf.DUMMYFUNCTION("""COMPUTED_VALUE"""),"Nguyễn Khánh Linh")</f>
        <v>Nguyễn Khánh Linh</v>
      </c>
      <c r="J7582" s="3" t="str">
        <f ca="1">IFERROR(__xludf.DUMMYFUNCTION("""COMPUTED_VALUE"""),"0332134607")</f>
        <v>0332134607</v>
      </c>
      <c r="K7582" s="2" t="str">
        <f ca="1">IFERROR(__xludf.DUMMYFUNCTION("""COMPUTED_VALUE"""),"k gửi sách")</f>
        <v>k gửi sách</v>
      </c>
    </row>
    <row r="7583" spans="1:11" ht="12.45">
      <c r="A7583" s="2" t="str">
        <f ca="1">IFERROR(__xludf.DUMMYFUNCTION("""COMPUTED_VALUE"""),"1748037752551")</f>
        <v>1748037752551</v>
      </c>
      <c r="B7583" s="2"/>
      <c r="C7583" s="2" t="str">
        <v>0</v>
      </c>
      <c r="D7583" s="2"/>
      <c r="F7583" s="2" t="str">
        <v>0</v>
      </c>
      <c r="I7583" s="3" t="str">
        <f ca="1">IFERROR(__xludf.DUMMYFUNCTION("""COMPUTED_VALUE"""),"Phạm Thị Huyền Trang")</f>
        <v>Phạm Thị Huyền Trang</v>
      </c>
      <c r="J7583" s="3" t="str">
        <f ca="1">IFERROR(__xludf.DUMMYFUNCTION("""COMPUTED_VALUE"""),"0334944406")</f>
        <v>0334944406</v>
      </c>
      <c r="K7583" s="2" t="str">
        <f ca="1">IFERROR(__xludf.DUMMYFUNCTION("""COMPUTED_VALUE"""),"1748037752551")</f>
        <v>1748037752551</v>
      </c>
    </row>
    <row r="7584" spans="1:11" ht="12.45">
      <c r="A7584" s="2" t="str">
        <f ca="1">IFERROR(__xludf.DUMMYFUNCTION("""COMPUTED_VALUE"""),"1748037783802")</f>
        <v>1748037783802</v>
      </c>
      <c r="B7584" s="2"/>
      <c r="C7584" s="2" t="str">
        <v>0</v>
      </c>
      <c r="D7584" s="2"/>
      <c r="F7584" s="2" t="str">
        <v>0</v>
      </c>
      <c r="I7584" s="3" t="str">
        <f ca="1">IFERROR(__xludf.DUMMYFUNCTION("""COMPUTED_VALUE"""),"huỳnh trịnh như quỳnh")</f>
        <v>huỳnh trịnh như quỳnh</v>
      </c>
      <c r="J7584" s="3" t="str">
        <f ca="1">IFERROR(__xludf.DUMMYFUNCTION("""COMPUTED_VALUE"""),"0793674041")</f>
        <v>0793674041</v>
      </c>
      <c r="K7584" s="2" t="str">
        <f ca="1">IFERROR(__xludf.DUMMYFUNCTION("""COMPUTED_VALUE"""),"1748037783802")</f>
        <v>1748037783802</v>
      </c>
    </row>
    <row r="7585" spans="1:11" ht="12.45">
      <c r="A7585" s="2" t="str">
        <f ca="1">IFERROR(__xludf.DUMMYFUNCTION("""COMPUTED_VALUE"""),"1748037809951")</f>
        <v>1748037809951</v>
      </c>
      <c r="B7585" s="2"/>
      <c r="C7585" s="2" t="str">
        <v>0</v>
      </c>
      <c r="D7585" s="2"/>
      <c r="F7585" s="2" t="str">
        <v>0</v>
      </c>
      <c r="I7585" s="3" t="str">
        <f ca="1">IFERROR(__xludf.DUMMYFUNCTION("""COMPUTED_VALUE"""),"Lê Huyền Trang")</f>
        <v>Lê Huyền Trang</v>
      </c>
      <c r="J7585" s="3" t="str">
        <f ca="1">IFERROR(__xludf.DUMMYFUNCTION("""COMPUTED_VALUE"""),"0368891063")</f>
        <v>0368891063</v>
      </c>
      <c r="K7585" s="2" t="str">
        <f ca="1">IFERROR(__xludf.DUMMYFUNCTION("""COMPUTED_VALUE"""),"1748037809951")</f>
        <v>1748037809951</v>
      </c>
    </row>
    <row r="7586" spans="1:11" ht="12.45">
      <c r="A7586" s="2" t="str">
        <f ca="1">IFERROR(__xludf.DUMMYFUNCTION("""COMPUTED_VALUE"""),"1748037841442")</f>
        <v>1748037841442</v>
      </c>
      <c r="B7586" s="2"/>
      <c r="C7586" s="2" t="str">
        <v>0</v>
      </c>
      <c r="D7586" s="2"/>
      <c r="F7586" s="2" t="str">
        <v>0</v>
      </c>
      <c r="I7586" s="3" t="str">
        <f ca="1">IFERROR(__xludf.DUMMYFUNCTION("""COMPUTED_VALUE"""),"Hoàng Thị Phúc Yến")</f>
        <v>Hoàng Thị Phúc Yến</v>
      </c>
      <c r="J7586" s="3" t="str">
        <f ca="1">IFERROR(__xludf.DUMMYFUNCTION("""COMPUTED_VALUE"""),"0905075558")</f>
        <v>0905075558</v>
      </c>
      <c r="K7586" s="2" t="str">
        <f ca="1">IFERROR(__xludf.DUMMYFUNCTION("""COMPUTED_VALUE"""),"1748037841442")</f>
        <v>1748037841442</v>
      </c>
    </row>
    <row r="7587" spans="1:11" ht="12.45">
      <c r="A7587" s="2" t="str">
        <f ca="1">IFERROR(__xludf.DUMMYFUNCTION("""COMPUTED_VALUE"""),"1748037874618")</f>
        <v>1748037874618</v>
      </c>
      <c r="B7587" s="2"/>
      <c r="C7587" s="2" t="str">
        <v>0</v>
      </c>
      <c r="D7587" s="2"/>
      <c r="F7587" s="2" t="str">
        <v>0</v>
      </c>
      <c r="I7587" s="3" t="str">
        <f ca="1">IFERROR(__xludf.DUMMYFUNCTION("""COMPUTED_VALUE"""),"Nguyễn Phan Trà My")</f>
        <v>Nguyễn Phan Trà My</v>
      </c>
      <c r="J7587" s="3" t="str">
        <f ca="1">IFERROR(__xludf.DUMMYFUNCTION("""COMPUTED_VALUE"""),"0919675043")</f>
        <v>0919675043</v>
      </c>
      <c r="K7587" s="2" t="str">
        <f ca="1">IFERROR(__xludf.DUMMYFUNCTION("""COMPUTED_VALUE"""),"1748037874618")</f>
        <v>1748037874618</v>
      </c>
    </row>
    <row r="7588" spans="1:11" ht="12.45">
      <c r="A7588" s="2" t="str">
        <f ca="1">IFERROR(__xludf.DUMMYFUNCTION("""COMPUTED_VALUE"""),"1748037914922")</f>
        <v>1748037914922</v>
      </c>
      <c r="B7588" s="2"/>
      <c r="C7588" s="2" t="str">
        <v>0</v>
      </c>
      <c r="D7588" s="2"/>
      <c r="F7588" s="2" t="str">
        <v>0</v>
      </c>
      <c r="I7588" s="3" t="str">
        <f ca="1">IFERROR(__xludf.DUMMYFUNCTION("""COMPUTED_VALUE"""),"Nguyễn Phương Thuỳ")</f>
        <v>Nguyễn Phương Thuỳ</v>
      </c>
      <c r="J7588" s="3" t="str">
        <f ca="1">IFERROR(__xludf.DUMMYFUNCTION("""COMPUTED_VALUE"""),"0399875206")</f>
        <v>0399875206</v>
      </c>
      <c r="K7588" s="2" t="str">
        <f ca="1">IFERROR(__xludf.DUMMYFUNCTION("""COMPUTED_VALUE"""),"1748037914922")</f>
        <v>1748037914922</v>
      </c>
    </row>
    <row r="7589" spans="1:11" ht="12.45">
      <c r="A7589" s="2" t="str">
        <f ca="1">IFERROR(__xludf.DUMMYFUNCTION("""COMPUTED_VALUE"""),"1748037960669")</f>
        <v>1748037960669</v>
      </c>
      <c r="B7589" s="2"/>
      <c r="C7589" s="2" t="str">
        <v>0</v>
      </c>
      <c r="D7589" s="2"/>
      <c r="F7589" s="2" t="str">
        <v>0</v>
      </c>
      <c r="I7589" s="3" t="str">
        <f ca="1">IFERROR(__xludf.DUMMYFUNCTION("""COMPUTED_VALUE"""),"Nguyễn Ngọc Như Quỳnh")</f>
        <v>Nguyễn Ngọc Như Quỳnh</v>
      </c>
      <c r="J7589" s="3" t="str">
        <f ca="1">IFERROR(__xludf.DUMMYFUNCTION("""COMPUTED_VALUE"""),"0386087430")</f>
        <v>0386087430</v>
      </c>
      <c r="K7589" s="2" t="str">
        <f ca="1">IFERROR(__xludf.DUMMYFUNCTION("""COMPUTED_VALUE"""),"1748037960669")</f>
        <v>1748037960669</v>
      </c>
    </row>
    <row r="7590" spans="1:11" ht="12.45">
      <c r="A7590" s="2" t="str">
        <f ca="1">IFERROR(__xludf.DUMMYFUNCTION("""COMPUTED_VALUE"""),"1748037993123")</f>
        <v>1748037993123</v>
      </c>
      <c r="B7590" s="2"/>
      <c r="C7590" s="2" t="str">
        <v>0</v>
      </c>
      <c r="D7590" s="2"/>
      <c r="F7590" s="2" t="str">
        <v>0</v>
      </c>
      <c r="I7590" s="3" t="str">
        <f ca="1">IFERROR(__xludf.DUMMYFUNCTION("""COMPUTED_VALUE"""),"Đậu Thuý An")</f>
        <v>Đậu Thuý An</v>
      </c>
      <c r="J7590" s="3" t="str">
        <f ca="1">IFERROR(__xludf.DUMMYFUNCTION("""COMPUTED_VALUE"""),"0888768868")</f>
        <v>0888768868</v>
      </c>
      <c r="K7590" s="2" t="str">
        <f ca="1">IFERROR(__xludf.DUMMYFUNCTION("""COMPUTED_VALUE"""),"1748037993123")</f>
        <v>1748037993123</v>
      </c>
    </row>
    <row r="7591" spans="1:11" ht="12.45">
      <c r="A7591" s="2" t="str">
        <f ca="1">IFERROR(__xludf.DUMMYFUNCTION("""COMPUTED_VALUE"""),"1748038024364")</f>
        <v>1748038024364</v>
      </c>
      <c r="B7591" s="2"/>
      <c r="C7591" s="2" t="str">
        <v>0</v>
      </c>
      <c r="D7591" s="2"/>
      <c r="F7591" s="2" t="str">
        <v>0</v>
      </c>
      <c r="I7591" s="3" t="str">
        <f ca="1">IFERROR(__xludf.DUMMYFUNCTION("""COMPUTED_VALUE"""),"Ngô Ngọc Anh Thư")</f>
        <v>Ngô Ngọc Anh Thư</v>
      </c>
      <c r="J7591" s="3" t="str">
        <f ca="1">IFERROR(__xludf.DUMMYFUNCTION("""COMPUTED_VALUE"""),"0813582179")</f>
        <v>0813582179</v>
      </c>
      <c r="K7591" s="2" t="str">
        <f ca="1">IFERROR(__xludf.DUMMYFUNCTION("""COMPUTED_VALUE"""),"1748038024364")</f>
        <v>1748038024364</v>
      </c>
    </row>
    <row r="7592" spans="1:11" ht="12.45">
      <c r="A7592" s="2" t="str">
        <f ca="1">IFERROR(__xludf.DUMMYFUNCTION("""COMPUTED_VALUE"""),"1748038052145")</f>
        <v>1748038052145</v>
      </c>
      <c r="B7592" s="2"/>
      <c r="C7592" s="2" t="str">
        <v>0</v>
      </c>
      <c r="D7592" s="2"/>
      <c r="F7592" s="2" t="str">
        <v>0</v>
      </c>
      <c r="I7592" s="3" t="str">
        <f ca="1">IFERROR(__xludf.DUMMYFUNCTION("""COMPUTED_VALUE"""),"Dương Hoàng Phi")</f>
        <v>Dương Hoàng Phi</v>
      </c>
      <c r="J7592" s="3" t="str">
        <f ca="1">IFERROR(__xludf.DUMMYFUNCTION("""COMPUTED_VALUE"""),"0799789930")</f>
        <v>0799789930</v>
      </c>
      <c r="K7592" s="2" t="str">
        <f ca="1">IFERROR(__xludf.DUMMYFUNCTION("""COMPUTED_VALUE"""),"1748038052145")</f>
        <v>1748038052145</v>
      </c>
    </row>
    <row r="7593" spans="1:11" ht="12.45">
      <c r="A7593" s="2" t="str">
        <f ca="1">IFERROR(__xludf.DUMMYFUNCTION("""COMPUTED_VALUE"""),"1748038082020")</f>
        <v>1748038082020</v>
      </c>
      <c r="B7593" s="2"/>
      <c r="C7593" s="2" t="str">
        <v>0</v>
      </c>
      <c r="D7593" s="2"/>
      <c r="F7593" s="2" t="str">
        <v>0</v>
      </c>
      <c r="I7593" s="3" t="str">
        <f ca="1">IFERROR(__xludf.DUMMYFUNCTION("""COMPUTED_VALUE"""),"Nguyễn Ngọc Ánh Chi ")</f>
        <v xml:space="preserve">Nguyễn Ngọc Ánh Chi </v>
      </c>
      <c r="J7593" s="3" t="str">
        <f ca="1">IFERROR(__xludf.DUMMYFUNCTION("""COMPUTED_VALUE"""),"0325860818")</f>
        <v>0325860818</v>
      </c>
      <c r="K7593" s="2" t="str">
        <f ca="1">IFERROR(__xludf.DUMMYFUNCTION("""COMPUTED_VALUE"""),"1748038082020")</f>
        <v>1748038082020</v>
      </c>
    </row>
    <row r="7594" spans="1:11" ht="12.45">
      <c r="A7594" s="2" t="str">
        <f ca="1">IFERROR(__xludf.DUMMYFUNCTION("""COMPUTED_VALUE"""),"1748038112038")</f>
        <v>1748038112038</v>
      </c>
      <c r="B7594" s="2"/>
      <c r="C7594" s="2" t="str">
        <v>0</v>
      </c>
      <c r="D7594" s="2"/>
      <c r="F7594" s="2" t="str">
        <v>0</v>
      </c>
      <c r="I7594" s="3" t="str">
        <f ca="1">IFERROR(__xludf.DUMMYFUNCTION("""COMPUTED_VALUE"""),"Hoàng Thị Thắm ")</f>
        <v xml:space="preserve">Hoàng Thị Thắm </v>
      </c>
      <c r="J7594" s="3" t="str">
        <f ca="1">IFERROR(__xludf.DUMMYFUNCTION("""COMPUTED_VALUE"""),"0396635239")</f>
        <v>0396635239</v>
      </c>
      <c r="K7594" s="2" t="str">
        <f ca="1">IFERROR(__xludf.DUMMYFUNCTION("""COMPUTED_VALUE"""),"1748038112038")</f>
        <v>1748038112038</v>
      </c>
    </row>
    <row r="7595" spans="1:11" ht="12.45">
      <c r="A7595" s="2" t="str">
        <f ca="1">IFERROR(__xludf.DUMMYFUNCTION("""COMPUTED_VALUE"""),"1748038149319")</f>
        <v>1748038149319</v>
      </c>
      <c r="B7595" s="2"/>
      <c r="C7595" s="2" t="str">
        <v>0</v>
      </c>
      <c r="D7595" s="2"/>
      <c r="F7595" s="2" t="str">
        <v>0</v>
      </c>
      <c r="I7595" s="3" t="str">
        <f ca="1">IFERROR(__xludf.DUMMYFUNCTION("""COMPUTED_VALUE"""),"Trương Nam Phong ")</f>
        <v xml:space="preserve">Trương Nam Phong </v>
      </c>
      <c r="J7595" s="3" t="str">
        <f ca="1">IFERROR(__xludf.DUMMYFUNCTION("""COMPUTED_VALUE"""),"0816352347")</f>
        <v>0816352347</v>
      </c>
      <c r="K7595" s="2" t="str">
        <f ca="1">IFERROR(__xludf.DUMMYFUNCTION("""COMPUTED_VALUE"""),"1748038149319")</f>
        <v>1748038149319</v>
      </c>
    </row>
    <row r="7596" spans="1:11" ht="12.45">
      <c r="A7596" s="2" t="str">
        <f ca="1">IFERROR(__xludf.DUMMYFUNCTION("""COMPUTED_VALUE"""),"1748038180435")</f>
        <v>1748038180435</v>
      </c>
      <c r="B7596" s="2"/>
      <c r="C7596" s="2" t="str">
        <v>0</v>
      </c>
      <c r="D7596" s="2"/>
      <c r="F7596" s="2" t="str">
        <v>0</v>
      </c>
      <c r="I7596" s="3" t="str">
        <f ca="1">IFERROR(__xludf.DUMMYFUNCTION("""COMPUTED_VALUE"""),"Nguyễn Thị Quỳnh Anh")</f>
        <v>Nguyễn Thị Quỳnh Anh</v>
      </c>
      <c r="J7596" s="3" t="str">
        <f ca="1">IFERROR(__xludf.DUMMYFUNCTION("""COMPUTED_VALUE"""),"0865130256")</f>
        <v>0865130256</v>
      </c>
      <c r="K7596" s="2" t="str">
        <f ca="1">IFERROR(__xludf.DUMMYFUNCTION("""COMPUTED_VALUE"""),"1748038180435")</f>
        <v>1748038180435</v>
      </c>
    </row>
    <row r="7597" spans="1:11" ht="12.45">
      <c r="A7597" s="2" t="str">
        <f ca="1">IFERROR(__xludf.DUMMYFUNCTION("""COMPUTED_VALUE"""),"1748038219987")</f>
        <v>1748038219987</v>
      </c>
      <c r="B7597" s="2"/>
      <c r="C7597" s="2" t="str">
        <v>0</v>
      </c>
      <c r="D7597" s="2"/>
      <c r="F7597" s="2" t="str">
        <v>0</v>
      </c>
      <c r="I7597" s="3" t="str">
        <f ca="1">IFERROR(__xludf.DUMMYFUNCTION("""COMPUTED_VALUE"""),"Nguyễn Ngọc Anh ")</f>
        <v xml:space="preserve">Nguyễn Ngọc Anh </v>
      </c>
      <c r="J7597" s="3" t="str">
        <f ca="1">IFERROR(__xludf.DUMMYFUNCTION("""COMPUTED_VALUE"""),"0399625582")</f>
        <v>0399625582</v>
      </c>
      <c r="K7597" s="2" t="str">
        <f ca="1">IFERROR(__xludf.DUMMYFUNCTION("""COMPUTED_VALUE"""),"1748038219987")</f>
        <v>1748038219987</v>
      </c>
    </row>
    <row r="7598" spans="1:11" ht="12.45">
      <c r="A7598" s="2" t="str">
        <f ca="1">IFERROR(__xludf.DUMMYFUNCTION("""COMPUTED_VALUE"""),"1748038260896")</f>
        <v>1748038260896</v>
      </c>
      <c r="B7598" s="2"/>
      <c r="C7598" s="2" t="str">
        <v>0</v>
      </c>
      <c r="D7598" s="2"/>
      <c r="F7598" s="2" t="str">
        <v>0</v>
      </c>
      <c r="I7598" s="3" t="str">
        <f ca="1">IFERROR(__xludf.DUMMYFUNCTION("""COMPUTED_VALUE"""),"vũ kiều trang")</f>
        <v>vũ kiều trang</v>
      </c>
      <c r="J7598" s="3" t="str">
        <f ca="1">IFERROR(__xludf.DUMMYFUNCTION("""COMPUTED_VALUE"""),"0869438196")</f>
        <v>0869438196</v>
      </c>
      <c r="K7598" s="2" t="str">
        <f ca="1">IFERROR(__xludf.DUMMYFUNCTION("""COMPUTED_VALUE"""),"1748038260896")</f>
        <v>1748038260896</v>
      </c>
    </row>
    <row r="7599" spans="1:11" ht="12.45">
      <c r="A7599" s="2" t="str">
        <f ca="1">IFERROR(__xludf.DUMMYFUNCTION("""COMPUTED_VALUE"""),"1748038328056")</f>
        <v>1748038328056</v>
      </c>
      <c r="B7599" s="2"/>
      <c r="C7599" s="2" t="str">
        <v>0</v>
      </c>
      <c r="D7599" s="2"/>
      <c r="F7599" s="2" t="str">
        <v>0</v>
      </c>
      <c r="I7599" s="3" t="str">
        <f ca="1">IFERROR(__xludf.DUMMYFUNCTION("""COMPUTED_VALUE"""),"Nguyễn Ngọc Như Quỳnh ")</f>
        <v xml:space="preserve">Nguyễn Ngọc Như Quỳnh </v>
      </c>
      <c r="J7599" s="3" t="str">
        <f ca="1">IFERROR(__xludf.DUMMYFUNCTION("""COMPUTED_VALUE"""),"0977425757")</f>
        <v>0977425757</v>
      </c>
      <c r="K7599" s="2" t="str">
        <f ca="1">IFERROR(__xludf.DUMMYFUNCTION("""COMPUTED_VALUE"""),"1748038328056")</f>
        <v>1748038328056</v>
      </c>
    </row>
    <row r="7600" spans="1:11" ht="12.45">
      <c r="A7600" s="2" t="str">
        <f ca="1">IFERROR(__xludf.DUMMYFUNCTION("""COMPUTED_VALUE"""),"1748038363508")</f>
        <v>1748038363508</v>
      </c>
      <c r="B7600" s="2"/>
      <c r="C7600" s="2" t="str">
        <v>0</v>
      </c>
      <c r="D7600" s="2"/>
      <c r="F7600" s="2" t="str">
        <v>0</v>
      </c>
      <c r="I7600" s="3" t="str">
        <f ca="1">IFERROR(__xludf.DUMMYFUNCTION("""COMPUTED_VALUE"""),"Đoàn Cẩm Tú")</f>
        <v>Đoàn Cẩm Tú</v>
      </c>
      <c r="J7600" s="3" t="str">
        <f ca="1">IFERROR(__xludf.DUMMYFUNCTION("""COMPUTED_VALUE"""),"0369138054")</f>
        <v>0369138054</v>
      </c>
      <c r="K7600" s="2" t="str">
        <f ca="1">IFERROR(__xludf.DUMMYFUNCTION("""COMPUTED_VALUE"""),"1748038363508")</f>
        <v>1748038363508</v>
      </c>
    </row>
    <row r="7601" spans="1:11" ht="12.45">
      <c r="A7601" s="2" t="str">
        <f ca="1">IFERROR(__xludf.DUMMYFUNCTION("""COMPUTED_VALUE"""),"1748038397285")</f>
        <v>1748038397285</v>
      </c>
      <c r="B7601" s="2"/>
      <c r="C7601" s="2" t="str">
        <v>0</v>
      </c>
      <c r="D7601" s="2"/>
      <c r="F7601" s="2" t="str">
        <v>0</v>
      </c>
      <c r="I7601" s="3" t="str">
        <f ca="1">IFERROR(__xludf.DUMMYFUNCTION("""COMPUTED_VALUE"""),"Bùi Thị Minh Thư")</f>
        <v>Bùi Thị Minh Thư</v>
      </c>
      <c r="J7601" s="3" t="str">
        <f ca="1">IFERROR(__xludf.DUMMYFUNCTION("""COMPUTED_VALUE"""),"0974507206")</f>
        <v>0974507206</v>
      </c>
      <c r="K7601" s="2" t="str">
        <f ca="1">IFERROR(__xludf.DUMMYFUNCTION("""COMPUTED_VALUE"""),"1748038397285")</f>
        <v>1748038397285</v>
      </c>
    </row>
    <row r="7602" spans="1:11" ht="12.45">
      <c r="A7602" s="2" t="str">
        <f ca="1">IFERROR(__xludf.DUMMYFUNCTION("""COMPUTED_VALUE"""),"1748038430944")</f>
        <v>1748038430944</v>
      </c>
      <c r="B7602" s="2"/>
      <c r="C7602" s="2" t="str">
        <v>0</v>
      </c>
      <c r="D7602" s="2"/>
      <c r="F7602" s="2" t="str">
        <v>0</v>
      </c>
      <c r="I7602" s="3" t="str">
        <f ca="1">IFERROR(__xludf.DUMMYFUNCTION("""COMPUTED_VALUE"""),"Lê Minh Xuân")</f>
        <v>Lê Minh Xuân</v>
      </c>
      <c r="J7602" s="3" t="str">
        <f ca="1">IFERROR(__xludf.DUMMYFUNCTION("""COMPUTED_VALUE"""),"0342774176")</f>
        <v>0342774176</v>
      </c>
      <c r="K7602" s="2" t="str">
        <f ca="1">IFERROR(__xludf.DUMMYFUNCTION("""COMPUTED_VALUE"""),"1748038430944")</f>
        <v>1748038430944</v>
      </c>
    </row>
    <row r="7603" spans="1:11" ht="12.45">
      <c r="A7603" s="2" t="str">
        <f ca="1">IFERROR(__xludf.DUMMYFUNCTION("""COMPUTED_VALUE"""),"1760320796285")</f>
        <v>1760320796285</v>
      </c>
      <c r="B7603" s="2"/>
      <c r="C7603" s="2" t="str">
        <v>0</v>
      </c>
      <c r="D7603" s="2"/>
      <c r="F7603" s="2" t="str">
        <v>0</v>
      </c>
      <c r="I7603" s="3" t="str">
        <f ca="1">IFERROR(__xludf.DUMMYFUNCTION("""COMPUTED_VALUE"""),"Trần Phạm Vĩnh Nghi ")</f>
        <v xml:space="preserve">Trần Phạm Vĩnh Nghi </v>
      </c>
      <c r="J7603" s="3" t="str">
        <f ca="1">IFERROR(__xludf.DUMMYFUNCTION("""COMPUTED_VALUE"""),"0907446254")</f>
        <v>0907446254</v>
      </c>
      <c r="K7603" s="2" t="str">
        <f ca="1">IFERROR(__xludf.DUMMYFUNCTION("""COMPUTED_VALUE"""),"1760320796285")</f>
        <v>1760320796285</v>
      </c>
    </row>
    <row r="7604" spans="1:11" ht="12.45">
      <c r="A7604" s="2"/>
      <c r="B7604" s="2"/>
      <c r="C7604" s="2" t="str">
        <v>0</v>
      </c>
      <c r="D7604" s="2"/>
      <c r="F7604" s="2" t="str">
        <v>0</v>
      </c>
      <c r="I7604" s="3" t="str">
        <f ca="1">IFERROR(__xludf.DUMMYFUNCTION("""COMPUTED_VALUE"""),"Nguyễn Sỹ Minh")</f>
        <v>Nguyễn Sỹ Minh</v>
      </c>
      <c r="J7604" s="3" t="str">
        <f ca="1">IFERROR(__xludf.DUMMYFUNCTION("""COMPUTED_VALUE"""),"0869719270")</f>
        <v>0869719270</v>
      </c>
      <c r="K7604" s="2"/>
    </row>
    <row r="7605" spans="1:11" ht="12.45">
      <c r="A7605" s="2" t="str">
        <f ca="1">IFERROR(__xludf.DUMMYFUNCTION("""COMPUTED_VALUE"""),"1741505772925")</f>
        <v>1741505772925</v>
      </c>
      <c r="B7605" s="2"/>
      <c r="C7605" s="2" t="str">
        <v>0</v>
      </c>
      <c r="D7605" s="2"/>
      <c r="F7605" s="2" t="str">
        <v>0</v>
      </c>
      <c r="I7605" s="3" t="str">
        <f ca="1">IFERROR(__xludf.DUMMYFUNCTION("""COMPUTED_VALUE"""),"Tô Ngân Thương")</f>
        <v>Tô Ngân Thương</v>
      </c>
      <c r="J7605" s="3" t="str">
        <f ca="1">IFERROR(__xludf.DUMMYFUNCTION("""COMPUTED_VALUE"""),"0971504910")</f>
        <v>0971504910</v>
      </c>
      <c r="K7605" s="2" t="str">
        <f ca="1">IFERROR(__xludf.DUMMYFUNCTION("""COMPUTED_VALUE"""),"1741505772925")</f>
        <v>1741505772925</v>
      </c>
    </row>
    <row r="7606" spans="1:11" ht="12.45">
      <c r="A7606" s="2" t="str">
        <f ca="1">IFERROR(__xludf.DUMMYFUNCTION("""COMPUTED_VALUE"""),"1760320847683")</f>
        <v>1760320847683</v>
      </c>
      <c r="B7606" s="2"/>
      <c r="C7606" s="2" t="str">
        <v>0</v>
      </c>
      <c r="D7606" s="2"/>
      <c r="F7606" s="2" t="str">
        <v>0</v>
      </c>
      <c r="I7606" s="3" t="str">
        <f ca="1">IFERROR(__xludf.DUMMYFUNCTION("""COMPUTED_VALUE"""),"Vũ Lan Anh")</f>
        <v>Vũ Lan Anh</v>
      </c>
      <c r="J7606" s="3" t="str">
        <f ca="1">IFERROR(__xludf.DUMMYFUNCTION("""COMPUTED_VALUE"""),"0336299404")</f>
        <v>0336299404</v>
      </c>
      <c r="K7606" s="2" t="str">
        <f ca="1">IFERROR(__xludf.DUMMYFUNCTION("""COMPUTED_VALUE"""),"1760320847683")</f>
        <v>1760320847683</v>
      </c>
    </row>
    <row r="7607" spans="1:11" ht="12.45">
      <c r="A7607" s="2" t="str">
        <f ca="1">IFERROR(__xludf.DUMMYFUNCTION("""COMPUTED_VALUE"""),"1760320924077")</f>
        <v>1760320924077</v>
      </c>
      <c r="B7607" s="2"/>
      <c r="C7607" s="2" t="str">
        <v>0</v>
      </c>
      <c r="D7607" s="2"/>
      <c r="F7607" s="2" t="str">
        <v>0</v>
      </c>
      <c r="I7607" s="3" t="str">
        <f ca="1">IFERROR(__xludf.DUMMYFUNCTION("""COMPUTED_VALUE"""),"Nguyễn Hoàng Châu Anh")</f>
        <v>Nguyễn Hoàng Châu Anh</v>
      </c>
      <c r="J7607" s="3" t="str">
        <f ca="1">IFERROR(__xludf.DUMMYFUNCTION("""COMPUTED_VALUE"""),"0828895343")</f>
        <v>0828895343</v>
      </c>
      <c r="K7607" s="2" t="str">
        <f ca="1">IFERROR(__xludf.DUMMYFUNCTION("""COMPUTED_VALUE"""),"1760320924077")</f>
        <v>1760320924077</v>
      </c>
    </row>
    <row r="7608" spans="1:11" ht="12.45">
      <c r="A7608" s="2" t="str">
        <f ca="1">IFERROR(__xludf.DUMMYFUNCTION("""COMPUTED_VALUE"""),"1760320981289")</f>
        <v>1760320981289</v>
      </c>
      <c r="B7608" s="2"/>
      <c r="C7608" s="2" t="str">
        <v>0</v>
      </c>
      <c r="D7608" s="2"/>
      <c r="F7608" s="2" t="str">
        <v>0</v>
      </c>
      <c r="I7608" s="3" t="str">
        <f ca="1">IFERROR(__xludf.DUMMYFUNCTION("""COMPUTED_VALUE"""),"Chử Phương Anh")</f>
        <v>Chử Phương Anh</v>
      </c>
      <c r="J7608" s="3" t="str">
        <f ca="1">IFERROR(__xludf.DUMMYFUNCTION("""COMPUTED_VALUE"""),"0876544430")</f>
        <v>0876544430</v>
      </c>
      <c r="K7608" s="2" t="str">
        <f ca="1">IFERROR(__xludf.DUMMYFUNCTION("""COMPUTED_VALUE"""),"1760320981289")</f>
        <v>1760320981289</v>
      </c>
    </row>
    <row r="7609" spans="1:11" ht="12.45">
      <c r="A7609" s="2" t="str">
        <f ca="1">IFERROR(__xludf.DUMMYFUNCTION("""COMPUTED_VALUE"""),"k gửi sách")</f>
        <v>k gửi sách</v>
      </c>
      <c r="B7609" s="2"/>
      <c r="C7609" s="2" t="str">
        <v>0</v>
      </c>
      <c r="D7609" s="2"/>
      <c r="F7609" s="2" t="str">
        <v>0</v>
      </c>
      <c r="I7609" s="3" t="str">
        <f ca="1">IFERROR(__xludf.DUMMYFUNCTION("""COMPUTED_VALUE"""),"Mai Thị Huyền Trang ")</f>
        <v xml:space="preserve">Mai Thị Huyền Trang </v>
      </c>
      <c r="J7609" s="3" t="str">
        <f ca="1">IFERROR(__xludf.DUMMYFUNCTION("""COMPUTED_VALUE"""),"0393819307")</f>
        <v>0393819307</v>
      </c>
      <c r="K7609" s="2" t="str">
        <f ca="1">IFERROR(__xludf.DUMMYFUNCTION("""COMPUTED_VALUE"""),"k gửi sách")</f>
        <v>k gửi sách</v>
      </c>
    </row>
    <row r="7610" spans="1:11" ht="12.45">
      <c r="A7610" s="2" t="str">
        <f ca="1">IFERROR(__xludf.DUMMYFUNCTION("""COMPUTED_VALUE"""),"1760321039914")</f>
        <v>1760321039914</v>
      </c>
      <c r="B7610" s="2"/>
      <c r="C7610" s="2" t="str">
        <v>0</v>
      </c>
      <c r="D7610" s="2"/>
      <c r="F7610" s="2" t="str">
        <v>0</v>
      </c>
      <c r="I7610" s="3" t="str">
        <f ca="1">IFERROR(__xludf.DUMMYFUNCTION("""COMPUTED_VALUE"""),"Lưu thị thanh ngân")</f>
        <v>Lưu thị thanh ngân</v>
      </c>
      <c r="J7610" s="3" t="str">
        <f ca="1">IFERROR(__xludf.DUMMYFUNCTION("""COMPUTED_VALUE"""),"0364831005")</f>
        <v>0364831005</v>
      </c>
      <c r="K7610" s="2" t="str">
        <f ca="1">IFERROR(__xludf.DUMMYFUNCTION("""COMPUTED_VALUE"""),"1760321039914")</f>
        <v>1760321039914</v>
      </c>
    </row>
    <row r="7611" spans="1:11" ht="12.45">
      <c r="A7611" s="2" t="str">
        <f ca="1">IFERROR(__xludf.DUMMYFUNCTION("""COMPUTED_VALUE"""),"1741505820696")</f>
        <v>1741505820696</v>
      </c>
      <c r="B7611" s="2"/>
      <c r="C7611" s="2" t="str">
        <v>0</v>
      </c>
      <c r="D7611" s="2"/>
      <c r="F7611" s="2" t="str">
        <v>0</v>
      </c>
      <c r="I7611" s="3" t="str">
        <f ca="1">IFERROR(__xludf.DUMMYFUNCTION("""COMPUTED_VALUE"""),"Nguyễn Tuấn Khôi ")</f>
        <v xml:space="preserve">Nguyễn Tuấn Khôi </v>
      </c>
      <c r="J7611" s="3" t="str">
        <f ca="1">IFERROR(__xludf.DUMMYFUNCTION("""COMPUTED_VALUE"""),"0826442537")</f>
        <v>0826442537</v>
      </c>
      <c r="K7611" s="2" t="str">
        <f ca="1">IFERROR(__xludf.DUMMYFUNCTION("""COMPUTED_VALUE"""),"1741505820696")</f>
        <v>1741505820696</v>
      </c>
    </row>
    <row r="7612" spans="1:11" ht="12.45">
      <c r="A7612" s="2" t="str">
        <f ca="1">IFERROR(__xludf.DUMMYFUNCTION("""COMPUTED_VALUE"""),"1741505893873")</f>
        <v>1741505893873</v>
      </c>
      <c r="B7612" s="2"/>
      <c r="C7612" s="2" t="str">
        <v>0</v>
      </c>
      <c r="D7612" s="2"/>
      <c r="F7612" s="2" t="str">
        <v>0</v>
      </c>
      <c r="I7612" s="3" t="str">
        <f ca="1">IFERROR(__xludf.DUMMYFUNCTION("""COMPUTED_VALUE"""),"dương thu phương")</f>
        <v>dương thu phương</v>
      </c>
      <c r="J7612" s="3" t="str">
        <f ca="1">IFERROR(__xludf.DUMMYFUNCTION("""COMPUTED_VALUE"""),"0399670628")</f>
        <v>0399670628</v>
      </c>
      <c r="K7612" s="2" t="str">
        <f ca="1">IFERROR(__xludf.DUMMYFUNCTION("""COMPUTED_VALUE"""),"1741505893873")</f>
        <v>1741505893873</v>
      </c>
    </row>
    <row r="7613" spans="1:11" ht="12.45">
      <c r="A7613" s="2" t="str">
        <f ca="1">IFERROR(__xludf.DUMMYFUNCTION("""COMPUTED_VALUE"""),"1760321088373")</f>
        <v>1760321088373</v>
      </c>
      <c r="B7613" s="2"/>
      <c r="C7613" s="2" t="str">
        <v>0</v>
      </c>
      <c r="D7613" s="2"/>
      <c r="F7613" s="2" t="str">
        <v>0</v>
      </c>
      <c r="I7613" s="3" t="str">
        <f ca="1">IFERROR(__xludf.DUMMYFUNCTION("""COMPUTED_VALUE"""),"Võ Huyền Diệu")</f>
        <v>Võ Huyền Diệu</v>
      </c>
      <c r="J7613" s="3" t="str">
        <f ca="1">IFERROR(__xludf.DUMMYFUNCTION("""COMPUTED_VALUE"""),"0911188995")</f>
        <v>0911188995</v>
      </c>
      <c r="K7613" s="2" t="str">
        <f ca="1">IFERROR(__xludf.DUMMYFUNCTION("""COMPUTED_VALUE"""),"1760321088373")</f>
        <v>1760321088373</v>
      </c>
    </row>
    <row r="7614" spans="1:11" ht="12.45">
      <c r="A7614" s="2" t="str">
        <f ca="1">IFERROR(__xludf.DUMMYFUNCTION("""COMPUTED_VALUE"""),"1760321139734")</f>
        <v>1760321139734</v>
      </c>
      <c r="B7614" s="2"/>
      <c r="C7614" s="2" t="str">
        <v>0</v>
      </c>
      <c r="D7614" s="2"/>
      <c r="F7614" s="2" t="str">
        <v>0</v>
      </c>
      <c r="I7614" s="3" t="str">
        <f ca="1">IFERROR(__xludf.DUMMYFUNCTION("""COMPUTED_VALUE"""),"Lê Nhật Gia Thịnh")</f>
        <v>Lê Nhật Gia Thịnh</v>
      </c>
      <c r="J7614" s="3" t="str">
        <f ca="1">IFERROR(__xludf.DUMMYFUNCTION("""COMPUTED_VALUE"""),"0869874429")</f>
        <v>0869874429</v>
      </c>
      <c r="K7614" s="2" t="str">
        <f ca="1">IFERROR(__xludf.DUMMYFUNCTION("""COMPUTED_VALUE"""),"1760321139734")</f>
        <v>1760321139734</v>
      </c>
    </row>
    <row r="7615" spans="1:11" ht="12.45">
      <c r="A7615" s="2" t="str">
        <f ca="1">IFERROR(__xludf.DUMMYFUNCTION("""COMPUTED_VALUE"""),"1742306052395")</f>
        <v>1742306052395</v>
      </c>
      <c r="B7615" s="2"/>
      <c r="C7615" s="2" t="str">
        <v>0</v>
      </c>
      <c r="D7615" s="2"/>
      <c r="F7615" s="2" t="str">
        <v>0</v>
      </c>
      <c r="I7615" s="3" t="str">
        <f ca="1">IFERROR(__xludf.DUMMYFUNCTION("""COMPUTED_VALUE"""),"Tôn Nữ Thùy Ninh")</f>
        <v>Tôn Nữ Thùy Ninh</v>
      </c>
      <c r="J7615" s="3" t="str">
        <f ca="1">IFERROR(__xludf.DUMMYFUNCTION("""COMPUTED_VALUE"""),"0944022231")</f>
        <v>0944022231</v>
      </c>
      <c r="K7615" s="2" t="str">
        <f ca="1">IFERROR(__xludf.DUMMYFUNCTION("""COMPUTED_VALUE"""),"1742306052395")</f>
        <v>1742306052395</v>
      </c>
    </row>
    <row r="7616" spans="1:11" ht="12.45">
      <c r="A7616" s="2" t="str">
        <f ca="1">IFERROR(__xludf.DUMMYFUNCTION("""COMPUTED_VALUE"""),"1760321208208")</f>
        <v>1760321208208</v>
      </c>
      <c r="B7616" s="2"/>
      <c r="C7616" s="2" t="str">
        <v>0</v>
      </c>
      <c r="D7616" s="2"/>
      <c r="F7616" s="2" t="str">
        <v>0</v>
      </c>
      <c r="I7616" s="3" t="str">
        <f ca="1">IFERROR(__xludf.DUMMYFUNCTION("""COMPUTED_VALUE"""),"Nguyễn Lê Thanh Huyền")</f>
        <v>Nguyễn Lê Thanh Huyền</v>
      </c>
      <c r="J7616" s="3" t="str">
        <f ca="1">IFERROR(__xludf.DUMMYFUNCTION("""COMPUTED_VALUE"""),"0868741477")</f>
        <v>0868741477</v>
      </c>
      <c r="K7616" s="2" t="str">
        <f ca="1">IFERROR(__xludf.DUMMYFUNCTION("""COMPUTED_VALUE"""),"1760321208208")</f>
        <v>1760321208208</v>
      </c>
    </row>
    <row r="7617" spans="1:11" ht="12.45">
      <c r="A7617" s="2" t="str">
        <f ca="1">IFERROR(__xludf.DUMMYFUNCTION("""COMPUTED_VALUE"""),"1760321257106")</f>
        <v>1760321257106</v>
      </c>
      <c r="B7617" s="2"/>
      <c r="C7617" s="2" t="str">
        <v>0</v>
      </c>
      <c r="D7617" s="2"/>
      <c r="F7617" s="2" t="str">
        <v>0</v>
      </c>
      <c r="I7617" s="3" t="str">
        <f ca="1">IFERROR(__xludf.DUMMYFUNCTION("""COMPUTED_VALUE"""),"Trần Thị Vi Anh")</f>
        <v>Trần Thị Vi Anh</v>
      </c>
      <c r="J7617" s="3" t="str">
        <f ca="1">IFERROR(__xludf.DUMMYFUNCTION("""COMPUTED_VALUE"""),"0817945503")</f>
        <v>0817945503</v>
      </c>
      <c r="K7617" s="2" t="str">
        <f ca="1">IFERROR(__xludf.DUMMYFUNCTION("""COMPUTED_VALUE"""),"1760321257106")</f>
        <v>1760321257106</v>
      </c>
    </row>
    <row r="7618" spans="1:11" ht="12.45">
      <c r="A7618" s="2" t="str">
        <f ca="1">IFERROR(__xludf.DUMMYFUNCTION("""COMPUTED_VALUE"""),"1741505996852")</f>
        <v>1741505996852</v>
      </c>
      <c r="B7618" s="2"/>
      <c r="C7618" s="2" t="str">
        <v>0</v>
      </c>
      <c r="D7618" s="2"/>
      <c r="F7618" s="2" t="str">
        <v>0</v>
      </c>
      <c r="I7618" s="3" t="str">
        <f ca="1">IFERROR(__xludf.DUMMYFUNCTION("""COMPUTED_VALUE"""),"Nguyễn Thị Phương Thảo")</f>
        <v>Nguyễn Thị Phương Thảo</v>
      </c>
      <c r="J7618" s="3" t="str">
        <f ca="1">IFERROR(__xludf.DUMMYFUNCTION("""COMPUTED_VALUE"""),"0989712971")</f>
        <v>0989712971</v>
      </c>
      <c r="K7618" s="2" t="str">
        <f ca="1">IFERROR(__xludf.DUMMYFUNCTION("""COMPUTED_VALUE"""),"1741505996852")</f>
        <v>1741505996852</v>
      </c>
    </row>
    <row r="7619" spans="1:11" ht="12.45">
      <c r="A7619" s="2" t="str">
        <f ca="1">IFERROR(__xludf.DUMMYFUNCTION("""COMPUTED_VALUE"""),"1760321299934")</f>
        <v>1760321299934</v>
      </c>
      <c r="B7619" s="2"/>
      <c r="C7619" s="2" t="str">
        <v>0</v>
      </c>
      <c r="D7619" s="2"/>
      <c r="F7619" s="2" t="str">
        <v>0</v>
      </c>
      <c r="I7619" s="3" t="str">
        <f ca="1">IFERROR(__xludf.DUMMYFUNCTION("""COMPUTED_VALUE"""),"Nguyễn Thị Diệu Linh")</f>
        <v>Nguyễn Thị Diệu Linh</v>
      </c>
      <c r="J7619" s="3" t="str">
        <f ca="1">IFERROR(__xludf.DUMMYFUNCTION("""COMPUTED_VALUE"""),"0921990923")</f>
        <v>0921990923</v>
      </c>
      <c r="K7619" s="2" t="str">
        <f ca="1">IFERROR(__xludf.DUMMYFUNCTION("""COMPUTED_VALUE"""),"1760321299934")</f>
        <v>1760321299934</v>
      </c>
    </row>
    <row r="7620" spans="1:11" ht="12.45">
      <c r="A7620" s="2" t="str">
        <f ca="1">IFERROR(__xludf.DUMMYFUNCTION("""COMPUTED_VALUE"""),"1742306107393")</f>
        <v>1742306107393</v>
      </c>
      <c r="B7620" s="2"/>
      <c r="C7620" s="2" t="str">
        <v>0</v>
      </c>
      <c r="D7620" s="2"/>
      <c r="F7620" s="2" t="str">
        <v>0</v>
      </c>
      <c r="I7620" s="3" t="str">
        <f ca="1">IFERROR(__xludf.DUMMYFUNCTION("""COMPUTED_VALUE"""),"Nguyễn Tân Tiến")</f>
        <v>Nguyễn Tân Tiến</v>
      </c>
      <c r="J7620" s="3" t="str">
        <f ca="1">IFERROR(__xludf.DUMMYFUNCTION("""COMPUTED_VALUE"""),"0565711859")</f>
        <v>0565711859</v>
      </c>
      <c r="K7620" s="2" t="str">
        <f ca="1">IFERROR(__xludf.DUMMYFUNCTION("""COMPUTED_VALUE"""),"1742306107393")</f>
        <v>1742306107393</v>
      </c>
    </row>
    <row r="7621" spans="1:11" ht="12.45">
      <c r="A7621" s="2" t="str">
        <f ca="1">IFERROR(__xludf.DUMMYFUNCTION("""COMPUTED_VALUE"""),"1760321358500")</f>
        <v>1760321358500</v>
      </c>
      <c r="B7621" s="2"/>
      <c r="C7621" s="2" t="str">
        <v>0</v>
      </c>
      <c r="D7621" s="2"/>
      <c r="F7621" s="2" t="str">
        <v>0</v>
      </c>
      <c r="I7621" s="3" t="str">
        <f ca="1">IFERROR(__xludf.DUMMYFUNCTION("""COMPUTED_VALUE"""),"Nguyễn Thái Thanh")</f>
        <v>Nguyễn Thái Thanh</v>
      </c>
      <c r="J7621" s="3" t="str">
        <f ca="1">IFERROR(__xludf.DUMMYFUNCTION("""COMPUTED_VALUE"""),"0836726222")</f>
        <v>0836726222</v>
      </c>
      <c r="K7621" s="2" t="str">
        <f ca="1">IFERROR(__xludf.DUMMYFUNCTION("""COMPUTED_VALUE"""),"1760321358500")</f>
        <v>1760321358500</v>
      </c>
    </row>
    <row r="7622" spans="1:11" ht="12.45">
      <c r="A7622" s="2" t="str">
        <f ca="1">IFERROR(__xludf.DUMMYFUNCTION("""COMPUTED_VALUE"""),"1760321440331")</f>
        <v>1760321440331</v>
      </c>
      <c r="B7622" s="2"/>
      <c r="C7622" s="2" t="str">
        <v>0</v>
      </c>
      <c r="D7622" s="2"/>
      <c r="F7622" s="2" t="str">
        <v>0</v>
      </c>
      <c r="I7622" s="3" t="str">
        <f ca="1">IFERROR(__xludf.DUMMYFUNCTION("""COMPUTED_VALUE"""),"Bùi Thị Ngọc Uyên")</f>
        <v>Bùi Thị Ngọc Uyên</v>
      </c>
      <c r="J7622" s="3" t="str">
        <f ca="1">IFERROR(__xludf.DUMMYFUNCTION("""COMPUTED_VALUE"""),"0989450459")</f>
        <v>0989450459</v>
      </c>
      <c r="K7622" s="2" t="str">
        <f ca="1">IFERROR(__xludf.DUMMYFUNCTION("""COMPUTED_VALUE"""),"1760321440331")</f>
        <v>1760321440331</v>
      </c>
    </row>
    <row r="7623" spans="1:11" ht="12.45">
      <c r="A7623" s="2" t="str">
        <f ca="1">IFERROR(__xludf.DUMMYFUNCTION("""COMPUTED_VALUE"""),"1741506082738")</f>
        <v>1741506082738</v>
      </c>
      <c r="B7623" s="2"/>
      <c r="C7623" s="2" t="str">
        <v>0</v>
      </c>
      <c r="D7623" s="2"/>
      <c r="F7623" s="2" t="str">
        <v>0</v>
      </c>
      <c r="I7623" s="3" t="str">
        <f ca="1">IFERROR(__xludf.DUMMYFUNCTION("""COMPUTED_VALUE"""),"Nguyễn Thị Thanh Huyền ")</f>
        <v xml:space="preserve">Nguyễn Thị Thanh Huyền </v>
      </c>
      <c r="J7623" s="3" t="str">
        <f ca="1">IFERROR(__xludf.DUMMYFUNCTION("""COMPUTED_VALUE"""),"0965511456")</f>
        <v>0965511456</v>
      </c>
      <c r="K7623" s="2" t="str">
        <f ca="1">IFERROR(__xludf.DUMMYFUNCTION("""COMPUTED_VALUE"""),"1741506082738")</f>
        <v>1741506082738</v>
      </c>
    </row>
    <row r="7624" spans="1:11" ht="12.45">
      <c r="A7624" s="2" t="str">
        <f ca="1">IFERROR(__xludf.DUMMYFUNCTION("""COMPUTED_VALUE"""),"1760321481296")</f>
        <v>1760321481296</v>
      </c>
      <c r="B7624" s="2"/>
      <c r="C7624" s="2" t="str">
        <v>0</v>
      </c>
      <c r="D7624" s="2"/>
      <c r="F7624" s="2" t="str">
        <v>0</v>
      </c>
      <c r="I7624" s="3" t="str">
        <f ca="1">IFERROR(__xludf.DUMMYFUNCTION("""COMPUTED_VALUE"""),"Nguyễn Phương Hạnh Nguyên")</f>
        <v>Nguyễn Phương Hạnh Nguyên</v>
      </c>
      <c r="J7624" s="3" t="str">
        <f ca="1">IFERROR(__xludf.DUMMYFUNCTION("""COMPUTED_VALUE"""),"0972424968")</f>
        <v>0972424968</v>
      </c>
      <c r="K7624" s="2" t="str">
        <f ca="1">IFERROR(__xludf.DUMMYFUNCTION("""COMPUTED_VALUE"""),"1760321481296")</f>
        <v>1760321481296</v>
      </c>
    </row>
    <row r="7625" spans="1:11" ht="12.45">
      <c r="A7625" s="2" t="str">
        <f ca="1">IFERROR(__xludf.DUMMYFUNCTION("""COMPUTED_VALUE"""),"1742306171621")</f>
        <v>1742306171621</v>
      </c>
      <c r="B7625" s="2"/>
      <c r="C7625" s="2" t="str">
        <v>0</v>
      </c>
      <c r="D7625" s="2"/>
      <c r="F7625" s="2" t="str">
        <v>0</v>
      </c>
      <c r="I7625" s="3" t="str">
        <f ca="1">IFERROR(__xludf.DUMMYFUNCTION("""COMPUTED_VALUE"""),"Hoàng Xuân Hiệp")</f>
        <v>Hoàng Xuân Hiệp</v>
      </c>
      <c r="J7625" s="3" t="str">
        <f ca="1">IFERROR(__xludf.DUMMYFUNCTION("""COMPUTED_VALUE"""),"0355612083")</f>
        <v>0355612083</v>
      </c>
      <c r="K7625" s="2" t="str">
        <f ca="1">IFERROR(__xludf.DUMMYFUNCTION("""COMPUTED_VALUE"""),"1742306171621")</f>
        <v>1742306171621</v>
      </c>
    </row>
    <row r="7626" spans="1:11" ht="12.45">
      <c r="A7626" s="2" t="str">
        <f ca="1">IFERROR(__xludf.DUMMYFUNCTION("""COMPUTED_VALUE"""),"1742306249355")</f>
        <v>1742306249355</v>
      </c>
      <c r="B7626" s="2"/>
      <c r="C7626" s="2" t="str">
        <v>0</v>
      </c>
      <c r="D7626" s="2"/>
      <c r="F7626" s="2" t="str">
        <v>0</v>
      </c>
      <c r="I7626" s="3" t="str">
        <f ca="1">IFERROR(__xludf.DUMMYFUNCTION("""COMPUTED_VALUE"""),"Đào Ngọc Diệp")</f>
        <v>Đào Ngọc Diệp</v>
      </c>
      <c r="J7626" s="3" t="str">
        <f ca="1">IFERROR(__xludf.DUMMYFUNCTION("""COMPUTED_VALUE"""),"0857033129")</f>
        <v>0857033129</v>
      </c>
      <c r="K7626" s="2" t="str">
        <f ca="1">IFERROR(__xludf.DUMMYFUNCTION("""COMPUTED_VALUE"""),"1742306249355")</f>
        <v>1742306249355</v>
      </c>
    </row>
    <row r="7627" spans="1:11" ht="12.45">
      <c r="A7627" s="2" t="str">
        <f ca="1">IFERROR(__xludf.DUMMYFUNCTION("""COMPUTED_VALUE"""),"k gửi sách")</f>
        <v>k gửi sách</v>
      </c>
      <c r="B7627" s="2"/>
      <c r="C7627" s="2" t="str">
        <v>0</v>
      </c>
      <c r="D7627" s="2"/>
      <c r="F7627" s="2" t="str">
        <v>0</v>
      </c>
      <c r="I7627" s="3" t="str">
        <f ca="1">IFERROR(__xludf.DUMMYFUNCTION("""COMPUTED_VALUE"""),"Trần Như Huỳnh")</f>
        <v>Trần Như Huỳnh</v>
      </c>
      <c r="J7627" s="3" t="str">
        <f ca="1">IFERROR(__xludf.DUMMYFUNCTION("""COMPUTED_VALUE"""),"0912818605")</f>
        <v>0912818605</v>
      </c>
      <c r="K7627" s="2" t="str">
        <f ca="1">IFERROR(__xludf.DUMMYFUNCTION("""COMPUTED_VALUE"""),"k gửi sách")</f>
        <v>k gửi sách</v>
      </c>
    </row>
    <row r="7628" spans="1:11" ht="12.45">
      <c r="A7628" s="2" t="str">
        <f ca="1">IFERROR(__xludf.DUMMYFUNCTION("""COMPUTED_VALUE"""),"1742306293079")</f>
        <v>1742306293079</v>
      </c>
      <c r="B7628" s="2"/>
      <c r="C7628" s="2" t="str">
        <v>0</v>
      </c>
      <c r="D7628" s="2"/>
      <c r="F7628" s="2" t="str">
        <v>0</v>
      </c>
      <c r="I7628" s="3" t="str">
        <f ca="1">IFERROR(__xludf.DUMMYFUNCTION("""COMPUTED_VALUE"""),"Lê Nguyễn Anh Long")</f>
        <v>Lê Nguyễn Anh Long</v>
      </c>
      <c r="J7628" s="3" t="str">
        <f ca="1">IFERROR(__xludf.DUMMYFUNCTION("""COMPUTED_VALUE"""),"0879854886")</f>
        <v>0879854886</v>
      </c>
      <c r="K7628" s="2" t="str">
        <f ca="1">IFERROR(__xludf.DUMMYFUNCTION("""COMPUTED_VALUE"""),"1742306293079")</f>
        <v>1742306293079</v>
      </c>
    </row>
    <row r="7629" spans="1:11" ht="12.45">
      <c r="A7629" s="2" t="str">
        <f ca="1">IFERROR(__xludf.DUMMYFUNCTION("""COMPUTED_VALUE"""),"1742306343707")</f>
        <v>1742306343707</v>
      </c>
      <c r="B7629" s="2"/>
      <c r="C7629" s="2" t="str">
        <v>0</v>
      </c>
      <c r="D7629" s="2"/>
      <c r="F7629" s="2" t="str">
        <v>0</v>
      </c>
      <c r="I7629" s="3" t="str">
        <f ca="1">IFERROR(__xludf.DUMMYFUNCTION("""COMPUTED_VALUE"""),"Chau Si Linh")</f>
        <v>Chau Si Linh</v>
      </c>
      <c r="J7629" s="3" t="str">
        <f ca="1">IFERROR(__xludf.DUMMYFUNCTION("""COMPUTED_VALUE"""),"0396395143")</f>
        <v>0396395143</v>
      </c>
      <c r="K7629" s="2" t="str">
        <f ca="1">IFERROR(__xludf.DUMMYFUNCTION("""COMPUTED_VALUE"""),"1742306343707")</f>
        <v>1742306343707</v>
      </c>
    </row>
    <row r="7630" spans="1:11" ht="12.45">
      <c r="A7630" s="2" t="str">
        <f ca="1">IFERROR(__xludf.DUMMYFUNCTION("""COMPUTED_VALUE"""),"1760321525117")</f>
        <v>1760321525117</v>
      </c>
      <c r="B7630" s="2"/>
      <c r="C7630" s="2" t="str">
        <v>0</v>
      </c>
      <c r="D7630" s="2"/>
      <c r="F7630" s="2" t="str">
        <v>0</v>
      </c>
      <c r="I7630" s="3" t="str">
        <f ca="1">IFERROR(__xludf.DUMMYFUNCTION("""COMPUTED_VALUE"""),"Chu Tuyết Ngân ")</f>
        <v xml:space="preserve">Chu Tuyết Ngân </v>
      </c>
      <c r="J7630" s="3" t="str">
        <f ca="1">IFERROR(__xludf.DUMMYFUNCTION("""COMPUTED_VALUE"""),"0865451252")</f>
        <v>0865451252</v>
      </c>
      <c r="K7630" s="2" t="str">
        <f ca="1">IFERROR(__xludf.DUMMYFUNCTION("""COMPUTED_VALUE"""),"1760321525117")</f>
        <v>1760321525117</v>
      </c>
    </row>
    <row r="7631" spans="1:11" ht="12.45">
      <c r="A7631" s="2" t="str">
        <f ca="1">IFERROR(__xludf.DUMMYFUNCTION("""COMPUTED_VALUE"""),"1742306389598")</f>
        <v>1742306389598</v>
      </c>
      <c r="B7631" s="2"/>
      <c r="C7631" s="2" t="str">
        <v>0</v>
      </c>
      <c r="D7631" s="2"/>
      <c r="F7631" s="2" t="str">
        <v>0</v>
      </c>
      <c r="I7631" s="3" t="str">
        <f ca="1">IFERROR(__xludf.DUMMYFUNCTION("""COMPUTED_VALUE"""),"Nguyễn Thanh Lâm ")</f>
        <v xml:space="preserve">Nguyễn Thanh Lâm </v>
      </c>
      <c r="J7631" s="3" t="str">
        <f ca="1">IFERROR(__xludf.DUMMYFUNCTION("""COMPUTED_VALUE"""),"0766826151")</f>
        <v>0766826151</v>
      </c>
      <c r="K7631" s="2" t="str">
        <f ca="1">IFERROR(__xludf.DUMMYFUNCTION("""COMPUTED_VALUE"""),"1742306389598")</f>
        <v>1742306389598</v>
      </c>
    </row>
    <row r="7632" spans="1:11" ht="12.45">
      <c r="A7632" s="2" t="str">
        <f ca="1">IFERROR(__xludf.DUMMYFUNCTION("""COMPUTED_VALUE"""),"1760321563845")</f>
        <v>1760321563845</v>
      </c>
      <c r="B7632" s="2"/>
      <c r="C7632" s="2" t="str">
        <v>0</v>
      </c>
      <c r="D7632" s="2"/>
      <c r="F7632" s="2" t="str">
        <v>0</v>
      </c>
      <c r="I7632" s="3" t="str">
        <f ca="1">IFERROR(__xludf.DUMMYFUNCTION("""COMPUTED_VALUE"""),"Phạm thị trường anh")</f>
        <v>Phạm thị trường anh</v>
      </c>
      <c r="J7632" s="3" t="str">
        <f ca="1">IFERROR(__xludf.DUMMYFUNCTION("""COMPUTED_VALUE"""),"0344306132")</f>
        <v>0344306132</v>
      </c>
      <c r="K7632" s="2" t="str">
        <f ca="1">IFERROR(__xludf.DUMMYFUNCTION("""COMPUTED_VALUE"""),"1760321563845")</f>
        <v>1760321563845</v>
      </c>
    </row>
    <row r="7633" spans="1:11" ht="12.45">
      <c r="A7633" s="2" t="str">
        <f ca="1">IFERROR(__xludf.DUMMYFUNCTION("""COMPUTED_VALUE"""),"1741506139970")</f>
        <v>1741506139970</v>
      </c>
      <c r="B7633" s="2"/>
      <c r="C7633" s="2" t="str">
        <v>0</v>
      </c>
      <c r="D7633" s="2"/>
      <c r="F7633" s="2" t="str">
        <v>0</v>
      </c>
      <c r="I7633" s="3" t="str">
        <f ca="1">IFERROR(__xludf.DUMMYFUNCTION("""COMPUTED_VALUE"""),"Huỳnh Nguyễn Mỹ Hạnh")</f>
        <v>Huỳnh Nguyễn Mỹ Hạnh</v>
      </c>
      <c r="J7633" s="3" t="str">
        <f ca="1">IFERROR(__xludf.DUMMYFUNCTION("""COMPUTED_VALUE"""),"0786141106")</f>
        <v>0786141106</v>
      </c>
      <c r="K7633" s="2" t="str">
        <f ca="1">IFERROR(__xludf.DUMMYFUNCTION("""COMPUTED_VALUE"""),"1741506139970")</f>
        <v>1741506139970</v>
      </c>
    </row>
    <row r="7634" spans="1:11" ht="12.45">
      <c r="A7634" s="2" t="str">
        <f ca="1">IFERROR(__xludf.DUMMYFUNCTION("""COMPUTED_VALUE"""),"1742306431641")</f>
        <v>1742306431641</v>
      </c>
      <c r="B7634" s="2"/>
      <c r="C7634" s="2" t="str">
        <v>0</v>
      </c>
      <c r="D7634" s="2"/>
      <c r="F7634" s="2" t="str">
        <v>0</v>
      </c>
      <c r="I7634" s="3" t="str">
        <f ca="1">IFERROR(__xludf.DUMMYFUNCTION("""COMPUTED_VALUE"""),"Trần Thị Minh Thi")</f>
        <v>Trần Thị Minh Thi</v>
      </c>
      <c r="J7634" s="3" t="str">
        <f ca="1">IFERROR(__xludf.DUMMYFUNCTION("""COMPUTED_VALUE"""),"0981485517")</f>
        <v>0981485517</v>
      </c>
      <c r="K7634" s="2" t="str">
        <f ca="1">IFERROR(__xludf.DUMMYFUNCTION("""COMPUTED_VALUE"""),"1742306431641")</f>
        <v>1742306431641</v>
      </c>
    </row>
    <row r="7635" spans="1:11" ht="12.45">
      <c r="A7635" s="2" t="str">
        <f ca="1">IFERROR(__xludf.DUMMYFUNCTION("""COMPUTED_VALUE"""),"1760321620296")</f>
        <v>1760321620296</v>
      </c>
      <c r="B7635" s="2"/>
      <c r="C7635" s="2" t="str">
        <v>0</v>
      </c>
      <c r="D7635" s="2"/>
      <c r="F7635" s="2" t="str">
        <v>0</v>
      </c>
      <c r="I7635" s="3" t="str">
        <f ca="1">IFERROR(__xludf.DUMMYFUNCTION("""COMPUTED_VALUE"""),"Nguyễn Như Ngọc")</f>
        <v>Nguyễn Như Ngọc</v>
      </c>
      <c r="J7635" s="3" t="str">
        <f ca="1">IFERROR(__xludf.DUMMYFUNCTION("""COMPUTED_VALUE"""),"0345621007")</f>
        <v>0345621007</v>
      </c>
      <c r="K7635" s="2" t="str">
        <f ca="1">IFERROR(__xludf.DUMMYFUNCTION("""COMPUTED_VALUE"""),"1760321620296")</f>
        <v>1760321620296</v>
      </c>
    </row>
    <row r="7636" spans="1:11" ht="12.45">
      <c r="A7636" s="2" t="str">
        <f ca="1">IFERROR(__xludf.DUMMYFUNCTION("""COMPUTED_VALUE"""),"1760321670506")</f>
        <v>1760321670506</v>
      </c>
      <c r="B7636" s="2"/>
      <c r="C7636" s="2" t="str">
        <v>0</v>
      </c>
      <c r="D7636" s="2"/>
      <c r="F7636" s="2" t="str">
        <v>0</v>
      </c>
      <c r="I7636" s="3" t="str">
        <f ca="1">IFERROR(__xludf.DUMMYFUNCTION("""COMPUTED_VALUE"""),"Phạm Minh Ngọc")</f>
        <v>Phạm Minh Ngọc</v>
      </c>
      <c r="J7636" s="3" t="str">
        <f ca="1">IFERROR(__xludf.DUMMYFUNCTION("""COMPUTED_VALUE"""),"0961889389")</f>
        <v>0961889389</v>
      </c>
      <c r="K7636" s="2" t="str">
        <f ca="1">IFERROR(__xludf.DUMMYFUNCTION("""COMPUTED_VALUE"""),"1760321670506")</f>
        <v>1760321670506</v>
      </c>
    </row>
    <row r="7637" spans="1:11" ht="12.45">
      <c r="A7637" s="2" t="str">
        <f ca="1">IFERROR(__xludf.DUMMYFUNCTION("""COMPUTED_VALUE"""),"1742306490545")</f>
        <v>1742306490545</v>
      </c>
      <c r="B7637" s="2"/>
      <c r="C7637" s="2" t="str">
        <v>0</v>
      </c>
      <c r="D7637" s="2"/>
      <c r="F7637" s="2" t="str">
        <v>0</v>
      </c>
      <c r="I7637" s="3" t="str">
        <f ca="1">IFERROR(__xludf.DUMMYFUNCTION("""COMPUTED_VALUE"""),"Hoàng Hải Nam")</f>
        <v>Hoàng Hải Nam</v>
      </c>
      <c r="J7637" s="3" t="str">
        <f ca="1">IFERROR(__xludf.DUMMYFUNCTION("""COMPUTED_VALUE"""),"0845186662")</f>
        <v>0845186662</v>
      </c>
      <c r="K7637" s="2" t="str">
        <f ca="1">IFERROR(__xludf.DUMMYFUNCTION("""COMPUTED_VALUE"""),"1742306490545")</f>
        <v>1742306490545</v>
      </c>
    </row>
    <row r="7638" spans="1:11" ht="12.45">
      <c r="A7638" s="2" t="str">
        <f ca="1">IFERROR(__xludf.DUMMYFUNCTION("""COMPUTED_VALUE"""),"1760321719975")</f>
        <v>1760321719975</v>
      </c>
      <c r="B7638" s="2"/>
      <c r="C7638" s="2" t="str">
        <v>0</v>
      </c>
      <c r="D7638" s="2"/>
      <c r="F7638" s="2" t="str">
        <v>0</v>
      </c>
      <c r="I7638" s="3" t="str">
        <f ca="1">IFERROR(__xludf.DUMMYFUNCTION("""COMPUTED_VALUE"""),"Nguyễn Ngân Hà")</f>
        <v>Nguyễn Ngân Hà</v>
      </c>
      <c r="J7638" s="3" t="str">
        <f ca="1">IFERROR(__xludf.DUMMYFUNCTION("""COMPUTED_VALUE"""),"0356201244")</f>
        <v>0356201244</v>
      </c>
      <c r="K7638" s="2" t="str">
        <f ca="1">IFERROR(__xludf.DUMMYFUNCTION("""COMPUTED_VALUE"""),"1760321719975")</f>
        <v>1760321719975</v>
      </c>
    </row>
    <row r="7639" spans="1:11" ht="12.45">
      <c r="A7639" s="2" t="str">
        <f ca="1">IFERROR(__xludf.DUMMYFUNCTION("""COMPUTED_VALUE"""),"1760321783176")</f>
        <v>1760321783176</v>
      </c>
      <c r="B7639" s="2"/>
      <c r="C7639" s="2" t="str">
        <v>0</v>
      </c>
      <c r="D7639" s="2"/>
      <c r="F7639" s="2" t="str">
        <v>0</v>
      </c>
      <c r="I7639" s="3" t="str">
        <f ca="1">IFERROR(__xludf.DUMMYFUNCTION("""COMPUTED_VALUE"""),"Nông Hoàng Hà")</f>
        <v>Nông Hoàng Hà</v>
      </c>
      <c r="J7639" s="3" t="str">
        <f ca="1">IFERROR(__xludf.DUMMYFUNCTION("""COMPUTED_VALUE"""),"0818680006")</f>
        <v>0818680006</v>
      </c>
      <c r="K7639" s="2" t="str">
        <f ca="1">IFERROR(__xludf.DUMMYFUNCTION("""COMPUTED_VALUE"""),"1760321783176")</f>
        <v>1760321783176</v>
      </c>
    </row>
    <row r="7640" spans="1:11" ht="12.45">
      <c r="A7640" s="2" t="str">
        <f ca="1">IFERROR(__xludf.DUMMYFUNCTION("""COMPUTED_VALUE"""),"1760321828968")</f>
        <v>1760321828968</v>
      </c>
      <c r="B7640" s="2"/>
      <c r="C7640" s="2" t="str">
        <v>0</v>
      </c>
      <c r="D7640" s="2"/>
      <c r="F7640" s="2" t="str">
        <v>0</v>
      </c>
      <c r="I7640" s="3" t="str">
        <f ca="1">IFERROR(__xludf.DUMMYFUNCTION("""COMPUTED_VALUE"""),"Trần Lê Uyên")</f>
        <v>Trần Lê Uyên</v>
      </c>
      <c r="J7640" s="3" t="str">
        <f ca="1">IFERROR(__xludf.DUMMYFUNCTION("""COMPUTED_VALUE"""),"0783739219")</f>
        <v>0783739219</v>
      </c>
      <c r="K7640" s="2" t="str">
        <f ca="1">IFERROR(__xludf.DUMMYFUNCTION("""COMPUTED_VALUE"""),"1760321828968")</f>
        <v>1760321828968</v>
      </c>
    </row>
    <row r="7641" spans="1:11" ht="12.45">
      <c r="A7641" s="2" t="str">
        <f ca="1">IFERROR(__xludf.DUMMYFUNCTION("""COMPUTED_VALUE"""),"1742306562662")</f>
        <v>1742306562662</v>
      </c>
      <c r="B7641" s="2"/>
      <c r="C7641" s="2" t="str">
        <v>0</v>
      </c>
      <c r="D7641" s="2"/>
      <c r="F7641" s="2" t="str">
        <v>0</v>
      </c>
      <c r="I7641" s="3" t="str">
        <f ca="1">IFERROR(__xludf.DUMMYFUNCTION("""COMPUTED_VALUE"""),"Nguyễn Thanh thuỳ")</f>
        <v>Nguyễn Thanh thuỳ</v>
      </c>
      <c r="J7641" s="3" t="str">
        <f ca="1">IFERROR(__xludf.DUMMYFUNCTION("""COMPUTED_VALUE"""),"0971839543")</f>
        <v>0971839543</v>
      </c>
      <c r="K7641" s="2" t="str">
        <f ca="1">IFERROR(__xludf.DUMMYFUNCTION("""COMPUTED_VALUE"""),"1742306562662")</f>
        <v>1742306562662</v>
      </c>
    </row>
    <row r="7642" spans="1:11" ht="12.45">
      <c r="A7642" s="2"/>
      <c r="B7642" s="2"/>
      <c r="C7642" s="2" t="str">
        <v>0</v>
      </c>
      <c r="D7642" s="2"/>
      <c r="F7642" s="2" t="str">
        <v>0</v>
      </c>
      <c r="I7642" s="3" t="str">
        <f ca="1">IFERROR(__xludf.DUMMYFUNCTION("""COMPUTED_VALUE"""),"Lê Thị Thùy Vân")</f>
        <v>Lê Thị Thùy Vân</v>
      </c>
      <c r="J7642" s="3" t="str">
        <f ca="1">IFERROR(__xludf.DUMMYFUNCTION("""COMPUTED_VALUE"""),"0888804552")</f>
        <v>0888804552</v>
      </c>
      <c r="K7642" s="2"/>
    </row>
    <row r="7643" spans="1:11" ht="12.45">
      <c r="A7643" s="2" t="str">
        <f ca="1">IFERROR(__xludf.DUMMYFUNCTION("""COMPUTED_VALUE"""),"1742306629753")</f>
        <v>1742306629753</v>
      </c>
      <c r="B7643" s="2"/>
      <c r="C7643" s="2" t="str">
        <v>0</v>
      </c>
      <c r="D7643" s="2"/>
      <c r="F7643" s="2" t="str">
        <v>0</v>
      </c>
      <c r="I7643" s="3" t="str">
        <f ca="1">IFERROR(__xludf.DUMMYFUNCTION("""COMPUTED_VALUE"""),"Nguyễn Minh Luân")</f>
        <v>Nguyễn Minh Luân</v>
      </c>
      <c r="J7643" s="3" t="str">
        <f ca="1">IFERROR(__xludf.DUMMYFUNCTION("""COMPUTED_VALUE"""),"0368309899")</f>
        <v>0368309899</v>
      </c>
      <c r="K7643" s="2" t="str">
        <f ca="1">IFERROR(__xludf.DUMMYFUNCTION("""COMPUTED_VALUE"""),"1742306629753")</f>
        <v>1742306629753</v>
      </c>
    </row>
    <row r="7644" spans="1:11" ht="12.45">
      <c r="A7644" s="2"/>
      <c r="B7644" s="2"/>
      <c r="C7644" s="2" t="str">
        <v>0</v>
      </c>
      <c r="D7644" s="2"/>
      <c r="F7644" s="2" t="str">
        <v>0</v>
      </c>
      <c r="I7644" s="3" t="str">
        <f ca="1">IFERROR(__xludf.DUMMYFUNCTION("""COMPUTED_VALUE"""),"Lê Ngọc Mai")</f>
        <v>Lê Ngọc Mai</v>
      </c>
      <c r="J7644" s="3" t="str">
        <f ca="1">IFERROR(__xludf.DUMMYFUNCTION("""COMPUTED_VALUE"""),"0564641719")</f>
        <v>0564641719</v>
      </c>
      <c r="K7644" s="2"/>
    </row>
    <row r="7645" spans="1:11" ht="12.45">
      <c r="A7645" s="2" t="str">
        <f ca="1">IFERROR(__xludf.DUMMYFUNCTION("""COMPUTED_VALUE"""),"1742306677944")</f>
        <v>1742306677944</v>
      </c>
      <c r="B7645" s="2"/>
      <c r="C7645" s="2" t="str">
        <v>0</v>
      </c>
      <c r="D7645" s="2"/>
      <c r="F7645" s="2" t="str">
        <v>0</v>
      </c>
      <c r="I7645" s="3" t="str">
        <f ca="1">IFERROR(__xludf.DUMMYFUNCTION("""COMPUTED_VALUE"""),"Trần Thu Trang")</f>
        <v>Trần Thu Trang</v>
      </c>
      <c r="J7645" s="3" t="str">
        <f ca="1">IFERROR(__xludf.DUMMYFUNCTION("""COMPUTED_VALUE"""),"0988956137")</f>
        <v>0988956137</v>
      </c>
      <c r="K7645" s="2" t="str">
        <f ca="1">IFERROR(__xludf.DUMMYFUNCTION("""COMPUTED_VALUE"""),"1742306677944")</f>
        <v>1742306677944</v>
      </c>
    </row>
    <row r="7646" spans="1:11" ht="12.45">
      <c r="A7646" s="2" t="str">
        <f ca="1">IFERROR(__xludf.DUMMYFUNCTION("""COMPUTED_VALUE"""),"1742306744990")</f>
        <v>1742306744990</v>
      </c>
      <c r="B7646" s="2"/>
      <c r="C7646" s="2" t="str">
        <v>0</v>
      </c>
      <c r="D7646" s="2"/>
      <c r="F7646" s="2" t="str">
        <v>0</v>
      </c>
      <c r="I7646" s="3" t="str">
        <f ca="1">IFERROR(__xludf.DUMMYFUNCTION("""COMPUTED_VALUE"""),"Lê Thuý Hiền")</f>
        <v>Lê Thuý Hiền</v>
      </c>
      <c r="J7646" s="3" t="str">
        <f ca="1">IFERROR(__xludf.DUMMYFUNCTION("""COMPUTED_VALUE"""),"0812589744")</f>
        <v>0812589744</v>
      </c>
      <c r="K7646" s="2" t="str">
        <f ca="1">IFERROR(__xludf.DUMMYFUNCTION("""COMPUTED_VALUE"""),"1742306744990")</f>
        <v>1742306744990</v>
      </c>
    </row>
    <row r="7647" spans="1:11" ht="12.45">
      <c r="A7647" s="2" t="str">
        <f ca="1">IFERROR(__xludf.DUMMYFUNCTION("""COMPUTED_VALUE"""),"1742306799215")</f>
        <v>1742306799215</v>
      </c>
      <c r="B7647" s="2"/>
      <c r="C7647" s="2" t="str">
        <v>0</v>
      </c>
      <c r="D7647" s="2"/>
      <c r="F7647" s="2" t="str">
        <v>0</v>
      </c>
      <c r="I7647" s="3" t="str">
        <f ca="1">IFERROR(__xludf.DUMMYFUNCTION("""COMPUTED_VALUE"""),"Hoàng Bảo Minh")</f>
        <v>Hoàng Bảo Minh</v>
      </c>
      <c r="J7647" s="3" t="str">
        <f ca="1">IFERROR(__xludf.DUMMYFUNCTION("""COMPUTED_VALUE"""),"0966453780")</f>
        <v>0966453780</v>
      </c>
      <c r="K7647" s="2" t="str">
        <f ca="1">IFERROR(__xludf.DUMMYFUNCTION("""COMPUTED_VALUE"""),"1742306799215")</f>
        <v>1742306799215</v>
      </c>
    </row>
    <row r="7648" spans="1:11" ht="12.45">
      <c r="A7648" s="2" t="str">
        <f ca="1">IFERROR(__xludf.DUMMYFUNCTION("""COMPUTED_VALUE"""),"1741506207949")</f>
        <v>1741506207949</v>
      </c>
      <c r="B7648" s="2"/>
      <c r="C7648" s="2" t="str">
        <v>0</v>
      </c>
      <c r="D7648" s="2"/>
      <c r="F7648" s="2" t="str">
        <v>0</v>
      </c>
      <c r="I7648" s="3" t="str">
        <f ca="1">IFERROR(__xludf.DUMMYFUNCTION("""COMPUTED_VALUE"""),"Phùng Phương Anh ")</f>
        <v xml:space="preserve">Phùng Phương Anh </v>
      </c>
      <c r="J7648" s="3" t="str">
        <f ca="1">IFERROR(__xludf.DUMMYFUNCTION("""COMPUTED_VALUE"""),"0334361979")</f>
        <v>0334361979</v>
      </c>
      <c r="K7648" s="2" t="str">
        <f ca="1">IFERROR(__xludf.DUMMYFUNCTION("""COMPUTED_VALUE"""),"1741506207949")</f>
        <v>1741506207949</v>
      </c>
    </row>
    <row r="7649" spans="1:11" ht="12.45">
      <c r="A7649" s="2" t="str">
        <f ca="1">IFERROR(__xludf.DUMMYFUNCTION("""COMPUTED_VALUE"""),"1742306856461")</f>
        <v>1742306856461</v>
      </c>
      <c r="B7649" s="2"/>
      <c r="C7649" s="2" t="str">
        <v>0</v>
      </c>
      <c r="D7649" s="2"/>
      <c r="F7649" s="2" t="str">
        <v>0</v>
      </c>
      <c r="I7649" s="3" t="str">
        <f ca="1">IFERROR(__xludf.DUMMYFUNCTION("""COMPUTED_VALUE"""),"Phạm Phương Linh")</f>
        <v>Phạm Phương Linh</v>
      </c>
      <c r="J7649" s="3" t="str">
        <f ca="1">IFERROR(__xludf.DUMMYFUNCTION("""COMPUTED_VALUE"""),"0987288352")</f>
        <v>0987288352</v>
      </c>
      <c r="K7649" s="2" t="str">
        <f ca="1">IFERROR(__xludf.DUMMYFUNCTION("""COMPUTED_VALUE"""),"1742306856461")</f>
        <v>1742306856461</v>
      </c>
    </row>
    <row r="7650" spans="1:11" ht="12.45">
      <c r="A7650" s="2" t="str">
        <f ca="1">IFERROR(__xludf.DUMMYFUNCTION("""COMPUTED_VALUE"""),"1742306912679")</f>
        <v>1742306912679</v>
      </c>
      <c r="B7650" s="2"/>
      <c r="C7650" s="2" t="str">
        <v>0</v>
      </c>
      <c r="D7650" s="2"/>
      <c r="F7650" s="2" t="str">
        <v>0</v>
      </c>
      <c r="I7650" s="3" t="str">
        <f ca="1">IFERROR(__xludf.DUMMYFUNCTION("""COMPUTED_VALUE"""),"Hà Bảo Khanh")</f>
        <v>Hà Bảo Khanh</v>
      </c>
      <c r="J7650" s="3" t="str">
        <f ca="1">IFERROR(__xludf.DUMMYFUNCTION("""COMPUTED_VALUE"""),"0383969049")</f>
        <v>0383969049</v>
      </c>
      <c r="K7650" s="2" t="str">
        <f ca="1">IFERROR(__xludf.DUMMYFUNCTION("""COMPUTED_VALUE"""),"1742306912679")</f>
        <v>1742306912679</v>
      </c>
    </row>
    <row r="7651" spans="1:11" ht="12.45">
      <c r="A7651" s="2"/>
      <c r="B7651" s="2"/>
      <c r="C7651" s="2" t="str">
        <v>0</v>
      </c>
      <c r="D7651" s="2"/>
      <c r="F7651" s="2" t="str">
        <v>0</v>
      </c>
      <c r="I7651" s="3" t="str">
        <f ca="1">IFERROR(__xludf.DUMMYFUNCTION("""COMPUTED_VALUE"""),"TRẦN THỊ QUỲNH ")</f>
        <v xml:space="preserve">TRẦN THỊ QUỲNH </v>
      </c>
      <c r="J7651" s="3" t="str">
        <f ca="1">IFERROR(__xludf.DUMMYFUNCTION("""COMPUTED_VALUE"""),"0372079733")</f>
        <v>0372079733</v>
      </c>
      <c r="K7651" s="2"/>
    </row>
    <row r="7652" spans="1:11" ht="12.45">
      <c r="A7652" s="2" t="str">
        <f ca="1">IFERROR(__xludf.DUMMYFUNCTION("""COMPUTED_VALUE"""),"1742307005026")</f>
        <v>1742307005026</v>
      </c>
      <c r="B7652" s="2"/>
      <c r="C7652" s="2" t="str">
        <v>0</v>
      </c>
      <c r="D7652" s="2"/>
      <c r="F7652" s="2" t="str">
        <v>0</v>
      </c>
      <c r="I7652" s="3" t="str">
        <f ca="1">IFERROR(__xludf.DUMMYFUNCTION("""COMPUTED_VALUE"""),"Lê Triệu Kim Hoàng")</f>
        <v>Lê Triệu Kim Hoàng</v>
      </c>
      <c r="J7652" s="3" t="str">
        <f ca="1">IFERROR(__xludf.DUMMYFUNCTION("""COMPUTED_VALUE"""),"0398105064")</f>
        <v>0398105064</v>
      </c>
      <c r="K7652" s="2" t="str">
        <f ca="1">IFERROR(__xludf.DUMMYFUNCTION("""COMPUTED_VALUE"""),"1742307005026")</f>
        <v>1742307005026</v>
      </c>
    </row>
    <row r="7653" spans="1:11" ht="12.45">
      <c r="A7653" s="2" t="str">
        <f ca="1">IFERROR(__xludf.DUMMYFUNCTION("""COMPUTED_VALUE"""),"1741506296686")</f>
        <v>1741506296686</v>
      </c>
      <c r="B7653" s="2"/>
      <c r="C7653" s="2" t="str">
        <v>0</v>
      </c>
      <c r="D7653" s="2"/>
      <c r="F7653" s="2" t="str">
        <v>0</v>
      </c>
      <c r="I7653" s="3" t="str">
        <f ca="1">IFERROR(__xludf.DUMMYFUNCTION("""COMPUTED_VALUE"""),"Lê Nguyên Thanh Trúc")</f>
        <v>Lê Nguyên Thanh Trúc</v>
      </c>
      <c r="J7653" s="3" t="str">
        <f ca="1">IFERROR(__xludf.DUMMYFUNCTION("""COMPUTED_VALUE"""),"0913586090")</f>
        <v>0913586090</v>
      </c>
      <c r="K7653" s="2" t="str">
        <f ca="1">IFERROR(__xludf.DUMMYFUNCTION("""COMPUTED_VALUE"""),"1741506296686")</f>
        <v>1741506296686</v>
      </c>
    </row>
    <row r="7654" spans="1:11" ht="12.45">
      <c r="A7654" s="2" t="str">
        <f ca="1">IFERROR(__xludf.DUMMYFUNCTION("""COMPUTED_VALUE"""),"1742307042745")</f>
        <v>1742307042745</v>
      </c>
      <c r="B7654" s="2"/>
      <c r="C7654" s="2" t="str">
        <v>0</v>
      </c>
      <c r="D7654" s="2"/>
      <c r="F7654" s="2" t="str">
        <v>0</v>
      </c>
      <c r="I7654" s="3" t="str">
        <f ca="1">IFERROR(__xludf.DUMMYFUNCTION("""COMPUTED_VALUE"""),"Lê Thị Thảo")</f>
        <v>Lê Thị Thảo</v>
      </c>
      <c r="J7654" s="3" t="str">
        <f ca="1">IFERROR(__xludf.DUMMYFUNCTION("""COMPUTED_VALUE"""),"0378575034")</f>
        <v>0378575034</v>
      </c>
      <c r="K7654" s="2" t="str">
        <f ca="1">IFERROR(__xludf.DUMMYFUNCTION("""COMPUTED_VALUE"""),"1742307042745")</f>
        <v>1742307042745</v>
      </c>
    </row>
    <row r="7655" spans="1:11" ht="12.45">
      <c r="A7655" s="2" t="str">
        <f ca="1">IFERROR(__xludf.DUMMYFUNCTION("""COMPUTED_VALUE"""),"1742307090712")</f>
        <v>1742307090712</v>
      </c>
      <c r="B7655" s="2"/>
      <c r="C7655" s="2" t="str">
        <v>0</v>
      </c>
      <c r="D7655" s="2"/>
      <c r="F7655" s="2" t="str">
        <v>0</v>
      </c>
      <c r="I7655" s="3" t="str">
        <f ca="1">IFERROR(__xludf.DUMMYFUNCTION("""COMPUTED_VALUE"""),"Phan Lê Như Ngọc")</f>
        <v>Phan Lê Như Ngọc</v>
      </c>
      <c r="J7655" s="3" t="str">
        <f ca="1">IFERROR(__xludf.DUMMYFUNCTION("""COMPUTED_VALUE"""),"0911667629")</f>
        <v>0911667629</v>
      </c>
      <c r="K7655" s="2" t="str">
        <f ca="1">IFERROR(__xludf.DUMMYFUNCTION("""COMPUTED_VALUE"""),"1742307090712")</f>
        <v>1742307090712</v>
      </c>
    </row>
    <row r="7656" spans="1:11" ht="12.45">
      <c r="A7656" s="2" t="str">
        <f ca="1">IFERROR(__xludf.DUMMYFUNCTION("""COMPUTED_VALUE"""),"k gửi sách")</f>
        <v>k gửi sách</v>
      </c>
      <c r="B7656" s="2"/>
      <c r="C7656" s="2" t="str">
        <v>0</v>
      </c>
      <c r="D7656" s="2"/>
      <c r="F7656" s="2" t="str">
        <v>0</v>
      </c>
      <c r="I7656" s="3" t="str">
        <f ca="1">IFERROR(__xludf.DUMMYFUNCTION("""COMPUTED_VALUE"""),"Hà Hương Giang")</f>
        <v>Hà Hương Giang</v>
      </c>
      <c r="J7656" s="3" t="str">
        <f ca="1">IFERROR(__xludf.DUMMYFUNCTION("""COMPUTED_VALUE"""),"0396624907")</f>
        <v>0396624907</v>
      </c>
      <c r="K7656" s="2" t="str">
        <f ca="1">IFERROR(__xludf.DUMMYFUNCTION("""COMPUTED_VALUE"""),"k gửi sách")</f>
        <v>k gửi sách</v>
      </c>
    </row>
    <row r="7657" spans="1:11" ht="12.45">
      <c r="A7657" s="2" t="str">
        <f ca="1">IFERROR(__xludf.DUMMYFUNCTION("""COMPUTED_VALUE"""),"1742307130810")</f>
        <v>1742307130810</v>
      </c>
      <c r="B7657" s="2"/>
      <c r="C7657" s="2" t="str">
        <v>0</v>
      </c>
      <c r="D7657" s="2"/>
      <c r="F7657" s="2" t="str">
        <v>0</v>
      </c>
      <c r="I7657" s="3" t="str">
        <f ca="1">IFERROR(__xludf.DUMMYFUNCTION("""COMPUTED_VALUE"""),"Phạm Ngọc Diệu Linh")</f>
        <v>Phạm Ngọc Diệu Linh</v>
      </c>
      <c r="J7657" s="3" t="str">
        <f ca="1">IFERROR(__xludf.DUMMYFUNCTION("""COMPUTED_VALUE"""),"0339358120")</f>
        <v>0339358120</v>
      </c>
      <c r="K7657" s="2" t="str">
        <f ca="1">IFERROR(__xludf.DUMMYFUNCTION("""COMPUTED_VALUE"""),"1742307130810")</f>
        <v>1742307130810</v>
      </c>
    </row>
    <row r="7658" spans="1:11" ht="12.45">
      <c r="A7658" s="2" t="str">
        <f ca="1">IFERROR(__xludf.DUMMYFUNCTION("""COMPUTED_VALUE"""),"1742307191219")</f>
        <v>1742307191219</v>
      </c>
      <c r="B7658" s="2"/>
      <c r="C7658" s="2" t="str">
        <v>0</v>
      </c>
      <c r="D7658" s="2"/>
      <c r="F7658" s="2" t="str">
        <v>0</v>
      </c>
      <c r="I7658" s="3" t="str">
        <f ca="1">IFERROR(__xludf.DUMMYFUNCTION("""COMPUTED_VALUE"""),"Phạm Hải Băng")</f>
        <v>Phạm Hải Băng</v>
      </c>
      <c r="J7658" s="3" t="str">
        <f ca="1">IFERROR(__xludf.DUMMYFUNCTION("""COMPUTED_VALUE"""),"0705678789")</f>
        <v>0705678789</v>
      </c>
      <c r="K7658" s="2" t="str">
        <f ca="1">IFERROR(__xludf.DUMMYFUNCTION("""COMPUTED_VALUE"""),"1742307191219")</f>
        <v>1742307191219</v>
      </c>
    </row>
    <row r="7659" spans="1:11" ht="12.45">
      <c r="A7659" s="2" t="str">
        <f ca="1">IFERROR(__xludf.DUMMYFUNCTION("""COMPUTED_VALUE"""),"1741506366980")</f>
        <v>1741506366980</v>
      </c>
      <c r="B7659" s="2"/>
      <c r="C7659" s="2" t="str">
        <v>0</v>
      </c>
      <c r="D7659" s="2"/>
      <c r="F7659" s="2" t="str">
        <v>0</v>
      </c>
      <c r="I7659" s="3" t="str">
        <f ca="1">IFERROR(__xludf.DUMMYFUNCTION("""COMPUTED_VALUE"""),"Lê Mai")</f>
        <v>Lê Mai</v>
      </c>
      <c r="J7659" s="3" t="str">
        <f ca="1">IFERROR(__xludf.DUMMYFUNCTION("""COMPUTED_VALUE"""),"0919681280")</f>
        <v>0919681280</v>
      </c>
      <c r="K7659" s="2" t="str">
        <f ca="1">IFERROR(__xludf.DUMMYFUNCTION("""COMPUTED_VALUE"""),"1741506366980")</f>
        <v>1741506366980</v>
      </c>
    </row>
    <row r="7660" spans="1:11" ht="12.45">
      <c r="A7660" s="2" t="str">
        <f ca="1">IFERROR(__xludf.DUMMYFUNCTION("""COMPUTED_VALUE"""),"1742307257718")</f>
        <v>1742307257718</v>
      </c>
      <c r="B7660" s="2"/>
      <c r="C7660" s="2" t="str">
        <v>0</v>
      </c>
      <c r="D7660" s="2"/>
      <c r="F7660" s="2" t="str">
        <v>0</v>
      </c>
      <c r="I7660" s="3" t="str">
        <f ca="1">IFERROR(__xludf.DUMMYFUNCTION("""COMPUTED_VALUE"""),"Trần Phương Mai")</f>
        <v>Trần Phương Mai</v>
      </c>
      <c r="J7660" s="3" t="str">
        <f ca="1">IFERROR(__xludf.DUMMYFUNCTION("""COMPUTED_VALUE"""),"0981680737")</f>
        <v>0981680737</v>
      </c>
      <c r="K7660" s="2" t="str">
        <f ca="1">IFERROR(__xludf.DUMMYFUNCTION("""COMPUTED_VALUE"""),"1742307257718")</f>
        <v>1742307257718</v>
      </c>
    </row>
    <row r="7661" spans="1:11" ht="12.45">
      <c r="A7661" s="2" t="str">
        <f ca="1">IFERROR(__xludf.DUMMYFUNCTION("""COMPUTED_VALUE"""),"1742307323750")</f>
        <v>1742307323750</v>
      </c>
      <c r="B7661" s="2"/>
      <c r="C7661" s="2" t="str">
        <v>0</v>
      </c>
      <c r="D7661" s="2"/>
      <c r="F7661" s="2" t="str">
        <v>0</v>
      </c>
      <c r="I7661" s="3" t="str">
        <f ca="1">IFERROR(__xludf.DUMMYFUNCTION("""COMPUTED_VALUE"""),"Trương Hải Anh")</f>
        <v>Trương Hải Anh</v>
      </c>
      <c r="J7661" s="3" t="str">
        <f ca="1">IFERROR(__xludf.DUMMYFUNCTION("""COMPUTED_VALUE"""),"0866330916")</f>
        <v>0866330916</v>
      </c>
      <c r="K7661" s="2" t="str">
        <f ca="1">IFERROR(__xludf.DUMMYFUNCTION("""COMPUTED_VALUE"""),"1742307323750")</f>
        <v>1742307323750</v>
      </c>
    </row>
    <row r="7662" spans="1:11" ht="12.45">
      <c r="A7662" s="2" t="str">
        <f ca="1">IFERROR(__xludf.DUMMYFUNCTION("""COMPUTED_VALUE"""),"1742307402845")</f>
        <v>1742307402845</v>
      </c>
      <c r="B7662" s="2"/>
      <c r="C7662" s="2" t="str">
        <v>0</v>
      </c>
      <c r="D7662" s="2"/>
      <c r="F7662" s="2" t="str">
        <v>0</v>
      </c>
      <c r="I7662" s="3" t="str">
        <f ca="1">IFERROR(__xludf.DUMMYFUNCTION("""COMPUTED_VALUE"""),"Nguyễn Nhật Quế Anh")</f>
        <v>Nguyễn Nhật Quế Anh</v>
      </c>
      <c r="J7662" s="3" t="str">
        <f ca="1">IFERROR(__xludf.DUMMYFUNCTION("""COMPUTED_VALUE"""),"0563647371")</f>
        <v>0563647371</v>
      </c>
      <c r="K7662" s="2" t="str">
        <f ca="1">IFERROR(__xludf.DUMMYFUNCTION("""COMPUTED_VALUE"""),"1742307402845")</f>
        <v>1742307402845</v>
      </c>
    </row>
    <row r="7663" spans="1:11" ht="12.45">
      <c r="A7663" s="2" t="str">
        <f ca="1">IFERROR(__xludf.DUMMYFUNCTION("""COMPUTED_VALUE"""),"1742307468177")</f>
        <v>1742307468177</v>
      </c>
      <c r="B7663" s="2"/>
      <c r="C7663" s="2" t="str">
        <v>0</v>
      </c>
      <c r="D7663" s="2"/>
      <c r="F7663" s="2" t="str">
        <v>0</v>
      </c>
      <c r="I7663" s="3" t="str">
        <f ca="1">IFERROR(__xludf.DUMMYFUNCTION("""COMPUTED_VALUE"""),"Nguyễn Thị Như Quỳnh ")</f>
        <v xml:space="preserve">Nguyễn Thị Như Quỳnh </v>
      </c>
      <c r="J7663" s="3" t="str">
        <f ca="1">IFERROR(__xludf.DUMMYFUNCTION("""COMPUTED_VALUE"""),"0762712550")</f>
        <v>0762712550</v>
      </c>
      <c r="K7663" s="2" t="str">
        <f ca="1">IFERROR(__xludf.DUMMYFUNCTION("""COMPUTED_VALUE"""),"1742307468177")</f>
        <v>1742307468177</v>
      </c>
    </row>
    <row r="7664" spans="1:11" ht="12.45">
      <c r="A7664" s="2" t="str">
        <f ca="1">IFERROR(__xludf.DUMMYFUNCTION("""COMPUTED_VALUE"""),"1742307553520")</f>
        <v>1742307553520</v>
      </c>
      <c r="B7664" s="2"/>
      <c r="C7664" s="2" t="str">
        <v>0</v>
      </c>
      <c r="D7664" s="2"/>
      <c r="F7664" s="2" t="str">
        <v>0</v>
      </c>
      <c r="I7664" s="3" t="str">
        <f ca="1">IFERROR(__xludf.DUMMYFUNCTION("""COMPUTED_VALUE"""),"MẠCH THỊ THÙY")</f>
        <v>MẠCH THỊ THÙY</v>
      </c>
      <c r="J7664" s="3" t="str">
        <f ca="1">IFERROR(__xludf.DUMMYFUNCTION("""COMPUTED_VALUE"""),"0865677857")</f>
        <v>0865677857</v>
      </c>
      <c r="K7664" s="2" t="str">
        <f ca="1">IFERROR(__xludf.DUMMYFUNCTION("""COMPUTED_VALUE"""),"1742307553520")</f>
        <v>1742307553520</v>
      </c>
    </row>
    <row r="7665" spans="1:11" ht="12.45">
      <c r="A7665" s="2" t="str">
        <f ca="1">IFERROR(__xludf.DUMMYFUNCTION("""COMPUTED_VALUE"""),"1742307657602")</f>
        <v>1742307657602</v>
      </c>
      <c r="B7665" s="2"/>
      <c r="C7665" s="2" t="str">
        <v>0</v>
      </c>
      <c r="D7665" s="2"/>
      <c r="F7665" s="2" t="str">
        <v>0</v>
      </c>
      <c r="I7665" s="3" t="str">
        <f ca="1">IFERROR(__xludf.DUMMYFUNCTION("""COMPUTED_VALUE"""),"Hoàng Phương Lê")</f>
        <v>Hoàng Phương Lê</v>
      </c>
      <c r="J7665" s="3" t="str">
        <f ca="1">IFERROR(__xludf.DUMMYFUNCTION("""COMPUTED_VALUE"""),"0822825858")</f>
        <v>0822825858</v>
      </c>
      <c r="K7665" s="2" t="str">
        <f ca="1">IFERROR(__xludf.DUMMYFUNCTION("""COMPUTED_VALUE"""),"1742307657602")</f>
        <v>1742307657602</v>
      </c>
    </row>
    <row r="7666" spans="1:11" ht="12.45">
      <c r="A7666" s="2" t="str">
        <f ca="1">IFERROR(__xludf.DUMMYFUNCTION("""COMPUTED_VALUE"""),"1742307725743")</f>
        <v>1742307725743</v>
      </c>
      <c r="B7666" s="2"/>
      <c r="C7666" s="2" t="str">
        <v>0</v>
      </c>
      <c r="D7666" s="2"/>
      <c r="F7666" s="2" t="str">
        <v>0</v>
      </c>
      <c r="I7666" s="3" t="str">
        <f ca="1">IFERROR(__xludf.DUMMYFUNCTION("""COMPUTED_VALUE"""),"Chảo Mẩy Nảy ")</f>
        <v xml:space="preserve">Chảo Mẩy Nảy </v>
      </c>
      <c r="J7666" s="3" t="str">
        <f ca="1">IFERROR(__xludf.DUMMYFUNCTION("""COMPUTED_VALUE"""),"0366586310")</f>
        <v>0366586310</v>
      </c>
      <c r="K7666" s="2" t="str">
        <f ca="1">IFERROR(__xludf.DUMMYFUNCTION("""COMPUTED_VALUE"""),"1742307725743")</f>
        <v>1742307725743</v>
      </c>
    </row>
    <row r="7667" spans="1:11" ht="12.45">
      <c r="A7667" s="2" t="str">
        <f ca="1">IFERROR(__xludf.DUMMYFUNCTION("""COMPUTED_VALUE"""),"1742307764894")</f>
        <v>1742307764894</v>
      </c>
      <c r="B7667" s="2"/>
      <c r="C7667" s="2" t="str">
        <v>0</v>
      </c>
      <c r="D7667" s="2"/>
      <c r="F7667" s="2" t="str">
        <v>0</v>
      </c>
      <c r="I7667" s="3" t="str">
        <f ca="1">IFERROR(__xludf.DUMMYFUNCTION("""COMPUTED_VALUE"""),"Nguyễn Công Bằng ")</f>
        <v xml:space="preserve">Nguyễn Công Bằng </v>
      </c>
      <c r="J7667" s="3" t="str">
        <f ca="1">IFERROR(__xludf.DUMMYFUNCTION("""COMPUTED_VALUE"""),"0986721538")</f>
        <v>0986721538</v>
      </c>
      <c r="K7667" s="2" t="str">
        <f ca="1">IFERROR(__xludf.DUMMYFUNCTION("""COMPUTED_VALUE"""),"1742307764894")</f>
        <v>1742307764894</v>
      </c>
    </row>
    <row r="7668" spans="1:11" ht="12.45">
      <c r="A7668" s="2" t="str">
        <f ca="1">IFERROR(__xludf.DUMMYFUNCTION("""COMPUTED_VALUE"""),"k gửi sách")</f>
        <v>k gửi sách</v>
      </c>
      <c r="B7668" s="2"/>
      <c r="C7668" s="2" t="str">
        <v>0</v>
      </c>
      <c r="D7668" s="2"/>
      <c r="F7668" s="2" t="str">
        <v>0</v>
      </c>
      <c r="I7668" s="3" t="str">
        <f ca="1">IFERROR(__xludf.DUMMYFUNCTION("""COMPUTED_VALUE"""),"Võ Đan Thuần ")</f>
        <v xml:space="preserve">Võ Đan Thuần </v>
      </c>
      <c r="J7668" s="3" t="str">
        <f ca="1">IFERROR(__xludf.DUMMYFUNCTION("""COMPUTED_VALUE"""),"0886092397")</f>
        <v>0886092397</v>
      </c>
      <c r="K7668" s="2" t="str">
        <f ca="1">IFERROR(__xludf.DUMMYFUNCTION("""COMPUTED_VALUE"""),"k gửi sách")</f>
        <v>k gửi sách</v>
      </c>
    </row>
    <row r="7669" spans="1:11" ht="12.45">
      <c r="A7669" s="2" t="str">
        <f ca="1">IFERROR(__xludf.DUMMYFUNCTION("""COMPUTED_VALUE"""),"1742307811109")</f>
        <v>1742307811109</v>
      </c>
      <c r="B7669" s="2"/>
      <c r="C7669" s="2" t="str">
        <v>0</v>
      </c>
      <c r="D7669" s="2"/>
      <c r="F7669" s="2" t="str">
        <v>0</v>
      </c>
      <c r="I7669" s="3" t="str">
        <f ca="1">IFERROR(__xludf.DUMMYFUNCTION("""COMPUTED_VALUE"""),"Nguyễn Thị Huyền Trinh")</f>
        <v>Nguyễn Thị Huyền Trinh</v>
      </c>
      <c r="J7669" s="3" t="str">
        <f ca="1">IFERROR(__xludf.DUMMYFUNCTION("""COMPUTED_VALUE"""),"0325673625")</f>
        <v>0325673625</v>
      </c>
      <c r="K7669" s="2" t="str">
        <f ca="1">IFERROR(__xludf.DUMMYFUNCTION("""COMPUTED_VALUE"""),"1742307811109")</f>
        <v>1742307811109</v>
      </c>
    </row>
    <row r="7670" spans="1:11" ht="12.45">
      <c r="A7670" s="2" t="str">
        <f ca="1">IFERROR(__xludf.DUMMYFUNCTION("""COMPUTED_VALUE"""),"k gửi sách")</f>
        <v>k gửi sách</v>
      </c>
      <c r="B7670" s="2"/>
      <c r="C7670" s="2" t="str">
        <v>0</v>
      </c>
      <c r="D7670" s="2"/>
      <c r="F7670" s="2" t="str">
        <v>0</v>
      </c>
      <c r="I7670" s="3" t="str">
        <f ca="1">IFERROR(__xludf.DUMMYFUNCTION("""COMPUTED_VALUE"""),"Nguyễn Hà Anh")</f>
        <v>Nguyễn Hà Anh</v>
      </c>
      <c r="J7670" s="3" t="str">
        <f ca="1">IFERROR(__xludf.DUMMYFUNCTION("""COMPUTED_VALUE"""),"0828247978")</f>
        <v>0828247978</v>
      </c>
      <c r="K7670" s="2" t="str">
        <f ca="1">IFERROR(__xludf.DUMMYFUNCTION("""COMPUTED_VALUE"""),"k gửi sách")</f>
        <v>k gửi sách</v>
      </c>
    </row>
    <row r="7671" spans="1:11" ht="12.45">
      <c r="A7671" s="2" t="str">
        <f ca="1">IFERROR(__xludf.DUMMYFUNCTION("""COMPUTED_VALUE"""),"1742307877809")</f>
        <v>1742307877809</v>
      </c>
      <c r="B7671" s="2"/>
      <c r="C7671" s="2" t="str">
        <v>0</v>
      </c>
      <c r="D7671" s="2"/>
      <c r="F7671" s="2" t="str">
        <v>0</v>
      </c>
      <c r="I7671" s="3" t="str">
        <f ca="1">IFERROR(__xludf.DUMMYFUNCTION("""COMPUTED_VALUE"""),"Nguyễn Hoàng Khánh")</f>
        <v>Nguyễn Hoàng Khánh</v>
      </c>
      <c r="J7671" s="3" t="str">
        <f ca="1">IFERROR(__xludf.DUMMYFUNCTION("""COMPUTED_VALUE"""),"0369768160")</f>
        <v>0369768160</v>
      </c>
      <c r="K7671" s="2" t="str">
        <f ca="1">IFERROR(__xludf.DUMMYFUNCTION("""COMPUTED_VALUE"""),"1742307877809")</f>
        <v>1742307877809</v>
      </c>
    </row>
    <row r="7672" spans="1:11" ht="12.45">
      <c r="A7672" s="2" t="str">
        <f ca="1">IFERROR(__xludf.DUMMYFUNCTION("""COMPUTED_VALUE"""),"1742307930588")</f>
        <v>1742307930588</v>
      </c>
      <c r="B7672" s="2"/>
      <c r="C7672" s="2" t="str">
        <v>0</v>
      </c>
      <c r="D7672" s="2"/>
      <c r="F7672" s="2" t="str">
        <v>0</v>
      </c>
      <c r="I7672" s="3" t="str">
        <f ca="1">IFERROR(__xludf.DUMMYFUNCTION("""COMPUTED_VALUE"""),"Bế Thị Yến Chi ")</f>
        <v xml:space="preserve">Bế Thị Yến Chi </v>
      </c>
      <c r="J7672" s="3" t="str">
        <f ca="1">IFERROR(__xludf.DUMMYFUNCTION("""COMPUTED_VALUE"""),"0902088207")</f>
        <v>0902088207</v>
      </c>
      <c r="K7672" s="2" t="str">
        <f ca="1">IFERROR(__xludf.DUMMYFUNCTION("""COMPUTED_VALUE"""),"1742307930588")</f>
        <v>1742307930588</v>
      </c>
    </row>
    <row r="7673" spans="1:11" ht="12.45">
      <c r="A7673" s="2" t="str">
        <f ca="1">IFERROR(__xludf.DUMMYFUNCTION("""COMPUTED_VALUE"""),"1741506460148")</f>
        <v>1741506460148</v>
      </c>
      <c r="B7673" s="2"/>
      <c r="C7673" s="2" t="str">
        <v>0</v>
      </c>
      <c r="D7673" s="2"/>
      <c r="F7673" s="2" t="str">
        <v>0</v>
      </c>
      <c r="I7673" s="3" t="str">
        <f ca="1">IFERROR(__xludf.DUMMYFUNCTION("""COMPUTED_VALUE"""),"Trần Gia Lâm")</f>
        <v>Trần Gia Lâm</v>
      </c>
      <c r="J7673" s="3" t="str">
        <f ca="1">IFERROR(__xludf.DUMMYFUNCTION("""COMPUTED_VALUE"""),"0967270358")</f>
        <v>0967270358</v>
      </c>
      <c r="K7673" s="2" t="str">
        <f ca="1">IFERROR(__xludf.DUMMYFUNCTION("""COMPUTED_VALUE"""),"1741506460148")</f>
        <v>1741506460148</v>
      </c>
    </row>
    <row r="7674" spans="1:11" ht="12.45">
      <c r="A7674" s="2" t="str">
        <f ca="1">IFERROR(__xludf.DUMMYFUNCTION("""COMPUTED_VALUE"""),"1742307969188")</f>
        <v>1742307969188</v>
      </c>
      <c r="B7674" s="2"/>
      <c r="C7674" s="2" t="str">
        <v>0</v>
      </c>
      <c r="D7674" s="2"/>
      <c r="F7674" s="2" t="str">
        <v>0</v>
      </c>
      <c r="I7674" s="3" t="str">
        <f ca="1">IFERROR(__xludf.DUMMYFUNCTION("""COMPUTED_VALUE"""),"Nguyễn Thị Hải Trâm")</f>
        <v>Nguyễn Thị Hải Trâm</v>
      </c>
      <c r="J7674" s="3" t="str">
        <f ca="1">IFERROR(__xludf.DUMMYFUNCTION("""COMPUTED_VALUE"""),"0928368186")</f>
        <v>0928368186</v>
      </c>
      <c r="K7674" s="2" t="str">
        <f ca="1">IFERROR(__xludf.DUMMYFUNCTION("""COMPUTED_VALUE"""),"1742307969188")</f>
        <v>1742307969188</v>
      </c>
    </row>
    <row r="7675" spans="1:11" ht="12.45">
      <c r="A7675" s="2" t="str">
        <f ca="1">IFERROR(__xludf.DUMMYFUNCTION("""COMPUTED_VALUE"""),"1742308016393")</f>
        <v>1742308016393</v>
      </c>
      <c r="B7675" s="2"/>
      <c r="C7675" s="2" t="str">
        <v>0</v>
      </c>
      <c r="D7675" s="2"/>
      <c r="F7675" s="2" t="str">
        <v>0</v>
      </c>
      <c r="I7675" s="3" t="str">
        <f ca="1">IFERROR(__xludf.DUMMYFUNCTION("""COMPUTED_VALUE"""),"Phạm Thị Bảo Trang")</f>
        <v>Phạm Thị Bảo Trang</v>
      </c>
      <c r="J7675" s="3" t="str">
        <f ca="1">IFERROR(__xludf.DUMMYFUNCTION("""COMPUTED_VALUE"""),"0343293902")</f>
        <v>0343293902</v>
      </c>
      <c r="K7675" s="2" t="str">
        <f ca="1">IFERROR(__xludf.DUMMYFUNCTION("""COMPUTED_VALUE"""),"1742308016393")</f>
        <v>1742308016393</v>
      </c>
    </row>
    <row r="7676" spans="1:11" ht="12.45">
      <c r="A7676" s="2" t="str">
        <f ca="1">IFERROR(__xludf.DUMMYFUNCTION("""COMPUTED_VALUE"""),"1741506551677")</f>
        <v>1741506551677</v>
      </c>
      <c r="B7676" s="2"/>
      <c r="C7676" s="2" t="str">
        <v>0</v>
      </c>
      <c r="D7676" s="2"/>
      <c r="F7676" s="2" t="str">
        <v>0</v>
      </c>
      <c r="I7676" s="3" t="str">
        <f ca="1">IFERROR(__xludf.DUMMYFUNCTION("""COMPUTED_VALUE"""),"Nguyễn Thị Phương Anh ")</f>
        <v xml:space="preserve">Nguyễn Thị Phương Anh </v>
      </c>
      <c r="J7676" s="3" t="str">
        <f ca="1">IFERROR(__xludf.DUMMYFUNCTION("""COMPUTED_VALUE"""),"0834385134")</f>
        <v>0834385134</v>
      </c>
      <c r="K7676" s="2" t="str">
        <f ca="1">IFERROR(__xludf.DUMMYFUNCTION("""COMPUTED_VALUE"""),"1741506551677")</f>
        <v>1741506551677</v>
      </c>
    </row>
    <row r="7677" spans="1:11" ht="12.45">
      <c r="A7677" s="2" t="str">
        <f ca="1">IFERROR(__xludf.DUMMYFUNCTION("""COMPUTED_VALUE"""),"k gửi sách")</f>
        <v>k gửi sách</v>
      </c>
      <c r="B7677" s="2"/>
      <c r="C7677" s="2" t="str">
        <v>0</v>
      </c>
      <c r="D7677" s="2"/>
      <c r="F7677" s="2" t="str">
        <v>0</v>
      </c>
      <c r="I7677" s="3" t="str">
        <f ca="1">IFERROR(__xludf.DUMMYFUNCTION("""COMPUTED_VALUE"""),"Hà An Trịnh Thị")</f>
        <v>Hà An Trịnh Thị</v>
      </c>
      <c r="J7677" s="3" t="str">
        <f ca="1">IFERROR(__xludf.DUMMYFUNCTION("""COMPUTED_VALUE"""),"0797088097")</f>
        <v>0797088097</v>
      </c>
      <c r="K7677" s="2" t="str">
        <f ca="1">IFERROR(__xludf.DUMMYFUNCTION("""COMPUTED_VALUE"""),"k gửi sách")</f>
        <v>k gửi sách</v>
      </c>
    </row>
    <row r="7678" spans="1:11" ht="12.45">
      <c r="A7678" s="2" t="str">
        <f ca="1">IFERROR(__xludf.DUMMYFUNCTION("""COMPUTED_VALUE"""),"1742308052388")</f>
        <v>1742308052388</v>
      </c>
      <c r="B7678" s="2"/>
      <c r="C7678" s="2" t="str">
        <v>0</v>
      </c>
      <c r="D7678" s="2"/>
      <c r="F7678" s="2" t="str">
        <v>0</v>
      </c>
      <c r="I7678" s="3" t="str">
        <f ca="1">IFERROR(__xludf.DUMMYFUNCTION("""COMPUTED_VALUE"""),"Đoàn Khánh Linh")</f>
        <v>Đoàn Khánh Linh</v>
      </c>
      <c r="J7678" s="3" t="str">
        <f ca="1">IFERROR(__xludf.DUMMYFUNCTION("""COMPUTED_VALUE"""),"0975811206")</f>
        <v>0975811206</v>
      </c>
      <c r="K7678" s="2" t="str">
        <f ca="1">IFERROR(__xludf.DUMMYFUNCTION("""COMPUTED_VALUE"""),"1742308052388")</f>
        <v>1742308052388</v>
      </c>
    </row>
    <row r="7679" spans="1:11" ht="12.45">
      <c r="A7679" s="2" t="str">
        <f ca="1">IFERROR(__xludf.DUMMYFUNCTION("""COMPUTED_VALUE"""),"1742308098965")</f>
        <v>1742308098965</v>
      </c>
      <c r="B7679" s="2"/>
      <c r="C7679" s="2" t="str">
        <v>0</v>
      </c>
      <c r="D7679" s="2"/>
      <c r="F7679" s="2" t="str">
        <v>0</v>
      </c>
      <c r="I7679" s="3" t="str">
        <f ca="1">IFERROR(__xludf.DUMMYFUNCTION("""COMPUTED_VALUE"""),"Nguyễn Ngọc Tâm Anh")</f>
        <v>Nguyễn Ngọc Tâm Anh</v>
      </c>
      <c r="J7679" s="3" t="str">
        <f ca="1">IFERROR(__xludf.DUMMYFUNCTION("""COMPUTED_VALUE"""),"0986251804")</f>
        <v>0986251804</v>
      </c>
      <c r="K7679" s="2" t="str">
        <f ca="1">IFERROR(__xludf.DUMMYFUNCTION("""COMPUTED_VALUE"""),"1742308098965")</f>
        <v>1742308098965</v>
      </c>
    </row>
    <row r="7680" spans="1:11" ht="12.45">
      <c r="A7680" s="2" t="str">
        <f ca="1">IFERROR(__xludf.DUMMYFUNCTION("""COMPUTED_VALUE"""),"1742308151168")</f>
        <v>1742308151168</v>
      </c>
      <c r="B7680" s="2"/>
      <c r="C7680" s="2" t="str">
        <v>0</v>
      </c>
      <c r="D7680" s="2"/>
      <c r="F7680" s="2" t="str">
        <v>0</v>
      </c>
      <c r="I7680" s="3" t="str">
        <f ca="1">IFERROR(__xludf.DUMMYFUNCTION("""COMPUTED_VALUE"""),"Đỗ Nguyễn Như Bình")</f>
        <v>Đỗ Nguyễn Như Bình</v>
      </c>
      <c r="J7680" s="3" t="str">
        <f ca="1">IFERROR(__xludf.DUMMYFUNCTION("""COMPUTED_VALUE"""),"0852574279")</f>
        <v>0852574279</v>
      </c>
      <c r="K7680" s="2" t="str">
        <f ca="1">IFERROR(__xludf.DUMMYFUNCTION("""COMPUTED_VALUE"""),"1742308151168")</f>
        <v>1742308151168</v>
      </c>
    </row>
    <row r="7681" spans="1:11" ht="12.45">
      <c r="A7681" s="2" t="str">
        <f ca="1">IFERROR(__xludf.DUMMYFUNCTION("""COMPUTED_VALUE"""),"1742308214199")</f>
        <v>1742308214199</v>
      </c>
      <c r="B7681" s="2"/>
      <c r="C7681" s="2" t="str">
        <v>0</v>
      </c>
      <c r="D7681" s="2"/>
      <c r="F7681" s="2" t="str">
        <v>0</v>
      </c>
      <c r="I7681" s="3" t="str">
        <f ca="1">IFERROR(__xludf.DUMMYFUNCTION("""COMPUTED_VALUE"""),"Nguyễn Nhân Trường Khánh")</f>
        <v>Nguyễn Nhân Trường Khánh</v>
      </c>
      <c r="J7681" s="3" t="str">
        <f ca="1">IFERROR(__xludf.DUMMYFUNCTION("""COMPUTED_VALUE"""),"0967652007")</f>
        <v>0967652007</v>
      </c>
      <c r="K7681" s="2" t="str">
        <f ca="1">IFERROR(__xludf.DUMMYFUNCTION("""COMPUTED_VALUE"""),"1742308214199")</f>
        <v>1742308214199</v>
      </c>
    </row>
    <row r="7682" spans="1:11" ht="12.45">
      <c r="A7682" s="2" t="str">
        <f ca="1">IFERROR(__xludf.DUMMYFUNCTION("""COMPUTED_VALUE"""),"1758581051103")</f>
        <v>1758581051103</v>
      </c>
      <c r="B7682" s="2"/>
      <c r="C7682" s="2" t="str">
        <v>0</v>
      </c>
      <c r="D7682" s="2"/>
      <c r="F7682" s="2" t="str">
        <v>0</v>
      </c>
      <c r="I7682" s="3" t="str">
        <f ca="1">IFERROR(__xludf.DUMMYFUNCTION("""COMPUTED_VALUE"""),"Bùi Thảo Huyền")</f>
        <v>Bùi Thảo Huyền</v>
      </c>
      <c r="J7682" s="3" t="str">
        <f ca="1">IFERROR(__xludf.DUMMYFUNCTION("""COMPUTED_VALUE"""),"0981892418")</f>
        <v>0981892418</v>
      </c>
      <c r="K7682" s="2" t="str">
        <f ca="1">IFERROR(__xludf.DUMMYFUNCTION("""COMPUTED_VALUE"""),"1758581051103")</f>
        <v>1758581051103</v>
      </c>
    </row>
    <row r="7683" spans="1:11" ht="12.45">
      <c r="A7683" s="2" t="str">
        <f ca="1">IFERROR(__xludf.DUMMYFUNCTION("""COMPUTED_VALUE"""),"k gửi sách")</f>
        <v>k gửi sách</v>
      </c>
      <c r="B7683" s="2"/>
      <c r="C7683" s="2" t="str">
        <v>0</v>
      </c>
      <c r="D7683" s="2"/>
      <c r="F7683" s="2" t="str">
        <v>0</v>
      </c>
      <c r="I7683" s="3" t="str">
        <f ca="1">IFERROR(__xludf.DUMMYFUNCTION("""COMPUTED_VALUE"""),"Lê Chi Na")</f>
        <v>Lê Chi Na</v>
      </c>
      <c r="J7683" s="3" t="str">
        <f ca="1">IFERROR(__xludf.DUMMYFUNCTION("""COMPUTED_VALUE"""),"0988977981")</f>
        <v>0988977981</v>
      </c>
      <c r="K7683" s="2" t="str">
        <f ca="1">IFERROR(__xludf.DUMMYFUNCTION("""COMPUTED_VALUE"""),"k gửi sách")</f>
        <v>k gửi sách</v>
      </c>
    </row>
    <row r="7684" spans="1:11" ht="12.45">
      <c r="A7684" s="2" t="str">
        <f ca="1">IFERROR(__xludf.DUMMYFUNCTION("""COMPUTED_VALUE"""),"1741506627398")</f>
        <v>1741506627398</v>
      </c>
      <c r="B7684" s="2"/>
      <c r="C7684" s="2" t="str">
        <v>0</v>
      </c>
      <c r="D7684" s="2"/>
      <c r="F7684" s="2" t="str">
        <v>0</v>
      </c>
      <c r="I7684" s="3" t="str">
        <f ca="1">IFERROR(__xludf.DUMMYFUNCTION("""COMPUTED_VALUE"""),"Nguyễn Thị Thúy An")</f>
        <v>Nguyễn Thị Thúy An</v>
      </c>
      <c r="J7684" s="3" t="str">
        <f ca="1">IFERROR(__xludf.DUMMYFUNCTION("""COMPUTED_VALUE"""),"0399758847")</f>
        <v>0399758847</v>
      </c>
      <c r="K7684" s="2" t="str">
        <f ca="1">IFERROR(__xludf.DUMMYFUNCTION("""COMPUTED_VALUE"""),"1741506627398")</f>
        <v>1741506627398</v>
      </c>
    </row>
    <row r="7685" spans="1:11" ht="12.45">
      <c r="A7685" s="2">
        <f ca="1">IFERROR(__xludf.DUMMYFUNCTION("""COMPUTED_VALUE"""),1741744477600)</f>
        <v>1741744477600</v>
      </c>
      <c r="B7685" s="2"/>
      <c r="C7685" s="2" t="str">
        <v>0</v>
      </c>
      <c r="D7685" s="2"/>
      <c r="F7685" s="2" t="str">
        <v>0</v>
      </c>
      <c r="I7685" s="3" t="str">
        <f ca="1">IFERROR(__xludf.DUMMYFUNCTION("""COMPUTED_VALUE"""),"Nguyễn Ngọc Anh Thư")</f>
        <v>Nguyễn Ngọc Anh Thư</v>
      </c>
      <c r="J7685" s="3" t="str">
        <f ca="1">IFERROR(__xludf.DUMMYFUNCTION("""COMPUTED_VALUE"""),"0965461454")</f>
        <v>0965461454</v>
      </c>
      <c r="K7685" s="2">
        <f ca="1">IFERROR(__xludf.DUMMYFUNCTION("""COMPUTED_VALUE"""),1741744477600)</f>
        <v>1741744477600</v>
      </c>
    </row>
    <row r="7686" spans="1:11" ht="12.45">
      <c r="A7686" s="2" t="str">
        <f ca="1">IFERROR(__xludf.DUMMYFUNCTION("""COMPUTED_VALUE"""),"k gửi sách")</f>
        <v>k gửi sách</v>
      </c>
      <c r="B7686" s="2"/>
      <c r="C7686" s="2" t="str">
        <v>0</v>
      </c>
      <c r="D7686" s="2"/>
      <c r="F7686" s="2" t="str">
        <v>0</v>
      </c>
      <c r="I7686" s="3" t="str">
        <f ca="1">IFERROR(__xludf.DUMMYFUNCTION("""COMPUTED_VALUE"""),"đặng thúy nga")</f>
        <v>đặng thúy nga</v>
      </c>
      <c r="J7686" s="3" t="str">
        <f ca="1">IFERROR(__xludf.DUMMYFUNCTION("""COMPUTED_VALUE"""),"0968503692")</f>
        <v>0968503692</v>
      </c>
      <c r="K7686" s="2" t="str">
        <f ca="1">IFERROR(__xludf.DUMMYFUNCTION("""COMPUTED_VALUE"""),"k gửi sách")</f>
        <v>k gửi sách</v>
      </c>
    </row>
    <row r="7687" spans="1:11" ht="12.45">
      <c r="A7687" s="2" t="str">
        <f ca="1">IFERROR(__xludf.DUMMYFUNCTION("""COMPUTED_VALUE"""),"1753125332759")</f>
        <v>1753125332759</v>
      </c>
      <c r="B7687" s="2"/>
      <c r="C7687" s="2" t="str">
        <v>0</v>
      </c>
      <c r="D7687" s="2"/>
      <c r="F7687" s="2" t="str">
        <v>0</v>
      </c>
      <c r="I7687" s="3" t="str">
        <f ca="1">IFERROR(__xludf.DUMMYFUNCTION("""COMPUTED_VALUE"""),"Huỳnh Diệp Bảo Nhi ")</f>
        <v xml:space="preserve">Huỳnh Diệp Bảo Nhi </v>
      </c>
      <c r="J7687" s="3" t="str">
        <f ca="1">IFERROR(__xludf.DUMMYFUNCTION("""COMPUTED_VALUE"""),"0979077742")</f>
        <v>0979077742</v>
      </c>
      <c r="K7687" s="2" t="str">
        <f ca="1">IFERROR(__xludf.DUMMYFUNCTION("""COMPUTED_VALUE"""),"1753125332759")</f>
        <v>1753125332759</v>
      </c>
    </row>
    <row r="7688" spans="1:11" ht="12.45">
      <c r="A7688" s="2" t="str">
        <f ca="1">IFERROR(__xludf.DUMMYFUNCTION("""COMPUTED_VALUE"""),"1753125409225")</f>
        <v>1753125409225</v>
      </c>
      <c r="B7688" s="2"/>
      <c r="C7688" s="2" t="str">
        <v>0</v>
      </c>
      <c r="D7688" s="2"/>
      <c r="F7688" s="2" t="str">
        <v>0</v>
      </c>
      <c r="I7688" s="3" t="str">
        <f ca="1">IFERROR(__xludf.DUMMYFUNCTION("""COMPUTED_VALUE"""),"Lê Phạm Nhã Quyên")</f>
        <v>Lê Phạm Nhã Quyên</v>
      </c>
      <c r="J7688" s="3" t="str">
        <f ca="1">IFERROR(__xludf.DUMMYFUNCTION("""COMPUTED_VALUE"""),"0984432856")</f>
        <v>0984432856</v>
      </c>
      <c r="K7688" s="2" t="str">
        <f ca="1">IFERROR(__xludf.DUMMYFUNCTION("""COMPUTED_VALUE"""),"1753125409225")</f>
        <v>1753125409225</v>
      </c>
    </row>
    <row r="7689" spans="1:11" ht="12.45">
      <c r="A7689" s="2" t="str">
        <f ca="1">IFERROR(__xludf.DUMMYFUNCTION("""COMPUTED_VALUE"""),"1753125479152")</f>
        <v>1753125479152</v>
      </c>
      <c r="B7689" s="2"/>
      <c r="C7689" s="2" t="str">
        <v>0</v>
      </c>
      <c r="D7689" s="2"/>
      <c r="F7689" s="2" t="str">
        <v>0</v>
      </c>
      <c r="I7689" s="3" t="str">
        <f ca="1">IFERROR(__xludf.DUMMYFUNCTION("""COMPUTED_VALUE"""),"Hoàng Thị Phương Anh")</f>
        <v>Hoàng Thị Phương Anh</v>
      </c>
      <c r="J7689" s="3" t="str">
        <f ca="1">IFERROR(__xludf.DUMMYFUNCTION("""COMPUTED_VALUE"""),"0984925377")</f>
        <v>0984925377</v>
      </c>
      <c r="K7689" s="2" t="str">
        <f ca="1">IFERROR(__xludf.DUMMYFUNCTION("""COMPUTED_VALUE"""),"1753125479152")</f>
        <v>1753125479152</v>
      </c>
    </row>
    <row r="7690" spans="1:11" ht="12.45">
      <c r="A7690" s="2" t="str">
        <f ca="1">IFERROR(__xludf.DUMMYFUNCTION("""COMPUTED_VALUE"""),"1753125544403")</f>
        <v>1753125544403</v>
      </c>
      <c r="B7690" s="2"/>
      <c r="C7690" s="2" t="str">
        <v>0</v>
      </c>
      <c r="D7690" s="2"/>
      <c r="F7690" s="2" t="str">
        <v>0</v>
      </c>
      <c r="I7690" s="3" t="str">
        <f ca="1">IFERROR(__xludf.DUMMYFUNCTION("""COMPUTED_VALUE"""),"PHAN THỊ BÍCH THUỲ")</f>
        <v>PHAN THỊ BÍCH THUỲ</v>
      </c>
      <c r="J7690" s="3" t="str">
        <f ca="1">IFERROR(__xludf.DUMMYFUNCTION("""COMPUTED_VALUE"""),"0399235407")</f>
        <v>0399235407</v>
      </c>
      <c r="K7690" s="2" t="str">
        <f ca="1">IFERROR(__xludf.DUMMYFUNCTION("""COMPUTED_VALUE"""),"1753125544403")</f>
        <v>1753125544403</v>
      </c>
    </row>
    <row r="7691" spans="1:11" ht="12.45">
      <c r="A7691" s="2" t="str">
        <f ca="1">IFERROR(__xludf.DUMMYFUNCTION("""COMPUTED_VALUE"""),"1753125631240")</f>
        <v>1753125631240</v>
      </c>
      <c r="B7691" s="2"/>
      <c r="C7691" s="2" t="str">
        <v>0</v>
      </c>
      <c r="D7691" s="2"/>
      <c r="F7691" s="2" t="str">
        <v>0</v>
      </c>
      <c r="I7691" s="3" t="str">
        <f ca="1">IFERROR(__xludf.DUMMYFUNCTION("""COMPUTED_VALUE"""),"Nguyễn Đỗ Khanh")</f>
        <v>Nguyễn Đỗ Khanh</v>
      </c>
      <c r="J7691" s="3" t="str">
        <f ca="1">IFERROR(__xludf.DUMMYFUNCTION("""COMPUTED_VALUE"""),"0368352982")</f>
        <v>0368352982</v>
      </c>
      <c r="K7691" s="2" t="str">
        <f ca="1">IFERROR(__xludf.DUMMYFUNCTION("""COMPUTED_VALUE"""),"1753125631240")</f>
        <v>1753125631240</v>
      </c>
    </row>
    <row r="7692" spans="1:11" ht="12.45">
      <c r="A7692" s="2" t="str">
        <f ca="1">IFERROR(__xludf.DUMMYFUNCTION("""COMPUTED_VALUE"""),"1753125685284")</f>
        <v>1753125685284</v>
      </c>
      <c r="B7692" s="2"/>
      <c r="C7692" s="2" t="str">
        <v>0</v>
      </c>
      <c r="D7692" s="2"/>
      <c r="F7692" s="2" t="str">
        <v>0</v>
      </c>
      <c r="I7692" s="3" t="str">
        <f ca="1">IFERROR(__xludf.DUMMYFUNCTION("""COMPUTED_VALUE"""),"Nguyễn Thị Vân Anh")</f>
        <v>Nguyễn Thị Vân Anh</v>
      </c>
      <c r="J7692" s="3" t="str">
        <f ca="1">IFERROR(__xludf.DUMMYFUNCTION("""COMPUTED_VALUE"""),"0862372646")</f>
        <v>0862372646</v>
      </c>
      <c r="K7692" s="2" t="str">
        <f ca="1">IFERROR(__xludf.DUMMYFUNCTION("""COMPUTED_VALUE"""),"1753125685284")</f>
        <v>1753125685284</v>
      </c>
    </row>
    <row r="7693" spans="1:11" ht="12.45">
      <c r="A7693" s="2" t="str">
        <f ca="1">IFERROR(__xludf.DUMMYFUNCTION("""COMPUTED_VALUE"""),"1753125764517")</f>
        <v>1753125764517</v>
      </c>
      <c r="B7693" s="2"/>
      <c r="C7693" s="2" t="str">
        <v>0</v>
      </c>
      <c r="D7693" s="2"/>
      <c r="F7693" s="2" t="str">
        <v>0</v>
      </c>
      <c r="I7693" s="3" t="str">
        <f ca="1">IFERROR(__xludf.DUMMYFUNCTION("""COMPUTED_VALUE"""),"Thái Hoàng Ngân")</f>
        <v>Thái Hoàng Ngân</v>
      </c>
      <c r="J7693" s="3" t="str">
        <f ca="1">IFERROR(__xludf.DUMMYFUNCTION("""COMPUTED_VALUE"""),"0945345000")</f>
        <v>0945345000</v>
      </c>
      <c r="K7693" s="2" t="str">
        <f ca="1">IFERROR(__xludf.DUMMYFUNCTION("""COMPUTED_VALUE"""),"1753125764517")</f>
        <v>1753125764517</v>
      </c>
    </row>
    <row r="7694" spans="1:11" ht="12.45">
      <c r="A7694" s="2" t="str">
        <f ca="1">IFERROR(__xludf.DUMMYFUNCTION("""COMPUTED_VALUE"""),"1753125819164")</f>
        <v>1753125819164</v>
      </c>
      <c r="B7694" s="2"/>
      <c r="C7694" s="2" t="str">
        <v>0</v>
      </c>
      <c r="D7694" s="2"/>
      <c r="F7694" s="2" t="str">
        <v>0</v>
      </c>
      <c r="I7694" s="3" t="str">
        <f ca="1">IFERROR(__xludf.DUMMYFUNCTION("""COMPUTED_VALUE"""),"Lương Thị Huyền Trang")</f>
        <v>Lương Thị Huyền Trang</v>
      </c>
      <c r="J7694" s="3" t="str">
        <f ca="1">IFERROR(__xludf.DUMMYFUNCTION("""COMPUTED_VALUE"""),"0348962532")</f>
        <v>0348962532</v>
      </c>
      <c r="K7694" s="2" t="str">
        <f ca="1">IFERROR(__xludf.DUMMYFUNCTION("""COMPUTED_VALUE"""),"1753125819164")</f>
        <v>1753125819164</v>
      </c>
    </row>
    <row r="7695" spans="1:11" ht="12.45">
      <c r="A7695" s="2" t="str">
        <f ca="1">IFERROR(__xludf.DUMMYFUNCTION("""COMPUTED_VALUE"""),"1753125893355")</f>
        <v>1753125893355</v>
      </c>
      <c r="B7695" s="2"/>
      <c r="C7695" s="2" t="str">
        <v>0</v>
      </c>
      <c r="D7695" s="2"/>
      <c r="F7695" s="2" t="str">
        <v>0</v>
      </c>
      <c r="I7695" s="3" t="str">
        <f ca="1">IFERROR(__xludf.DUMMYFUNCTION("""COMPUTED_VALUE"""),"Nguyễn Võ Minh Khôi")</f>
        <v>Nguyễn Võ Minh Khôi</v>
      </c>
      <c r="J7695" s="3" t="str">
        <f ca="1">IFERROR(__xludf.DUMMYFUNCTION("""COMPUTED_VALUE"""),"0842770207")</f>
        <v>0842770207</v>
      </c>
      <c r="K7695" s="2" t="str">
        <f ca="1">IFERROR(__xludf.DUMMYFUNCTION("""COMPUTED_VALUE"""),"1753125893355")</f>
        <v>1753125893355</v>
      </c>
    </row>
    <row r="7696" spans="1:11" ht="12.45">
      <c r="A7696" s="2" t="str">
        <f ca="1">IFERROR(__xludf.DUMMYFUNCTION("""COMPUTED_VALUE"""),"1758581113590")</f>
        <v>1758581113590</v>
      </c>
      <c r="B7696" s="2"/>
      <c r="C7696" s="2" t="str">
        <v>0</v>
      </c>
      <c r="D7696" s="2"/>
      <c r="F7696" s="2" t="str">
        <v>0</v>
      </c>
      <c r="I7696" s="3" t="str">
        <f ca="1">IFERROR(__xludf.DUMMYFUNCTION("""COMPUTED_VALUE"""),"Đinh Thị Hoài Thư")</f>
        <v>Đinh Thị Hoài Thư</v>
      </c>
      <c r="J7696" s="3" t="str">
        <f ca="1">IFERROR(__xludf.DUMMYFUNCTION("""COMPUTED_VALUE"""),"0345408647")</f>
        <v>0345408647</v>
      </c>
      <c r="K7696" s="2" t="str">
        <f ca="1">IFERROR(__xludf.DUMMYFUNCTION("""COMPUTED_VALUE"""),"1758581113590")</f>
        <v>1758581113590</v>
      </c>
    </row>
    <row r="7697" spans="1:11" ht="12.45">
      <c r="A7697" s="2" t="str">
        <f ca="1">IFERROR(__xludf.DUMMYFUNCTION("""COMPUTED_VALUE"""),"1753125950556")</f>
        <v>1753125950556</v>
      </c>
      <c r="B7697" s="2"/>
      <c r="C7697" s="2" t="str">
        <v>0</v>
      </c>
      <c r="D7697" s="2"/>
      <c r="F7697" s="2" t="str">
        <v>0</v>
      </c>
      <c r="I7697" s="3" t="str">
        <f ca="1">IFERROR(__xludf.DUMMYFUNCTION("""COMPUTED_VALUE"""),"Nguyễn Thùy Anh")</f>
        <v>Nguyễn Thùy Anh</v>
      </c>
      <c r="J7697" s="3" t="str">
        <f ca="1">IFERROR(__xludf.DUMMYFUNCTION("""COMPUTED_VALUE"""),"0981425109")</f>
        <v>0981425109</v>
      </c>
      <c r="K7697" s="2" t="str">
        <f ca="1">IFERROR(__xludf.DUMMYFUNCTION("""COMPUTED_VALUE"""),"1753125950556")</f>
        <v>1753125950556</v>
      </c>
    </row>
    <row r="7698" spans="1:11" ht="12.45">
      <c r="A7698" s="2" t="str">
        <f ca="1">IFERROR(__xludf.DUMMYFUNCTION("""COMPUTED_VALUE"""),"1753125998720")</f>
        <v>1753125998720</v>
      </c>
      <c r="B7698" s="2"/>
      <c r="C7698" s="2" t="str">
        <v>0</v>
      </c>
      <c r="D7698" s="2"/>
      <c r="F7698" s="2" t="str">
        <v>0</v>
      </c>
      <c r="I7698" s="3" t="str">
        <f ca="1">IFERROR(__xludf.DUMMYFUNCTION("""COMPUTED_VALUE"""),"Lê Khánh Vân")</f>
        <v>Lê Khánh Vân</v>
      </c>
      <c r="J7698" s="3" t="str">
        <f ca="1">IFERROR(__xludf.DUMMYFUNCTION("""COMPUTED_VALUE"""),"0382921588")</f>
        <v>0382921588</v>
      </c>
      <c r="K7698" s="2" t="str">
        <f ca="1">IFERROR(__xludf.DUMMYFUNCTION("""COMPUTED_VALUE"""),"1753125998720")</f>
        <v>1753125998720</v>
      </c>
    </row>
    <row r="7699" spans="1:11" ht="12.45">
      <c r="A7699" s="2" t="str">
        <f ca="1">IFERROR(__xludf.DUMMYFUNCTION("""COMPUTED_VALUE"""),"1753126112130")</f>
        <v>1753126112130</v>
      </c>
      <c r="B7699" s="2"/>
      <c r="C7699" s="2" t="str">
        <v>0</v>
      </c>
      <c r="D7699" s="2"/>
      <c r="F7699" s="2" t="str">
        <v>0</v>
      </c>
      <c r="I7699" s="3" t="str">
        <f ca="1">IFERROR(__xludf.DUMMYFUNCTION("""COMPUTED_VALUE"""),"Mai Phương Thúy ")</f>
        <v xml:space="preserve">Mai Phương Thúy </v>
      </c>
      <c r="J7699" s="3" t="str">
        <f ca="1">IFERROR(__xludf.DUMMYFUNCTION("""COMPUTED_VALUE"""),"0845716212")</f>
        <v>0845716212</v>
      </c>
      <c r="K7699" s="2" t="str">
        <f ca="1">IFERROR(__xludf.DUMMYFUNCTION("""COMPUTED_VALUE"""),"1753126112130")</f>
        <v>1753126112130</v>
      </c>
    </row>
    <row r="7700" spans="1:11" ht="12.45">
      <c r="A7700" s="2"/>
      <c r="B7700" s="2"/>
      <c r="C7700" s="2" t="str">
        <v>0</v>
      </c>
      <c r="D7700" s="2"/>
      <c r="F7700" s="2" t="str">
        <v>0</v>
      </c>
      <c r="I7700" s="3" t="str">
        <f ca="1">IFERROR(__xludf.DUMMYFUNCTION("""COMPUTED_VALUE"""),"Nguyễn Thị Quỳnh Nương ")</f>
        <v xml:space="preserve">Nguyễn Thị Quỳnh Nương </v>
      </c>
      <c r="J7700" s="3" t="str">
        <f ca="1">IFERROR(__xludf.DUMMYFUNCTION("""COMPUTED_VALUE"""),"0368157750")</f>
        <v>0368157750</v>
      </c>
      <c r="K7700" s="2"/>
    </row>
    <row r="7701" spans="1:11" ht="12.45">
      <c r="A7701" s="2" t="str">
        <f ca="1">IFERROR(__xludf.DUMMYFUNCTION("""COMPUTED_VALUE"""),"1753126161265")</f>
        <v>1753126161265</v>
      </c>
      <c r="B7701" s="2"/>
      <c r="C7701" s="2" t="str">
        <v>0</v>
      </c>
      <c r="D7701" s="2"/>
      <c r="F7701" s="2" t="str">
        <v>0</v>
      </c>
      <c r="I7701" s="3" t="str">
        <f ca="1">IFERROR(__xludf.DUMMYFUNCTION("""COMPUTED_VALUE"""),"Lê Kim Bảo Ngân")</f>
        <v>Lê Kim Bảo Ngân</v>
      </c>
      <c r="J7701" s="3" t="str">
        <f ca="1">IFERROR(__xludf.DUMMYFUNCTION("""COMPUTED_VALUE"""),"0949113649")</f>
        <v>0949113649</v>
      </c>
      <c r="K7701" s="2" t="str">
        <f ca="1">IFERROR(__xludf.DUMMYFUNCTION("""COMPUTED_VALUE"""),"1753126161265")</f>
        <v>1753126161265</v>
      </c>
    </row>
    <row r="7702" spans="1:11" ht="12.45">
      <c r="A7702" s="2" t="str">
        <f ca="1">IFERROR(__xludf.DUMMYFUNCTION("""COMPUTED_VALUE"""),"1753126267688")</f>
        <v>1753126267688</v>
      </c>
      <c r="B7702" s="2"/>
      <c r="C7702" s="2" t="str">
        <v>0</v>
      </c>
      <c r="D7702" s="2"/>
      <c r="F7702" s="2" t="str">
        <v>0</v>
      </c>
      <c r="I7702" s="3" t="str">
        <f ca="1">IFERROR(__xludf.DUMMYFUNCTION("""COMPUTED_VALUE"""),"Lương Vũ Hoài Như")</f>
        <v>Lương Vũ Hoài Như</v>
      </c>
      <c r="J7702" s="3" t="str">
        <f ca="1">IFERROR(__xludf.DUMMYFUNCTION("""COMPUTED_VALUE"""),"0941369527")</f>
        <v>0941369527</v>
      </c>
      <c r="K7702" s="2" t="str">
        <f ca="1">IFERROR(__xludf.DUMMYFUNCTION("""COMPUTED_VALUE"""),"1753126267688")</f>
        <v>1753126267688</v>
      </c>
    </row>
    <row r="7703" spans="1:11" ht="12.45">
      <c r="A7703" s="2"/>
      <c r="B7703" s="2"/>
      <c r="C7703" s="2" t="str">
        <v>0</v>
      </c>
      <c r="D7703" s="2"/>
      <c r="F7703" s="2" t="str">
        <v>0</v>
      </c>
      <c r="I7703" s="3" t="str">
        <f ca="1">IFERROR(__xludf.DUMMYFUNCTION("""COMPUTED_VALUE"""),"Lê Duy Huy ")</f>
        <v xml:space="preserve">Lê Duy Huy </v>
      </c>
      <c r="J7703" s="3" t="str">
        <f ca="1">IFERROR(__xludf.DUMMYFUNCTION("""COMPUTED_VALUE"""),"0928428898")</f>
        <v>0928428898</v>
      </c>
      <c r="K7703" s="2"/>
    </row>
    <row r="7704" spans="1:11" ht="12.45">
      <c r="A7704" s="2" t="str">
        <f ca="1">IFERROR(__xludf.DUMMYFUNCTION("""COMPUTED_VALUE"""),"1753126314735")</f>
        <v>1753126314735</v>
      </c>
      <c r="B7704" s="2"/>
      <c r="C7704" s="2" t="str">
        <v>0</v>
      </c>
      <c r="D7704" s="2"/>
      <c r="F7704" s="2" t="str">
        <v>0</v>
      </c>
      <c r="I7704" s="3" t="str">
        <f ca="1">IFERROR(__xludf.DUMMYFUNCTION("""COMPUTED_VALUE"""),"Nguyễn Hương Ly ")</f>
        <v xml:space="preserve">Nguyễn Hương Ly </v>
      </c>
      <c r="J7704" s="3" t="str">
        <f ca="1">IFERROR(__xludf.DUMMYFUNCTION("""COMPUTED_VALUE"""),"0989138154")</f>
        <v>0989138154</v>
      </c>
      <c r="K7704" s="2" t="str">
        <f ca="1">IFERROR(__xludf.DUMMYFUNCTION("""COMPUTED_VALUE"""),"1753126314735")</f>
        <v>1753126314735</v>
      </c>
    </row>
    <row r="7705" spans="1:11" ht="12.45">
      <c r="A7705" s="2" t="str">
        <f ca="1">IFERROR(__xludf.DUMMYFUNCTION("""COMPUTED_VALUE"""),"1753126389067")</f>
        <v>1753126389067</v>
      </c>
      <c r="B7705" s="2"/>
      <c r="C7705" s="2" t="str">
        <v>0</v>
      </c>
      <c r="D7705" s="2"/>
      <c r="F7705" s="2" t="str">
        <v>0</v>
      </c>
      <c r="I7705" s="3" t="str">
        <f ca="1">IFERROR(__xludf.DUMMYFUNCTION("""COMPUTED_VALUE"""),"Lê Minh Hy")</f>
        <v>Lê Minh Hy</v>
      </c>
      <c r="J7705" s="3" t="str">
        <f ca="1">IFERROR(__xludf.DUMMYFUNCTION("""COMPUTED_VALUE"""),"0949262007")</f>
        <v>0949262007</v>
      </c>
      <c r="K7705" s="2" t="str">
        <f ca="1">IFERROR(__xludf.DUMMYFUNCTION("""COMPUTED_VALUE"""),"1753126389067")</f>
        <v>1753126389067</v>
      </c>
    </row>
    <row r="7706" spans="1:11" ht="12.45">
      <c r="A7706" s="2" t="str">
        <f ca="1">IFERROR(__xludf.DUMMYFUNCTION("""COMPUTED_VALUE"""),"1753126463636")</f>
        <v>1753126463636</v>
      </c>
      <c r="B7706" s="2"/>
      <c r="C7706" s="2" t="str">
        <v>0</v>
      </c>
      <c r="D7706" s="2"/>
      <c r="F7706" s="2" t="str">
        <v>0</v>
      </c>
      <c r="I7706" s="3" t="str">
        <f ca="1">IFERROR(__xludf.DUMMYFUNCTION("""COMPUTED_VALUE"""),"Đoàn Quang Cảnh ")</f>
        <v xml:space="preserve">Đoàn Quang Cảnh </v>
      </c>
      <c r="J7706" s="3" t="str">
        <f ca="1">IFERROR(__xludf.DUMMYFUNCTION("""COMPUTED_VALUE"""),"0362878766")</f>
        <v>0362878766</v>
      </c>
      <c r="K7706" s="2" t="str">
        <f ca="1">IFERROR(__xludf.DUMMYFUNCTION("""COMPUTED_VALUE"""),"1753126463636")</f>
        <v>1753126463636</v>
      </c>
    </row>
    <row r="7707" spans="1:11" ht="12.45">
      <c r="A7707" s="2" t="str">
        <f ca="1">IFERROR(__xludf.DUMMYFUNCTION("""COMPUTED_VALUE"""),"1753126547087")</f>
        <v>1753126547087</v>
      </c>
      <c r="B7707" s="2"/>
      <c r="C7707" s="2" t="str">
        <v>0</v>
      </c>
      <c r="D7707" s="2"/>
      <c r="F7707" s="2" t="str">
        <v>0</v>
      </c>
      <c r="I7707" s="3" t="str">
        <f ca="1">IFERROR(__xludf.DUMMYFUNCTION("""COMPUTED_VALUE"""),"Đinh Thị Thu Huyền")</f>
        <v>Đinh Thị Thu Huyền</v>
      </c>
      <c r="J7707" s="3" t="str">
        <f ca="1">IFERROR(__xludf.DUMMYFUNCTION("""COMPUTED_VALUE"""),"0969051532")</f>
        <v>0969051532</v>
      </c>
      <c r="K7707" s="2" t="str">
        <f ca="1">IFERROR(__xludf.DUMMYFUNCTION("""COMPUTED_VALUE"""),"1753126547087")</f>
        <v>1753126547087</v>
      </c>
    </row>
    <row r="7708" spans="1:11" ht="12.45">
      <c r="A7708" s="2" t="str">
        <f ca="1">IFERROR(__xludf.DUMMYFUNCTION("""COMPUTED_VALUE"""),"1753126597905")</f>
        <v>1753126597905</v>
      </c>
      <c r="B7708" s="2"/>
      <c r="C7708" s="2" t="str">
        <v>0</v>
      </c>
      <c r="D7708" s="2"/>
      <c r="F7708" s="2" t="str">
        <v>0</v>
      </c>
      <c r="I7708" s="3" t="str">
        <f ca="1">IFERROR(__xludf.DUMMYFUNCTION("""COMPUTED_VALUE"""),"Chu Phương Khánh")</f>
        <v>Chu Phương Khánh</v>
      </c>
      <c r="J7708" s="3" t="str">
        <f ca="1">IFERROR(__xludf.DUMMYFUNCTION("""COMPUTED_VALUE"""),"0966298362")</f>
        <v>0966298362</v>
      </c>
      <c r="K7708" s="2" t="str">
        <f ca="1">IFERROR(__xludf.DUMMYFUNCTION("""COMPUTED_VALUE"""),"1753126597905")</f>
        <v>1753126597905</v>
      </c>
    </row>
    <row r="7709" spans="1:11" ht="12.45">
      <c r="A7709" s="2" t="str">
        <f ca="1">IFERROR(__xludf.DUMMYFUNCTION("""COMPUTED_VALUE"""),"1753126670943")</f>
        <v>1753126670943</v>
      </c>
      <c r="B7709" s="2"/>
      <c r="C7709" s="2" t="str">
        <v>0</v>
      </c>
      <c r="D7709" s="2"/>
      <c r="F7709" s="2" t="str">
        <v>0</v>
      </c>
      <c r="I7709" s="3" t="str">
        <f ca="1">IFERROR(__xludf.DUMMYFUNCTION("""COMPUTED_VALUE"""),"Phạm Khánh Linh")</f>
        <v>Phạm Khánh Linh</v>
      </c>
      <c r="J7709" s="3" t="str">
        <f ca="1">IFERROR(__xludf.DUMMYFUNCTION("""COMPUTED_VALUE"""),"0968652082")</f>
        <v>0968652082</v>
      </c>
      <c r="K7709" s="2" t="str">
        <f ca="1">IFERROR(__xludf.DUMMYFUNCTION("""COMPUTED_VALUE"""),"1753126670943")</f>
        <v>1753126670943</v>
      </c>
    </row>
    <row r="7710" spans="1:11" ht="12.45">
      <c r="A7710" s="2" t="str">
        <f ca="1">IFERROR(__xludf.DUMMYFUNCTION("""COMPUTED_VALUE"""),"1753126727331")</f>
        <v>1753126727331</v>
      </c>
      <c r="B7710" s="2"/>
      <c r="C7710" s="2" t="str">
        <v>0</v>
      </c>
      <c r="D7710" s="2"/>
      <c r="F7710" s="2" t="str">
        <v>0</v>
      </c>
      <c r="I7710" s="3" t="str">
        <f ca="1">IFERROR(__xludf.DUMMYFUNCTION("""COMPUTED_VALUE"""),"Thái Bá Nguyên")</f>
        <v>Thái Bá Nguyên</v>
      </c>
      <c r="J7710" s="3" t="str">
        <f ca="1">IFERROR(__xludf.DUMMYFUNCTION("""COMPUTED_VALUE"""),"0382431384")</f>
        <v>0382431384</v>
      </c>
      <c r="K7710" s="2" t="str">
        <f ca="1">IFERROR(__xludf.DUMMYFUNCTION("""COMPUTED_VALUE"""),"1753126727331")</f>
        <v>1753126727331</v>
      </c>
    </row>
    <row r="7711" spans="1:11" ht="12.45">
      <c r="A7711" s="2" t="str">
        <f ca="1">IFERROR(__xludf.DUMMYFUNCTION("""COMPUTED_VALUE"""),"1753126780893")</f>
        <v>1753126780893</v>
      </c>
      <c r="B7711" s="2"/>
      <c r="C7711" s="2" t="str">
        <v>0</v>
      </c>
      <c r="D7711" s="2"/>
      <c r="F7711" s="2" t="str">
        <v>0</v>
      </c>
      <c r="I7711" s="3" t="str">
        <f ca="1">IFERROR(__xludf.DUMMYFUNCTION("""COMPUTED_VALUE"""),"Đỗ Thuý Hằng ")</f>
        <v xml:space="preserve">Đỗ Thuý Hằng </v>
      </c>
      <c r="J7711" s="3" t="str">
        <f ca="1">IFERROR(__xludf.DUMMYFUNCTION("""COMPUTED_VALUE"""),"0382466783")</f>
        <v>0382466783</v>
      </c>
      <c r="K7711" s="2" t="str">
        <f ca="1">IFERROR(__xludf.DUMMYFUNCTION("""COMPUTED_VALUE"""),"1753126780893")</f>
        <v>1753126780893</v>
      </c>
    </row>
    <row r="7712" spans="1:11" ht="12.45">
      <c r="A7712" s="2" t="str">
        <f ca="1">IFERROR(__xludf.DUMMYFUNCTION("""COMPUTED_VALUE"""),"1758581181220")</f>
        <v>1758581181220</v>
      </c>
      <c r="B7712" s="2"/>
      <c r="C7712" s="2" t="str">
        <v>0</v>
      </c>
      <c r="D7712" s="2"/>
      <c r="F7712" s="2" t="str">
        <v>0</v>
      </c>
      <c r="I7712" s="3" t="str">
        <f ca="1">IFERROR(__xludf.DUMMYFUNCTION("""COMPUTED_VALUE"""),"Nguyễn Hồng Thái")</f>
        <v>Nguyễn Hồng Thái</v>
      </c>
      <c r="J7712" s="3" t="str">
        <f ca="1">IFERROR(__xludf.DUMMYFUNCTION("""COMPUTED_VALUE"""),"0587856899")</f>
        <v>0587856899</v>
      </c>
      <c r="K7712" s="2" t="str">
        <f ca="1">IFERROR(__xludf.DUMMYFUNCTION("""COMPUTED_VALUE"""),"1758581181220")</f>
        <v>1758581181220</v>
      </c>
    </row>
    <row r="7713" spans="1:11" ht="12.45">
      <c r="A7713" s="2" t="str">
        <f ca="1">IFERROR(__xludf.DUMMYFUNCTION("""COMPUTED_VALUE"""),"1753126818270")</f>
        <v>1753126818270</v>
      </c>
      <c r="B7713" s="2"/>
      <c r="C7713" s="2" t="str">
        <v>0</v>
      </c>
      <c r="D7713" s="2"/>
      <c r="F7713" s="2" t="str">
        <v>0</v>
      </c>
      <c r="I7713" s="3" t="str">
        <f ca="1">IFERROR(__xludf.DUMMYFUNCTION("""COMPUTED_VALUE"""),"Đặng Thị Yến")</f>
        <v>Đặng Thị Yến</v>
      </c>
      <c r="J7713" s="3" t="str">
        <f ca="1">IFERROR(__xludf.DUMMYFUNCTION("""COMPUTED_VALUE"""),"0359352353")</f>
        <v>0359352353</v>
      </c>
      <c r="K7713" s="2" t="str">
        <f ca="1">IFERROR(__xludf.DUMMYFUNCTION("""COMPUTED_VALUE"""),"1753126818270")</f>
        <v>1753126818270</v>
      </c>
    </row>
    <row r="7714" spans="1:11" ht="12.45">
      <c r="A7714" s="2" t="str">
        <f ca="1">IFERROR(__xludf.DUMMYFUNCTION("""COMPUTED_VALUE"""),"1753126877169")</f>
        <v>1753126877169</v>
      </c>
      <c r="B7714" s="2"/>
      <c r="C7714" s="2" t="str">
        <v>0</v>
      </c>
      <c r="D7714" s="2"/>
      <c r="F7714" s="2" t="str">
        <v>0</v>
      </c>
      <c r="I7714" s="3" t="str">
        <f ca="1">IFERROR(__xludf.DUMMYFUNCTION("""COMPUTED_VALUE"""),"Nguyễn Thị Minh Khuê")</f>
        <v>Nguyễn Thị Minh Khuê</v>
      </c>
      <c r="J7714" s="3" t="str">
        <f ca="1">IFERROR(__xludf.DUMMYFUNCTION("""COMPUTED_VALUE"""),"0929491201")</f>
        <v>0929491201</v>
      </c>
      <c r="K7714" s="2" t="str">
        <f ca="1">IFERROR(__xludf.DUMMYFUNCTION("""COMPUTED_VALUE"""),"1753126877169")</f>
        <v>1753126877169</v>
      </c>
    </row>
    <row r="7715" spans="1:11" ht="12.45">
      <c r="A7715" s="2" t="str">
        <f ca="1">IFERROR(__xludf.DUMMYFUNCTION("""COMPUTED_VALUE"""),"1753126932563")</f>
        <v>1753126932563</v>
      </c>
      <c r="B7715" s="2"/>
      <c r="C7715" s="2" t="str">
        <v>0</v>
      </c>
      <c r="D7715" s="2"/>
      <c r="F7715" s="2" t="str">
        <v>0</v>
      </c>
      <c r="I7715" s="3" t="str">
        <f ca="1">IFERROR(__xludf.DUMMYFUNCTION("""COMPUTED_VALUE"""),"Phạm Thị Ngọc Anh")</f>
        <v>Phạm Thị Ngọc Anh</v>
      </c>
      <c r="J7715" s="3" t="str">
        <f ca="1">IFERROR(__xludf.DUMMYFUNCTION("""COMPUTED_VALUE"""),"0392011600")</f>
        <v>0392011600</v>
      </c>
      <c r="K7715" s="2" t="str">
        <f ca="1">IFERROR(__xludf.DUMMYFUNCTION("""COMPUTED_VALUE"""),"1753126932563")</f>
        <v>1753126932563</v>
      </c>
    </row>
    <row r="7716" spans="1:11" ht="12.45">
      <c r="A7716" s="2" t="str">
        <f ca="1">IFERROR(__xludf.DUMMYFUNCTION("""COMPUTED_VALUE"""),"1752993328318")</f>
        <v>1752993328318</v>
      </c>
      <c r="B7716" s="2"/>
      <c r="C7716" s="2" t="str">
        <v>0</v>
      </c>
      <c r="D7716" s="2"/>
      <c r="F7716" s="2" t="str">
        <v>0</v>
      </c>
      <c r="I7716" s="3" t="str">
        <f ca="1">IFERROR(__xludf.DUMMYFUNCTION("""COMPUTED_VALUE"""),"Sô Minh Sơn")</f>
        <v>Sô Minh Sơn</v>
      </c>
      <c r="J7716" s="3" t="str">
        <f ca="1">IFERROR(__xludf.DUMMYFUNCTION("""COMPUTED_VALUE"""),"0386984312")</f>
        <v>0386984312</v>
      </c>
      <c r="K7716" s="2" t="str">
        <f ca="1">IFERROR(__xludf.DUMMYFUNCTION("""COMPUTED_VALUE"""),"1752993328318")</f>
        <v>1752993328318</v>
      </c>
    </row>
    <row r="7717" spans="1:11" ht="12.45">
      <c r="A7717" s="2" t="str">
        <f ca="1">IFERROR(__xludf.DUMMYFUNCTION("""COMPUTED_VALUE"""),"1753126983231")</f>
        <v>1753126983231</v>
      </c>
      <c r="B7717" s="2"/>
      <c r="C7717" s="2" t="str">
        <v>0</v>
      </c>
      <c r="D7717" s="2"/>
      <c r="F7717" s="2" t="str">
        <v>0</v>
      </c>
      <c r="I7717" s="3" t="str">
        <f ca="1">IFERROR(__xludf.DUMMYFUNCTION("""COMPUTED_VALUE"""),"Phạm Mai Linh")</f>
        <v>Phạm Mai Linh</v>
      </c>
      <c r="J7717" s="3" t="str">
        <f ca="1">IFERROR(__xludf.DUMMYFUNCTION("""COMPUTED_VALUE"""),"0865661856")</f>
        <v>0865661856</v>
      </c>
      <c r="K7717" s="2" t="str">
        <f ca="1">IFERROR(__xludf.DUMMYFUNCTION("""COMPUTED_VALUE"""),"1753126983231")</f>
        <v>1753126983231</v>
      </c>
    </row>
    <row r="7718" spans="1:11" ht="12.45">
      <c r="A7718" s="2" t="str">
        <f ca="1">IFERROR(__xludf.DUMMYFUNCTION("""COMPUTED_VALUE"""),"1753127038929")</f>
        <v>1753127038929</v>
      </c>
      <c r="B7718" s="2"/>
      <c r="C7718" s="2" t="str">
        <v>0</v>
      </c>
      <c r="D7718" s="2"/>
      <c r="F7718" s="2" t="str">
        <v>0</v>
      </c>
      <c r="I7718" s="3" t="str">
        <f ca="1">IFERROR(__xludf.DUMMYFUNCTION("""COMPUTED_VALUE"""),"Nguyễn Thị Anh Thư")</f>
        <v>Nguyễn Thị Anh Thư</v>
      </c>
      <c r="J7718" s="3" t="str">
        <f ca="1">IFERROR(__xludf.DUMMYFUNCTION("""COMPUTED_VALUE"""),"0788839468")</f>
        <v>0788839468</v>
      </c>
      <c r="K7718" s="2" t="str">
        <f ca="1">IFERROR(__xludf.DUMMYFUNCTION("""COMPUTED_VALUE"""),"1753127038929")</f>
        <v>1753127038929</v>
      </c>
    </row>
    <row r="7719" spans="1:11" ht="12.45">
      <c r="A7719" s="2" t="str">
        <f ca="1">IFERROR(__xludf.DUMMYFUNCTION("""COMPUTED_VALUE"""),"1753127079098")</f>
        <v>1753127079098</v>
      </c>
      <c r="B7719" s="2"/>
      <c r="C7719" s="2" t="str">
        <v>0</v>
      </c>
      <c r="D7719" s="2"/>
      <c r="F7719" s="2" t="str">
        <v>0</v>
      </c>
      <c r="I7719" s="3" t="str">
        <f ca="1">IFERROR(__xludf.DUMMYFUNCTION("""COMPUTED_VALUE"""),"Nguyễn Văn Đạt")</f>
        <v>Nguyễn Văn Đạt</v>
      </c>
      <c r="J7719" s="3" t="str">
        <f ca="1">IFERROR(__xludf.DUMMYFUNCTION("""COMPUTED_VALUE"""),"0563686040")</f>
        <v>0563686040</v>
      </c>
      <c r="K7719" s="2" t="str">
        <f ca="1">IFERROR(__xludf.DUMMYFUNCTION("""COMPUTED_VALUE"""),"1753127079098")</f>
        <v>1753127079098</v>
      </c>
    </row>
    <row r="7720" spans="1:11" ht="12.45">
      <c r="A7720" s="2"/>
      <c r="B7720" s="2"/>
      <c r="C7720" s="2" t="str">
        <v>0</v>
      </c>
      <c r="D7720" s="2"/>
      <c r="F7720" s="2" t="str">
        <v>0</v>
      </c>
      <c r="I7720" s="3" t="str">
        <f ca="1">IFERROR(__xludf.DUMMYFUNCTION("""COMPUTED_VALUE"""),"Trần Thị Thanh Thư")</f>
        <v>Trần Thị Thanh Thư</v>
      </c>
      <c r="J7720" s="3" t="str">
        <f ca="1">IFERROR(__xludf.DUMMYFUNCTION("""COMPUTED_VALUE"""),"0342568692")</f>
        <v>0342568692</v>
      </c>
      <c r="K7720" s="2"/>
    </row>
    <row r="7721" spans="1:11" ht="12.45">
      <c r="A7721" s="2"/>
      <c r="B7721" s="2"/>
      <c r="C7721" s="2" t="str">
        <v>0</v>
      </c>
      <c r="D7721" s="2"/>
      <c r="F7721" s="2" t="str">
        <v>0</v>
      </c>
      <c r="I7721" s="3" t="str">
        <f ca="1">IFERROR(__xludf.DUMMYFUNCTION("""COMPUTED_VALUE"""),"Trần Hà Phương Uyên")</f>
        <v>Trần Hà Phương Uyên</v>
      </c>
      <c r="J7721" s="3" t="str">
        <f ca="1">IFERROR(__xludf.DUMMYFUNCTION("""COMPUTED_VALUE"""),"0765994369")</f>
        <v>0765994369</v>
      </c>
      <c r="K7721" s="2"/>
    </row>
    <row r="7722" spans="1:11" ht="12.45">
      <c r="A7722" s="2" t="str">
        <f ca="1">IFERROR(__xludf.DUMMYFUNCTION("""COMPUTED_VALUE"""),"1753127113239")</f>
        <v>1753127113239</v>
      </c>
      <c r="B7722" s="2"/>
      <c r="C7722" s="2" t="str">
        <v>0</v>
      </c>
      <c r="D7722" s="2"/>
      <c r="F7722" s="2" t="str">
        <v>0</v>
      </c>
      <c r="I7722" s="3" t="str">
        <f ca="1">IFERROR(__xludf.DUMMYFUNCTION("""COMPUTED_VALUE"""),"Hà Thị Mỹ Dung")</f>
        <v>Hà Thị Mỹ Dung</v>
      </c>
      <c r="J7722" s="3" t="str">
        <f ca="1">IFERROR(__xludf.DUMMYFUNCTION("""COMPUTED_VALUE"""),"0379209046")</f>
        <v>0379209046</v>
      </c>
      <c r="K7722" s="2" t="str">
        <f ca="1">IFERROR(__xludf.DUMMYFUNCTION("""COMPUTED_VALUE"""),"1753127113239")</f>
        <v>1753127113239</v>
      </c>
    </row>
    <row r="7723" spans="1:11" ht="12.45">
      <c r="A7723" s="2" t="str">
        <f ca="1">IFERROR(__xludf.DUMMYFUNCTION("""COMPUTED_VALUE"""),"1753127155512")</f>
        <v>1753127155512</v>
      </c>
      <c r="B7723" s="2"/>
      <c r="C7723" s="2" t="str">
        <v>0</v>
      </c>
      <c r="D7723" s="2"/>
      <c r="F7723" s="2" t="str">
        <v>0</v>
      </c>
      <c r="I7723" s="3" t="str">
        <f ca="1">IFERROR(__xludf.DUMMYFUNCTION("""COMPUTED_VALUE"""),"Nguyễn Ngọc Mỹ Tiên")</f>
        <v>Nguyễn Ngọc Mỹ Tiên</v>
      </c>
      <c r="J7723" s="3" t="str">
        <f ca="1">IFERROR(__xludf.DUMMYFUNCTION("""COMPUTED_VALUE"""),"0344716347")</f>
        <v>0344716347</v>
      </c>
      <c r="K7723" s="2" t="str">
        <f ca="1">IFERROR(__xludf.DUMMYFUNCTION("""COMPUTED_VALUE"""),"1753127155512")</f>
        <v>1753127155512</v>
      </c>
    </row>
    <row r="7724" spans="1:11" ht="12.45">
      <c r="A7724" s="2" t="str">
        <f ca="1">IFERROR(__xludf.DUMMYFUNCTION("""COMPUTED_VALUE"""),"1752993377025")</f>
        <v>1752993377025</v>
      </c>
      <c r="B7724" s="2"/>
      <c r="C7724" s="2" t="str">
        <v>0</v>
      </c>
      <c r="D7724" s="2"/>
      <c r="F7724" s="2" t="str">
        <v>0</v>
      </c>
      <c r="I7724" s="3" t="str">
        <f ca="1">IFERROR(__xludf.DUMMYFUNCTION("""COMPUTED_VALUE"""),"Nguyễn Yến Nhi ")</f>
        <v xml:space="preserve">Nguyễn Yến Nhi </v>
      </c>
      <c r="J7724" s="3" t="str">
        <f ca="1">IFERROR(__xludf.DUMMYFUNCTION("""COMPUTED_VALUE"""),"0388361293")</f>
        <v>0388361293</v>
      </c>
      <c r="K7724" s="2" t="str">
        <f ca="1">IFERROR(__xludf.DUMMYFUNCTION("""COMPUTED_VALUE"""),"1752993377025")</f>
        <v>1752993377025</v>
      </c>
    </row>
    <row r="7725" spans="1:11" ht="12.45">
      <c r="A7725" s="2" t="str">
        <f ca="1">IFERROR(__xludf.DUMMYFUNCTION("""COMPUTED_VALUE"""),"1752993438661")</f>
        <v>1752993438661</v>
      </c>
      <c r="B7725" s="2"/>
      <c r="C7725" s="2" t="str">
        <v>0</v>
      </c>
      <c r="D7725" s="2"/>
      <c r="F7725" s="2" t="str">
        <v>0</v>
      </c>
      <c r="I7725" s="3" t="str">
        <f ca="1">IFERROR(__xludf.DUMMYFUNCTION("""COMPUTED_VALUE"""),"Lê Thị Thanh Thùy ")</f>
        <v xml:space="preserve">Lê Thị Thanh Thùy </v>
      </c>
      <c r="J7725" s="3" t="str">
        <f ca="1">IFERROR(__xludf.DUMMYFUNCTION("""COMPUTED_VALUE"""),"0376237980")</f>
        <v>0376237980</v>
      </c>
      <c r="K7725" s="2" t="str">
        <f ca="1">IFERROR(__xludf.DUMMYFUNCTION("""COMPUTED_VALUE"""),"1752993438661")</f>
        <v>1752993438661</v>
      </c>
    </row>
    <row r="7726" spans="1:11" ht="12.45">
      <c r="A7726" s="2" t="str">
        <f ca="1">IFERROR(__xludf.DUMMYFUNCTION("""COMPUTED_VALUE"""),"1752993495764")</f>
        <v>1752993495764</v>
      </c>
      <c r="B7726" s="2"/>
      <c r="C7726" s="2" t="str">
        <v>0</v>
      </c>
      <c r="D7726" s="2"/>
      <c r="F7726" s="2" t="str">
        <v>0</v>
      </c>
      <c r="I7726" s="3" t="str">
        <f ca="1">IFERROR(__xludf.DUMMYFUNCTION("""COMPUTED_VALUE"""),"Võ Thị Thúy An ")</f>
        <v xml:space="preserve">Võ Thị Thúy An </v>
      </c>
      <c r="J7726" s="3" t="str">
        <f ca="1">IFERROR(__xludf.DUMMYFUNCTION("""COMPUTED_VALUE"""),"0349289426")</f>
        <v>0349289426</v>
      </c>
      <c r="K7726" s="2" t="str">
        <f ca="1">IFERROR(__xludf.DUMMYFUNCTION("""COMPUTED_VALUE"""),"1752993495764")</f>
        <v>1752993495764</v>
      </c>
    </row>
    <row r="7727" spans="1:11" ht="12.45">
      <c r="A7727" s="2" t="str">
        <f ca="1">IFERROR(__xludf.DUMMYFUNCTION("""COMPUTED_VALUE"""),"1752993567183")</f>
        <v>1752993567183</v>
      </c>
      <c r="B7727" s="2"/>
      <c r="C7727" s="2" t="str">
        <v>0</v>
      </c>
      <c r="D7727" s="2"/>
      <c r="F7727" s="2" t="str">
        <v>0</v>
      </c>
      <c r="I7727" s="3" t="str">
        <f ca="1">IFERROR(__xludf.DUMMYFUNCTION("""COMPUTED_VALUE"""),"Tô Minh Anh")</f>
        <v>Tô Minh Anh</v>
      </c>
      <c r="J7727" s="3" t="str">
        <f ca="1">IFERROR(__xludf.DUMMYFUNCTION("""COMPUTED_VALUE"""),"0376779120")</f>
        <v>0376779120</v>
      </c>
      <c r="K7727" s="2" t="str">
        <f ca="1">IFERROR(__xludf.DUMMYFUNCTION("""COMPUTED_VALUE"""),"1752993567183")</f>
        <v>1752993567183</v>
      </c>
    </row>
    <row r="7728" spans="1:11" ht="12.45">
      <c r="A7728" s="2" t="str">
        <f ca="1">IFERROR(__xludf.DUMMYFUNCTION("""COMPUTED_VALUE"""),"1752993637839")</f>
        <v>1752993637839</v>
      </c>
      <c r="B7728" s="2"/>
      <c r="C7728" s="2" t="str">
        <v>0</v>
      </c>
      <c r="D7728" s="2"/>
      <c r="F7728" s="2" t="str">
        <v>0</v>
      </c>
      <c r="I7728" s="3" t="str">
        <f ca="1">IFERROR(__xludf.DUMMYFUNCTION("""COMPUTED_VALUE"""),"Nguyễn Khánh Ly")</f>
        <v>Nguyễn Khánh Ly</v>
      </c>
      <c r="J7728" s="3" t="str">
        <f ca="1">IFERROR(__xludf.DUMMYFUNCTION("""COMPUTED_VALUE"""),"0355780976")</f>
        <v>0355780976</v>
      </c>
      <c r="K7728" s="2" t="str">
        <f ca="1">IFERROR(__xludf.DUMMYFUNCTION("""COMPUTED_VALUE"""),"1752993637839")</f>
        <v>1752993637839</v>
      </c>
    </row>
    <row r="7729" spans="1:11" ht="12.45">
      <c r="A7729" s="2" t="str">
        <f ca="1">IFERROR(__xludf.DUMMYFUNCTION("""COMPUTED_VALUE"""),"1752993694052")</f>
        <v>1752993694052</v>
      </c>
      <c r="B7729" s="2"/>
      <c r="C7729" s="2" t="str">
        <v>0</v>
      </c>
      <c r="D7729" s="2"/>
      <c r="F7729" s="2" t="str">
        <v>0</v>
      </c>
      <c r="I7729" s="3" t="str">
        <f ca="1">IFERROR(__xludf.DUMMYFUNCTION("""COMPUTED_VALUE"""),"Cao chí thiện")</f>
        <v>Cao chí thiện</v>
      </c>
      <c r="J7729" s="3" t="str">
        <f ca="1">IFERROR(__xludf.DUMMYFUNCTION("""COMPUTED_VALUE"""),"0868889974")</f>
        <v>0868889974</v>
      </c>
      <c r="K7729" s="2" t="str">
        <f ca="1">IFERROR(__xludf.DUMMYFUNCTION("""COMPUTED_VALUE"""),"1752993694052")</f>
        <v>1752993694052</v>
      </c>
    </row>
    <row r="7730" spans="1:11" ht="12.45">
      <c r="A7730" s="2" t="str">
        <f ca="1">IFERROR(__xludf.DUMMYFUNCTION("""COMPUTED_VALUE"""),"1752993750218")</f>
        <v>1752993750218</v>
      </c>
      <c r="B7730" s="2"/>
      <c r="C7730" s="2" t="str">
        <v>0</v>
      </c>
      <c r="D7730" s="2"/>
      <c r="F7730" s="2" t="str">
        <v>0</v>
      </c>
      <c r="I7730" s="3" t="str">
        <f ca="1">IFERROR(__xludf.DUMMYFUNCTION("""COMPUTED_VALUE"""),"Đặng Thuỳ Linh")</f>
        <v>Đặng Thuỳ Linh</v>
      </c>
      <c r="J7730" s="3" t="str">
        <f ca="1">IFERROR(__xludf.DUMMYFUNCTION("""COMPUTED_VALUE"""),"0965705956")</f>
        <v>0965705956</v>
      </c>
      <c r="K7730" s="2" t="str">
        <f ca="1">IFERROR(__xludf.DUMMYFUNCTION("""COMPUTED_VALUE"""),"1752993750218")</f>
        <v>1752993750218</v>
      </c>
    </row>
    <row r="7731" spans="1:11" ht="12.45">
      <c r="A7731" s="2" t="str">
        <f ca="1">IFERROR(__xludf.DUMMYFUNCTION("""COMPUTED_VALUE"""),"1752993818384")</f>
        <v>1752993818384</v>
      </c>
      <c r="B7731" s="2"/>
      <c r="C7731" s="2" t="str">
        <v>0</v>
      </c>
      <c r="D7731" s="2"/>
      <c r="F7731" s="2" t="str">
        <v>0</v>
      </c>
      <c r="I7731" s="3" t="str">
        <f ca="1">IFERROR(__xludf.DUMMYFUNCTION("""COMPUTED_VALUE"""),"Phạm Ngọc Bích")</f>
        <v>Phạm Ngọc Bích</v>
      </c>
      <c r="J7731" s="3" t="str">
        <f ca="1">IFERROR(__xludf.DUMMYFUNCTION("""COMPUTED_VALUE"""),"0394165350")</f>
        <v>0394165350</v>
      </c>
      <c r="K7731" s="2" t="str">
        <f ca="1">IFERROR(__xludf.DUMMYFUNCTION("""COMPUTED_VALUE"""),"1752993818384")</f>
        <v>1752993818384</v>
      </c>
    </row>
    <row r="7732" spans="1:11" ht="12.45">
      <c r="A7732" s="2" t="str">
        <f ca="1">IFERROR(__xludf.DUMMYFUNCTION("""COMPUTED_VALUE"""),"1752993904032")</f>
        <v>1752993904032</v>
      </c>
      <c r="B7732" s="2"/>
      <c r="C7732" s="2" t="str">
        <v>0</v>
      </c>
      <c r="D7732" s="2"/>
      <c r="F7732" s="2" t="str">
        <v>0</v>
      </c>
      <c r="I7732" s="3" t="str">
        <f ca="1">IFERROR(__xludf.DUMMYFUNCTION("""COMPUTED_VALUE"""),"Nguyễn Phan Thùy Dương ")</f>
        <v xml:space="preserve">Nguyễn Phan Thùy Dương </v>
      </c>
      <c r="J7732" s="3" t="str">
        <f ca="1">IFERROR(__xludf.DUMMYFUNCTION("""COMPUTED_VALUE"""),"0385055475")</f>
        <v>0385055475</v>
      </c>
      <c r="K7732" s="2" t="str">
        <f ca="1">IFERROR(__xludf.DUMMYFUNCTION("""COMPUTED_VALUE"""),"1752993904032")</f>
        <v>1752993904032</v>
      </c>
    </row>
    <row r="7733" spans="1:11" ht="12.45">
      <c r="A7733" s="2" t="str">
        <f ca="1">IFERROR(__xludf.DUMMYFUNCTION("""COMPUTED_VALUE"""),"1752993975646")</f>
        <v>1752993975646</v>
      </c>
      <c r="B7733" s="2"/>
      <c r="C7733" s="2" t="str">
        <v>0</v>
      </c>
      <c r="D7733" s="2"/>
      <c r="F7733" s="2" t="str">
        <v>0</v>
      </c>
      <c r="I7733" s="3" t="str">
        <f ca="1">IFERROR(__xludf.DUMMYFUNCTION("""COMPUTED_VALUE"""),"Vũ Diệu Ngân")</f>
        <v>Vũ Diệu Ngân</v>
      </c>
      <c r="J7733" s="3" t="str">
        <f ca="1">IFERROR(__xludf.DUMMYFUNCTION("""COMPUTED_VALUE"""),"0909448962")</f>
        <v>0909448962</v>
      </c>
      <c r="K7733" s="2" t="str">
        <f ca="1">IFERROR(__xludf.DUMMYFUNCTION("""COMPUTED_VALUE"""),"1752993975646")</f>
        <v>1752993975646</v>
      </c>
    </row>
    <row r="7734" spans="1:11" ht="12.45">
      <c r="A7734" s="2" t="str">
        <f ca="1">IFERROR(__xludf.DUMMYFUNCTION("""COMPUTED_VALUE"""),"1752994020552")</f>
        <v>1752994020552</v>
      </c>
      <c r="B7734" s="2"/>
      <c r="C7734" s="2" t="str">
        <v>0</v>
      </c>
      <c r="D7734" s="2"/>
      <c r="F7734" s="2" t="str">
        <v>0</v>
      </c>
      <c r="I7734" s="3" t="str">
        <f ca="1">IFERROR(__xludf.DUMMYFUNCTION("""COMPUTED_VALUE"""),"ĐỖ NGỌC BẢO TRÂN")</f>
        <v>ĐỖ NGỌC BẢO TRÂN</v>
      </c>
      <c r="J7734" s="3" t="str">
        <f ca="1">IFERROR(__xludf.DUMMYFUNCTION("""COMPUTED_VALUE"""),"0896928137")</f>
        <v>0896928137</v>
      </c>
      <c r="K7734" s="2" t="str">
        <f ca="1">IFERROR(__xludf.DUMMYFUNCTION("""COMPUTED_VALUE"""),"1752994020552")</f>
        <v>1752994020552</v>
      </c>
    </row>
    <row r="7735" spans="1:11" ht="12.45">
      <c r="A7735" s="2" t="str">
        <f ca="1">IFERROR(__xludf.DUMMYFUNCTION("""COMPUTED_VALUE"""),"1741506718335")</f>
        <v>1741506718335</v>
      </c>
      <c r="B7735" s="2"/>
      <c r="C7735" s="2" t="str">
        <v>0</v>
      </c>
      <c r="D7735" s="2"/>
      <c r="F7735" s="2" t="str">
        <v>0</v>
      </c>
      <c r="I7735" s="3" t="str">
        <f ca="1">IFERROR(__xludf.DUMMYFUNCTION("""COMPUTED_VALUE"""),"Trần Thị Xuân Mai")</f>
        <v>Trần Thị Xuân Mai</v>
      </c>
      <c r="J7735" s="3" t="str">
        <f ca="1">IFERROR(__xludf.DUMMYFUNCTION("""COMPUTED_VALUE"""),"0828300877")</f>
        <v>0828300877</v>
      </c>
      <c r="K7735" s="2" t="str">
        <f ca="1">IFERROR(__xludf.DUMMYFUNCTION("""COMPUTED_VALUE"""),"1741506718335")</f>
        <v>1741506718335</v>
      </c>
    </row>
    <row r="7736" spans="1:11" ht="12.45">
      <c r="A7736" s="2" t="str">
        <f ca="1">IFERROR(__xludf.DUMMYFUNCTION("""COMPUTED_VALUE"""),"1752994066418")</f>
        <v>1752994066418</v>
      </c>
      <c r="B7736" s="2"/>
      <c r="C7736" s="2" t="str">
        <v>0</v>
      </c>
      <c r="D7736" s="2"/>
      <c r="F7736" s="2" t="str">
        <v>0</v>
      </c>
      <c r="I7736" s="3" t="str">
        <f ca="1">IFERROR(__xludf.DUMMYFUNCTION("""COMPUTED_VALUE"""),"Lâm Bảo Ngân ")</f>
        <v xml:space="preserve">Lâm Bảo Ngân </v>
      </c>
      <c r="J7736" s="3" t="str">
        <f ca="1">IFERROR(__xludf.DUMMYFUNCTION("""COMPUTED_VALUE"""),"0907225860")</f>
        <v>0907225860</v>
      </c>
      <c r="K7736" s="2" t="str">
        <f ca="1">IFERROR(__xludf.DUMMYFUNCTION("""COMPUTED_VALUE"""),"1752994066418")</f>
        <v>1752994066418</v>
      </c>
    </row>
    <row r="7737" spans="1:11" ht="12.45">
      <c r="A7737" s="2" t="str">
        <f ca="1">IFERROR(__xludf.DUMMYFUNCTION("""COMPUTED_VALUE"""),"1752994132670")</f>
        <v>1752994132670</v>
      </c>
      <c r="B7737" s="2"/>
      <c r="C7737" s="2" t="str">
        <v>0</v>
      </c>
      <c r="D7737" s="2"/>
      <c r="F7737" s="2" t="str">
        <v>0</v>
      </c>
      <c r="I7737" s="3" t="str">
        <f ca="1">IFERROR(__xludf.DUMMYFUNCTION("""COMPUTED_VALUE"""),"Phương nam")</f>
        <v>Phương nam</v>
      </c>
      <c r="J7737" s="3" t="str">
        <f ca="1">IFERROR(__xludf.DUMMYFUNCTION("""COMPUTED_VALUE"""),"0974076862")</f>
        <v>0974076862</v>
      </c>
      <c r="K7737" s="2" t="str">
        <f ca="1">IFERROR(__xludf.DUMMYFUNCTION("""COMPUTED_VALUE"""),"1752994132670")</f>
        <v>1752994132670</v>
      </c>
    </row>
    <row r="7738" spans="1:11" ht="12.45">
      <c r="A7738" s="2" t="str">
        <f ca="1">IFERROR(__xludf.DUMMYFUNCTION("""COMPUTED_VALUE"""),"1752994182321")</f>
        <v>1752994182321</v>
      </c>
      <c r="B7738" s="2"/>
      <c r="C7738" s="2" t="str">
        <v>0</v>
      </c>
      <c r="D7738" s="2"/>
      <c r="F7738" s="2" t="str">
        <v>0</v>
      </c>
      <c r="I7738" s="3" t="str">
        <f ca="1">IFERROR(__xludf.DUMMYFUNCTION("""COMPUTED_VALUE"""),"Lừ Thị Hoa ")</f>
        <v xml:space="preserve">Lừ Thị Hoa </v>
      </c>
      <c r="J7738" s="3" t="str">
        <f ca="1">IFERROR(__xludf.DUMMYFUNCTION("""COMPUTED_VALUE"""),"0395368163")</f>
        <v>0395368163</v>
      </c>
      <c r="K7738" s="2" t="str">
        <f ca="1">IFERROR(__xludf.DUMMYFUNCTION("""COMPUTED_VALUE"""),"1752994182321")</f>
        <v>1752994182321</v>
      </c>
    </row>
    <row r="7739" spans="1:11" ht="12.45">
      <c r="A7739" s="2" t="str">
        <f ca="1">IFERROR(__xludf.DUMMYFUNCTION("""COMPUTED_VALUE"""),"1752994262363")</f>
        <v>1752994262363</v>
      </c>
      <c r="B7739" s="2"/>
      <c r="C7739" s="2" t="str">
        <v>0</v>
      </c>
      <c r="D7739" s="2"/>
      <c r="F7739" s="2" t="str">
        <v>0</v>
      </c>
      <c r="I7739" s="3" t="str">
        <f ca="1">IFERROR(__xludf.DUMMYFUNCTION("""COMPUTED_VALUE"""),"Kiều Thị Thanh Thảo ")</f>
        <v xml:space="preserve">Kiều Thị Thanh Thảo </v>
      </c>
      <c r="J7739" s="3" t="str">
        <f ca="1">IFERROR(__xludf.DUMMYFUNCTION("""COMPUTED_VALUE"""),"0335013003")</f>
        <v>0335013003</v>
      </c>
      <c r="K7739" s="2" t="str">
        <f ca="1">IFERROR(__xludf.DUMMYFUNCTION("""COMPUTED_VALUE"""),"1752994262363")</f>
        <v>1752994262363</v>
      </c>
    </row>
    <row r="7740" spans="1:11" ht="12.45">
      <c r="A7740" s="2" t="str">
        <f ca="1">IFERROR(__xludf.DUMMYFUNCTION("""COMPUTED_VALUE"""),"1752994310680")</f>
        <v>1752994310680</v>
      </c>
      <c r="B7740" s="2"/>
      <c r="C7740" s="2" t="str">
        <v>0</v>
      </c>
      <c r="D7740" s="2"/>
      <c r="F7740" s="2" t="str">
        <v>0</v>
      </c>
      <c r="I7740" s="3" t="str">
        <f ca="1">IFERROR(__xludf.DUMMYFUNCTION("""COMPUTED_VALUE"""),"Huỳnh Ngọc Quỳnh Như ")</f>
        <v xml:space="preserve">Huỳnh Ngọc Quỳnh Như </v>
      </c>
      <c r="J7740" s="3" t="str">
        <f ca="1">IFERROR(__xludf.DUMMYFUNCTION("""COMPUTED_VALUE"""),"0332370301")</f>
        <v>0332370301</v>
      </c>
      <c r="K7740" s="2" t="str">
        <f ca="1">IFERROR(__xludf.DUMMYFUNCTION("""COMPUTED_VALUE"""),"1752994310680")</f>
        <v>1752994310680</v>
      </c>
    </row>
    <row r="7741" spans="1:11" ht="12.45">
      <c r="A7741" s="2" t="str">
        <f ca="1">IFERROR(__xludf.DUMMYFUNCTION("""COMPUTED_VALUE"""),"1752994354596")</f>
        <v>1752994354596</v>
      </c>
      <c r="B7741" s="2"/>
      <c r="C7741" s="2" t="str">
        <v>0</v>
      </c>
      <c r="D7741" s="2"/>
      <c r="F7741" s="2" t="str">
        <v>0</v>
      </c>
      <c r="I7741" s="3" t="str">
        <f ca="1">IFERROR(__xludf.DUMMYFUNCTION("""COMPUTED_VALUE"""),"Nguyễn Thị Bảo Trâm ")</f>
        <v xml:space="preserve">Nguyễn Thị Bảo Trâm </v>
      </c>
      <c r="J7741" s="3" t="str">
        <f ca="1">IFERROR(__xludf.DUMMYFUNCTION("""COMPUTED_VALUE"""),"0944136856")</f>
        <v>0944136856</v>
      </c>
      <c r="K7741" s="2" t="str">
        <f ca="1">IFERROR(__xludf.DUMMYFUNCTION("""COMPUTED_VALUE"""),"1752994354596")</f>
        <v>1752994354596</v>
      </c>
    </row>
    <row r="7742" spans="1:11" ht="12.45">
      <c r="A7742" s="2" t="str">
        <f ca="1">IFERROR(__xludf.DUMMYFUNCTION("""COMPUTED_VALUE"""),"1752994398407")</f>
        <v>1752994398407</v>
      </c>
      <c r="B7742" s="2"/>
      <c r="C7742" s="2" t="str">
        <v>0</v>
      </c>
      <c r="D7742" s="2"/>
      <c r="F7742" s="2" t="str">
        <v>0</v>
      </c>
      <c r="I7742" s="3" t="str">
        <f ca="1">IFERROR(__xludf.DUMMYFUNCTION("""COMPUTED_VALUE"""),"Nguyễn Hà Nguyệt Minh")</f>
        <v>Nguyễn Hà Nguyệt Minh</v>
      </c>
      <c r="J7742" s="3" t="str">
        <f ca="1">IFERROR(__xludf.DUMMYFUNCTION("""COMPUTED_VALUE"""),"0971100507")</f>
        <v>0971100507</v>
      </c>
      <c r="K7742" s="2" t="str">
        <f ca="1">IFERROR(__xludf.DUMMYFUNCTION("""COMPUTED_VALUE"""),"1752994398407")</f>
        <v>1752994398407</v>
      </c>
    </row>
    <row r="7743" spans="1:11" ht="12.45">
      <c r="A7743" s="2">
        <f ca="1">IFERROR(__xludf.DUMMYFUNCTION("""COMPUTED_VALUE"""),1745775182547)</f>
        <v>1745775182547</v>
      </c>
      <c r="B7743" s="2"/>
      <c r="C7743" s="2" t="str">
        <v>0</v>
      </c>
      <c r="D7743" s="2"/>
      <c r="F7743" s="2" t="str">
        <v>0</v>
      </c>
      <c r="I7743" s="3" t="str">
        <f ca="1">IFERROR(__xludf.DUMMYFUNCTION("""COMPUTED_VALUE"""),"Nguyễn Ngân Ngọc Hằng ")</f>
        <v xml:space="preserve">Nguyễn Ngân Ngọc Hằng </v>
      </c>
      <c r="J7743" s="3" t="str">
        <f ca="1">IFERROR(__xludf.DUMMYFUNCTION("""COMPUTED_VALUE"""),"0396182722")</f>
        <v>0396182722</v>
      </c>
      <c r="K7743" s="2">
        <f ca="1">IFERROR(__xludf.DUMMYFUNCTION("""COMPUTED_VALUE"""),1745775182547)</f>
        <v>1745775182547</v>
      </c>
    </row>
    <row r="7744" spans="1:11" ht="12.45">
      <c r="A7744" s="2">
        <f ca="1">IFERROR(__xludf.DUMMYFUNCTION("""COMPUTED_VALUE"""),1748226456262)</f>
        <v>1748226456262</v>
      </c>
      <c r="B7744" s="2"/>
      <c r="C7744" s="2" t="str">
        <v>0</v>
      </c>
      <c r="D7744" s="2"/>
      <c r="F7744" s="2" t="str">
        <v>0</v>
      </c>
      <c r="I7744" s="3" t="str">
        <f ca="1">IFERROR(__xludf.DUMMYFUNCTION("""COMPUTED_VALUE"""),"Hoàng Mỹ Linh ")</f>
        <v xml:space="preserve">Hoàng Mỹ Linh </v>
      </c>
      <c r="J7744" s="3" t="str">
        <f ca="1">IFERROR(__xludf.DUMMYFUNCTION("""COMPUTED_VALUE"""),"0355010957")</f>
        <v>0355010957</v>
      </c>
      <c r="K7744" s="2">
        <f ca="1">IFERROR(__xludf.DUMMYFUNCTION("""COMPUTED_VALUE"""),1748226456262)</f>
        <v>1748226456262</v>
      </c>
    </row>
    <row r="7745" spans="1:11" ht="12.45">
      <c r="A7745" s="2" t="str">
        <f ca="1">IFERROR(__xludf.DUMMYFUNCTION("""COMPUTED_VALUE"""),"1752994453205")</f>
        <v>1752994453205</v>
      </c>
      <c r="B7745" s="2"/>
      <c r="C7745" s="2" t="str">
        <v>0</v>
      </c>
      <c r="D7745" s="2"/>
      <c r="F7745" s="2" t="str">
        <v>0</v>
      </c>
      <c r="I7745" s="3" t="str">
        <f ca="1">IFERROR(__xludf.DUMMYFUNCTION("""COMPUTED_VALUE"""),"Lê Hoài Phương Uyên")</f>
        <v>Lê Hoài Phương Uyên</v>
      </c>
      <c r="J7745" s="3" t="str">
        <f ca="1">IFERROR(__xludf.DUMMYFUNCTION("""COMPUTED_VALUE"""),"0932916042")</f>
        <v>0932916042</v>
      </c>
      <c r="K7745" s="2" t="str">
        <f ca="1">IFERROR(__xludf.DUMMYFUNCTION("""COMPUTED_VALUE"""),"1752994453205")</f>
        <v>1752994453205</v>
      </c>
    </row>
    <row r="7746" spans="1:11" ht="12.45">
      <c r="A7746" s="2">
        <f ca="1">IFERROR(__xludf.DUMMYFUNCTION("""COMPUTED_VALUE"""),1745775249957)</f>
        <v>1745775249957</v>
      </c>
      <c r="B7746" s="2"/>
      <c r="C7746" s="2" t="str">
        <v>0</v>
      </c>
      <c r="D7746" s="2"/>
      <c r="F7746" s="2" t="str">
        <v>0</v>
      </c>
      <c r="I7746" s="3" t="str">
        <f ca="1">IFERROR(__xludf.DUMMYFUNCTION("""COMPUTED_VALUE"""),"Hùng Tấn Vỹ")</f>
        <v>Hùng Tấn Vỹ</v>
      </c>
      <c r="J7746" s="3" t="str">
        <f ca="1">IFERROR(__xludf.DUMMYFUNCTION("""COMPUTED_VALUE"""),"0364600691")</f>
        <v>0364600691</v>
      </c>
      <c r="K7746" s="2">
        <f ca="1">IFERROR(__xludf.DUMMYFUNCTION("""COMPUTED_VALUE"""),1745775249957)</f>
        <v>1745775249957</v>
      </c>
    </row>
    <row r="7747" spans="1:11" ht="12.45">
      <c r="A7747" s="2" t="str">
        <f ca="1">IFERROR(__xludf.DUMMYFUNCTION("""COMPUTED_VALUE"""),"1752994504274")</f>
        <v>1752994504274</v>
      </c>
      <c r="B7747" s="2"/>
      <c r="C7747" s="2" t="str">
        <v>0</v>
      </c>
      <c r="D7747" s="2"/>
      <c r="F7747" s="2" t="str">
        <v>0</v>
      </c>
      <c r="I7747" s="3" t="str">
        <f ca="1">IFERROR(__xludf.DUMMYFUNCTION("""COMPUTED_VALUE"""),"Bùi Thị Khánh Linh")</f>
        <v>Bùi Thị Khánh Linh</v>
      </c>
      <c r="J7747" s="3" t="str">
        <f ca="1">IFERROR(__xludf.DUMMYFUNCTION("""COMPUTED_VALUE"""),"0787091766")</f>
        <v>0787091766</v>
      </c>
      <c r="K7747" s="2" t="str">
        <f ca="1">IFERROR(__xludf.DUMMYFUNCTION("""COMPUTED_VALUE"""),"1752994504274")</f>
        <v>1752994504274</v>
      </c>
    </row>
    <row r="7748" spans="1:11" ht="12.45">
      <c r="A7748" s="2">
        <f ca="1">IFERROR(__xludf.DUMMYFUNCTION("""COMPUTED_VALUE"""),1748226501710)</f>
        <v>1748226501710</v>
      </c>
      <c r="B7748" s="2"/>
      <c r="C7748" s="2" t="str">
        <v>0</v>
      </c>
      <c r="D7748" s="2"/>
      <c r="F7748" s="2" t="str">
        <v>0</v>
      </c>
      <c r="I7748" s="3" t="str">
        <f ca="1">IFERROR(__xludf.DUMMYFUNCTION("""COMPUTED_VALUE"""),"Vũ Thuỳ Dương")</f>
        <v>Vũ Thuỳ Dương</v>
      </c>
      <c r="J7748" s="3" t="str">
        <f ca="1">IFERROR(__xludf.DUMMYFUNCTION("""COMPUTED_VALUE"""),"0869736296")</f>
        <v>0869736296</v>
      </c>
      <c r="K7748" s="2">
        <f ca="1">IFERROR(__xludf.DUMMYFUNCTION("""COMPUTED_VALUE"""),1748226501710)</f>
        <v>1748226501710</v>
      </c>
    </row>
    <row r="7749" spans="1:11" ht="12.45">
      <c r="A7749" s="2" t="str">
        <f ca="1">IFERROR(__xludf.DUMMYFUNCTION("""COMPUTED_VALUE"""),"1752994559556")</f>
        <v>1752994559556</v>
      </c>
      <c r="B7749" s="2"/>
      <c r="C7749" s="2" t="str">
        <v>0</v>
      </c>
      <c r="D7749" s="2"/>
      <c r="F7749" s="2" t="str">
        <v>0</v>
      </c>
      <c r="I7749" s="3" t="str">
        <f ca="1">IFERROR(__xludf.DUMMYFUNCTION("""COMPUTED_VALUE"""),"Nguyễn Hoàng Thanh Sơn")</f>
        <v>Nguyễn Hoàng Thanh Sơn</v>
      </c>
      <c r="J7749" s="3" t="str">
        <f ca="1">IFERROR(__xludf.DUMMYFUNCTION("""COMPUTED_VALUE"""),"0358111304")</f>
        <v>0358111304</v>
      </c>
      <c r="K7749" s="2" t="str">
        <f ca="1">IFERROR(__xludf.DUMMYFUNCTION("""COMPUTED_VALUE"""),"1752994559556")</f>
        <v>1752994559556</v>
      </c>
    </row>
    <row r="7750" spans="1:11" ht="12.45">
      <c r="A7750" s="2">
        <f ca="1">IFERROR(__xludf.DUMMYFUNCTION("""COMPUTED_VALUE"""),1745775295628)</f>
        <v>1745775295628</v>
      </c>
      <c r="B7750" s="2"/>
      <c r="C7750" s="2" t="str">
        <v>0</v>
      </c>
      <c r="D7750" s="2"/>
      <c r="F7750" s="2" t="str">
        <v>0</v>
      </c>
      <c r="I7750" s="3" t="str">
        <f ca="1">IFERROR(__xludf.DUMMYFUNCTION("""COMPUTED_VALUE"""),"phùng Thị minh ngọc ")</f>
        <v xml:space="preserve">phùng Thị minh ngọc </v>
      </c>
      <c r="J7750" s="3" t="str">
        <f ca="1">IFERROR(__xludf.DUMMYFUNCTION("""COMPUTED_VALUE"""),"0336600601")</f>
        <v>0336600601</v>
      </c>
      <c r="K7750" s="2">
        <f ca="1">IFERROR(__xludf.DUMMYFUNCTION("""COMPUTED_VALUE"""),1745775295628)</f>
        <v>1745775295628</v>
      </c>
    </row>
    <row r="7751" spans="1:11" ht="12.45">
      <c r="A7751" s="2" t="str">
        <f ca="1">IFERROR(__xludf.DUMMYFUNCTION("""COMPUTED_VALUE"""),"1752994608460")</f>
        <v>1752994608460</v>
      </c>
      <c r="B7751" s="2"/>
      <c r="C7751" s="2" t="str">
        <v>0</v>
      </c>
      <c r="D7751" s="2"/>
      <c r="F7751" s="2" t="str">
        <v>0</v>
      </c>
      <c r="I7751" s="3" t="str">
        <f ca="1">IFERROR(__xludf.DUMMYFUNCTION("""COMPUTED_VALUE"""),"ĐẶNG HƯƠNG GIANG ")</f>
        <v xml:space="preserve">ĐẶNG HƯƠNG GIANG </v>
      </c>
      <c r="J7751" s="3" t="str">
        <f ca="1">IFERROR(__xludf.DUMMYFUNCTION("""COMPUTED_VALUE"""),"0327469331")</f>
        <v>0327469331</v>
      </c>
      <c r="K7751" s="2" t="str">
        <f ca="1">IFERROR(__xludf.DUMMYFUNCTION("""COMPUTED_VALUE"""),"1752994608460")</f>
        <v>1752994608460</v>
      </c>
    </row>
    <row r="7752" spans="1:11" ht="12.45">
      <c r="A7752" s="2" t="str">
        <f ca="1">IFERROR(__xludf.DUMMYFUNCTION("""COMPUTED_VALUE"""),"1752994694118")</f>
        <v>1752994694118</v>
      </c>
      <c r="B7752" s="2"/>
      <c r="C7752" s="2" t="str">
        <v>0</v>
      </c>
      <c r="D7752" s="2"/>
      <c r="F7752" s="2" t="str">
        <v>0</v>
      </c>
      <c r="I7752" s="3" t="str">
        <f ca="1">IFERROR(__xludf.DUMMYFUNCTION("""COMPUTED_VALUE"""),"Luyện Hà Linh")</f>
        <v>Luyện Hà Linh</v>
      </c>
      <c r="J7752" s="3" t="str">
        <f ca="1">IFERROR(__xludf.DUMMYFUNCTION("""COMPUTED_VALUE"""),"0865198507")</f>
        <v>0865198507</v>
      </c>
      <c r="K7752" s="2" t="str">
        <f ca="1">IFERROR(__xludf.DUMMYFUNCTION("""COMPUTED_VALUE"""),"1752994694118")</f>
        <v>1752994694118</v>
      </c>
    </row>
    <row r="7753" spans="1:11" ht="12.45">
      <c r="A7753" s="2" t="str">
        <f ca="1">IFERROR(__xludf.DUMMYFUNCTION("""COMPUTED_VALUE"""),"1752994738501")</f>
        <v>1752994738501</v>
      </c>
      <c r="B7753" s="2"/>
      <c r="C7753" s="2" t="str">
        <v>0</v>
      </c>
      <c r="D7753" s="2"/>
      <c r="F7753" s="2" t="str">
        <v>0</v>
      </c>
      <c r="I7753" s="3" t="str">
        <f ca="1">IFERROR(__xludf.DUMMYFUNCTION("""COMPUTED_VALUE"""),"Trịnh Tuấn Nghĩa")</f>
        <v>Trịnh Tuấn Nghĩa</v>
      </c>
      <c r="J7753" s="3" t="str">
        <f ca="1">IFERROR(__xludf.DUMMYFUNCTION("""COMPUTED_VALUE"""),"0389156114")</f>
        <v>0389156114</v>
      </c>
      <c r="K7753" s="2" t="str">
        <f ca="1">IFERROR(__xludf.DUMMYFUNCTION("""COMPUTED_VALUE"""),"1752994738501")</f>
        <v>1752994738501</v>
      </c>
    </row>
    <row r="7754" spans="1:11" ht="12.45">
      <c r="A7754" s="2" t="str">
        <f ca="1">IFERROR(__xludf.DUMMYFUNCTION("""COMPUTED_VALUE"""),"1752994777367")</f>
        <v>1752994777367</v>
      </c>
      <c r="B7754" s="2"/>
      <c r="C7754" s="2" t="str">
        <v>0</v>
      </c>
      <c r="D7754" s="2"/>
      <c r="F7754" s="2" t="str">
        <v>0</v>
      </c>
      <c r="I7754" s="3" t="str">
        <f ca="1">IFERROR(__xludf.DUMMYFUNCTION("""COMPUTED_VALUE"""),"Nguyễn Phúc Nam")</f>
        <v>Nguyễn Phúc Nam</v>
      </c>
      <c r="J7754" s="3" t="str">
        <f ca="1">IFERROR(__xludf.DUMMYFUNCTION("""COMPUTED_VALUE"""),"0869253348")</f>
        <v>0869253348</v>
      </c>
      <c r="K7754" s="2" t="str">
        <f ca="1">IFERROR(__xludf.DUMMYFUNCTION("""COMPUTED_VALUE"""),"1752994777367")</f>
        <v>1752994777367</v>
      </c>
    </row>
    <row r="7755" spans="1:11" ht="12.45">
      <c r="A7755" s="2">
        <f ca="1">IFERROR(__xludf.DUMMYFUNCTION("""COMPUTED_VALUE"""),1748226533171)</f>
        <v>1748226533171</v>
      </c>
      <c r="B7755" s="2"/>
      <c r="C7755" s="2" t="str">
        <v>0</v>
      </c>
      <c r="D7755" s="2"/>
      <c r="F7755" s="2" t="str">
        <v>0</v>
      </c>
      <c r="I7755" s="3" t="str">
        <f ca="1">IFERROR(__xludf.DUMMYFUNCTION("""COMPUTED_VALUE"""),"Phạm Minh Phương ")</f>
        <v xml:space="preserve">Phạm Minh Phương </v>
      </c>
      <c r="J7755" s="3" t="str">
        <f ca="1">IFERROR(__xludf.DUMMYFUNCTION("""COMPUTED_VALUE"""),"0774366650")</f>
        <v>0774366650</v>
      </c>
      <c r="K7755" s="2">
        <f ca="1">IFERROR(__xludf.DUMMYFUNCTION("""COMPUTED_VALUE"""),1748226533171)</f>
        <v>1748226533171</v>
      </c>
    </row>
    <row r="7756" spans="1:11" ht="12.45">
      <c r="A7756" s="2" t="str">
        <f ca="1">IFERROR(__xludf.DUMMYFUNCTION("""COMPUTED_VALUE"""),"1752994866684")</f>
        <v>1752994866684</v>
      </c>
      <c r="B7756" s="2"/>
      <c r="C7756" s="2" t="str">
        <v>0</v>
      </c>
      <c r="D7756" s="2"/>
      <c r="F7756" s="2" t="str">
        <v>0</v>
      </c>
      <c r="I7756" s="3" t="str">
        <f ca="1">IFERROR(__xludf.DUMMYFUNCTION("""COMPUTED_VALUE"""),"Đào Thu Ngân")</f>
        <v>Đào Thu Ngân</v>
      </c>
      <c r="J7756" s="3" t="str">
        <f ca="1">IFERROR(__xludf.DUMMYFUNCTION("""COMPUTED_VALUE"""),"0327701369")</f>
        <v>0327701369</v>
      </c>
      <c r="K7756" s="2" t="str">
        <f ca="1">IFERROR(__xludf.DUMMYFUNCTION("""COMPUTED_VALUE"""),"1752994866684")</f>
        <v>1752994866684</v>
      </c>
    </row>
    <row r="7757" spans="1:11" ht="12.45">
      <c r="A7757" s="2" t="str">
        <f ca="1">IFERROR(__xludf.DUMMYFUNCTION("""COMPUTED_VALUE"""),"1752994941883")</f>
        <v>1752994941883</v>
      </c>
      <c r="B7757" s="2"/>
      <c r="C7757" s="2" t="str">
        <v>0</v>
      </c>
      <c r="D7757" s="2"/>
      <c r="F7757" s="2" t="str">
        <v>0</v>
      </c>
      <c r="I7757" s="3" t="str">
        <f ca="1">IFERROR(__xludf.DUMMYFUNCTION("""COMPUTED_VALUE"""),"Lê Vũ Duy Anh")</f>
        <v>Lê Vũ Duy Anh</v>
      </c>
      <c r="J7757" s="3" t="str">
        <f ca="1">IFERROR(__xludf.DUMMYFUNCTION("""COMPUTED_VALUE"""),"0346823207")</f>
        <v>0346823207</v>
      </c>
      <c r="K7757" s="2" t="str">
        <f ca="1">IFERROR(__xludf.DUMMYFUNCTION("""COMPUTED_VALUE"""),"1752994941883")</f>
        <v>1752994941883</v>
      </c>
    </row>
    <row r="7758" spans="1:11" ht="12.45">
      <c r="A7758" s="2" t="str">
        <f ca="1">IFERROR(__xludf.DUMMYFUNCTION("""COMPUTED_VALUE"""),"1752995021421")</f>
        <v>1752995021421</v>
      </c>
      <c r="B7758" s="2"/>
      <c r="C7758" s="2" t="str">
        <v>0</v>
      </c>
      <c r="D7758" s="2"/>
      <c r="F7758" s="2" t="str">
        <v>0</v>
      </c>
      <c r="I7758" s="3" t="str">
        <f ca="1">IFERROR(__xludf.DUMMYFUNCTION("""COMPUTED_VALUE"""),"Ma A Phổng")</f>
        <v>Ma A Phổng</v>
      </c>
      <c r="J7758" s="3" t="str">
        <f ca="1">IFERROR(__xludf.DUMMYFUNCTION("""COMPUTED_VALUE"""),"0814743806")</f>
        <v>0814743806</v>
      </c>
      <c r="K7758" s="2" t="str">
        <f ca="1">IFERROR(__xludf.DUMMYFUNCTION("""COMPUTED_VALUE"""),"1752995021421")</f>
        <v>1752995021421</v>
      </c>
    </row>
    <row r="7759" spans="1:11" ht="12.45">
      <c r="A7759" s="2" t="str">
        <f ca="1">IFERROR(__xludf.DUMMYFUNCTION("""COMPUTED_VALUE"""),"1752995098395")</f>
        <v>1752995098395</v>
      </c>
      <c r="B7759" s="2"/>
      <c r="C7759" s="2" t="str">
        <v>0</v>
      </c>
      <c r="D7759" s="2"/>
      <c r="F7759" s="2" t="str">
        <v>0</v>
      </c>
      <c r="I7759" s="3" t="str">
        <f ca="1">IFERROR(__xludf.DUMMYFUNCTION("""COMPUTED_VALUE"""),"Vũ Thu Hương")</f>
        <v>Vũ Thu Hương</v>
      </c>
      <c r="J7759" s="3" t="str">
        <f ca="1">IFERROR(__xludf.DUMMYFUNCTION("""COMPUTED_VALUE"""),"0987175916")</f>
        <v>0987175916</v>
      </c>
      <c r="K7759" s="2" t="str">
        <f ca="1">IFERROR(__xludf.DUMMYFUNCTION("""COMPUTED_VALUE"""),"1752995098395")</f>
        <v>1752995098395</v>
      </c>
    </row>
    <row r="7760" spans="1:11" ht="12.45">
      <c r="A7760" s="2">
        <f ca="1">IFERROR(__xludf.DUMMYFUNCTION("""COMPUTED_VALUE"""),1748226560296)</f>
        <v>1748226560296</v>
      </c>
      <c r="B7760" s="2"/>
      <c r="C7760" s="2" t="str">
        <v>0</v>
      </c>
      <c r="D7760" s="2"/>
      <c r="F7760" s="2" t="str">
        <v>0</v>
      </c>
      <c r="I7760" s="3" t="str">
        <f ca="1">IFERROR(__xludf.DUMMYFUNCTION("""COMPUTED_VALUE"""),"Trần Phương Thảo")</f>
        <v>Trần Phương Thảo</v>
      </c>
      <c r="J7760" s="3" t="str">
        <f ca="1">IFERROR(__xludf.DUMMYFUNCTION("""COMPUTED_VALUE"""),"0962856178")</f>
        <v>0962856178</v>
      </c>
      <c r="K7760" s="2">
        <f ca="1">IFERROR(__xludf.DUMMYFUNCTION("""COMPUTED_VALUE"""),1748226560296)</f>
        <v>1748226560296</v>
      </c>
    </row>
    <row r="7761" spans="1:11" ht="12.45">
      <c r="A7761" s="2" t="str">
        <f ca="1">IFERROR(__xludf.DUMMYFUNCTION("""COMPUTED_VALUE"""),"1752995149182")</f>
        <v>1752995149182</v>
      </c>
      <c r="B7761" s="2"/>
      <c r="C7761" s="2" t="str">
        <v>0</v>
      </c>
      <c r="D7761" s="2"/>
      <c r="F7761" s="2" t="str">
        <v>0</v>
      </c>
      <c r="I7761" s="3" t="str">
        <f ca="1">IFERROR(__xludf.DUMMYFUNCTION("""COMPUTED_VALUE"""),"Nguyễn Thuỳ Trang")</f>
        <v>Nguyễn Thuỳ Trang</v>
      </c>
      <c r="J7761" s="3" t="str">
        <f ca="1">IFERROR(__xludf.DUMMYFUNCTION("""COMPUTED_VALUE"""),"0971622867")</f>
        <v>0971622867</v>
      </c>
      <c r="K7761" s="2" t="str">
        <f ca="1">IFERROR(__xludf.DUMMYFUNCTION("""COMPUTED_VALUE"""),"1752995149182")</f>
        <v>1752995149182</v>
      </c>
    </row>
    <row r="7762" spans="1:11" ht="12.45">
      <c r="A7762" s="2">
        <f ca="1">IFERROR(__xludf.DUMMYFUNCTION("""COMPUTED_VALUE"""),1745775324012)</f>
        <v>1745775324012</v>
      </c>
      <c r="B7762" s="2"/>
      <c r="C7762" s="2" t="str">
        <v>0</v>
      </c>
      <c r="D7762" s="2"/>
      <c r="F7762" s="2" t="str">
        <v>0</v>
      </c>
      <c r="I7762" s="3" t="str">
        <f ca="1">IFERROR(__xludf.DUMMYFUNCTION("""COMPUTED_VALUE"""),"Nguyễn Thị Ngọc Hậu")</f>
        <v>Nguyễn Thị Ngọc Hậu</v>
      </c>
      <c r="J7762" s="3" t="str">
        <f ca="1">IFERROR(__xludf.DUMMYFUNCTION("""COMPUTED_VALUE"""),"0376470800")</f>
        <v>0376470800</v>
      </c>
      <c r="K7762" s="2">
        <f ca="1">IFERROR(__xludf.DUMMYFUNCTION("""COMPUTED_VALUE"""),1745775324012)</f>
        <v>1745775324012</v>
      </c>
    </row>
    <row r="7763" spans="1:11" ht="12.45">
      <c r="A7763" s="2">
        <f ca="1">IFERROR(__xludf.DUMMYFUNCTION("""COMPUTED_VALUE"""),1748226591714)</f>
        <v>1748226591714</v>
      </c>
      <c r="B7763" s="2"/>
      <c r="C7763" s="2" t="str">
        <v>0</v>
      </c>
      <c r="D7763" s="2"/>
      <c r="F7763" s="2" t="str">
        <v>0</v>
      </c>
      <c r="I7763" s="3" t="str">
        <f ca="1">IFERROR(__xludf.DUMMYFUNCTION("""COMPUTED_VALUE"""),"Tống Minh Tâm")</f>
        <v>Tống Minh Tâm</v>
      </c>
      <c r="J7763" s="3" t="str">
        <f ca="1">IFERROR(__xludf.DUMMYFUNCTION("""COMPUTED_VALUE"""),"0828453790")</f>
        <v>0828453790</v>
      </c>
      <c r="K7763" s="2">
        <f ca="1">IFERROR(__xludf.DUMMYFUNCTION("""COMPUTED_VALUE"""),1748226591714)</f>
        <v>1748226591714</v>
      </c>
    </row>
    <row r="7764" spans="1:11" ht="12.45">
      <c r="A7764" s="2" t="str">
        <f ca="1">IFERROR(__xludf.DUMMYFUNCTION("""COMPUTED_VALUE"""),"1752995251949")</f>
        <v>1752995251949</v>
      </c>
      <c r="B7764" s="2"/>
      <c r="C7764" s="2" t="str">
        <v>0</v>
      </c>
      <c r="D7764" s="2"/>
      <c r="F7764" s="2" t="str">
        <v>0</v>
      </c>
      <c r="I7764" s="3" t="str">
        <f ca="1">IFERROR(__xludf.DUMMYFUNCTION("""COMPUTED_VALUE"""),"Phạm Trà Giang")</f>
        <v>Phạm Trà Giang</v>
      </c>
      <c r="J7764" s="3" t="str">
        <f ca="1">IFERROR(__xludf.DUMMYFUNCTION("""COMPUTED_VALUE"""),"0899643458")</f>
        <v>0899643458</v>
      </c>
      <c r="K7764" s="2" t="str">
        <f ca="1">IFERROR(__xludf.DUMMYFUNCTION("""COMPUTED_VALUE"""),"1752995251949")</f>
        <v>1752995251949</v>
      </c>
    </row>
    <row r="7765" spans="1:11" ht="12.45">
      <c r="A7765" s="2" t="str">
        <f ca="1">IFERROR(__xludf.DUMMYFUNCTION("""COMPUTED_VALUE"""),"1752995322969")</f>
        <v>1752995322969</v>
      </c>
      <c r="B7765" s="2"/>
      <c r="C7765" s="2" t="str">
        <v>0</v>
      </c>
      <c r="D7765" s="2"/>
      <c r="F7765" s="2" t="str">
        <v>0</v>
      </c>
      <c r="I7765" s="3" t="str">
        <f ca="1">IFERROR(__xludf.DUMMYFUNCTION("""COMPUTED_VALUE"""),"Đỗ Thị Ngọc Cầm")</f>
        <v>Đỗ Thị Ngọc Cầm</v>
      </c>
      <c r="J7765" s="3" t="str">
        <f ca="1">IFERROR(__xludf.DUMMYFUNCTION("""COMPUTED_VALUE"""),"0971506227")</f>
        <v>0971506227</v>
      </c>
      <c r="K7765" s="2" t="str">
        <f ca="1">IFERROR(__xludf.DUMMYFUNCTION("""COMPUTED_VALUE"""),"1752995322969")</f>
        <v>1752995322969</v>
      </c>
    </row>
    <row r="7766" spans="1:11" ht="12.45">
      <c r="A7766" s="2">
        <f ca="1">IFERROR(__xludf.DUMMYFUNCTION("""COMPUTED_VALUE"""),1748226619787)</f>
        <v>1748226619787</v>
      </c>
      <c r="B7766" s="2"/>
      <c r="C7766" s="2" t="str">
        <v>0</v>
      </c>
      <c r="D7766" s="2"/>
      <c r="F7766" s="2" t="str">
        <v>0</v>
      </c>
      <c r="I7766" s="3" t="str">
        <f ca="1">IFERROR(__xludf.DUMMYFUNCTION("""COMPUTED_VALUE"""),"Dương Thị Yến Nhi")</f>
        <v>Dương Thị Yến Nhi</v>
      </c>
      <c r="J7766" s="3" t="str">
        <f ca="1">IFERROR(__xludf.DUMMYFUNCTION("""COMPUTED_VALUE"""),"0858878476")</f>
        <v>0858878476</v>
      </c>
      <c r="K7766" s="2">
        <f ca="1">IFERROR(__xludf.DUMMYFUNCTION("""COMPUTED_VALUE"""),1748226619787)</f>
        <v>1748226619787</v>
      </c>
    </row>
    <row r="7767" spans="1:11" ht="12.45">
      <c r="A7767" s="2" t="str">
        <f ca="1">IFERROR(__xludf.DUMMYFUNCTION("""COMPUTED_VALUE"""),"1752995367042")</f>
        <v>1752995367042</v>
      </c>
      <c r="B7767" s="2"/>
      <c r="C7767" s="2" t="str">
        <v>0</v>
      </c>
      <c r="D7767" s="2"/>
      <c r="F7767" s="2" t="str">
        <v>0</v>
      </c>
      <c r="I7767" s="3" t="str">
        <f ca="1">IFERROR(__xludf.DUMMYFUNCTION("""COMPUTED_VALUE"""),"Hoàng Ngọc minh")</f>
        <v>Hoàng Ngọc minh</v>
      </c>
      <c r="J7767" s="3" t="str">
        <f ca="1">IFERROR(__xludf.DUMMYFUNCTION("""COMPUTED_VALUE"""),"0339711796")</f>
        <v>0339711796</v>
      </c>
      <c r="K7767" s="2" t="str">
        <f ca="1">IFERROR(__xludf.DUMMYFUNCTION("""COMPUTED_VALUE"""),"1752995367042")</f>
        <v>1752995367042</v>
      </c>
    </row>
    <row r="7768" spans="1:11" ht="12.45">
      <c r="A7768" s="2">
        <f ca="1">IFERROR(__xludf.DUMMYFUNCTION("""COMPUTED_VALUE"""),1745775363459)</f>
        <v>1745775363459</v>
      </c>
      <c r="B7768" s="2"/>
      <c r="C7768" s="2" t="str">
        <v>0</v>
      </c>
      <c r="D7768" s="2"/>
      <c r="F7768" s="2" t="str">
        <v>0</v>
      </c>
      <c r="I7768" s="3" t="str">
        <f ca="1">IFERROR(__xludf.DUMMYFUNCTION("""COMPUTED_VALUE"""),"Hồ Thị Quỳnh Ly")</f>
        <v>Hồ Thị Quỳnh Ly</v>
      </c>
      <c r="J7768" s="3" t="str">
        <f ca="1">IFERROR(__xludf.DUMMYFUNCTION("""COMPUTED_VALUE"""),"0386384207")</f>
        <v>0386384207</v>
      </c>
      <c r="K7768" s="2">
        <f ca="1">IFERROR(__xludf.DUMMYFUNCTION("""COMPUTED_VALUE"""),1745775363459)</f>
        <v>1745775363459</v>
      </c>
    </row>
    <row r="7769" spans="1:11" ht="12.45">
      <c r="A7769" s="2" t="str">
        <f ca="1">IFERROR(__xludf.DUMMYFUNCTION("""COMPUTED_VALUE"""),"1752995426533")</f>
        <v>1752995426533</v>
      </c>
      <c r="B7769" s="2"/>
      <c r="C7769" s="2" t="str">
        <v>0</v>
      </c>
      <c r="D7769" s="2"/>
      <c r="F7769" s="2" t="str">
        <v>0</v>
      </c>
      <c r="I7769" s="3" t="str">
        <f ca="1">IFERROR(__xludf.DUMMYFUNCTION("""COMPUTED_VALUE"""),"Đặng Thị Trà My")</f>
        <v>Đặng Thị Trà My</v>
      </c>
      <c r="J7769" s="3" t="str">
        <f ca="1">IFERROR(__xludf.DUMMYFUNCTION("""COMPUTED_VALUE"""),"0848636770")</f>
        <v>0848636770</v>
      </c>
      <c r="K7769" s="2" t="str">
        <f ca="1">IFERROR(__xludf.DUMMYFUNCTION("""COMPUTED_VALUE"""),"1752995426533")</f>
        <v>1752995426533</v>
      </c>
    </row>
    <row r="7770" spans="1:11" ht="12.45">
      <c r="A7770" s="2" t="str">
        <f ca="1">IFERROR(__xludf.DUMMYFUNCTION("""COMPUTED_VALUE"""),"1752995508731")</f>
        <v>1752995508731</v>
      </c>
      <c r="B7770" s="2"/>
      <c r="C7770" s="2" t="str">
        <v>0</v>
      </c>
      <c r="D7770" s="2"/>
      <c r="F7770" s="2" t="str">
        <v>0</v>
      </c>
      <c r="I7770" s="3" t="str">
        <f ca="1">IFERROR(__xludf.DUMMYFUNCTION("""COMPUTED_VALUE"""),"Phạm Quỳnh Anh")</f>
        <v>Phạm Quỳnh Anh</v>
      </c>
      <c r="J7770" s="3" t="str">
        <f ca="1">IFERROR(__xludf.DUMMYFUNCTION("""COMPUTED_VALUE"""),"0978098995")</f>
        <v>0978098995</v>
      </c>
      <c r="K7770" s="2" t="str">
        <f ca="1">IFERROR(__xludf.DUMMYFUNCTION("""COMPUTED_VALUE"""),"1752995508731")</f>
        <v>1752995508731</v>
      </c>
    </row>
    <row r="7771" spans="1:11" ht="12.45">
      <c r="A7771" s="2" t="str">
        <f ca="1">IFERROR(__xludf.DUMMYFUNCTION("""COMPUTED_VALUE"""),"1752995563292")</f>
        <v>1752995563292</v>
      </c>
      <c r="B7771" s="2"/>
      <c r="C7771" s="2" t="str">
        <v>0</v>
      </c>
      <c r="D7771" s="2"/>
      <c r="F7771" s="2" t="str">
        <v>0</v>
      </c>
      <c r="I7771" s="3" t="str">
        <f ca="1">IFERROR(__xludf.DUMMYFUNCTION("""COMPUTED_VALUE"""),"Đào Ngọc Ánh")</f>
        <v>Đào Ngọc Ánh</v>
      </c>
      <c r="J7771" s="3" t="str">
        <f ca="1">IFERROR(__xludf.DUMMYFUNCTION("""COMPUTED_VALUE"""),"0365334288")</f>
        <v>0365334288</v>
      </c>
      <c r="K7771" s="2" t="str">
        <f ca="1">IFERROR(__xludf.DUMMYFUNCTION("""COMPUTED_VALUE"""),"1752995563292")</f>
        <v>1752995563292</v>
      </c>
    </row>
    <row r="7772" spans="1:11" ht="12.45">
      <c r="A7772" s="2"/>
      <c r="B7772" s="2"/>
      <c r="C7772" s="2" t="str">
        <v>0</v>
      </c>
      <c r="D7772" s="2"/>
      <c r="F7772" s="2" t="str">
        <v>0</v>
      </c>
      <c r="I7772" s="3" t="str">
        <f ca="1">IFERROR(__xludf.DUMMYFUNCTION("""COMPUTED_VALUE"""),"Lò Thị Lưu")</f>
        <v>Lò Thị Lưu</v>
      </c>
      <c r="J7772" s="3" t="str">
        <f ca="1">IFERROR(__xludf.DUMMYFUNCTION("""COMPUTED_VALUE"""),"0982560750")</f>
        <v>0982560750</v>
      </c>
      <c r="K7772" s="2"/>
    </row>
    <row r="7773" spans="1:11" ht="12.45">
      <c r="A7773" s="2" t="str">
        <f ca="1">IFERROR(__xludf.DUMMYFUNCTION("""COMPUTED_VALUE"""),"1758581228877")</f>
        <v>1758581228877</v>
      </c>
      <c r="B7773" s="2"/>
      <c r="C7773" s="2" t="str">
        <v>0</v>
      </c>
      <c r="D7773" s="2"/>
      <c r="F7773" s="2" t="str">
        <v>0</v>
      </c>
      <c r="I7773" s="3" t="str">
        <f ca="1">IFERROR(__xludf.DUMMYFUNCTION("""COMPUTED_VALUE"""),"Nguyễn Thùy Aí Phương")</f>
        <v>Nguyễn Thùy Aí Phương</v>
      </c>
      <c r="J7773" s="3" t="str">
        <f ca="1">IFERROR(__xludf.DUMMYFUNCTION("""COMPUTED_VALUE"""),"0798810355")</f>
        <v>0798810355</v>
      </c>
      <c r="K7773" s="2" t="str">
        <f ca="1">IFERROR(__xludf.DUMMYFUNCTION("""COMPUTED_VALUE"""),"1758581228877")</f>
        <v>1758581228877</v>
      </c>
    </row>
    <row r="7774" spans="1:11" ht="12.45">
      <c r="A7774" s="2" t="str">
        <f ca="1">IFERROR(__xludf.DUMMYFUNCTION("""COMPUTED_VALUE"""),"1758581279729")</f>
        <v>1758581279729</v>
      </c>
      <c r="B7774" s="2"/>
      <c r="C7774" s="2" t="str">
        <v>0</v>
      </c>
      <c r="D7774" s="2"/>
      <c r="F7774" s="2" t="str">
        <v>0</v>
      </c>
      <c r="I7774" s="3" t="str">
        <f ca="1">IFERROR(__xludf.DUMMYFUNCTION("""COMPUTED_VALUE"""),"Nguyễn Thu Vân")</f>
        <v>Nguyễn Thu Vân</v>
      </c>
      <c r="J7774" s="3" t="str">
        <f ca="1">IFERROR(__xludf.DUMMYFUNCTION("""COMPUTED_VALUE"""),"0896423100")</f>
        <v>0896423100</v>
      </c>
      <c r="K7774" s="2" t="str">
        <f ca="1">IFERROR(__xludf.DUMMYFUNCTION("""COMPUTED_VALUE"""),"1758581279729")</f>
        <v>1758581279729</v>
      </c>
    </row>
    <row r="7775" spans="1:11" ht="12.45">
      <c r="A7775" s="2" t="str">
        <f ca="1">IFERROR(__xludf.DUMMYFUNCTION("""COMPUTED_VALUE"""),"1758581329732")</f>
        <v>1758581329732</v>
      </c>
      <c r="B7775" s="2"/>
      <c r="C7775" s="2" t="str">
        <v>0</v>
      </c>
      <c r="D7775" s="2"/>
      <c r="F7775" s="2" t="str">
        <v>0</v>
      </c>
      <c r="I7775" s="3" t="str">
        <f ca="1">IFERROR(__xludf.DUMMYFUNCTION("""COMPUTED_VALUE"""),"Trần Nguyễn Như Ý")</f>
        <v>Trần Nguyễn Như Ý</v>
      </c>
      <c r="J7775" s="3" t="str">
        <f ca="1">IFERROR(__xludf.DUMMYFUNCTION("""COMPUTED_VALUE"""),"0342936335")</f>
        <v>0342936335</v>
      </c>
      <c r="K7775" s="2" t="str">
        <f ca="1">IFERROR(__xludf.DUMMYFUNCTION("""COMPUTED_VALUE"""),"1758581329732")</f>
        <v>1758581329732</v>
      </c>
    </row>
    <row r="7776" spans="1:11" ht="12.45">
      <c r="A7776" s="2" t="str">
        <f ca="1">IFERROR(__xludf.DUMMYFUNCTION("""COMPUTED_VALUE"""),"1741506775874")</f>
        <v>1741506775874</v>
      </c>
      <c r="B7776" s="2"/>
      <c r="C7776" s="2" t="str">
        <v>0</v>
      </c>
      <c r="D7776" s="2"/>
      <c r="F7776" s="2" t="str">
        <v>0</v>
      </c>
      <c r="I7776" s="3" t="str">
        <f ca="1">IFERROR(__xludf.DUMMYFUNCTION("""COMPUTED_VALUE"""),"Chu Thị Kiều Nga")</f>
        <v>Chu Thị Kiều Nga</v>
      </c>
      <c r="J7776" s="3" t="str">
        <f ca="1">IFERROR(__xludf.DUMMYFUNCTION("""COMPUTED_VALUE"""),"8432877803")</f>
        <v>8432877803</v>
      </c>
      <c r="K7776" s="2" t="str">
        <f ca="1">IFERROR(__xludf.DUMMYFUNCTION("""COMPUTED_VALUE"""),"1741506775874")</f>
        <v>1741506775874</v>
      </c>
    </row>
    <row r="7777" spans="1:11" ht="12.45">
      <c r="A7777" s="2" t="str">
        <f ca="1">IFERROR(__xludf.DUMMYFUNCTION("""COMPUTED_VALUE"""),"1741506865028")</f>
        <v>1741506865028</v>
      </c>
      <c r="B7777" s="2"/>
      <c r="C7777" s="2" t="str">
        <v>0</v>
      </c>
      <c r="D7777" s="2"/>
      <c r="F7777" s="2" t="str">
        <v>0</v>
      </c>
      <c r="I7777" s="3" t="str">
        <f ca="1">IFERROR(__xludf.DUMMYFUNCTION("""COMPUTED_VALUE"""),"phạm minh hằng ")</f>
        <v xml:space="preserve">phạm minh hằng </v>
      </c>
      <c r="J7777" s="3" t="str">
        <f ca="1">IFERROR(__xludf.DUMMYFUNCTION("""COMPUTED_VALUE"""),"0837899845")</f>
        <v>0837899845</v>
      </c>
      <c r="K7777" s="2" t="str">
        <f ca="1">IFERROR(__xludf.DUMMYFUNCTION("""COMPUTED_VALUE"""),"1741506865028")</f>
        <v>1741506865028</v>
      </c>
    </row>
    <row r="7778" spans="1:11" ht="12.45">
      <c r="A7778" s="2" t="str">
        <f ca="1">IFERROR(__xludf.DUMMYFUNCTION("""COMPUTED_VALUE"""),"1758581390313")</f>
        <v>1758581390313</v>
      </c>
      <c r="B7778" s="2"/>
      <c r="C7778" s="2" t="str">
        <v>0</v>
      </c>
      <c r="D7778" s="2"/>
      <c r="F7778" s="2" t="str">
        <v>0</v>
      </c>
      <c r="I7778" s="3" t="str">
        <f ca="1">IFERROR(__xludf.DUMMYFUNCTION("""COMPUTED_VALUE"""),"Tưởng Thị Ngọc Hân ")</f>
        <v xml:space="preserve">Tưởng Thị Ngọc Hân </v>
      </c>
      <c r="J7778" s="3" t="str">
        <f ca="1">IFERROR(__xludf.DUMMYFUNCTION("""COMPUTED_VALUE"""),"0862535509")</f>
        <v>0862535509</v>
      </c>
      <c r="K7778" s="2" t="str">
        <f ca="1">IFERROR(__xludf.DUMMYFUNCTION("""COMPUTED_VALUE"""),"1758581390313")</f>
        <v>1758581390313</v>
      </c>
    </row>
    <row r="7779" spans="1:11" ht="12.45">
      <c r="A7779" s="2" t="str">
        <f ca="1">IFERROR(__xludf.DUMMYFUNCTION("""COMPUTED_VALUE"""),"1758581478200")</f>
        <v>1758581478200</v>
      </c>
      <c r="B7779" s="2"/>
      <c r="C7779" s="2" t="str">
        <v>0</v>
      </c>
      <c r="D7779" s="2"/>
      <c r="F7779" s="2" t="str">
        <v>0</v>
      </c>
      <c r="I7779" s="3" t="str">
        <f ca="1">IFERROR(__xludf.DUMMYFUNCTION("""COMPUTED_VALUE"""),"Lê Tường Vân")</f>
        <v>Lê Tường Vân</v>
      </c>
      <c r="J7779" s="3" t="str">
        <f ca="1">IFERROR(__xludf.DUMMYFUNCTION("""COMPUTED_VALUE"""),"0383644685")</f>
        <v>0383644685</v>
      </c>
      <c r="K7779" s="2" t="str">
        <f ca="1">IFERROR(__xludf.DUMMYFUNCTION("""COMPUTED_VALUE"""),"1758581478200")</f>
        <v>1758581478200</v>
      </c>
    </row>
    <row r="7780" spans="1:11" ht="12.45">
      <c r="A7780" s="2" t="str">
        <f ca="1">IFERROR(__xludf.DUMMYFUNCTION("""COMPUTED_VALUE"""),"1758581546306")</f>
        <v>1758581546306</v>
      </c>
      <c r="B7780" s="2"/>
      <c r="C7780" s="2" t="str">
        <v>0</v>
      </c>
      <c r="D7780" s="2"/>
      <c r="F7780" s="2" t="str">
        <v>0</v>
      </c>
      <c r="I7780" s="3" t="str">
        <f ca="1">IFERROR(__xludf.DUMMYFUNCTION("""COMPUTED_VALUE"""),"Lâm Hồng Gấm ")</f>
        <v xml:space="preserve">Lâm Hồng Gấm </v>
      </c>
      <c r="J7780" s="3" t="str">
        <f ca="1">IFERROR(__xludf.DUMMYFUNCTION("""COMPUTED_VALUE"""),"0388775810")</f>
        <v>0388775810</v>
      </c>
      <c r="K7780" s="2" t="str">
        <f ca="1">IFERROR(__xludf.DUMMYFUNCTION("""COMPUTED_VALUE"""),"1758581546306")</f>
        <v>1758581546306</v>
      </c>
    </row>
    <row r="7781" spans="1:11" ht="12.45">
      <c r="A7781" s="2" t="str">
        <f ca="1">IFERROR(__xludf.DUMMYFUNCTION("""COMPUTED_VALUE"""),"1741506939264")</f>
        <v>1741506939264</v>
      </c>
      <c r="B7781" s="2"/>
      <c r="C7781" s="2" t="str">
        <v>0</v>
      </c>
      <c r="D7781" s="2"/>
      <c r="F7781" s="2" t="str">
        <v>0</v>
      </c>
      <c r="I7781" s="3" t="str">
        <f ca="1">IFERROR(__xludf.DUMMYFUNCTION("""COMPUTED_VALUE"""),"Trần Kim Huỳnh Tiên")</f>
        <v>Trần Kim Huỳnh Tiên</v>
      </c>
      <c r="J7781" s="3" t="str">
        <f ca="1">IFERROR(__xludf.DUMMYFUNCTION("""COMPUTED_VALUE"""),"0334192567")</f>
        <v>0334192567</v>
      </c>
      <c r="K7781" s="2" t="str">
        <f ca="1">IFERROR(__xludf.DUMMYFUNCTION("""COMPUTED_VALUE"""),"1741506939264")</f>
        <v>1741506939264</v>
      </c>
    </row>
    <row r="7782" spans="1:11" ht="12.45">
      <c r="A7782" s="2" t="str">
        <f ca="1">IFERROR(__xludf.DUMMYFUNCTION("""COMPUTED_VALUE"""),"1758581598113")</f>
        <v>1758581598113</v>
      </c>
      <c r="B7782" s="2"/>
      <c r="C7782" s="2" t="str">
        <v>0</v>
      </c>
      <c r="D7782" s="2"/>
      <c r="F7782" s="2" t="str">
        <v>0</v>
      </c>
      <c r="I7782" s="3" t="str">
        <f ca="1">IFERROR(__xludf.DUMMYFUNCTION("""COMPUTED_VALUE"""),"Trang Ngọc Trân")</f>
        <v>Trang Ngọc Trân</v>
      </c>
      <c r="J7782" s="3" t="str">
        <f ca="1">IFERROR(__xludf.DUMMYFUNCTION("""COMPUTED_VALUE"""),"0773080884")</f>
        <v>0773080884</v>
      </c>
      <c r="K7782" s="2" t="str">
        <f ca="1">IFERROR(__xludf.DUMMYFUNCTION("""COMPUTED_VALUE"""),"1758581598113")</f>
        <v>1758581598113</v>
      </c>
    </row>
    <row r="7783" spans="1:11" ht="12.45">
      <c r="A7783" s="2" t="str">
        <f ca="1">IFERROR(__xludf.DUMMYFUNCTION("""COMPUTED_VALUE"""),"1741507058873")</f>
        <v>1741507058873</v>
      </c>
      <c r="B7783" s="2"/>
      <c r="C7783" s="2" t="str">
        <v>0</v>
      </c>
      <c r="D7783" s="2"/>
      <c r="F7783" s="2" t="str">
        <v>0</v>
      </c>
      <c r="I7783" s="3" t="str">
        <f ca="1">IFERROR(__xludf.DUMMYFUNCTION("""COMPUTED_VALUE"""),"Phạm Vũ Kim Hằng")</f>
        <v>Phạm Vũ Kim Hằng</v>
      </c>
      <c r="J7783" s="3" t="str">
        <f ca="1">IFERROR(__xludf.DUMMYFUNCTION("""COMPUTED_VALUE"""),"0968643347")</f>
        <v>0968643347</v>
      </c>
      <c r="K7783" s="2" t="str">
        <f ca="1">IFERROR(__xludf.DUMMYFUNCTION("""COMPUTED_VALUE"""),"1741507058873")</f>
        <v>1741507058873</v>
      </c>
    </row>
    <row r="7784" spans="1:11" ht="12.45">
      <c r="A7784" s="2" t="str">
        <f ca="1">IFERROR(__xludf.DUMMYFUNCTION("""COMPUTED_VALUE"""),"1758581666364")</f>
        <v>1758581666364</v>
      </c>
      <c r="B7784" s="2"/>
      <c r="C7784" s="2" t="str">
        <v>0</v>
      </c>
      <c r="D7784" s="2"/>
      <c r="F7784" s="2" t="str">
        <v>0</v>
      </c>
      <c r="I7784" s="3" t="str">
        <f ca="1">IFERROR(__xludf.DUMMYFUNCTION("""COMPUTED_VALUE"""),"Nguyễn Hà Châu")</f>
        <v>Nguyễn Hà Châu</v>
      </c>
      <c r="J7784" s="3" t="str">
        <f ca="1">IFERROR(__xludf.DUMMYFUNCTION("""COMPUTED_VALUE"""),"0962420114")</f>
        <v>0962420114</v>
      </c>
      <c r="K7784" s="2" t="str">
        <f ca="1">IFERROR(__xludf.DUMMYFUNCTION("""COMPUTED_VALUE"""),"1758581666364")</f>
        <v>1758581666364</v>
      </c>
    </row>
    <row r="7785" spans="1:11" ht="12.45">
      <c r="A7785" s="2" t="str">
        <f ca="1">IFERROR(__xludf.DUMMYFUNCTION("""COMPUTED_VALUE"""),"1758581758196")</f>
        <v>1758581758196</v>
      </c>
      <c r="B7785" s="2"/>
      <c r="C7785" s="2" t="str">
        <v>0</v>
      </c>
      <c r="D7785" s="2"/>
      <c r="F7785" s="2" t="str">
        <v>0</v>
      </c>
      <c r="I7785" s="3" t="str">
        <f ca="1">IFERROR(__xludf.DUMMYFUNCTION("""COMPUTED_VALUE"""),"Phạm Thị Mỹ Ngân")</f>
        <v>Phạm Thị Mỹ Ngân</v>
      </c>
      <c r="J7785" s="3" t="str">
        <f ca="1">IFERROR(__xludf.DUMMYFUNCTION("""COMPUTED_VALUE"""),"0865117148")</f>
        <v>0865117148</v>
      </c>
      <c r="K7785" s="2" t="str">
        <f ca="1">IFERROR(__xludf.DUMMYFUNCTION("""COMPUTED_VALUE"""),"1758581758196")</f>
        <v>1758581758196</v>
      </c>
    </row>
    <row r="7786" spans="1:11" ht="12.45">
      <c r="A7786" s="2" t="str">
        <f ca="1">IFERROR(__xludf.DUMMYFUNCTION("""COMPUTED_VALUE"""),"1758581821243")</f>
        <v>1758581821243</v>
      </c>
      <c r="B7786" s="2"/>
      <c r="C7786" s="2" t="str">
        <v>0</v>
      </c>
      <c r="D7786" s="2"/>
      <c r="F7786" s="2" t="str">
        <v>0</v>
      </c>
      <c r="I7786" s="3" t="str">
        <f ca="1">IFERROR(__xludf.DUMMYFUNCTION("""COMPUTED_VALUE"""),"Đào Mai Linh")</f>
        <v>Đào Mai Linh</v>
      </c>
      <c r="J7786" s="3" t="str">
        <f ca="1">IFERROR(__xludf.DUMMYFUNCTION("""COMPUTED_VALUE"""),"0869671432")</f>
        <v>0869671432</v>
      </c>
      <c r="K7786" s="2" t="str">
        <f ca="1">IFERROR(__xludf.DUMMYFUNCTION("""COMPUTED_VALUE"""),"1758581821243")</f>
        <v>1758581821243</v>
      </c>
    </row>
    <row r="7787" spans="1:11" ht="12.45">
      <c r="A7787" s="2" t="str">
        <f ca="1">IFERROR(__xludf.DUMMYFUNCTION("""COMPUTED_VALUE"""),"1758581877227")</f>
        <v>1758581877227</v>
      </c>
      <c r="B7787" s="2"/>
      <c r="C7787" s="2" t="str">
        <v>0</v>
      </c>
      <c r="D7787" s="2"/>
      <c r="F7787" s="2" t="str">
        <v>0</v>
      </c>
      <c r="I7787" s="3" t="str">
        <f ca="1">IFERROR(__xludf.DUMMYFUNCTION("""COMPUTED_VALUE"""),"Nguyễn Thị Ngọc Linh")</f>
        <v>Nguyễn Thị Ngọc Linh</v>
      </c>
      <c r="J7787" s="3" t="str">
        <f ca="1">IFERROR(__xludf.DUMMYFUNCTION("""COMPUTED_VALUE"""),"0348570507")</f>
        <v>0348570507</v>
      </c>
      <c r="K7787" s="2" t="str">
        <f ca="1">IFERROR(__xludf.DUMMYFUNCTION("""COMPUTED_VALUE"""),"1758581877227")</f>
        <v>1758581877227</v>
      </c>
    </row>
    <row r="7788" spans="1:11" ht="12.45">
      <c r="A7788" s="2" t="str">
        <f ca="1">IFERROR(__xludf.DUMMYFUNCTION("""COMPUTED_VALUE"""),"1741507146203")</f>
        <v>1741507146203</v>
      </c>
      <c r="B7788" s="2"/>
      <c r="C7788" s="2" t="str">
        <v>0</v>
      </c>
      <c r="D7788" s="2"/>
      <c r="F7788" s="2" t="str">
        <v>0</v>
      </c>
      <c r="I7788" s="3" t="str">
        <f ca="1">IFERROR(__xludf.DUMMYFUNCTION("""COMPUTED_VALUE"""),"NGUYỄN PHƯƠNG UYÊN")</f>
        <v>NGUYỄN PHƯƠNG UYÊN</v>
      </c>
      <c r="J7788" s="3" t="str">
        <f ca="1">IFERROR(__xludf.DUMMYFUNCTION("""COMPUTED_VALUE"""),"0814293057")</f>
        <v>0814293057</v>
      </c>
      <c r="K7788" s="2" t="str">
        <f ca="1">IFERROR(__xludf.DUMMYFUNCTION("""COMPUTED_VALUE"""),"1741507146203")</f>
        <v>1741507146203</v>
      </c>
    </row>
    <row r="7789" spans="1:11" ht="12.45">
      <c r="A7789" s="2" t="str">
        <f ca="1">IFERROR(__xludf.DUMMYFUNCTION("""COMPUTED_VALUE"""),"1758581959406")</f>
        <v>1758581959406</v>
      </c>
      <c r="B7789" s="2"/>
      <c r="C7789" s="2" t="str">
        <v>0</v>
      </c>
      <c r="D7789" s="2"/>
      <c r="F7789" s="2" t="str">
        <v>0</v>
      </c>
      <c r="I7789" s="3" t="str">
        <f ca="1">IFERROR(__xludf.DUMMYFUNCTION("""COMPUTED_VALUE"""),"Hoàng Minh Nguyệt")</f>
        <v>Hoàng Minh Nguyệt</v>
      </c>
      <c r="J7789" s="3" t="str">
        <f ca="1">IFERROR(__xludf.DUMMYFUNCTION("""COMPUTED_VALUE"""),"0346290727")</f>
        <v>0346290727</v>
      </c>
      <c r="K7789" s="2" t="str">
        <f ca="1">IFERROR(__xludf.DUMMYFUNCTION("""COMPUTED_VALUE"""),"1758581959406")</f>
        <v>1758581959406</v>
      </c>
    </row>
    <row r="7790" spans="1:11" ht="12.45">
      <c r="A7790" s="2" t="str">
        <f ca="1">IFERROR(__xludf.DUMMYFUNCTION("""COMPUTED_VALUE"""),"1758582040941")</f>
        <v>1758582040941</v>
      </c>
      <c r="B7790" s="2"/>
      <c r="C7790" s="2" t="str">
        <v>0</v>
      </c>
      <c r="D7790" s="2"/>
      <c r="F7790" s="2" t="str">
        <v>0</v>
      </c>
      <c r="I7790" s="3" t="str">
        <f ca="1">IFERROR(__xludf.DUMMYFUNCTION("""COMPUTED_VALUE"""),"Mùa A Lâu")</f>
        <v>Mùa A Lâu</v>
      </c>
      <c r="J7790" s="3" t="str">
        <f ca="1">IFERROR(__xludf.DUMMYFUNCTION("""COMPUTED_VALUE"""),"0325899151")</f>
        <v>0325899151</v>
      </c>
      <c r="K7790" s="2" t="str">
        <f ca="1">IFERROR(__xludf.DUMMYFUNCTION("""COMPUTED_VALUE"""),"1758582040941")</f>
        <v>1758582040941</v>
      </c>
    </row>
    <row r="7791" spans="1:11" ht="12.45">
      <c r="A7791" s="2" t="str">
        <f ca="1">IFERROR(__xludf.DUMMYFUNCTION("""COMPUTED_VALUE"""),"1758582088154")</f>
        <v>1758582088154</v>
      </c>
      <c r="B7791" s="2"/>
      <c r="C7791" s="2" t="str">
        <v>0</v>
      </c>
      <c r="D7791" s="2"/>
      <c r="F7791" s="2" t="str">
        <v>0</v>
      </c>
      <c r="I7791" s="3" t="str">
        <f ca="1">IFERROR(__xludf.DUMMYFUNCTION("""COMPUTED_VALUE"""),"Nguyễn phạm Hân my")</f>
        <v>Nguyễn phạm Hân my</v>
      </c>
      <c r="J7791" s="3" t="str">
        <f ca="1">IFERROR(__xludf.DUMMYFUNCTION("""COMPUTED_VALUE"""),"0981325826")</f>
        <v>0981325826</v>
      </c>
      <c r="K7791" s="2" t="str">
        <f ca="1">IFERROR(__xludf.DUMMYFUNCTION("""COMPUTED_VALUE"""),"1758582088154")</f>
        <v>1758582088154</v>
      </c>
    </row>
    <row r="7792" spans="1:11" ht="12.45">
      <c r="A7792" s="2" t="str">
        <f ca="1">IFERROR(__xludf.DUMMYFUNCTION("""COMPUTED_VALUE"""),"1758582183065")</f>
        <v>1758582183065</v>
      </c>
      <c r="B7792" s="2"/>
      <c r="C7792" s="2" t="str">
        <v>0</v>
      </c>
      <c r="D7792" s="2"/>
      <c r="F7792" s="2" t="str">
        <v>0</v>
      </c>
      <c r="I7792" s="3" t="str">
        <f ca="1">IFERROR(__xludf.DUMMYFUNCTION("""COMPUTED_VALUE"""),"Nguyễn Thị Mỹ Hằng")</f>
        <v>Nguyễn Thị Mỹ Hằng</v>
      </c>
      <c r="J7792" s="3" t="str">
        <f ca="1">IFERROR(__xludf.DUMMYFUNCTION("""COMPUTED_VALUE"""),"0795994895")</f>
        <v>0795994895</v>
      </c>
      <c r="K7792" s="2" t="str">
        <f ca="1">IFERROR(__xludf.DUMMYFUNCTION("""COMPUTED_VALUE"""),"1758582183065")</f>
        <v>1758582183065</v>
      </c>
    </row>
    <row r="7793" spans="1:11" ht="12.45">
      <c r="A7793" s="2" t="str">
        <f ca="1">IFERROR(__xludf.DUMMYFUNCTION("""COMPUTED_VALUE"""),"1758582267827")</f>
        <v>1758582267827</v>
      </c>
      <c r="B7793" s="2"/>
      <c r="C7793" s="2" t="str">
        <v>0</v>
      </c>
      <c r="D7793" s="2"/>
      <c r="F7793" s="2" t="str">
        <v>0</v>
      </c>
      <c r="I7793" s="3" t="str">
        <f ca="1">IFERROR(__xludf.DUMMYFUNCTION("""COMPUTED_VALUE"""),"Đặng Nhật Kim Ngân")</f>
        <v>Đặng Nhật Kim Ngân</v>
      </c>
      <c r="J7793" s="3" t="str">
        <f ca="1">IFERROR(__xludf.DUMMYFUNCTION("""COMPUTED_VALUE"""),"0333777052")</f>
        <v>0333777052</v>
      </c>
      <c r="K7793" s="2" t="str">
        <f ca="1">IFERROR(__xludf.DUMMYFUNCTION("""COMPUTED_VALUE"""),"1758582267827")</f>
        <v>1758582267827</v>
      </c>
    </row>
    <row r="7794" spans="1:11" ht="12.45">
      <c r="A7794" s="2" t="str">
        <f ca="1">IFERROR(__xludf.DUMMYFUNCTION("""COMPUTED_VALUE"""),"1758582359589")</f>
        <v>1758582359589</v>
      </c>
      <c r="B7794" s="2"/>
      <c r="C7794" s="2" t="str">
        <v>0</v>
      </c>
      <c r="D7794" s="2"/>
      <c r="F7794" s="2" t="str">
        <v>0</v>
      </c>
      <c r="I7794" s="3" t="str">
        <f ca="1">IFERROR(__xludf.DUMMYFUNCTION("""COMPUTED_VALUE"""),"NGUYỄN THỊ THUỶ TIÊN ")</f>
        <v xml:space="preserve">NGUYỄN THỊ THUỶ TIÊN </v>
      </c>
      <c r="J7794" s="3" t="str">
        <f ca="1">IFERROR(__xludf.DUMMYFUNCTION("""COMPUTED_VALUE"""),"0328635084")</f>
        <v>0328635084</v>
      </c>
      <c r="K7794" s="2" t="str">
        <f ca="1">IFERROR(__xludf.DUMMYFUNCTION("""COMPUTED_VALUE"""),"1758582359589")</f>
        <v>1758582359589</v>
      </c>
    </row>
    <row r="7795" spans="1:11" ht="12.45">
      <c r="A7795" s="2" t="str">
        <f ca="1">IFERROR(__xludf.DUMMYFUNCTION("""COMPUTED_VALUE"""),"1758582425931")</f>
        <v>1758582425931</v>
      </c>
      <c r="B7795" s="2"/>
      <c r="C7795" s="2" t="str">
        <v>0</v>
      </c>
      <c r="D7795" s="2"/>
      <c r="F7795" s="2" t="str">
        <v>0</v>
      </c>
      <c r="I7795" s="3" t="str">
        <f ca="1">IFERROR(__xludf.DUMMYFUNCTION("""COMPUTED_VALUE"""),"Châu Duy Khang")</f>
        <v>Châu Duy Khang</v>
      </c>
      <c r="J7795" s="3" t="str">
        <f ca="1">IFERROR(__xludf.DUMMYFUNCTION("""COMPUTED_VALUE"""),"0917590503")</f>
        <v>0917590503</v>
      </c>
      <c r="K7795" s="2" t="str">
        <f ca="1">IFERROR(__xludf.DUMMYFUNCTION("""COMPUTED_VALUE"""),"1758582425931")</f>
        <v>1758582425931</v>
      </c>
    </row>
    <row r="7796" spans="1:11" ht="12.45">
      <c r="A7796" s="2" t="str">
        <f ca="1">IFERROR(__xludf.DUMMYFUNCTION("""COMPUTED_VALUE"""),"1758582514940")</f>
        <v>1758582514940</v>
      </c>
      <c r="B7796" s="2"/>
      <c r="C7796" s="2" t="str">
        <v>0</v>
      </c>
      <c r="D7796" s="2"/>
      <c r="F7796" s="2" t="str">
        <v>0</v>
      </c>
      <c r="I7796" s="3" t="str">
        <f ca="1">IFERROR(__xludf.DUMMYFUNCTION("""COMPUTED_VALUE"""),"Ngô Thị Hương Trà")</f>
        <v>Ngô Thị Hương Trà</v>
      </c>
      <c r="J7796" s="3" t="str">
        <f ca="1">IFERROR(__xludf.DUMMYFUNCTION("""COMPUTED_VALUE"""),"0386375845")</f>
        <v>0386375845</v>
      </c>
      <c r="K7796" s="2" t="str">
        <f ca="1">IFERROR(__xludf.DUMMYFUNCTION("""COMPUTED_VALUE"""),"1758582514940")</f>
        <v>1758582514940</v>
      </c>
    </row>
    <row r="7797" spans="1:11" ht="12.45">
      <c r="A7797" s="2" t="str">
        <f ca="1">IFERROR(__xludf.DUMMYFUNCTION("""COMPUTED_VALUE"""),"1741507214392")</f>
        <v>1741507214392</v>
      </c>
      <c r="B7797" s="2"/>
      <c r="C7797" s="2" t="str">
        <v>0</v>
      </c>
      <c r="D7797" s="2"/>
      <c r="F7797" s="2" t="str">
        <v>0</v>
      </c>
      <c r="I7797" s="3" t="str">
        <f ca="1">IFERROR(__xludf.DUMMYFUNCTION("""COMPUTED_VALUE"""),"Đào Thanh Tâm")</f>
        <v>Đào Thanh Tâm</v>
      </c>
      <c r="J7797" s="3" t="str">
        <f ca="1">IFERROR(__xludf.DUMMYFUNCTION("""COMPUTED_VALUE"""),"0833392807")</f>
        <v>0833392807</v>
      </c>
      <c r="K7797" s="2" t="str">
        <f ca="1">IFERROR(__xludf.DUMMYFUNCTION("""COMPUTED_VALUE"""),"1741507214392")</f>
        <v>1741507214392</v>
      </c>
    </row>
    <row r="7798" spans="1:11" ht="12.45">
      <c r="A7798" s="2" t="str">
        <f ca="1">IFERROR(__xludf.DUMMYFUNCTION("""COMPUTED_VALUE"""),"1741507288308")</f>
        <v>1741507288308</v>
      </c>
      <c r="B7798" s="2"/>
      <c r="C7798" s="2" t="str">
        <v>0</v>
      </c>
      <c r="D7798" s="2"/>
      <c r="F7798" s="2" t="str">
        <v>0</v>
      </c>
      <c r="I7798" s="3" t="str">
        <f ca="1">IFERROR(__xludf.DUMMYFUNCTION("""COMPUTED_VALUE"""),"Vũ Hoàng Trân Nhi")</f>
        <v>Vũ Hoàng Trân Nhi</v>
      </c>
      <c r="J7798" s="3" t="str">
        <f ca="1">IFERROR(__xludf.DUMMYFUNCTION("""COMPUTED_VALUE"""),"0965598675")</f>
        <v>0965598675</v>
      </c>
      <c r="K7798" s="2" t="str">
        <f ca="1">IFERROR(__xludf.DUMMYFUNCTION("""COMPUTED_VALUE"""),"1741507288308")</f>
        <v>1741507288308</v>
      </c>
    </row>
    <row r="7799" spans="1:11" ht="12.45">
      <c r="A7799" s="2" t="str">
        <f ca="1">IFERROR(__xludf.DUMMYFUNCTION("""COMPUTED_VALUE"""),"1758582613917")</f>
        <v>1758582613917</v>
      </c>
      <c r="B7799" s="2"/>
      <c r="C7799" s="2" t="str">
        <v>0</v>
      </c>
      <c r="D7799" s="2"/>
      <c r="F7799" s="2" t="str">
        <v>0</v>
      </c>
      <c r="I7799" s="3" t="str">
        <f ca="1">IFERROR(__xludf.DUMMYFUNCTION("""COMPUTED_VALUE"""),"Đậu Quỳnh Chi")</f>
        <v>Đậu Quỳnh Chi</v>
      </c>
      <c r="J7799" s="3" t="str">
        <f ca="1">IFERROR(__xludf.DUMMYFUNCTION("""COMPUTED_VALUE"""),"0349503667")</f>
        <v>0349503667</v>
      </c>
      <c r="K7799" s="2" t="str">
        <f ca="1">IFERROR(__xludf.DUMMYFUNCTION("""COMPUTED_VALUE"""),"1758582613917")</f>
        <v>1758582613917</v>
      </c>
    </row>
    <row r="7800" spans="1:11" ht="12.45">
      <c r="A7800" s="2" t="str">
        <f ca="1">IFERROR(__xludf.DUMMYFUNCTION("""COMPUTED_VALUE"""),"1741507353041")</f>
        <v>1741507353041</v>
      </c>
      <c r="B7800" s="2"/>
      <c r="C7800" s="2" t="str">
        <v>0</v>
      </c>
      <c r="D7800" s="2"/>
      <c r="F7800" s="2" t="str">
        <v>0</v>
      </c>
      <c r="I7800" s="3" t="str">
        <f ca="1">IFERROR(__xludf.DUMMYFUNCTION("""COMPUTED_VALUE"""),"Nguyễn Trường An")</f>
        <v>Nguyễn Trường An</v>
      </c>
      <c r="J7800" s="3" t="str">
        <f ca="1">IFERROR(__xludf.DUMMYFUNCTION("""COMPUTED_VALUE"""),"0327745209")</f>
        <v>0327745209</v>
      </c>
      <c r="K7800" s="2" t="str">
        <f ca="1">IFERROR(__xludf.DUMMYFUNCTION("""COMPUTED_VALUE"""),"1741507353041")</f>
        <v>1741507353041</v>
      </c>
    </row>
    <row r="7801" spans="1:11" ht="12.45">
      <c r="A7801" s="2" t="str">
        <f ca="1">IFERROR(__xludf.DUMMYFUNCTION("""COMPUTED_VALUE"""),"1758582707533")</f>
        <v>1758582707533</v>
      </c>
      <c r="B7801" s="2"/>
      <c r="C7801" s="2" t="str">
        <v>0</v>
      </c>
      <c r="D7801" s="2"/>
      <c r="F7801" s="2" t="str">
        <v>0</v>
      </c>
      <c r="I7801" s="3" t="str">
        <f ca="1">IFERROR(__xludf.DUMMYFUNCTION("""COMPUTED_VALUE"""),"Đặng Như Quỳnh")</f>
        <v>Đặng Như Quỳnh</v>
      </c>
      <c r="J7801" s="3" t="str">
        <f ca="1">IFERROR(__xludf.DUMMYFUNCTION("""COMPUTED_VALUE"""),"0395126207")</f>
        <v>0395126207</v>
      </c>
      <c r="K7801" s="2" t="str">
        <f ca="1">IFERROR(__xludf.DUMMYFUNCTION("""COMPUTED_VALUE"""),"1758582707533")</f>
        <v>1758582707533</v>
      </c>
    </row>
    <row r="7802" spans="1:11" ht="12.45">
      <c r="A7802" s="2" t="str">
        <f ca="1">IFERROR(__xludf.DUMMYFUNCTION("""COMPUTED_VALUE"""),"1758582767285")</f>
        <v>1758582767285</v>
      </c>
      <c r="B7802" s="2"/>
      <c r="C7802" s="2" t="str">
        <v>0</v>
      </c>
      <c r="D7802" s="2"/>
      <c r="F7802" s="2" t="str">
        <v>0</v>
      </c>
      <c r="I7802" s="3" t="str">
        <f ca="1">IFERROR(__xludf.DUMMYFUNCTION("""COMPUTED_VALUE"""),"Phạm Thị Huỳnh Mai ")</f>
        <v xml:space="preserve">Phạm Thị Huỳnh Mai </v>
      </c>
      <c r="J7802" s="3" t="str">
        <f ca="1">IFERROR(__xludf.DUMMYFUNCTION("""COMPUTED_VALUE"""),"0347174450")</f>
        <v>0347174450</v>
      </c>
      <c r="K7802" s="2" t="str">
        <f ca="1">IFERROR(__xludf.DUMMYFUNCTION("""COMPUTED_VALUE"""),"1758582767285")</f>
        <v>1758582767285</v>
      </c>
    </row>
    <row r="7803" spans="1:11" ht="12.45">
      <c r="A7803" s="2" t="str">
        <f ca="1">IFERROR(__xludf.DUMMYFUNCTION("""COMPUTED_VALUE"""),"1758582862334")</f>
        <v>1758582862334</v>
      </c>
      <c r="B7803" s="2"/>
      <c r="C7803" s="2" t="str">
        <v>0</v>
      </c>
      <c r="D7803" s="2"/>
      <c r="F7803" s="2" t="str">
        <v>0</v>
      </c>
      <c r="I7803" s="3" t="str">
        <f ca="1">IFERROR(__xludf.DUMMYFUNCTION("""COMPUTED_VALUE"""),"Phan Tiến Dũng ")</f>
        <v xml:space="preserve">Phan Tiến Dũng </v>
      </c>
      <c r="J7803" s="3" t="str">
        <f ca="1">IFERROR(__xludf.DUMMYFUNCTION("""COMPUTED_VALUE"""),"0365677881")</f>
        <v>0365677881</v>
      </c>
      <c r="K7803" s="2" t="str">
        <f ca="1">IFERROR(__xludf.DUMMYFUNCTION("""COMPUTED_VALUE"""),"1758582862334")</f>
        <v>1758582862334</v>
      </c>
    </row>
    <row r="7804" spans="1:11" ht="12.45">
      <c r="A7804" s="2" t="str">
        <f ca="1">IFERROR(__xludf.DUMMYFUNCTION("""COMPUTED_VALUE"""),"1758582928674")</f>
        <v>1758582928674</v>
      </c>
      <c r="B7804" s="2"/>
      <c r="C7804" s="2" t="str">
        <v>0</v>
      </c>
      <c r="D7804" s="2"/>
      <c r="F7804" s="2" t="str">
        <v>0</v>
      </c>
      <c r="I7804" s="3" t="str">
        <f ca="1">IFERROR(__xludf.DUMMYFUNCTION("""COMPUTED_VALUE"""),"Lý Thị Quỳnh Nội ")</f>
        <v xml:space="preserve">Lý Thị Quỳnh Nội </v>
      </c>
      <c r="J7804" s="3" t="str">
        <f ca="1">IFERROR(__xludf.DUMMYFUNCTION("""COMPUTED_VALUE"""),"0375329343")</f>
        <v>0375329343</v>
      </c>
      <c r="K7804" s="2" t="str">
        <f ca="1">IFERROR(__xludf.DUMMYFUNCTION("""COMPUTED_VALUE"""),"1758582928674")</f>
        <v>1758582928674</v>
      </c>
    </row>
    <row r="7805" spans="1:11" ht="12.45">
      <c r="A7805" s="2" t="str">
        <f ca="1">IFERROR(__xludf.DUMMYFUNCTION("""COMPUTED_VALUE"""),"1741507413843")</f>
        <v>1741507413843</v>
      </c>
      <c r="B7805" s="2"/>
      <c r="C7805" s="2" t="str">
        <v>0</v>
      </c>
      <c r="D7805" s="2"/>
      <c r="F7805" s="2" t="str">
        <v>0</v>
      </c>
      <c r="I7805" s="3" t="str">
        <f ca="1">IFERROR(__xludf.DUMMYFUNCTION("""COMPUTED_VALUE"""),"Nguyễn Phương Loan")</f>
        <v>Nguyễn Phương Loan</v>
      </c>
      <c r="J7805" s="3" t="str">
        <f ca="1">IFERROR(__xludf.DUMMYFUNCTION("""COMPUTED_VALUE"""),"0335127264")</f>
        <v>0335127264</v>
      </c>
      <c r="K7805" s="2" t="str">
        <f ca="1">IFERROR(__xludf.DUMMYFUNCTION("""COMPUTED_VALUE"""),"1741507413843")</f>
        <v>1741507413843</v>
      </c>
    </row>
    <row r="7806" spans="1:11" ht="12.45">
      <c r="A7806" s="2" t="str">
        <f ca="1">IFERROR(__xludf.DUMMYFUNCTION("""COMPUTED_VALUE"""),"1758583012699")</f>
        <v>1758583012699</v>
      </c>
      <c r="B7806" s="2"/>
      <c r="C7806" s="2" t="str">
        <v>0</v>
      </c>
      <c r="D7806" s="2"/>
      <c r="F7806" s="2" t="str">
        <v>0</v>
      </c>
      <c r="I7806" s="3" t="str">
        <f ca="1">IFERROR(__xludf.DUMMYFUNCTION("""COMPUTED_VALUE"""),"Lê Khánh Ly ")</f>
        <v xml:space="preserve">Lê Khánh Ly </v>
      </c>
      <c r="J7806" s="3" t="str">
        <f ca="1">IFERROR(__xludf.DUMMYFUNCTION("""COMPUTED_VALUE"""),"0963391705")</f>
        <v>0963391705</v>
      </c>
      <c r="K7806" s="2" t="str">
        <f ca="1">IFERROR(__xludf.DUMMYFUNCTION("""COMPUTED_VALUE"""),"1758583012699")</f>
        <v>1758583012699</v>
      </c>
    </row>
    <row r="7807" spans="1:11" ht="12.45">
      <c r="A7807" s="2" t="str">
        <f ca="1">IFERROR(__xludf.DUMMYFUNCTION("""COMPUTED_VALUE"""),"1758583090517")</f>
        <v>1758583090517</v>
      </c>
      <c r="B7807" s="2"/>
      <c r="C7807" s="2" t="str">
        <v>0</v>
      </c>
      <c r="D7807" s="2"/>
      <c r="F7807" s="2" t="str">
        <v>0</v>
      </c>
      <c r="I7807" s="3" t="str">
        <f ca="1">IFERROR(__xludf.DUMMYFUNCTION("""COMPUTED_VALUE"""),"Nguyễn Khánh Quý")</f>
        <v>Nguyễn Khánh Quý</v>
      </c>
      <c r="J7807" s="3" t="str">
        <f ca="1">IFERROR(__xludf.DUMMYFUNCTION("""COMPUTED_VALUE"""),"0965169879")</f>
        <v>0965169879</v>
      </c>
      <c r="K7807" s="2" t="str">
        <f ca="1">IFERROR(__xludf.DUMMYFUNCTION("""COMPUTED_VALUE"""),"1758583090517")</f>
        <v>1758583090517</v>
      </c>
    </row>
    <row r="7808" spans="1:11" ht="12.45">
      <c r="A7808" s="2" t="str">
        <f ca="1">IFERROR(__xludf.DUMMYFUNCTION("""COMPUTED_VALUE"""),"1758583141000")</f>
        <v>1758583141000</v>
      </c>
      <c r="B7808" s="2"/>
      <c r="C7808" s="2" t="str">
        <v>0</v>
      </c>
      <c r="D7808" s="2"/>
      <c r="F7808" s="2" t="str">
        <v>0</v>
      </c>
      <c r="I7808" s="3" t="str">
        <f ca="1">IFERROR(__xludf.DUMMYFUNCTION("""COMPUTED_VALUE"""),"Đào Ngọc Mai")</f>
        <v>Đào Ngọc Mai</v>
      </c>
      <c r="J7808" s="3" t="str">
        <f ca="1">IFERROR(__xludf.DUMMYFUNCTION("""COMPUTED_VALUE"""),"0913790688")</f>
        <v>0913790688</v>
      </c>
      <c r="K7808" s="2" t="str">
        <f ca="1">IFERROR(__xludf.DUMMYFUNCTION("""COMPUTED_VALUE"""),"1758583141000")</f>
        <v>1758583141000</v>
      </c>
    </row>
    <row r="7809" spans="1:11" ht="12.45">
      <c r="A7809" s="2" t="str">
        <f ca="1">IFERROR(__xludf.DUMMYFUNCTION("""COMPUTED_VALUE"""),"1758583202376")</f>
        <v>1758583202376</v>
      </c>
      <c r="B7809" s="2"/>
      <c r="C7809" s="2" t="str">
        <v>0</v>
      </c>
      <c r="D7809" s="2"/>
      <c r="F7809" s="2" t="str">
        <v>0</v>
      </c>
      <c r="I7809" s="3" t="str">
        <f ca="1">IFERROR(__xludf.DUMMYFUNCTION("""COMPUTED_VALUE"""),"Nguyễn Thị Thảo Ngân ")</f>
        <v xml:space="preserve">Nguyễn Thị Thảo Ngân </v>
      </c>
      <c r="J7809" s="3" t="str">
        <f ca="1">IFERROR(__xludf.DUMMYFUNCTION("""COMPUTED_VALUE"""),"0782562193")</f>
        <v>0782562193</v>
      </c>
      <c r="K7809" s="2" t="str">
        <f ca="1">IFERROR(__xludf.DUMMYFUNCTION("""COMPUTED_VALUE"""),"1758583202376")</f>
        <v>1758583202376</v>
      </c>
    </row>
    <row r="7810" spans="1:11" ht="12.45">
      <c r="A7810" s="2" t="str">
        <f ca="1">IFERROR(__xludf.DUMMYFUNCTION("""COMPUTED_VALUE"""),"1741507480873")</f>
        <v>1741507480873</v>
      </c>
      <c r="B7810" s="2"/>
      <c r="C7810" s="2" t="str">
        <v>0</v>
      </c>
      <c r="D7810" s="2"/>
      <c r="F7810" s="2" t="str">
        <v>0</v>
      </c>
      <c r="I7810" s="3" t="str">
        <f ca="1">IFERROR(__xludf.DUMMYFUNCTION("""COMPUTED_VALUE"""),"Nguyễn Thị Thanh Ngân")</f>
        <v>Nguyễn Thị Thanh Ngân</v>
      </c>
      <c r="J7810" s="3" t="str">
        <f ca="1">IFERROR(__xludf.DUMMYFUNCTION("""COMPUTED_VALUE"""),"0982804403")</f>
        <v>0982804403</v>
      </c>
      <c r="K7810" s="2" t="str">
        <f ca="1">IFERROR(__xludf.DUMMYFUNCTION("""COMPUTED_VALUE"""),"1741507480873")</f>
        <v>1741507480873</v>
      </c>
    </row>
    <row r="7811" spans="1:11" ht="12.45">
      <c r="A7811" s="2" t="str">
        <f ca="1">IFERROR(__xludf.DUMMYFUNCTION("""COMPUTED_VALUE"""),"1758583293274")</f>
        <v>1758583293274</v>
      </c>
      <c r="B7811" s="2"/>
      <c r="C7811" s="2" t="str">
        <v>0</v>
      </c>
      <c r="D7811" s="2"/>
      <c r="F7811" s="2" t="str">
        <v>0</v>
      </c>
      <c r="I7811" s="3" t="str">
        <f ca="1">IFERROR(__xludf.DUMMYFUNCTION("""COMPUTED_VALUE"""),"Ngô Khánh Hà ")</f>
        <v xml:space="preserve">Ngô Khánh Hà </v>
      </c>
      <c r="J7811" s="3" t="str">
        <f ca="1">IFERROR(__xludf.DUMMYFUNCTION("""COMPUTED_VALUE"""),"0966612741")</f>
        <v>0966612741</v>
      </c>
      <c r="K7811" s="2" t="str">
        <f ca="1">IFERROR(__xludf.DUMMYFUNCTION("""COMPUTED_VALUE"""),"1758583293274")</f>
        <v>1758583293274</v>
      </c>
    </row>
    <row r="7812" spans="1:11" ht="12.45">
      <c r="A7812" s="2" t="str">
        <f ca="1">IFERROR(__xludf.DUMMYFUNCTION("""COMPUTED_VALUE"""),"1758583353320")</f>
        <v>1758583353320</v>
      </c>
      <c r="B7812" s="2"/>
      <c r="C7812" s="2" t="str">
        <v>0</v>
      </c>
      <c r="D7812" s="2"/>
      <c r="F7812" s="2" t="str">
        <v>0</v>
      </c>
      <c r="I7812" s="3" t="str">
        <f ca="1">IFERROR(__xludf.DUMMYFUNCTION("""COMPUTED_VALUE"""),"Đinh Huỳnh Trúc Uyên ")</f>
        <v xml:space="preserve">Đinh Huỳnh Trúc Uyên </v>
      </c>
      <c r="J7812" s="3" t="str">
        <f ca="1">IFERROR(__xludf.DUMMYFUNCTION("""COMPUTED_VALUE"""),"0961764694")</f>
        <v>0961764694</v>
      </c>
      <c r="K7812" s="2" t="str">
        <f ca="1">IFERROR(__xludf.DUMMYFUNCTION("""COMPUTED_VALUE"""),"1758583353320")</f>
        <v>1758583353320</v>
      </c>
    </row>
    <row r="7813" spans="1:11" ht="12.45">
      <c r="A7813" s="2" t="str">
        <f ca="1">IFERROR(__xludf.DUMMYFUNCTION("""COMPUTED_VALUE"""),"1741507529162")</f>
        <v>1741507529162</v>
      </c>
      <c r="B7813" s="2"/>
      <c r="C7813" s="2" t="str">
        <v>0</v>
      </c>
      <c r="D7813" s="2"/>
      <c r="F7813" s="2" t="str">
        <v>0</v>
      </c>
      <c r="I7813" s="3" t="str">
        <f ca="1">IFERROR(__xludf.DUMMYFUNCTION("""COMPUTED_VALUE"""),"Đào Thị Hồng Anh")</f>
        <v>Đào Thị Hồng Anh</v>
      </c>
      <c r="J7813" s="3" t="str">
        <f ca="1">IFERROR(__xludf.DUMMYFUNCTION("""COMPUTED_VALUE"""),"0343973122")</f>
        <v>0343973122</v>
      </c>
      <c r="K7813" s="2" t="str">
        <f ca="1">IFERROR(__xludf.DUMMYFUNCTION("""COMPUTED_VALUE"""),"1741507529162")</f>
        <v>1741507529162</v>
      </c>
    </row>
    <row r="7814" spans="1:11" ht="12.45">
      <c r="A7814" s="2" t="str">
        <f ca="1">IFERROR(__xludf.DUMMYFUNCTION("""COMPUTED_VALUE"""),"1758583429558")</f>
        <v>1758583429558</v>
      </c>
      <c r="B7814" s="2"/>
      <c r="C7814" s="2" t="str">
        <v>0</v>
      </c>
      <c r="D7814" s="2"/>
      <c r="F7814" s="2" t="str">
        <v>0</v>
      </c>
      <c r="I7814" s="3" t="str">
        <f ca="1">IFERROR(__xludf.DUMMYFUNCTION("""COMPUTED_VALUE"""),"Vũ Minh khôi ")</f>
        <v xml:space="preserve">Vũ Minh khôi </v>
      </c>
      <c r="J7814" s="3" t="str">
        <f ca="1">IFERROR(__xludf.DUMMYFUNCTION("""COMPUTED_VALUE"""),"0812064313")</f>
        <v>0812064313</v>
      </c>
      <c r="K7814" s="2" t="str">
        <f ca="1">IFERROR(__xludf.DUMMYFUNCTION("""COMPUTED_VALUE"""),"1758583429558")</f>
        <v>1758583429558</v>
      </c>
    </row>
    <row r="7815" spans="1:11" ht="12.45">
      <c r="A7815" s="2" t="str">
        <f ca="1">IFERROR(__xludf.DUMMYFUNCTION("""COMPUTED_VALUE"""),"1758583487238")</f>
        <v>1758583487238</v>
      </c>
      <c r="B7815" s="2"/>
      <c r="C7815" s="2" t="str">
        <v>0</v>
      </c>
      <c r="D7815" s="2"/>
      <c r="F7815" s="2" t="str">
        <v>0</v>
      </c>
      <c r="I7815" s="3" t="str">
        <f ca="1">IFERROR(__xludf.DUMMYFUNCTION("""COMPUTED_VALUE"""),"Nguyễn Phương Thảo")</f>
        <v>Nguyễn Phương Thảo</v>
      </c>
      <c r="J7815" s="3" t="str">
        <f ca="1">IFERROR(__xludf.DUMMYFUNCTION("""COMPUTED_VALUE"""),"0976432670")</f>
        <v>0976432670</v>
      </c>
      <c r="K7815" s="2" t="str">
        <f ca="1">IFERROR(__xludf.DUMMYFUNCTION("""COMPUTED_VALUE"""),"1758583487238")</f>
        <v>1758583487238</v>
      </c>
    </row>
    <row r="7816" spans="1:11" ht="12.45">
      <c r="A7816" s="2" t="str">
        <f ca="1">IFERROR(__xludf.DUMMYFUNCTION("""COMPUTED_VALUE"""),"1758583551425")</f>
        <v>1758583551425</v>
      </c>
      <c r="B7816" s="2"/>
      <c r="C7816" s="2" t="str">
        <v>0</v>
      </c>
      <c r="D7816" s="2"/>
      <c r="F7816" s="2" t="str">
        <v>0</v>
      </c>
      <c r="I7816" s="3" t="str">
        <f ca="1">IFERROR(__xludf.DUMMYFUNCTION("""COMPUTED_VALUE"""),"ĐỖ TÂM ANH")</f>
        <v>ĐỖ TÂM ANH</v>
      </c>
      <c r="J7816" s="3" t="str">
        <f ca="1">IFERROR(__xludf.DUMMYFUNCTION("""COMPUTED_VALUE"""),"0797502333")</f>
        <v>0797502333</v>
      </c>
      <c r="K7816" s="2" t="str">
        <f ca="1">IFERROR(__xludf.DUMMYFUNCTION("""COMPUTED_VALUE"""),"1758583551425")</f>
        <v>1758583551425</v>
      </c>
    </row>
    <row r="7817" spans="1:11" ht="12.45">
      <c r="A7817" s="2"/>
      <c r="B7817" s="2"/>
      <c r="C7817" s="2" t="str">
        <v>0</v>
      </c>
      <c r="D7817" s="2"/>
      <c r="F7817" s="2" t="str">
        <v>0</v>
      </c>
      <c r="I7817" s="3" t="str">
        <f ca="1">IFERROR(__xludf.DUMMYFUNCTION("""COMPUTED_VALUE"""),"Lê Minh Anh")</f>
        <v>Lê Minh Anh</v>
      </c>
      <c r="J7817" s="3" t="str">
        <f ca="1">IFERROR(__xludf.DUMMYFUNCTION("""COMPUTED_VALUE"""),"0918782235")</f>
        <v>0918782235</v>
      </c>
      <c r="K7817" s="2"/>
    </row>
    <row r="7818" spans="1:11" ht="12.45">
      <c r="A7818" s="2" t="str">
        <f ca="1">IFERROR(__xludf.DUMMYFUNCTION("""COMPUTED_VALUE"""),"1758583638586")</f>
        <v>1758583638586</v>
      </c>
      <c r="B7818" s="2"/>
      <c r="C7818" s="2" t="str">
        <v>0</v>
      </c>
      <c r="D7818" s="2"/>
      <c r="F7818" s="2" t="str">
        <v>0</v>
      </c>
      <c r="I7818" s="3" t="str">
        <f ca="1">IFERROR(__xludf.DUMMYFUNCTION("""COMPUTED_VALUE"""),"Lê Thị Trang Thanh")</f>
        <v>Lê Thị Trang Thanh</v>
      </c>
      <c r="J7818" s="3" t="str">
        <f ca="1">IFERROR(__xludf.DUMMYFUNCTION("""COMPUTED_VALUE"""),"0354487174")</f>
        <v>0354487174</v>
      </c>
      <c r="K7818" s="2" t="str">
        <f ca="1">IFERROR(__xludf.DUMMYFUNCTION("""COMPUTED_VALUE"""),"1758583638586")</f>
        <v>1758583638586</v>
      </c>
    </row>
    <row r="7819" spans="1:11" ht="12.45">
      <c r="A7819" s="2" t="str">
        <f ca="1">IFERROR(__xludf.DUMMYFUNCTION("""COMPUTED_VALUE"""),"1741507595671")</f>
        <v>1741507595671</v>
      </c>
      <c r="B7819" s="2"/>
      <c r="C7819" s="2" t="str">
        <v>0</v>
      </c>
      <c r="D7819" s="2"/>
      <c r="F7819" s="2" t="str">
        <v>0</v>
      </c>
      <c r="I7819" s="3" t="str">
        <f ca="1">IFERROR(__xludf.DUMMYFUNCTION("""COMPUTED_VALUE"""),"Phan Thị Khánh Toàn ")</f>
        <v xml:space="preserve">Phan Thị Khánh Toàn </v>
      </c>
      <c r="J7819" s="3" t="str">
        <f ca="1">IFERROR(__xludf.DUMMYFUNCTION("""COMPUTED_VALUE"""),"0971370128")</f>
        <v>0971370128</v>
      </c>
      <c r="K7819" s="2" t="str">
        <f ca="1">IFERROR(__xludf.DUMMYFUNCTION("""COMPUTED_VALUE"""),"1741507595671")</f>
        <v>1741507595671</v>
      </c>
    </row>
    <row r="7820" spans="1:11" ht="12.45">
      <c r="A7820" s="2" t="str">
        <f ca="1">IFERROR(__xludf.DUMMYFUNCTION("""COMPUTED_VALUE"""),"1758583720243")</f>
        <v>1758583720243</v>
      </c>
      <c r="B7820" s="2"/>
      <c r="C7820" s="2" t="str">
        <v>0</v>
      </c>
      <c r="D7820" s="2"/>
      <c r="F7820" s="2" t="str">
        <v>0</v>
      </c>
      <c r="I7820" s="3" t="str">
        <f ca="1">IFERROR(__xludf.DUMMYFUNCTION("""COMPUTED_VALUE"""),"Phạm Bảo Minh")</f>
        <v>Phạm Bảo Minh</v>
      </c>
      <c r="J7820" s="3" t="str">
        <f ca="1">IFERROR(__xludf.DUMMYFUNCTION("""COMPUTED_VALUE"""),"0925013089")</f>
        <v>0925013089</v>
      </c>
      <c r="K7820" s="2" t="str">
        <f ca="1">IFERROR(__xludf.DUMMYFUNCTION("""COMPUTED_VALUE"""),"1758583720243")</f>
        <v>1758583720243</v>
      </c>
    </row>
    <row r="7821" spans="1:11" ht="12.45">
      <c r="A7821" s="2" t="str">
        <f ca="1">IFERROR(__xludf.DUMMYFUNCTION("""COMPUTED_VALUE"""),"1758583783697")</f>
        <v>1758583783697</v>
      </c>
      <c r="B7821" s="2"/>
      <c r="C7821" s="2" t="str">
        <v>0</v>
      </c>
      <c r="D7821" s="2"/>
      <c r="F7821" s="2" t="str">
        <v>0</v>
      </c>
      <c r="I7821" s="3" t="str">
        <f ca="1">IFERROR(__xludf.DUMMYFUNCTION("""COMPUTED_VALUE"""),"Lê Xuân Vi Bảo")</f>
        <v>Lê Xuân Vi Bảo</v>
      </c>
      <c r="J7821" s="3" t="str">
        <f ca="1">IFERROR(__xludf.DUMMYFUNCTION("""COMPUTED_VALUE"""),"0862340807")</f>
        <v>0862340807</v>
      </c>
      <c r="K7821" s="2" t="str">
        <f ca="1">IFERROR(__xludf.DUMMYFUNCTION("""COMPUTED_VALUE"""),"1758583783697")</f>
        <v>1758583783697</v>
      </c>
    </row>
    <row r="7822" spans="1:11" ht="12.45">
      <c r="A7822" s="2" t="str">
        <f ca="1">IFERROR(__xludf.DUMMYFUNCTION("""COMPUTED_VALUE"""),"1758583835825")</f>
        <v>1758583835825</v>
      </c>
      <c r="B7822" s="2"/>
      <c r="C7822" s="2" t="str">
        <v>0</v>
      </c>
      <c r="D7822" s="2"/>
      <c r="F7822" s="2" t="str">
        <v>0</v>
      </c>
      <c r="I7822" s="3" t="str">
        <f ca="1">IFERROR(__xludf.DUMMYFUNCTION("""COMPUTED_VALUE"""),"Phạm Thị Hồng Liên")</f>
        <v>Phạm Thị Hồng Liên</v>
      </c>
      <c r="J7822" s="3" t="str">
        <f ca="1">IFERROR(__xludf.DUMMYFUNCTION("""COMPUTED_VALUE"""),"0925651819")</f>
        <v>0925651819</v>
      </c>
      <c r="K7822" s="2" t="str">
        <f ca="1">IFERROR(__xludf.DUMMYFUNCTION("""COMPUTED_VALUE"""),"1758583835825")</f>
        <v>1758583835825</v>
      </c>
    </row>
    <row r="7823" spans="1:11" ht="12.45">
      <c r="A7823" s="2" t="str">
        <f ca="1">IFERROR(__xludf.DUMMYFUNCTION("""COMPUTED_VALUE"""),"1758583942926")</f>
        <v>1758583942926</v>
      </c>
      <c r="B7823" s="2"/>
      <c r="C7823" s="2" t="str">
        <v>0</v>
      </c>
      <c r="D7823" s="2"/>
      <c r="F7823" s="2" t="str">
        <v>0</v>
      </c>
      <c r="I7823" s="3" t="str">
        <f ca="1">IFERROR(__xludf.DUMMYFUNCTION("""COMPUTED_VALUE"""),"Nguyễn Thanh Thuỷ")</f>
        <v>Nguyễn Thanh Thuỷ</v>
      </c>
      <c r="J7823" s="3" t="str">
        <f ca="1">IFERROR(__xludf.DUMMYFUNCTION("""COMPUTED_VALUE"""),"0362458350")</f>
        <v>0362458350</v>
      </c>
      <c r="K7823" s="2" t="str">
        <f ca="1">IFERROR(__xludf.DUMMYFUNCTION("""COMPUTED_VALUE"""),"1758583942926")</f>
        <v>1758583942926</v>
      </c>
    </row>
    <row r="7824" spans="1:11" ht="12.45">
      <c r="A7824" s="2" t="str">
        <f ca="1">IFERROR(__xludf.DUMMYFUNCTION("""COMPUTED_VALUE"""),"1741507676466")</f>
        <v>1741507676466</v>
      </c>
      <c r="B7824" s="2"/>
      <c r="C7824" s="2" t="str">
        <v>0</v>
      </c>
      <c r="D7824" s="2"/>
      <c r="F7824" s="2" t="str">
        <v>0</v>
      </c>
      <c r="I7824" s="3" t="str">
        <f ca="1">IFERROR(__xludf.DUMMYFUNCTION("""COMPUTED_VALUE"""),"Võ Kế Quỳnh Ngân")</f>
        <v>Võ Kế Quỳnh Ngân</v>
      </c>
      <c r="J7824" s="3" t="str">
        <f ca="1">IFERROR(__xludf.DUMMYFUNCTION("""COMPUTED_VALUE"""),"0369872496")</f>
        <v>0369872496</v>
      </c>
      <c r="K7824" s="2" t="str">
        <f ca="1">IFERROR(__xludf.DUMMYFUNCTION("""COMPUTED_VALUE"""),"1741507676466")</f>
        <v>1741507676466</v>
      </c>
    </row>
    <row r="7825" spans="1:11" ht="12.45">
      <c r="A7825" s="2" t="str">
        <f ca="1">IFERROR(__xludf.DUMMYFUNCTION("""COMPUTED_VALUE"""),"1758584067342")</f>
        <v>1758584067342</v>
      </c>
      <c r="B7825" s="2"/>
      <c r="C7825" s="2" t="str">
        <v>0</v>
      </c>
      <c r="D7825" s="2"/>
      <c r="F7825" s="2" t="str">
        <v>0</v>
      </c>
      <c r="I7825" s="3" t="str">
        <f ca="1">IFERROR(__xludf.DUMMYFUNCTION("""COMPUTED_VALUE"""),"Lại Phương Thảo")</f>
        <v>Lại Phương Thảo</v>
      </c>
      <c r="J7825" s="3" t="str">
        <f ca="1">IFERROR(__xludf.DUMMYFUNCTION("""COMPUTED_VALUE"""),"0357668425")</f>
        <v>0357668425</v>
      </c>
      <c r="K7825" s="2" t="str">
        <f ca="1">IFERROR(__xludf.DUMMYFUNCTION("""COMPUTED_VALUE"""),"1758584067342")</f>
        <v>1758584067342</v>
      </c>
    </row>
    <row r="7826" spans="1:11" ht="12.45">
      <c r="A7826" s="2" t="str">
        <f ca="1">IFERROR(__xludf.DUMMYFUNCTION("""COMPUTED_VALUE"""),"1758584130004")</f>
        <v>1758584130004</v>
      </c>
      <c r="B7826" s="2"/>
      <c r="C7826" s="2" t="str">
        <v>0</v>
      </c>
      <c r="D7826" s="2"/>
      <c r="F7826" s="2" t="str">
        <v>0</v>
      </c>
      <c r="I7826" s="3" t="str">
        <f ca="1">IFERROR(__xludf.DUMMYFUNCTION("""COMPUTED_VALUE"""),"NGUYỄN THỊ LAN ANH")</f>
        <v>NGUYỄN THỊ LAN ANH</v>
      </c>
      <c r="J7826" s="3" t="str">
        <f ca="1">IFERROR(__xludf.DUMMYFUNCTION("""COMPUTED_VALUE"""),"0369642920")</f>
        <v>0369642920</v>
      </c>
      <c r="K7826" s="2" t="str">
        <f ca="1">IFERROR(__xludf.DUMMYFUNCTION("""COMPUTED_VALUE"""),"1758584130004")</f>
        <v>1758584130004</v>
      </c>
    </row>
    <row r="7827" spans="1:11" ht="12.45">
      <c r="A7827" s="2" t="str">
        <f ca="1">IFERROR(__xludf.DUMMYFUNCTION("""COMPUTED_VALUE"""),"1758584209393")</f>
        <v>1758584209393</v>
      </c>
      <c r="B7827" s="2"/>
      <c r="C7827" s="2" t="str">
        <v>0</v>
      </c>
      <c r="D7827" s="2"/>
      <c r="F7827" s="2" t="str">
        <v>0</v>
      </c>
      <c r="I7827" s="3" t="str">
        <f ca="1">IFERROR(__xludf.DUMMYFUNCTION("""COMPUTED_VALUE"""),"Lý Ngọc Nam Duyên")</f>
        <v>Lý Ngọc Nam Duyên</v>
      </c>
      <c r="J7827" s="3" t="str">
        <f ca="1">IFERROR(__xludf.DUMMYFUNCTION("""COMPUTED_VALUE"""),"0774402435")</f>
        <v>0774402435</v>
      </c>
      <c r="K7827" s="2" t="str">
        <f ca="1">IFERROR(__xludf.DUMMYFUNCTION("""COMPUTED_VALUE"""),"1758584209393")</f>
        <v>1758584209393</v>
      </c>
    </row>
    <row r="7828" spans="1:11" ht="12.45">
      <c r="A7828" s="2" t="str">
        <f ca="1">IFERROR(__xludf.DUMMYFUNCTION("""COMPUTED_VALUE"""),"1758584283682")</f>
        <v>1758584283682</v>
      </c>
      <c r="B7828" s="2"/>
      <c r="C7828" s="2" t="str">
        <v>0</v>
      </c>
      <c r="D7828" s="2"/>
      <c r="F7828" s="2" t="str">
        <v>0</v>
      </c>
      <c r="I7828" s="3" t="str">
        <f ca="1">IFERROR(__xludf.DUMMYFUNCTION("""COMPUTED_VALUE"""),"Trần Thanh Nhân")</f>
        <v>Trần Thanh Nhân</v>
      </c>
      <c r="J7828" s="3" t="str">
        <f ca="1">IFERROR(__xludf.DUMMYFUNCTION("""COMPUTED_VALUE"""),"0367000277")</f>
        <v>0367000277</v>
      </c>
      <c r="K7828" s="2" t="str">
        <f ca="1">IFERROR(__xludf.DUMMYFUNCTION("""COMPUTED_VALUE"""),"1758584283682")</f>
        <v>1758584283682</v>
      </c>
    </row>
    <row r="7829" spans="1:11" ht="12.45">
      <c r="A7829" s="2" t="str">
        <f ca="1">IFERROR(__xludf.DUMMYFUNCTION("""COMPUTED_VALUE"""),"1758584341211")</f>
        <v>1758584341211</v>
      </c>
      <c r="B7829" s="2"/>
      <c r="C7829" s="2" t="str">
        <v>0</v>
      </c>
      <c r="D7829" s="2"/>
      <c r="F7829" s="2" t="str">
        <v>0</v>
      </c>
      <c r="I7829" s="3" t="str">
        <f ca="1">IFERROR(__xludf.DUMMYFUNCTION("""COMPUTED_VALUE"""),"Nguyễn Thị Phương Linh ")</f>
        <v xml:space="preserve">Nguyễn Thị Phương Linh </v>
      </c>
      <c r="J7829" s="3" t="str">
        <f ca="1">IFERROR(__xludf.DUMMYFUNCTION("""COMPUTED_VALUE"""),"0982400338")</f>
        <v>0982400338</v>
      </c>
      <c r="K7829" s="2" t="str">
        <f ca="1">IFERROR(__xludf.DUMMYFUNCTION("""COMPUTED_VALUE"""),"1758584341211")</f>
        <v>1758584341211</v>
      </c>
    </row>
    <row r="7830" spans="1:11" ht="12.45">
      <c r="A7830" s="2" t="str">
        <f ca="1">IFERROR(__xludf.DUMMYFUNCTION("""COMPUTED_VALUE"""),"1758584379577")</f>
        <v>1758584379577</v>
      </c>
      <c r="B7830" s="2"/>
      <c r="C7830" s="2" t="str">
        <v>0</v>
      </c>
      <c r="D7830" s="2"/>
      <c r="F7830" s="2" t="str">
        <v>0</v>
      </c>
      <c r="I7830" s="3" t="str">
        <f ca="1">IFERROR(__xludf.DUMMYFUNCTION("""COMPUTED_VALUE"""),"Lê Trí Quỳnh")</f>
        <v>Lê Trí Quỳnh</v>
      </c>
      <c r="J7830" s="3" t="str">
        <f ca="1">IFERROR(__xludf.DUMMYFUNCTION("""COMPUTED_VALUE"""),"0825793189")</f>
        <v>0825793189</v>
      </c>
      <c r="K7830" s="2" t="str">
        <f ca="1">IFERROR(__xludf.DUMMYFUNCTION("""COMPUTED_VALUE"""),"1758584379577")</f>
        <v>1758584379577</v>
      </c>
    </row>
    <row r="7831" spans="1:11" ht="12.45">
      <c r="A7831" s="2" t="str">
        <f ca="1">IFERROR(__xludf.DUMMYFUNCTION("""COMPUTED_VALUE"""),"1758584448566")</f>
        <v>1758584448566</v>
      </c>
      <c r="B7831" s="2"/>
      <c r="C7831" s="2" t="str">
        <v>0</v>
      </c>
      <c r="D7831" s="2"/>
      <c r="F7831" s="2" t="str">
        <v>0</v>
      </c>
      <c r="I7831" s="3" t="str">
        <f ca="1">IFERROR(__xludf.DUMMYFUNCTION("""COMPUTED_VALUE"""),"Huy Dang Khanh")</f>
        <v>Huy Dang Khanh</v>
      </c>
      <c r="J7831" s="3" t="str">
        <f ca="1">IFERROR(__xludf.DUMMYFUNCTION("""COMPUTED_VALUE"""),"0919989803")</f>
        <v>0919989803</v>
      </c>
      <c r="K7831" s="2" t="str">
        <f ca="1">IFERROR(__xludf.DUMMYFUNCTION("""COMPUTED_VALUE"""),"1758584448566")</f>
        <v>1758584448566</v>
      </c>
    </row>
    <row r="7832" spans="1:11" ht="12.45">
      <c r="A7832" s="2" t="str">
        <f ca="1">IFERROR(__xludf.DUMMYFUNCTION("""COMPUTED_VALUE"""),"1741507766629")</f>
        <v>1741507766629</v>
      </c>
      <c r="B7832" s="2"/>
      <c r="C7832" s="2" t="str">
        <v>0</v>
      </c>
      <c r="D7832" s="2"/>
      <c r="F7832" s="2" t="str">
        <v>0</v>
      </c>
      <c r="I7832" s="3" t="str">
        <f ca="1">IFERROR(__xludf.DUMMYFUNCTION("""COMPUTED_VALUE"""),"Đỗ Thị Hồng Anh")</f>
        <v>Đỗ Thị Hồng Anh</v>
      </c>
      <c r="J7832" s="3" t="str">
        <f ca="1">IFERROR(__xludf.DUMMYFUNCTION("""COMPUTED_VALUE"""),"0902499951")</f>
        <v>0902499951</v>
      </c>
      <c r="K7832" s="2" t="str">
        <f ca="1">IFERROR(__xludf.DUMMYFUNCTION("""COMPUTED_VALUE"""),"1741507766629")</f>
        <v>1741507766629</v>
      </c>
    </row>
    <row r="7833" spans="1:11" ht="12.45">
      <c r="A7833" s="2" t="str">
        <f ca="1">IFERROR(__xludf.DUMMYFUNCTION("""COMPUTED_VALUE"""),"1758584505206")</f>
        <v>1758584505206</v>
      </c>
      <c r="B7833" s="2"/>
      <c r="C7833" s="2" t="str">
        <v>0</v>
      </c>
      <c r="D7833" s="2"/>
      <c r="F7833" s="2" t="str">
        <v>0</v>
      </c>
      <c r="I7833" s="3" t="str">
        <f ca="1">IFERROR(__xludf.DUMMYFUNCTION("""COMPUTED_VALUE"""),"Trần Thu Trang")</f>
        <v>Trần Thu Trang</v>
      </c>
      <c r="J7833" s="3" t="str">
        <f ca="1">IFERROR(__xludf.DUMMYFUNCTION("""COMPUTED_VALUE"""),"0363896126")</f>
        <v>0363896126</v>
      </c>
      <c r="K7833" s="2" t="str">
        <f ca="1">IFERROR(__xludf.DUMMYFUNCTION("""COMPUTED_VALUE"""),"1758584505206")</f>
        <v>1758584505206</v>
      </c>
    </row>
    <row r="7834" spans="1:11" ht="12.45">
      <c r="A7834" s="2" t="str">
        <f ca="1">IFERROR(__xludf.DUMMYFUNCTION("""COMPUTED_VALUE"""),"1758584591875")</f>
        <v>1758584591875</v>
      </c>
      <c r="B7834" s="2"/>
      <c r="C7834" s="2" t="str">
        <v>0</v>
      </c>
      <c r="D7834" s="2"/>
      <c r="F7834" s="2" t="str">
        <v>0</v>
      </c>
      <c r="I7834" s="3" t="str">
        <f ca="1">IFERROR(__xludf.DUMMYFUNCTION("""COMPUTED_VALUE"""),"Đinh Thị Phương Lan")</f>
        <v>Đinh Thị Phương Lan</v>
      </c>
      <c r="J7834" s="3" t="str">
        <f ca="1">IFERROR(__xludf.DUMMYFUNCTION("""COMPUTED_VALUE"""),"0838951770")</f>
        <v>0838951770</v>
      </c>
      <c r="K7834" s="2" t="str">
        <f ca="1">IFERROR(__xludf.DUMMYFUNCTION("""COMPUTED_VALUE"""),"1758584591875")</f>
        <v>1758584591875</v>
      </c>
    </row>
    <row r="7835" spans="1:11" ht="12.45">
      <c r="A7835" s="2"/>
      <c r="B7835" s="2"/>
      <c r="C7835" s="2" t="str">
        <v>0</v>
      </c>
      <c r="D7835" s="2"/>
      <c r="F7835" s="2" t="str">
        <v>0</v>
      </c>
      <c r="I7835" s="3" t="str">
        <f ca="1">IFERROR(__xludf.DUMMYFUNCTION("""COMPUTED_VALUE"""),"Đoàn Chí Lợi")</f>
        <v>Đoàn Chí Lợi</v>
      </c>
      <c r="J7835" s="3" t="str">
        <f ca="1">IFERROR(__xludf.DUMMYFUNCTION("""COMPUTED_VALUE"""),"0375057192")</f>
        <v>0375057192</v>
      </c>
      <c r="K7835" s="2"/>
    </row>
    <row r="7836" spans="1:11" ht="12.45">
      <c r="A7836" s="2" t="str">
        <f ca="1">IFERROR(__xludf.DUMMYFUNCTION("""COMPUTED_VALUE"""),"1758584649701")</f>
        <v>1758584649701</v>
      </c>
      <c r="B7836" s="2"/>
      <c r="C7836" s="2" t="str">
        <v>0</v>
      </c>
      <c r="D7836" s="2"/>
      <c r="F7836" s="2" t="str">
        <v>0</v>
      </c>
      <c r="I7836" s="3" t="str">
        <f ca="1">IFERROR(__xludf.DUMMYFUNCTION("""COMPUTED_VALUE"""),"Phạm Thị Lan Anh")</f>
        <v>Phạm Thị Lan Anh</v>
      </c>
      <c r="J7836" s="3" t="str">
        <f ca="1">IFERROR(__xludf.DUMMYFUNCTION("""COMPUTED_VALUE"""),"0869916306")</f>
        <v>0869916306</v>
      </c>
      <c r="K7836" s="2" t="str">
        <f ca="1">IFERROR(__xludf.DUMMYFUNCTION("""COMPUTED_VALUE"""),"1758584649701")</f>
        <v>1758584649701</v>
      </c>
    </row>
    <row r="7837" spans="1:11" ht="12.45">
      <c r="A7837" s="2" t="str">
        <f ca="1">IFERROR(__xludf.DUMMYFUNCTION("""COMPUTED_VALUE"""),"1758584714109")</f>
        <v>1758584714109</v>
      </c>
      <c r="B7837" s="2"/>
      <c r="C7837" s="2" t="str">
        <v>0</v>
      </c>
      <c r="D7837" s="2"/>
      <c r="F7837" s="2" t="str">
        <v>0</v>
      </c>
      <c r="I7837" s="3" t="str">
        <f ca="1">IFERROR(__xludf.DUMMYFUNCTION("""COMPUTED_VALUE"""),"Nguyễn Trương Bảo Thi")</f>
        <v>Nguyễn Trương Bảo Thi</v>
      </c>
      <c r="J7837" s="3" t="str">
        <f ca="1">IFERROR(__xludf.DUMMYFUNCTION("""COMPUTED_VALUE"""),"8434436499")</f>
        <v>8434436499</v>
      </c>
      <c r="K7837" s="2" t="str">
        <f ca="1">IFERROR(__xludf.DUMMYFUNCTION("""COMPUTED_VALUE"""),"1758584714109")</f>
        <v>1758584714109</v>
      </c>
    </row>
    <row r="7838" spans="1:11" ht="12.45">
      <c r="A7838" s="2" t="str">
        <f ca="1">IFERROR(__xludf.DUMMYFUNCTION("""COMPUTED_VALUE"""),"1758584794675")</f>
        <v>1758584794675</v>
      </c>
      <c r="B7838" s="2"/>
      <c r="C7838" s="2" t="str">
        <v>0</v>
      </c>
      <c r="D7838" s="2"/>
      <c r="F7838" s="2" t="str">
        <v>0</v>
      </c>
      <c r="I7838" s="3" t="str">
        <f ca="1">IFERROR(__xludf.DUMMYFUNCTION("""COMPUTED_VALUE"""),"NGUYỄN BẢO NGỌC")</f>
        <v>NGUYỄN BẢO NGỌC</v>
      </c>
      <c r="J7838" s="3" t="str">
        <f ca="1">IFERROR(__xludf.DUMMYFUNCTION("""COMPUTED_VALUE"""),"0333560414")</f>
        <v>0333560414</v>
      </c>
      <c r="K7838" s="2" t="str">
        <f ca="1">IFERROR(__xludf.DUMMYFUNCTION("""COMPUTED_VALUE"""),"1758584794675")</f>
        <v>1758584794675</v>
      </c>
    </row>
    <row r="7839" spans="1:11" ht="12.45">
      <c r="A7839" s="2" t="str">
        <f ca="1">IFERROR(__xludf.DUMMYFUNCTION("""COMPUTED_VALUE"""),"1741507849607")</f>
        <v>1741507849607</v>
      </c>
      <c r="B7839" s="2"/>
      <c r="C7839" s="2" t="str">
        <v>0</v>
      </c>
      <c r="D7839" s="2"/>
      <c r="F7839" s="2" t="str">
        <v>0</v>
      </c>
      <c r="I7839" s="3" t="str">
        <f ca="1">IFERROR(__xludf.DUMMYFUNCTION("""COMPUTED_VALUE"""),"Trần Thu Hằng ")</f>
        <v xml:space="preserve">Trần Thu Hằng </v>
      </c>
      <c r="J7839" s="3" t="str">
        <f ca="1">IFERROR(__xludf.DUMMYFUNCTION("""COMPUTED_VALUE"""),"0973479361")</f>
        <v>0973479361</v>
      </c>
      <c r="K7839" s="2" t="str">
        <f ca="1">IFERROR(__xludf.DUMMYFUNCTION("""COMPUTED_VALUE"""),"1741507849607")</f>
        <v>1741507849607</v>
      </c>
    </row>
    <row r="7840" spans="1:11" ht="12.45">
      <c r="A7840" s="2" t="str">
        <f ca="1">IFERROR(__xludf.DUMMYFUNCTION("""COMPUTED_VALUE"""),"1741507920429")</f>
        <v>1741507920429</v>
      </c>
      <c r="B7840" s="2"/>
      <c r="C7840" s="2" t="str">
        <v>0</v>
      </c>
      <c r="D7840" s="2"/>
      <c r="F7840" s="2" t="str">
        <v>0</v>
      </c>
      <c r="I7840" s="3" t="str">
        <f ca="1">IFERROR(__xludf.DUMMYFUNCTION("""COMPUTED_VALUE"""),"Nguyễn Ngọc Nguyên Anh")</f>
        <v>Nguyễn Ngọc Nguyên Anh</v>
      </c>
      <c r="J7840" s="3" t="str">
        <f ca="1">IFERROR(__xludf.DUMMYFUNCTION("""COMPUTED_VALUE"""),"0785091234")</f>
        <v>0785091234</v>
      </c>
      <c r="K7840" s="2" t="str">
        <f ca="1">IFERROR(__xludf.DUMMYFUNCTION("""COMPUTED_VALUE"""),"1741507920429")</f>
        <v>1741507920429</v>
      </c>
    </row>
    <row r="7841" spans="1:11" ht="12.45">
      <c r="A7841" s="2" t="str">
        <f ca="1">IFERROR(__xludf.DUMMYFUNCTION("""COMPUTED_VALUE"""),"1758584861794")</f>
        <v>1758584861794</v>
      </c>
      <c r="B7841" s="2"/>
      <c r="C7841" s="2" t="str">
        <v>0</v>
      </c>
      <c r="D7841" s="2"/>
      <c r="F7841" s="2" t="str">
        <v>0</v>
      </c>
      <c r="I7841" s="3" t="str">
        <f ca="1">IFERROR(__xludf.DUMMYFUNCTION("""COMPUTED_VALUE"""),"Phạm Cao Tú")</f>
        <v>Phạm Cao Tú</v>
      </c>
      <c r="J7841" s="3" t="str">
        <f ca="1">IFERROR(__xludf.DUMMYFUNCTION("""COMPUTED_VALUE"""),"0981573588")</f>
        <v>0981573588</v>
      </c>
      <c r="K7841" s="2" t="str">
        <f ca="1">IFERROR(__xludf.DUMMYFUNCTION("""COMPUTED_VALUE"""),"1758584861794")</f>
        <v>1758584861794</v>
      </c>
    </row>
    <row r="7842" spans="1:11" ht="12.45">
      <c r="A7842" s="2" t="str">
        <f ca="1">IFERROR(__xludf.DUMMYFUNCTION("""COMPUTED_VALUE"""),"1741507990563")</f>
        <v>1741507990563</v>
      </c>
      <c r="B7842" s="2"/>
      <c r="C7842" s="2" t="str">
        <v>0</v>
      </c>
      <c r="D7842" s="2"/>
      <c r="F7842" s="2" t="str">
        <v>0</v>
      </c>
      <c r="I7842" s="3" t="str">
        <f ca="1">IFERROR(__xludf.DUMMYFUNCTION("""COMPUTED_VALUE"""),"Nguyễn ngọc lan anh")</f>
        <v>Nguyễn ngọc lan anh</v>
      </c>
      <c r="J7842" s="3" t="str">
        <f ca="1">IFERROR(__xludf.DUMMYFUNCTION("""COMPUTED_VALUE"""),"0335428918")</f>
        <v>0335428918</v>
      </c>
      <c r="K7842" s="2" t="str">
        <f ca="1">IFERROR(__xludf.DUMMYFUNCTION("""COMPUTED_VALUE"""),"1741507990563")</f>
        <v>1741507990563</v>
      </c>
    </row>
    <row r="7843" spans="1:11" ht="12.45">
      <c r="A7843" s="2" t="str">
        <f ca="1">IFERROR(__xludf.DUMMYFUNCTION("""COMPUTED_VALUE"""),"1758584908297")</f>
        <v>1758584908297</v>
      </c>
      <c r="B7843" s="2"/>
      <c r="C7843" s="2" t="str">
        <v>0</v>
      </c>
      <c r="D7843" s="2"/>
      <c r="F7843" s="2" t="str">
        <v>0</v>
      </c>
      <c r="I7843" s="3" t="str">
        <f ca="1">IFERROR(__xludf.DUMMYFUNCTION("""COMPUTED_VALUE"""),"Trần Thị Mai Phương")</f>
        <v>Trần Thị Mai Phương</v>
      </c>
      <c r="J7843" s="3" t="str">
        <f ca="1">IFERROR(__xludf.DUMMYFUNCTION("""COMPUTED_VALUE"""),"0798649940")</f>
        <v>0798649940</v>
      </c>
      <c r="K7843" s="2" t="str">
        <f ca="1">IFERROR(__xludf.DUMMYFUNCTION("""COMPUTED_VALUE"""),"1758584908297")</f>
        <v>1758584908297</v>
      </c>
    </row>
    <row r="7844" spans="1:11" ht="12.45">
      <c r="A7844" s="2" t="str">
        <f ca="1">IFERROR(__xludf.DUMMYFUNCTION("""COMPUTED_VALUE"""),"1758584945602")</f>
        <v>1758584945602</v>
      </c>
      <c r="B7844" s="2"/>
      <c r="C7844" s="2" t="str">
        <v>0</v>
      </c>
      <c r="D7844" s="2"/>
      <c r="F7844" s="2" t="str">
        <v>0</v>
      </c>
      <c r="I7844" s="3" t="str">
        <f ca="1">IFERROR(__xludf.DUMMYFUNCTION("""COMPUTED_VALUE"""),"Đỗ thị hồng ánh")</f>
        <v>Đỗ thị hồng ánh</v>
      </c>
      <c r="J7844" s="3" t="str">
        <f ca="1">IFERROR(__xludf.DUMMYFUNCTION("""COMPUTED_VALUE"""),"0354904218")</f>
        <v>0354904218</v>
      </c>
      <c r="K7844" s="2" t="str">
        <f ca="1">IFERROR(__xludf.DUMMYFUNCTION("""COMPUTED_VALUE"""),"1758584945602")</f>
        <v>1758584945602</v>
      </c>
    </row>
    <row r="7845" spans="1:11" ht="12.45">
      <c r="A7845" s="2" t="str">
        <f ca="1">IFERROR(__xludf.DUMMYFUNCTION("""COMPUTED_VALUE"""),"1758585010631")</f>
        <v>1758585010631</v>
      </c>
      <c r="B7845" s="2"/>
      <c r="C7845" s="2" t="str">
        <v>0</v>
      </c>
      <c r="D7845" s="2"/>
      <c r="F7845" s="2" t="str">
        <v>0</v>
      </c>
      <c r="I7845" s="3" t="str">
        <f ca="1">IFERROR(__xludf.DUMMYFUNCTION("""COMPUTED_VALUE"""),"Nguyễn Trà My")</f>
        <v>Nguyễn Trà My</v>
      </c>
      <c r="J7845" s="3" t="str">
        <f ca="1">IFERROR(__xludf.DUMMYFUNCTION("""COMPUTED_VALUE"""),"0784210307")</f>
        <v>0784210307</v>
      </c>
      <c r="K7845" s="2" t="str">
        <f ca="1">IFERROR(__xludf.DUMMYFUNCTION("""COMPUTED_VALUE"""),"1758585010631")</f>
        <v>1758585010631</v>
      </c>
    </row>
    <row r="7846" spans="1:11" ht="12.45">
      <c r="A7846" s="2" t="str">
        <f ca="1">IFERROR(__xludf.DUMMYFUNCTION("""COMPUTED_VALUE"""),"1758585076360")</f>
        <v>1758585076360</v>
      </c>
      <c r="B7846" s="2"/>
      <c r="C7846" s="2" t="str">
        <v>0</v>
      </c>
      <c r="D7846" s="2"/>
      <c r="F7846" s="2" t="str">
        <v>0</v>
      </c>
      <c r="I7846" s="3" t="str">
        <f ca="1">IFERROR(__xludf.DUMMYFUNCTION("""COMPUTED_VALUE"""),"Nguyễn Khánh Ngọc ")</f>
        <v xml:space="preserve">Nguyễn Khánh Ngọc </v>
      </c>
      <c r="J7846" s="3" t="str">
        <f ca="1">IFERROR(__xludf.DUMMYFUNCTION("""COMPUTED_VALUE"""),"0335283005")</f>
        <v>0335283005</v>
      </c>
      <c r="K7846" s="2" t="str">
        <f ca="1">IFERROR(__xludf.DUMMYFUNCTION("""COMPUTED_VALUE"""),"1758585076360")</f>
        <v>1758585076360</v>
      </c>
    </row>
    <row r="7847" spans="1:11" ht="12.45">
      <c r="A7847" s="2" t="str">
        <f ca="1">IFERROR(__xludf.DUMMYFUNCTION("""COMPUTED_VALUE"""),"1758585126469")</f>
        <v>1758585126469</v>
      </c>
      <c r="B7847" s="2"/>
      <c r="C7847" s="2" t="str">
        <v>0</v>
      </c>
      <c r="D7847" s="2"/>
      <c r="F7847" s="2" t="str">
        <v>0</v>
      </c>
      <c r="I7847" s="3" t="str">
        <f ca="1">IFERROR(__xludf.DUMMYFUNCTION("""COMPUTED_VALUE"""),"Tạ Nguyễn Bảo Duyên")</f>
        <v>Tạ Nguyễn Bảo Duyên</v>
      </c>
      <c r="J7847" s="3" t="str">
        <f ca="1">IFERROR(__xludf.DUMMYFUNCTION("""COMPUTED_VALUE"""),"0903249625")</f>
        <v>0903249625</v>
      </c>
      <c r="K7847" s="2" t="str">
        <f ca="1">IFERROR(__xludf.DUMMYFUNCTION("""COMPUTED_VALUE"""),"1758585126469")</f>
        <v>1758585126469</v>
      </c>
    </row>
    <row r="7848" spans="1:11" ht="12.45">
      <c r="A7848" s="2" t="str">
        <f ca="1">IFERROR(__xludf.DUMMYFUNCTION("""COMPUTED_VALUE"""),"1758585226870")</f>
        <v>1758585226870</v>
      </c>
      <c r="B7848" s="2"/>
      <c r="C7848" s="2" t="str">
        <v>0</v>
      </c>
      <c r="D7848" s="2"/>
      <c r="F7848" s="2" t="str">
        <v>0</v>
      </c>
      <c r="I7848" s="3" t="str">
        <f ca="1">IFERROR(__xludf.DUMMYFUNCTION("""COMPUTED_VALUE"""),"Nguyễn Thị Phương Linh")</f>
        <v>Nguyễn Thị Phương Linh</v>
      </c>
      <c r="J7848" s="3" t="str">
        <f ca="1">IFERROR(__xludf.DUMMYFUNCTION("""COMPUTED_VALUE"""),"0384333185")</f>
        <v>0384333185</v>
      </c>
      <c r="K7848" s="2" t="str">
        <f ca="1">IFERROR(__xludf.DUMMYFUNCTION("""COMPUTED_VALUE"""),"1758585226870")</f>
        <v>1758585226870</v>
      </c>
    </row>
    <row r="7849" spans="1:11" ht="12.45">
      <c r="A7849" s="2" t="str">
        <f ca="1">IFERROR(__xludf.DUMMYFUNCTION("""COMPUTED_VALUE"""),"1741508226287")</f>
        <v>1741508226287</v>
      </c>
      <c r="B7849" s="2"/>
      <c r="C7849" s="2" t="str">
        <v>0</v>
      </c>
      <c r="D7849" s="2"/>
      <c r="F7849" s="2" t="str">
        <v>0</v>
      </c>
      <c r="I7849" s="3" t="str">
        <f ca="1">IFERROR(__xludf.DUMMYFUNCTION("""COMPUTED_VALUE"""),"Bùi Hoàng Việt ")</f>
        <v xml:space="preserve">Bùi Hoàng Việt </v>
      </c>
      <c r="J7849" s="3" t="str">
        <f ca="1">IFERROR(__xludf.DUMMYFUNCTION("""COMPUTED_VALUE"""),"0374756316")</f>
        <v>0374756316</v>
      </c>
      <c r="K7849" s="2" t="str">
        <f ca="1">IFERROR(__xludf.DUMMYFUNCTION("""COMPUTED_VALUE"""),"1741508226287")</f>
        <v>1741508226287</v>
      </c>
    </row>
    <row r="7850" spans="1:11" ht="12.45">
      <c r="A7850" s="2" t="str">
        <f ca="1">IFERROR(__xludf.DUMMYFUNCTION("""COMPUTED_VALUE"""),"1741508094607")</f>
        <v>1741508094607</v>
      </c>
      <c r="B7850" s="2"/>
      <c r="C7850" s="2" t="str">
        <v>0</v>
      </c>
      <c r="D7850" s="2"/>
      <c r="F7850" s="2" t="str">
        <v>0</v>
      </c>
      <c r="I7850" s="3" t="str">
        <f ca="1">IFERROR(__xludf.DUMMYFUNCTION("""COMPUTED_VALUE"""),"Lê Quốc Cường")</f>
        <v>Lê Quốc Cường</v>
      </c>
      <c r="J7850" s="3" t="str">
        <f ca="1">IFERROR(__xludf.DUMMYFUNCTION("""COMPUTED_VALUE"""),"0328047991")</f>
        <v>0328047991</v>
      </c>
      <c r="K7850" s="2" t="str">
        <f ca="1">IFERROR(__xludf.DUMMYFUNCTION("""COMPUTED_VALUE"""),"1741508094607")</f>
        <v>1741508094607</v>
      </c>
    </row>
    <row r="7851" spans="1:11" ht="12.45">
      <c r="A7851" s="2" t="str">
        <f ca="1">IFERROR(__xludf.DUMMYFUNCTION("""COMPUTED_VALUE"""),"1758585321064")</f>
        <v>1758585321064</v>
      </c>
      <c r="B7851" s="2"/>
      <c r="C7851" s="2" t="str">
        <v>0</v>
      </c>
      <c r="D7851" s="2"/>
      <c r="F7851" s="2" t="str">
        <v>0</v>
      </c>
      <c r="I7851" s="3" t="str">
        <f ca="1">IFERROR(__xludf.DUMMYFUNCTION("""COMPUTED_VALUE"""),"Dang Hai Dang")</f>
        <v>Dang Hai Dang</v>
      </c>
      <c r="J7851" s="3" t="str">
        <f ca="1">IFERROR(__xludf.DUMMYFUNCTION("""COMPUTED_VALUE"""),"0914920578")</f>
        <v>0914920578</v>
      </c>
      <c r="K7851" s="2" t="str">
        <f ca="1">IFERROR(__xludf.DUMMYFUNCTION("""COMPUTED_VALUE"""),"1758585321064")</f>
        <v>1758585321064</v>
      </c>
    </row>
    <row r="7852" spans="1:11" ht="12.45">
      <c r="A7852" s="2" t="str">
        <f ca="1">IFERROR(__xludf.DUMMYFUNCTION("""COMPUTED_VALUE"""),"1741508226287")</f>
        <v>1741508226287</v>
      </c>
      <c r="B7852" s="2"/>
      <c r="C7852" s="2" t="str">
        <v>0</v>
      </c>
      <c r="D7852" s="2"/>
      <c r="F7852" s="2" t="str">
        <v>0</v>
      </c>
      <c r="I7852" s="3" t="str">
        <f ca="1">IFERROR(__xludf.DUMMYFUNCTION("""COMPUTED_VALUE"""),"Lý Văn Kiệt")</f>
        <v>Lý Văn Kiệt</v>
      </c>
      <c r="J7852" s="3" t="str">
        <f ca="1">IFERROR(__xludf.DUMMYFUNCTION("""COMPUTED_VALUE"""),"0335367436")</f>
        <v>0335367436</v>
      </c>
      <c r="K7852" s="2" t="str">
        <f ca="1">IFERROR(__xludf.DUMMYFUNCTION("""COMPUTED_VALUE"""),"1741508226287")</f>
        <v>1741508226287</v>
      </c>
    </row>
    <row r="7853" spans="1:11" ht="12.45">
      <c r="A7853" s="2" t="str">
        <f ca="1">IFERROR(__xludf.DUMMYFUNCTION("""COMPUTED_VALUE"""),"1758585427719")</f>
        <v>1758585427719</v>
      </c>
      <c r="B7853" s="2"/>
      <c r="C7853" s="2" t="str">
        <v>0</v>
      </c>
      <c r="D7853" s="2"/>
      <c r="F7853" s="2" t="str">
        <v>0</v>
      </c>
      <c r="I7853" s="3" t="str">
        <f ca="1">IFERROR(__xludf.DUMMYFUNCTION("""COMPUTED_VALUE"""),"Nguyễn Tuấn Minh")</f>
        <v>Nguyễn Tuấn Minh</v>
      </c>
      <c r="J7853" s="3" t="str">
        <f ca="1">IFERROR(__xludf.DUMMYFUNCTION("""COMPUTED_VALUE"""),"0964681147")</f>
        <v>0964681147</v>
      </c>
      <c r="K7853" s="2" t="str">
        <f ca="1">IFERROR(__xludf.DUMMYFUNCTION("""COMPUTED_VALUE"""),"1758585427719")</f>
        <v>1758585427719</v>
      </c>
    </row>
    <row r="7854" spans="1:11" ht="12.45">
      <c r="A7854" s="2" t="str">
        <f ca="1">IFERROR(__xludf.DUMMYFUNCTION("""COMPUTED_VALUE"""),"1741508165651")</f>
        <v>1741508165651</v>
      </c>
      <c r="B7854" s="2"/>
      <c r="C7854" s="2" t="str">
        <v>0</v>
      </c>
      <c r="D7854" s="2"/>
      <c r="F7854" s="2" t="str">
        <v>0</v>
      </c>
      <c r="I7854" s="3" t="str">
        <f ca="1">IFERROR(__xludf.DUMMYFUNCTION("""COMPUTED_VALUE"""),"Lê Phan Anh thư")</f>
        <v>Lê Phan Anh thư</v>
      </c>
      <c r="J7854" s="3" t="str">
        <f ca="1">IFERROR(__xludf.DUMMYFUNCTION("""COMPUTED_VALUE"""),"0394292624")</f>
        <v>0394292624</v>
      </c>
      <c r="K7854" s="2" t="str">
        <f ca="1">IFERROR(__xludf.DUMMYFUNCTION("""COMPUTED_VALUE"""),"1741508165651")</f>
        <v>1741508165651</v>
      </c>
    </row>
    <row r="7855" spans="1:11" ht="12.45">
      <c r="A7855" s="2" t="str">
        <f ca="1">IFERROR(__xludf.DUMMYFUNCTION("""COMPUTED_VALUE"""),"1759954407595")</f>
        <v>1759954407595</v>
      </c>
      <c r="B7855" s="2"/>
      <c r="C7855" s="2" t="str">
        <v>0</v>
      </c>
      <c r="D7855" s="2"/>
      <c r="F7855" s="2" t="str">
        <v>0</v>
      </c>
      <c r="I7855" s="3" t="str">
        <f ca="1">IFERROR(__xludf.DUMMYFUNCTION("""COMPUTED_VALUE"""),"Dương Thị Mai Linh")</f>
        <v>Dương Thị Mai Linh</v>
      </c>
      <c r="J7855" s="3" t="str">
        <f ca="1">IFERROR(__xludf.DUMMYFUNCTION("""COMPUTED_VALUE"""),"0838983909")</f>
        <v>0838983909</v>
      </c>
      <c r="K7855" s="2" t="str">
        <f ca="1">IFERROR(__xludf.DUMMYFUNCTION("""COMPUTED_VALUE"""),"1759954407595")</f>
        <v>1759954407595</v>
      </c>
    </row>
    <row r="7856" spans="1:11" ht="12.45">
      <c r="A7856" s="2" t="str">
        <f ca="1">IFERROR(__xludf.DUMMYFUNCTION("""COMPUTED_VALUE"""),"1759954459289")</f>
        <v>1759954459289</v>
      </c>
      <c r="B7856" s="2"/>
      <c r="C7856" s="2" t="str">
        <v>0</v>
      </c>
      <c r="D7856" s="2"/>
      <c r="F7856" s="2" t="str">
        <v>0</v>
      </c>
      <c r="I7856" s="3" t="str">
        <f ca="1">IFERROR(__xludf.DUMMYFUNCTION("""COMPUTED_VALUE"""),"Cao Thị Yến Vy")</f>
        <v>Cao Thị Yến Vy</v>
      </c>
      <c r="J7856" s="3" t="str">
        <f ca="1">IFERROR(__xludf.DUMMYFUNCTION("""COMPUTED_VALUE"""),"0889332984")</f>
        <v>0889332984</v>
      </c>
      <c r="K7856" s="2" t="str">
        <f ca="1">IFERROR(__xludf.DUMMYFUNCTION("""COMPUTED_VALUE"""),"1759954459289")</f>
        <v>1759954459289</v>
      </c>
    </row>
    <row r="7857" spans="1:11" ht="12.45">
      <c r="A7857" s="2" t="str">
        <f ca="1">IFERROR(__xludf.DUMMYFUNCTION("""COMPUTED_VALUE"""),"1759954503680")</f>
        <v>1759954503680</v>
      </c>
      <c r="B7857" s="2"/>
      <c r="C7857" s="2" t="str">
        <v>0</v>
      </c>
      <c r="D7857" s="2"/>
      <c r="F7857" s="2" t="str">
        <v>0</v>
      </c>
      <c r="I7857" s="3" t="str">
        <f ca="1">IFERROR(__xludf.DUMMYFUNCTION("""COMPUTED_VALUE"""),"Tăng Hà Linh")</f>
        <v>Tăng Hà Linh</v>
      </c>
      <c r="J7857" s="3" t="str">
        <f ca="1">IFERROR(__xludf.DUMMYFUNCTION("""COMPUTED_VALUE"""),"0868664028")</f>
        <v>0868664028</v>
      </c>
      <c r="K7857" s="2" t="str">
        <f ca="1">IFERROR(__xludf.DUMMYFUNCTION("""COMPUTED_VALUE"""),"1759954503680")</f>
        <v>1759954503680</v>
      </c>
    </row>
    <row r="7858" spans="1:11" ht="12.45">
      <c r="A7858" s="2" t="str">
        <f ca="1">IFERROR(__xludf.DUMMYFUNCTION("""COMPUTED_VALUE"""),"1759954544240")</f>
        <v>1759954544240</v>
      </c>
      <c r="B7858" s="2"/>
      <c r="C7858" s="2" t="str">
        <v>0</v>
      </c>
      <c r="D7858" s="2"/>
      <c r="F7858" s="2" t="str">
        <v>0</v>
      </c>
      <c r="I7858" s="3" t="str">
        <f ca="1">IFERROR(__xludf.DUMMYFUNCTION("""COMPUTED_VALUE"""),"Dương Quốc Anh")</f>
        <v>Dương Quốc Anh</v>
      </c>
      <c r="J7858" s="3" t="str">
        <f ca="1">IFERROR(__xludf.DUMMYFUNCTION("""COMPUTED_VALUE"""),"0962663569")</f>
        <v>0962663569</v>
      </c>
      <c r="K7858" s="2" t="str">
        <f ca="1">IFERROR(__xludf.DUMMYFUNCTION("""COMPUTED_VALUE"""),"1759954544240")</f>
        <v>1759954544240</v>
      </c>
    </row>
    <row r="7859" spans="1:11" ht="12.45">
      <c r="A7859" s="2" t="str">
        <f ca="1">IFERROR(__xludf.DUMMYFUNCTION("""COMPUTED_VALUE"""),"1759954576417")</f>
        <v>1759954576417</v>
      </c>
      <c r="B7859" s="2"/>
      <c r="C7859" s="2" t="str">
        <v>0</v>
      </c>
      <c r="D7859" s="2"/>
      <c r="F7859" s="2" t="str">
        <v>0</v>
      </c>
      <c r="I7859" s="3" t="str">
        <f ca="1">IFERROR(__xludf.DUMMYFUNCTION("""COMPUTED_VALUE"""),"Nguyễn Thị Hà Chi")</f>
        <v>Nguyễn Thị Hà Chi</v>
      </c>
      <c r="J7859" s="3" t="str">
        <f ca="1">IFERROR(__xludf.DUMMYFUNCTION("""COMPUTED_VALUE"""),"0399327779")</f>
        <v>0399327779</v>
      </c>
      <c r="K7859" s="2" t="str">
        <f ca="1">IFERROR(__xludf.DUMMYFUNCTION("""COMPUTED_VALUE"""),"1759954576417")</f>
        <v>1759954576417</v>
      </c>
    </row>
    <row r="7860" spans="1:11" ht="12.45">
      <c r="A7860" s="2" t="str">
        <f ca="1">IFERROR(__xludf.DUMMYFUNCTION("""COMPUTED_VALUE"""),"1759954622175")</f>
        <v>1759954622175</v>
      </c>
      <c r="B7860" s="2"/>
      <c r="C7860" s="2" t="str">
        <v>0</v>
      </c>
      <c r="D7860" s="2"/>
      <c r="F7860" s="2" t="str">
        <v>0</v>
      </c>
      <c r="I7860" s="3" t="str">
        <f ca="1">IFERROR(__xludf.DUMMYFUNCTION("""COMPUTED_VALUE"""),"Đặng Thị Minh Tuyền")</f>
        <v>Đặng Thị Minh Tuyền</v>
      </c>
      <c r="J7860" s="3" t="str">
        <f ca="1">IFERROR(__xludf.DUMMYFUNCTION("""COMPUTED_VALUE"""),"0928822704")</f>
        <v>0928822704</v>
      </c>
      <c r="K7860" s="2" t="str">
        <f ca="1">IFERROR(__xludf.DUMMYFUNCTION("""COMPUTED_VALUE"""),"1759954622175")</f>
        <v>1759954622175</v>
      </c>
    </row>
    <row r="7861" spans="1:11" ht="12.45">
      <c r="A7861" s="2" t="str">
        <f ca="1">IFERROR(__xludf.DUMMYFUNCTION("""COMPUTED_VALUE"""),"1759954666685")</f>
        <v>1759954666685</v>
      </c>
      <c r="B7861" s="2"/>
      <c r="C7861" s="2" t="str">
        <v>0</v>
      </c>
      <c r="D7861" s="2"/>
      <c r="F7861" s="2" t="str">
        <v>0</v>
      </c>
      <c r="I7861" s="3" t="str">
        <f ca="1">IFERROR(__xludf.DUMMYFUNCTION("""COMPUTED_VALUE"""),"Ánh Dương")</f>
        <v>Ánh Dương</v>
      </c>
      <c r="J7861" s="3" t="str">
        <f ca="1">IFERROR(__xludf.DUMMYFUNCTION("""COMPUTED_VALUE"""),"0961343695")</f>
        <v>0961343695</v>
      </c>
      <c r="K7861" s="2" t="str">
        <f ca="1">IFERROR(__xludf.DUMMYFUNCTION("""COMPUTED_VALUE"""),"1759954666685")</f>
        <v>1759954666685</v>
      </c>
    </row>
    <row r="7862" spans="1:11" ht="12.45">
      <c r="A7862" s="2" t="str">
        <f ca="1">IFERROR(__xludf.DUMMYFUNCTION("""COMPUTED_VALUE"""),"1759954711918")</f>
        <v>1759954711918</v>
      </c>
      <c r="B7862" s="2"/>
      <c r="C7862" s="2" t="str">
        <v>0</v>
      </c>
      <c r="D7862" s="2"/>
      <c r="F7862" s="2" t="str">
        <v>0</v>
      </c>
      <c r="I7862" s="3" t="str">
        <f ca="1">IFERROR(__xludf.DUMMYFUNCTION("""COMPUTED_VALUE"""),"TRƯƠNG TUỆ BĂNG ")</f>
        <v xml:space="preserve">TRƯƠNG TUỆ BĂNG </v>
      </c>
      <c r="J7862" s="3" t="str">
        <f ca="1">IFERROR(__xludf.DUMMYFUNCTION("""COMPUTED_VALUE"""),"0373159667")</f>
        <v>0373159667</v>
      </c>
      <c r="K7862" s="2" t="str">
        <f ca="1">IFERROR(__xludf.DUMMYFUNCTION("""COMPUTED_VALUE"""),"1759954711918")</f>
        <v>1759954711918</v>
      </c>
    </row>
    <row r="7863" spans="1:11" ht="12.45">
      <c r="A7863" s="2" t="str">
        <f ca="1">IFERROR(__xludf.DUMMYFUNCTION("""COMPUTED_VALUE"""),"1759954782634")</f>
        <v>1759954782634</v>
      </c>
      <c r="B7863" s="2"/>
      <c r="C7863" s="2" t="str">
        <v>0</v>
      </c>
      <c r="D7863" s="2"/>
      <c r="F7863" s="2" t="str">
        <v>0</v>
      </c>
      <c r="I7863" s="3" t="str">
        <f ca="1">IFERROR(__xludf.DUMMYFUNCTION("""COMPUTED_VALUE"""),"Vũ Tiến Dũng")</f>
        <v>Vũ Tiến Dũng</v>
      </c>
      <c r="J7863" s="3" t="str">
        <f ca="1">IFERROR(__xludf.DUMMYFUNCTION("""COMPUTED_VALUE"""),"0932810607")</f>
        <v>0932810607</v>
      </c>
      <c r="K7863" s="2" t="str">
        <f ca="1">IFERROR(__xludf.DUMMYFUNCTION("""COMPUTED_VALUE"""),"1759954782634")</f>
        <v>1759954782634</v>
      </c>
    </row>
    <row r="7864" spans="1:11" ht="12.45">
      <c r="A7864" s="2" t="str">
        <f ca="1">IFERROR(__xludf.DUMMYFUNCTION("""COMPUTED_VALUE"""),"1759954827656")</f>
        <v>1759954827656</v>
      </c>
      <c r="B7864" s="2"/>
      <c r="C7864" s="2" t="str">
        <v>0</v>
      </c>
      <c r="D7864" s="2"/>
      <c r="F7864" s="2" t="str">
        <v>0</v>
      </c>
      <c r="I7864" s="3" t="str">
        <f ca="1">IFERROR(__xludf.DUMMYFUNCTION("""COMPUTED_VALUE"""),"lê chí triều")</f>
        <v>lê chí triều</v>
      </c>
      <c r="J7864" s="3" t="str">
        <f ca="1">IFERROR(__xludf.DUMMYFUNCTION("""COMPUTED_VALUE"""),"0388650227")</f>
        <v>0388650227</v>
      </c>
      <c r="K7864" s="2" t="str">
        <f ca="1">IFERROR(__xludf.DUMMYFUNCTION("""COMPUTED_VALUE"""),"1759954827656")</f>
        <v>1759954827656</v>
      </c>
    </row>
    <row r="7865" spans="1:11" ht="12.45">
      <c r="A7865" s="2" t="str">
        <f ca="1">IFERROR(__xludf.DUMMYFUNCTION("""COMPUTED_VALUE"""),"1759954863414")</f>
        <v>1759954863414</v>
      </c>
      <c r="B7865" s="2"/>
      <c r="C7865" s="2" t="str">
        <v>0</v>
      </c>
      <c r="D7865" s="2"/>
      <c r="F7865" s="2" t="str">
        <v>0</v>
      </c>
      <c r="I7865" s="3" t="str">
        <f ca="1">IFERROR(__xludf.DUMMYFUNCTION("""COMPUTED_VALUE"""),"Đỗ Châu Anh")</f>
        <v>Đỗ Châu Anh</v>
      </c>
      <c r="J7865" s="3" t="str">
        <f ca="1">IFERROR(__xludf.DUMMYFUNCTION("""COMPUTED_VALUE"""),"0567278227")</f>
        <v>0567278227</v>
      </c>
      <c r="K7865" s="2" t="str">
        <f ca="1">IFERROR(__xludf.DUMMYFUNCTION("""COMPUTED_VALUE"""),"1759954863414")</f>
        <v>1759954863414</v>
      </c>
    </row>
    <row r="7866" spans="1:11" ht="12.45">
      <c r="A7866" s="2" t="str">
        <f ca="1">IFERROR(__xludf.DUMMYFUNCTION("""COMPUTED_VALUE"""),"1759954898450")</f>
        <v>1759954898450</v>
      </c>
      <c r="B7866" s="2"/>
      <c r="C7866" s="2" t="str">
        <v>0</v>
      </c>
      <c r="D7866" s="2"/>
      <c r="F7866" s="2" t="str">
        <v>0</v>
      </c>
      <c r="I7866" s="3" t="str">
        <f ca="1">IFERROR(__xludf.DUMMYFUNCTION("""COMPUTED_VALUE"""),"Lê Đắc Nguyên Minh")</f>
        <v>Lê Đắc Nguyên Minh</v>
      </c>
      <c r="J7866" s="3" t="str">
        <f ca="1">IFERROR(__xludf.DUMMYFUNCTION("""COMPUTED_VALUE"""),"0367506414")</f>
        <v>0367506414</v>
      </c>
      <c r="K7866" s="2" t="str">
        <f ca="1">IFERROR(__xludf.DUMMYFUNCTION("""COMPUTED_VALUE"""),"1759954898450")</f>
        <v>1759954898450</v>
      </c>
    </row>
    <row r="7867" spans="1:11" ht="12.45">
      <c r="A7867" s="2" t="str">
        <f ca="1">IFERROR(__xludf.DUMMYFUNCTION("""COMPUTED_VALUE"""),"1759954941216")</f>
        <v>1759954941216</v>
      </c>
      <c r="B7867" s="2"/>
      <c r="C7867" s="2" t="str">
        <v>0</v>
      </c>
      <c r="D7867" s="2"/>
      <c r="F7867" s="2" t="str">
        <v>0</v>
      </c>
      <c r="I7867" s="3" t="str">
        <f ca="1">IFERROR(__xludf.DUMMYFUNCTION("""COMPUTED_VALUE"""),"Cư Thị Lan")</f>
        <v>Cư Thị Lan</v>
      </c>
      <c r="J7867" s="3" t="str">
        <f ca="1">IFERROR(__xludf.DUMMYFUNCTION("""COMPUTED_VALUE"""),"0965342154")</f>
        <v>0965342154</v>
      </c>
      <c r="K7867" s="2" t="str">
        <f ca="1">IFERROR(__xludf.DUMMYFUNCTION("""COMPUTED_VALUE"""),"1759954941216")</f>
        <v>1759954941216</v>
      </c>
    </row>
    <row r="7868" spans="1:11" ht="12.45">
      <c r="A7868" s="2" t="str">
        <f ca="1">IFERROR(__xludf.DUMMYFUNCTION("""COMPUTED_VALUE"""),"1759954980789")</f>
        <v>1759954980789</v>
      </c>
      <c r="B7868" s="2"/>
      <c r="C7868" s="2" t="str">
        <v>0</v>
      </c>
      <c r="D7868" s="2"/>
      <c r="F7868" s="2" t="str">
        <v>0</v>
      </c>
      <c r="I7868" s="3" t="str">
        <f ca="1">IFERROR(__xludf.DUMMYFUNCTION("""COMPUTED_VALUE"""),"Lê Thanh Thảo")</f>
        <v>Lê Thanh Thảo</v>
      </c>
      <c r="J7868" s="3" t="str">
        <f ca="1">IFERROR(__xludf.DUMMYFUNCTION("""COMPUTED_VALUE"""),"0965987940")</f>
        <v>0965987940</v>
      </c>
      <c r="K7868" s="2" t="str">
        <f ca="1">IFERROR(__xludf.DUMMYFUNCTION("""COMPUTED_VALUE"""),"1759954980789")</f>
        <v>1759954980789</v>
      </c>
    </row>
    <row r="7869" spans="1:11" ht="12.45">
      <c r="A7869" s="2" t="str">
        <f ca="1">IFERROR(__xludf.DUMMYFUNCTION("""COMPUTED_VALUE"""),"1759955019986")</f>
        <v>1759955019986</v>
      </c>
      <c r="B7869" s="2"/>
      <c r="C7869" s="2" t="str">
        <v>0</v>
      </c>
      <c r="D7869" s="2"/>
      <c r="F7869" s="2" t="str">
        <v>0</v>
      </c>
      <c r="I7869" s="3" t="str">
        <f ca="1">IFERROR(__xludf.DUMMYFUNCTION("""COMPUTED_VALUE"""),"H ngân ")</f>
        <v xml:space="preserve">H ngân </v>
      </c>
      <c r="J7869" s="3" t="str">
        <f ca="1">IFERROR(__xludf.DUMMYFUNCTION("""COMPUTED_VALUE"""),"0935989860")</f>
        <v>0935989860</v>
      </c>
      <c r="K7869" s="2" t="str">
        <f ca="1">IFERROR(__xludf.DUMMYFUNCTION("""COMPUTED_VALUE"""),"1759955019986")</f>
        <v>1759955019986</v>
      </c>
    </row>
    <row r="7870" spans="1:11" ht="12.45">
      <c r="A7870" s="2" t="str">
        <f ca="1">IFERROR(__xludf.DUMMYFUNCTION("""COMPUTED_VALUE"""),"1759955079416")</f>
        <v>1759955079416</v>
      </c>
      <c r="B7870" s="2"/>
      <c r="C7870" s="2" t="str">
        <v>0</v>
      </c>
      <c r="D7870" s="2"/>
      <c r="F7870" s="2" t="str">
        <v>0</v>
      </c>
      <c r="I7870" s="3" t="str">
        <f ca="1">IFERROR(__xludf.DUMMYFUNCTION("""COMPUTED_VALUE"""),"Lý Phương Thuỳ")</f>
        <v>Lý Phương Thuỳ</v>
      </c>
      <c r="J7870" s="3" t="str">
        <f ca="1">IFERROR(__xludf.DUMMYFUNCTION("""COMPUTED_VALUE"""),"0333328225")</f>
        <v>0333328225</v>
      </c>
      <c r="K7870" s="2" t="str">
        <f ca="1">IFERROR(__xludf.DUMMYFUNCTION("""COMPUTED_VALUE"""),"1759955079416")</f>
        <v>1759955079416</v>
      </c>
    </row>
    <row r="7871" spans="1:11" ht="12.45">
      <c r="A7871" s="2" t="str">
        <f ca="1">IFERROR(__xludf.DUMMYFUNCTION("""COMPUTED_VALUE"""),"1759955115648")</f>
        <v>1759955115648</v>
      </c>
      <c r="B7871" s="2"/>
      <c r="C7871" s="2" t="str">
        <v>0</v>
      </c>
      <c r="D7871" s="2"/>
      <c r="F7871" s="2" t="str">
        <v>0</v>
      </c>
      <c r="I7871" s="3" t="str">
        <f ca="1">IFERROR(__xludf.DUMMYFUNCTION("""COMPUTED_VALUE"""),"Phạm Mai Quỳnh")</f>
        <v>Phạm Mai Quỳnh</v>
      </c>
      <c r="J7871" s="3" t="str">
        <f ca="1">IFERROR(__xludf.DUMMYFUNCTION("""COMPUTED_VALUE"""),"0813763729")</f>
        <v>0813763729</v>
      </c>
      <c r="K7871" s="2" t="str">
        <f ca="1">IFERROR(__xludf.DUMMYFUNCTION("""COMPUTED_VALUE"""),"1759955115648")</f>
        <v>1759955115648</v>
      </c>
    </row>
    <row r="7872" spans="1:11" ht="12.45">
      <c r="A7872" s="2"/>
      <c r="B7872" s="2"/>
      <c r="C7872" s="2" t="str">
        <v>0</v>
      </c>
      <c r="D7872" s="2"/>
      <c r="F7872" s="2" t="str">
        <v>0</v>
      </c>
      <c r="I7872" s="3" t="str">
        <f ca="1">IFERROR(__xludf.DUMMYFUNCTION("""COMPUTED_VALUE"""),"Nguyễn Thị Ngọc")</f>
        <v>Nguyễn Thị Ngọc</v>
      </c>
      <c r="J7872" s="3" t="str">
        <f ca="1">IFERROR(__xludf.DUMMYFUNCTION("""COMPUTED_VALUE"""),"0327686847")</f>
        <v>0327686847</v>
      </c>
      <c r="K7872" s="2"/>
    </row>
    <row r="7873" spans="1:11" ht="12.45">
      <c r="A7873" s="2" t="str">
        <f ca="1">IFERROR(__xludf.DUMMYFUNCTION("""COMPUTED_VALUE"""),"1759955155554")</f>
        <v>1759955155554</v>
      </c>
      <c r="B7873" s="2"/>
      <c r="C7873" s="2" t="str">
        <v>0</v>
      </c>
      <c r="D7873" s="2"/>
      <c r="F7873" s="2" t="str">
        <v>0</v>
      </c>
      <c r="I7873" s="3" t="str">
        <f ca="1">IFERROR(__xludf.DUMMYFUNCTION("""COMPUTED_VALUE"""),"MA THỊ MAI LAN")</f>
        <v>MA THỊ MAI LAN</v>
      </c>
      <c r="J7873" s="3" t="str">
        <f ca="1">IFERROR(__xludf.DUMMYFUNCTION("""COMPUTED_VALUE"""),"0374699601")</f>
        <v>0374699601</v>
      </c>
      <c r="K7873" s="2" t="str">
        <f ca="1">IFERROR(__xludf.DUMMYFUNCTION("""COMPUTED_VALUE"""),"1759955155554")</f>
        <v>1759955155554</v>
      </c>
    </row>
    <row r="7874" spans="1:11" ht="12.45">
      <c r="A7874" s="2" t="str">
        <f ca="1">IFERROR(__xludf.DUMMYFUNCTION("""COMPUTED_VALUE"""),"1759955202005")</f>
        <v>1759955202005</v>
      </c>
      <c r="B7874" s="2"/>
      <c r="C7874" s="2" t="str">
        <v>0</v>
      </c>
      <c r="D7874" s="2"/>
      <c r="F7874" s="2" t="str">
        <v>0</v>
      </c>
      <c r="I7874" s="3" t="str">
        <f ca="1">IFERROR(__xludf.DUMMYFUNCTION("""COMPUTED_VALUE"""),"Trần Bảo Ngọc")</f>
        <v>Trần Bảo Ngọc</v>
      </c>
      <c r="J7874" s="3" t="str">
        <f ca="1">IFERROR(__xludf.DUMMYFUNCTION("""COMPUTED_VALUE"""),"0947005207")</f>
        <v>0947005207</v>
      </c>
      <c r="K7874" s="2" t="str">
        <f ca="1">IFERROR(__xludf.DUMMYFUNCTION("""COMPUTED_VALUE"""),"1759955202005")</f>
        <v>1759955202005</v>
      </c>
    </row>
    <row r="7875" spans="1:11" ht="12.45">
      <c r="A7875" s="2" t="str">
        <f ca="1">IFERROR(__xludf.DUMMYFUNCTION("""COMPUTED_VALUE"""),"1759955236466")</f>
        <v>1759955236466</v>
      </c>
      <c r="B7875" s="2"/>
      <c r="C7875" s="2" t="str">
        <v>0</v>
      </c>
      <c r="D7875" s="2"/>
      <c r="F7875" s="2" t="str">
        <v>0</v>
      </c>
      <c r="I7875" s="3" t="str">
        <f ca="1">IFERROR(__xludf.DUMMYFUNCTION("""COMPUTED_VALUE"""),"Lê Trúc Linh")</f>
        <v>Lê Trúc Linh</v>
      </c>
      <c r="J7875" s="3" t="str">
        <f ca="1">IFERROR(__xludf.DUMMYFUNCTION("""COMPUTED_VALUE"""),"0936076777")</f>
        <v>0936076777</v>
      </c>
      <c r="K7875" s="2" t="str">
        <f ca="1">IFERROR(__xludf.DUMMYFUNCTION("""COMPUTED_VALUE"""),"1759955236466")</f>
        <v>1759955236466</v>
      </c>
    </row>
    <row r="7876" spans="1:11" ht="12.45">
      <c r="A7876" s="2" t="str">
        <f ca="1">IFERROR(__xludf.DUMMYFUNCTION("""COMPUTED_VALUE"""),"1759955273251")</f>
        <v>1759955273251</v>
      </c>
      <c r="B7876" s="2"/>
      <c r="C7876" s="2" t="str">
        <v>0</v>
      </c>
      <c r="D7876" s="2"/>
      <c r="F7876" s="2" t="str">
        <v>0</v>
      </c>
      <c r="I7876" s="3" t="str">
        <f ca="1">IFERROR(__xludf.DUMMYFUNCTION("""COMPUTED_VALUE"""),"Phạm Bảo Trâm")</f>
        <v>Phạm Bảo Trâm</v>
      </c>
      <c r="J7876" s="3" t="str">
        <f ca="1">IFERROR(__xludf.DUMMYFUNCTION("""COMPUTED_VALUE"""),"0975689926")</f>
        <v>0975689926</v>
      </c>
      <c r="K7876" s="2" t="str">
        <f ca="1">IFERROR(__xludf.DUMMYFUNCTION("""COMPUTED_VALUE"""),"1759955273251")</f>
        <v>1759955273251</v>
      </c>
    </row>
    <row r="7877" spans="1:11" ht="12.45">
      <c r="A7877" s="2" t="str">
        <f ca="1">IFERROR(__xludf.DUMMYFUNCTION("""COMPUTED_VALUE"""),"1759955313233")</f>
        <v>1759955313233</v>
      </c>
      <c r="B7877" s="2"/>
      <c r="C7877" s="2" t="str">
        <v>0</v>
      </c>
      <c r="D7877" s="2"/>
      <c r="F7877" s="2" t="str">
        <v>0</v>
      </c>
      <c r="I7877" s="3" t="str">
        <f ca="1">IFERROR(__xludf.DUMMYFUNCTION("""COMPUTED_VALUE"""),"Phạm Nguyễn Đức Mạnh")</f>
        <v>Phạm Nguyễn Đức Mạnh</v>
      </c>
      <c r="J7877" s="3" t="str">
        <f ca="1">IFERROR(__xludf.DUMMYFUNCTION("""COMPUTED_VALUE"""),"0397618156")</f>
        <v>0397618156</v>
      </c>
      <c r="K7877" s="2" t="str">
        <f ca="1">IFERROR(__xludf.DUMMYFUNCTION("""COMPUTED_VALUE"""),"1759955313233")</f>
        <v>1759955313233</v>
      </c>
    </row>
    <row r="7878" spans="1:11" ht="12.45">
      <c r="A7878" s="2" t="str">
        <f ca="1">IFERROR(__xludf.DUMMYFUNCTION("""COMPUTED_VALUE"""),"1759955382958")</f>
        <v>1759955382958</v>
      </c>
      <c r="B7878" s="2"/>
      <c r="C7878" s="2" t="str">
        <v>0</v>
      </c>
      <c r="D7878" s="2"/>
      <c r="F7878" s="2" t="str">
        <v>0</v>
      </c>
      <c r="I7878" s="3" t="str">
        <f ca="1">IFERROR(__xludf.DUMMYFUNCTION("""COMPUTED_VALUE"""),"Đồng Thu Hà ")</f>
        <v xml:space="preserve">Đồng Thu Hà </v>
      </c>
      <c r="J7878" s="3" t="str">
        <f ca="1">IFERROR(__xludf.DUMMYFUNCTION("""COMPUTED_VALUE"""),"0825185007")</f>
        <v>0825185007</v>
      </c>
      <c r="K7878" s="2" t="str">
        <f ca="1">IFERROR(__xludf.DUMMYFUNCTION("""COMPUTED_VALUE"""),"1759955382958")</f>
        <v>1759955382958</v>
      </c>
    </row>
    <row r="7879" spans="1:11" ht="12.45">
      <c r="A7879" s="2" t="str">
        <f ca="1">IFERROR(__xludf.DUMMYFUNCTION("""COMPUTED_VALUE"""),"1759955434868")</f>
        <v>1759955434868</v>
      </c>
      <c r="B7879" s="2"/>
      <c r="C7879" s="2" t="str">
        <v>0</v>
      </c>
      <c r="D7879" s="2"/>
      <c r="F7879" s="2" t="str">
        <v>0</v>
      </c>
      <c r="I7879" s="3" t="str">
        <f ca="1">IFERROR(__xludf.DUMMYFUNCTION("""COMPUTED_VALUE"""),"Phương Thảo")</f>
        <v>Phương Thảo</v>
      </c>
      <c r="J7879" s="3" t="str">
        <f ca="1">IFERROR(__xludf.DUMMYFUNCTION("""COMPUTED_VALUE"""),"0377213712")</f>
        <v>0377213712</v>
      </c>
      <c r="K7879" s="2" t="str">
        <f ca="1">IFERROR(__xludf.DUMMYFUNCTION("""COMPUTED_VALUE"""),"1759955434868")</f>
        <v>1759955434868</v>
      </c>
    </row>
    <row r="7880" spans="1:11" ht="12.45">
      <c r="A7880" s="2"/>
      <c r="B7880" s="2"/>
      <c r="C7880" s="2" t="str">
        <v>0</v>
      </c>
      <c r="D7880" s="2"/>
      <c r="F7880" s="2" t="str">
        <v>0</v>
      </c>
      <c r="I7880" s="3" t="str">
        <f ca="1">IFERROR(__xludf.DUMMYFUNCTION("""COMPUTED_VALUE"""),"Nguyễn Thị Thanh Lê")</f>
        <v>Nguyễn Thị Thanh Lê</v>
      </c>
      <c r="J7880" s="3" t="str">
        <f ca="1">IFERROR(__xludf.DUMMYFUNCTION("""COMPUTED_VALUE"""),"0377235127")</f>
        <v>0377235127</v>
      </c>
      <c r="K7880" s="2"/>
    </row>
    <row r="7881" spans="1:11" ht="12.45">
      <c r="A7881" s="2" t="str">
        <f ca="1">IFERROR(__xludf.DUMMYFUNCTION("""COMPUTED_VALUE"""),"1759955479042")</f>
        <v>1759955479042</v>
      </c>
      <c r="B7881" s="2"/>
      <c r="C7881" s="2" t="str">
        <v>0</v>
      </c>
      <c r="D7881" s="2"/>
      <c r="F7881" s="2" t="str">
        <v>0</v>
      </c>
      <c r="I7881" s="3" t="str">
        <f ca="1">IFERROR(__xludf.DUMMYFUNCTION("""COMPUTED_VALUE"""),"Trần Thị Mỹ Duyên")</f>
        <v>Trần Thị Mỹ Duyên</v>
      </c>
      <c r="J7881" s="3" t="str">
        <f ca="1">IFERROR(__xludf.DUMMYFUNCTION("""COMPUTED_VALUE"""),"0971553360")</f>
        <v>0971553360</v>
      </c>
      <c r="K7881" s="2" t="str">
        <f ca="1">IFERROR(__xludf.DUMMYFUNCTION("""COMPUTED_VALUE"""),"1759955479042")</f>
        <v>1759955479042</v>
      </c>
    </row>
    <row r="7882" spans="1:11" ht="12.45">
      <c r="A7882" s="2" t="str">
        <f ca="1">IFERROR(__xludf.DUMMYFUNCTION("""COMPUTED_VALUE"""),"1759955518307")</f>
        <v>1759955518307</v>
      </c>
      <c r="B7882" s="2"/>
      <c r="C7882" s="2" t="str">
        <v>0</v>
      </c>
      <c r="D7882" s="2"/>
      <c r="F7882" s="2" t="str">
        <v>0</v>
      </c>
      <c r="I7882" s="3" t="str">
        <f ca="1">IFERROR(__xludf.DUMMYFUNCTION("""COMPUTED_VALUE"""),"Trần Mai Linh")</f>
        <v>Trần Mai Linh</v>
      </c>
      <c r="J7882" s="3" t="str">
        <f ca="1">IFERROR(__xludf.DUMMYFUNCTION("""COMPUTED_VALUE"""),"0913645006")</f>
        <v>0913645006</v>
      </c>
      <c r="K7882" s="2" t="str">
        <f ca="1">IFERROR(__xludf.DUMMYFUNCTION("""COMPUTED_VALUE"""),"1759955518307")</f>
        <v>1759955518307</v>
      </c>
    </row>
    <row r="7883" spans="1:11" ht="12.45">
      <c r="A7883" s="2" t="str">
        <f ca="1">IFERROR(__xludf.DUMMYFUNCTION("""COMPUTED_VALUE"""),"1759955558047")</f>
        <v>1759955558047</v>
      </c>
      <c r="B7883" s="2"/>
      <c r="C7883" s="2" t="str">
        <v>0</v>
      </c>
      <c r="D7883" s="2"/>
      <c r="F7883" s="2" t="str">
        <v>0</v>
      </c>
      <c r="I7883" s="3" t="str">
        <f ca="1">IFERROR(__xludf.DUMMYFUNCTION("""COMPUTED_VALUE"""),"Danh Hoàng Huynh ")</f>
        <v xml:space="preserve">Danh Hoàng Huynh </v>
      </c>
      <c r="J7883" s="3" t="str">
        <f ca="1">IFERROR(__xludf.DUMMYFUNCTION("""COMPUTED_VALUE"""),"0326296574")</f>
        <v>0326296574</v>
      </c>
      <c r="K7883" s="2" t="str">
        <f ca="1">IFERROR(__xludf.DUMMYFUNCTION("""COMPUTED_VALUE"""),"1759955558047")</f>
        <v>1759955558047</v>
      </c>
    </row>
    <row r="7884" spans="1:11" ht="12.45">
      <c r="A7884" s="2" t="str">
        <f ca="1">IFERROR(__xludf.DUMMYFUNCTION("""COMPUTED_VALUE"""),"1759955592825")</f>
        <v>1759955592825</v>
      </c>
      <c r="B7884" s="2"/>
      <c r="C7884" s="2" t="str">
        <v>0</v>
      </c>
      <c r="D7884" s="2"/>
      <c r="F7884" s="2" t="str">
        <v>0</v>
      </c>
      <c r="I7884" s="3" t="str">
        <f ca="1">IFERROR(__xludf.DUMMYFUNCTION("""COMPUTED_VALUE"""),"Nguyễn Minh Quân")</f>
        <v>Nguyễn Minh Quân</v>
      </c>
      <c r="J7884" s="3" t="str">
        <f ca="1">IFERROR(__xludf.DUMMYFUNCTION("""COMPUTED_VALUE"""),"0366222406")</f>
        <v>0366222406</v>
      </c>
      <c r="K7884" s="2" t="str">
        <f ca="1">IFERROR(__xludf.DUMMYFUNCTION("""COMPUTED_VALUE"""),"1759955592825")</f>
        <v>1759955592825</v>
      </c>
    </row>
    <row r="7885" spans="1:11" ht="12.45">
      <c r="A7885" s="2" t="str">
        <f ca="1">IFERROR(__xludf.DUMMYFUNCTION("""COMPUTED_VALUE"""),"1759955629062")</f>
        <v>1759955629062</v>
      </c>
      <c r="B7885" s="2"/>
      <c r="C7885" s="2" t="str">
        <v>0</v>
      </c>
      <c r="D7885" s="2"/>
      <c r="F7885" s="2" t="str">
        <v>0</v>
      </c>
      <c r="I7885" s="3" t="str">
        <f ca="1">IFERROR(__xludf.DUMMYFUNCTION("""COMPUTED_VALUE"""),"Nguyễn Khánh Ly")</f>
        <v>Nguyễn Khánh Ly</v>
      </c>
      <c r="J7885" s="3" t="str">
        <f ca="1">IFERROR(__xludf.DUMMYFUNCTION("""COMPUTED_VALUE"""),"0358950747")</f>
        <v>0358950747</v>
      </c>
      <c r="K7885" s="2" t="str">
        <f ca="1">IFERROR(__xludf.DUMMYFUNCTION("""COMPUTED_VALUE"""),"1759955629062")</f>
        <v>1759955629062</v>
      </c>
    </row>
    <row r="7886" spans="1:11" ht="12.45">
      <c r="A7886" s="2" t="str">
        <f ca="1">IFERROR(__xludf.DUMMYFUNCTION("""COMPUTED_VALUE"""),"1759955670924")</f>
        <v>1759955670924</v>
      </c>
      <c r="B7886" s="2"/>
      <c r="C7886" s="2" t="str">
        <v>0</v>
      </c>
      <c r="D7886" s="2"/>
      <c r="F7886" s="2" t="str">
        <v>0</v>
      </c>
      <c r="I7886" s="3" t="str">
        <f ca="1">IFERROR(__xludf.DUMMYFUNCTION("""COMPUTED_VALUE"""),"Bùi Thị Phượng")</f>
        <v>Bùi Thị Phượng</v>
      </c>
      <c r="J7886" s="3" t="str">
        <f ca="1">IFERROR(__xludf.DUMMYFUNCTION("""COMPUTED_VALUE"""),"0373848690")</f>
        <v>0373848690</v>
      </c>
      <c r="K7886" s="2" t="str">
        <f ca="1">IFERROR(__xludf.DUMMYFUNCTION("""COMPUTED_VALUE"""),"1759955670924")</f>
        <v>1759955670924</v>
      </c>
    </row>
    <row r="7887" spans="1:11" ht="12.45">
      <c r="A7887" s="2" t="str">
        <f ca="1">IFERROR(__xludf.DUMMYFUNCTION("""COMPUTED_VALUE"""),"1759955704548")</f>
        <v>1759955704548</v>
      </c>
      <c r="B7887" s="2"/>
      <c r="C7887" s="2" t="str">
        <v>0</v>
      </c>
      <c r="D7887" s="2"/>
      <c r="F7887" s="2" t="str">
        <v>0</v>
      </c>
      <c r="I7887" s="3" t="str">
        <f ca="1">IFERROR(__xludf.DUMMYFUNCTION("""COMPUTED_VALUE"""),"Trần trần")</f>
        <v>Trần trần</v>
      </c>
      <c r="J7887" s="3" t="str">
        <f ca="1">IFERROR(__xludf.DUMMYFUNCTION("""COMPUTED_VALUE"""),"0865069958")</f>
        <v>0865069958</v>
      </c>
      <c r="K7887" s="2" t="str">
        <f ca="1">IFERROR(__xludf.DUMMYFUNCTION("""COMPUTED_VALUE"""),"1759955704548")</f>
        <v>1759955704548</v>
      </c>
    </row>
    <row r="7888" spans="1:11" ht="12.45">
      <c r="A7888" s="2"/>
      <c r="B7888" s="2"/>
      <c r="C7888" s="2" t="str">
        <v>0</v>
      </c>
      <c r="D7888" s="2"/>
      <c r="F7888" s="2" t="str">
        <v>0</v>
      </c>
      <c r="I7888" s="3" t="str">
        <f ca="1">IFERROR(__xludf.DUMMYFUNCTION("""COMPUTED_VALUE"""),"Đoàn Thị Kim Dung ")</f>
        <v xml:space="preserve">Đoàn Thị Kim Dung </v>
      </c>
      <c r="J7888" s="3" t="str">
        <f ca="1">IFERROR(__xludf.DUMMYFUNCTION("""COMPUTED_VALUE"""),"0394211923")</f>
        <v>0394211923</v>
      </c>
      <c r="K7888" s="2"/>
    </row>
    <row r="7889" spans="1:11" ht="12.45">
      <c r="A7889" s="2"/>
      <c r="B7889" s="2"/>
      <c r="C7889" s="2" t="str">
        <v>0</v>
      </c>
      <c r="D7889" s="2"/>
      <c r="F7889" s="2" t="str">
        <v>0</v>
      </c>
      <c r="I7889" s="3" t="str">
        <f ca="1">IFERROR(__xludf.DUMMYFUNCTION("""COMPUTED_VALUE"""),"Đào Phương Mai")</f>
        <v>Đào Phương Mai</v>
      </c>
      <c r="J7889" s="3" t="str">
        <f ca="1">IFERROR(__xludf.DUMMYFUNCTION("""COMPUTED_VALUE"""),"0814366398")</f>
        <v>0814366398</v>
      </c>
      <c r="K7889" s="2"/>
    </row>
    <row r="7890" spans="1:11" ht="12.45">
      <c r="A7890" s="2" t="str">
        <f ca="1">IFERROR(__xludf.DUMMYFUNCTION("""COMPUTED_VALUE"""),"1759955738398")</f>
        <v>1759955738398</v>
      </c>
      <c r="B7890" s="2"/>
      <c r="C7890" s="2" t="str">
        <v>0</v>
      </c>
      <c r="D7890" s="2"/>
      <c r="F7890" s="2" t="str">
        <v>0</v>
      </c>
      <c r="I7890" s="3" t="str">
        <f ca="1">IFERROR(__xludf.DUMMYFUNCTION("""COMPUTED_VALUE"""),"Trần Hiền Phương")</f>
        <v>Trần Hiền Phương</v>
      </c>
      <c r="J7890" s="3" t="str">
        <f ca="1">IFERROR(__xludf.DUMMYFUNCTION("""COMPUTED_VALUE"""),"0769612910")</f>
        <v>0769612910</v>
      </c>
      <c r="K7890" s="2" t="str">
        <f ca="1">IFERROR(__xludf.DUMMYFUNCTION("""COMPUTED_VALUE"""),"1759955738398")</f>
        <v>1759955738398</v>
      </c>
    </row>
    <row r="7891" spans="1:11" ht="12.45">
      <c r="A7891" s="2" t="str">
        <f ca="1">IFERROR(__xludf.DUMMYFUNCTION("""COMPUTED_VALUE"""),"1759955798689")</f>
        <v>1759955798689</v>
      </c>
      <c r="B7891" s="2"/>
      <c r="C7891" s="2" t="str">
        <v>0</v>
      </c>
      <c r="D7891" s="2"/>
      <c r="F7891" s="2" t="str">
        <v>0</v>
      </c>
      <c r="I7891" s="3" t="str">
        <f ca="1">IFERROR(__xludf.DUMMYFUNCTION("""COMPUTED_VALUE"""),"Lâm Minh Phát ")</f>
        <v xml:space="preserve">Lâm Minh Phát </v>
      </c>
      <c r="J7891" s="3" t="str">
        <f ca="1">IFERROR(__xludf.DUMMYFUNCTION("""COMPUTED_VALUE"""),"0326882510")</f>
        <v>0326882510</v>
      </c>
      <c r="K7891" s="2" t="str">
        <f ca="1">IFERROR(__xludf.DUMMYFUNCTION("""COMPUTED_VALUE"""),"1759955798689")</f>
        <v>1759955798689</v>
      </c>
    </row>
    <row r="7892" spans="1:11" ht="12.45">
      <c r="A7892" s="2" t="str">
        <f ca="1">IFERROR(__xludf.DUMMYFUNCTION("""COMPUTED_VALUE"""),"1759955844015")</f>
        <v>1759955844015</v>
      </c>
      <c r="B7892" s="2"/>
      <c r="C7892" s="2" t="str">
        <v>0</v>
      </c>
      <c r="D7892" s="2"/>
      <c r="F7892" s="2" t="str">
        <v>0</v>
      </c>
      <c r="I7892" s="3" t="str">
        <f ca="1">IFERROR(__xludf.DUMMYFUNCTION("""COMPUTED_VALUE"""),"Lê Nguyễn Nhật Minh ")</f>
        <v xml:space="preserve">Lê Nguyễn Nhật Minh </v>
      </c>
      <c r="J7892" s="3" t="str">
        <f ca="1">IFERROR(__xludf.DUMMYFUNCTION("""COMPUTED_VALUE"""),"0837601080")</f>
        <v>0837601080</v>
      </c>
      <c r="K7892" s="2" t="str">
        <f ca="1">IFERROR(__xludf.DUMMYFUNCTION("""COMPUTED_VALUE"""),"1759955844015")</f>
        <v>1759955844015</v>
      </c>
    </row>
    <row r="7893" spans="1:11" ht="12.45">
      <c r="A7893" s="2" t="str">
        <f ca="1">IFERROR(__xludf.DUMMYFUNCTION("""COMPUTED_VALUE"""),"1759955875308")</f>
        <v>1759955875308</v>
      </c>
      <c r="B7893" s="2"/>
      <c r="C7893" s="2" t="str">
        <v>0</v>
      </c>
      <c r="D7893" s="2"/>
      <c r="F7893" s="2" t="str">
        <v>0</v>
      </c>
      <c r="I7893" s="3" t="str">
        <f ca="1">IFERROR(__xludf.DUMMYFUNCTION("""COMPUTED_VALUE"""),"TRẦN NGUYỄN NHƯ Ý")</f>
        <v>TRẦN NGUYỄN NHƯ Ý</v>
      </c>
      <c r="J7893" s="3" t="str">
        <f ca="1">IFERROR(__xludf.DUMMYFUNCTION("""COMPUTED_VALUE"""),"0948122565")</f>
        <v>0948122565</v>
      </c>
      <c r="K7893" s="2" t="str">
        <f ca="1">IFERROR(__xludf.DUMMYFUNCTION("""COMPUTED_VALUE"""),"1759955875308")</f>
        <v>1759955875308</v>
      </c>
    </row>
    <row r="7894" spans="1:11" ht="12.45">
      <c r="A7894" s="2" t="str">
        <f ca="1">IFERROR(__xludf.DUMMYFUNCTION("""COMPUTED_VALUE"""),"1759955911847")</f>
        <v>1759955911847</v>
      </c>
      <c r="B7894" s="2"/>
      <c r="C7894" s="2" t="str">
        <v>0</v>
      </c>
      <c r="D7894" s="2"/>
      <c r="F7894" s="2" t="str">
        <v>0</v>
      </c>
      <c r="I7894" s="3" t="str">
        <f ca="1">IFERROR(__xludf.DUMMYFUNCTION("""COMPUTED_VALUE"""),"Trần Thảo Nguyên")</f>
        <v>Trần Thảo Nguyên</v>
      </c>
      <c r="J7894" s="3" t="str">
        <f ca="1">IFERROR(__xludf.DUMMYFUNCTION("""COMPUTED_VALUE"""),"0909236319")</f>
        <v>0909236319</v>
      </c>
      <c r="K7894" s="2" t="str">
        <f ca="1">IFERROR(__xludf.DUMMYFUNCTION("""COMPUTED_VALUE"""),"1759955911847")</f>
        <v>1759955911847</v>
      </c>
    </row>
    <row r="7895" spans="1:11" ht="12.45">
      <c r="A7895" s="2" t="str">
        <f ca="1">IFERROR(__xludf.DUMMYFUNCTION("""COMPUTED_VALUE"""),"1759955950841")</f>
        <v>1759955950841</v>
      </c>
      <c r="B7895" s="2"/>
      <c r="C7895" s="2" t="str">
        <v>0</v>
      </c>
      <c r="D7895" s="2"/>
      <c r="F7895" s="2" t="str">
        <v>0</v>
      </c>
      <c r="I7895" s="3" t="str">
        <f ca="1">IFERROR(__xludf.DUMMYFUNCTION("""COMPUTED_VALUE"""),"Nguyễn Ngọc Khuê")</f>
        <v>Nguyễn Ngọc Khuê</v>
      </c>
      <c r="J7895" s="3" t="str">
        <f ca="1">IFERROR(__xludf.DUMMYFUNCTION("""COMPUTED_VALUE"""),"0983021480")</f>
        <v>0983021480</v>
      </c>
      <c r="K7895" s="2" t="str">
        <f ca="1">IFERROR(__xludf.DUMMYFUNCTION("""COMPUTED_VALUE"""),"1759955950841")</f>
        <v>1759955950841</v>
      </c>
    </row>
    <row r="7896" spans="1:11" ht="12.45">
      <c r="A7896" s="2" t="str">
        <f ca="1">IFERROR(__xludf.DUMMYFUNCTION("""COMPUTED_VALUE"""),"1759955988876")</f>
        <v>1759955988876</v>
      </c>
      <c r="B7896" s="2"/>
      <c r="C7896" s="2" t="str">
        <v>0</v>
      </c>
      <c r="D7896" s="2"/>
      <c r="F7896" s="2" t="str">
        <v>0</v>
      </c>
      <c r="I7896" s="3" t="str">
        <f ca="1">IFERROR(__xludf.DUMMYFUNCTION("""COMPUTED_VALUE"""),"Lê Thị Quỳnh hương ")</f>
        <v xml:space="preserve">Lê Thị Quỳnh hương </v>
      </c>
      <c r="J7896" s="3" t="str">
        <f ca="1">IFERROR(__xludf.DUMMYFUNCTION("""COMPUTED_VALUE"""),"0867840637")</f>
        <v>0867840637</v>
      </c>
      <c r="K7896" s="2" t="str">
        <f ca="1">IFERROR(__xludf.DUMMYFUNCTION("""COMPUTED_VALUE"""),"1759955988876")</f>
        <v>1759955988876</v>
      </c>
    </row>
    <row r="7897" spans="1:11" ht="12.45">
      <c r="A7897" s="2"/>
      <c r="B7897" s="2"/>
      <c r="C7897" s="2" t="str">
        <v>0</v>
      </c>
      <c r="D7897" s="2"/>
      <c r="F7897" s="2" t="str">
        <v>0</v>
      </c>
      <c r="I7897" s="3" t="str">
        <f ca="1">IFERROR(__xludf.DUMMYFUNCTION("""COMPUTED_VALUE"""),"Mai Nguyễn Phương Thảo")</f>
        <v>Mai Nguyễn Phương Thảo</v>
      </c>
      <c r="J7897" s="3" t="str">
        <f ca="1">IFERROR(__xludf.DUMMYFUNCTION("""COMPUTED_VALUE"""),"0345074718")</f>
        <v>0345074718</v>
      </c>
      <c r="K7897" s="2"/>
    </row>
    <row r="7898" spans="1:11" ht="12.45">
      <c r="A7898" s="2" t="str">
        <f ca="1">IFERROR(__xludf.DUMMYFUNCTION("""COMPUTED_VALUE"""),"1759956019147")</f>
        <v>1759956019147</v>
      </c>
      <c r="B7898" s="2"/>
      <c r="C7898" s="2" t="str">
        <v>0</v>
      </c>
      <c r="D7898" s="2"/>
      <c r="F7898" s="2" t="str">
        <v>0</v>
      </c>
      <c r="I7898" s="3" t="str">
        <f ca="1">IFERROR(__xludf.DUMMYFUNCTION("""COMPUTED_VALUE"""),"Nguyễn Minh Châu")</f>
        <v>Nguyễn Minh Châu</v>
      </c>
      <c r="J7898" s="3" t="str">
        <f ca="1">IFERROR(__xludf.DUMMYFUNCTION("""COMPUTED_VALUE"""),"0399269784")</f>
        <v>0399269784</v>
      </c>
      <c r="K7898" s="2" t="str">
        <f ca="1">IFERROR(__xludf.DUMMYFUNCTION("""COMPUTED_VALUE"""),"1759956019147")</f>
        <v>1759956019147</v>
      </c>
    </row>
    <row r="7899" spans="1:11" ht="12.45">
      <c r="A7899" s="2" t="str">
        <f ca="1">IFERROR(__xludf.DUMMYFUNCTION("""COMPUTED_VALUE"""),"1759956055993")</f>
        <v>1759956055993</v>
      </c>
      <c r="B7899" s="2"/>
      <c r="C7899" s="2" t="str">
        <v>0</v>
      </c>
      <c r="D7899" s="2"/>
      <c r="F7899" s="2" t="str">
        <v>0</v>
      </c>
      <c r="I7899" s="3" t="str">
        <f ca="1">IFERROR(__xludf.DUMMYFUNCTION("""COMPUTED_VALUE"""),"Phạm Thu Ngân ")</f>
        <v xml:space="preserve">Phạm Thu Ngân </v>
      </c>
      <c r="J7899" s="3" t="str">
        <f ca="1">IFERROR(__xludf.DUMMYFUNCTION("""COMPUTED_VALUE"""),"0974842705")</f>
        <v>0974842705</v>
      </c>
      <c r="K7899" s="2" t="str">
        <f ca="1">IFERROR(__xludf.DUMMYFUNCTION("""COMPUTED_VALUE"""),"1759956055993")</f>
        <v>1759956055993</v>
      </c>
    </row>
    <row r="7900" spans="1:11" ht="12.45">
      <c r="A7900" s="2" t="str">
        <f ca="1">IFERROR(__xludf.DUMMYFUNCTION("""COMPUTED_VALUE"""),"1759956103213")</f>
        <v>1759956103213</v>
      </c>
      <c r="B7900" s="2"/>
      <c r="C7900" s="2" t="str">
        <v>0</v>
      </c>
      <c r="D7900" s="2"/>
      <c r="F7900" s="2" t="str">
        <v>0</v>
      </c>
      <c r="I7900" s="3" t="str">
        <f ca="1">IFERROR(__xludf.DUMMYFUNCTION("""COMPUTED_VALUE"""),"Hà Lưu Bình ")</f>
        <v xml:space="preserve">Hà Lưu Bình </v>
      </c>
      <c r="J7900" s="3" t="str">
        <f ca="1">IFERROR(__xludf.DUMMYFUNCTION("""COMPUTED_VALUE"""),"0967262514")</f>
        <v>0967262514</v>
      </c>
      <c r="K7900" s="2" t="str">
        <f ca="1">IFERROR(__xludf.DUMMYFUNCTION("""COMPUTED_VALUE"""),"1759956103213")</f>
        <v>1759956103213</v>
      </c>
    </row>
    <row r="7901" spans="1:11" ht="12.45">
      <c r="A7901" s="2" t="str">
        <f ca="1">IFERROR(__xludf.DUMMYFUNCTION("""COMPUTED_VALUE"""),"1759956146003")</f>
        <v>1759956146003</v>
      </c>
      <c r="B7901" s="2"/>
      <c r="C7901" s="2" t="str">
        <v>0</v>
      </c>
      <c r="D7901" s="2"/>
      <c r="F7901" s="2" t="str">
        <v>0</v>
      </c>
      <c r="I7901" s="3" t="str">
        <f ca="1">IFERROR(__xludf.DUMMYFUNCTION("""COMPUTED_VALUE"""),"Nguyễn Minh Hằng")</f>
        <v>Nguyễn Minh Hằng</v>
      </c>
      <c r="J7901" s="3" t="str">
        <f ca="1">IFERROR(__xludf.DUMMYFUNCTION("""COMPUTED_VALUE"""),"0815803327")</f>
        <v>0815803327</v>
      </c>
      <c r="K7901" s="2" t="str">
        <f ca="1">IFERROR(__xludf.DUMMYFUNCTION("""COMPUTED_VALUE"""),"1759956146003")</f>
        <v>1759956146003</v>
      </c>
    </row>
    <row r="7902" spans="1:11" ht="12.45">
      <c r="A7902" s="2" t="str">
        <f ca="1">IFERROR(__xludf.DUMMYFUNCTION("""COMPUTED_VALUE"""),"1759956177128")</f>
        <v>1759956177128</v>
      </c>
      <c r="B7902" s="2"/>
      <c r="C7902" s="2" t="str">
        <v>0</v>
      </c>
      <c r="D7902" s="2"/>
      <c r="F7902" s="2" t="str">
        <v>0</v>
      </c>
      <c r="I7902" s="3" t="str">
        <f ca="1">IFERROR(__xludf.DUMMYFUNCTION("""COMPUTED_VALUE"""),"Trương Công Trúc Diễm")</f>
        <v>Trương Công Trúc Diễm</v>
      </c>
      <c r="J7902" s="3" t="str">
        <f ca="1">IFERROR(__xludf.DUMMYFUNCTION("""COMPUTED_VALUE"""),"0708267452")</f>
        <v>0708267452</v>
      </c>
      <c r="K7902" s="2" t="str">
        <f ca="1">IFERROR(__xludf.DUMMYFUNCTION("""COMPUTED_VALUE"""),"1759956177128")</f>
        <v>1759956177128</v>
      </c>
    </row>
    <row r="7903" spans="1:11" ht="12.45">
      <c r="A7903" s="2" t="str">
        <f ca="1">IFERROR(__xludf.DUMMYFUNCTION("""COMPUTED_VALUE"""),"1759956206703")</f>
        <v>1759956206703</v>
      </c>
      <c r="B7903" s="2"/>
      <c r="C7903" s="2" t="str">
        <v>0</v>
      </c>
      <c r="D7903" s="2"/>
      <c r="F7903" s="2" t="str">
        <v>0</v>
      </c>
      <c r="I7903" s="3" t="str">
        <f ca="1">IFERROR(__xludf.DUMMYFUNCTION("""COMPUTED_VALUE"""),"Phạm lê hồng phúc")</f>
        <v>Phạm lê hồng phúc</v>
      </c>
      <c r="J7903" s="3" t="str">
        <f ca="1">IFERROR(__xludf.DUMMYFUNCTION("""COMPUTED_VALUE"""),"0946195359")</f>
        <v>0946195359</v>
      </c>
      <c r="K7903" s="2" t="str">
        <f ca="1">IFERROR(__xludf.DUMMYFUNCTION("""COMPUTED_VALUE"""),"1759956206703")</f>
        <v>1759956206703</v>
      </c>
    </row>
    <row r="7904" spans="1:11" ht="12.45">
      <c r="A7904" s="2" t="str">
        <f ca="1">IFERROR(__xludf.DUMMYFUNCTION("""COMPUTED_VALUE"""),"1759956249345")</f>
        <v>1759956249345</v>
      </c>
      <c r="B7904" s="2"/>
      <c r="C7904" s="2" t="str">
        <v>0</v>
      </c>
      <c r="D7904" s="2"/>
      <c r="F7904" s="2" t="str">
        <v>0</v>
      </c>
      <c r="I7904" s="3" t="str">
        <f ca="1">IFERROR(__xludf.DUMMYFUNCTION("""COMPUTED_VALUE"""),"Nông đức thiện ")</f>
        <v xml:space="preserve">Nông đức thiện </v>
      </c>
      <c r="J7904" s="3" t="str">
        <f ca="1">IFERROR(__xludf.DUMMYFUNCTION("""COMPUTED_VALUE"""),"0889701160")</f>
        <v>0889701160</v>
      </c>
      <c r="K7904" s="2" t="str">
        <f ca="1">IFERROR(__xludf.DUMMYFUNCTION("""COMPUTED_VALUE"""),"1759956249345")</f>
        <v>1759956249345</v>
      </c>
    </row>
    <row r="7905" spans="1:11" ht="12.45">
      <c r="A7905" s="2"/>
      <c r="B7905" s="2"/>
      <c r="C7905" s="2" t="str">
        <v>0</v>
      </c>
      <c r="D7905" s="2"/>
      <c r="F7905" s="2" t="str">
        <v>0</v>
      </c>
      <c r="I7905" s="3" t="str">
        <f ca="1">IFERROR(__xludf.DUMMYFUNCTION("""COMPUTED_VALUE"""),"Quỳnh Phạm")</f>
        <v>Quỳnh Phạm</v>
      </c>
      <c r="J7905" s="3" t="str">
        <f ca="1">IFERROR(__xludf.DUMMYFUNCTION("""COMPUTED_VALUE"""),"0355846475")</f>
        <v>0355846475</v>
      </c>
      <c r="K7905" s="2"/>
    </row>
    <row r="7906" spans="1:11" ht="12.45">
      <c r="A7906" s="2" t="str">
        <f ca="1">IFERROR(__xludf.DUMMYFUNCTION("""COMPUTED_VALUE"""),"1759956283166")</f>
        <v>1759956283166</v>
      </c>
      <c r="B7906" s="2"/>
      <c r="C7906" s="2" t="str">
        <v>0</v>
      </c>
      <c r="D7906" s="2"/>
      <c r="F7906" s="2" t="str">
        <v>0</v>
      </c>
      <c r="I7906" s="3" t="str">
        <f ca="1">IFERROR(__xludf.DUMMYFUNCTION("""COMPUTED_VALUE"""),"Lãnh Trần Quế Trâm")</f>
        <v>Lãnh Trần Quế Trâm</v>
      </c>
      <c r="J7906" s="3" t="str">
        <f ca="1">IFERROR(__xludf.DUMMYFUNCTION("""COMPUTED_VALUE"""),"0832088919")</f>
        <v>0832088919</v>
      </c>
      <c r="K7906" s="2" t="str">
        <f ca="1">IFERROR(__xludf.DUMMYFUNCTION("""COMPUTED_VALUE"""),"1759956283166")</f>
        <v>1759956283166</v>
      </c>
    </row>
    <row r="7907" spans="1:11" ht="12.45">
      <c r="A7907" s="2"/>
      <c r="B7907" s="2"/>
      <c r="C7907" s="2" t="str">
        <v>0</v>
      </c>
      <c r="D7907" s="2"/>
      <c r="F7907" s="2" t="str">
        <v>0</v>
      </c>
      <c r="I7907" s="3" t="str">
        <f ca="1">IFERROR(__xludf.DUMMYFUNCTION("""COMPUTED_VALUE"""),"Lê Phan Phương Uyên")</f>
        <v>Lê Phan Phương Uyên</v>
      </c>
      <c r="J7907" s="3" t="str">
        <f ca="1">IFERROR(__xludf.DUMMYFUNCTION("""COMPUTED_VALUE"""),"0899723004")</f>
        <v>0899723004</v>
      </c>
      <c r="K7907" s="2"/>
    </row>
    <row r="7908" spans="1:11" ht="12.45">
      <c r="A7908" s="2" t="str">
        <f ca="1">IFERROR(__xludf.DUMMYFUNCTION("""COMPUTED_VALUE"""),"1759956319716")</f>
        <v>1759956319716</v>
      </c>
      <c r="B7908" s="2"/>
      <c r="C7908" s="2" t="str">
        <v>0</v>
      </c>
      <c r="D7908" s="2"/>
      <c r="F7908" s="2" t="str">
        <v>0</v>
      </c>
      <c r="I7908" s="3" t="str">
        <f ca="1">IFERROR(__xludf.DUMMYFUNCTION("""COMPUTED_VALUE"""),"Nguyễn Quý Sang")</f>
        <v>Nguyễn Quý Sang</v>
      </c>
      <c r="J7908" s="3" t="str">
        <f ca="1">IFERROR(__xludf.DUMMYFUNCTION("""COMPUTED_VALUE"""),"0965794697")</f>
        <v>0965794697</v>
      </c>
      <c r="K7908" s="2" t="str">
        <f ca="1">IFERROR(__xludf.DUMMYFUNCTION("""COMPUTED_VALUE"""),"1759956319716")</f>
        <v>1759956319716</v>
      </c>
    </row>
    <row r="7909" spans="1:11" ht="12.45">
      <c r="A7909" s="2" t="str">
        <f ca="1">IFERROR(__xludf.DUMMYFUNCTION("""COMPUTED_VALUE"""),"1759956383448")</f>
        <v>1759956383448</v>
      </c>
      <c r="B7909" s="2"/>
      <c r="C7909" s="2" t="str">
        <v>0</v>
      </c>
      <c r="D7909" s="2"/>
      <c r="F7909" s="2" t="str">
        <v>0</v>
      </c>
      <c r="I7909" s="3" t="str">
        <f ca="1">IFERROR(__xludf.DUMMYFUNCTION("""COMPUTED_VALUE"""),"Nguyễn Bảo Châu")</f>
        <v>Nguyễn Bảo Châu</v>
      </c>
      <c r="J7909" s="3" t="str">
        <f ca="1">IFERROR(__xludf.DUMMYFUNCTION("""COMPUTED_VALUE"""),"0964296256")</f>
        <v>0964296256</v>
      </c>
      <c r="K7909" s="2" t="str">
        <f ca="1">IFERROR(__xludf.DUMMYFUNCTION("""COMPUTED_VALUE"""),"1759956383448")</f>
        <v>1759956383448</v>
      </c>
    </row>
    <row r="7910" spans="1:11" ht="12.45">
      <c r="A7910" s="2" t="str">
        <f ca="1">IFERROR(__xludf.DUMMYFUNCTION("""COMPUTED_VALUE"""),"1759956422675")</f>
        <v>1759956422675</v>
      </c>
      <c r="B7910" s="2"/>
      <c r="C7910" s="2" t="str">
        <v>0</v>
      </c>
      <c r="D7910" s="2"/>
      <c r="F7910" s="2" t="str">
        <v>0</v>
      </c>
      <c r="I7910" s="3" t="str">
        <f ca="1">IFERROR(__xludf.DUMMYFUNCTION("""COMPUTED_VALUE"""),"Trần Võ Khánh Ngọc")</f>
        <v>Trần Võ Khánh Ngọc</v>
      </c>
      <c r="J7910" s="3" t="str">
        <f ca="1">IFERROR(__xludf.DUMMYFUNCTION("""COMPUTED_VALUE"""),"0702617002")</f>
        <v>0702617002</v>
      </c>
      <c r="K7910" s="2" t="str">
        <f ca="1">IFERROR(__xludf.DUMMYFUNCTION("""COMPUTED_VALUE"""),"1759956422675")</f>
        <v>1759956422675</v>
      </c>
    </row>
    <row r="7911" spans="1:11" ht="12.45">
      <c r="A7911" s="2" t="str">
        <f ca="1">IFERROR(__xludf.DUMMYFUNCTION("""COMPUTED_VALUE"""),"1759956467362")</f>
        <v>1759956467362</v>
      </c>
      <c r="B7911" s="2"/>
      <c r="C7911" s="2" t="str">
        <v>0</v>
      </c>
      <c r="D7911" s="2"/>
      <c r="F7911" s="2" t="str">
        <v>0</v>
      </c>
      <c r="I7911" s="3" t="str">
        <f ca="1">IFERROR(__xludf.DUMMYFUNCTION("""COMPUTED_VALUE"""),"Hà Thị Thanh Hải")</f>
        <v>Hà Thị Thanh Hải</v>
      </c>
      <c r="J7911" s="3" t="str">
        <f ca="1">IFERROR(__xludf.DUMMYFUNCTION("""COMPUTED_VALUE"""),"0877396094")</f>
        <v>0877396094</v>
      </c>
      <c r="K7911" s="2" t="str">
        <f ca="1">IFERROR(__xludf.DUMMYFUNCTION("""COMPUTED_VALUE"""),"1759956467362")</f>
        <v>1759956467362</v>
      </c>
    </row>
    <row r="7912" spans="1:11" ht="12.45">
      <c r="A7912" s="2" t="str">
        <f ca="1">IFERROR(__xludf.DUMMYFUNCTION("""COMPUTED_VALUE"""),"1759956501737")</f>
        <v>1759956501737</v>
      </c>
      <c r="B7912" s="2"/>
      <c r="C7912" s="2" t="str">
        <v>0</v>
      </c>
      <c r="D7912" s="2"/>
      <c r="F7912" s="2" t="str">
        <v>0</v>
      </c>
      <c r="I7912" s="3" t="str">
        <f ca="1">IFERROR(__xludf.DUMMYFUNCTION("""COMPUTED_VALUE"""),"Nguyễn Ngọc Quỳnh Như ")</f>
        <v xml:space="preserve">Nguyễn Ngọc Quỳnh Như </v>
      </c>
      <c r="J7912" s="3" t="str">
        <f ca="1">IFERROR(__xludf.DUMMYFUNCTION("""COMPUTED_VALUE"""),"0907053066")</f>
        <v>0907053066</v>
      </c>
      <c r="K7912" s="2" t="str">
        <f ca="1">IFERROR(__xludf.DUMMYFUNCTION("""COMPUTED_VALUE"""),"1759956501737")</f>
        <v>1759956501737</v>
      </c>
    </row>
    <row r="7913" spans="1:11" ht="12.45">
      <c r="A7913" s="2" t="str">
        <f ca="1">IFERROR(__xludf.DUMMYFUNCTION("""COMPUTED_VALUE"""),"1759956537966")</f>
        <v>1759956537966</v>
      </c>
      <c r="B7913" s="2"/>
      <c r="C7913" s="2" t="str">
        <v>0</v>
      </c>
      <c r="D7913" s="2"/>
      <c r="F7913" s="2" t="str">
        <v>0</v>
      </c>
      <c r="I7913" s="3" t="str">
        <f ca="1">IFERROR(__xludf.DUMMYFUNCTION("""COMPUTED_VALUE"""),"Phạm Băng Nhi ")</f>
        <v xml:space="preserve">Phạm Băng Nhi </v>
      </c>
      <c r="J7913" s="3" t="str">
        <f ca="1">IFERROR(__xludf.DUMMYFUNCTION("""COMPUTED_VALUE"""),"0904658156")</f>
        <v>0904658156</v>
      </c>
      <c r="K7913" s="2" t="str">
        <f ca="1">IFERROR(__xludf.DUMMYFUNCTION("""COMPUTED_VALUE"""),"1759956537966")</f>
        <v>1759956537966</v>
      </c>
    </row>
    <row r="7914" spans="1:11" ht="12.45">
      <c r="A7914" s="2" t="str">
        <f ca="1">IFERROR(__xludf.DUMMYFUNCTION("""COMPUTED_VALUE"""),"1759956581431")</f>
        <v>1759956581431</v>
      </c>
      <c r="B7914" s="2"/>
      <c r="C7914" s="2" t="str">
        <v>0</v>
      </c>
      <c r="D7914" s="2"/>
      <c r="F7914" s="2" t="str">
        <v>0</v>
      </c>
      <c r="I7914" s="3" t="str">
        <f ca="1">IFERROR(__xludf.DUMMYFUNCTION("""COMPUTED_VALUE"""),"HOÀNG XUÂN MẠNH")</f>
        <v>HOÀNG XUÂN MẠNH</v>
      </c>
      <c r="J7914" s="3" t="str">
        <f ca="1">IFERROR(__xludf.DUMMYFUNCTION("""COMPUTED_VALUE"""),"0562258222")</f>
        <v>0562258222</v>
      </c>
      <c r="K7914" s="2" t="str">
        <f ca="1">IFERROR(__xludf.DUMMYFUNCTION("""COMPUTED_VALUE"""),"1759956581431")</f>
        <v>1759956581431</v>
      </c>
    </row>
    <row r="7915" spans="1:11" ht="12.45">
      <c r="A7915" s="2" t="str">
        <f ca="1">IFERROR(__xludf.DUMMYFUNCTION("""COMPUTED_VALUE"""),"1759956619531")</f>
        <v>1759956619531</v>
      </c>
      <c r="B7915" s="2"/>
      <c r="C7915" s="2" t="str">
        <v>0</v>
      </c>
      <c r="D7915" s="2"/>
      <c r="F7915" s="2" t="str">
        <v>0</v>
      </c>
      <c r="I7915" s="3" t="str">
        <f ca="1">IFERROR(__xludf.DUMMYFUNCTION("""COMPUTED_VALUE"""),"Nguyễn Thu Phương")</f>
        <v>Nguyễn Thu Phương</v>
      </c>
      <c r="J7915" s="3" t="str">
        <f ca="1">IFERROR(__xludf.DUMMYFUNCTION("""COMPUTED_VALUE"""),"0866935016")</f>
        <v>0866935016</v>
      </c>
      <c r="K7915" s="2" t="str">
        <f ca="1">IFERROR(__xludf.DUMMYFUNCTION("""COMPUTED_VALUE"""),"1759956619531")</f>
        <v>1759956619531</v>
      </c>
    </row>
    <row r="7916" spans="1:11" ht="12.45">
      <c r="A7916" s="2"/>
      <c r="B7916" s="2"/>
      <c r="C7916" s="2" t="str">
        <v>0</v>
      </c>
      <c r="D7916" s="2"/>
      <c r="F7916" s="2" t="str">
        <v>0</v>
      </c>
      <c r="I7916" s="3" t="str">
        <f ca="1">IFERROR(__xludf.DUMMYFUNCTION("""COMPUTED_VALUE"""),"Nguyễn Đăng Quyền")</f>
        <v>Nguyễn Đăng Quyền</v>
      </c>
      <c r="J7916" s="3" t="str">
        <f ca="1">IFERROR(__xludf.DUMMYFUNCTION("""COMPUTED_VALUE"""),"0358296550")</f>
        <v>0358296550</v>
      </c>
      <c r="K7916" s="2"/>
    </row>
    <row r="7917" spans="1:11" ht="12.45">
      <c r="A7917" s="2" t="str">
        <f ca="1">IFERROR(__xludf.DUMMYFUNCTION("""COMPUTED_VALUE"""),"1759956651196")</f>
        <v>1759956651196</v>
      </c>
      <c r="B7917" s="2"/>
      <c r="C7917" s="2" t="str">
        <v>0</v>
      </c>
      <c r="D7917" s="2"/>
      <c r="F7917" s="2" t="str">
        <v>0</v>
      </c>
      <c r="I7917" s="3" t="str">
        <f ca="1">IFERROR(__xludf.DUMMYFUNCTION("""COMPUTED_VALUE"""),"Nguyễn thị thu trang ")</f>
        <v xml:space="preserve">Nguyễn thị thu trang </v>
      </c>
      <c r="J7917" s="3" t="str">
        <f ca="1">IFERROR(__xludf.DUMMYFUNCTION("""COMPUTED_VALUE"""),"0389214962")</f>
        <v>0389214962</v>
      </c>
      <c r="K7917" s="2" t="str">
        <f ca="1">IFERROR(__xludf.DUMMYFUNCTION("""COMPUTED_VALUE"""),"1759956651196")</f>
        <v>1759956651196</v>
      </c>
    </row>
    <row r="7918" spans="1:11" ht="12.45">
      <c r="A7918" s="2" t="str">
        <f ca="1">IFERROR(__xludf.DUMMYFUNCTION("""COMPUTED_VALUE"""),"1759956695224")</f>
        <v>1759956695224</v>
      </c>
      <c r="B7918" s="2"/>
      <c r="C7918" s="2" t="str">
        <v>0</v>
      </c>
      <c r="D7918" s="2"/>
      <c r="F7918" s="2" t="str">
        <v>0</v>
      </c>
      <c r="I7918" s="3" t="str">
        <f ca="1">IFERROR(__xludf.DUMMYFUNCTION("""COMPUTED_VALUE"""),"Nguyễn Diệu Linh")</f>
        <v>Nguyễn Diệu Linh</v>
      </c>
      <c r="J7918" s="3" t="str">
        <f ca="1">IFERROR(__xludf.DUMMYFUNCTION("""COMPUTED_VALUE"""),"0868220406")</f>
        <v>0868220406</v>
      </c>
      <c r="K7918" s="2" t="str">
        <f ca="1">IFERROR(__xludf.DUMMYFUNCTION("""COMPUTED_VALUE"""),"1759956695224")</f>
        <v>1759956695224</v>
      </c>
    </row>
    <row r="7919" spans="1:11" ht="12.45">
      <c r="A7919" s="2" t="str">
        <f ca="1">IFERROR(__xludf.DUMMYFUNCTION("""COMPUTED_VALUE"""),"1759956779208")</f>
        <v>1759956779208</v>
      </c>
      <c r="B7919" s="2"/>
      <c r="C7919" s="2" t="str">
        <v>0</v>
      </c>
      <c r="D7919" s="2"/>
      <c r="F7919" s="2" t="str">
        <v>0</v>
      </c>
      <c r="I7919" s="3" t="str">
        <f ca="1">IFERROR(__xludf.DUMMYFUNCTION("""COMPUTED_VALUE"""),"Huỳnh Dương Lâm ")</f>
        <v xml:space="preserve">Huỳnh Dương Lâm </v>
      </c>
      <c r="J7919" s="3" t="str">
        <f ca="1">IFERROR(__xludf.DUMMYFUNCTION("""COMPUTED_VALUE"""),"0335177788")</f>
        <v>0335177788</v>
      </c>
      <c r="K7919" s="2" t="str">
        <f ca="1">IFERROR(__xludf.DUMMYFUNCTION("""COMPUTED_VALUE"""),"1759956779208")</f>
        <v>1759956779208</v>
      </c>
    </row>
    <row r="7920" spans="1:11" ht="12.45">
      <c r="A7920" s="2" t="str">
        <f ca="1">IFERROR(__xludf.DUMMYFUNCTION("""COMPUTED_VALUE"""),"1759956860111")</f>
        <v>1759956860111</v>
      </c>
      <c r="B7920" s="2"/>
      <c r="C7920" s="2" t="str">
        <v>0</v>
      </c>
      <c r="D7920" s="2"/>
      <c r="F7920" s="2" t="str">
        <v>0</v>
      </c>
      <c r="I7920" s="3" t="str">
        <f ca="1">IFERROR(__xludf.DUMMYFUNCTION("""COMPUTED_VALUE"""),"Lê Bảo Châu")</f>
        <v>Lê Bảo Châu</v>
      </c>
      <c r="J7920" s="3" t="str">
        <f ca="1">IFERROR(__xludf.DUMMYFUNCTION("""COMPUTED_VALUE"""),"0389831528")</f>
        <v>0389831528</v>
      </c>
      <c r="K7920" s="2" t="str">
        <f ca="1">IFERROR(__xludf.DUMMYFUNCTION("""COMPUTED_VALUE"""),"1759956860111")</f>
        <v>1759956860111</v>
      </c>
    </row>
    <row r="7921" spans="1:11" ht="12.45">
      <c r="A7921" s="2" t="str">
        <f ca="1">IFERROR(__xludf.DUMMYFUNCTION("""COMPUTED_VALUE"""),"1759956909942")</f>
        <v>1759956909942</v>
      </c>
      <c r="B7921" s="2"/>
      <c r="C7921" s="2" t="str">
        <v>0</v>
      </c>
      <c r="D7921" s="2"/>
      <c r="F7921" s="2" t="str">
        <v>0</v>
      </c>
      <c r="I7921" s="3" t="str">
        <f ca="1">IFERROR(__xludf.DUMMYFUNCTION("""COMPUTED_VALUE"""),"Nguyễn Chung Anh")</f>
        <v>Nguyễn Chung Anh</v>
      </c>
      <c r="J7921" s="3" t="str">
        <f ca="1">IFERROR(__xludf.DUMMYFUNCTION("""COMPUTED_VALUE"""),"0961434228")</f>
        <v>0961434228</v>
      </c>
      <c r="K7921" s="2" t="str">
        <f ca="1">IFERROR(__xludf.DUMMYFUNCTION("""COMPUTED_VALUE"""),"1759956909942")</f>
        <v>1759956909942</v>
      </c>
    </row>
    <row r="7922" spans="1:11" ht="12.45">
      <c r="A7922" s="2" t="str">
        <f ca="1">IFERROR(__xludf.DUMMYFUNCTION("""COMPUTED_VALUE"""),"1759956944347")</f>
        <v>1759956944347</v>
      </c>
      <c r="B7922" s="2"/>
      <c r="C7922" s="2" t="str">
        <v>0</v>
      </c>
      <c r="D7922" s="2"/>
      <c r="F7922" s="2" t="str">
        <v>0</v>
      </c>
      <c r="I7922" s="3" t="str">
        <f ca="1">IFERROR(__xludf.DUMMYFUNCTION("""COMPUTED_VALUE"""),"Lê Thị Liên")</f>
        <v>Lê Thị Liên</v>
      </c>
      <c r="J7922" s="3" t="str">
        <f ca="1">IFERROR(__xludf.DUMMYFUNCTION("""COMPUTED_VALUE"""),"0329833781")</f>
        <v>0329833781</v>
      </c>
      <c r="K7922" s="2" t="str">
        <f ca="1">IFERROR(__xludf.DUMMYFUNCTION("""COMPUTED_VALUE"""),"1759956944347")</f>
        <v>1759956944347</v>
      </c>
    </row>
    <row r="7923" spans="1:11" ht="12.45">
      <c r="A7923" s="2"/>
      <c r="B7923" s="2"/>
      <c r="C7923" s="2" t="str">
        <v>0</v>
      </c>
      <c r="D7923" s="2"/>
      <c r="F7923" s="2" t="str">
        <v>0</v>
      </c>
      <c r="I7923" s="3" t="str">
        <f ca="1">IFERROR(__xludf.DUMMYFUNCTION("""COMPUTED_VALUE"""),"Đặng Hà Khánh Dư")</f>
        <v>Đặng Hà Khánh Dư</v>
      </c>
      <c r="J7923" s="3" t="str">
        <f ca="1">IFERROR(__xludf.DUMMYFUNCTION("""COMPUTED_VALUE"""),"0812619169")</f>
        <v>0812619169</v>
      </c>
      <c r="K7923" s="2"/>
    </row>
    <row r="7924" spans="1:11" ht="12.45">
      <c r="A7924" s="2" t="str">
        <f ca="1">IFERROR(__xludf.DUMMYFUNCTION("""COMPUTED_VALUE"""),"1759956977885")</f>
        <v>1759956977885</v>
      </c>
      <c r="B7924" s="2"/>
      <c r="C7924" s="2" t="str">
        <v>0</v>
      </c>
      <c r="D7924" s="2"/>
      <c r="F7924" s="2" t="str">
        <v>0</v>
      </c>
      <c r="I7924" s="3" t="str">
        <f ca="1">IFERROR(__xludf.DUMMYFUNCTION("""COMPUTED_VALUE"""),"Ý An")</f>
        <v>Ý An</v>
      </c>
      <c r="J7924" s="3" t="str">
        <f ca="1">IFERROR(__xludf.DUMMYFUNCTION("""COMPUTED_VALUE"""),"0824021215")</f>
        <v>0824021215</v>
      </c>
      <c r="K7924" s="2" t="str">
        <f ca="1">IFERROR(__xludf.DUMMYFUNCTION("""COMPUTED_VALUE"""),"1759956977885")</f>
        <v>1759956977885</v>
      </c>
    </row>
    <row r="7925" spans="1:11" ht="12.45">
      <c r="A7925" s="2" t="str">
        <f ca="1">IFERROR(__xludf.DUMMYFUNCTION("""COMPUTED_VALUE"""),"1759957026734")</f>
        <v>1759957026734</v>
      </c>
      <c r="B7925" s="2"/>
      <c r="C7925" s="2" t="str">
        <v>0</v>
      </c>
      <c r="D7925" s="2"/>
      <c r="F7925" s="2" t="str">
        <v>0</v>
      </c>
      <c r="I7925" s="3" t="str">
        <f ca="1">IFERROR(__xludf.DUMMYFUNCTION("""COMPUTED_VALUE"""),"Lại Ngọc Anh")</f>
        <v>Lại Ngọc Anh</v>
      </c>
      <c r="J7925" s="3" t="str">
        <f ca="1">IFERROR(__xludf.DUMMYFUNCTION("""COMPUTED_VALUE"""),"0857663738")</f>
        <v>0857663738</v>
      </c>
      <c r="K7925" s="2" t="str">
        <f ca="1">IFERROR(__xludf.DUMMYFUNCTION("""COMPUTED_VALUE"""),"1759957026734")</f>
        <v>1759957026734</v>
      </c>
    </row>
    <row r="7926" spans="1:11" ht="12.45">
      <c r="A7926" s="2" t="str">
        <f ca="1">IFERROR(__xludf.DUMMYFUNCTION("""COMPUTED_VALUE"""),"1759957062264")</f>
        <v>1759957062264</v>
      </c>
      <c r="B7926" s="2"/>
      <c r="C7926" s="2" t="str">
        <v>0</v>
      </c>
      <c r="D7926" s="2"/>
      <c r="F7926" s="2" t="str">
        <v>0</v>
      </c>
      <c r="I7926" s="3" t="str">
        <f ca="1">IFERROR(__xludf.DUMMYFUNCTION("""COMPUTED_VALUE"""),"Nguyễn việt anh")</f>
        <v>Nguyễn việt anh</v>
      </c>
      <c r="J7926" s="3" t="str">
        <f ca="1">IFERROR(__xludf.DUMMYFUNCTION("""COMPUTED_VALUE"""),"0962560241")</f>
        <v>0962560241</v>
      </c>
      <c r="K7926" s="2" t="str">
        <f ca="1">IFERROR(__xludf.DUMMYFUNCTION("""COMPUTED_VALUE"""),"1759957062264")</f>
        <v>1759957062264</v>
      </c>
    </row>
    <row r="7927" spans="1:11" ht="12.45">
      <c r="A7927" s="2" t="str">
        <f ca="1">IFERROR(__xludf.DUMMYFUNCTION("""COMPUTED_VALUE"""),"1759957096515")</f>
        <v>1759957096515</v>
      </c>
      <c r="B7927" s="2"/>
      <c r="C7927" s="2" t="str">
        <v>0</v>
      </c>
      <c r="D7927" s="2"/>
      <c r="F7927" s="2" t="str">
        <v>0</v>
      </c>
      <c r="I7927" s="3" t="str">
        <f ca="1">IFERROR(__xludf.DUMMYFUNCTION("""COMPUTED_VALUE"""),"Bùi Quỳnh Anh")</f>
        <v>Bùi Quỳnh Anh</v>
      </c>
      <c r="J7927" s="3" t="str">
        <f ca="1">IFERROR(__xludf.DUMMYFUNCTION("""COMPUTED_VALUE"""),"0973828679")</f>
        <v>0973828679</v>
      </c>
      <c r="K7927" s="2" t="str">
        <f ca="1">IFERROR(__xludf.DUMMYFUNCTION("""COMPUTED_VALUE"""),"1759957096515")</f>
        <v>1759957096515</v>
      </c>
    </row>
    <row r="7928" spans="1:11" ht="12.45">
      <c r="A7928" s="2" t="str">
        <f ca="1">IFERROR(__xludf.DUMMYFUNCTION("""COMPUTED_VALUE"""),"1759957123370")</f>
        <v>1759957123370</v>
      </c>
      <c r="B7928" s="2"/>
      <c r="C7928" s="2" t="str">
        <v>0</v>
      </c>
      <c r="D7928" s="2"/>
      <c r="F7928" s="2" t="str">
        <v>0</v>
      </c>
      <c r="I7928" s="3" t="str">
        <f ca="1">IFERROR(__xludf.DUMMYFUNCTION("""COMPUTED_VALUE"""),"Triệu Khắc Tuấn Hiếu")</f>
        <v>Triệu Khắc Tuấn Hiếu</v>
      </c>
      <c r="J7928" s="3" t="str">
        <f ca="1">IFERROR(__xludf.DUMMYFUNCTION("""COMPUTED_VALUE"""),"0928472007")</f>
        <v>0928472007</v>
      </c>
      <c r="K7928" s="2" t="str">
        <f ca="1">IFERROR(__xludf.DUMMYFUNCTION("""COMPUTED_VALUE"""),"1759957123370")</f>
        <v>1759957123370</v>
      </c>
    </row>
    <row r="7929" spans="1:11" ht="12.45">
      <c r="A7929" s="2" t="str">
        <f ca="1">IFERROR(__xludf.DUMMYFUNCTION("""COMPUTED_VALUE"""),"1759957166770")</f>
        <v>1759957166770</v>
      </c>
      <c r="B7929" s="2"/>
      <c r="C7929" s="2" t="str">
        <v>0</v>
      </c>
      <c r="D7929" s="2"/>
      <c r="F7929" s="2" t="str">
        <v>0</v>
      </c>
      <c r="I7929" s="3" t="str">
        <f ca="1">IFERROR(__xludf.DUMMYFUNCTION("""COMPUTED_VALUE"""),"Nguyễn Ngọc Thảo Nguyên")</f>
        <v>Nguyễn Ngọc Thảo Nguyên</v>
      </c>
      <c r="J7929" s="3" t="str">
        <f ca="1">IFERROR(__xludf.DUMMYFUNCTION("""COMPUTED_VALUE"""),"0986517977")</f>
        <v>0986517977</v>
      </c>
      <c r="K7929" s="2" t="str">
        <f ca="1">IFERROR(__xludf.DUMMYFUNCTION("""COMPUTED_VALUE"""),"1759957166770")</f>
        <v>1759957166770</v>
      </c>
    </row>
    <row r="7930" spans="1:11" ht="12.45">
      <c r="A7930" s="2" t="str">
        <f ca="1">IFERROR(__xludf.DUMMYFUNCTION("""COMPUTED_VALUE"""),"1759957215040")</f>
        <v>1759957215040</v>
      </c>
      <c r="B7930" s="2"/>
      <c r="C7930" s="2" t="str">
        <v>0</v>
      </c>
      <c r="D7930" s="2"/>
      <c r="F7930" s="2" t="str">
        <v>0</v>
      </c>
      <c r="I7930" s="3" t="str">
        <f ca="1">IFERROR(__xludf.DUMMYFUNCTION("""COMPUTED_VALUE"""),"Hoàng Thùy Dương ")</f>
        <v xml:space="preserve">Hoàng Thùy Dương </v>
      </c>
      <c r="J7930" s="3" t="str">
        <f ca="1">IFERROR(__xludf.DUMMYFUNCTION("""COMPUTED_VALUE"""),"0916952600")</f>
        <v>0916952600</v>
      </c>
      <c r="K7930" s="2" t="str">
        <f ca="1">IFERROR(__xludf.DUMMYFUNCTION("""COMPUTED_VALUE"""),"1759957215040")</f>
        <v>1759957215040</v>
      </c>
    </row>
    <row r="7931" spans="1:11" ht="12.45">
      <c r="A7931" s="2" t="str">
        <f ca="1">IFERROR(__xludf.DUMMYFUNCTION("""COMPUTED_VALUE"""),"1759957243375")</f>
        <v>1759957243375</v>
      </c>
      <c r="B7931" s="2"/>
      <c r="C7931" s="2" t="str">
        <v>0</v>
      </c>
      <c r="D7931" s="2"/>
      <c r="F7931" s="2" t="str">
        <v>0</v>
      </c>
      <c r="I7931" s="3" t="str">
        <f ca="1">IFERROR(__xludf.DUMMYFUNCTION("""COMPUTED_VALUE"""),"Nguyễn Hà Phương ")</f>
        <v xml:space="preserve">Nguyễn Hà Phương </v>
      </c>
      <c r="J7931" s="3" t="str">
        <f ca="1">IFERROR(__xludf.DUMMYFUNCTION("""COMPUTED_VALUE"""),"0941341785")</f>
        <v>0941341785</v>
      </c>
      <c r="K7931" s="2" t="str">
        <f ca="1">IFERROR(__xludf.DUMMYFUNCTION("""COMPUTED_VALUE"""),"1759957243375")</f>
        <v>1759957243375</v>
      </c>
    </row>
    <row r="7932" spans="1:11" ht="12.45">
      <c r="A7932" s="2"/>
      <c r="B7932" s="2"/>
      <c r="C7932" s="2" t="str">
        <v>0</v>
      </c>
      <c r="D7932" s="2"/>
      <c r="F7932" s="2" t="str">
        <v>0</v>
      </c>
      <c r="I7932" s="3" t="str">
        <f ca="1">IFERROR(__xludf.DUMMYFUNCTION("""COMPUTED_VALUE"""),"Lương Quỳnh Như")</f>
        <v>Lương Quỳnh Như</v>
      </c>
      <c r="J7932" s="3" t="str">
        <f ca="1">IFERROR(__xludf.DUMMYFUNCTION("""COMPUTED_VALUE"""),"0966084990")</f>
        <v>0966084990</v>
      </c>
      <c r="K7932" s="2"/>
    </row>
    <row r="7933" spans="1:11" ht="12.45">
      <c r="A7933" s="2" t="str">
        <f ca="1">IFERROR(__xludf.DUMMYFUNCTION("""COMPUTED_VALUE"""),"1759957277169")</f>
        <v>1759957277169</v>
      </c>
      <c r="B7933" s="2"/>
      <c r="C7933" s="2" t="str">
        <v>0</v>
      </c>
      <c r="D7933" s="2"/>
      <c r="F7933" s="2" t="str">
        <v>0</v>
      </c>
      <c r="I7933" s="3" t="str">
        <f ca="1">IFERROR(__xludf.DUMMYFUNCTION("""COMPUTED_VALUE"""),"Nguyễn Công Thành")</f>
        <v>Nguyễn Công Thành</v>
      </c>
      <c r="J7933" s="3" t="str">
        <f ca="1">IFERROR(__xludf.DUMMYFUNCTION("""COMPUTED_VALUE"""),"0838504710")</f>
        <v>0838504710</v>
      </c>
      <c r="K7933" s="2" t="str">
        <f ca="1">IFERROR(__xludf.DUMMYFUNCTION("""COMPUTED_VALUE"""),"1759957277169")</f>
        <v>1759957277169</v>
      </c>
    </row>
    <row r="7934" spans="1:11" ht="12.45">
      <c r="A7934" s="2" t="str">
        <f ca="1">IFERROR(__xludf.DUMMYFUNCTION("""COMPUTED_VALUE"""),"1759957321178")</f>
        <v>1759957321178</v>
      </c>
      <c r="B7934" s="2"/>
      <c r="C7934" s="2" t="str">
        <v>0</v>
      </c>
      <c r="D7934" s="2"/>
      <c r="F7934" s="2" t="str">
        <v>0</v>
      </c>
      <c r="I7934" s="3" t="str">
        <f ca="1">IFERROR(__xludf.DUMMYFUNCTION("""COMPUTED_VALUE"""),"Lã minh thư")</f>
        <v>Lã minh thư</v>
      </c>
      <c r="J7934" s="3" t="str">
        <f ca="1">IFERROR(__xludf.DUMMYFUNCTION("""COMPUTED_VALUE"""),"0931326425")</f>
        <v>0931326425</v>
      </c>
      <c r="K7934" s="2" t="str">
        <f ca="1">IFERROR(__xludf.DUMMYFUNCTION("""COMPUTED_VALUE"""),"1759957321178")</f>
        <v>1759957321178</v>
      </c>
    </row>
    <row r="7935" spans="1:11" ht="12.45">
      <c r="A7935" s="2" t="str">
        <f ca="1">IFERROR(__xludf.DUMMYFUNCTION("""COMPUTED_VALUE"""),"1759957358327")</f>
        <v>1759957358327</v>
      </c>
      <c r="B7935" s="2"/>
      <c r="C7935" s="2" t="str">
        <v>0</v>
      </c>
      <c r="D7935" s="2"/>
      <c r="F7935" s="2" t="str">
        <v>0</v>
      </c>
      <c r="I7935" s="3" t="str">
        <f ca="1">IFERROR(__xludf.DUMMYFUNCTION("""COMPUTED_VALUE"""),"Nông Đinh Hải")</f>
        <v>Nông Đinh Hải</v>
      </c>
      <c r="J7935" s="3" t="str">
        <f ca="1">IFERROR(__xludf.DUMMYFUNCTION("""COMPUTED_VALUE"""),"0343009066")</f>
        <v>0343009066</v>
      </c>
      <c r="K7935" s="2" t="str">
        <f ca="1">IFERROR(__xludf.DUMMYFUNCTION("""COMPUTED_VALUE"""),"1759957358327")</f>
        <v>1759957358327</v>
      </c>
    </row>
    <row r="7936" spans="1:11" ht="12.45">
      <c r="A7936" s="2" t="str">
        <f ca="1">IFERROR(__xludf.DUMMYFUNCTION("""COMPUTED_VALUE"""),"1759957401134")</f>
        <v>1759957401134</v>
      </c>
      <c r="B7936" s="2"/>
      <c r="C7936" s="2" t="str">
        <v>0</v>
      </c>
      <c r="D7936" s="2"/>
      <c r="F7936" s="2" t="str">
        <v>0</v>
      </c>
      <c r="I7936" s="3" t="str">
        <f ca="1">IFERROR(__xludf.DUMMYFUNCTION("""COMPUTED_VALUE"""),"Trần Thanh Tâm ")</f>
        <v xml:space="preserve">Trần Thanh Tâm </v>
      </c>
      <c r="J7936" s="3" t="str">
        <f ca="1">IFERROR(__xludf.DUMMYFUNCTION("""COMPUTED_VALUE"""),"0364620668")</f>
        <v>0364620668</v>
      </c>
      <c r="K7936" s="2" t="str">
        <f ca="1">IFERROR(__xludf.DUMMYFUNCTION("""COMPUTED_VALUE"""),"1759957401134")</f>
        <v>1759957401134</v>
      </c>
    </row>
    <row r="7937" spans="1:11" ht="12.45">
      <c r="A7937" s="2" t="str">
        <f ca="1">IFERROR(__xludf.DUMMYFUNCTION("""COMPUTED_VALUE"""),"1759957434896")</f>
        <v>1759957434896</v>
      </c>
      <c r="B7937" s="2"/>
      <c r="C7937" s="2" t="str">
        <v>0</v>
      </c>
      <c r="D7937" s="2"/>
      <c r="F7937" s="2" t="str">
        <v>0</v>
      </c>
      <c r="I7937" s="3" t="str">
        <f ca="1">IFERROR(__xludf.DUMMYFUNCTION("""COMPUTED_VALUE"""),"Nguyễn Phan Phúc Nguyên")</f>
        <v>Nguyễn Phan Phúc Nguyên</v>
      </c>
      <c r="J7937" s="3" t="str">
        <f ca="1">IFERROR(__xludf.DUMMYFUNCTION("""COMPUTED_VALUE"""),"0934714019")</f>
        <v>0934714019</v>
      </c>
      <c r="K7937" s="2" t="str">
        <f ca="1">IFERROR(__xludf.DUMMYFUNCTION("""COMPUTED_VALUE"""),"1759957434896")</f>
        <v>1759957434896</v>
      </c>
    </row>
    <row r="7938" spans="1:11" ht="12.45">
      <c r="A7938" s="2" t="str">
        <f ca="1">IFERROR(__xludf.DUMMYFUNCTION("""COMPUTED_VALUE"""),"1759957475427")</f>
        <v>1759957475427</v>
      </c>
      <c r="B7938" s="2"/>
      <c r="C7938" s="2" t="str">
        <v>0</v>
      </c>
      <c r="D7938" s="2"/>
      <c r="F7938" s="2" t="str">
        <v>0</v>
      </c>
      <c r="I7938" s="3" t="str">
        <f ca="1">IFERROR(__xludf.DUMMYFUNCTION("""COMPUTED_VALUE"""),"Trần Như Phương ")</f>
        <v xml:space="preserve">Trần Như Phương </v>
      </c>
      <c r="J7938" s="3" t="str">
        <f ca="1">IFERROR(__xludf.DUMMYFUNCTION("""COMPUTED_VALUE"""),"0766691136")</f>
        <v>0766691136</v>
      </c>
      <c r="K7938" s="2" t="str">
        <f ca="1">IFERROR(__xludf.DUMMYFUNCTION("""COMPUTED_VALUE"""),"1759957475427")</f>
        <v>1759957475427</v>
      </c>
    </row>
    <row r="7939" spans="1:11" ht="12.45">
      <c r="A7939" s="2" t="str">
        <f ca="1">IFERROR(__xludf.DUMMYFUNCTION("""COMPUTED_VALUE"""),"1759957524733")</f>
        <v>1759957524733</v>
      </c>
      <c r="B7939" s="2"/>
      <c r="C7939" s="2" t="str">
        <v>0</v>
      </c>
      <c r="D7939" s="2"/>
      <c r="F7939" s="2" t="str">
        <v>0</v>
      </c>
      <c r="I7939" s="3" t="str">
        <f ca="1">IFERROR(__xludf.DUMMYFUNCTION("""COMPUTED_VALUE"""),"Lê Hồng Ngọc")</f>
        <v>Lê Hồng Ngọc</v>
      </c>
      <c r="J7939" s="3" t="str">
        <f ca="1">IFERROR(__xludf.DUMMYFUNCTION("""COMPUTED_VALUE"""),"0931909307")</f>
        <v>0931909307</v>
      </c>
      <c r="K7939" s="2" t="str">
        <f ca="1">IFERROR(__xludf.DUMMYFUNCTION("""COMPUTED_VALUE"""),"1759957524733")</f>
        <v>1759957524733</v>
      </c>
    </row>
    <row r="7940" spans="1:11" ht="12.45">
      <c r="A7940" s="2" t="str">
        <f ca="1">IFERROR(__xludf.DUMMYFUNCTION("""COMPUTED_VALUE"""),"1759957571900")</f>
        <v>1759957571900</v>
      </c>
      <c r="B7940" s="2"/>
      <c r="C7940" s="2" t="str">
        <v>0</v>
      </c>
      <c r="D7940" s="2"/>
      <c r="F7940" s="2" t="str">
        <v>0</v>
      </c>
      <c r="I7940" s="3" t="str">
        <f ca="1">IFERROR(__xludf.DUMMYFUNCTION("""COMPUTED_VALUE"""),"Ngô Phương Thảo")</f>
        <v>Ngô Phương Thảo</v>
      </c>
      <c r="J7940" s="3" t="str">
        <f ca="1">IFERROR(__xludf.DUMMYFUNCTION("""COMPUTED_VALUE"""),"0776000777")</f>
        <v>0776000777</v>
      </c>
      <c r="K7940" s="2" t="str">
        <f ca="1">IFERROR(__xludf.DUMMYFUNCTION("""COMPUTED_VALUE"""),"1759957571900")</f>
        <v>1759957571900</v>
      </c>
    </row>
    <row r="7941" spans="1:11" ht="12.45">
      <c r="A7941" s="2" t="str">
        <f ca="1">IFERROR(__xludf.DUMMYFUNCTION("""COMPUTED_VALUE"""),"1759957615661")</f>
        <v>1759957615661</v>
      </c>
      <c r="B7941" s="2"/>
      <c r="C7941" s="2" t="str">
        <v>0</v>
      </c>
      <c r="D7941" s="2"/>
      <c r="F7941" s="2" t="str">
        <v>0</v>
      </c>
      <c r="I7941" s="3" t="str">
        <f ca="1">IFERROR(__xludf.DUMMYFUNCTION("""COMPUTED_VALUE"""),"Hoàng Hải Nam")</f>
        <v>Hoàng Hải Nam</v>
      </c>
      <c r="J7941" s="3" t="str">
        <f ca="1">IFERROR(__xludf.DUMMYFUNCTION("""COMPUTED_VALUE"""),"0962213684")</f>
        <v>0962213684</v>
      </c>
      <c r="K7941" s="2" t="str">
        <f ca="1">IFERROR(__xludf.DUMMYFUNCTION("""COMPUTED_VALUE"""),"1759957615661")</f>
        <v>1759957615661</v>
      </c>
    </row>
    <row r="7942" spans="1:11" ht="12.45">
      <c r="A7942" s="2" t="str">
        <f ca="1">IFERROR(__xludf.DUMMYFUNCTION("""COMPUTED_VALUE"""),"1759957649424")</f>
        <v>1759957649424</v>
      </c>
      <c r="B7942" s="2"/>
      <c r="C7942" s="2" t="str">
        <v>0</v>
      </c>
      <c r="D7942" s="2"/>
      <c r="F7942" s="2" t="str">
        <v>0</v>
      </c>
      <c r="I7942" s="3" t="str">
        <f ca="1">IFERROR(__xludf.DUMMYFUNCTION("""COMPUTED_VALUE"""),"Đồng Nữ Bảo Linh")</f>
        <v>Đồng Nữ Bảo Linh</v>
      </c>
      <c r="J7942" s="3" t="str">
        <f ca="1">IFERROR(__xludf.DUMMYFUNCTION("""COMPUTED_VALUE"""),"0562861666")</f>
        <v>0562861666</v>
      </c>
      <c r="K7942" s="2" t="str">
        <f ca="1">IFERROR(__xludf.DUMMYFUNCTION("""COMPUTED_VALUE"""),"1759957649424")</f>
        <v>1759957649424</v>
      </c>
    </row>
    <row r="7943" spans="1:11" ht="12.45">
      <c r="A7943" s="2" t="str">
        <f ca="1">IFERROR(__xludf.DUMMYFUNCTION("""COMPUTED_VALUE"""),"1759957690597")</f>
        <v>1759957690597</v>
      </c>
      <c r="B7943" s="2"/>
      <c r="C7943" s="2" t="str">
        <v>0</v>
      </c>
      <c r="D7943" s="2"/>
      <c r="F7943" s="2" t="str">
        <v>0</v>
      </c>
      <c r="I7943" s="3" t="str">
        <f ca="1">IFERROR(__xludf.DUMMYFUNCTION("""COMPUTED_VALUE"""),"NGUYỄN THÀNH TRUNG ")</f>
        <v xml:space="preserve">NGUYỄN THÀNH TRUNG </v>
      </c>
      <c r="J7943" s="3" t="str">
        <f ca="1">IFERROR(__xludf.DUMMYFUNCTION("""COMPUTED_VALUE"""),"0981392817")</f>
        <v>0981392817</v>
      </c>
      <c r="K7943" s="2" t="str">
        <f ca="1">IFERROR(__xludf.DUMMYFUNCTION("""COMPUTED_VALUE"""),"1759957690597")</f>
        <v>1759957690597</v>
      </c>
    </row>
    <row r="7944" spans="1:11" ht="12.45">
      <c r="A7944" s="2" t="str">
        <f ca="1">IFERROR(__xludf.DUMMYFUNCTION("""COMPUTED_VALUE"""),"1759957730263")</f>
        <v>1759957730263</v>
      </c>
      <c r="B7944" s="2"/>
      <c r="C7944" s="2" t="str">
        <v>0</v>
      </c>
      <c r="D7944" s="2"/>
      <c r="F7944" s="2" t="str">
        <v>0</v>
      </c>
      <c r="I7944" s="3" t="str">
        <f ca="1">IFERROR(__xludf.DUMMYFUNCTION("""COMPUTED_VALUE"""),"Nguyễn Đặng Cát Tiên")</f>
        <v>Nguyễn Đặng Cát Tiên</v>
      </c>
      <c r="J7944" s="3" t="str">
        <f ca="1">IFERROR(__xludf.DUMMYFUNCTION("""COMPUTED_VALUE"""),"0839675959")</f>
        <v>0839675959</v>
      </c>
      <c r="K7944" s="2" t="str">
        <f ca="1">IFERROR(__xludf.DUMMYFUNCTION("""COMPUTED_VALUE"""),"1759957730263")</f>
        <v>1759957730263</v>
      </c>
    </row>
    <row r="7945" spans="1:11" ht="12.45">
      <c r="A7945" s="2" t="str">
        <f ca="1">IFERROR(__xludf.DUMMYFUNCTION("""COMPUTED_VALUE"""),"1759957762106")</f>
        <v>1759957762106</v>
      </c>
      <c r="B7945" s="2"/>
      <c r="C7945" s="2" t="str">
        <v>0</v>
      </c>
      <c r="D7945" s="2"/>
      <c r="F7945" s="2" t="str">
        <v>0</v>
      </c>
      <c r="I7945" s="3" t="str">
        <f ca="1">IFERROR(__xludf.DUMMYFUNCTION("""COMPUTED_VALUE"""),"Dương Minh Ngọc")</f>
        <v>Dương Minh Ngọc</v>
      </c>
      <c r="J7945" s="3" t="str">
        <f ca="1">IFERROR(__xludf.DUMMYFUNCTION("""COMPUTED_VALUE"""),"0369208910")</f>
        <v>0369208910</v>
      </c>
      <c r="K7945" s="2" t="str">
        <f ca="1">IFERROR(__xludf.DUMMYFUNCTION("""COMPUTED_VALUE"""),"1759957762106")</f>
        <v>1759957762106</v>
      </c>
    </row>
    <row r="7946" spans="1:11" ht="12.45">
      <c r="A7946" s="2" t="str">
        <f ca="1">IFERROR(__xludf.DUMMYFUNCTION("""COMPUTED_VALUE"""),"1759957794991")</f>
        <v>1759957794991</v>
      </c>
      <c r="B7946" s="2"/>
      <c r="C7946" s="2" t="str">
        <v>0</v>
      </c>
      <c r="D7946" s="2"/>
      <c r="F7946" s="2" t="str">
        <v>0</v>
      </c>
      <c r="I7946" s="3" t="str">
        <f ca="1">IFERROR(__xludf.DUMMYFUNCTION("""COMPUTED_VALUE"""),"Cung Thảo Anh")</f>
        <v>Cung Thảo Anh</v>
      </c>
      <c r="J7946" s="3" t="str">
        <f ca="1">IFERROR(__xludf.DUMMYFUNCTION("""COMPUTED_VALUE"""),"0988297983")</f>
        <v>0988297983</v>
      </c>
      <c r="K7946" s="2" t="str">
        <f ca="1">IFERROR(__xludf.DUMMYFUNCTION("""COMPUTED_VALUE"""),"1759957794991")</f>
        <v>1759957794991</v>
      </c>
    </row>
    <row r="7947" spans="1:11" ht="12.45">
      <c r="A7947" s="2" t="str">
        <f ca="1">IFERROR(__xludf.DUMMYFUNCTION("""COMPUTED_VALUE"""),"1759957828725")</f>
        <v>1759957828725</v>
      </c>
      <c r="B7947" s="2"/>
      <c r="C7947" s="2" t="str">
        <v>0</v>
      </c>
      <c r="D7947" s="2"/>
      <c r="F7947" s="2" t="str">
        <v>0</v>
      </c>
      <c r="I7947" s="3" t="str">
        <f ca="1">IFERROR(__xludf.DUMMYFUNCTION("""COMPUTED_VALUE"""),"Nguyễn Huỳnh Cẩm Nhung ")</f>
        <v xml:space="preserve">Nguyễn Huỳnh Cẩm Nhung </v>
      </c>
      <c r="J7947" s="3" t="str">
        <f ca="1">IFERROR(__xludf.DUMMYFUNCTION("""COMPUTED_VALUE"""),"0849443855")</f>
        <v>0849443855</v>
      </c>
      <c r="K7947" s="2" t="str">
        <f ca="1">IFERROR(__xludf.DUMMYFUNCTION("""COMPUTED_VALUE"""),"1759957828725")</f>
        <v>1759957828725</v>
      </c>
    </row>
    <row r="7948" spans="1:11" ht="12.45">
      <c r="A7948" s="2" t="str">
        <f ca="1">IFERROR(__xludf.DUMMYFUNCTION("""COMPUTED_VALUE"""),"1759957863789")</f>
        <v>1759957863789</v>
      </c>
      <c r="B7948" s="2"/>
      <c r="C7948" s="2" t="str">
        <v>0</v>
      </c>
      <c r="D7948" s="2"/>
      <c r="F7948" s="2" t="str">
        <v>0</v>
      </c>
      <c r="I7948" s="3" t="str">
        <f ca="1">IFERROR(__xludf.DUMMYFUNCTION("""COMPUTED_VALUE"""),"Bùi Hương Giang ")</f>
        <v xml:space="preserve">Bùi Hương Giang </v>
      </c>
      <c r="J7948" s="3" t="str">
        <f ca="1">IFERROR(__xludf.DUMMYFUNCTION("""COMPUTED_VALUE"""),"0963853062")</f>
        <v>0963853062</v>
      </c>
      <c r="K7948" s="2" t="str">
        <f ca="1">IFERROR(__xludf.DUMMYFUNCTION("""COMPUTED_VALUE"""),"1759957863789")</f>
        <v>1759957863789</v>
      </c>
    </row>
    <row r="7949" spans="1:11" ht="12.45">
      <c r="A7949" s="2" t="str">
        <f ca="1">IFERROR(__xludf.DUMMYFUNCTION("""COMPUTED_VALUE"""),"1759957892848")</f>
        <v>1759957892848</v>
      </c>
      <c r="B7949" s="2"/>
      <c r="C7949" s="2" t="str">
        <v>0</v>
      </c>
      <c r="D7949" s="2"/>
      <c r="F7949" s="2" t="str">
        <v>0</v>
      </c>
      <c r="I7949" s="3" t="str">
        <f ca="1">IFERROR(__xludf.DUMMYFUNCTION("""COMPUTED_VALUE"""),"TRẦN LÊ NHẬT HÙNG")</f>
        <v>TRẦN LÊ NHẬT HÙNG</v>
      </c>
      <c r="J7949" s="3" t="str">
        <f ca="1">IFERROR(__xludf.DUMMYFUNCTION("""COMPUTED_VALUE"""),"0932848829")</f>
        <v>0932848829</v>
      </c>
      <c r="K7949" s="2" t="str">
        <f ca="1">IFERROR(__xludf.DUMMYFUNCTION("""COMPUTED_VALUE"""),"1759957892848")</f>
        <v>1759957892848</v>
      </c>
    </row>
    <row r="7950" spans="1:11" ht="12.45">
      <c r="A7950" s="2" t="str">
        <f ca="1">IFERROR(__xludf.DUMMYFUNCTION("""COMPUTED_VALUE"""),"1759957927112")</f>
        <v>1759957927112</v>
      </c>
      <c r="B7950" s="2"/>
      <c r="C7950" s="2" t="str">
        <v>0</v>
      </c>
      <c r="D7950" s="2"/>
      <c r="F7950" s="2" t="str">
        <v>0</v>
      </c>
      <c r="I7950" s="3" t="str">
        <f ca="1">IFERROR(__xludf.DUMMYFUNCTION("""COMPUTED_VALUE"""),"Đinh Thị Thuý Quỳnh ")</f>
        <v xml:space="preserve">Đinh Thị Thuý Quỳnh </v>
      </c>
      <c r="J7950" s="3" t="str">
        <f ca="1">IFERROR(__xludf.DUMMYFUNCTION("""COMPUTED_VALUE"""),"0972503970")</f>
        <v>0972503970</v>
      </c>
      <c r="K7950" s="2" t="str">
        <f ca="1">IFERROR(__xludf.DUMMYFUNCTION("""COMPUTED_VALUE"""),"1759957927112")</f>
        <v>1759957927112</v>
      </c>
    </row>
    <row r="7951" spans="1:11" ht="12.45">
      <c r="A7951" s="2" t="str">
        <f ca="1">IFERROR(__xludf.DUMMYFUNCTION("""COMPUTED_VALUE"""),"1759957965253")</f>
        <v>1759957965253</v>
      </c>
      <c r="B7951" s="2"/>
      <c r="C7951" s="2" t="str">
        <v>0</v>
      </c>
      <c r="D7951" s="2"/>
      <c r="F7951" s="2" t="str">
        <v>0</v>
      </c>
      <c r="I7951" s="3" t="str">
        <f ca="1">IFERROR(__xludf.DUMMYFUNCTION("""COMPUTED_VALUE"""),"Ngô Thị Mai Trâm ")</f>
        <v xml:space="preserve">Ngô Thị Mai Trâm </v>
      </c>
      <c r="J7951" s="3" t="str">
        <f ca="1">IFERROR(__xludf.DUMMYFUNCTION("""COMPUTED_VALUE"""),"0352091331")</f>
        <v>0352091331</v>
      </c>
      <c r="K7951" s="2" t="str">
        <f ca="1">IFERROR(__xludf.DUMMYFUNCTION("""COMPUTED_VALUE"""),"1759957965253")</f>
        <v>1759957965253</v>
      </c>
    </row>
    <row r="7952" spans="1:11" ht="12.45">
      <c r="A7952" s="2" t="str">
        <f ca="1">IFERROR(__xludf.DUMMYFUNCTION("""COMPUTED_VALUE"""),"1759957996305")</f>
        <v>1759957996305</v>
      </c>
      <c r="B7952" s="2"/>
      <c r="C7952" s="2" t="str">
        <v>0</v>
      </c>
      <c r="D7952" s="2"/>
      <c r="F7952" s="2" t="str">
        <v>0</v>
      </c>
      <c r="I7952" s="3" t="str">
        <f ca="1">IFERROR(__xludf.DUMMYFUNCTION("""COMPUTED_VALUE"""),"Trương Phương Linh")</f>
        <v>Trương Phương Linh</v>
      </c>
      <c r="J7952" s="3" t="str">
        <f ca="1">IFERROR(__xludf.DUMMYFUNCTION("""COMPUTED_VALUE"""),"0375709047")</f>
        <v>0375709047</v>
      </c>
      <c r="K7952" s="2" t="str">
        <f ca="1">IFERROR(__xludf.DUMMYFUNCTION("""COMPUTED_VALUE"""),"1759957996305")</f>
        <v>1759957996305</v>
      </c>
    </row>
    <row r="7953" spans="1:11" ht="12.45">
      <c r="A7953" s="2" t="str">
        <f ca="1">IFERROR(__xludf.DUMMYFUNCTION("""COMPUTED_VALUE"""),"1759958045887")</f>
        <v>1759958045887</v>
      </c>
      <c r="B7953" s="2"/>
      <c r="C7953" s="2" t="str">
        <v>0</v>
      </c>
      <c r="D7953" s="2"/>
      <c r="F7953" s="2" t="str">
        <v>0</v>
      </c>
      <c r="I7953" s="3" t="str">
        <f ca="1">IFERROR(__xludf.DUMMYFUNCTION("""COMPUTED_VALUE"""),"Huỳnh Thị Kim Nguyệt")</f>
        <v>Huỳnh Thị Kim Nguyệt</v>
      </c>
      <c r="J7953" s="3" t="str">
        <f ca="1">IFERROR(__xludf.DUMMYFUNCTION("""COMPUTED_VALUE"""),"0896128767")</f>
        <v>0896128767</v>
      </c>
      <c r="K7953" s="2" t="str">
        <f ca="1">IFERROR(__xludf.DUMMYFUNCTION("""COMPUTED_VALUE"""),"1759958045887")</f>
        <v>1759958045887</v>
      </c>
    </row>
    <row r="7954" spans="1:11" ht="12.45">
      <c r="A7954" s="2" t="str">
        <f ca="1">IFERROR(__xludf.DUMMYFUNCTION("""COMPUTED_VALUE"""),"1759958106396")</f>
        <v>1759958106396</v>
      </c>
      <c r="B7954" s="2"/>
      <c r="C7954" s="2" t="str">
        <v>0</v>
      </c>
      <c r="D7954" s="2"/>
      <c r="F7954" s="2" t="str">
        <v>0</v>
      </c>
      <c r="I7954" s="3" t="str">
        <f ca="1">IFERROR(__xludf.DUMMYFUNCTION("""COMPUTED_VALUE"""),"Phạm Nguyễn Bảo Nhi")</f>
        <v>Phạm Nguyễn Bảo Nhi</v>
      </c>
      <c r="J7954" s="3" t="str">
        <f ca="1">IFERROR(__xludf.DUMMYFUNCTION("""COMPUTED_VALUE"""),"0392781890")</f>
        <v>0392781890</v>
      </c>
      <c r="K7954" s="2" t="str">
        <f ca="1">IFERROR(__xludf.DUMMYFUNCTION("""COMPUTED_VALUE"""),"1759958106396")</f>
        <v>1759958106396</v>
      </c>
    </row>
    <row r="7955" spans="1:11" ht="12.45">
      <c r="A7955" s="2"/>
      <c r="B7955" s="2"/>
      <c r="C7955" s="2" t="str">
        <v>0</v>
      </c>
      <c r="D7955" s="2"/>
      <c r="F7955" s="2" t="str">
        <v>0</v>
      </c>
      <c r="I7955" s="3" t="str">
        <f ca="1">IFERROR(__xludf.DUMMYFUNCTION("""COMPUTED_VALUE"""),"Trần Vũ Anh Thư")</f>
        <v>Trần Vũ Anh Thư</v>
      </c>
      <c r="J7955" s="3" t="str">
        <f ca="1">IFERROR(__xludf.DUMMYFUNCTION("""COMPUTED_VALUE"""),"0769661004")</f>
        <v>0769661004</v>
      </c>
      <c r="K7955" s="2"/>
    </row>
    <row r="7956" spans="1:11" ht="12.45">
      <c r="A7956" s="2" t="str">
        <f ca="1">IFERROR(__xludf.DUMMYFUNCTION("""COMPUTED_VALUE"""),"1759958162686")</f>
        <v>1759958162686</v>
      </c>
      <c r="B7956" s="2"/>
      <c r="C7956" s="2" t="str">
        <v>0</v>
      </c>
      <c r="D7956" s="2"/>
      <c r="F7956" s="2" t="str">
        <v>0</v>
      </c>
      <c r="I7956" s="3" t="str">
        <f ca="1">IFERROR(__xludf.DUMMYFUNCTION("""COMPUTED_VALUE"""),"Hoàng Bảo Trâm")</f>
        <v>Hoàng Bảo Trâm</v>
      </c>
      <c r="J7956" s="3" t="str">
        <f ca="1">IFERROR(__xludf.DUMMYFUNCTION("""COMPUTED_VALUE"""),"0918021423")</f>
        <v>0918021423</v>
      </c>
      <c r="K7956" s="2" t="str">
        <f ca="1">IFERROR(__xludf.DUMMYFUNCTION("""COMPUTED_VALUE"""),"1759958162686")</f>
        <v>1759958162686</v>
      </c>
    </row>
    <row r="7957" spans="1:11" ht="12.45">
      <c r="A7957" s="2" t="str">
        <f ca="1">IFERROR(__xludf.DUMMYFUNCTION("""COMPUTED_VALUE"""),"1759958204898")</f>
        <v>1759958204898</v>
      </c>
      <c r="B7957" s="2"/>
      <c r="C7957" s="2" t="str">
        <v>0</v>
      </c>
      <c r="D7957" s="2"/>
      <c r="F7957" s="2" t="str">
        <v>0</v>
      </c>
      <c r="I7957" s="3" t="str">
        <f ca="1">IFERROR(__xludf.DUMMYFUNCTION("""COMPUTED_VALUE"""),"Đinh Huyền Trang ")</f>
        <v xml:space="preserve">Đinh Huyền Trang </v>
      </c>
      <c r="J7957" s="3" t="str">
        <f ca="1">IFERROR(__xludf.DUMMYFUNCTION("""COMPUTED_VALUE"""),"0365257208")</f>
        <v>0365257208</v>
      </c>
      <c r="K7957" s="2" t="str">
        <f ca="1">IFERROR(__xludf.DUMMYFUNCTION("""COMPUTED_VALUE"""),"1759958204898")</f>
        <v>1759958204898</v>
      </c>
    </row>
    <row r="7958" spans="1:11" ht="12.45">
      <c r="A7958" s="2" t="str">
        <f ca="1">IFERROR(__xludf.DUMMYFUNCTION("""COMPUTED_VALUE"""),"1759958251055")</f>
        <v>1759958251055</v>
      </c>
      <c r="B7958" s="2"/>
      <c r="C7958" s="2" t="str">
        <v>0</v>
      </c>
      <c r="D7958" s="2"/>
      <c r="F7958" s="2" t="str">
        <v>0</v>
      </c>
      <c r="I7958" s="3" t="str">
        <f ca="1">IFERROR(__xludf.DUMMYFUNCTION("""COMPUTED_VALUE"""),"Huỳnh Nhựt Huy")</f>
        <v>Huỳnh Nhựt Huy</v>
      </c>
      <c r="J7958" s="3" t="str">
        <f ca="1">IFERROR(__xludf.DUMMYFUNCTION("""COMPUTED_VALUE"""),"0397682407")</f>
        <v>0397682407</v>
      </c>
      <c r="K7958" s="2" t="str">
        <f ca="1">IFERROR(__xludf.DUMMYFUNCTION("""COMPUTED_VALUE"""),"1759958251055")</f>
        <v>1759958251055</v>
      </c>
    </row>
    <row r="7959" spans="1:11" ht="12.45">
      <c r="A7959" s="2"/>
      <c r="B7959" s="2"/>
      <c r="C7959" s="2" t="str">
        <v>0</v>
      </c>
      <c r="D7959" s="2"/>
      <c r="F7959" s="2" t="str">
        <v>0</v>
      </c>
      <c r="I7959" s="3" t="str">
        <f ca="1">IFERROR(__xludf.DUMMYFUNCTION("""COMPUTED_VALUE"""),"Kiều Hương Giang")</f>
        <v>Kiều Hương Giang</v>
      </c>
      <c r="J7959" s="3" t="str">
        <f ca="1">IFERROR(__xludf.DUMMYFUNCTION("""COMPUTED_VALUE"""),"0346056970")</f>
        <v>0346056970</v>
      </c>
      <c r="K7959" s="2"/>
    </row>
    <row r="7960" spans="1:11" ht="12.45">
      <c r="A7960" s="2" t="str">
        <f ca="1">IFERROR(__xludf.DUMMYFUNCTION("""COMPUTED_VALUE"""),"1759958290234")</f>
        <v>1759958290234</v>
      </c>
      <c r="B7960" s="2"/>
      <c r="C7960" s="2" t="str">
        <v>0</v>
      </c>
      <c r="D7960" s="2"/>
      <c r="F7960" s="2" t="str">
        <v>0</v>
      </c>
      <c r="I7960" s="3" t="str">
        <f ca="1">IFERROR(__xludf.DUMMYFUNCTION("""COMPUTED_VALUE"""),"Nguyễn Minh Trí ")</f>
        <v xml:space="preserve">Nguyễn Minh Trí </v>
      </c>
      <c r="J7960" s="3" t="str">
        <f ca="1">IFERROR(__xludf.DUMMYFUNCTION("""COMPUTED_VALUE"""),"0345944611")</f>
        <v>0345944611</v>
      </c>
      <c r="K7960" s="2" t="str">
        <f ca="1">IFERROR(__xludf.DUMMYFUNCTION("""COMPUTED_VALUE"""),"1759958290234")</f>
        <v>1759958290234</v>
      </c>
    </row>
    <row r="7961" spans="1:11" ht="12.45">
      <c r="A7961" s="2" t="str">
        <f ca="1">IFERROR(__xludf.DUMMYFUNCTION("""COMPUTED_VALUE"""),"1759958348020")</f>
        <v>1759958348020</v>
      </c>
      <c r="B7961" s="2"/>
      <c r="C7961" s="2" t="str">
        <v>0</v>
      </c>
      <c r="D7961" s="2"/>
      <c r="F7961" s="2" t="str">
        <v>0</v>
      </c>
      <c r="I7961" s="3" t="str">
        <f ca="1">IFERROR(__xludf.DUMMYFUNCTION("""COMPUTED_VALUE"""),"Lường Trần Minh Đức")</f>
        <v>Lường Trần Minh Đức</v>
      </c>
      <c r="J7961" s="3" t="str">
        <f ca="1">IFERROR(__xludf.DUMMYFUNCTION("""COMPUTED_VALUE"""),"0949214820")</f>
        <v>0949214820</v>
      </c>
      <c r="K7961" s="2" t="str">
        <f ca="1">IFERROR(__xludf.DUMMYFUNCTION("""COMPUTED_VALUE"""),"1759958348020")</f>
        <v>1759958348020</v>
      </c>
    </row>
    <row r="7962" spans="1:11" ht="12.45">
      <c r="A7962" s="2" t="str">
        <f ca="1">IFERROR(__xludf.DUMMYFUNCTION("""COMPUTED_VALUE"""),"1759958397151")</f>
        <v>1759958397151</v>
      </c>
      <c r="B7962" s="2"/>
      <c r="C7962" s="2" t="str">
        <v>0</v>
      </c>
      <c r="D7962" s="2"/>
      <c r="F7962" s="2" t="str">
        <v>0</v>
      </c>
      <c r="I7962" s="3" t="str">
        <f ca="1">IFERROR(__xludf.DUMMYFUNCTION("""COMPUTED_VALUE"""),"Nguyễn Hoàng Hiệp")</f>
        <v>Nguyễn Hoàng Hiệp</v>
      </c>
      <c r="J7962" s="3" t="str">
        <f ca="1">IFERROR(__xludf.DUMMYFUNCTION("""COMPUTED_VALUE"""),"0399741207")</f>
        <v>0399741207</v>
      </c>
      <c r="K7962" s="2" t="str">
        <f ca="1">IFERROR(__xludf.DUMMYFUNCTION("""COMPUTED_VALUE"""),"1759958397151")</f>
        <v>1759958397151</v>
      </c>
    </row>
    <row r="7963" spans="1:11" ht="12.45">
      <c r="A7963" s="2" t="str">
        <f ca="1">IFERROR(__xludf.DUMMYFUNCTION("""COMPUTED_VALUE"""),"1759958458765")</f>
        <v>1759958458765</v>
      </c>
      <c r="B7963" s="2"/>
      <c r="C7963" s="2" t="str">
        <v>0</v>
      </c>
      <c r="D7963" s="2"/>
      <c r="F7963" s="2" t="str">
        <v>0</v>
      </c>
      <c r="I7963" s="3" t="str">
        <f ca="1">IFERROR(__xludf.DUMMYFUNCTION("""COMPUTED_VALUE"""),"Đỗ Thị Mỹ Tiên ")</f>
        <v xml:space="preserve">Đỗ Thị Mỹ Tiên </v>
      </c>
      <c r="J7963" s="3" t="str">
        <f ca="1">IFERROR(__xludf.DUMMYFUNCTION("""COMPUTED_VALUE"""),"0355922870")</f>
        <v>0355922870</v>
      </c>
      <c r="K7963" s="2" t="str">
        <f ca="1">IFERROR(__xludf.DUMMYFUNCTION("""COMPUTED_VALUE"""),"1759958458765")</f>
        <v>1759958458765</v>
      </c>
    </row>
    <row r="7964" spans="1:11" ht="12.45">
      <c r="A7964" s="2" t="str">
        <f ca="1">IFERROR(__xludf.DUMMYFUNCTION("""COMPUTED_VALUE"""),"1759958506247")</f>
        <v>1759958506247</v>
      </c>
      <c r="B7964" s="2"/>
      <c r="C7964" s="2" t="str">
        <v>0</v>
      </c>
      <c r="D7964" s="2"/>
      <c r="F7964" s="2" t="str">
        <v>0</v>
      </c>
      <c r="I7964" s="3" t="str">
        <f ca="1">IFERROR(__xludf.DUMMYFUNCTION("""COMPUTED_VALUE"""),"Nguyễn Thị Thu")</f>
        <v>Nguyễn Thị Thu</v>
      </c>
      <c r="J7964" s="3" t="str">
        <f ca="1">IFERROR(__xludf.DUMMYFUNCTION("""COMPUTED_VALUE"""),"0387823510")</f>
        <v>0387823510</v>
      </c>
      <c r="K7964" s="2" t="str">
        <f ca="1">IFERROR(__xludf.DUMMYFUNCTION("""COMPUTED_VALUE"""),"1759958506247")</f>
        <v>1759958506247</v>
      </c>
    </row>
    <row r="7965" spans="1:11" ht="12.45">
      <c r="A7965" s="2"/>
      <c r="B7965" s="2"/>
      <c r="C7965" s="2" t="str">
        <v>0</v>
      </c>
      <c r="D7965" s="2"/>
      <c r="F7965" s="2" t="str">
        <v>0</v>
      </c>
      <c r="I7965" s="3" t="str">
        <f ca="1">IFERROR(__xludf.DUMMYFUNCTION("""COMPUTED_VALUE"""),"nguyễn thị ngọc minh")</f>
        <v>nguyễn thị ngọc minh</v>
      </c>
      <c r="J7965" s="3" t="str">
        <f ca="1">IFERROR(__xludf.DUMMYFUNCTION("""COMPUTED_VALUE"""),"8437484418")</f>
        <v>8437484418</v>
      </c>
      <c r="K7965" s="2"/>
    </row>
    <row r="7966" spans="1:11" ht="12.45">
      <c r="A7966" s="2" t="str">
        <f ca="1">IFERROR(__xludf.DUMMYFUNCTION("""COMPUTED_VALUE"""),"1759958558454")</f>
        <v>1759958558454</v>
      </c>
      <c r="B7966" s="2"/>
      <c r="C7966" s="2" t="str">
        <v>0</v>
      </c>
      <c r="D7966" s="2"/>
      <c r="F7966" s="2" t="str">
        <v>0</v>
      </c>
      <c r="I7966" s="3" t="str">
        <f ca="1">IFERROR(__xludf.DUMMYFUNCTION("""COMPUTED_VALUE"""),"Trịnh Thái Bảo ")</f>
        <v xml:space="preserve">Trịnh Thái Bảo </v>
      </c>
      <c r="J7966" s="3" t="str">
        <f ca="1">IFERROR(__xludf.DUMMYFUNCTION("""COMPUTED_VALUE"""),"0336116506")</f>
        <v>0336116506</v>
      </c>
      <c r="K7966" s="2" t="str">
        <f ca="1">IFERROR(__xludf.DUMMYFUNCTION("""COMPUTED_VALUE"""),"1759958558454")</f>
        <v>1759958558454</v>
      </c>
    </row>
    <row r="7967" spans="1:11" ht="12.45">
      <c r="A7967" s="2" t="str">
        <f ca="1">IFERROR(__xludf.DUMMYFUNCTION("""COMPUTED_VALUE"""),"1759958594153")</f>
        <v>1759958594153</v>
      </c>
      <c r="B7967" s="2"/>
      <c r="C7967" s="2" t="str">
        <v>0</v>
      </c>
      <c r="D7967" s="2"/>
      <c r="F7967" s="2" t="str">
        <v>0</v>
      </c>
      <c r="I7967" s="3" t="str">
        <f ca="1">IFERROR(__xludf.DUMMYFUNCTION("""COMPUTED_VALUE"""),"Phạm Mai Linh")</f>
        <v>Phạm Mai Linh</v>
      </c>
      <c r="J7967" s="3" t="str">
        <f ca="1">IFERROR(__xludf.DUMMYFUNCTION("""COMPUTED_VALUE"""),"0352863282")</f>
        <v>0352863282</v>
      </c>
      <c r="K7967" s="2" t="str">
        <f ca="1">IFERROR(__xludf.DUMMYFUNCTION("""COMPUTED_VALUE"""),"1759958594153")</f>
        <v>1759958594153</v>
      </c>
    </row>
    <row r="7968" spans="1:11" ht="12.45">
      <c r="A7968" s="2" t="str">
        <f ca="1">IFERROR(__xludf.DUMMYFUNCTION("""COMPUTED_VALUE"""),"1759967098068")</f>
        <v>1759967098068</v>
      </c>
      <c r="B7968" s="2"/>
      <c r="C7968" s="2" t="str">
        <v>0</v>
      </c>
      <c r="D7968" s="2"/>
      <c r="F7968" s="2" t="str">
        <v>0</v>
      </c>
      <c r="I7968" s="3" t="str">
        <f ca="1">IFERROR(__xludf.DUMMYFUNCTION("""COMPUTED_VALUE"""),"Đỗ Quốc Hùng Vương")</f>
        <v>Đỗ Quốc Hùng Vương</v>
      </c>
      <c r="J7968" s="3" t="str">
        <f ca="1">IFERROR(__xludf.DUMMYFUNCTION("""COMPUTED_VALUE"""),"0855310257")</f>
        <v>0855310257</v>
      </c>
      <c r="K7968" s="2" t="str">
        <f ca="1">IFERROR(__xludf.DUMMYFUNCTION("""COMPUTED_VALUE"""),"1759967098068")</f>
        <v>1759967098068</v>
      </c>
    </row>
    <row r="7969" spans="1:11" ht="12.45">
      <c r="A7969" s="2" t="str">
        <f ca="1">IFERROR(__xludf.DUMMYFUNCTION("""COMPUTED_VALUE"""),"1759967158665")</f>
        <v>1759967158665</v>
      </c>
      <c r="B7969" s="2"/>
      <c r="C7969" s="2" t="str">
        <v>0</v>
      </c>
      <c r="D7969" s="2"/>
      <c r="F7969" s="2" t="str">
        <v>0</v>
      </c>
      <c r="I7969" s="3" t="str">
        <f ca="1">IFERROR(__xludf.DUMMYFUNCTION("""COMPUTED_VALUE"""),"Trần Thị Tú Quyên")</f>
        <v>Trần Thị Tú Quyên</v>
      </c>
      <c r="J7969" s="3" t="str">
        <f ca="1">IFERROR(__xludf.DUMMYFUNCTION("""COMPUTED_VALUE"""),"0369455172")</f>
        <v>0369455172</v>
      </c>
      <c r="K7969" s="2" t="str">
        <f ca="1">IFERROR(__xludf.DUMMYFUNCTION("""COMPUTED_VALUE"""),"1759967158665")</f>
        <v>1759967158665</v>
      </c>
    </row>
    <row r="7970" spans="1:11" ht="12.45">
      <c r="A7970" s="2" t="str">
        <f ca="1">IFERROR(__xludf.DUMMYFUNCTION("""COMPUTED_VALUE"""),"1759967224519")</f>
        <v>1759967224519</v>
      </c>
      <c r="B7970" s="2"/>
      <c r="C7970" s="2" t="str">
        <v>0</v>
      </c>
      <c r="D7970" s="2"/>
      <c r="F7970" s="2" t="str">
        <v>0</v>
      </c>
      <c r="I7970" s="3" t="str">
        <f ca="1">IFERROR(__xludf.DUMMYFUNCTION("""COMPUTED_VALUE"""),"Phạm Nguyễn Phúc Luyến")</f>
        <v>Phạm Nguyễn Phúc Luyến</v>
      </c>
      <c r="J7970" s="3" t="str">
        <f ca="1">IFERROR(__xludf.DUMMYFUNCTION("""COMPUTED_VALUE"""),"8326244520")</f>
        <v>8326244520</v>
      </c>
      <c r="K7970" s="2" t="str">
        <f ca="1">IFERROR(__xludf.DUMMYFUNCTION("""COMPUTED_VALUE"""),"1759967224519")</f>
        <v>1759967224519</v>
      </c>
    </row>
    <row r="7971" spans="1:11" ht="12.45">
      <c r="A7971" s="2"/>
      <c r="B7971" s="2"/>
      <c r="C7971" s="2" t="str">
        <v>0</v>
      </c>
      <c r="D7971" s="2"/>
      <c r="F7971" s="2" t="str">
        <v>0</v>
      </c>
      <c r="I7971" s="3" t="str">
        <f ca="1">IFERROR(__xludf.DUMMYFUNCTION("""COMPUTED_VALUE"""),"Đào Thị Tú Uyên ")</f>
        <v xml:space="preserve">Đào Thị Tú Uyên </v>
      </c>
      <c r="J7971" s="3" t="str">
        <f ca="1">IFERROR(__xludf.DUMMYFUNCTION("""COMPUTED_VALUE"""),"0967845086")</f>
        <v>0967845086</v>
      </c>
      <c r="K7971" s="2"/>
    </row>
    <row r="7972" spans="1:11" ht="12.45">
      <c r="A7972" s="2" t="str">
        <f ca="1">IFERROR(__xludf.DUMMYFUNCTION("""COMPUTED_VALUE"""),"1759967270928")</f>
        <v>1759967270928</v>
      </c>
      <c r="B7972" s="2"/>
      <c r="C7972" s="2" t="str">
        <v>0</v>
      </c>
      <c r="D7972" s="2"/>
      <c r="F7972" s="2" t="str">
        <v>0</v>
      </c>
      <c r="I7972" s="3" t="str">
        <f ca="1">IFERROR(__xludf.DUMMYFUNCTION("""COMPUTED_VALUE"""),"Phạm Ngọc Tuân")</f>
        <v>Phạm Ngọc Tuân</v>
      </c>
      <c r="J7972" s="3" t="str">
        <f ca="1">IFERROR(__xludf.DUMMYFUNCTION("""COMPUTED_VALUE"""),"0869070148")</f>
        <v>0869070148</v>
      </c>
      <c r="K7972" s="2" t="str">
        <f ca="1">IFERROR(__xludf.DUMMYFUNCTION("""COMPUTED_VALUE"""),"1759967270928")</f>
        <v>1759967270928</v>
      </c>
    </row>
    <row r="7973" spans="1:11" ht="12.45">
      <c r="A7973" s="2" t="str">
        <f ca="1">IFERROR(__xludf.DUMMYFUNCTION("""COMPUTED_VALUE"""),"1759967323827")</f>
        <v>1759967323827</v>
      </c>
      <c r="B7973" s="2"/>
      <c r="C7973" s="2" t="str">
        <v>0</v>
      </c>
      <c r="D7973" s="2"/>
      <c r="F7973" s="2" t="str">
        <v>0</v>
      </c>
      <c r="I7973" s="3" t="str">
        <f ca="1">IFERROR(__xludf.DUMMYFUNCTION("""COMPUTED_VALUE"""),"Tạ Thảo Ngân")</f>
        <v>Tạ Thảo Ngân</v>
      </c>
      <c r="J7973" s="3" t="str">
        <f ca="1">IFERROR(__xludf.DUMMYFUNCTION("""COMPUTED_VALUE"""),"0326346939")</f>
        <v>0326346939</v>
      </c>
      <c r="K7973" s="2" t="str">
        <f ca="1">IFERROR(__xludf.DUMMYFUNCTION("""COMPUTED_VALUE"""),"1759967323827")</f>
        <v>1759967323827</v>
      </c>
    </row>
    <row r="7974" spans="1:11" ht="12.45">
      <c r="A7974" s="2" t="str">
        <f ca="1">IFERROR(__xludf.DUMMYFUNCTION("""COMPUTED_VALUE"""),"1759967399040")</f>
        <v>1759967399040</v>
      </c>
      <c r="B7974" s="2"/>
      <c r="C7974" s="2" t="str">
        <v>0</v>
      </c>
      <c r="D7974" s="2"/>
      <c r="F7974" s="2" t="str">
        <v>0</v>
      </c>
      <c r="I7974" s="3" t="str">
        <f ca="1">IFERROR(__xludf.DUMMYFUNCTION("""COMPUTED_VALUE"""),"Nguyễn Phương Nga")</f>
        <v>Nguyễn Phương Nga</v>
      </c>
      <c r="J7974" s="3" t="str">
        <f ca="1">IFERROR(__xludf.DUMMYFUNCTION("""COMPUTED_VALUE"""),"0379144875")</f>
        <v>0379144875</v>
      </c>
      <c r="K7974" s="2" t="str">
        <f ca="1">IFERROR(__xludf.DUMMYFUNCTION("""COMPUTED_VALUE"""),"1759967399040")</f>
        <v>1759967399040</v>
      </c>
    </row>
    <row r="7975" spans="1:11" ht="12.45">
      <c r="A7975" s="2" t="str">
        <f ca="1">IFERROR(__xludf.DUMMYFUNCTION("""COMPUTED_VALUE"""),"1759967457646")</f>
        <v>1759967457646</v>
      </c>
      <c r="B7975" s="2"/>
      <c r="C7975" s="2" t="str">
        <v>0</v>
      </c>
      <c r="D7975" s="2"/>
      <c r="F7975" s="2" t="str">
        <v>0</v>
      </c>
      <c r="I7975" s="3" t="str">
        <f ca="1">IFERROR(__xludf.DUMMYFUNCTION("""COMPUTED_VALUE"""),"Bùi Hà Uyên ")</f>
        <v xml:space="preserve">Bùi Hà Uyên </v>
      </c>
      <c r="J7975" s="3" t="str">
        <f ca="1">IFERROR(__xludf.DUMMYFUNCTION("""COMPUTED_VALUE"""),"0825010727")</f>
        <v>0825010727</v>
      </c>
      <c r="K7975" s="2" t="str">
        <f ca="1">IFERROR(__xludf.DUMMYFUNCTION("""COMPUTED_VALUE"""),"1759967457646")</f>
        <v>1759967457646</v>
      </c>
    </row>
    <row r="7976" spans="1:11" ht="12.45">
      <c r="A7976" s="2" t="str">
        <f ca="1">IFERROR(__xludf.DUMMYFUNCTION("""COMPUTED_VALUE"""),"1759967487112")</f>
        <v>1759967487112</v>
      </c>
      <c r="B7976" s="2"/>
      <c r="C7976" s="2" t="str">
        <v>0</v>
      </c>
      <c r="D7976" s="2"/>
      <c r="F7976" s="2" t="str">
        <v>0</v>
      </c>
      <c r="I7976" s="3" t="str">
        <f ca="1">IFERROR(__xludf.DUMMYFUNCTION("""COMPUTED_VALUE"""),"Phan Ngọc Ánh")</f>
        <v>Phan Ngọc Ánh</v>
      </c>
      <c r="J7976" s="3" t="str">
        <f ca="1">IFERROR(__xludf.DUMMYFUNCTION("""COMPUTED_VALUE"""),"0397720906")</f>
        <v>0397720906</v>
      </c>
      <c r="K7976" s="2" t="str">
        <f ca="1">IFERROR(__xludf.DUMMYFUNCTION("""COMPUTED_VALUE"""),"1759967487112")</f>
        <v>1759967487112</v>
      </c>
    </row>
    <row r="7977" spans="1:11" ht="12.45">
      <c r="A7977" s="2" t="str">
        <f ca="1">IFERROR(__xludf.DUMMYFUNCTION("""COMPUTED_VALUE"""),"1759967527880")</f>
        <v>1759967527880</v>
      </c>
      <c r="B7977" s="2"/>
      <c r="C7977" s="2" t="str">
        <v>0</v>
      </c>
      <c r="D7977" s="2"/>
      <c r="F7977" s="2" t="str">
        <v>0</v>
      </c>
      <c r="I7977" s="3" t="str">
        <f ca="1">IFERROR(__xludf.DUMMYFUNCTION("""COMPUTED_VALUE"""),"Nguyễn Thị Khánh Ngọc")</f>
        <v>Nguyễn Thị Khánh Ngọc</v>
      </c>
      <c r="J7977" s="3" t="str">
        <f ca="1">IFERROR(__xludf.DUMMYFUNCTION("""COMPUTED_VALUE"""),"0345333033")</f>
        <v>0345333033</v>
      </c>
      <c r="K7977" s="2" t="str">
        <f ca="1">IFERROR(__xludf.DUMMYFUNCTION("""COMPUTED_VALUE"""),"1759967527880")</f>
        <v>1759967527880</v>
      </c>
    </row>
    <row r="7978" spans="1:11" ht="12.45">
      <c r="A7978" s="2" t="str">
        <f ca="1">IFERROR(__xludf.DUMMYFUNCTION("""COMPUTED_VALUE"""),"1759967576675")</f>
        <v>1759967576675</v>
      </c>
      <c r="B7978" s="2"/>
      <c r="C7978" s="2" t="str">
        <v>0</v>
      </c>
      <c r="D7978" s="2"/>
      <c r="F7978" s="2" t="str">
        <v>0</v>
      </c>
      <c r="I7978" s="3" t="str">
        <f ca="1">IFERROR(__xludf.DUMMYFUNCTION("""COMPUTED_VALUE"""),"Trần thuỳ Linh")</f>
        <v>Trần thuỳ Linh</v>
      </c>
      <c r="J7978" s="3" t="str">
        <f ca="1">IFERROR(__xludf.DUMMYFUNCTION("""COMPUTED_VALUE"""),"0327461288")</f>
        <v>0327461288</v>
      </c>
      <c r="K7978" s="2" t="str">
        <f ca="1">IFERROR(__xludf.DUMMYFUNCTION("""COMPUTED_VALUE"""),"1759967576675")</f>
        <v>1759967576675</v>
      </c>
    </row>
    <row r="7979" spans="1:11" ht="12.45">
      <c r="A7979" s="2" t="str">
        <f ca="1">IFERROR(__xludf.DUMMYFUNCTION("""COMPUTED_VALUE"""),"1759967603825")</f>
        <v>1759967603825</v>
      </c>
      <c r="B7979" s="2"/>
      <c r="C7979" s="2" t="str">
        <v>0</v>
      </c>
      <c r="D7979" s="2"/>
      <c r="F7979" s="2" t="str">
        <v>0</v>
      </c>
      <c r="I7979" s="3" t="str">
        <f ca="1">IFERROR(__xludf.DUMMYFUNCTION("""COMPUTED_VALUE"""),"Trần Gia Hân ")</f>
        <v xml:space="preserve">Trần Gia Hân </v>
      </c>
      <c r="J7979" s="3" t="str">
        <f ca="1">IFERROR(__xludf.DUMMYFUNCTION("""COMPUTED_VALUE"""),"0376567414")</f>
        <v>0376567414</v>
      </c>
      <c r="K7979" s="2" t="str">
        <f ca="1">IFERROR(__xludf.DUMMYFUNCTION("""COMPUTED_VALUE"""),"1759967603825")</f>
        <v>1759967603825</v>
      </c>
    </row>
    <row r="7980" spans="1:11" ht="12.45">
      <c r="A7980" s="2" t="str">
        <f ca="1">IFERROR(__xludf.DUMMYFUNCTION("""COMPUTED_VALUE"""),"1759988808897")</f>
        <v>1759988808897</v>
      </c>
      <c r="B7980" s="2"/>
      <c r="C7980" s="2" t="str">
        <v>0</v>
      </c>
      <c r="D7980" s="2"/>
      <c r="F7980" s="2" t="str">
        <v>0</v>
      </c>
      <c r="I7980" s="3" t="str">
        <f ca="1">IFERROR(__xludf.DUMMYFUNCTION("""COMPUTED_VALUE"""),"Phạm Như Quỳnh ")</f>
        <v xml:space="preserve">Phạm Như Quỳnh </v>
      </c>
      <c r="J7980" s="3" t="str">
        <f ca="1">IFERROR(__xludf.DUMMYFUNCTION("""COMPUTED_VALUE"""),"0789002289")</f>
        <v>0789002289</v>
      </c>
      <c r="K7980" s="2" t="str">
        <f ca="1">IFERROR(__xludf.DUMMYFUNCTION("""COMPUTED_VALUE"""),"1759988808897")</f>
        <v>1759988808897</v>
      </c>
    </row>
    <row r="7981" spans="1:11" ht="12.45">
      <c r="A7981" s="2" t="str">
        <f ca="1">IFERROR(__xludf.DUMMYFUNCTION("""COMPUTED_VALUE"""),"1759967642471")</f>
        <v>1759967642471</v>
      </c>
      <c r="B7981" s="2"/>
      <c r="C7981" s="2" t="str">
        <v>0</v>
      </c>
      <c r="D7981" s="2"/>
      <c r="F7981" s="2" t="str">
        <v>0</v>
      </c>
      <c r="I7981" s="3" t="str">
        <f ca="1">IFERROR(__xludf.DUMMYFUNCTION("""COMPUTED_VALUE"""),"Phạm Thị Xuân")</f>
        <v>Phạm Thị Xuân</v>
      </c>
      <c r="J7981" s="3" t="str">
        <f ca="1">IFERROR(__xludf.DUMMYFUNCTION("""COMPUTED_VALUE"""),"0373159054")</f>
        <v>0373159054</v>
      </c>
      <c r="K7981" s="2" t="str">
        <f ca="1">IFERROR(__xludf.DUMMYFUNCTION("""COMPUTED_VALUE"""),"1759967642471")</f>
        <v>1759967642471</v>
      </c>
    </row>
    <row r="7982" spans="1:11" ht="12.45">
      <c r="A7982" s="2"/>
      <c r="B7982" s="2"/>
      <c r="C7982" s="2" t="str">
        <v>0</v>
      </c>
      <c r="D7982" s="2"/>
      <c r="F7982" s="2" t="str">
        <v>0</v>
      </c>
      <c r="I7982" s="3" t="str">
        <f ca="1">IFERROR(__xludf.DUMMYFUNCTION("""COMPUTED_VALUE"""),"Nguyễn Thị Yến Nhi")</f>
        <v>Nguyễn Thị Yến Nhi</v>
      </c>
      <c r="J7982" s="3" t="str">
        <f ca="1">IFERROR(__xludf.DUMMYFUNCTION("""COMPUTED_VALUE"""),"0962239281")</f>
        <v>0962239281</v>
      </c>
      <c r="K7982" s="2"/>
    </row>
    <row r="7983" spans="1:11" ht="12.45">
      <c r="A7983" s="2" t="str">
        <f ca="1">IFERROR(__xludf.DUMMYFUNCTION("""COMPUTED_VALUE"""),"1759967718592")</f>
        <v>1759967718592</v>
      </c>
      <c r="B7983" s="2"/>
      <c r="C7983" s="2" t="str">
        <v>0</v>
      </c>
      <c r="D7983" s="2"/>
      <c r="F7983" s="2" t="str">
        <v>0</v>
      </c>
      <c r="I7983" s="3" t="str">
        <f ca="1">IFERROR(__xludf.DUMMYFUNCTION("""COMPUTED_VALUE"""),"NGUYỄN THU TRANG")</f>
        <v>NGUYỄN THU TRANG</v>
      </c>
      <c r="J7983" s="3" t="str">
        <f ca="1">IFERROR(__xludf.DUMMYFUNCTION("""COMPUTED_VALUE"""),"0382526709")</f>
        <v>0382526709</v>
      </c>
      <c r="K7983" s="2" t="str">
        <f ca="1">IFERROR(__xludf.DUMMYFUNCTION("""COMPUTED_VALUE"""),"1759967718592")</f>
        <v>1759967718592</v>
      </c>
    </row>
    <row r="7984" spans="1:11" ht="12.45">
      <c r="A7984" s="2" t="str">
        <f ca="1">IFERROR(__xludf.DUMMYFUNCTION("""COMPUTED_VALUE"""),"1759967747069")</f>
        <v>1759967747069</v>
      </c>
      <c r="B7984" s="2"/>
      <c r="C7984" s="2" t="str">
        <v>0</v>
      </c>
      <c r="D7984" s="2"/>
      <c r="F7984" s="2" t="str">
        <v>0</v>
      </c>
      <c r="I7984" s="3" t="str">
        <f ca="1">IFERROR(__xludf.DUMMYFUNCTION("""COMPUTED_VALUE"""),"Nguyễn thị trang")</f>
        <v>Nguyễn thị trang</v>
      </c>
      <c r="J7984" s="3" t="str">
        <f ca="1">IFERROR(__xludf.DUMMYFUNCTION("""COMPUTED_VALUE"""),"0986236429")</f>
        <v>0986236429</v>
      </c>
      <c r="K7984" s="2" t="str">
        <f ca="1">IFERROR(__xludf.DUMMYFUNCTION("""COMPUTED_VALUE"""),"1759967747069")</f>
        <v>1759967747069</v>
      </c>
    </row>
    <row r="7985" spans="1:11" ht="12.45">
      <c r="A7985" s="2" t="str">
        <f ca="1">IFERROR(__xludf.DUMMYFUNCTION("""COMPUTED_VALUE"""),"1759967789046")</f>
        <v>1759967789046</v>
      </c>
      <c r="B7985" s="2"/>
      <c r="C7985" s="2" t="str">
        <v>0</v>
      </c>
      <c r="D7985" s="2"/>
      <c r="F7985" s="2" t="str">
        <v>0</v>
      </c>
      <c r="I7985" s="3" t="str">
        <f ca="1">IFERROR(__xludf.DUMMYFUNCTION("""COMPUTED_VALUE"""),"Hoàng Kim Ngọc")</f>
        <v>Hoàng Kim Ngọc</v>
      </c>
      <c r="J7985" s="3" t="str">
        <f ca="1">IFERROR(__xludf.DUMMYFUNCTION("""COMPUTED_VALUE"""),"0942368568")</f>
        <v>0942368568</v>
      </c>
      <c r="K7985" s="2" t="str">
        <f ca="1">IFERROR(__xludf.DUMMYFUNCTION("""COMPUTED_VALUE"""),"1759967789046")</f>
        <v>1759967789046</v>
      </c>
    </row>
    <row r="7986" spans="1:11" ht="12.45">
      <c r="A7986" s="2" t="str">
        <f ca="1">IFERROR(__xludf.DUMMYFUNCTION("""COMPUTED_VALUE"""),"1759967841489")</f>
        <v>1759967841489</v>
      </c>
      <c r="B7986" s="2"/>
      <c r="C7986" s="2" t="str">
        <v>0</v>
      </c>
      <c r="D7986" s="2"/>
      <c r="F7986" s="2" t="str">
        <v>0</v>
      </c>
      <c r="I7986" s="3" t="str">
        <f ca="1">IFERROR(__xludf.DUMMYFUNCTION("""COMPUTED_VALUE"""),"Nguyễn Ngọc Anh")</f>
        <v>Nguyễn Ngọc Anh</v>
      </c>
      <c r="J7986" s="3" t="str">
        <f ca="1">IFERROR(__xludf.DUMMYFUNCTION("""COMPUTED_VALUE"""),"0971639403")</f>
        <v>0971639403</v>
      </c>
      <c r="K7986" s="2" t="str">
        <f ca="1">IFERROR(__xludf.DUMMYFUNCTION("""COMPUTED_VALUE"""),"1759967841489")</f>
        <v>1759967841489</v>
      </c>
    </row>
    <row r="7987" spans="1:11" ht="12.45">
      <c r="A7987" s="2" t="str">
        <f ca="1">IFERROR(__xludf.DUMMYFUNCTION("""COMPUTED_VALUE"""),"1759967923152")</f>
        <v>1759967923152</v>
      </c>
      <c r="B7987" s="2"/>
      <c r="C7987" s="2" t="str">
        <v>0</v>
      </c>
      <c r="D7987" s="2"/>
      <c r="F7987" s="2" t="str">
        <v>0</v>
      </c>
      <c r="I7987" s="3" t="str">
        <f ca="1">IFERROR(__xludf.DUMMYFUNCTION("""COMPUTED_VALUE"""),"Trần Thị Anh Thi")</f>
        <v>Trần Thị Anh Thi</v>
      </c>
      <c r="J7987" s="3" t="str">
        <f ca="1">IFERROR(__xludf.DUMMYFUNCTION("""COMPUTED_VALUE"""),"0798971558")</f>
        <v>0798971558</v>
      </c>
      <c r="K7987" s="2" t="str">
        <f ca="1">IFERROR(__xludf.DUMMYFUNCTION("""COMPUTED_VALUE"""),"1759967923152")</f>
        <v>1759967923152</v>
      </c>
    </row>
    <row r="7988" spans="1:11" ht="12.45">
      <c r="A7988" s="2" t="str">
        <f ca="1">IFERROR(__xludf.DUMMYFUNCTION("""COMPUTED_VALUE"""),"1759967975621")</f>
        <v>1759967975621</v>
      </c>
      <c r="B7988" s="2"/>
      <c r="C7988" s="2" t="str">
        <v>0</v>
      </c>
      <c r="D7988" s="2"/>
      <c r="F7988" s="2" t="str">
        <v>0</v>
      </c>
      <c r="I7988" s="3" t="str">
        <f ca="1">IFERROR(__xludf.DUMMYFUNCTION("""COMPUTED_VALUE"""),"Lê Thị Ngọc Oanh")</f>
        <v>Lê Thị Ngọc Oanh</v>
      </c>
      <c r="J7988" s="3" t="str">
        <f ca="1">IFERROR(__xludf.DUMMYFUNCTION("""COMPUTED_VALUE"""),"0869893164")</f>
        <v>0869893164</v>
      </c>
      <c r="K7988" s="2" t="str">
        <f ca="1">IFERROR(__xludf.DUMMYFUNCTION("""COMPUTED_VALUE"""),"1759967975621")</f>
        <v>1759967975621</v>
      </c>
    </row>
    <row r="7989" spans="1:11" ht="12.45">
      <c r="A7989" s="2" t="str">
        <f ca="1">IFERROR(__xludf.DUMMYFUNCTION("""COMPUTED_VALUE"""),"1759968033520")</f>
        <v>1759968033520</v>
      </c>
      <c r="B7989" s="2"/>
      <c r="C7989" s="2" t="str">
        <v>0</v>
      </c>
      <c r="D7989" s="2"/>
      <c r="F7989" s="2" t="str">
        <v>0</v>
      </c>
      <c r="I7989" s="3" t="str">
        <f ca="1">IFERROR(__xludf.DUMMYFUNCTION("""COMPUTED_VALUE"""),"Khuất Thị Thanh Nhàn")</f>
        <v>Khuất Thị Thanh Nhàn</v>
      </c>
      <c r="J7989" s="3" t="str">
        <f ca="1">IFERROR(__xludf.DUMMYFUNCTION("""COMPUTED_VALUE"""),"0393231207")</f>
        <v>0393231207</v>
      </c>
      <c r="K7989" s="2" t="str">
        <f ca="1">IFERROR(__xludf.DUMMYFUNCTION("""COMPUTED_VALUE"""),"1759968033520")</f>
        <v>1759968033520</v>
      </c>
    </row>
    <row r="7990" spans="1:11" ht="12.45">
      <c r="A7990" s="2" t="str">
        <f ca="1">IFERROR(__xludf.DUMMYFUNCTION("""COMPUTED_VALUE"""),"1759968070096")</f>
        <v>1759968070096</v>
      </c>
      <c r="B7990" s="2"/>
      <c r="C7990" s="2" t="str">
        <v>0</v>
      </c>
      <c r="D7990" s="2"/>
      <c r="F7990" s="2" t="str">
        <v>0</v>
      </c>
      <c r="I7990" s="3" t="str">
        <f ca="1">IFERROR(__xludf.DUMMYFUNCTION("""COMPUTED_VALUE"""),"Lại Huỳnh Minh Hiền ")</f>
        <v xml:space="preserve">Lại Huỳnh Minh Hiền </v>
      </c>
      <c r="J7990" s="3" t="str">
        <f ca="1">IFERROR(__xludf.DUMMYFUNCTION("""COMPUTED_VALUE"""),"0896039069")</f>
        <v>0896039069</v>
      </c>
      <c r="K7990" s="2" t="str">
        <f ca="1">IFERROR(__xludf.DUMMYFUNCTION("""COMPUTED_VALUE"""),"1759968070096")</f>
        <v>1759968070096</v>
      </c>
    </row>
    <row r="7991" spans="1:11" ht="12.45">
      <c r="A7991" s="2" t="str">
        <f ca="1">IFERROR(__xludf.DUMMYFUNCTION("""COMPUTED_VALUE"""),"1759968115819")</f>
        <v>1759968115819</v>
      </c>
      <c r="B7991" s="2"/>
      <c r="C7991" s="2" t="str">
        <v>0</v>
      </c>
      <c r="D7991" s="2"/>
      <c r="F7991" s="2" t="str">
        <v>0</v>
      </c>
      <c r="I7991" s="3" t="str">
        <f ca="1">IFERROR(__xludf.DUMMYFUNCTION("""COMPUTED_VALUE"""),"Phạm Ngọc Hiên")</f>
        <v>Phạm Ngọc Hiên</v>
      </c>
      <c r="J7991" s="3" t="str">
        <f ca="1">IFERROR(__xludf.DUMMYFUNCTION("""COMPUTED_VALUE"""),"0334476351")</f>
        <v>0334476351</v>
      </c>
      <c r="K7991" s="2" t="str">
        <f ca="1">IFERROR(__xludf.DUMMYFUNCTION("""COMPUTED_VALUE"""),"1759968115819")</f>
        <v>1759968115819</v>
      </c>
    </row>
    <row r="7992" spans="1:11" ht="12.45">
      <c r="A7992" s="2" t="str">
        <f ca="1">IFERROR(__xludf.DUMMYFUNCTION("""COMPUTED_VALUE"""),"1759968168613")</f>
        <v>1759968168613</v>
      </c>
      <c r="C7992" s="2" t="str">
        <v>0</v>
      </c>
      <c r="F7992" s="2" t="str">
        <v>0</v>
      </c>
      <c r="I7992" s="3" t="str">
        <f ca="1">IFERROR(__xludf.DUMMYFUNCTION("""COMPUTED_VALUE"""),"Võ Quang Vinh")</f>
        <v>Võ Quang Vinh</v>
      </c>
      <c r="J7992" s="3" t="str">
        <f ca="1">IFERROR(__xludf.DUMMYFUNCTION("""COMPUTED_VALUE"""),"0373481660")</f>
        <v>0373481660</v>
      </c>
      <c r="K7992" s="2" t="str">
        <f ca="1">IFERROR(__xludf.DUMMYFUNCTION("""COMPUTED_VALUE"""),"1759968168613")</f>
        <v>1759968168613</v>
      </c>
    </row>
    <row r="7993" spans="1:11" ht="12.45">
      <c r="A7993" s="2" t="str">
        <f ca="1">IFERROR(__xludf.DUMMYFUNCTION("""COMPUTED_VALUE"""),"1759968201101")</f>
        <v>1759968201101</v>
      </c>
      <c r="C7993" s="2" t="str">
        <v>0</v>
      </c>
      <c r="F7993" s="2" t="str">
        <v>0</v>
      </c>
      <c r="I7993" s="3" t="str">
        <f ca="1">IFERROR(__xludf.DUMMYFUNCTION("""COMPUTED_VALUE"""),"trần thị hương giang ")</f>
        <v xml:space="preserve">trần thị hương giang </v>
      </c>
      <c r="J7993" s="3" t="str">
        <f ca="1">IFERROR(__xludf.DUMMYFUNCTION("""COMPUTED_VALUE"""),"0383281613")</f>
        <v>0383281613</v>
      </c>
      <c r="K7993" s="2" t="str">
        <f ca="1">IFERROR(__xludf.DUMMYFUNCTION("""COMPUTED_VALUE"""),"1759968201101")</f>
        <v>1759968201101</v>
      </c>
    </row>
    <row r="7994" spans="1:11" ht="12.45">
      <c r="A7994" s="2" t="str">
        <f ca="1">IFERROR(__xludf.DUMMYFUNCTION("""COMPUTED_VALUE"""),"1759968287951")</f>
        <v>1759968287951</v>
      </c>
      <c r="C7994" s="2" t="str">
        <v>0</v>
      </c>
      <c r="F7994" s="2" t="str">
        <v>0</v>
      </c>
      <c r="I7994" s="3" t="str">
        <f ca="1">IFERROR(__xludf.DUMMYFUNCTION("""COMPUTED_VALUE"""),"Nguyễn Duy Anh")</f>
        <v>Nguyễn Duy Anh</v>
      </c>
      <c r="J7994" s="3" t="str">
        <f ca="1">IFERROR(__xludf.DUMMYFUNCTION("""COMPUTED_VALUE"""),"0337419607")</f>
        <v>0337419607</v>
      </c>
      <c r="K7994" s="2" t="str">
        <f ca="1">IFERROR(__xludf.DUMMYFUNCTION("""COMPUTED_VALUE"""),"1759968287951")</f>
        <v>1759968287951</v>
      </c>
    </row>
    <row r="7995" spans="1:11" ht="12.45">
      <c r="A7995" s="2" t="str">
        <f ca="1">IFERROR(__xludf.DUMMYFUNCTION("""COMPUTED_VALUE"""),"1759968323031")</f>
        <v>1759968323031</v>
      </c>
      <c r="C7995" s="2" t="str">
        <v>0</v>
      </c>
      <c r="F7995" s="2" t="str">
        <v>0</v>
      </c>
      <c r="I7995" s="3" t="str">
        <f ca="1">IFERROR(__xludf.DUMMYFUNCTION("""COMPUTED_VALUE"""),"Trần thị như quỳnh")</f>
        <v>Trần thị như quỳnh</v>
      </c>
      <c r="J7995" s="3" t="str">
        <f ca="1">IFERROR(__xludf.DUMMYFUNCTION("""COMPUTED_VALUE"""),"0364553186")</f>
        <v>0364553186</v>
      </c>
      <c r="K7995" s="2" t="str">
        <f ca="1">IFERROR(__xludf.DUMMYFUNCTION("""COMPUTED_VALUE"""),"1759968323031")</f>
        <v>1759968323031</v>
      </c>
    </row>
    <row r="7996" spans="1:11" ht="12.45">
      <c r="A7996" s="2" t="str">
        <f ca="1">IFERROR(__xludf.DUMMYFUNCTION("""COMPUTED_VALUE"""),"1759968344322")</f>
        <v>1759968344322</v>
      </c>
      <c r="C7996" s="2" t="str">
        <v>0</v>
      </c>
      <c r="F7996" s="2" t="str">
        <v>0</v>
      </c>
      <c r="I7996" s="3" t="str">
        <f ca="1">IFERROR(__xludf.DUMMYFUNCTION("""COMPUTED_VALUE"""),"Nguyễn Tuấn Thành")</f>
        <v>Nguyễn Tuấn Thành</v>
      </c>
      <c r="J7996" s="3" t="str">
        <f ca="1">IFERROR(__xludf.DUMMYFUNCTION("""COMPUTED_VALUE"""),"0358317178")</f>
        <v>0358317178</v>
      </c>
      <c r="K7996" s="2" t="str">
        <f ca="1">IFERROR(__xludf.DUMMYFUNCTION("""COMPUTED_VALUE"""),"1759968344322")</f>
        <v>1759968344322</v>
      </c>
    </row>
    <row r="7997" spans="1:11" ht="12.45">
      <c r="A7997" s="2" t="str">
        <f ca="1">IFERROR(__xludf.DUMMYFUNCTION("""COMPUTED_VALUE"""),"1759968424787")</f>
        <v>1759968424787</v>
      </c>
      <c r="C7997" s="2" t="str">
        <v>0</v>
      </c>
      <c r="F7997" s="2" t="str">
        <v>0</v>
      </c>
      <c r="I7997" s="3" t="str">
        <f ca="1">IFERROR(__xludf.DUMMYFUNCTION("""COMPUTED_VALUE"""),"Lê Hoàng Đạt")</f>
        <v>Lê Hoàng Đạt</v>
      </c>
      <c r="J7997" s="3" t="str">
        <f ca="1">IFERROR(__xludf.DUMMYFUNCTION("""COMPUTED_VALUE"""),"0983486184")</f>
        <v>0983486184</v>
      </c>
      <c r="K7997" s="2" t="str">
        <f ca="1">IFERROR(__xludf.DUMMYFUNCTION("""COMPUTED_VALUE"""),"1759968424787")</f>
        <v>1759968424787</v>
      </c>
    </row>
    <row r="7998" spans="1:11" ht="12.45">
      <c r="A7998" s="2" t="str">
        <f ca="1">IFERROR(__xludf.DUMMYFUNCTION("""COMPUTED_VALUE"""),"1759968483130")</f>
        <v>1759968483130</v>
      </c>
      <c r="C7998" s="2" t="str">
        <v>0</v>
      </c>
      <c r="F7998" s="2" t="str">
        <v>0</v>
      </c>
      <c r="I7998" s="3" t="str">
        <f ca="1">IFERROR(__xludf.DUMMYFUNCTION("""COMPUTED_VALUE"""),"Lò Thị Nhi")</f>
        <v>Lò Thị Nhi</v>
      </c>
      <c r="J7998" s="3" t="str">
        <f ca="1">IFERROR(__xludf.DUMMYFUNCTION("""COMPUTED_VALUE"""),"0832698522")</f>
        <v>0832698522</v>
      </c>
      <c r="K7998" s="2" t="str">
        <f ca="1">IFERROR(__xludf.DUMMYFUNCTION("""COMPUTED_VALUE"""),"1759968483130")</f>
        <v>1759968483130</v>
      </c>
    </row>
    <row r="7999" spans="1:11" ht="12.45">
      <c r="A7999" s="2" t="str">
        <f ca="1">IFERROR(__xludf.DUMMYFUNCTION("""COMPUTED_VALUE"""),"1759968511805")</f>
        <v>1759968511805</v>
      </c>
      <c r="C7999" s="2" t="str">
        <v>0</v>
      </c>
      <c r="F7999" s="2" t="str">
        <v>0</v>
      </c>
      <c r="I7999" s="3" t="str">
        <f ca="1">IFERROR(__xludf.DUMMYFUNCTION("""COMPUTED_VALUE"""),"Hoàng Bế Thệ")</f>
        <v>Hoàng Bế Thệ</v>
      </c>
      <c r="J7999" s="3" t="str">
        <f ca="1">IFERROR(__xludf.DUMMYFUNCTION("""COMPUTED_VALUE"""),"0962866847")</f>
        <v>0962866847</v>
      </c>
      <c r="K7999" s="2" t="str">
        <f ca="1">IFERROR(__xludf.DUMMYFUNCTION("""COMPUTED_VALUE"""),"1759968511805")</f>
        <v>1759968511805</v>
      </c>
    </row>
    <row r="8000" spans="1:11" ht="12.45">
      <c r="A8000" s="2"/>
      <c r="C8000" s="2" t="str">
        <v>0</v>
      </c>
      <c r="F8000" s="2" t="str">
        <v>0</v>
      </c>
      <c r="I8000" s="3" t="str">
        <f ca="1">IFERROR(__xludf.DUMMYFUNCTION("""COMPUTED_VALUE"""),"Nguyễn Quang Hưng")</f>
        <v>Nguyễn Quang Hưng</v>
      </c>
      <c r="J8000" s="3" t="str">
        <f ca="1">IFERROR(__xludf.DUMMYFUNCTION("""COMPUTED_VALUE"""),"0819023756")</f>
        <v>0819023756</v>
      </c>
      <c r="K8000" s="2"/>
    </row>
    <row r="8001" spans="1:11" ht="12.45">
      <c r="A8001" s="2" t="str">
        <f ca="1">IFERROR(__xludf.DUMMYFUNCTION("""COMPUTED_VALUE"""),"1759968561446")</f>
        <v>1759968561446</v>
      </c>
      <c r="C8001" s="2" t="str">
        <v>0</v>
      </c>
      <c r="F8001" s="2" t="str">
        <v>0</v>
      </c>
      <c r="I8001" s="3" t="str">
        <f ca="1">IFERROR(__xludf.DUMMYFUNCTION("""COMPUTED_VALUE"""),"Giàng Páo Sềnh")</f>
        <v>Giàng Páo Sềnh</v>
      </c>
      <c r="J8001" s="3" t="str">
        <f ca="1">IFERROR(__xludf.DUMMYFUNCTION("""COMPUTED_VALUE"""),"0835228086")</f>
        <v>0835228086</v>
      </c>
      <c r="K8001" s="2" t="str">
        <f ca="1">IFERROR(__xludf.DUMMYFUNCTION("""COMPUTED_VALUE"""),"1759968561446")</f>
        <v>1759968561446</v>
      </c>
    </row>
    <row r="8002" spans="1:11" ht="12.45">
      <c r="A8002" s="2" t="str">
        <f ca="1">IFERROR(__xludf.DUMMYFUNCTION("""COMPUTED_VALUE"""),"1759968624908")</f>
        <v>1759968624908</v>
      </c>
      <c r="C8002" s="2" t="str">
        <v>0</v>
      </c>
      <c r="F8002" s="2" t="str">
        <v>0</v>
      </c>
      <c r="I8002" s="3" t="str">
        <f ca="1">IFERROR(__xludf.DUMMYFUNCTION("""COMPUTED_VALUE"""),"Le Hương Ly")</f>
        <v>Le Hương Ly</v>
      </c>
      <c r="J8002" s="3" t="str">
        <f ca="1">IFERROR(__xludf.DUMMYFUNCTION("""COMPUTED_VALUE"""),"0388051138")</f>
        <v>0388051138</v>
      </c>
      <c r="K8002" s="2" t="str">
        <f ca="1">IFERROR(__xludf.DUMMYFUNCTION("""COMPUTED_VALUE"""),"1759968624908")</f>
        <v>1759968624908</v>
      </c>
    </row>
    <row r="8003" spans="1:11" ht="12.45">
      <c r="A8003" s="2" t="str">
        <f ca="1">IFERROR(__xludf.DUMMYFUNCTION("""COMPUTED_VALUE"""),"1759968689540")</f>
        <v>1759968689540</v>
      </c>
      <c r="C8003" s="2" t="str">
        <v>0</v>
      </c>
      <c r="F8003" s="2" t="str">
        <v>0</v>
      </c>
      <c r="I8003" s="3" t="str">
        <f ca="1">IFERROR(__xludf.DUMMYFUNCTION("""COMPUTED_VALUE"""),"Hoàng Như Ngọc")</f>
        <v>Hoàng Như Ngọc</v>
      </c>
      <c r="J8003" s="3" t="str">
        <f ca="1">IFERROR(__xludf.DUMMYFUNCTION("""COMPUTED_VALUE"""),"0904290120")</f>
        <v>0904290120</v>
      </c>
      <c r="K8003" s="2" t="str">
        <f ca="1">IFERROR(__xludf.DUMMYFUNCTION("""COMPUTED_VALUE"""),"1759968689540")</f>
        <v>1759968689540</v>
      </c>
    </row>
    <row r="8004" spans="1:11" ht="12.45">
      <c r="A8004" s="2" t="str">
        <f ca="1">IFERROR(__xludf.DUMMYFUNCTION("""COMPUTED_VALUE"""),"1759968722379")</f>
        <v>1759968722379</v>
      </c>
      <c r="C8004" s="2" t="str">
        <v>0</v>
      </c>
      <c r="F8004" s="2" t="str">
        <v>0</v>
      </c>
      <c r="I8004" s="3" t="str">
        <f ca="1">IFERROR(__xludf.DUMMYFUNCTION("""COMPUTED_VALUE"""),"Bùi Yến Phương Trang ")</f>
        <v xml:space="preserve">Bùi Yến Phương Trang </v>
      </c>
      <c r="J8004" s="3" t="str">
        <f ca="1">IFERROR(__xludf.DUMMYFUNCTION("""COMPUTED_VALUE"""),"0707840083")</f>
        <v>0707840083</v>
      </c>
      <c r="K8004" s="2" t="str">
        <f ca="1">IFERROR(__xludf.DUMMYFUNCTION("""COMPUTED_VALUE"""),"1759968722379")</f>
        <v>1759968722379</v>
      </c>
    </row>
    <row r="8005" spans="1:11" ht="12.45">
      <c r="A8005" s="2" t="str">
        <f ca="1">IFERROR(__xludf.DUMMYFUNCTION("""COMPUTED_VALUE"""),"1759968757792")</f>
        <v>1759968757792</v>
      </c>
      <c r="C8005" s="2" t="str">
        <v>0</v>
      </c>
      <c r="F8005" s="2" t="str">
        <v>0</v>
      </c>
      <c r="I8005" s="3" t="str">
        <f ca="1">IFERROR(__xludf.DUMMYFUNCTION("""COMPUTED_VALUE"""),"Nguyễn Thị Trà My")</f>
        <v>Nguyễn Thị Trà My</v>
      </c>
      <c r="J8005" s="3" t="str">
        <f ca="1">IFERROR(__xludf.DUMMYFUNCTION("""COMPUTED_VALUE"""),"0879736468")</f>
        <v>0879736468</v>
      </c>
      <c r="K8005" s="2" t="str">
        <f ca="1">IFERROR(__xludf.DUMMYFUNCTION("""COMPUTED_VALUE"""),"1759968757792")</f>
        <v>1759968757792</v>
      </c>
    </row>
    <row r="8006" spans="1:11" ht="12.45">
      <c r="A8006" s="2" t="str">
        <f ca="1">IFERROR(__xludf.DUMMYFUNCTION("""COMPUTED_VALUE"""),"1759968793838")</f>
        <v>1759968793838</v>
      </c>
      <c r="C8006" s="2" t="str">
        <v>0</v>
      </c>
      <c r="F8006" s="2" t="str">
        <v>0</v>
      </c>
      <c r="I8006" s="3" t="str">
        <f ca="1">IFERROR(__xludf.DUMMYFUNCTION("""COMPUTED_VALUE"""),"Cao Thu Hiền")</f>
        <v>Cao Thu Hiền</v>
      </c>
      <c r="J8006" s="3" t="str">
        <f ca="1">IFERROR(__xludf.DUMMYFUNCTION("""COMPUTED_VALUE"""),"0393739716")</f>
        <v>0393739716</v>
      </c>
      <c r="K8006" s="2" t="str">
        <f ca="1">IFERROR(__xludf.DUMMYFUNCTION("""COMPUTED_VALUE"""),"1759968793838")</f>
        <v>1759968793838</v>
      </c>
    </row>
    <row r="8007" spans="1:11" ht="12.45">
      <c r="A8007" s="2" t="str">
        <f ca="1">IFERROR(__xludf.DUMMYFUNCTION("""COMPUTED_VALUE"""),"1759968825983")</f>
        <v>1759968825983</v>
      </c>
      <c r="C8007" s="2" t="str">
        <v>0</v>
      </c>
      <c r="F8007" s="2" t="str">
        <v>0</v>
      </c>
      <c r="I8007" s="3" t="str">
        <f ca="1">IFERROR(__xludf.DUMMYFUNCTION("""COMPUTED_VALUE"""),"San Mỹ Trang")</f>
        <v>San Mỹ Trang</v>
      </c>
      <c r="J8007" s="3" t="str">
        <f ca="1">IFERROR(__xludf.DUMMYFUNCTION("""COMPUTED_VALUE"""),"0362968496")</f>
        <v>0362968496</v>
      </c>
      <c r="K8007" s="2" t="str">
        <f ca="1">IFERROR(__xludf.DUMMYFUNCTION("""COMPUTED_VALUE"""),"1759968825983")</f>
        <v>1759968825983</v>
      </c>
    </row>
    <row r="8008" spans="1:11" ht="12.45">
      <c r="A8008" s="2" t="str">
        <f ca="1">IFERROR(__xludf.DUMMYFUNCTION("""COMPUTED_VALUE"""),"1759968856312")</f>
        <v>1759968856312</v>
      </c>
      <c r="C8008" s="2" t="str">
        <v>0</v>
      </c>
      <c r="F8008" s="2" t="str">
        <v>0</v>
      </c>
      <c r="I8008" s="3" t="str">
        <f ca="1">IFERROR(__xludf.DUMMYFUNCTION("""COMPUTED_VALUE"""),"Trịnh Tú Anh")</f>
        <v>Trịnh Tú Anh</v>
      </c>
      <c r="J8008" s="3" t="str">
        <f ca="1">IFERROR(__xludf.DUMMYFUNCTION("""COMPUTED_VALUE"""),"0974755048")</f>
        <v>0974755048</v>
      </c>
      <c r="K8008" s="2" t="str">
        <f ca="1">IFERROR(__xludf.DUMMYFUNCTION("""COMPUTED_VALUE"""),"1759968856312")</f>
        <v>1759968856312</v>
      </c>
    </row>
    <row r="8009" spans="1:11" ht="12.45">
      <c r="A8009" s="2" t="str">
        <f ca="1">IFERROR(__xludf.DUMMYFUNCTION("""COMPUTED_VALUE"""),"1759968898341")</f>
        <v>1759968898341</v>
      </c>
      <c r="C8009" s="2" t="str">
        <v>0</v>
      </c>
      <c r="F8009" s="2" t="str">
        <v>0</v>
      </c>
      <c r="I8009" s="3" t="str">
        <f ca="1">IFERROR(__xludf.DUMMYFUNCTION("""COMPUTED_VALUE"""),"Nguyễn Lê Ngọc Hân")</f>
        <v>Nguyễn Lê Ngọc Hân</v>
      </c>
      <c r="J8009" s="3" t="str">
        <f ca="1">IFERROR(__xludf.DUMMYFUNCTION("""COMPUTED_VALUE"""),"0979153481")</f>
        <v>0979153481</v>
      </c>
      <c r="K8009" s="2" t="str">
        <f ca="1">IFERROR(__xludf.DUMMYFUNCTION("""COMPUTED_VALUE"""),"1759968898341")</f>
        <v>1759968898341</v>
      </c>
    </row>
    <row r="8010" spans="1:11" ht="12.45">
      <c r="A8010" s="2" t="str">
        <f ca="1">IFERROR(__xludf.DUMMYFUNCTION("""COMPUTED_VALUE"""),"1759968931212")</f>
        <v>1759968931212</v>
      </c>
      <c r="C8010" s="2" t="str">
        <v>0</v>
      </c>
      <c r="F8010" s="2" t="str">
        <v>0</v>
      </c>
      <c r="I8010" s="3" t="str">
        <f ca="1">IFERROR(__xludf.DUMMYFUNCTION("""COMPUTED_VALUE"""),"Nguyễn Bích Phượng ")</f>
        <v xml:space="preserve">Nguyễn Bích Phượng </v>
      </c>
      <c r="J8010" s="3" t="str">
        <f ca="1">IFERROR(__xludf.DUMMYFUNCTION("""COMPUTED_VALUE"""),"0328620451")</f>
        <v>0328620451</v>
      </c>
      <c r="K8010" s="2" t="str">
        <f ca="1">IFERROR(__xludf.DUMMYFUNCTION("""COMPUTED_VALUE"""),"1759968931212")</f>
        <v>1759968931212</v>
      </c>
    </row>
    <row r="8011" spans="1:11" ht="12.45">
      <c r="A8011" s="2" t="str">
        <f ca="1">IFERROR(__xludf.DUMMYFUNCTION("""COMPUTED_VALUE"""),"1759968971455")</f>
        <v>1759968971455</v>
      </c>
      <c r="C8011" s="2" t="str">
        <v>0</v>
      </c>
      <c r="F8011" s="2" t="str">
        <v>0</v>
      </c>
      <c r="I8011" s="3" t="str">
        <f ca="1">IFERROR(__xludf.DUMMYFUNCTION("""COMPUTED_VALUE"""),"Ngô Trần Quỳnh Anh")</f>
        <v>Ngô Trần Quỳnh Anh</v>
      </c>
      <c r="J8011" s="3" t="str">
        <f ca="1">IFERROR(__xludf.DUMMYFUNCTION("""COMPUTED_VALUE"""),"0399064107")</f>
        <v>0399064107</v>
      </c>
      <c r="K8011" s="2" t="str">
        <f ca="1">IFERROR(__xludf.DUMMYFUNCTION("""COMPUTED_VALUE"""),"1759968971455")</f>
        <v>1759968971455</v>
      </c>
    </row>
    <row r="8012" spans="1:11" ht="12.45">
      <c r="A8012" s="2" t="str">
        <f ca="1">IFERROR(__xludf.DUMMYFUNCTION("""COMPUTED_VALUE"""),"1759969013349")</f>
        <v>1759969013349</v>
      </c>
      <c r="C8012" s="2" t="str">
        <v>0</v>
      </c>
      <c r="F8012" s="2" t="str">
        <v>0</v>
      </c>
      <c r="I8012" s="3" t="str">
        <f ca="1">IFERROR(__xludf.DUMMYFUNCTION("""COMPUTED_VALUE"""),"Phan Văn Vinh")</f>
        <v>Phan Văn Vinh</v>
      </c>
      <c r="J8012" s="3" t="str">
        <f ca="1">IFERROR(__xludf.DUMMYFUNCTION("""COMPUTED_VALUE"""),"0934104909")</f>
        <v>0934104909</v>
      </c>
      <c r="K8012" s="2" t="str">
        <f ca="1">IFERROR(__xludf.DUMMYFUNCTION("""COMPUTED_VALUE"""),"1759969013349")</f>
        <v>1759969013349</v>
      </c>
    </row>
    <row r="8013" spans="1:11" ht="12.45">
      <c r="A8013" s="2" t="str">
        <f ca="1">IFERROR(__xludf.DUMMYFUNCTION("""COMPUTED_VALUE"""),"1759969050532")</f>
        <v>1759969050532</v>
      </c>
      <c r="C8013" s="2" t="str">
        <v>0</v>
      </c>
      <c r="F8013" s="2" t="str">
        <v>0</v>
      </c>
      <c r="I8013" s="3" t="str">
        <f ca="1">IFERROR(__xludf.DUMMYFUNCTION("""COMPUTED_VALUE"""),"Lê Thị Hà Vy")</f>
        <v>Lê Thị Hà Vy</v>
      </c>
      <c r="J8013" s="3" t="str">
        <f ca="1">IFERROR(__xludf.DUMMYFUNCTION("""COMPUTED_VALUE"""),"0978178134")</f>
        <v>0978178134</v>
      </c>
      <c r="K8013" s="2" t="str">
        <f ca="1">IFERROR(__xludf.DUMMYFUNCTION("""COMPUTED_VALUE"""),"1759969050532")</f>
        <v>1759969050532</v>
      </c>
    </row>
    <row r="8014" spans="1:11" ht="12.45">
      <c r="A8014" s="2" t="str">
        <f ca="1">IFERROR(__xludf.DUMMYFUNCTION("""COMPUTED_VALUE"""),"1759969094964")</f>
        <v>1759969094964</v>
      </c>
      <c r="C8014" s="2" t="str">
        <v>0</v>
      </c>
      <c r="F8014" s="2" t="str">
        <v>0</v>
      </c>
      <c r="I8014" s="3" t="str">
        <f ca="1">IFERROR(__xludf.DUMMYFUNCTION("""COMPUTED_VALUE"""),"Bùi Phúc Lâm")</f>
        <v>Bùi Phúc Lâm</v>
      </c>
      <c r="J8014" s="3" t="str">
        <f ca="1">IFERROR(__xludf.DUMMYFUNCTION("""COMPUTED_VALUE"""),"0982023806")</f>
        <v>0982023806</v>
      </c>
      <c r="K8014" s="2" t="str">
        <f ca="1">IFERROR(__xludf.DUMMYFUNCTION("""COMPUTED_VALUE"""),"1759969094964")</f>
        <v>1759969094964</v>
      </c>
    </row>
    <row r="8015" spans="1:11" ht="12.45">
      <c r="A8015" s="2" t="str">
        <f ca="1">IFERROR(__xludf.DUMMYFUNCTION("""COMPUTED_VALUE"""),"1759969130283")</f>
        <v>1759969130283</v>
      </c>
      <c r="C8015" s="2" t="str">
        <v>0</v>
      </c>
      <c r="F8015" s="2" t="str">
        <v>0</v>
      </c>
      <c r="I8015" s="3" t="str">
        <f ca="1">IFERROR(__xludf.DUMMYFUNCTION("""COMPUTED_VALUE"""),"NGUYỄN GIA TUỆ")</f>
        <v>NGUYỄN GIA TUỆ</v>
      </c>
      <c r="J8015" s="3" t="str">
        <f ca="1">IFERROR(__xludf.DUMMYFUNCTION("""COMPUTED_VALUE"""),"0398314530")</f>
        <v>0398314530</v>
      </c>
      <c r="K8015" s="2" t="str">
        <f ca="1">IFERROR(__xludf.DUMMYFUNCTION("""COMPUTED_VALUE"""),"1759969130283")</f>
        <v>1759969130283</v>
      </c>
    </row>
    <row r="8016" spans="1:11" ht="12.45">
      <c r="A8016" s="2" t="str">
        <f ca="1">IFERROR(__xludf.DUMMYFUNCTION("""COMPUTED_VALUE"""),"1759969221602")</f>
        <v>1759969221602</v>
      </c>
      <c r="C8016" s="2" t="str">
        <v>0</v>
      </c>
      <c r="F8016" s="2" t="str">
        <v>0</v>
      </c>
      <c r="I8016" s="3" t="str">
        <f ca="1">IFERROR(__xludf.DUMMYFUNCTION("""COMPUTED_VALUE"""),"Trịnh Thảo Nguyên")</f>
        <v>Trịnh Thảo Nguyên</v>
      </c>
      <c r="J8016" s="3" t="str">
        <f ca="1">IFERROR(__xludf.DUMMYFUNCTION("""COMPUTED_VALUE"""),"0916823013")</f>
        <v>0916823013</v>
      </c>
      <c r="K8016" s="2" t="str">
        <f ca="1">IFERROR(__xludf.DUMMYFUNCTION("""COMPUTED_VALUE"""),"1759969221602")</f>
        <v>1759969221602</v>
      </c>
    </row>
    <row r="8017" spans="1:11" ht="12.45">
      <c r="A8017" s="2" t="str">
        <f ca="1">IFERROR(__xludf.DUMMYFUNCTION("""COMPUTED_VALUE"""),"1759969322693")</f>
        <v>1759969322693</v>
      </c>
      <c r="C8017" s="2" t="str">
        <v>0</v>
      </c>
      <c r="F8017" s="2" t="str">
        <v>0</v>
      </c>
      <c r="I8017" s="3" t="str">
        <f ca="1">IFERROR(__xludf.DUMMYFUNCTION("""COMPUTED_VALUE"""),"Trần Thị Cẩm Vân")</f>
        <v>Trần Thị Cẩm Vân</v>
      </c>
      <c r="J8017" s="3" t="str">
        <f ca="1">IFERROR(__xludf.DUMMYFUNCTION("""COMPUTED_VALUE"""),"0975021757")</f>
        <v>0975021757</v>
      </c>
      <c r="K8017" s="2" t="str">
        <f ca="1">IFERROR(__xludf.DUMMYFUNCTION("""COMPUTED_VALUE"""),"1759969322693")</f>
        <v>1759969322693</v>
      </c>
    </row>
    <row r="8018" spans="1:11" ht="12.45">
      <c r="A8018" s="2"/>
      <c r="C8018" s="2" t="str">
        <v>0</v>
      </c>
      <c r="F8018" s="2" t="str">
        <v>0</v>
      </c>
      <c r="I8018" s="3" t="str">
        <f ca="1">IFERROR(__xludf.DUMMYFUNCTION("""COMPUTED_VALUE"""),"Trần Anh Thanh ")</f>
        <v xml:space="preserve">Trần Anh Thanh </v>
      </c>
      <c r="J8018" s="3" t="str">
        <f ca="1">IFERROR(__xludf.DUMMYFUNCTION("""COMPUTED_VALUE"""),"0868988815")</f>
        <v>0868988815</v>
      </c>
      <c r="K8018" s="2"/>
    </row>
    <row r="8019" spans="1:11" ht="12.45">
      <c r="A8019" s="2" t="str">
        <f ca="1">IFERROR(__xludf.DUMMYFUNCTION("""COMPUTED_VALUE"""),"1759969421825")</f>
        <v>1759969421825</v>
      </c>
      <c r="C8019" s="2" t="str">
        <v>0</v>
      </c>
      <c r="F8019" s="2" t="str">
        <v>0</v>
      </c>
      <c r="I8019" s="3" t="str">
        <f ca="1">IFERROR(__xludf.DUMMYFUNCTION("""COMPUTED_VALUE"""),"Trần Tú Quỳnh")</f>
        <v>Trần Tú Quỳnh</v>
      </c>
      <c r="J8019" s="3" t="str">
        <f ca="1">IFERROR(__xludf.DUMMYFUNCTION("""COMPUTED_VALUE"""),"0914141206")</f>
        <v>0914141206</v>
      </c>
      <c r="K8019" s="2" t="str">
        <f ca="1">IFERROR(__xludf.DUMMYFUNCTION("""COMPUTED_VALUE"""),"1759969421825")</f>
        <v>1759969421825</v>
      </c>
    </row>
    <row r="8020" spans="1:11" ht="12.45">
      <c r="A8020" s="2" t="str">
        <f ca="1">IFERROR(__xludf.DUMMYFUNCTION("""COMPUTED_VALUE"""),"1759969499426")</f>
        <v>1759969499426</v>
      </c>
      <c r="C8020" s="2" t="str">
        <v>0</v>
      </c>
      <c r="F8020" s="2" t="str">
        <v>0</v>
      </c>
      <c r="I8020" s="3" t="str">
        <f ca="1">IFERROR(__xludf.DUMMYFUNCTION("""COMPUTED_VALUE"""),"Nguyễn Trần Trúc Mai")</f>
        <v>Nguyễn Trần Trúc Mai</v>
      </c>
      <c r="J8020" s="3" t="str">
        <f ca="1">IFERROR(__xludf.DUMMYFUNCTION("""COMPUTED_VALUE"""),"0325377410")</f>
        <v>0325377410</v>
      </c>
      <c r="K8020" s="2" t="str">
        <f ca="1">IFERROR(__xludf.DUMMYFUNCTION("""COMPUTED_VALUE"""),"1759969499426")</f>
        <v>1759969499426</v>
      </c>
    </row>
    <row r="8021" spans="1:11" ht="12.45">
      <c r="A8021" s="2" t="str">
        <f ca="1">IFERROR(__xludf.DUMMYFUNCTION("""COMPUTED_VALUE"""),"1759969539091")</f>
        <v>1759969539091</v>
      </c>
      <c r="C8021" s="2" t="str">
        <v>0</v>
      </c>
      <c r="F8021" s="2" t="str">
        <v>0</v>
      </c>
      <c r="I8021" s="3" t="str">
        <f ca="1">IFERROR(__xludf.DUMMYFUNCTION("""COMPUTED_VALUE"""),"Dương Hương Giang")</f>
        <v>Dương Hương Giang</v>
      </c>
      <c r="J8021" s="3" t="str">
        <f ca="1">IFERROR(__xludf.DUMMYFUNCTION("""COMPUTED_VALUE"""),"0382316939")</f>
        <v>0382316939</v>
      </c>
      <c r="K8021" s="2" t="str">
        <f ca="1">IFERROR(__xludf.DUMMYFUNCTION("""COMPUTED_VALUE"""),"1759969539091")</f>
        <v>1759969539091</v>
      </c>
    </row>
    <row r="8022" spans="1:11" ht="12.45">
      <c r="A8022" s="2"/>
      <c r="C8022" s="2" t="str">
        <v>0</v>
      </c>
      <c r="F8022" s="2" t="str">
        <v>0</v>
      </c>
      <c r="I8022" s="3" t="str">
        <f ca="1">IFERROR(__xludf.DUMMYFUNCTION("""COMPUTED_VALUE"""),"Đinh Trần Phương Linh ")</f>
        <v xml:space="preserve">Đinh Trần Phương Linh </v>
      </c>
      <c r="J8022" s="3" t="str">
        <f ca="1">IFERROR(__xludf.DUMMYFUNCTION("""COMPUTED_VALUE"""),"0383189687")</f>
        <v>0383189687</v>
      </c>
      <c r="K8022" s="2"/>
    </row>
    <row r="8023" spans="1:11" ht="12.45">
      <c r="A8023" s="2" t="str">
        <f ca="1">IFERROR(__xludf.DUMMYFUNCTION("""COMPUTED_VALUE"""),"1759969579528")</f>
        <v>1759969579528</v>
      </c>
      <c r="C8023" s="2" t="str">
        <v>0</v>
      </c>
      <c r="F8023" s="2" t="str">
        <v>0</v>
      </c>
      <c r="I8023" s="3" t="str">
        <f ca="1">IFERROR(__xludf.DUMMYFUNCTION("""COMPUTED_VALUE"""),"Phan Lê Kiều Như")</f>
        <v>Phan Lê Kiều Như</v>
      </c>
      <c r="J8023" s="3" t="str">
        <f ca="1">IFERROR(__xludf.DUMMYFUNCTION("""COMPUTED_VALUE"""),"0789625692")</f>
        <v>0789625692</v>
      </c>
      <c r="K8023" s="2" t="str">
        <f ca="1">IFERROR(__xludf.DUMMYFUNCTION("""COMPUTED_VALUE"""),"1759969579528")</f>
        <v>1759969579528</v>
      </c>
    </row>
    <row r="8024" spans="1:11" ht="12.45">
      <c r="A8024" s="2" t="str">
        <f ca="1">IFERROR(__xludf.DUMMYFUNCTION("""COMPUTED_VALUE"""),"1759969611748")</f>
        <v>1759969611748</v>
      </c>
      <c r="C8024" s="2" t="str">
        <v>0</v>
      </c>
      <c r="F8024" s="2" t="str">
        <v>0</v>
      </c>
      <c r="I8024" s="3" t="str">
        <f ca="1">IFERROR(__xludf.DUMMYFUNCTION("""COMPUTED_VALUE"""),"Phạm Trần Gia Ngân ")</f>
        <v xml:space="preserve">Phạm Trần Gia Ngân </v>
      </c>
      <c r="J8024" s="3" t="str">
        <f ca="1">IFERROR(__xludf.DUMMYFUNCTION("""COMPUTED_VALUE"""),"0329002607")</f>
        <v>0329002607</v>
      </c>
      <c r="K8024" s="2" t="str">
        <f ca="1">IFERROR(__xludf.DUMMYFUNCTION("""COMPUTED_VALUE"""),"1759969611748")</f>
        <v>1759969611748</v>
      </c>
    </row>
    <row r="8025" spans="1:11" ht="12.45">
      <c r="A8025" s="2" t="str">
        <f ca="1">IFERROR(__xludf.DUMMYFUNCTION("""COMPUTED_VALUE"""),"1759969661454")</f>
        <v>1759969661454</v>
      </c>
      <c r="C8025" s="2" t="str">
        <v>0</v>
      </c>
      <c r="F8025" s="2" t="str">
        <v>0</v>
      </c>
      <c r="I8025" s="3" t="str">
        <f ca="1">IFERROR(__xludf.DUMMYFUNCTION("""COMPUTED_VALUE"""),"Ngô Thị Hiền Trang ")</f>
        <v xml:space="preserve">Ngô Thị Hiền Trang </v>
      </c>
      <c r="J8025" s="3" t="str">
        <f ca="1">IFERROR(__xludf.DUMMYFUNCTION("""COMPUTED_VALUE"""),"0364330257")</f>
        <v>0364330257</v>
      </c>
      <c r="K8025" s="2" t="str">
        <f ca="1">IFERROR(__xludf.DUMMYFUNCTION("""COMPUTED_VALUE"""),"1759969661454")</f>
        <v>1759969661454</v>
      </c>
    </row>
    <row r="8026" spans="1:11" ht="12.45">
      <c r="A8026" s="2" t="str">
        <f ca="1">IFERROR(__xludf.DUMMYFUNCTION("""COMPUTED_VALUE"""),"1759969691809")</f>
        <v>1759969691809</v>
      </c>
      <c r="C8026" s="2" t="str">
        <v>0</v>
      </c>
      <c r="F8026" s="2" t="str">
        <v>0</v>
      </c>
      <c r="I8026" s="3" t="str">
        <f ca="1">IFERROR(__xludf.DUMMYFUNCTION("""COMPUTED_VALUE"""),"Dương Minh Ngọc")</f>
        <v>Dương Minh Ngọc</v>
      </c>
      <c r="J8026" s="3" t="str">
        <f ca="1">IFERROR(__xludf.DUMMYFUNCTION("""COMPUTED_VALUE"""),"0857961101")</f>
        <v>0857961101</v>
      </c>
      <c r="K8026" s="2" t="str">
        <f ca="1">IFERROR(__xludf.DUMMYFUNCTION("""COMPUTED_VALUE"""),"1759969691809")</f>
        <v>1759969691809</v>
      </c>
    </row>
    <row r="8027" spans="1:11" ht="12.45">
      <c r="A8027" s="2" t="str">
        <f ca="1">IFERROR(__xludf.DUMMYFUNCTION("""COMPUTED_VALUE"""),"1759969756881")</f>
        <v>1759969756881</v>
      </c>
      <c r="C8027" s="2" t="str">
        <v>0</v>
      </c>
      <c r="F8027" s="2" t="str">
        <v>0</v>
      </c>
      <c r="I8027" s="3" t="str">
        <f ca="1">IFERROR(__xludf.DUMMYFUNCTION("""COMPUTED_VALUE"""),"Huỳnh Ngọc Trúc My")</f>
        <v>Huỳnh Ngọc Trúc My</v>
      </c>
      <c r="J8027" s="3" t="str">
        <f ca="1">IFERROR(__xludf.DUMMYFUNCTION("""COMPUTED_VALUE"""),"0372189454")</f>
        <v>0372189454</v>
      </c>
      <c r="K8027" s="2" t="str">
        <f ca="1">IFERROR(__xludf.DUMMYFUNCTION("""COMPUTED_VALUE"""),"1759969756881")</f>
        <v>1759969756881</v>
      </c>
    </row>
    <row r="8028" spans="1:11" ht="12.45">
      <c r="A8028" s="2" t="str">
        <f ca="1">IFERROR(__xludf.DUMMYFUNCTION("""COMPUTED_VALUE"""),"1759969793226")</f>
        <v>1759969793226</v>
      </c>
      <c r="C8028" s="2" t="str">
        <v>0</v>
      </c>
      <c r="F8028" s="2" t="str">
        <v>0</v>
      </c>
      <c r="I8028" s="3" t="str">
        <f ca="1">IFERROR(__xludf.DUMMYFUNCTION("""COMPUTED_VALUE"""),"Lê Ngọc Bảo Hân")</f>
        <v>Lê Ngọc Bảo Hân</v>
      </c>
      <c r="J8028" s="3" t="str">
        <f ca="1">IFERROR(__xludf.DUMMYFUNCTION("""COMPUTED_VALUE"""),"0372336892")</f>
        <v>0372336892</v>
      </c>
      <c r="K8028" s="2" t="str">
        <f ca="1">IFERROR(__xludf.DUMMYFUNCTION("""COMPUTED_VALUE"""),"1759969793226")</f>
        <v>1759969793226</v>
      </c>
    </row>
    <row r="8029" spans="1:11" ht="12.45">
      <c r="A8029" s="2" t="str">
        <f ca="1">IFERROR(__xludf.DUMMYFUNCTION("""COMPUTED_VALUE"""),"1759969831121")</f>
        <v>1759969831121</v>
      </c>
      <c r="C8029" s="2" t="str">
        <v>0</v>
      </c>
      <c r="F8029" s="2" t="str">
        <v>0</v>
      </c>
      <c r="I8029" s="3" t="str">
        <f ca="1">IFERROR(__xludf.DUMMYFUNCTION("""COMPUTED_VALUE"""),"Nguyễn Thị Hồng Quyên ")</f>
        <v xml:space="preserve">Nguyễn Thị Hồng Quyên </v>
      </c>
      <c r="J8029" s="3" t="str">
        <f ca="1">IFERROR(__xludf.DUMMYFUNCTION("""COMPUTED_VALUE"""),"0838588515")</f>
        <v>0838588515</v>
      </c>
      <c r="K8029" s="2" t="str">
        <f ca="1">IFERROR(__xludf.DUMMYFUNCTION("""COMPUTED_VALUE"""),"1759969831121")</f>
        <v>1759969831121</v>
      </c>
    </row>
    <row r="8030" spans="1:11" ht="12.45">
      <c r="A8030" s="2" t="str">
        <f ca="1">IFERROR(__xludf.DUMMYFUNCTION("""COMPUTED_VALUE"""),"1759969865082")</f>
        <v>1759969865082</v>
      </c>
      <c r="C8030" s="2" t="str">
        <v>0</v>
      </c>
      <c r="F8030" s="2" t="str">
        <v>0</v>
      </c>
      <c r="I8030" s="3" t="str">
        <f ca="1">IFERROR(__xludf.DUMMYFUNCTION("""COMPUTED_VALUE"""),"Lê Thị Ngọc Tiến ")</f>
        <v xml:space="preserve">Lê Thị Ngọc Tiến </v>
      </c>
      <c r="J8030" s="3" t="str">
        <f ca="1">IFERROR(__xludf.DUMMYFUNCTION("""COMPUTED_VALUE"""),"0794708926")</f>
        <v>0794708926</v>
      </c>
      <c r="K8030" s="2" t="str">
        <f ca="1">IFERROR(__xludf.DUMMYFUNCTION("""COMPUTED_VALUE"""),"1759969865082")</f>
        <v>1759969865082</v>
      </c>
    </row>
    <row r="8031" spans="1:11" ht="12.45">
      <c r="A8031" s="2" t="str">
        <f ca="1">IFERROR(__xludf.DUMMYFUNCTION("""COMPUTED_VALUE"""),"1759969915634")</f>
        <v>1759969915634</v>
      </c>
      <c r="C8031" s="2" t="str">
        <v>0</v>
      </c>
      <c r="F8031" s="2" t="str">
        <v>0</v>
      </c>
      <c r="I8031" s="3" t="str">
        <f ca="1">IFERROR(__xludf.DUMMYFUNCTION("""COMPUTED_VALUE"""),"Võ Anh Thư")</f>
        <v>Võ Anh Thư</v>
      </c>
      <c r="J8031" s="3" t="str">
        <f ca="1">IFERROR(__xludf.DUMMYFUNCTION("""COMPUTED_VALUE"""),"0814348229")</f>
        <v>0814348229</v>
      </c>
      <c r="K8031" s="2" t="str">
        <f ca="1">IFERROR(__xludf.DUMMYFUNCTION("""COMPUTED_VALUE"""),"1759969915634")</f>
        <v>1759969915634</v>
      </c>
    </row>
    <row r="8032" spans="1:11" ht="12.45">
      <c r="A8032" s="2" t="str">
        <f ca="1">IFERROR(__xludf.DUMMYFUNCTION("""COMPUTED_VALUE"""),"1759969967630")</f>
        <v>1759969967630</v>
      </c>
      <c r="C8032" s="2" t="str">
        <v>0</v>
      </c>
      <c r="F8032" s="2" t="str">
        <v>0</v>
      </c>
      <c r="I8032" s="3" t="str">
        <f ca="1">IFERROR(__xludf.DUMMYFUNCTION("""COMPUTED_VALUE"""),"Lê Quốc Doanh")</f>
        <v>Lê Quốc Doanh</v>
      </c>
      <c r="J8032" s="3" t="str">
        <f ca="1">IFERROR(__xludf.DUMMYFUNCTION("""COMPUTED_VALUE"""),"0359087127")</f>
        <v>0359087127</v>
      </c>
      <c r="K8032" s="2" t="str">
        <f ca="1">IFERROR(__xludf.DUMMYFUNCTION("""COMPUTED_VALUE"""),"1759969967630")</f>
        <v>1759969967630</v>
      </c>
    </row>
    <row r="8033" spans="1:11" ht="12.45">
      <c r="A8033" s="2" t="str">
        <f ca="1">IFERROR(__xludf.DUMMYFUNCTION("""COMPUTED_VALUE"""),"1759970022551")</f>
        <v>1759970022551</v>
      </c>
      <c r="C8033" s="2" t="str">
        <v>0</v>
      </c>
      <c r="F8033" s="2" t="str">
        <v>0</v>
      </c>
      <c r="I8033" s="3" t="str">
        <f ca="1">IFERROR(__xludf.DUMMYFUNCTION("""COMPUTED_VALUE"""),"Lê Anh Thư")</f>
        <v>Lê Anh Thư</v>
      </c>
      <c r="J8033" s="3" t="str">
        <f ca="1">IFERROR(__xludf.DUMMYFUNCTION("""COMPUTED_VALUE"""),"0936881627")</f>
        <v>0936881627</v>
      </c>
      <c r="K8033" s="2" t="str">
        <f ca="1">IFERROR(__xludf.DUMMYFUNCTION("""COMPUTED_VALUE"""),"1759970022551")</f>
        <v>1759970022551</v>
      </c>
    </row>
    <row r="8034" spans="1:11" ht="12.45">
      <c r="A8034" s="2"/>
      <c r="C8034" s="2" t="str">
        <v>0</v>
      </c>
      <c r="F8034" s="2" t="str">
        <v>0</v>
      </c>
      <c r="I8034" s="3" t="str">
        <f ca="1">IFERROR(__xludf.DUMMYFUNCTION("""COMPUTED_VALUE"""),"Hồ Nguyễn Phương Hà")</f>
        <v>Hồ Nguyễn Phương Hà</v>
      </c>
      <c r="J8034" s="3" t="str">
        <f ca="1">IFERROR(__xludf.DUMMYFUNCTION("""COMPUTED_VALUE"""),"0826637500")</f>
        <v>0826637500</v>
      </c>
      <c r="K8034" s="2"/>
    </row>
    <row r="8035" spans="1:11" ht="12.45">
      <c r="A8035" s="2" t="str">
        <f ca="1">IFERROR(__xludf.DUMMYFUNCTION("""COMPUTED_VALUE"""),"1759970083875")</f>
        <v>1759970083875</v>
      </c>
      <c r="C8035" s="2" t="str">
        <v>0</v>
      </c>
      <c r="F8035" s="2" t="str">
        <v>0</v>
      </c>
      <c r="I8035" s="3" t="str">
        <f ca="1">IFERROR(__xludf.DUMMYFUNCTION("""COMPUTED_VALUE"""),"Võ Văn Huy")</f>
        <v>Võ Văn Huy</v>
      </c>
      <c r="J8035" s="3" t="str">
        <f ca="1">IFERROR(__xludf.DUMMYFUNCTION("""COMPUTED_VALUE"""),"0853950542")</f>
        <v>0853950542</v>
      </c>
      <c r="K8035" s="2" t="str">
        <f ca="1">IFERROR(__xludf.DUMMYFUNCTION("""COMPUTED_VALUE"""),"1759970083875")</f>
        <v>1759970083875</v>
      </c>
    </row>
    <row r="8036" spans="1:11" ht="12.45">
      <c r="A8036" s="2" t="str">
        <f ca="1">IFERROR(__xludf.DUMMYFUNCTION("""COMPUTED_VALUE"""),"1759970123724")</f>
        <v>1759970123724</v>
      </c>
      <c r="C8036" s="2" t="str">
        <v>0</v>
      </c>
      <c r="F8036" s="2" t="str">
        <v>0</v>
      </c>
      <c r="I8036" s="3" t="str">
        <f ca="1">IFERROR(__xludf.DUMMYFUNCTION("""COMPUTED_VALUE"""),"Nguyễn Tường An ")</f>
        <v xml:space="preserve">Nguyễn Tường An </v>
      </c>
      <c r="J8036" s="3" t="str">
        <f ca="1">IFERROR(__xludf.DUMMYFUNCTION("""COMPUTED_VALUE"""),"0976763532")</f>
        <v>0976763532</v>
      </c>
      <c r="K8036" s="2" t="str">
        <f ca="1">IFERROR(__xludf.DUMMYFUNCTION("""COMPUTED_VALUE"""),"1759970123724")</f>
        <v>1759970123724</v>
      </c>
    </row>
    <row r="8037" spans="1:11" ht="12.45">
      <c r="A8037" s="2"/>
      <c r="C8037" s="2" t="str">
        <v>0</v>
      </c>
      <c r="F8037" s="2" t="str">
        <v>0</v>
      </c>
      <c r="I8037" s="3" t="str">
        <f ca="1">IFERROR(__xludf.DUMMYFUNCTION("""COMPUTED_VALUE"""),"Hồ Thị Minh Ngọc")</f>
        <v>Hồ Thị Minh Ngọc</v>
      </c>
      <c r="J8037" s="3" t="str">
        <f ca="1">IFERROR(__xludf.DUMMYFUNCTION("""COMPUTED_VALUE"""),"0988908465")</f>
        <v>0988908465</v>
      </c>
      <c r="K8037" s="2"/>
    </row>
    <row r="8038" spans="1:11" ht="12.45">
      <c r="A8038" s="2"/>
      <c r="C8038" s="2" t="str">
        <v>0</v>
      </c>
      <c r="F8038" s="2" t="str">
        <v>0</v>
      </c>
      <c r="I8038" s="3" t="str">
        <f ca="1">IFERROR(__xludf.DUMMYFUNCTION("""COMPUTED_VALUE"""),"Nguyễn Nhật Trường ")</f>
        <v xml:space="preserve">Nguyễn Nhật Trường </v>
      </c>
      <c r="J8038" s="3" t="str">
        <f ca="1">IFERROR(__xludf.DUMMYFUNCTION("""COMPUTED_VALUE"""),"0357285400")</f>
        <v>0357285400</v>
      </c>
      <c r="K8038" s="2"/>
    </row>
    <row r="8039" spans="1:11" ht="12.45">
      <c r="A8039" s="2" t="str">
        <f ca="1">IFERROR(__xludf.DUMMYFUNCTION("""COMPUTED_VALUE"""),"1759970157033")</f>
        <v>1759970157033</v>
      </c>
      <c r="C8039" s="2" t="str">
        <v>0</v>
      </c>
      <c r="F8039" s="2" t="str">
        <v>0</v>
      </c>
      <c r="I8039" s="3" t="str">
        <f ca="1">IFERROR(__xludf.DUMMYFUNCTION("""COMPUTED_VALUE"""),"Hoàng Thu Hường")</f>
        <v>Hoàng Thu Hường</v>
      </c>
      <c r="J8039" s="3" t="str">
        <f ca="1">IFERROR(__xludf.DUMMYFUNCTION("""COMPUTED_VALUE"""),"0362227768")</f>
        <v>0362227768</v>
      </c>
      <c r="K8039" s="2" t="str">
        <f ca="1">IFERROR(__xludf.DUMMYFUNCTION("""COMPUTED_VALUE"""),"1759970157033")</f>
        <v>1759970157033</v>
      </c>
    </row>
    <row r="8040" spans="1:11" ht="12.45">
      <c r="A8040" s="2" t="str">
        <f ca="1">IFERROR(__xludf.DUMMYFUNCTION("""COMPUTED_VALUE"""),"1759970178908")</f>
        <v>1759970178908</v>
      </c>
      <c r="C8040" s="2" t="str">
        <v>0</v>
      </c>
      <c r="F8040" s="2" t="str">
        <v>0</v>
      </c>
      <c r="I8040" s="3" t="str">
        <f ca="1">IFERROR(__xludf.DUMMYFUNCTION("""COMPUTED_VALUE"""),"Khổng Trung Kiên ")</f>
        <v xml:space="preserve">Khổng Trung Kiên </v>
      </c>
      <c r="J8040" s="3" t="str">
        <f ca="1">IFERROR(__xludf.DUMMYFUNCTION("""COMPUTED_VALUE"""),"0386816139")</f>
        <v>0386816139</v>
      </c>
      <c r="K8040" s="2" t="str">
        <f ca="1">IFERROR(__xludf.DUMMYFUNCTION("""COMPUTED_VALUE"""),"1759970178908")</f>
        <v>1759970178908</v>
      </c>
    </row>
    <row r="8041" spans="1:11" ht="12.45">
      <c r="A8041" s="2" t="str">
        <f ca="1">IFERROR(__xludf.DUMMYFUNCTION("""COMPUTED_VALUE"""),"1759970243266")</f>
        <v>1759970243266</v>
      </c>
      <c r="C8041" s="2" t="str">
        <v>0</v>
      </c>
      <c r="F8041" s="2" t="str">
        <v>0</v>
      </c>
      <c r="I8041" s="3" t="str">
        <f ca="1">IFERROR(__xludf.DUMMYFUNCTION("""COMPUTED_VALUE"""),"Nguyễn Ngọc Quang")</f>
        <v>Nguyễn Ngọc Quang</v>
      </c>
      <c r="J8041" s="3" t="str">
        <f ca="1">IFERROR(__xludf.DUMMYFUNCTION("""COMPUTED_VALUE"""),"0354754827")</f>
        <v>0354754827</v>
      </c>
      <c r="K8041" s="2" t="str">
        <f ca="1">IFERROR(__xludf.DUMMYFUNCTION("""COMPUTED_VALUE"""),"1759970243266")</f>
        <v>1759970243266</v>
      </c>
    </row>
    <row r="8042" spans="1:11" ht="12.45">
      <c r="A8042" s="2" t="str">
        <f ca="1">IFERROR(__xludf.DUMMYFUNCTION("""COMPUTED_VALUE"""),"1759970279935")</f>
        <v>1759970279935</v>
      </c>
      <c r="C8042" s="2" t="str">
        <v>0</v>
      </c>
      <c r="F8042" s="2" t="str">
        <v>0</v>
      </c>
      <c r="I8042" s="3" t="str">
        <f ca="1">IFERROR(__xludf.DUMMYFUNCTION("""COMPUTED_VALUE"""),"Nguyễn Phạm Nguyệt Quỳnh")</f>
        <v>Nguyễn Phạm Nguyệt Quỳnh</v>
      </c>
      <c r="J8042" s="3" t="str">
        <f ca="1">IFERROR(__xludf.DUMMYFUNCTION("""COMPUTED_VALUE"""),"0916328519")</f>
        <v>0916328519</v>
      </c>
      <c r="K8042" s="2" t="str">
        <f ca="1">IFERROR(__xludf.DUMMYFUNCTION("""COMPUTED_VALUE"""),"1759970279935")</f>
        <v>1759970279935</v>
      </c>
    </row>
    <row r="8043" spans="1:11" ht="12.45">
      <c r="A8043" s="2" t="str">
        <f ca="1">IFERROR(__xludf.DUMMYFUNCTION("""COMPUTED_VALUE"""),"1759970323237")</f>
        <v>1759970323237</v>
      </c>
      <c r="C8043" s="2" t="str">
        <v>0</v>
      </c>
      <c r="F8043" s="2" t="str">
        <v>0</v>
      </c>
      <c r="I8043" s="3" t="str">
        <f ca="1">IFERROR(__xludf.DUMMYFUNCTION("""COMPUTED_VALUE"""),"Nguyền Ngọc Thuý Anh")</f>
        <v>Nguyền Ngọc Thuý Anh</v>
      </c>
      <c r="J8043" s="3" t="str">
        <f ca="1">IFERROR(__xludf.DUMMYFUNCTION("""COMPUTED_VALUE"""),"0912055270")</f>
        <v>0912055270</v>
      </c>
      <c r="K8043" s="2" t="str">
        <f ca="1">IFERROR(__xludf.DUMMYFUNCTION("""COMPUTED_VALUE"""),"1759970323237")</f>
        <v>1759970323237</v>
      </c>
    </row>
    <row r="8044" spans="1:11" ht="12.45">
      <c r="A8044" s="2" t="str">
        <f ca="1">IFERROR(__xludf.DUMMYFUNCTION("""COMPUTED_VALUE"""),"1759970369704")</f>
        <v>1759970369704</v>
      </c>
      <c r="C8044" s="2" t="str">
        <v>0</v>
      </c>
      <c r="F8044" s="2" t="str">
        <v>0</v>
      </c>
      <c r="I8044" s="3" t="str">
        <f ca="1">IFERROR(__xludf.DUMMYFUNCTION("""COMPUTED_VALUE"""),"Nguyễn Văn Phúc")</f>
        <v>Nguyễn Văn Phúc</v>
      </c>
      <c r="J8044" s="3" t="str">
        <f ca="1">IFERROR(__xludf.DUMMYFUNCTION("""COMPUTED_VALUE"""),"0333413168")</f>
        <v>0333413168</v>
      </c>
      <c r="K8044" s="2" t="str">
        <f ca="1">IFERROR(__xludf.DUMMYFUNCTION("""COMPUTED_VALUE"""),"1759970369704")</f>
        <v>1759970369704</v>
      </c>
    </row>
    <row r="8045" spans="1:11" ht="12.45">
      <c r="A8045" s="2" t="str">
        <f ca="1">IFERROR(__xludf.DUMMYFUNCTION("""COMPUTED_VALUE"""),"1759970416222")</f>
        <v>1759970416222</v>
      </c>
      <c r="C8045" s="2" t="str">
        <v>0</v>
      </c>
      <c r="F8045" s="2" t="str">
        <v>0</v>
      </c>
      <c r="I8045" s="3" t="str">
        <f ca="1">IFERROR(__xludf.DUMMYFUNCTION("""COMPUTED_VALUE"""),"Phạm Thị Hương Quỳnh ")</f>
        <v xml:space="preserve">Phạm Thị Hương Quỳnh </v>
      </c>
      <c r="J8045" s="3" t="str">
        <f ca="1">IFERROR(__xludf.DUMMYFUNCTION("""COMPUTED_VALUE"""),"0865292967")</f>
        <v>0865292967</v>
      </c>
      <c r="K8045" s="2" t="str">
        <f ca="1">IFERROR(__xludf.DUMMYFUNCTION("""COMPUTED_VALUE"""),"1759970416222")</f>
        <v>1759970416222</v>
      </c>
    </row>
    <row r="8046" spans="1:11" ht="12.45">
      <c r="A8046" s="2" t="str">
        <f ca="1">IFERROR(__xludf.DUMMYFUNCTION("""COMPUTED_VALUE"""),"1759970457214")</f>
        <v>1759970457214</v>
      </c>
      <c r="C8046" s="2" t="str">
        <v>0</v>
      </c>
      <c r="F8046" s="2" t="str">
        <v>0</v>
      </c>
      <c r="I8046" s="3" t="str">
        <f ca="1">IFERROR(__xludf.DUMMYFUNCTION("""COMPUTED_VALUE"""),"Trương Thị Kim Hiền")</f>
        <v>Trương Thị Kim Hiền</v>
      </c>
      <c r="J8046" s="3" t="str">
        <f ca="1">IFERROR(__xludf.DUMMYFUNCTION("""COMPUTED_VALUE"""),"0867969942")</f>
        <v>0867969942</v>
      </c>
      <c r="K8046" s="2" t="str">
        <f ca="1">IFERROR(__xludf.DUMMYFUNCTION("""COMPUTED_VALUE"""),"1759970457214")</f>
        <v>1759970457214</v>
      </c>
    </row>
    <row r="8047" spans="1:11" ht="12.45">
      <c r="A8047" s="2" t="str">
        <f ca="1">IFERROR(__xludf.DUMMYFUNCTION("""COMPUTED_VALUE"""),"1759970491992")</f>
        <v>1759970491992</v>
      </c>
      <c r="C8047" s="2" t="str">
        <v>0</v>
      </c>
      <c r="F8047" s="2" t="str">
        <v>0</v>
      </c>
      <c r="I8047" s="3" t="str">
        <f ca="1">IFERROR(__xludf.DUMMYFUNCTION("""COMPUTED_VALUE"""),"Trần Đoàn Minh Uyên")</f>
        <v>Trần Đoàn Minh Uyên</v>
      </c>
      <c r="J8047" s="3" t="str">
        <f ca="1">IFERROR(__xludf.DUMMYFUNCTION("""COMPUTED_VALUE"""),"0905487289")</f>
        <v>0905487289</v>
      </c>
      <c r="K8047" s="2" t="str">
        <f ca="1">IFERROR(__xludf.DUMMYFUNCTION("""COMPUTED_VALUE"""),"1759970491992")</f>
        <v>1759970491992</v>
      </c>
    </row>
    <row r="8048" spans="1:11" ht="12.45">
      <c r="A8048" s="2" t="str">
        <f ca="1">IFERROR(__xludf.DUMMYFUNCTION("""COMPUTED_VALUE"""),"1759970519903")</f>
        <v>1759970519903</v>
      </c>
      <c r="C8048" s="2" t="str">
        <v>0</v>
      </c>
      <c r="F8048" s="2" t="str">
        <v>0</v>
      </c>
      <c r="I8048" s="3" t="str">
        <f ca="1">IFERROR(__xludf.DUMMYFUNCTION("""COMPUTED_VALUE"""),"Nguyễn Thị Lan Nga")</f>
        <v>Nguyễn Thị Lan Nga</v>
      </c>
      <c r="J8048" s="3" t="str">
        <f ca="1">IFERROR(__xludf.DUMMYFUNCTION("""COMPUTED_VALUE"""),"0969960491")</f>
        <v>0969960491</v>
      </c>
      <c r="K8048" s="2" t="str">
        <f ca="1">IFERROR(__xludf.DUMMYFUNCTION("""COMPUTED_VALUE"""),"1759970519903")</f>
        <v>1759970519903</v>
      </c>
    </row>
    <row r="8049" spans="1:11" ht="12.45">
      <c r="A8049" s="2" t="str">
        <f ca="1">IFERROR(__xludf.DUMMYFUNCTION("""COMPUTED_VALUE"""),"1759970540318")</f>
        <v>1759970540318</v>
      </c>
      <c r="C8049" s="2" t="str">
        <v>0</v>
      </c>
      <c r="F8049" s="2" t="str">
        <v>0</v>
      </c>
      <c r="I8049" s="3" t="str">
        <f ca="1">IFERROR(__xludf.DUMMYFUNCTION("""COMPUTED_VALUE"""),"Lê Kim Ngân")</f>
        <v>Lê Kim Ngân</v>
      </c>
      <c r="J8049" s="3" t="str">
        <f ca="1">IFERROR(__xludf.DUMMYFUNCTION("""COMPUTED_VALUE"""),"0865998932")</f>
        <v>0865998932</v>
      </c>
      <c r="K8049" s="2" t="str">
        <f ca="1">IFERROR(__xludf.DUMMYFUNCTION("""COMPUTED_VALUE"""),"1759970540318")</f>
        <v>1759970540318</v>
      </c>
    </row>
    <row r="8050" spans="1:11" ht="12.45">
      <c r="A8050" s="2" t="str">
        <f ca="1">IFERROR(__xludf.DUMMYFUNCTION("""COMPUTED_VALUE"""),"1759970576956")</f>
        <v>1759970576956</v>
      </c>
      <c r="C8050" s="2" t="str">
        <v>0</v>
      </c>
      <c r="F8050" s="2" t="str">
        <v>0</v>
      </c>
      <c r="I8050" s="3" t="str">
        <f ca="1">IFERROR(__xludf.DUMMYFUNCTION("""COMPUTED_VALUE"""),"Nguyễn Thùy Linh ")</f>
        <v xml:space="preserve">Nguyễn Thùy Linh </v>
      </c>
      <c r="J8050" s="3" t="str">
        <f ca="1">IFERROR(__xludf.DUMMYFUNCTION("""COMPUTED_VALUE"""),"0986041601")</f>
        <v>0986041601</v>
      </c>
      <c r="K8050" s="2" t="str">
        <f ca="1">IFERROR(__xludf.DUMMYFUNCTION("""COMPUTED_VALUE"""),"1759970576956")</f>
        <v>1759970576956</v>
      </c>
    </row>
    <row r="8051" spans="1:11" ht="12.45">
      <c r="A8051" s="2" t="str">
        <f ca="1">IFERROR(__xludf.DUMMYFUNCTION("""COMPUTED_VALUE"""),"1759970622440")</f>
        <v>1759970622440</v>
      </c>
      <c r="C8051" s="2" t="str">
        <v>0</v>
      </c>
      <c r="F8051" s="2" t="str">
        <v>0</v>
      </c>
      <c r="I8051" s="3" t="str">
        <f ca="1">IFERROR(__xludf.DUMMYFUNCTION("""COMPUTED_VALUE"""),"Nguyễn Trần Khánh Linh")</f>
        <v>Nguyễn Trần Khánh Linh</v>
      </c>
      <c r="J8051" s="3" t="str">
        <f ca="1">IFERROR(__xludf.DUMMYFUNCTION("""COMPUTED_VALUE"""),"0969563758")</f>
        <v>0969563758</v>
      </c>
      <c r="K8051" s="2" t="str">
        <f ca="1">IFERROR(__xludf.DUMMYFUNCTION("""COMPUTED_VALUE"""),"1759970622440")</f>
        <v>1759970622440</v>
      </c>
    </row>
    <row r="8052" spans="1:11" ht="12.45">
      <c r="A8052" s="2" t="str">
        <f ca="1">IFERROR(__xludf.DUMMYFUNCTION("""COMPUTED_VALUE"""),"1759970676934")</f>
        <v>1759970676934</v>
      </c>
      <c r="C8052" s="2" t="str">
        <v>0</v>
      </c>
      <c r="F8052" s="2" t="str">
        <v>0</v>
      </c>
      <c r="I8052" s="3" t="str">
        <f ca="1">IFERROR(__xludf.DUMMYFUNCTION("""COMPUTED_VALUE"""),"Nguyễn Bảo Ngọc")</f>
        <v>Nguyễn Bảo Ngọc</v>
      </c>
      <c r="J8052" s="3" t="str">
        <f ca="1">IFERROR(__xludf.DUMMYFUNCTION("""COMPUTED_VALUE"""),"0842341919")</f>
        <v>0842341919</v>
      </c>
      <c r="K8052" s="2" t="str">
        <f ca="1">IFERROR(__xludf.DUMMYFUNCTION("""COMPUTED_VALUE"""),"1759970676934")</f>
        <v>1759970676934</v>
      </c>
    </row>
    <row r="8053" spans="1:11" ht="12.45">
      <c r="A8053" s="2" t="str">
        <f ca="1">IFERROR(__xludf.DUMMYFUNCTION("""COMPUTED_VALUE"""),"1759970754041")</f>
        <v>1759970754041</v>
      </c>
      <c r="C8053" s="2" t="str">
        <v>0</v>
      </c>
      <c r="F8053" s="2" t="str">
        <v>0</v>
      </c>
      <c r="I8053" s="3" t="str">
        <f ca="1">IFERROR(__xludf.DUMMYFUNCTION("""COMPUTED_VALUE"""),"Trần Lý Xuân Phú")</f>
        <v>Trần Lý Xuân Phú</v>
      </c>
      <c r="J8053" s="3" t="str">
        <f ca="1">IFERROR(__xludf.DUMMYFUNCTION("""COMPUTED_VALUE"""),"0358701045")</f>
        <v>0358701045</v>
      </c>
      <c r="K8053" s="2" t="str">
        <f ca="1">IFERROR(__xludf.DUMMYFUNCTION("""COMPUTED_VALUE"""),"1759970754041")</f>
        <v>1759970754041</v>
      </c>
    </row>
    <row r="8054" spans="1:11" ht="12.45">
      <c r="A8054" s="2" t="str">
        <f ca="1">IFERROR(__xludf.DUMMYFUNCTION("""COMPUTED_VALUE"""),"1759970825540")</f>
        <v>1759970825540</v>
      </c>
      <c r="C8054" s="2" t="str">
        <v>0</v>
      </c>
      <c r="F8054" s="2" t="str">
        <v>0</v>
      </c>
      <c r="I8054" s="3" t="str">
        <f ca="1">IFERROR(__xludf.DUMMYFUNCTION("""COMPUTED_VALUE"""),"Nguyễn Huỳnh Diễm My ")</f>
        <v xml:space="preserve">Nguyễn Huỳnh Diễm My </v>
      </c>
      <c r="J8054" s="3" t="str">
        <f ca="1">IFERROR(__xludf.DUMMYFUNCTION("""COMPUTED_VALUE"""),"0969592031")</f>
        <v>0969592031</v>
      </c>
      <c r="K8054" s="2" t="str">
        <f ca="1">IFERROR(__xludf.DUMMYFUNCTION("""COMPUTED_VALUE"""),"1759970825540")</f>
        <v>1759970825540</v>
      </c>
    </row>
    <row r="8055" spans="1:11" ht="12.45">
      <c r="A8055" s="2" t="str">
        <f ca="1">IFERROR(__xludf.DUMMYFUNCTION("""COMPUTED_VALUE"""),"1759970873186")</f>
        <v>1759970873186</v>
      </c>
      <c r="C8055" s="2" t="str">
        <v>0</v>
      </c>
      <c r="F8055" s="2" t="str">
        <v>0</v>
      </c>
      <c r="I8055" s="3" t="str">
        <f ca="1">IFERROR(__xludf.DUMMYFUNCTION("""COMPUTED_VALUE"""),"Võ Thị Thu Hiền ")</f>
        <v xml:space="preserve">Võ Thị Thu Hiền </v>
      </c>
      <c r="J8055" s="3" t="str">
        <f ca="1">IFERROR(__xludf.DUMMYFUNCTION("""COMPUTED_VALUE"""),"0984492311")</f>
        <v>0984492311</v>
      </c>
      <c r="K8055" s="2" t="str">
        <f ca="1">IFERROR(__xludf.DUMMYFUNCTION("""COMPUTED_VALUE"""),"1759970873186")</f>
        <v>1759970873186</v>
      </c>
    </row>
    <row r="8056" spans="1:11" ht="12.45">
      <c r="A8056" s="2" t="str">
        <f ca="1">IFERROR(__xludf.DUMMYFUNCTION("""COMPUTED_VALUE"""),"1759970934019")</f>
        <v>1759970934019</v>
      </c>
      <c r="C8056" s="2" t="str">
        <v>0</v>
      </c>
      <c r="F8056" s="2" t="str">
        <v>0</v>
      </c>
      <c r="I8056" s="3" t="str">
        <f ca="1">IFERROR(__xludf.DUMMYFUNCTION("""COMPUTED_VALUE"""),"Trịnh Quốc Lâm")</f>
        <v>Trịnh Quốc Lâm</v>
      </c>
      <c r="J8056" s="3" t="str">
        <f ca="1">IFERROR(__xludf.DUMMYFUNCTION("""COMPUTED_VALUE"""),"0334237191")</f>
        <v>0334237191</v>
      </c>
      <c r="K8056" s="2" t="str">
        <f ca="1">IFERROR(__xludf.DUMMYFUNCTION("""COMPUTED_VALUE"""),"1759970934019")</f>
        <v>1759970934019</v>
      </c>
    </row>
    <row r="8057" spans="1:11" ht="12.45">
      <c r="A8057" s="2" t="str">
        <f ca="1">IFERROR(__xludf.DUMMYFUNCTION("""COMPUTED_VALUE"""),"1759971016374")</f>
        <v>1759971016374</v>
      </c>
      <c r="C8057" s="2" t="str">
        <v>0</v>
      </c>
      <c r="F8057" s="2" t="str">
        <v>0</v>
      </c>
      <c r="I8057" s="3" t="str">
        <f ca="1">IFERROR(__xludf.DUMMYFUNCTION("""COMPUTED_VALUE"""),"Châu Mạn Ngọc")</f>
        <v>Châu Mạn Ngọc</v>
      </c>
      <c r="J8057" s="3" t="str">
        <f ca="1">IFERROR(__xludf.DUMMYFUNCTION("""COMPUTED_VALUE"""),"0345425485")</f>
        <v>0345425485</v>
      </c>
      <c r="K8057" s="2" t="str">
        <f ca="1">IFERROR(__xludf.DUMMYFUNCTION("""COMPUTED_VALUE"""),"1759971016374")</f>
        <v>1759971016374</v>
      </c>
    </row>
    <row r="8058" spans="1:11" ht="12.45">
      <c r="A8058" s="2" t="str">
        <f ca="1">IFERROR(__xludf.DUMMYFUNCTION("""COMPUTED_VALUE"""),"1759971086307")</f>
        <v>1759971086307</v>
      </c>
      <c r="C8058" s="2" t="str">
        <v>0</v>
      </c>
      <c r="F8058" s="2" t="str">
        <v>0</v>
      </c>
      <c r="I8058" s="3" t="str">
        <f ca="1">IFERROR(__xludf.DUMMYFUNCTION("""COMPUTED_VALUE"""),"Phạm Ngọc Thành Vinh")</f>
        <v>Phạm Ngọc Thành Vinh</v>
      </c>
      <c r="J8058" s="3" t="str">
        <f ca="1">IFERROR(__xludf.DUMMYFUNCTION("""COMPUTED_VALUE"""),"0836886082")</f>
        <v>0836886082</v>
      </c>
      <c r="K8058" s="2" t="str">
        <f ca="1">IFERROR(__xludf.DUMMYFUNCTION("""COMPUTED_VALUE"""),"1759971086307")</f>
        <v>1759971086307</v>
      </c>
    </row>
    <row r="8059" spans="1:11" ht="12.45">
      <c r="A8059" s="2" t="str">
        <f ca="1">IFERROR(__xludf.DUMMYFUNCTION("""COMPUTED_VALUE"""),"1759971150503")</f>
        <v>1759971150503</v>
      </c>
      <c r="C8059" s="2" t="str">
        <v>0</v>
      </c>
      <c r="F8059" s="2" t="str">
        <v>0</v>
      </c>
      <c r="I8059" s="3" t="str">
        <f ca="1">IFERROR(__xludf.DUMMYFUNCTION("""COMPUTED_VALUE"""),"Lê Từ Ngọc Mai")</f>
        <v>Lê Từ Ngọc Mai</v>
      </c>
      <c r="J8059" s="3" t="str">
        <f ca="1">IFERROR(__xludf.DUMMYFUNCTION("""COMPUTED_VALUE"""),"0815212419")</f>
        <v>0815212419</v>
      </c>
      <c r="K8059" s="2" t="str">
        <f ca="1">IFERROR(__xludf.DUMMYFUNCTION("""COMPUTED_VALUE"""),"1759971150503")</f>
        <v>1759971150503</v>
      </c>
    </row>
    <row r="8060" spans="1:11" ht="12.45">
      <c r="A8060" s="2" t="str">
        <f ca="1">IFERROR(__xludf.DUMMYFUNCTION("""COMPUTED_VALUE"""),"1759971249325")</f>
        <v>1759971249325</v>
      </c>
      <c r="C8060" s="2" t="str">
        <v>0</v>
      </c>
      <c r="F8060" s="2" t="str">
        <v>0</v>
      </c>
      <c r="I8060" s="3" t="str">
        <f ca="1">IFERROR(__xludf.DUMMYFUNCTION("""COMPUTED_VALUE"""),"Nguyễn Chí Thành ")</f>
        <v xml:space="preserve">Nguyễn Chí Thành </v>
      </c>
      <c r="J8060" s="3" t="str">
        <f ca="1">IFERROR(__xludf.DUMMYFUNCTION("""COMPUTED_VALUE"""),"0368811308")</f>
        <v>0368811308</v>
      </c>
      <c r="K8060" s="2" t="str">
        <f ca="1">IFERROR(__xludf.DUMMYFUNCTION("""COMPUTED_VALUE"""),"1759971249325")</f>
        <v>1759971249325</v>
      </c>
    </row>
    <row r="8061" spans="1:11" ht="12.45">
      <c r="A8061" s="2" t="str">
        <f ca="1">IFERROR(__xludf.DUMMYFUNCTION("""COMPUTED_VALUE"""),"1746672021336")</f>
        <v>1746672021336</v>
      </c>
      <c r="C8061" s="2" t="str">
        <v>0</v>
      </c>
      <c r="F8061" s="2" t="str">
        <v>0</v>
      </c>
      <c r="I8061" s="3" t="str">
        <f ca="1">IFERROR(__xludf.DUMMYFUNCTION("""COMPUTED_VALUE"""),"Hà Văn đạt ")</f>
        <v xml:space="preserve">Hà Văn đạt </v>
      </c>
      <c r="J8061" s="3" t="str">
        <f ca="1">IFERROR(__xludf.DUMMYFUNCTION("""COMPUTED_VALUE"""),"0784132255")</f>
        <v>0784132255</v>
      </c>
      <c r="K8061" s="2" t="str">
        <f ca="1">IFERROR(__xludf.DUMMYFUNCTION("""COMPUTED_VALUE"""),"1746672021336")</f>
        <v>1746672021336</v>
      </c>
    </row>
    <row r="8062" spans="1:11" ht="12.45">
      <c r="A8062" s="2" t="str">
        <f ca="1">IFERROR(__xludf.DUMMYFUNCTION("""COMPUTED_VALUE"""),"1746672074529")</f>
        <v>1746672074529</v>
      </c>
      <c r="C8062" s="2" t="str">
        <v>0</v>
      </c>
      <c r="F8062" s="2" t="str">
        <v>0</v>
      </c>
      <c r="I8062" s="3" t="str">
        <f ca="1">IFERROR(__xludf.DUMMYFUNCTION("""COMPUTED_VALUE"""),"Phạm Quang Bình ")</f>
        <v xml:space="preserve">Phạm Quang Bình </v>
      </c>
      <c r="J8062" s="3" t="str">
        <f ca="1">IFERROR(__xludf.DUMMYFUNCTION("""COMPUTED_VALUE"""),"0342002325")</f>
        <v>0342002325</v>
      </c>
      <c r="K8062" s="2" t="str">
        <f ca="1">IFERROR(__xludf.DUMMYFUNCTION("""COMPUTED_VALUE"""),"1746672074529")</f>
        <v>1746672074529</v>
      </c>
    </row>
    <row r="8063" spans="1:11" ht="12.45">
      <c r="A8063" s="2" t="str">
        <f ca="1">IFERROR(__xludf.DUMMYFUNCTION("""COMPUTED_VALUE"""),"1746672105503")</f>
        <v>1746672105503</v>
      </c>
      <c r="C8063" s="2" t="str">
        <v>0</v>
      </c>
      <c r="F8063" s="2" t="str">
        <v>0</v>
      </c>
      <c r="I8063" s="3" t="str">
        <f ca="1">IFERROR(__xludf.DUMMYFUNCTION("""COMPUTED_VALUE"""),"Vũ Thị Giang ")</f>
        <v xml:space="preserve">Vũ Thị Giang </v>
      </c>
      <c r="J8063" s="3" t="str">
        <f ca="1">IFERROR(__xludf.DUMMYFUNCTION("""COMPUTED_VALUE"""),"0377926706")</f>
        <v>0377926706</v>
      </c>
      <c r="K8063" s="2" t="str">
        <f ca="1">IFERROR(__xludf.DUMMYFUNCTION("""COMPUTED_VALUE"""),"1746672105503")</f>
        <v>1746672105503</v>
      </c>
    </row>
    <row r="8064" spans="1:11" ht="12.45">
      <c r="A8064" s="2" t="str">
        <f ca="1">IFERROR(__xludf.DUMMYFUNCTION("""COMPUTED_VALUE"""),"1746672160930")</f>
        <v>1746672160930</v>
      </c>
      <c r="C8064" s="2" t="str">
        <v>0</v>
      </c>
      <c r="F8064" s="2" t="str">
        <v>0</v>
      </c>
      <c r="I8064" s="3" t="str">
        <f ca="1">IFERROR(__xludf.DUMMYFUNCTION("""COMPUTED_VALUE"""),"Tôn Phương Nghi")</f>
        <v>Tôn Phương Nghi</v>
      </c>
      <c r="J8064" s="3" t="str">
        <f ca="1">IFERROR(__xludf.DUMMYFUNCTION("""COMPUTED_VALUE"""),"0934064162")</f>
        <v>0934064162</v>
      </c>
      <c r="K8064" s="2" t="str">
        <f ca="1">IFERROR(__xludf.DUMMYFUNCTION("""COMPUTED_VALUE"""),"1746672160930")</f>
        <v>1746672160930</v>
      </c>
    </row>
    <row r="8065" spans="1:11" ht="12.45">
      <c r="A8065" s="2" t="str">
        <f ca="1">IFERROR(__xludf.DUMMYFUNCTION("""COMPUTED_VALUE"""),"1746672211155")</f>
        <v>1746672211155</v>
      </c>
      <c r="C8065" s="2" t="str">
        <v>0</v>
      </c>
      <c r="F8065" s="2" t="str">
        <v>0</v>
      </c>
      <c r="I8065" s="3" t="str">
        <f ca="1">IFERROR(__xludf.DUMMYFUNCTION("""COMPUTED_VALUE"""),"Vũ Thị Thiên Hương")</f>
        <v>Vũ Thị Thiên Hương</v>
      </c>
      <c r="J8065" s="3" t="str">
        <f ca="1">IFERROR(__xludf.DUMMYFUNCTION("""COMPUTED_VALUE"""),"0906930241")</f>
        <v>0906930241</v>
      </c>
      <c r="K8065" s="2" t="str">
        <f ca="1">IFERROR(__xludf.DUMMYFUNCTION("""COMPUTED_VALUE"""),"1746672211155")</f>
        <v>1746672211155</v>
      </c>
    </row>
    <row r="8066" spans="1:11" ht="12.45">
      <c r="A8066" s="2" t="str">
        <f ca="1">IFERROR(__xludf.DUMMYFUNCTION("""COMPUTED_VALUE"""),"1746672241784")</f>
        <v>1746672241784</v>
      </c>
      <c r="C8066" s="2" t="str">
        <v>0</v>
      </c>
      <c r="F8066" s="2" t="str">
        <v>0</v>
      </c>
      <c r="I8066" s="3" t="str">
        <f ca="1">IFERROR(__xludf.DUMMYFUNCTION("""COMPUTED_VALUE"""),"Nguyễn Kiều Trang")</f>
        <v>Nguyễn Kiều Trang</v>
      </c>
      <c r="J8066" s="3" t="str">
        <f ca="1">IFERROR(__xludf.DUMMYFUNCTION("""COMPUTED_VALUE"""),"0984008386")</f>
        <v>0984008386</v>
      </c>
      <c r="K8066" s="2" t="str">
        <f ca="1">IFERROR(__xludf.DUMMYFUNCTION("""COMPUTED_VALUE"""),"1746672241784")</f>
        <v>1746672241784</v>
      </c>
    </row>
    <row r="8067" spans="1:11" ht="12.45">
      <c r="A8067" s="2" t="str">
        <f ca="1">IFERROR(__xludf.DUMMYFUNCTION("""COMPUTED_VALUE"""),"1746672283885")</f>
        <v>1746672283885</v>
      </c>
      <c r="C8067" s="2" t="str">
        <v>0</v>
      </c>
      <c r="F8067" s="2" t="str">
        <v>0</v>
      </c>
      <c r="I8067" s="3" t="str">
        <f ca="1">IFERROR(__xludf.DUMMYFUNCTION("""COMPUTED_VALUE"""),"Trần phúc minh")</f>
        <v>Trần phúc minh</v>
      </c>
      <c r="J8067" s="3" t="str">
        <f ca="1">IFERROR(__xludf.DUMMYFUNCTION("""COMPUTED_VALUE"""),"0853165902")</f>
        <v>0853165902</v>
      </c>
      <c r="K8067" s="2" t="str">
        <f ca="1">IFERROR(__xludf.DUMMYFUNCTION("""COMPUTED_VALUE"""),"1746672283885")</f>
        <v>1746672283885</v>
      </c>
    </row>
    <row r="8068" spans="1:11" ht="12.45">
      <c r="A8068" s="2" t="str">
        <f ca="1">IFERROR(__xludf.DUMMYFUNCTION("""COMPUTED_VALUE"""),"1746672325939")</f>
        <v>1746672325939</v>
      </c>
      <c r="C8068" s="2" t="str">
        <v>0</v>
      </c>
      <c r="F8068" s="2" t="str">
        <v>0</v>
      </c>
      <c r="I8068" s="3" t="str">
        <f ca="1">IFERROR(__xludf.DUMMYFUNCTION("""COMPUTED_VALUE"""),"Lê Nguyễn Việt Hưng")</f>
        <v>Lê Nguyễn Việt Hưng</v>
      </c>
      <c r="J8068" s="3" t="str">
        <f ca="1">IFERROR(__xludf.DUMMYFUNCTION("""COMPUTED_VALUE"""),"0778258024")</f>
        <v>0778258024</v>
      </c>
      <c r="K8068" s="2" t="str">
        <f ca="1">IFERROR(__xludf.DUMMYFUNCTION("""COMPUTED_VALUE"""),"1746672325939")</f>
        <v>1746672325939</v>
      </c>
    </row>
    <row r="8069" spans="1:11" ht="12.45">
      <c r="A8069" s="2" t="str">
        <f ca="1">IFERROR(__xludf.DUMMYFUNCTION("""COMPUTED_VALUE"""),"1746672357863")</f>
        <v>1746672357863</v>
      </c>
      <c r="C8069" s="2" t="str">
        <v>0</v>
      </c>
      <c r="F8069" s="2" t="str">
        <v>0</v>
      </c>
      <c r="I8069" s="3" t="str">
        <f ca="1">IFERROR(__xludf.DUMMYFUNCTION("""COMPUTED_VALUE"""),"Lê Khánh Trinh")</f>
        <v>Lê Khánh Trinh</v>
      </c>
      <c r="J8069" s="3" t="str">
        <f ca="1">IFERROR(__xludf.DUMMYFUNCTION("""COMPUTED_VALUE"""),"0908048559")</f>
        <v>0908048559</v>
      </c>
      <c r="K8069" s="2" t="str">
        <f ca="1">IFERROR(__xludf.DUMMYFUNCTION("""COMPUTED_VALUE"""),"1746672357863")</f>
        <v>1746672357863</v>
      </c>
    </row>
    <row r="8070" spans="1:11" ht="12.45">
      <c r="A8070" s="2" t="str">
        <f ca="1">IFERROR(__xludf.DUMMYFUNCTION("""COMPUTED_VALUE"""),"1746672389373")</f>
        <v>1746672389373</v>
      </c>
      <c r="C8070" s="2" t="str">
        <v>0</v>
      </c>
      <c r="F8070" s="2" t="str">
        <v>0</v>
      </c>
      <c r="I8070" s="3" t="str">
        <f ca="1">IFERROR(__xludf.DUMMYFUNCTION("""COMPUTED_VALUE"""),"Nguyễn Hà HUỲNH PHÚC")</f>
        <v>Nguyễn Hà HUỲNH PHÚC</v>
      </c>
      <c r="J8070" s="3" t="str">
        <f ca="1">IFERROR(__xludf.DUMMYFUNCTION("""COMPUTED_VALUE"""),"0332370353")</f>
        <v>0332370353</v>
      </c>
      <c r="K8070" s="2" t="str">
        <f ca="1">IFERROR(__xludf.DUMMYFUNCTION("""COMPUTED_VALUE"""),"1746672389373")</f>
        <v>1746672389373</v>
      </c>
    </row>
    <row r="8071" spans="1:11" ht="12.45">
      <c r="A8071" s="2" t="str">
        <f ca="1">IFERROR(__xludf.DUMMYFUNCTION("""COMPUTED_VALUE"""),"1746672424093")</f>
        <v>1746672424093</v>
      </c>
      <c r="C8071" s="2" t="str">
        <v>0</v>
      </c>
      <c r="F8071" s="2" t="str">
        <v>0</v>
      </c>
      <c r="I8071" s="3" t="str">
        <f ca="1">IFERROR(__xludf.DUMMYFUNCTION("""COMPUTED_VALUE"""),"Hoàng Bảo Châu")</f>
        <v>Hoàng Bảo Châu</v>
      </c>
      <c r="J8071" s="3" t="str">
        <f ca="1">IFERROR(__xludf.DUMMYFUNCTION("""COMPUTED_VALUE"""),"0931627067")</f>
        <v>0931627067</v>
      </c>
      <c r="K8071" s="2" t="str">
        <f ca="1">IFERROR(__xludf.DUMMYFUNCTION("""COMPUTED_VALUE"""),"1746672424093")</f>
        <v>1746672424093</v>
      </c>
    </row>
    <row r="8072" spans="1:11" ht="12.45">
      <c r="A8072" s="2"/>
      <c r="C8072" s="2" t="str">
        <v>0</v>
      </c>
      <c r="F8072" s="2" t="str">
        <v>0</v>
      </c>
      <c r="I8072" s="3" t="str">
        <f ca="1">IFERROR(__xludf.DUMMYFUNCTION("""COMPUTED_VALUE"""),"Hồ Thị Mộng Hiền")</f>
        <v>Hồ Thị Mộng Hiền</v>
      </c>
      <c r="J8072" s="3" t="str">
        <f ca="1">IFERROR(__xludf.DUMMYFUNCTION("""COMPUTED_VALUE"""),"0385602648")</f>
        <v>0385602648</v>
      </c>
      <c r="K8072" s="2"/>
    </row>
    <row r="8073" spans="1:11" ht="12.45">
      <c r="A8073" s="2"/>
      <c r="C8073" s="2" t="str">
        <v>0</v>
      </c>
      <c r="F8073" s="2" t="str">
        <v>0</v>
      </c>
      <c r="I8073" s="3" t="str">
        <f ca="1">IFERROR(__xludf.DUMMYFUNCTION("""COMPUTED_VALUE"""),"Ngô Thị Nga")</f>
        <v>Ngô Thị Nga</v>
      </c>
      <c r="J8073" s="3" t="str">
        <f ca="1">IFERROR(__xludf.DUMMYFUNCTION("""COMPUTED_VALUE"""),"8486984752")</f>
        <v>8486984752</v>
      </c>
      <c r="K8073" s="2"/>
    </row>
    <row r="8074" spans="1:11" ht="12.45">
      <c r="A8074" s="2" t="str">
        <f ca="1">IFERROR(__xludf.DUMMYFUNCTION("""COMPUTED_VALUE"""),"1746672461514")</f>
        <v>1746672461514</v>
      </c>
      <c r="C8074" s="2" t="str">
        <v>0</v>
      </c>
      <c r="F8074" s="2" t="str">
        <v>0</v>
      </c>
      <c r="I8074" s="3" t="str">
        <f ca="1">IFERROR(__xludf.DUMMYFUNCTION("""COMPUTED_VALUE"""),"Phạm Lê Thảo Nguyên")</f>
        <v>Phạm Lê Thảo Nguyên</v>
      </c>
      <c r="J8074" s="3" t="str">
        <f ca="1">IFERROR(__xludf.DUMMYFUNCTION("""COMPUTED_VALUE"""),"0849472234")</f>
        <v>0849472234</v>
      </c>
      <c r="K8074" s="2" t="str">
        <f ca="1">IFERROR(__xludf.DUMMYFUNCTION("""COMPUTED_VALUE"""),"1746672461514")</f>
        <v>1746672461514</v>
      </c>
    </row>
    <row r="8075" spans="1:11" ht="12.45">
      <c r="A8075" s="2" t="str">
        <f ca="1">IFERROR(__xludf.DUMMYFUNCTION("""COMPUTED_VALUE"""),"1746672505333")</f>
        <v>1746672505333</v>
      </c>
      <c r="C8075" s="2" t="str">
        <v>0</v>
      </c>
      <c r="F8075" s="2" t="str">
        <v>0</v>
      </c>
      <c r="I8075" s="3" t="str">
        <f ca="1">IFERROR(__xludf.DUMMYFUNCTION("""COMPUTED_VALUE"""),"Nguyễn Thị Phương Anh")</f>
        <v>Nguyễn Thị Phương Anh</v>
      </c>
      <c r="J8075" s="3" t="str">
        <f ca="1">IFERROR(__xludf.DUMMYFUNCTION("""COMPUTED_VALUE"""),"0382606729")</f>
        <v>0382606729</v>
      </c>
      <c r="K8075" s="2" t="str">
        <f ca="1">IFERROR(__xludf.DUMMYFUNCTION("""COMPUTED_VALUE"""),"1746672505333")</f>
        <v>1746672505333</v>
      </c>
    </row>
    <row r="8076" spans="1:11" ht="12.45">
      <c r="A8076" s="2" t="str">
        <f ca="1">IFERROR(__xludf.DUMMYFUNCTION("""COMPUTED_VALUE"""),"1746672546123")</f>
        <v>1746672546123</v>
      </c>
      <c r="C8076" s="2" t="str">
        <v>0</v>
      </c>
      <c r="F8076" s="2" t="str">
        <v>0</v>
      </c>
      <c r="I8076" s="3" t="str">
        <f ca="1">IFERROR(__xludf.DUMMYFUNCTION("""COMPUTED_VALUE"""),"Nguyễn Thị Diệu Linh")</f>
        <v>Nguyễn Thị Diệu Linh</v>
      </c>
      <c r="J8076" s="3" t="str">
        <f ca="1">IFERROR(__xludf.DUMMYFUNCTION("""COMPUTED_VALUE"""),"0989826750")</f>
        <v>0989826750</v>
      </c>
      <c r="K8076" s="2" t="str">
        <f ca="1">IFERROR(__xludf.DUMMYFUNCTION("""COMPUTED_VALUE"""),"1746672546123")</f>
        <v>1746672546123</v>
      </c>
    </row>
    <row r="8077" spans="1:11" ht="12.45">
      <c r="A8077" s="2" t="str">
        <f ca="1">IFERROR(__xludf.DUMMYFUNCTION("""COMPUTED_VALUE"""),"1746672584447")</f>
        <v>1746672584447</v>
      </c>
      <c r="C8077" s="2" t="str">
        <v>0</v>
      </c>
      <c r="F8077" s="2" t="str">
        <v>0</v>
      </c>
      <c r="I8077" s="3" t="str">
        <f ca="1">IFERROR(__xludf.DUMMYFUNCTION("""COMPUTED_VALUE"""),"Trần Thị Cao Nguyên")</f>
        <v>Trần Thị Cao Nguyên</v>
      </c>
      <c r="J8077" s="3" t="str">
        <f ca="1">IFERROR(__xludf.DUMMYFUNCTION("""COMPUTED_VALUE"""),"0382746632")</f>
        <v>0382746632</v>
      </c>
      <c r="K8077" s="2" t="str">
        <f ca="1">IFERROR(__xludf.DUMMYFUNCTION("""COMPUTED_VALUE"""),"1746672584447")</f>
        <v>1746672584447</v>
      </c>
    </row>
    <row r="8078" spans="1:11" ht="12.45">
      <c r="A8078" s="2" t="str">
        <f ca="1">IFERROR(__xludf.DUMMYFUNCTION("""COMPUTED_VALUE"""),"1746672644703")</f>
        <v>1746672644703</v>
      </c>
      <c r="C8078" s="2" t="str">
        <v>0</v>
      </c>
      <c r="F8078" s="2" t="str">
        <v>0</v>
      </c>
      <c r="I8078" s="3" t="str">
        <f ca="1">IFERROR(__xludf.DUMMYFUNCTION("""COMPUTED_VALUE"""),"LÊ XUÂN TÀI")</f>
        <v>LÊ XUÂN TÀI</v>
      </c>
      <c r="J8078" s="3" t="str">
        <f ca="1">IFERROR(__xludf.DUMMYFUNCTION("""COMPUTED_VALUE"""),"0397706521")</f>
        <v>0397706521</v>
      </c>
      <c r="K8078" s="2" t="str">
        <f ca="1">IFERROR(__xludf.DUMMYFUNCTION("""COMPUTED_VALUE"""),"1746672644703")</f>
        <v>1746672644703</v>
      </c>
    </row>
    <row r="8079" spans="1:11" ht="12.45">
      <c r="A8079" s="2" t="str">
        <f ca="1">IFERROR(__xludf.DUMMYFUNCTION("""COMPUTED_VALUE"""),"1746672668134")</f>
        <v>1746672668134</v>
      </c>
      <c r="C8079" s="2" t="str">
        <v>0</v>
      </c>
      <c r="F8079" s="2" t="str">
        <v>0</v>
      </c>
      <c r="I8079" s="3" t="str">
        <f ca="1">IFERROR(__xludf.DUMMYFUNCTION("""COMPUTED_VALUE"""),"Phùng Tuyết Mai")</f>
        <v>Phùng Tuyết Mai</v>
      </c>
      <c r="J8079" s="3" t="str">
        <f ca="1">IFERROR(__xludf.DUMMYFUNCTION("""COMPUTED_VALUE"""),"0386838795")</f>
        <v>0386838795</v>
      </c>
      <c r="K8079" s="2" t="str">
        <f ca="1">IFERROR(__xludf.DUMMYFUNCTION("""COMPUTED_VALUE"""),"1746672668134")</f>
        <v>1746672668134</v>
      </c>
    </row>
    <row r="8080" spans="1:11" ht="12.45">
      <c r="A8080" s="2" t="str">
        <f ca="1">IFERROR(__xludf.DUMMYFUNCTION("""COMPUTED_VALUE"""),"1746672697140")</f>
        <v>1746672697140</v>
      </c>
      <c r="C8080" s="2" t="str">
        <v>0</v>
      </c>
      <c r="F8080" s="2" t="str">
        <v>0</v>
      </c>
      <c r="I8080" s="3" t="str">
        <f ca="1">IFERROR(__xludf.DUMMYFUNCTION("""COMPUTED_VALUE"""),"Đàm Quang Minh")</f>
        <v>Đàm Quang Minh</v>
      </c>
      <c r="J8080" s="3" t="str">
        <f ca="1">IFERROR(__xludf.DUMMYFUNCTION("""COMPUTED_VALUE"""),"0392283980")</f>
        <v>0392283980</v>
      </c>
      <c r="K8080" s="2" t="str">
        <f ca="1">IFERROR(__xludf.DUMMYFUNCTION("""COMPUTED_VALUE"""),"1746672697140")</f>
        <v>1746672697140</v>
      </c>
    </row>
    <row r="8081" spans="1:11" ht="12.45">
      <c r="A8081" s="2" t="str">
        <f ca="1">IFERROR(__xludf.DUMMYFUNCTION("""COMPUTED_VALUE"""),"1746672728702")</f>
        <v>1746672728702</v>
      </c>
      <c r="C8081" s="2" t="str">
        <v>0</v>
      </c>
      <c r="F8081" s="2" t="str">
        <v>0</v>
      </c>
      <c r="I8081" s="3" t="str">
        <f ca="1">IFERROR(__xludf.DUMMYFUNCTION("""COMPUTED_VALUE"""),"Nguyễn Thị Ngọc Khánh")</f>
        <v>Nguyễn Thị Ngọc Khánh</v>
      </c>
      <c r="J8081" s="3" t="str">
        <f ca="1">IFERROR(__xludf.DUMMYFUNCTION("""COMPUTED_VALUE"""),"0942248863")</f>
        <v>0942248863</v>
      </c>
      <c r="K8081" s="2" t="str">
        <f ca="1">IFERROR(__xludf.DUMMYFUNCTION("""COMPUTED_VALUE"""),"1746672728702")</f>
        <v>1746672728702</v>
      </c>
    </row>
    <row r="8082" spans="1:11" ht="12.45">
      <c r="A8082" s="2" t="str">
        <f ca="1">IFERROR(__xludf.DUMMYFUNCTION("""COMPUTED_VALUE"""),"1746672779870")</f>
        <v>1746672779870</v>
      </c>
      <c r="C8082" s="2" t="str">
        <v>0</v>
      </c>
      <c r="F8082" s="2" t="str">
        <v>0</v>
      </c>
      <c r="I8082" s="3" t="str">
        <f ca="1">IFERROR(__xludf.DUMMYFUNCTION("""COMPUTED_VALUE"""),"Phạm Xuân Huy")</f>
        <v>Phạm Xuân Huy</v>
      </c>
      <c r="J8082" s="3" t="str">
        <f ca="1">IFERROR(__xludf.DUMMYFUNCTION("""COMPUTED_VALUE"""),"0394615825")</f>
        <v>0394615825</v>
      </c>
      <c r="K8082" s="2" t="str">
        <f ca="1">IFERROR(__xludf.DUMMYFUNCTION("""COMPUTED_VALUE"""),"1746672779870")</f>
        <v>1746672779870</v>
      </c>
    </row>
    <row r="8083" spans="1:11" ht="12.45">
      <c r="A8083" s="2"/>
      <c r="C8083" s="2" t="str">
        <v>0</v>
      </c>
      <c r="F8083" s="2" t="str">
        <v>0</v>
      </c>
      <c r="I8083" s="3" t="str">
        <f ca="1">IFERROR(__xludf.DUMMYFUNCTION("""COMPUTED_VALUE"""),"Nguyễn Thị Quyền Trân")</f>
        <v>Nguyễn Thị Quyền Trân</v>
      </c>
      <c r="J8083" s="3" t="str">
        <f ca="1">IFERROR(__xludf.DUMMYFUNCTION("""COMPUTED_VALUE"""),"0812797071")</f>
        <v>0812797071</v>
      </c>
      <c r="K8083" s="2"/>
    </row>
    <row r="8084" spans="1:11" ht="12.45">
      <c r="A8084" s="2" t="str">
        <f ca="1">IFERROR(__xludf.DUMMYFUNCTION("""COMPUTED_VALUE"""),"1746672821556")</f>
        <v>1746672821556</v>
      </c>
      <c r="C8084" s="2" t="str">
        <v>0</v>
      </c>
      <c r="F8084" s="2" t="str">
        <v>0</v>
      </c>
      <c r="I8084" s="3" t="str">
        <f ca="1">IFERROR(__xludf.DUMMYFUNCTION("""COMPUTED_VALUE"""),"Lý Thu Vân")</f>
        <v>Lý Thu Vân</v>
      </c>
      <c r="J8084" s="3" t="str">
        <f ca="1">IFERROR(__xludf.DUMMYFUNCTION("""COMPUTED_VALUE"""),"0966393516")</f>
        <v>0966393516</v>
      </c>
      <c r="K8084" s="2" t="str">
        <f ca="1">IFERROR(__xludf.DUMMYFUNCTION("""COMPUTED_VALUE"""),"1746672821556")</f>
        <v>1746672821556</v>
      </c>
    </row>
    <row r="8085" spans="1:11" ht="12.45">
      <c r="A8085" s="2" t="str">
        <f ca="1">IFERROR(__xludf.DUMMYFUNCTION("""COMPUTED_VALUE"""),"1746672858740")</f>
        <v>1746672858740</v>
      </c>
      <c r="C8085" s="2" t="str">
        <v>0</v>
      </c>
      <c r="F8085" s="2" t="str">
        <v>0</v>
      </c>
      <c r="I8085" s="3" t="str">
        <f ca="1">IFERROR(__xludf.DUMMYFUNCTION("""COMPUTED_VALUE"""),"Phạm Mai Chi ")</f>
        <v xml:space="preserve">Phạm Mai Chi </v>
      </c>
      <c r="J8085" s="3" t="str">
        <f ca="1">IFERROR(__xludf.DUMMYFUNCTION("""COMPUTED_VALUE"""),"0962264722")</f>
        <v>0962264722</v>
      </c>
      <c r="K8085" s="2" t="str">
        <f ca="1">IFERROR(__xludf.DUMMYFUNCTION("""COMPUTED_VALUE"""),"1746672858740")</f>
        <v>1746672858740</v>
      </c>
    </row>
    <row r="8086" spans="1:11" ht="12.45">
      <c r="A8086" s="2" t="str">
        <f ca="1">IFERROR(__xludf.DUMMYFUNCTION("""COMPUTED_VALUE"""),"1746672907463")</f>
        <v>1746672907463</v>
      </c>
      <c r="C8086" s="2" t="str">
        <v>0</v>
      </c>
      <c r="F8086" s="2" t="str">
        <v>0</v>
      </c>
      <c r="I8086" s="3" t="str">
        <f ca="1">IFERROR(__xludf.DUMMYFUNCTION("""COMPUTED_VALUE"""),"Trần Thị May")</f>
        <v>Trần Thị May</v>
      </c>
      <c r="J8086" s="3" t="str">
        <f ca="1">IFERROR(__xludf.DUMMYFUNCTION("""COMPUTED_VALUE"""),"0983691351")</f>
        <v>0983691351</v>
      </c>
      <c r="K8086" s="2" t="str">
        <f ca="1">IFERROR(__xludf.DUMMYFUNCTION("""COMPUTED_VALUE"""),"1746672907463")</f>
        <v>1746672907463</v>
      </c>
    </row>
    <row r="8087" spans="1:11" ht="12.45">
      <c r="A8087" s="2" t="str">
        <f ca="1">IFERROR(__xludf.DUMMYFUNCTION("""COMPUTED_VALUE"""),"1764464552435")</f>
        <v>1764464552435</v>
      </c>
      <c r="C8087" s="2" t="str">
        <v>0</v>
      </c>
      <c r="F8087" s="2" t="str">
        <v>0</v>
      </c>
      <c r="I8087" s="3" t="str">
        <f ca="1">IFERROR(__xludf.DUMMYFUNCTION("""COMPUTED_VALUE"""),"Trần Hà Trang")</f>
        <v>Trần Hà Trang</v>
      </c>
      <c r="J8087" s="3" t="str">
        <f ca="1">IFERROR(__xludf.DUMMYFUNCTION("""COMPUTED_VALUE"""),"0344441374")</f>
        <v>0344441374</v>
      </c>
      <c r="K8087" s="2" t="str">
        <f ca="1">IFERROR(__xludf.DUMMYFUNCTION("""COMPUTED_VALUE"""),"1764464552435")</f>
        <v>1764464552435</v>
      </c>
    </row>
    <row r="8088" spans="1:11" ht="12.45">
      <c r="A8088" s="2" t="str">
        <f ca="1">IFERROR(__xludf.DUMMYFUNCTION("""COMPUTED_VALUE"""),"1764464613513")</f>
        <v>1764464613513</v>
      </c>
      <c r="C8088" s="2" t="str">
        <v>0</v>
      </c>
      <c r="F8088" s="2" t="str">
        <v>0</v>
      </c>
      <c r="I8088" s="3" t="str">
        <f ca="1">IFERROR(__xludf.DUMMYFUNCTION("""COMPUTED_VALUE"""),"Đỗ Thị Thái Hà")</f>
        <v>Đỗ Thị Thái Hà</v>
      </c>
      <c r="J8088" s="3" t="str">
        <f ca="1">IFERROR(__xludf.DUMMYFUNCTION("""COMPUTED_VALUE"""),"0362525038")</f>
        <v>0362525038</v>
      </c>
      <c r="K8088" s="2" t="str">
        <f ca="1">IFERROR(__xludf.DUMMYFUNCTION("""COMPUTED_VALUE"""),"1764464613513")</f>
        <v>1764464613513</v>
      </c>
    </row>
    <row r="8089" spans="1:11" ht="12.45">
      <c r="A8089" s="2" t="str">
        <f ca="1">IFERROR(__xludf.DUMMYFUNCTION("""COMPUTED_VALUE"""),"1764464676272")</f>
        <v>1764464676272</v>
      </c>
      <c r="C8089" s="2" t="str">
        <v>0</v>
      </c>
      <c r="F8089" s="2" t="str">
        <v>0</v>
      </c>
      <c r="I8089" s="3" t="str">
        <f ca="1">IFERROR(__xludf.DUMMYFUNCTION("""COMPUTED_VALUE"""),"Tráng Thị Sa Ny")</f>
        <v>Tráng Thị Sa Ny</v>
      </c>
      <c r="J8089" s="3" t="str">
        <f ca="1">IFERROR(__xludf.DUMMYFUNCTION("""COMPUTED_VALUE"""),"0813705006")</f>
        <v>0813705006</v>
      </c>
      <c r="K8089" s="2" t="str">
        <f ca="1">IFERROR(__xludf.DUMMYFUNCTION("""COMPUTED_VALUE"""),"1764464676272")</f>
        <v>1764464676272</v>
      </c>
    </row>
    <row r="8090" spans="1:11" ht="12.45">
      <c r="A8090" s="2" t="str">
        <f ca="1">IFERROR(__xludf.DUMMYFUNCTION("""COMPUTED_VALUE"""),"1753090611337")</f>
        <v>1753090611337</v>
      </c>
      <c r="C8090" s="2" t="str">
        <v>0</v>
      </c>
      <c r="F8090" s="2" t="str">
        <v>0</v>
      </c>
      <c r="I8090" s="3" t="str">
        <f ca="1">IFERROR(__xludf.DUMMYFUNCTION("""COMPUTED_VALUE"""),"Danh Trương Hồng Cẩm ")</f>
        <v xml:space="preserve">Danh Trương Hồng Cẩm </v>
      </c>
      <c r="J8090" s="3" t="str">
        <f ca="1">IFERROR(__xludf.DUMMYFUNCTION("""COMPUTED_VALUE"""),"0392161030")</f>
        <v>0392161030</v>
      </c>
      <c r="K8090" s="2" t="str">
        <f ca="1">IFERROR(__xludf.DUMMYFUNCTION("""COMPUTED_VALUE"""),"1753090611337")</f>
        <v>1753090611337</v>
      </c>
    </row>
    <row r="8091" spans="1:11" ht="12.45">
      <c r="A8091" s="2" t="str">
        <f ca="1">IFERROR(__xludf.DUMMYFUNCTION("""COMPUTED_VALUE"""),"1753090653502")</f>
        <v>1753090653502</v>
      </c>
      <c r="C8091" s="2" t="str">
        <v>0</v>
      </c>
      <c r="F8091" s="2" t="str">
        <v>0</v>
      </c>
      <c r="I8091" s="3" t="str">
        <f ca="1">IFERROR(__xludf.DUMMYFUNCTION("""COMPUTED_VALUE"""),"Nguyễn Hồng Kim Xuân ")</f>
        <v xml:space="preserve">Nguyễn Hồng Kim Xuân </v>
      </c>
      <c r="J8091" s="3" t="str">
        <f ca="1">IFERROR(__xludf.DUMMYFUNCTION("""COMPUTED_VALUE"""),"0337285819")</f>
        <v>0337285819</v>
      </c>
      <c r="K8091" s="2" t="str">
        <f ca="1">IFERROR(__xludf.DUMMYFUNCTION("""COMPUTED_VALUE"""),"1753090653502")</f>
        <v>1753090653502</v>
      </c>
    </row>
    <row r="8092" spans="1:11" ht="12.45">
      <c r="A8092" s="2" t="str">
        <f ca="1">IFERROR(__xludf.DUMMYFUNCTION("""COMPUTED_VALUE"""),"1764464735771")</f>
        <v>1764464735771</v>
      </c>
      <c r="C8092" s="2" t="str">
        <v>0</v>
      </c>
      <c r="F8092" s="2" t="str">
        <v>0</v>
      </c>
      <c r="I8092" s="3" t="str">
        <f ca="1">IFERROR(__xludf.DUMMYFUNCTION("""COMPUTED_VALUE"""),"Hoàng Trịnh Khánh Dương")</f>
        <v>Hoàng Trịnh Khánh Dương</v>
      </c>
      <c r="J8092" s="3" t="str">
        <f ca="1">IFERROR(__xludf.DUMMYFUNCTION("""COMPUTED_VALUE"""),"0989421617")</f>
        <v>0989421617</v>
      </c>
      <c r="K8092" s="2" t="str">
        <f ca="1">IFERROR(__xludf.DUMMYFUNCTION("""COMPUTED_VALUE"""),"1764464735771")</f>
        <v>1764464735771</v>
      </c>
    </row>
    <row r="8093" spans="1:11" ht="12.45">
      <c r="A8093" s="2" t="str">
        <f ca="1">IFERROR(__xludf.DUMMYFUNCTION("""COMPUTED_VALUE"""),"1764464793282")</f>
        <v>1764464793282</v>
      </c>
      <c r="C8093" s="2" t="str">
        <v>0</v>
      </c>
      <c r="F8093" s="2" t="str">
        <v>0</v>
      </c>
      <c r="I8093" s="3" t="str">
        <f ca="1">IFERROR(__xludf.DUMMYFUNCTION("""COMPUTED_VALUE"""),"Lâm Thị Tố Quyên ")</f>
        <v xml:space="preserve">Lâm Thị Tố Quyên </v>
      </c>
      <c r="J8093" s="3" t="str">
        <f ca="1">IFERROR(__xludf.DUMMYFUNCTION("""COMPUTED_VALUE"""),"0383696118")</f>
        <v>0383696118</v>
      </c>
      <c r="K8093" s="2" t="str">
        <f ca="1">IFERROR(__xludf.DUMMYFUNCTION("""COMPUTED_VALUE"""),"1764464793282")</f>
        <v>1764464793282</v>
      </c>
    </row>
    <row r="8094" spans="1:11" ht="12.45">
      <c r="A8094" s="2" t="str">
        <f ca="1">IFERROR(__xludf.DUMMYFUNCTION("""COMPUTED_VALUE"""),"1764464876198")</f>
        <v>1764464876198</v>
      </c>
      <c r="C8094" s="2" t="str">
        <v>0</v>
      </c>
      <c r="F8094" s="2" t="str">
        <v>0</v>
      </c>
      <c r="I8094" s="3" t="str">
        <f ca="1">IFERROR(__xludf.DUMMYFUNCTION("""COMPUTED_VALUE"""),"Nguyễn Thị Minh Châu")</f>
        <v>Nguyễn Thị Minh Châu</v>
      </c>
      <c r="J8094" s="3" t="str">
        <f ca="1">IFERROR(__xludf.DUMMYFUNCTION("""COMPUTED_VALUE"""),"0364261376")</f>
        <v>0364261376</v>
      </c>
      <c r="K8094" s="2" t="str">
        <f ca="1">IFERROR(__xludf.DUMMYFUNCTION("""COMPUTED_VALUE"""),"1764464876198")</f>
        <v>1764464876198</v>
      </c>
    </row>
    <row r="8095" spans="1:11" ht="12.45">
      <c r="A8095" s="2" t="str">
        <f ca="1">IFERROR(__xludf.DUMMYFUNCTION("""COMPUTED_VALUE"""),"1764464962197")</f>
        <v>1764464962197</v>
      </c>
      <c r="C8095" s="2" t="str">
        <v>0</v>
      </c>
      <c r="F8095" s="2" t="str">
        <v>0</v>
      </c>
      <c r="I8095" s="3" t="str">
        <f ca="1">IFERROR(__xludf.DUMMYFUNCTION("""COMPUTED_VALUE"""),"Nguyễn Thanh Tuệ")</f>
        <v>Nguyễn Thanh Tuệ</v>
      </c>
      <c r="J8095" s="3" t="str">
        <f ca="1">IFERROR(__xludf.DUMMYFUNCTION("""COMPUTED_VALUE"""),"0961076534")</f>
        <v>0961076534</v>
      </c>
      <c r="K8095" s="2" t="str">
        <f ca="1">IFERROR(__xludf.DUMMYFUNCTION("""COMPUTED_VALUE"""),"1764464962197")</f>
        <v>1764464962197</v>
      </c>
    </row>
    <row r="8096" spans="1:11" ht="12.45">
      <c r="A8096" s="2" t="str">
        <f ca="1">IFERROR(__xludf.DUMMYFUNCTION("""COMPUTED_VALUE"""),"1764465010325")</f>
        <v>1764465010325</v>
      </c>
      <c r="C8096" s="2" t="str">
        <v>0</v>
      </c>
      <c r="F8096" s="2" t="str">
        <v>0</v>
      </c>
      <c r="I8096" s="3" t="str">
        <f ca="1">IFERROR(__xludf.DUMMYFUNCTION("""COMPUTED_VALUE"""),"Nguyễn Ngọc Bảo Hân")</f>
        <v>Nguyễn Ngọc Bảo Hân</v>
      </c>
      <c r="J8096" s="3" t="str">
        <f ca="1">IFERROR(__xludf.DUMMYFUNCTION("""COMPUTED_VALUE"""),"0397976192")</f>
        <v>0397976192</v>
      </c>
      <c r="K8096" s="2" t="str">
        <f ca="1">IFERROR(__xludf.DUMMYFUNCTION("""COMPUTED_VALUE"""),"1764465010325")</f>
        <v>1764465010325</v>
      </c>
    </row>
    <row r="8097" spans="1:11" ht="12.45">
      <c r="A8097" s="2" t="str">
        <f ca="1">IFERROR(__xludf.DUMMYFUNCTION("""COMPUTED_VALUE"""),"1764465056988")</f>
        <v>1764465056988</v>
      </c>
      <c r="C8097" s="2" t="str">
        <v>0</v>
      </c>
      <c r="F8097" s="2" t="str">
        <v>0</v>
      </c>
      <c r="I8097" s="3" t="str">
        <f ca="1">IFERROR(__xludf.DUMMYFUNCTION("""COMPUTED_VALUE"""),"Đặng Ánh Dương")</f>
        <v>Đặng Ánh Dương</v>
      </c>
      <c r="J8097" s="3" t="str">
        <f ca="1">IFERROR(__xludf.DUMMYFUNCTION("""COMPUTED_VALUE"""),"0813419887")</f>
        <v>0813419887</v>
      </c>
      <c r="K8097" s="2" t="str">
        <f ca="1">IFERROR(__xludf.DUMMYFUNCTION("""COMPUTED_VALUE"""),"1764465056988")</f>
        <v>1764465056988</v>
      </c>
    </row>
    <row r="8098" spans="1:11" ht="12.45">
      <c r="A8098" s="2" t="str">
        <f ca="1">IFERROR(__xludf.DUMMYFUNCTION("""COMPUTED_VALUE"""),"1764465104198")</f>
        <v>1764465104198</v>
      </c>
      <c r="C8098" s="2" t="str">
        <v>0</v>
      </c>
      <c r="F8098" s="2" t="str">
        <v>0</v>
      </c>
      <c r="I8098" s="3" t="str">
        <f ca="1">IFERROR(__xludf.DUMMYFUNCTION("""COMPUTED_VALUE"""),"Chu Phương Anh")</f>
        <v>Chu Phương Anh</v>
      </c>
      <c r="J8098" s="3" t="str">
        <f ca="1">IFERROR(__xludf.DUMMYFUNCTION("""COMPUTED_VALUE"""),"0372984356")</f>
        <v>0372984356</v>
      </c>
      <c r="K8098" s="2" t="str">
        <f ca="1">IFERROR(__xludf.DUMMYFUNCTION("""COMPUTED_VALUE"""),"1764465104198")</f>
        <v>1764465104198</v>
      </c>
    </row>
    <row r="8099" spans="1:11" ht="12.45">
      <c r="A8099" s="2" t="str">
        <f ca="1">IFERROR(__xludf.DUMMYFUNCTION("""COMPUTED_VALUE"""),"1753090674184")</f>
        <v>1753090674184</v>
      </c>
      <c r="C8099" s="2" t="str">
        <v>0</v>
      </c>
      <c r="F8099" s="2" t="str">
        <v>0</v>
      </c>
      <c r="I8099" s="3" t="str">
        <f ca="1">IFERROR(__xludf.DUMMYFUNCTION("""COMPUTED_VALUE"""),"Phan Hồngg Châu")</f>
        <v>Phan Hồngg Châu</v>
      </c>
      <c r="J8099" s="3" t="str">
        <f ca="1">IFERROR(__xludf.DUMMYFUNCTION("""COMPUTED_VALUE"""),"0373625950")</f>
        <v>0373625950</v>
      </c>
      <c r="K8099" s="2" t="str">
        <f ca="1">IFERROR(__xludf.DUMMYFUNCTION("""COMPUTED_VALUE"""),"1753090674184")</f>
        <v>1753090674184</v>
      </c>
    </row>
    <row r="8100" spans="1:11" ht="12.45">
      <c r="A8100" s="2" t="str">
        <f ca="1">IFERROR(__xludf.DUMMYFUNCTION("""COMPUTED_VALUE"""),"1753090697699")</f>
        <v>1753090697699</v>
      </c>
      <c r="C8100" s="2" t="str">
        <v>0</v>
      </c>
      <c r="F8100" s="2" t="str">
        <v>0</v>
      </c>
      <c r="I8100" s="3" t="str">
        <f ca="1">IFERROR(__xludf.DUMMYFUNCTION("""COMPUTED_VALUE"""),"Nguyễn Như Quyên")</f>
        <v>Nguyễn Như Quyên</v>
      </c>
      <c r="J8100" s="3" t="str">
        <f ca="1">IFERROR(__xludf.DUMMYFUNCTION("""COMPUTED_VALUE"""),"0764523825")</f>
        <v>0764523825</v>
      </c>
      <c r="K8100" s="2" t="str">
        <f ca="1">IFERROR(__xludf.DUMMYFUNCTION("""COMPUTED_VALUE"""),"1753090697699")</f>
        <v>1753090697699</v>
      </c>
    </row>
    <row r="8101" spans="1:11" ht="12.45">
      <c r="A8101" s="2" t="str">
        <f ca="1">IFERROR(__xludf.DUMMYFUNCTION("""COMPUTED_VALUE"""),"1764465146584")</f>
        <v>1764465146584</v>
      </c>
      <c r="C8101" s="2" t="str">
        <v>0</v>
      </c>
      <c r="F8101" s="2" t="str">
        <v>0</v>
      </c>
      <c r="I8101" s="3" t="str">
        <f ca="1">IFERROR(__xludf.DUMMYFUNCTION("""COMPUTED_VALUE"""),"Hà Giang")</f>
        <v>Hà Giang</v>
      </c>
      <c r="J8101" s="3" t="str">
        <f ca="1">IFERROR(__xludf.DUMMYFUNCTION("""COMPUTED_VALUE"""),"0911307417")</f>
        <v>0911307417</v>
      </c>
      <c r="K8101" s="2" t="str">
        <f ca="1">IFERROR(__xludf.DUMMYFUNCTION("""COMPUTED_VALUE"""),"1764465146584")</f>
        <v>1764465146584</v>
      </c>
    </row>
    <row r="8102" spans="1:11" ht="12.45">
      <c r="A8102" s="2" t="str">
        <f ca="1">IFERROR(__xludf.DUMMYFUNCTION("""COMPUTED_VALUE"""),"1764465182937")</f>
        <v>1764465182937</v>
      </c>
      <c r="C8102" s="2" t="str">
        <v>0</v>
      </c>
      <c r="F8102" s="2" t="str">
        <v>0</v>
      </c>
      <c r="I8102" s="3" t="str">
        <f ca="1">IFERROR(__xludf.DUMMYFUNCTION("""COMPUTED_VALUE"""),"Mai Anh Thư")</f>
        <v>Mai Anh Thư</v>
      </c>
      <c r="J8102" s="3" t="str">
        <f ca="1">IFERROR(__xludf.DUMMYFUNCTION("""COMPUTED_VALUE"""),"0971722460")</f>
        <v>0971722460</v>
      </c>
      <c r="K8102" s="2" t="str">
        <f ca="1">IFERROR(__xludf.DUMMYFUNCTION("""COMPUTED_VALUE"""),"1764465182937")</f>
        <v>1764465182937</v>
      </c>
    </row>
    <row r="8103" spans="1:11" ht="12.45">
      <c r="A8103" s="2" t="str">
        <f ca="1">IFERROR(__xludf.DUMMYFUNCTION("""COMPUTED_VALUE"""),"1764465232118")</f>
        <v>1764465232118</v>
      </c>
      <c r="C8103" s="2" t="str">
        <v>0</v>
      </c>
      <c r="F8103" s="2" t="str">
        <v>0</v>
      </c>
      <c r="I8103" s="3" t="str">
        <f ca="1">IFERROR(__xludf.DUMMYFUNCTION("""COMPUTED_VALUE"""),"Phạm Thị Ngọc Ly")</f>
        <v>Phạm Thị Ngọc Ly</v>
      </c>
      <c r="J8103" s="3" t="str">
        <f ca="1">IFERROR(__xludf.DUMMYFUNCTION("""COMPUTED_VALUE"""),"0927134711")</f>
        <v>0927134711</v>
      </c>
      <c r="K8103" s="2" t="str">
        <f ca="1">IFERROR(__xludf.DUMMYFUNCTION("""COMPUTED_VALUE"""),"1764465232118")</f>
        <v>1764465232118</v>
      </c>
    </row>
    <row r="8104" spans="1:11" ht="12.45">
      <c r="A8104" s="2" t="str">
        <f ca="1">IFERROR(__xludf.DUMMYFUNCTION("""COMPUTED_VALUE"""),"1764465302454")</f>
        <v>1764465302454</v>
      </c>
      <c r="C8104" s="2" t="str">
        <v>0</v>
      </c>
      <c r="F8104" s="2" t="str">
        <v>0</v>
      </c>
      <c r="I8104" s="3" t="str">
        <f ca="1">IFERROR(__xludf.DUMMYFUNCTION("""COMPUTED_VALUE"""),"Nguyễn Doãn Phúc")</f>
        <v>Nguyễn Doãn Phúc</v>
      </c>
      <c r="J8104" s="3" t="str">
        <f ca="1">IFERROR(__xludf.DUMMYFUNCTION("""COMPUTED_VALUE"""),"0912286017")</f>
        <v>0912286017</v>
      </c>
      <c r="K8104" s="2" t="str">
        <f ca="1">IFERROR(__xludf.DUMMYFUNCTION("""COMPUTED_VALUE"""),"1764465302454")</f>
        <v>1764465302454</v>
      </c>
    </row>
    <row r="8105" spans="1:11" ht="12.45">
      <c r="A8105" s="2" t="str">
        <f ca="1">IFERROR(__xludf.DUMMYFUNCTION("""COMPUTED_VALUE"""),"1764465389956")</f>
        <v>1764465389956</v>
      </c>
      <c r="C8105" s="2" t="str">
        <v>0</v>
      </c>
      <c r="F8105" s="2" t="str">
        <v>0</v>
      </c>
      <c r="I8105" s="3" t="str">
        <f ca="1">IFERROR(__xludf.DUMMYFUNCTION("""COMPUTED_VALUE"""),"Nguyễn Thị Hồng Hạnh ")</f>
        <v xml:space="preserve">Nguyễn Thị Hồng Hạnh </v>
      </c>
      <c r="J8105" s="3" t="str">
        <f ca="1">IFERROR(__xludf.DUMMYFUNCTION("""COMPUTED_VALUE"""),"0387149629")</f>
        <v>0387149629</v>
      </c>
      <c r="K8105" s="2" t="str">
        <f ca="1">IFERROR(__xludf.DUMMYFUNCTION("""COMPUTED_VALUE"""),"1764465389956")</f>
        <v>1764465389956</v>
      </c>
    </row>
    <row r="8106" spans="1:11" ht="12.45">
      <c r="A8106" s="2" t="str">
        <f ca="1">IFERROR(__xludf.DUMMYFUNCTION("""COMPUTED_VALUE"""),"1764465424906")</f>
        <v>1764465424906</v>
      </c>
      <c r="C8106" s="2" t="str">
        <v>0</v>
      </c>
      <c r="F8106" s="2" t="str">
        <v>0</v>
      </c>
      <c r="I8106" s="3" t="str">
        <f ca="1">IFERROR(__xludf.DUMMYFUNCTION("""COMPUTED_VALUE"""),"Bế Ngọc Nụ")</f>
        <v>Bế Ngọc Nụ</v>
      </c>
      <c r="J8106" s="3" t="str">
        <f ca="1">IFERROR(__xludf.DUMMYFUNCTION("""COMPUTED_VALUE"""),"0702242081")</f>
        <v>0702242081</v>
      </c>
      <c r="K8106" s="2" t="str">
        <f ca="1">IFERROR(__xludf.DUMMYFUNCTION("""COMPUTED_VALUE"""),"1764465424906")</f>
        <v>1764465424906</v>
      </c>
    </row>
    <row r="8107" spans="1:11" ht="12.45">
      <c r="A8107" s="2" t="str">
        <f ca="1">IFERROR(__xludf.DUMMYFUNCTION("""COMPUTED_VALUE"""),"1764465466662")</f>
        <v>1764465466662</v>
      </c>
      <c r="C8107" s="2" t="str">
        <v>0</v>
      </c>
      <c r="F8107" s="2" t="str">
        <v>0</v>
      </c>
      <c r="I8107" s="3" t="str">
        <f ca="1">IFERROR(__xludf.DUMMYFUNCTION("""COMPUTED_VALUE"""),"Dư Nguyên Giang")</f>
        <v>Dư Nguyên Giang</v>
      </c>
      <c r="J8107" s="3" t="str">
        <f ca="1">IFERROR(__xludf.DUMMYFUNCTION("""COMPUTED_VALUE"""),"0899570083")</f>
        <v>0899570083</v>
      </c>
      <c r="K8107" s="2" t="str">
        <f ca="1">IFERROR(__xludf.DUMMYFUNCTION("""COMPUTED_VALUE"""),"1764465466662")</f>
        <v>1764465466662</v>
      </c>
    </row>
    <row r="8108" spans="1:11" ht="12.45">
      <c r="A8108" s="2" t="str">
        <f ca="1">IFERROR(__xludf.DUMMYFUNCTION("""COMPUTED_VALUE"""),"1764465510524")</f>
        <v>1764465510524</v>
      </c>
      <c r="C8108" s="2" t="str">
        <v>0</v>
      </c>
      <c r="F8108" s="2" t="str">
        <v>0</v>
      </c>
      <c r="I8108" s="3" t="str">
        <f ca="1">IFERROR(__xludf.DUMMYFUNCTION("""COMPUTED_VALUE"""),"Bùi Đức Mạnh")</f>
        <v>Bùi Đức Mạnh</v>
      </c>
      <c r="J8108" s="3" t="str">
        <f ca="1">IFERROR(__xludf.DUMMYFUNCTION("""COMPUTED_VALUE"""),"0329285351")</f>
        <v>0329285351</v>
      </c>
      <c r="K8108" s="2" t="str">
        <f ca="1">IFERROR(__xludf.DUMMYFUNCTION("""COMPUTED_VALUE"""),"1764465510524")</f>
        <v>1764465510524</v>
      </c>
    </row>
    <row r="8109" spans="1:11" ht="12.45">
      <c r="A8109" s="2" t="str">
        <f ca="1">IFERROR(__xludf.DUMMYFUNCTION("""COMPUTED_VALUE"""),"1764465560289")</f>
        <v>1764465560289</v>
      </c>
      <c r="C8109" s="2" t="str">
        <v>0</v>
      </c>
      <c r="F8109" s="2" t="str">
        <v>0</v>
      </c>
      <c r="I8109" s="3" t="str">
        <f ca="1">IFERROR(__xludf.DUMMYFUNCTION("""COMPUTED_VALUE"""),"Trần Đình Gia Hưng")</f>
        <v>Trần Đình Gia Hưng</v>
      </c>
      <c r="J8109" s="3" t="str">
        <f ca="1">IFERROR(__xludf.DUMMYFUNCTION("""COMPUTED_VALUE"""),"0938912057")</f>
        <v>0938912057</v>
      </c>
      <c r="K8109" s="2" t="str">
        <f ca="1">IFERROR(__xludf.DUMMYFUNCTION("""COMPUTED_VALUE"""),"1764465560289")</f>
        <v>1764465560289</v>
      </c>
    </row>
    <row r="8110" spans="1:11" ht="12.45">
      <c r="A8110" s="2" t="str">
        <f ca="1">IFERROR(__xludf.DUMMYFUNCTION("""COMPUTED_VALUE"""),"1764465595969")</f>
        <v>1764465595969</v>
      </c>
      <c r="C8110" s="2" t="str">
        <v>0</v>
      </c>
      <c r="F8110" s="2" t="str">
        <v>0</v>
      </c>
      <c r="I8110" s="3" t="str">
        <f ca="1">IFERROR(__xludf.DUMMYFUNCTION("""COMPUTED_VALUE"""),"Nguyễn Thị Hiếu Ngân")</f>
        <v>Nguyễn Thị Hiếu Ngân</v>
      </c>
      <c r="J8110" s="3" t="str">
        <f ca="1">IFERROR(__xludf.DUMMYFUNCTION("""COMPUTED_VALUE"""),"0794893751")</f>
        <v>0794893751</v>
      </c>
      <c r="K8110" s="2" t="str">
        <f ca="1">IFERROR(__xludf.DUMMYFUNCTION("""COMPUTED_VALUE"""),"1764465595969")</f>
        <v>1764465595969</v>
      </c>
    </row>
    <row r="8111" spans="1:11" ht="12.45">
      <c r="A8111" s="2" t="str">
        <f ca="1">IFERROR(__xludf.DUMMYFUNCTION("""COMPUTED_VALUE"""),"1764465638760")</f>
        <v>1764465638760</v>
      </c>
      <c r="C8111" s="2" t="str">
        <v>0</v>
      </c>
      <c r="F8111" s="2" t="str">
        <v>0</v>
      </c>
      <c r="I8111" s="3" t="str">
        <f ca="1">IFERROR(__xludf.DUMMYFUNCTION("""COMPUTED_VALUE"""),"Phan Thị Thanh Tuyền")</f>
        <v>Phan Thị Thanh Tuyền</v>
      </c>
      <c r="J8111" s="3" t="str">
        <f ca="1">IFERROR(__xludf.DUMMYFUNCTION("""COMPUTED_VALUE"""),"0702664560")</f>
        <v>0702664560</v>
      </c>
      <c r="K8111" s="2" t="str">
        <f ca="1">IFERROR(__xludf.DUMMYFUNCTION("""COMPUTED_VALUE"""),"1764465638760")</f>
        <v>1764465638760</v>
      </c>
    </row>
    <row r="8112" spans="1:11" ht="12.45">
      <c r="A8112" s="2" t="str">
        <f ca="1">IFERROR(__xludf.DUMMYFUNCTION("""COMPUTED_VALUE"""),"1764465689364")</f>
        <v>1764465689364</v>
      </c>
      <c r="C8112" s="2" t="str">
        <v>0</v>
      </c>
      <c r="F8112" s="2" t="str">
        <v>0</v>
      </c>
      <c r="I8112" s="3" t="str">
        <f ca="1">IFERROR(__xludf.DUMMYFUNCTION("""COMPUTED_VALUE"""),"Hà Thị Phương Mai")</f>
        <v>Hà Thị Phương Mai</v>
      </c>
      <c r="J8112" s="3" t="str">
        <f ca="1">IFERROR(__xludf.DUMMYFUNCTION("""COMPUTED_VALUE"""),"0846436898")</f>
        <v>0846436898</v>
      </c>
      <c r="K8112" s="2" t="str">
        <f ca="1">IFERROR(__xludf.DUMMYFUNCTION("""COMPUTED_VALUE"""),"1764465689364")</f>
        <v>1764465689364</v>
      </c>
    </row>
    <row r="8113" spans="1:11" ht="12.45">
      <c r="A8113" s="2" t="str">
        <f ca="1">IFERROR(__xludf.DUMMYFUNCTION("""COMPUTED_VALUE"""),"1764465730240")</f>
        <v>1764465730240</v>
      </c>
      <c r="C8113" s="2" t="str">
        <v>0</v>
      </c>
      <c r="F8113" s="2" t="str">
        <v>0</v>
      </c>
      <c r="I8113" s="3" t="str">
        <f ca="1">IFERROR(__xludf.DUMMYFUNCTION("""COMPUTED_VALUE"""),"Phạm Thị Mỹ hạnh")</f>
        <v>Phạm Thị Mỹ hạnh</v>
      </c>
      <c r="J8113" s="3" t="str">
        <f ca="1">IFERROR(__xludf.DUMMYFUNCTION("""COMPUTED_VALUE"""),"0967396693")</f>
        <v>0967396693</v>
      </c>
      <c r="K8113" s="2" t="str">
        <f ca="1">IFERROR(__xludf.DUMMYFUNCTION("""COMPUTED_VALUE"""),"1764465730240")</f>
        <v>1764465730240</v>
      </c>
    </row>
    <row r="8114" spans="1:11" ht="12.45">
      <c r="A8114" s="2"/>
      <c r="C8114" s="2" t="str">
        <v>0</v>
      </c>
      <c r="F8114" s="2" t="str">
        <v>0</v>
      </c>
      <c r="I8114" s="3" t="str">
        <f ca="1">IFERROR(__xludf.DUMMYFUNCTION("""COMPUTED_VALUE"""),"Trần Ngọc Thảo")</f>
        <v>Trần Ngọc Thảo</v>
      </c>
      <c r="J8114" s="3" t="str">
        <f ca="1">IFERROR(__xludf.DUMMYFUNCTION("""COMPUTED_VALUE"""),"0384200858")</f>
        <v>0384200858</v>
      </c>
      <c r="K8114" s="2"/>
    </row>
    <row r="8115" spans="1:11" ht="12.45">
      <c r="A8115" s="2" t="str">
        <f ca="1">IFERROR(__xludf.DUMMYFUNCTION("""COMPUTED_VALUE"""),"1764465814865")</f>
        <v>1764465814865</v>
      </c>
      <c r="C8115" s="2" t="str">
        <v>0</v>
      </c>
      <c r="F8115" s="2" t="str">
        <v>0</v>
      </c>
      <c r="I8115" s="3" t="str">
        <f ca="1">IFERROR(__xludf.DUMMYFUNCTION("""COMPUTED_VALUE"""),"Đỗ Khánh Linh")</f>
        <v>Đỗ Khánh Linh</v>
      </c>
      <c r="J8115" s="3" t="str">
        <f ca="1">IFERROR(__xludf.DUMMYFUNCTION("""COMPUTED_VALUE"""),"0329379552")</f>
        <v>0329379552</v>
      </c>
      <c r="K8115" s="2" t="str">
        <f ca="1">IFERROR(__xludf.DUMMYFUNCTION("""COMPUTED_VALUE"""),"1764465814865")</f>
        <v>1764465814865</v>
      </c>
    </row>
    <row r="8116" spans="1:11" ht="12.45">
      <c r="A8116" s="2" t="str">
        <f ca="1">IFERROR(__xludf.DUMMYFUNCTION("""COMPUTED_VALUE"""),"1764465879548")</f>
        <v>1764465879548</v>
      </c>
      <c r="C8116" s="2" t="str">
        <v>0</v>
      </c>
      <c r="F8116" s="2" t="str">
        <v>0</v>
      </c>
      <c r="I8116" s="3" t="str">
        <f ca="1">IFERROR(__xludf.DUMMYFUNCTION("""COMPUTED_VALUE"""),"Nguyễn Hiển ")</f>
        <v xml:space="preserve">Nguyễn Hiển </v>
      </c>
      <c r="J8116" s="3" t="str">
        <f ca="1">IFERROR(__xludf.DUMMYFUNCTION("""COMPUTED_VALUE"""),"0967980418")</f>
        <v>0967980418</v>
      </c>
      <c r="K8116" s="2" t="str">
        <f ca="1">IFERROR(__xludf.DUMMYFUNCTION("""COMPUTED_VALUE"""),"1764465879548")</f>
        <v>1764465879548</v>
      </c>
    </row>
    <row r="8117" spans="1:11" ht="12.45">
      <c r="A8117" s="2" t="str">
        <f ca="1">IFERROR(__xludf.DUMMYFUNCTION("""COMPUTED_VALUE"""),"1753090726552")</f>
        <v>1753090726552</v>
      </c>
      <c r="C8117" s="2" t="str">
        <v>0</v>
      </c>
      <c r="F8117" s="2" t="str">
        <v>0</v>
      </c>
      <c r="I8117" s="3" t="str">
        <f ca="1">IFERROR(__xludf.DUMMYFUNCTION("""COMPUTED_VALUE"""),"Tưởng Lê Yến Vy")</f>
        <v>Tưởng Lê Yến Vy</v>
      </c>
      <c r="J8117" s="3" t="str">
        <f ca="1">IFERROR(__xludf.DUMMYFUNCTION("""COMPUTED_VALUE"""),"0328046873")</f>
        <v>0328046873</v>
      </c>
      <c r="K8117" s="2" t="str">
        <f ca="1">IFERROR(__xludf.DUMMYFUNCTION("""COMPUTED_VALUE"""),"1753090726552")</f>
        <v>1753090726552</v>
      </c>
    </row>
    <row r="8118" spans="1:11" ht="12.45">
      <c r="A8118" s="2" t="str">
        <f ca="1">IFERROR(__xludf.DUMMYFUNCTION("""COMPUTED_VALUE"""),"1764465985042")</f>
        <v>1764465985042</v>
      </c>
      <c r="C8118" s="2" t="str">
        <v>0</v>
      </c>
      <c r="F8118" s="2" t="str">
        <v>0</v>
      </c>
      <c r="I8118" s="3" t="str">
        <f ca="1">IFERROR(__xludf.DUMMYFUNCTION("""COMPUTED_VALUE"""),"Võ Phương Diễm")</f>
        <v>Võ Phương Diễm</v>
      </c>
      <c r="J8118" s="3" t="str">
        <f ca="1">IFERROR(__xludf.DUMMYFUNCTION("""COMPUTED_VALUE"""),"0763625300")</f>
        <v>0763625300</v>
      </c>
      <c r="K8118" s="2" t="str">
        <f ca="1">IFERROR(__xludf.DUMMYFUNCTION("""COMPUTED_VALUE"""),"1764465985042")</f>
        <v>1764465985042</v>
      </c>
    </row>
    <row r="8119" spans="1:11" ht="12.45">
      <c r="A8119" s="2" t="str">
        <f ca="1">IFERROR(__xludf.DUMMYFUNCTION("""COMPUTED_VALUE"""),"1764466117635")</f>
        <v>1764466117635</v>
      </c>
      <c r="C8119" s="2" t="str">
        <v>0</v>
      </c>
      <c r="F8119" s="2" t="str">
        <v>0</v>
      </c>
      <c r="I8119" s="3" t="str">
        <f ca="1">IFERROR(__xludf.DUMMYFUNCTION("""COMPUTED_VALUE"""),"Đỗ Thị Minh Lương")</f>
        <v>Đỗ Thị Minh Lương</v>
      </c>
      <c r="J8119" s="3" t="str">
        <f ca="1">IFERROR(__xludf.DUMMYFUNCTION("""COMPUTED_VALUE"""),"0334968392")</f>
        <v>0334968392</v>
      </c>
      <c r="K8119" s="2" t="str">
        <f ca="1">IFERROR(__xludf.DUMMYFUNCTION("""COMPUTED_VALUE"""),"1764466117635")</f>
        <v>1764466117635</v>
      </c>
    </row>
    <row r="8120" spans="1:11" ht="12.45">
      <c r="A8120" s="2" t="str">
        <f ca="1">IFERROR(__xludf.DUMMYFUNCTION("""COMPUTED_VALUE"""),"1764466197548")</f>
        <v>1764466197548</v>
      </c>
      <c r="C8120" s="2" t="str">
        <v>0</v>
      </c>
      <c r="F8120" s="2" t="str">
        <v>0</v>
      </c>
      <c r="I8120" s="3" t="str">
        <f ca="1">IFERROR(__xludf.DUMMYFUNCTION("""COMPUTED_VALUE"""),"TRẦN HỒNG THƯơNG")</f>
        <v>TRẦN HỒNG THƯơNG</v>
      </c>
      <c r="J8120" s="3" t="str">
        <f ca="1">IFERROR(__xludf.DUMMYFUNCTION("""COMPUTED_VALUE"""),"0869696084")</f>
        <v>0869696084</v>
      </c>
      <c r="K8120" s="2" t="str">
        <f ca="1">IFERROR(__xludf.DUMMYFUNCTION("""COMPUTED_VALUE"""),"1764466197548")</f>
        <v>1764466197548</v>
      </c>
    </row>
    <row r="8121" spans="1:11" ht="12.45">
      <c r="A8121" s="2" t="str">
        <f ca="1">IFERROR(__xludf.DUMMYFUNCTION("""COMPUTED_VALUE"""),"1764466244318")</f>
        <v>1764466244318</v>
      </c>
      <c r="C8121" s="2" t="str">
        <v>0</v>
      </c>
      <c r="F8121" s="2" t="str">
        <v>0</v>
      </c>
      <c r="I8121" s="3" t="str">
        <f ca="1">IFERROR(__xludf.DUMMYFUNCTION("""COMPUTED_VALUE"""),"Nguyễn Minh Quang")</f>
        <v>Nguyễn Minh Quang</v>
      </c>
      <c r="J8121" s="3" t="str">
        <f ca="1">IFERROR(__xludf.DUMMYFUNCTION("""COMPUTED_VALUE"""),"0373653448")</f>
        <v>0373653448</v>
      </c>
      <c r="K8121" s="2" t="str">
        <f ca="1">IFERROR(__xludf.DUMMYFUNCTION("""COMPUTED_VALUE"""),"1764466244318")</f>
        <v>1764466244318</v>
      </c>
    </row>
    <row r="8122" spans="1:11" ht="12.45">
      <c r="A8122" s="2" t="str">
        <f ca="1">IFERROR(__xludf.DUMMYFUNCTION("""COMPUTED_VALUE"""),"1764466289338")</f>
        <v>1764466289338</v>
      </c>
      <c r="C8122" s="2" t="str">
        <v>0</v>
      </c>
      <c r="F8122" s="2" t="str">
        <v>0</v>
      </c>
      <c r="I8122" s="2" t="str">
        <f ca="1">IFERROR(__xludf.DUMMYFUNCTION("""COMPUTED_VALUE"""),"Nguyễn Mai Anh")</f>
        <v>Nguyễn Mai Anh</v>
      </c>
      <c r="J8122" s="3" t="str">
        <f ca="1">IFERROR(__xludf.DUMMYFUNCTION("""COMPUTED_VALUE"""),"0964386513")</f>
        <v>0964386513</v>
      </c>
      <c r="K8122" s="2" t="str">
        <f ca="1">IFERROR(__xludf.DUMMYFUNCTION("""COMPUTED_VALUE"""),"1764466289338")</f>
        <v>1764466289338</v>
      </c>
    </row>
    <row r="8123" spans="1:11" ht="12.45">
      <c r="A8123" s="2" t="str">
        <f ca="1">IFERROR(__xludf.DUMMYFUNCTION("""COMPUTED_VALUE"""),"1764466331649")</f>
        <v>1764466331649</v>
      </c>
      <c r="C8123" s="2" t="str">
        <v>0</v>
      </c>
      <c r="F8123" s="2" t="str">
        <v>0</v>
      </c>
      <c r="I8123" s="3" t="str">
        <f ca="1">IFERROR(__xludf.DUMMYFUNCTION("""COMPUTED_VALUE"""),"Vũ Thị Trà My")</f>
        <v>Vũ Thị Trà My</v>
      </c>
      <c r="J8123" s="3" t="str">
        <f ca="1">IFERROR(__xludf.DUMMYFUNCTION("""COMPUTED_VALUE"""),"0339027161")</f>
        <v>0339027161</v>
      </c>
      <c r="K8123" s="2" t="str">
        <f ca="1">IFERROR(__xludf.DUMMYFUNCTION("""COMPUTED_VALUE"""),"1764466331649")</f>
        <v>1764466331649</v>
      </c>
    </row>
    <row r="8124" spans="1:11" ht="12.45">
      <c r="A8124" s="2" t="str">
        <f ca="1">IFERROR(__xludf.DUMMYFUNCTION("""COMPUTED_VALUE"""),"1764466391767")</f>
        <v>1764466391767</v>
      </c>
      <c r="C8124" s="2" t="str">
        <v>0</v>
      </c>
      <c r="F8124" s="2" t="str">
        <v>0</v>
      </c>
      <c r="I8124" s="3" t="str">
        <f ca="1">IFERROR(__xludf.DUMMYFUNCTION("""COMPUTED_VALUE"""),"Đỗ Phạm Phương Thảo")</f>
        <v>Đỗ Phạm Phương Thảo</v>
      </c>
      <c r="J8124" s="3" t="str">
        <f ca="1">IFERROR(__xludf.DUMMYFUNCTION("""COMPUTED_VALUE"""),"0983641515")</f>
        <v>0983641515</v>
      </c>
      <c r="K8124" s="2" t="str">
        <f ca="1">IFERROR(__xludf.DUMMYFUNCTION("""COMPUTED_VALUE"""),"1764466391767")</f>
        <v>1764466391767</v>
      </c>
    </row>
    <row r="8125" spans="1:11" ht="12.45">
      <c r="A8125" s="2" t="str">
        <f ca="1">IFERROR(__xludf.DUMMYFUNCTION("""COMPUTED_VALUE"""),"1753090772183")</f>
        <v>1753090772183</v>
      </c>
      <c r="C8125" s="2" t="str">
        <v>0</v>
      </c>
      <c r="F8125" s="2" t="str">
        <v>0</v>
      </c>
      <c r="I8125" s="3" t="str">
        <f ca="1">IFERROR(__xludf.DUMMYFUNCTION("""COMPUTED_VALUE"""),"Lê Thị Kim Chi")</f>
        <v>Lê Thị Kim Chi</v>
      </c>
      <c r="J8125" s="3" t="str">
        <f ca="1">IFERROR(__xludf.DUMMYFUNCTION("""COMPUTED_VALUE"""),"0944901256")</f>
        <v>0944901256</v>
      </c>
      <c r="K8125" s="2" t="str">
        <f ca="1">IFERROR(__xludf.DUMMYFUNCTION("""COMPUTED_VALUE"""),"1753090772183")</f>
        <v>1753090772183</v>
      </c>
    </row>
    <row r="8126" spans="1:11" ht="12.45">
      <c r="A8126" s="2" t="str">
        <f ca="1">IFERROR(__xludf.DUMMYFUNCTION("""COMPUTED_VALUE"""),"1753090797430")</f>
        <v>1753090797430</v>
      </c>
      <c r="C8126" s="2" t="str">
        <v>0</v>
      </c>
      <c r="F8126" s="2" t="str">
        <v>0</v>
      </c>
      <c r="I8126" s="3" t="str">
        <f ca="1">IFERROR(__xludf.DUMMYFUNCTION("""COMPUTED_VALUE"""),"Đặng Thị Lan Anh")</f>
        <v>Đặng Thị Lan Anh</v>
      </c>
      <c r="J8126" s="3" t="str">
        <f ca="1">IFERROR(__xludf.DUMMYFUNCTION("""COMPUTED_VALUE"""),"0345143832")</f>
        <v>0345143832</v>
      </c>
      <c r="K8126" s="2" t="str">
        <f ca="1">IFERROR(__xludf.DUMMYFUNCTION("""COMPUTED_VALUE"""),"1753090797430")</f>
        <v>1753090797430</v>
      </c>
    </row>
    <row r="8127" spans="1:11" ht="12.45">
      <c r="A8127" s="2" t="str">
        <f ca="1">IFERROR(__xludf.DUMMYFUNCTION("""COMPUTED_VALUE"""),"1753090834078")</f>
        <v>1753090834078</v>
      </c>
      <c r="C8127" s="2" t="str">
        <v>0</v>
      </c>
      <c r="F8127" s="2" t="str">
        <v>0</v>
      </c>
      <c r="I8127" s="3" t="str">
        <f ca="1">IFERROR(__xludf.DUMMYFUNCTION("""COMPUTED_VALUE"""),"Nguyễn Thị Thuỳ Trang ")</f>
        <v xml:space="preserve">Nguyễn Thị Thuỳ Trang </v>
      </c>
      <c r="J8127" s="3" t="str">
        <f ca="1">IFERROR(__xludf.DUMMYFUNCTION("""COMPUTED_VALUE"""),"0847048057")</f>
        <v>0847048057</v>
      </c>
      <c r="K8127" s="2" t="str">
        <f ca="1">IFERROR(__xludf.DUMMYFUNCTION("""COMPUTED_VALUE"""),"1753090834078")</f>
        <v>1753090834078</v>
      </c>
    </row>
    <row r="8128" spans="1:11" ht="12.45">
      <c r="A8128" s="2"/>
      <c r="C8128" s="2" t="str">
        <v>0</v>
      </c>
      <c r="F8128" s="2" t="str">
        <v>0</v>
      </c>
      <c r="I8128" s="3" t="str">
        <f ca="1">IFERROR(__xludf.DUMMYFUNCTION("""COMPUTED_VALUE"""),"Nguyễn Quốc Trung")</f>
        <v>Nguyễn Quốc Trung</v>
      </c>
      <c r="J8128" s="3" t="str">
        <f ca="1">IFERROR(__xludf.DUMMYFUNCTION("""COMPUTED_VALUE"""),"0973599864")</f>
        <v>0973599864</v>
      </c>
      <c r="K8128" s="2"/>
    </row>
    <row r="8129" spans="1:11" ht="12.45">
      <c r="A8129" s="2"/>
      <c r="C8129" s="2" t="str">
        <v>0</v>
      </c>
      <c r="F8129" s="2" t="str">
        <v>0</v>
      </c>
      <c r="I8129" s="3" t="str">
        <f ca="1">IFERROR(__xludf.DUMMYFUNCTION("""COMPUTED_VALUE"""),"Hoàng Hồng")</f>
        <v>Hoàng Hồng</v>
      </c>
      <c r="J8129" s="3" t="str">
        <f ca="1">IFERROR(__xludf.DUMMYFUNCTION("""COMPUTED_VALUE"""),"0369212080")</f>
        <v>0369212080</v>
      </c>
      <c r="K8129" s="2"/>
    </row>
    <row r="8130" spans="1:11" ht="12.45">
      <c r="A8130" s="2" t="str">
        <f ca="1">IFERROR(__xludf.DUMMYFUNCTION("""COMPUTED_VALUE"""),"1753090865544")</f>
        <v>1753090865544</v>
      </c>
      <c r="C8130" s="2" t="str">
        <v>0</v>
      </c>
      <c r="F8130" s="2" t="str">
        <v>0</v>
      </c>
      <c r="I8130" s="3" t="str">
        <f ca="1">IFERROR(__xludf.DUMMYFUNCTION("""COMPUTED_VALUE"""),"Đỗ Thị Thanh Thư")</f>
        <v>Đỗ Thị Thanh Thư</v>
      </c>
      <c r="J8130" s="3" t="str">
        <f ca="1">IFERROR(__xludf.DUMMYFUNCTION("""COMPUTED_VALUE"""),"0914942710")</f>
        <v>0914942710</v>
      </c>
      <c r="K8130" s="2" t="str">
        <f ca="1">IFERROR(__xludf.DUMMYFUNCTION("""COMPUTED_VALUE"""),"1753090865544")</f>
        <v>1753090865544</v>
      </c>
    </row>
    <row r="8131" spans="1:11" ht="12.45">
      <c r="A8131" s="2" t="str">
        <f ca="1">IFERROR(__xludf.DUMMYFUNCTION("""COMPUTED_VALUE"""),"1753090889616")</f>
        <v>1753090889616</v>
      </c>
      <c r="C8131" s="2" t="str">
        <v>0</v>
      </c>
      <c r="F8131" s="2" t="str">
        <v>0</v>
      </c>
      <c r="I8131" s="3" t="str">
        <f ca="1">IFERROR(__xludf.DUMMYFUNCTION("""COMPUTED_VALUE"""),"Nguyễn Phương Thảo ")</f>
        <v xml:space="preserve">Nguyễn Phương Thảo </v>
      </c>
      <c r="J8131" s="3" t="str">
        <f ca="1">IFERROR(__xludf.DUMMYFUNCTION("""COMPUTED_VALUE"""),"0963282007")</f>
        <v>0963282007</v>
      </c>
      <c r="K8131" s="2" t="str">
        <f ca="1">IFERROR(__xludf.DUMMYFUNCTION("""COMPUTED_VALUE"""),"1753090889616")</f>
        <v>1753090889616</v>
      </c>
    </row>
    <row r="8132" spans="1:11" ht="12.45">
      <c r="A8132" s="2" t="str">
        <f ca="1">IFERROR(__xludf.DUMMYFUNCTION("""COMPUTED_VALUE"""),"1753090915549")</f>
        <v>1753090915549</v>
      </c>
      <c r="C8132" s="2" t="str">
        <v>0</v>
      </c>
      <c r="F8132" s="2" t="str">
        <v>0</v>
      </c>
      <c r="I8132" s="3" t="str">
        <f ca="1">IFERROR(__xludf.DUMMYFUNCTION("""COMPUTED_VALUE"""),"Nguyễn Lê Hoàng Yến ")</f>
        <v xml:space="preserve">Nguyễn Lê Hoàng Yến </v>
      </c>
      <c r="J8132" s="3" t="str">
        <f ca="1">IFERROR(__xludf.DUMMYFUNCTION("""COMPUTED_VALUE"""),"0784843837")</f>
        <v>0784843837</v>
      </c>
      <c r="K8132" s="2" t="str">
        <f ca="1">IFERROR(__xludf.DUMMYFUNCTION("""COMPUTED_VALUE"""),"1753090915549")</f>
        <v>1753090915549</v>
      </c>
    </row>
    <row r="8133" spans="1:11" ht="12.45">
      <c r="A8133" s="2" t="str">
        <f ca="1">IFERROR(__xludf.DUMMYFUNCTION("""COMPUTED_VALUE"""),"1753090939451")</f>
        <v>1753090939451</v>
      </c>
      <c r="C8133" s="2" t="str">
        <v>0</v>
      </c>
      <c r="F8133" s="2" t="str">
        <v>0</v>
      </c>
      <c r="I8133" s="3" t="str">
        <f ca="1">IFERROR(__xludf.DUMMYFUNCTION("""COMPUTED_VALUE"""),"Nguyễn Phạm Chí Thiện")</f>
        <v>Nguyễn Phạm Chí Thiện</v>
      </c>
      <c r="J8133" s="3" t="str">
        <f ca="1">IFERROR(__xludf.DUMMYFUNCTION("""COMPUTED_VALUE"""),"0932817231")</f>
        <v>0932817231</v>
      </c>
      <c r="K8133" s="2" t="str">
        <f ca="1">IFERROR(__xludf.DUMMYFUNCTION("""COMPUTED_VALUE"""),"1753090939451")</f>
        <v>1753090939451</v>
      </c>
    </row>
    <row r="8134" spans="1:11" ht="12.45">
      <c r="A8134" s="2" t="str">
        <f ca="1">IFERROR(__xludf.DUMMYFUNCTION("""COMPUTED_VALUE"""),"1753090957887")</f>
        <v>1753090957887</v>
      </c>
      <c r="C8134" s="2" t="str">
        <v>0</v>
      </c>
      <c r="F8134" s="2" t="str">
        <v>0</v>
      </c>
      <c r="I8134" s="3" t="str">
        <f ca="1">IFERROR(__xludf.DUMMYFUNCTION("""COMPUTED_VALUE"""),"Nguyễn Thị Hải Yến")</f>
        <v>Nguyễn Thị Hải Yến</v>
      </c>
      <c r="J8134" s="3" t="str">
        <f ca="1">IFERROR(__xludf.DUMMYFUNCTION("""COMPUTED_VALUE"""),"0348542728")</f>
        <v>0348542728</v>
      </c>
      <c r="K8134" s="2" t="str">
        <f ca="1">IFERROR(__xludf.DUMMYFUNCTION("""COMPUTED_VALUE"""),"1753090957887")</f>
        <v>1753090957887</v>
      </c>
    </row>
    <row r="8135" spans="1:11" ht="12.45">
      <c r="A8135" s="2"/>
      <c r="C8135" s="2" t="str">
        <v>0</v>
      </c>
      <c r="F8135" s="2" t="str">
        <v>0</v>
      </c>
      <c r="I8135" s="3" t="str">
        <f ca="1">IFERROR(__xludf.DUMMYFUNCTION("""COMPUTED_VALUE"""),"Nguyễn Bảo Khanh")</f>
        <v>Nguyễn Bảo Khanh</v>
      </c>
      <c r="J8135" s="3" t="str">
        <f ca="1">IFERROR(__xludf.DUMMYFUNCTION("""COMPUTED_VALUE"""),"0765769601")</f>
        <v>0765769601</v>
      </c>
      <c r="K8135" s="2"/>
    </row>
    <row r="8136" spans="1:11" ht="12.45">
      <c r="A8136" s="2" t="str">
        <f ca="1">IFERROR(__xludf.DUMMYFUNCTION("""COMPUTED_VALUE"""),"1753090980098")</f>
        <v>1753090980098</v>
      </c>
      <c r="C8136" s="2" t="str">
        <v>0</v>
      </c>
      <c r="F8136" s="2" t="str">
        <v>0</v>
      </c>
      <c r="I8136" s="3" t="str">
        <f ca="1">IFERROR(__xludf.DUMMYFUNCTION("""COMPUTED_VALUE"""),"Nguyễn Thị Hải")</f>
        <v>Nguyễn Thị Hải</v>
      </c>
      <c r="J8136" s="3" t="str">
        <f ca="1">IFERROR(__xludf.DUMMYFUNCTION("""COMPUTED_VALUE"""),"0967125636")</f>
        <v>0967125636</v>
      </c>
      <c r="K8136" s="2" t="str">
        <f ca="1">IFERROR(__xludf.DUMMYFUNCTION("""COMPUTED_VALUE"""),"1753090980098")</f>
        <v>1753090980098</v>
      </c>
    </row>
    <row r="8137" spans="1:11" ht="12.45">
      <c r="A8137" s="2" t="str">
        <f ca="1">IFERROR(__xludf.DUMMYFUNCTION("""COMPUTED_VALUE"""),"1753091006183")</f>
        <v>1753091006183</v>
      </c>
      <c r="C8137" s="2" t="str">
        <v>0</v>
      </c>
      <c r="F8137" s="2" t="str">
        <v>0</v>
      </c>
      <c r="I8137" s="3" t="str">
        <f ca="1">IFERROR(__xludf.DUMMYFUNCTION("""COMPUTED_VALUE"""),"Vũ Ngọc Mỹ Anh ")</f>
        <v xml:space="preserve">Vũ Ngọc Mỹ Anh </v>
      </c>
      <c r="J8137" s="3" t="str">
        <f ca="1">IFERROR(__xludf.DUMMYFUNCTION("""COMPUTED_VALUE"""),"0396856708")</f>
        <v>0396856708</v>
      </c>
      <c r="K8137" s="2" t="str">
        <f ca="1">IFERROR(__xludf.DUMMYFUNCTION("""COMPUTED_VALUE"""),"1753091006183")</f>
        <v>1753091006183</v>
      </c>
    </row>
    <row r="8138" spans="1:11" ht="12.45">
      <c r="A8138" s="2" t="str">
        <f ca="1">IFERROR(__xludf.DUMMYFUNCTION("""COMPUTED_VALUE"""),"1753091036128")</f>
        <v>1753091036128</v>
      </c>
      <c r="C8138" s="2" t="str">
        <v>0</v>
      </c>
      <c r="F8138" s="2" t="str">
        <v>0</v>
      </c>
      <c r="I8138" s="3" t="str">
        <f ca="1">IFERROR(__xludf.DUMMYFUNCTION("""COMPUTED_VALUE"""),"Nguyễn Minh Triệu Bách")</f>
        <v>Nguyễn Minh Triệu Bách</v>
      </c>
      <c r="J8138" s="3" t="str">
        <f ca="1">IFERROR(__xludf.DUMMYFUNCTION("""COMPUTED_VALUE"""),"0823842739")</f>
        <v>0823842739</v>
      </c>
      <c r="K8138" s="2" t="str">
        <f ca="1">IFERROR(__xludf.DUMMYFUNCTION("""COMPUTED_VALUE"""),"1753091036128")</f>
        <v>1753091036128</v>
      </c>
    </row>
    <row r="8139" spans="1:11" ht="12.45">
      <c r="A8139" s="2" t="str">
        <f ca="1">IFERROR(__xludf.DUMMYFUNCTION("""COMPUTED_VALUE"""),"1753091066696")</f>
        <v>1753091066696</v>
      </c>
      <c r="C8139" s="2" t="str">
        <v>0</v>
      </c>
      <c r="F8139" s="2" t="str">
        <v>0</v>
      </c>
      <c r="I8139" s="3" t="str">
        <f ca="1">IFERROR(__xludf.DUMMYFUNCTION("""COMPUTED_VALUE"""),"Võ Nguyễn Bảo Nguyên")</f>
        <v>Võ Nguyễn Bảo Nguyên</v>
      </c>
      <c r="J8139" s="3" t="str">
        <f ca="1">IFERROR(__xludf.DUMMYFUNCTION("""COMPUTED_VALUE"""),"0899068421")</f>
        <v>0899068421</v>
      </c>
      <c r="K8139" s="2" t="str">
        <f ca="1">IFERROR(__xludf.DUMMYFUNCTION("""COMPUTED_VALUE"""),"1753091066696")</f>
        <v>1753091066696</v>
      </c>
    </row>
    <row r="8140" spans="1:11" ht="12.45">
      <c r="A8140" s="2" t="str">
        <f ca="1">IFERROR(__xludf.DUMMYFUNCTION("""COMPUTED_VALUE"""),"1753091100016")</f>
        <v>1753091100016</v>
      </c>
      <c r="C8140" s="2" t="str">
        <v>0</v>
      </c>
      <c r="F8140" s="2" t="str">
        <v>0</v>
      </c>
      <c r="I8140" s="3" t="str">
        <f ca="1">IFERROR(__xludf.DUMMYFUNCTION("""COMPUTED_VALUE"""),"Nguyễn Vũ Bảo Hân")</f>
        <v>Nguyễn Vũ Bảo Hân</v>
      </c>
      <c r="J8140" s="3" t="str">
        <f ca="1">IFERROR(__xludf.DUMMYFUNCTION("""COMPUTED_VALUE"""),"0948510607")</f>
        <v>0948510607</v>
      </c>
      <c r="K8140" s="2" t="str">
        <f ca="1">IFERROR(__xludf.DUMMYFUNCTION("""COMPUTED_VALUE"""),"1753091100016")</f>
        <v>1753091100016</v>
      </c>
    </row>
    <row r="8141" spans="1:11" ht="12.45">
      <c r="A8141" s="2" t="str">
        <f ca="1">IFERROR(__xludf.DUMMYFUNCTION("""COMPUTED_VALUE"""),"1753091128653")</f>
        <v>1753091128653</v>
      </c>
      <c r="C8141" s="2" t="str">
        <v>0</v>
      </c>
      <c r="F8141" s="2" t="str">
        <v>0</v>
      </c>
      <c r="I8141" s="3" t="str">
        <f ca="1">IFERROR(__xludf.DUMMYFUNCTION("""COMPUTED_VALUE"""),"Đậu Hoàng Anh ")</f>
        <v xml:space="preserve">Đậu Hoàng Anh </v>
      </c>
      <c r="J8141" s="3" t="str">
        <f ca="1">IFERROR(__xludf.DUMMYFUNCTION("""COMPUTED_VALUE"""),"0776214938")</f>
        <v>0776214938</v>
      </c>
      <c r="K8141" s="2" t="str">
        <f ca="1">IFERROR(__xludf.DUMMYFUNCTION("""COMPUTED_VALUE"""),"1753091128653")</f>
        <v>1753091128653</v>
      </c>
    </row>
    <row r="8142" spans="1:11" ht="12.45">
      <c r="A8142" s="2" t="str">
        <f ca="1">IFERROR(__xludf.DUMMYFUNCTION("""COMPUTED_VALUE"""),"1753091172790")</f>
        <v>1753091172790</v>
      </c>
      <c r="C8142" s="2" t="str">
        <v>0</v>
      </c>
      <c r="F8142" s="2" t="str">
        <v>0</v>
      </c>
      <c r="I8142" s="3" t="str">
        <f ca="1">IFERROR(__xludf.DUMMYFUNCTION("""COMPUTED_VALUE"""),"LÊ THỊ HUỲNH GIAO")</f>
        <v>LÊ THỊ HUỲNH GIAO</v>
      </c>
      <c r="J8142" s="3" t="str">
        <f ca="1">IFERROR(__xludf.DUMMYFUNCTION("""COMPUTED_VALUE"""),"0971402073")</f>
        <v>0971402073</v>
      </c>
      <c r="K8142" s="2" t="str">
        <f ca="1">IFERROR(__xludf.DUMMYFUNCTION("""COMPUTED_VALUE"""),"1753091172790")</f>
        <v>1753091172790</v>
      </c>
    </row>
    <row r="8143" spans="1:11" ht="12.45">
      <c r="A8143" s="2" t="str">
        <f ca="1">IFERROR(__xludf.DUMMYFUNCTION("""COMPUTED_VALUE"""),"1753091199231")</f>
        <v>1753091199231</v>
      </c>
      <c r="C8143" s="2" t="str">
        <v>0</v>
      </c>
      <c r="F8143" s="2" t="str">
        <v>0</v>
      </c>
      <c r="I8143" s="3" t="str">
        <f ca="1">IFERROR(__xludf.DUMMYFUNCTION("""COMPUTED_VALUE"""),"Võ Lê Xuân Trúc")</f>
        <v>Võ Lê Xuân Trúc</v>
      </c>
      <c r="J8143" s="3" t="str">
        <f ca="1">IFERROR(__xludf.DUMMYFUNCTION("""COMPUTED_VALUE"""),"0943477279")</f>
        <v>0943477279</v>
      </c>
      <c r="K8143" s="2" t="str">
        <f ca="1">IFERROR(__xludf.DUMMYFUNCTION("""COMPUTED_VALUE"""),"1753091199231")</f>
        <v>1753091199231</v>
      </c>
    </row>
    <row r="8144" spans="1:11" ht="12.45">
      <c r="A8144" s="2"/>
      <c r="C8144" s="2" t="str">
        <v>0</v>
      </c>
      <c r="F8144" s="2" t="str">
        <v>0</v>
      </c>
      <c r="I8144" s="3" t="str">
        <f ca="1">IFERROR(__xludf.DUMMYFUNCTION("""COMPUTED_VALUE"""),"Lê Anh Huy")</f>
        <v>Lê Anh Huy</v>
      </c>
      <c r="J8144" s="3" t="str">
        <f ca="1">IFERROR(__xludf.DUMMYFUNCTION("""COMPUTED_VALUE"""),"0868814397")</f>
        <v>0868814397</v>
      </c>
      <c r="K8144" s="2"/>
    </row>
    <row r="8145" spans="1:11" ht="12.45">
      <c r="A8145" s="2" t="str">
        <f ca="1">IFERROR(__xludf.DUMMYFUNCTION("""COMPUTED_VALUE"""),"1753091222622")</f>
        <v>1753091222622</v>
      </c>
      <c r="C8145" s="2" t="str">
        <v>0</v>
      </c>
      <c r="F8145" s="2" t="str">
        <v>0</v>
      </c>
      <c r="I8145" s="3" t="str">
        <f ca="1">IFERROR(__xludf.DUMMYFUNCTION("""COMPUTED_VALUE"""),"Trần Quốc Đạt")</f>
        <v>Trần Quốc Đạt</v>
      </c>
      <c r="J8145" s="3" t="str">
        <f ca="1">IFERROR(__xludf.DUMMYFUNCTION("""COMPUTED_VALUE"""),"0367376963")</f>
        <v>0367376963</v>
      </c>
      <c r="K8145" s="2" t="str">
        <f ca="1">IFERROR(__xludf.DUMMYFUNCTION("""COMPUTED_VALUE"""),"1753091222622")</f>
        <v>1753091222622</v>
      </c>
    </row>
    <row r="8146" spans="1:11" ht="12.45">
      <c r="A8146" s="2" t="str">
        <f ca="1">IFERROR(__xludf.DUMMYFUNCTION("""COMPUTED_VALUE"""),"1753091246457")</f>
        <v>1753091246457</v>
      </c>
      <c r="C8146" s="2" t="str">
        <v>0</v>
      </c>
      <c r="F8146" s="2" t="str">
        <v>0</v>
      </c>
      <c r="I8146" s="3" t="str">
        <f ca="1">IFERROR(__xludf.DUMMYFUNCTION("""COMPUTED_VALUE"""),"Phạm Trịnh Anh Quốc")</f>
        <v>Phạm Trịnh Anh Quốc</v>
      </c>
      <c r="J8146" s="3" t="str">
        <f ca="1">IFERROR(__xludf.DUMMYFUNCTION("""COMPUTED_VALUE"""),"0362681677")</f>
        <v>0362681677</v>
      </c>
      <c r="K8146" s="2" t="str">
        <f ca="1">IFERROR(__xludf.DUMMYFUNCTION("""COMPUTED_VALUE"""),"1753091246457")</f>
        <v>1753091246457</v>
      </c>
    </row>
    <row r="8147" spans="1:11" ht="12.45">
      <c r="A8147" s="2" t="str">
        <f ca="1">IFERROR(__xludf.DUMMYFUNCTION("""COMPUTED_VALUE"""),"1753091305136")</f>
        <v>1753091305136</v>
      </c>
      <c r="C8147" s="2" t="str">
        <v>0</v>
      </c>
      <c r="F8147" s="2" t="str">
        <v>0</v>
      </c>
      <c r="I8147" s="3" t="str">
        <f ca="1">IFERROR(__xludf.DUMMYFUNCTION("""COMPUTED_VALUE"""),"Trương văn bách ")</f>
        <v xml:space="preserve">Trương văn bách </v>
      </c>
      <c r="J8147" s="3" t="str">
        <f ca="1">IFERROR(__xludf.DUMMYFUNCTION("""COMPUTED_VALUE"""),"0817573184")</f>
        <v>0817573184</v>
      </c>
      <c r="K8147" s="2" t="str">
        <f ca="1">IFERROR(__xludf.DUMMYFUNCTION("""COMPUTED_VALUE"""),"1753091305136")</f>
        <v>1753091305136</v>
      </c>
    </row>
    <row r="8148" spans="1:11" ht="12.45">
      <c r="A8148" s="2" t="str">
        <f ca="1">IFERROR(__xludf.DUMMYFUNCTION("""COMPUTED_VALUE"""),"1753091334189")</f>
        <v>1753091334189</v>
      </c>
      <c r="C8148" s="2" t="str">
        <v>0</v>
      </c>
      <c r="F8148" s="2" t="str">
        <v>0</v>
      </c>
      <c r="I8148" s="3" t="str">
        <f ca="1">IFERROR(__xludf.DUMMYFUNCTION("""COMPUTED_VALUE"""),"Nguyễn Hàng Uyên Ngọc ")</f>
        <v xml:space="preserve">Nguyễn Hàng Uyên Ngọc </v>
      </c>
      <c r="J8148" s="3" t="str">
        <f ca="1">IFERROR(__xludf.DUMMYFUNCTION("""COMPUTED_VALUE"""),"0362683245")</f>
        <v>0362683245</v>
      </c>
      <c r="K8148" s="2" t="str">
        <f ca="1">IFERROR(__xludf.DUMMYFUNCTION("""COMPUTED_VALUE"""),"1753091334189")</f>
        <v>1753091334189</v>
      </c>
    </row>
    <row r="8149" spans="1:11" ht="12.45">
      <c r="A8149" s="2" t="str">
        <f ca="1">IFERROR(__xludf.DUMMYFUNCTION("""COMPUTED_VALUE"""),"1753091353596")</f>
        <v>1753091353596</v>
      </c>
      <c r="C8149" s="2" t="str">
        <v>0</v>
      </c>
      <c r="F8149" s="2" t="str">
        <v>0</v>
      </c>
      <c r="I8149" s="3" t="str">
        <f ca="1">IFERROR(__xludf.DUMMYFUNCTION("""COMPUTED_VALUE"""),"Đỗ Quang Minh")</f>
        <v>Đỗ Quang Minh</v>
      </c>
      <c r="J8149" s="3" t="str">
        <f ca="1">IFERROR(__xludf.DUMMYFUNCTION("""COMPUTED_VALUE"""),"0912600008")</f>
        <v>0912600008</v>
      </c>
      <c r="K8149" s="2" t="str">
        <f ca="1">IFERROR(__xludf.DUMMYFUNCTION("""COMPUTED_VALUE"""),"1753091353596")</f>
        <v>1753091353596</v>
      </c>
    </row>
    <row r="8150" spans="1:11" ht="12.45">
      <c r="A8150" s="2" t="str">
        <f ca="1">IFERROR(__xludf.DUMMYFUNCTION("""COMPUTED_VALUE"""),"1753091374320")</f>
        <v>1753091374320</v>
      </c>
      <c r="C8150" s="2" t="str">
        <v>0</v>
      </c>
      <c r="F8150" s="2" t="str">
        <v>0</v>
      </c>
      <c r="I8150" s="2" t="str">
        <f ca="1">IFERROR(__xludf.DUMMYFUNCTION("""COMPUTED_VALUE"""),"Ngô Hồng Anh")</f>
        <v>Ngô Hồng Anh</v>
      </c>
      <c r="J8150" s="3" t="str">
        <f ca="1">IFERROR(__xludf.DUMMYFUNCTION("""COMPUTED_VALUE"""),"0377725200")</f>
        <v>0377725200</v>
      </c>
      <c r="K8150" s="2" t="str">
        <f ca="1">IFERROR(__xludf.DUMMYFUNCTION("""COMPUTED_VALUE"""),"1753091374320")</f>
        <v>1753091374320</v>
      </c>
    </row>
    <row r="8151" spans="1:11" ht="12.45">
      <c r="A8151" s="2" t="str">
        <f ca="1">IFERROR(__xludf.DUMMYFUNCTION("""COMPUTED_VALUE"""),"1753091399389")</f>
        <v>1753091399389</v>
      </c>
      <c r="C8151" s="2" t="str">
        <v>0</v>
      </c>
      <c r="F8151" s="2" t="str">
        <v>0</v>
      </c>
      <c r="I8151" s="3" t="str">
        <f ca="1">IFERROR(__xludf.DUMMYFUNCTION("""COMPUTED_VALUE"""),"Nông Công Khởi")</f>
        <v>Nông Công Khởi</v>
      </c>
      <c r="J8151" s="3" t="str">
        <f ca="1">IFERROR(__xludf.DUMMYFUNCTION("""COMPUTED_VALUE"""),"0869566540")</f>
        <v>0869566540</v>
      </c>
      <c r="K8151" s="2" t="str">
        <f ca="1">IFERROR(__xludf.DUMMYFUNCTION("""COMPUTED_VALUE"""),"1753091399389")</f>
        <v>1753091399389</v>
      </c>
    </row>
    <row r="8152" spans="1:11" ht="12.45">
      <c r="A8152" s="2" t="str">
        <f ca="1">IFERROR(__xludf.DUMMYFUNCTION("""COMPUTED_VALUE"""),"1753091420591")</f>
        <v>1753091420591</v>
      </c>
      <c r="C8152" s="2" t="str">
        <v>0</v>
      </c>
      <c r="F8152" s="2" t="str">
        <v>0</v>
      </c>
      <c r="I8152" s="3" t="str">
        <f ca="1">IFERROR(__xludf.DUMMYFUNCTION("""COMPUTED_VALUE"""),"Lê Bình")</f>
        <v>Lê Bình</v>
      </c>
      <c r="J8152" s="3" t="str">
        <f ca="1">IFERROR(__xludf.DUMMYFUNCTION("""COMPUTED_VALUE"""),"0395995606")</f>
        <v>0395995606</v>
      </c>
      <c r="K8152" s="2" t="str">
        <f ca="1">IFERROR(__xludf.DUMMYFUNCTION("""COMPUTED_VALUE"""),"1753091420591")</f>
        <v>1753091420591</v>
      </c>
    </row>
    <row r="8153" spans="1:11" ht="12.45">
      <c r="A8153" s="2" t="str">
        <f ca="1">IFERROR(__xludf.DUMMYFUNCTION("""COMPUTED_VALUE"""),"1753091445737")</f>
        <v>1753091445737</v>
      </c>
      <c r="C8153" s="2" t="str">
        <v>0</v>
      </c>
      <c r="F8153" s="2" t="str">
        <v>0</v>
      </c>
      <c r="I8153" s="3" t="str">
        <f ca="1">IFERROR(__xludf.DUMMYFUNCTION("""COMPUTED_VALUE"""),"Đặng Quốc Thịnh")</f>
        <v>Đặng Quốc Thịnh</v>
      </c>
      <c r="J8153" s="3" t="str">
        <f ca="1">IFERROR(__xludf.DUMMYFUNCTION("""COMPUTED_VALUE"""),"0933361717")</f>
        <v>0933361717</v>
      </c>
      <c r="K8153" s="2" t="str">
        <f ca="1">IFERROR(__xludf.DUMMYFUNCTION("""COMPUTED_VALUE"""),"1753091445737")</f>
        <v>1753091445737</v>
      </c>
    </row>
    <row r="8154" spans="1:11" ht="12.45">
      <c r="A8154" s="2" t="str">
        <f ca="1">IFERROR(__xludf.DUMMYFUNCTION("""COMPUTED_VALUE"""),"1753091466528")</f>
        <v>1753091466528</v>
      </c>
      <c r="C8154" s="2" t="str">
        <v>0</v>
      </c>
      <c r="F8154" s="2" t="str">
        <v>0</v>
      </c>
      <c r="I8154" s="3" t="str">
        <f ca="1">IFERROR(__xludf.DUMMYFUNCTION("""COMPUTED_VALUE"""),"Lê Thị Thư ")</f>
        <v xml:space="preserve">Lê Thị Thư </v>
      </c>
      <c r="J8154" s="3" t="str">
        <f ca="1">IFERROR(__xludf.DUMMYFUNCTION("""COMPUTED_VALUE"""),"0923091351")</f>
        <v>0923091351</v>
      </c>
      <c r="K8154" s="2" t="str">
        <f ca="1">IFERROR(__xludf.DUMMYFUNCTION("""COMPUTED_VALUE"""),"1753091466528")</f>
        <v>1753091466528</v>
      </c>
    </row>
    <row r="8155" spans="1:11" ht="12.45">
      <c r="A8155" s="2" t="str">
        <f ca="1">IFERROR(__xludf.DUMMYFUNCTION("""COMPUTED_VALUE"""),"1753091488515")</f>
        <v>1753091488515</v>
      </c>
      <c r="C8155" s="2" t="str">
        <v>0</v>
      </c>
      <c r="F8155" s="2" t="str">
        <v>0</v>
      </c>
      <c r="I8155" s="3" t="str">
        <f ca="1">IFERROR(__xludf.DUMMYFUNCTION("""COMPUTED_VALUE"""),"Lừ Thị Thảo Ly ")</f>
        <v xml:space="preserve">Lừ Thị Thảo Ly </v>
      </c>
      <c r="J8155" s="3" t="str">
        <f ca="1">IFERROR(__xludf.DUMMYFUNCTION("""COMPUTED_VALUE"""),"0888358005")</f>
        <v>0888358005</v>
      </c>
      <c r="K8155" s="2" t="str">
        <f ca="1">IFERROR(__xludf.DUMMYFUNCTION("""COMPUTED_VALUE"""),"1753091488515")</f>
        <v>1753091488515</v>
      </c>
    </row>
    <row r="8156" spans="1:11" ht="12.45">
      <c r="A8156" s="2" t="str">
        <f ca="1">IFERROR(__xludf.DUMMYFUNCTION("""COMPUTED_VALUE"""),"1753091513169")</f>
        <v>1753091513169</v>
      </c>
      <c r="C8156" s="2" t="str">
        <v>0</v>
      </c>
      <c r="F8156" s="2" t="str">
        <v>0</v>
      </c>
      <c r="I8156" s="3" t="str">
        <f ca="1">IFERROR(__xludf.DUMMYFUNCTION("""COMPUTED_VALUE"""),"Vũ Thu Ngân")</f>
        <v>Vũ Thu Ngân</v>
      </c>
      <c r="J8156" s="3" t="str">
        <f ca="1">IFERROR(__xludf.DUMMYFUNCTION("""COMPUTED_VALUE"""),"0334290087")</f>
        <v>0334290087</v>
      </c>
      <c r="K8156" s="2" t="str">
        <f ca="1">IFERROR(__xludf.DUMMYFUNCTION("""COMPUTED_VALUE"""),"1753091513169")</f>
        <v>1753091513169</v>
      </c>
    </row>
    <row r="8157" spans="1:11" ht="12.45">
      <c r="A8157" s="2" t="str">
        <f ca="1">IFERROR(__xludf.DUMMYFUNCTION("""COMPUTED_VALUE"""),"1753091546310")</f>
        <v>1753091546310</v>
      </c>
      <c r="C8157" s="2" t="str">
        <v>0</v>
      </c>
      <c r="F8157" s="2" t="str">
        <v>0</v>
      </c>
      <c r="I8157" s="3" t="str">
        <f ca="1">IFERROR(__xludf.DUMMYFUNCTION("""COMPUTED_VALUE"""),"Võ Ngọc Bảo")</f>
        <v>Võ Ngọc Bảo</v>
      </c>
      <c r="J8157" s="3" t="str">
        <f ca="1">IFERROR(__xludf.DUMMYFUNCTION("""COMPUTED_VALUE"""),"0332599617")</f>
        <v>0332599617</v>
      </c>
      <c r="K8157" s="2" t="str">
        <f ca="1">IFERROR(__xludf.DUMMYFUNCTION("""COMPUTED_VALUE"""),"1753091546310")</f>
        <v>1753091546310</v>
      </c>
    </row>
    <row r="8158" spans="1:11" ht="12.45">
      <c r="A8158" s="2"/>
      <c r="C8158" s="2" t="str">
        <v>0</v>
      </c>
      <c r="F8158" s="2" t="str">
        <v>0</v>
      </c>
      <c r="I8158" s="3" t="str">
        <f ca="1">IFERROR(__xludf.DUMMYFUNCTION("""COMPUTED_VALUE"""),"Nguyễn Thị Lệ Quyên ")</f>
        <v xml:space="preserve">Nguyễn Thị Lệ Quyên </v>
      </c>
      <c r="J8158" s="3" t="str">
        <f ca="1">IFERROR(__xludf.DUMMYFUNCTION("""COMPUTED_VALUE"""),"0901260837")</f>
        <v>0901260837</v>
      </c>
      <c r="K8158" s="2"/>
    </row>
    <row r="8159" spans="1:11" ht="12.45">
      <c r="A8159" s="2" t="str">
        <f ca="1">IFERROR(__xludf.DUMMYFUNCTION("""COMPUTED_VALUE"""),"1753091572343")</f>
        <v>1753091572343</v>
      </c>
      <c r="C8159" s="2" t="str">
        <v>0</v>
      </c>
      <c r="F8159" s="2" t="str">
        <v>0</v>
      </c>
      <c r="I8159" s="3" t="str">
        <f ca="1">IFERROR(__xludf.DUMMYFUNCTION("""COMPUTED_VALUE"""),"Nguyễn Lê Bảo Ngọc")</f>
        <v>Nguyễn Lê Bảo Ngọc</v>
      </c>
      <c r="J8159" s="3" t="str">
        <f ca="1">IFERROR(__xludf.DUMMYFUNCTION("""COMPUTED_VALUE"""),"0818586077")</f>
        <v>0818586077</v>
      </c>
      <c r="K8159" s="2" t="str">
        <f ca="1">IFERROR(__xludf.DUMMYFUNCTION("""COMPUTED_VALUE"""),"1753091572343")</f>
        <v>1753091572343</v>
      </c>
    </row>
    <row r="8160" spans="1:11" ht="12.45">
      <c r="A8160" s="2" t="str">
        <f ca="1">IFERROR(__xludf.DUMMYFUNCTION("""COMPUTED_VALUE"""),"1753091601231")</f>
        <v>1753091601231</v>
      </c>
      <c r="C8160" s="2" t="str">
        <v>0</v>
      </c>
      <c r="F8160" s="2" t="str">
        <v>0</v>
      </c>
      <c r="I8160" s="3" t="str">
        <f ca="1">IFERROR(__xludf.DUMMYFUNCTION("""COMPUTED_VALUE"""),"Trần Tấn Lộc")</f>
        <v>Trần Tấn Lộc</v>
      </c>
      <c r="J8160" s="3" t="str">
        <f ca="1">IFERROR(__xludf.DUMMYFUNCTION("""COMPUTED_VALUE"""),"0702826035")</f>
        <v>0702826035</v>
      </c>
      <c r="K8160" s="2" t="str">
        <f ca="1">IFERROR(__xludf.DUMMYFUNCTION("""COMPUTED_VALUE"""),"1753091601231")</f>
        <v>1753091601231</v>
      </c>
    </row>
    <row r="8161" spans="1:11" ht="12.45">
      <c r="A8161" s="2" t="str">
        <f ca="1">IFERROR(__xludf.DUMMYFUNCTION("""COMPUTED_VALUE"""),"1753091627040")</f>
        <v>1753091627040</v>
      </c>
      <c r="C8161" s="2" t="str">
        <v>0</v>
      </c>
      <c r="F8161" s="2" t="str">
        <v>0</v>
      </c>
      <c r="I8161" s="3" t="str">
        <f ca="1">IFERROR(__xludf.DUMMYFUNCTION("""COMPUTED_VALUE"""),"Vi Ngọc Minh")</f>
        <v>Vi Ngọc Minh</v>
      </c>
      <c r="J8161" s="3" t="str">
        <f ca="1">IFERROR(__xludf.DUMMYFUNCTION("""COMPUTED_VALUE"""),"0862570462")</f>
        <v>0862570462</v>
      </c>
      <c r="K8161" s="2" t="str">
        <f ca="1">IFERROR(__xludf.DUMMYFUNCTION("""COMPUTED_VALUE"""),"1753091627040")</f>
        <v>1753091627040</v>
      </c>
    </row>
    <row r="8162" spans="1:11" ht="12.45">
      <c r="A8162" s="2" t="str">
        <f ca="1">IFERROR(__xludf.DUMMYFUNCTION("""COMPUTED_VALUE"""),"1753091654007")</f>
        <v>1753091654007</v>
      </c>
      <c r="C8162" s="2" t="str">
        <v>0</v>
      </c>
      <c r="F8162" s="2" t="str">
        <v>0</v>
      </c>
      <c r="I8162" s="3" t="str">
        <f ca="1">IFERROR(__xludf.DUMMYFUNCTION("""COMPUTED_VALUE"""),"Lê Thanh Phúc")</f>
        <v>Lê Thanh Phúc</v>
      </c>
      <c r="J8162" s="3" t="str">
        <f ca="1">IFERROR(__xludf.DUMMYFUNCTION("""COMPUTED_VALUE"""),"0359439226")</f>
        <v>0359439226</v>
      </c>
      <c r="K8162" s="2" t="str">
        <f ca="1">IFERROR(__xludf.DUMMYFUNCTION("""COMPUTED_VALUE"""),"1753091654007")</f>
        <v>1753091654007</v>
      </c>
    </row>
    <row r="8163" spans="1:11" ht="12.45">
      <c r="A8163" s="2" t="str">
        <f ca="1">IFERROR(__xludf.DUMMYFUNCTION("""COMPUTED_VALUE"""),"1764465929903")</f>
        <v>1764465929903</v>
      </c>
      <c r="C8163" s="2" t="str">
        <v>0</v>
      </c>
      <c r="F8163" s="2" t="str">
        <v>0</v>
      </c>
      <c r="I8163" s="3" t="str">
        <f ca="1">IFERROR(__xludf.DUMMYFUNCTION("""COMPUTED_VALUE"""),"THÁI HỒNG GIA")</f>
        <v>THÁI HỒNG GIA</v>
      </c>
      <c r="J8163" s="3" t="str">
        <f ca="1">IFERROR(__xludf.DUMMYFUNCTION("""COMPUTED_VALUE"""),"0796135924")</f>
        <v>0796135924</v>
      </c>
      <c r="K8163" s="2" t="str">
        <f ca="1">IFERROR(__xludf.DUMMYFUNCTION("""COMPUTED_VALUE"""),"1764465929903")</f>
        <v>1764465929903</v>
      </c>
    </row>
    <row r="8164" spans="1:11" ht="12.45">
      <c r="A8164" s="2"/>
      <c r="C8164" s="2" t="str">
        <v>0</v>
      </c>
      <c r="F8164" s="2" t="str">
        <v>0</v>
      </c>
      <c r="I8164" s="3" t="str">
        <f ca="1">IFERROR(__xludf.DUMMYFUNCTION("""COMPUTED_VALUE"""),"Nguyễn Ngọc Bảo Tiên")</f>
        <v>Nguyễn Ngọc Bảo Tiên</v>
      </c>
      <c r="J8164" s="3" t="str">
        <f ca="1">IFERROR(__xludf.DUMMYFUNCTION("""COMPUTED_VALUE"""),"0974060780")</f>
        <v>0974060780</v>
      </c>
      <c r="K8164" s="2"/>
    </row>
    <row r="8165" spans="1:11" ht="12.45">
      <c r="A8165" s="2" t="str">
        <f ca="1">IFERROR(__xludf.DUMMYFUNCTION("""COMPUTED_VALUE"""),"1753091691050")</f>
        <v>1753091691050</v>
      </c>
      <c r="C8165" s="2" t="str">
        <v>0</v>
      </c>
      <c r="F8165" s="2" t="str">
        <v>0</v>
      </c>
      <c r="I8165" s="3" t="str">
        <f ca="1">IFERROR(__xludf.DUMMYFUNCTION("""COMPUTED_VALUE"""),"Đinh Trần Phương Linh ")</f>
        <v xml:space="preserve">Đinh Trần Phương Linh </v>
      </c>
      <c r="J8165" s="3" t="str">
        <f ca="1">IFERROR(__xludf.DUMMYFUNCTION("""COMPUTED_VALUE"""),"0383189687")</f>
        <v>0383189687</v>
      </c>
      <c r="K8165" s="2" t="str">
        <f ca="1">IFERROR(__xludf.DUMMYFUNCTION("""COMPUTED_VALUE"""),"1753091691050")</f>
        <v>1753091691050</v>
      </c>
    </row>
    <row r="8166" spans="1:11" ht="12.45">
      <c r="A8166" s="2" t="str">
        <f ca="1">IFERROR(__xludf.DUMMYFUNCTION("""COMPUTED_VALUE"""),"1753091706915")</f>
        <v>1753091706915</v>
      </c>
      <c r="C8166" s="2" t="str">
        <v>0</v>
      </c>
      <c r="F8166" s="2" t="str">
        <v>0</v>
      </c>
      <c r="I8166" s="3" t="str">
        <f ca="1">IFERROR(__xludf.DUMMYFUNCTION("""COMPUTED_VALUE"""),"Thế Nguyên")</f>
        <v>Thế Nguyên</v>
      </c>
      <c r="J8166" s="3" t="str">
        <f ca="1">IFERROR(__xludf.DUMMYFUNCTION("""COMPUTED_VALUE"""),"0399554542")</f>
        <v>0399554542</v>
      </c>
      <c r="K8166" s="2" t="str">
        <f ca="1">IFERROR(__xludf.DUMMYFUNCTION("""COMPUTED_VALUE"""),"1753091706915")</f>
        <v>1753091706915</v>
      </c>
    </row>
    <row r="8167" spans="1:11" ht="12.45">
      <c r="A8167" s="2" t="str">
        <f ca="1">IFERROR(__xludf.DUMMYFUNCTION("""COMPUTED_VALUE"""),"1753091727936")</f>
        <v>1753091727936</v>
      </c>
      <c r="C8167" s="2" t="str">
        <v>0</v>
      </c>
      <c r="F8167" s="2" t="str">
        <v>0</v>
      </c>
      <c r="I8167" s="3" t="str">
        <f ca="1">IFERROR(__xludf.DUMMYFUNCTION("""COMPUTED_VALUE"""),"Nguyễn Hồng Ngọc")</f>
        <v>Nguyễn Hồng Ngọc</v>
      </c>
      <c r="J8167" s="3" t="str">
        <f ca="1">IFERROR(__xludf.DUMMYFUNCTION("""COMPUTED_VALUE"""),"0935049011")</f>
        <v>0935049011</v>
      </c>
      <c r="K8167" s="2" t="str">
        <f ca="1">IFERROR(__xludf.DUMMYFUNCTION("""COMPUTED_VALUE"""),"1753091727936")</f>
        <v>1753091727936</v>
      </c>
    </row>
    <row r="8168" spans="1:11" ht="12.45">
      <c r="A8168" s="2" t="str">
        <f ca="1">IFERROR(__xludf.DUMMYFUNCTION("""COMPUTED_VALUE"""),"1753091750303")</f>
        <v>1753091750303</v>
      </c>
      <c r="C8168" s="2" t="str">
        <v>0</v>
      </c>
      <c r="F8168" s="2" t="str">
        <v>0</v>
      </c>
      <c r="I8168" s="3" t="str">
        <f ca="1">IFERROR(__xludf.DUMMYFUNCTION("""COMPUTED_VALUE"""),"Đinh Nguyễn Phương Hân")</f>
        <v>Đinh Nguyễn Phương Hân</v>
      </c>
      <c r="J8168" s="3" t="str">
        <f ca="1">IFERROR(__xludf.DUMMYFUNCTION("""COMPUTED_VALUE"""),"0829586606")</f>
        <v>0829586606</v>
      </c>
      <c r="K8168" s="2" t="str">
        <f ca="1">IFERROR(__xludf.DUMMYFUNCTION("""COMPUTED_VALUE"""),"1753091750303")</f>
        <v>1753091750303</v>
      </c>
    </row>
    <row r="8169" spans="1:11" ht="12.45">
      <c r="A8169" s="2" t="str">
        <f ca="1">IFERROR(__xludf.DUMMYFUNCTION("""COMPUTED_VALUE"""),"1753091772903")</f>
        <v>1753091772903</v>
      </c>
      <c r="C8169" s="2" t="str">
        <v>0</v>
      </c>
      <c r="F8169" s="2" t="str">
        <v>0</v>
      </c>
      <c r="I8169" s="3" t="str">
        <f ca="1">IFERROR(__xludf.DUMMYFUNCTION("""COMPUTED_VALUE"""),"Hồ Hà Trang")</f>
        <v>Hồ Hà Trang</v>
      </c>
      <c r="J8169" s="3" t="str">
        <f ca="1">IFERROR(__xludf.DUMMYFUNCTION("""COMPUTED_VALUE"""),"0977573066")</f>
        <v>0977573066</v>
      </c>
      <c r="K8169" s="2" t="str">
        <f ca="1">IFERROR(__xludf.DUMMYFUNCTION("""COMPUTED_VALUE"""),"1753091772903")</f>
        <v>1753091772903</v>
      </c>
    </row>
    <row r="8170" spans="1:11" ht="12.45">
      <c r="A8170" s="2" t="str">
        <f ca="1">IFERROR(__xludf.DUMMYFUNCTION("""COMPUTED_VALUE"""),"1753091807917")</f>
        <v>1753091807917</v>
      </c>
      <c r="C8170" s="2" t="str">
        <v>0</v>
      </c>
      <c r="F8170" s="2" t="str">
        <v>0</v>
      </c>
      <c r="I8170" s="3" t="str">
        <f ca="1">IFERROR(__xludf.DUMMYFUNCTION("""COMPUTED_VALUE"""),"Lê Thị Tuyết Trinh")</f>
        <v>Lê Thị Tuyết Trinh</v>
      </c>
      <c r="J8170" s="3" t="str">
        <f ca="1">IFERROR(__xludf.DUMMYFUNCTION("""COMPUTED_VALUE"""),"0583129098")</f>
        <v>0583129098</v>
      </c>
      <c r="K8170" s="2" t="str">
        <f ca="1">IFERROR(__xludf.DUMMYFUNCTION("""COMPUTED_VALUE"""),"1753091807917")</f>
        <v>1753091807917</v>
      </c>
    </row>
    <row r="8171" spans="1:11" ht="12.45">
      <c r="A8171" s="2" t="str">
        <f ca="1">IFERROR(__xludf.DUMMYFUNCTION("""COMPUTED_VALUE"""),"1753091834609")</f>
        <v>1753091834609</v>
      </c>
      <c r="C8171" s="2" t="str">
        <v>0</v>
      </c>
      <c r="F8171" s="2" t="str">
        <v>0</v>
      </c>
      <c r="I8171" s="3" t="str">
        <f ca="1">IFERROR(__xludf.DUMMYFUNCTION("""COMPUTED_VALUE"""),"Thái Thị Huyền")</f>
        <v>Thái Thị Huyền</v>
      </c>
      <c r="J8171" s="3" t="str">
        <f ca="1">IFERROR(__xludf.DUMMYFUNCTION("""COMPUTED_VALUE"""),"0971008525")</f>
        <v>0971008525</v>
      </c>
      <c r="K8171" s="2" t="str">
        <f ca="1">IFERROR(__xludf.DUMMYFUNCTION("""COMPUTED_VALUE"""),"1753091834609")</f>
        <v>1753091834609</v>
      </c>
    </row>
    <row r="8172" spans="1:11" ht="12.45">
      <c r="A8172" s="2" t="str">
        <f ca="1">IFERROR(__xludf.DUMMYFUNCTION("""COMPUTED_VALUE"""),"1753091858272")</f>
        <v>1753091858272</v>
      </c>
      <c r="C8172" s="2" t="str">
        <v>0</v>
      </c>
      <c r="F8172" s="2" t="str">
        <v>0</v>
      </c>
      <c r="I8172" s="3" t="str">
        <f ca="1">IFERROR(__xludf.DUMMYFUNCTION("""COMPUTED_VALUE"""),"Nguyễn Thu Phương")</f>
        <v>Nguyễn Thu Phương</v>
      </c>
      <c r="J8172" s="3" t="str">
        <f ca="1">IFERROR(__xludf.DUMMYFUNCTION("""COMPUTED_VALUE"""),"0398758290")</f>
        <v>0398758290</v>
      </c>
      <c r="K8172" s="2" t="str">
        <f ca="1">IFERROR(__xludf.DUMMYFUNCTION("""COMPUTED_VALUE"""),"1753091858272")</f>
        <v>1753091858272</v>
      </c>
    </row>
    <row r="8173" spans="1:11" ht="12.45">
      <c r="A8173" s="2" t="str">
        <f ca="1">IFERROR(__xludf.DUMMYFUNCTION("""COMPUTED_VALUE"""),"1753091888732")</f>
        <v>1753091888732</v>
      </c>
      <c r="C8173" s="2" t="str">
        <v>0</v>
      </c>
      <c r="F8173" s="2" t="str">
        <v>0</v>
      </c>
      <c r="I8173" s="3" t="str">
        <f ca="1">IFERROR(__xludf.DUMMYFUNCTION("""COMPUTED_VALUE"""),"Trần Hiểu Thi ")</f>
        <v xml:space="preserve">Trần Hiểu Thi </v>
      </c>
      <c r="J8173" s="3" t="str">
        <f ca="1">IFERROR(__xludf.DUMMYFUNCTION("""COMPUTED_VALUE"""),"0946080730")</f>
        <v>0946080730</v>
      </c>
      <c r="K8173" s="2" t="str">
        <f ca="1">IFERROR(__xludf.DUMMYFUNCTION("""COMPUTED_VALUE"""),"1753091888732")</f>
        <v>1753091888732</v>
      </c>
    </row>
    <row r="8174" spans="1:11" ht="12.45">
      <c r="A8174" s="2" t="str">
        <f ca="1">IFERROR(__xludf.DUMMYFUNCTION("""COMPUTED_VALUE"""),"1753091925648")</f>
        <v>1753091925648</v>
      </c>
      <c r="C8174" s="2" t="str">
        <v>0</v>
      </c>
      <c r="F8174" s="2" t="str">
        <v>0</v>
      </c>
      <c r="I8174" s="3" t="str">
        <f ca="1">IFERROR(__xludf.DUMMYFUNCTION("""COMPUTED_VALUE"""),"Nguyễn Thị Minh Thơ")</f>
        <v>Nguyễn Thị Minh Thơ</v>
      </c>
      <c r="J8174" s="3" t="str">
        <f ca="1">IFERROR(__xludf.DUMMYFUNCTION("""COMPUTED_VALUE"""),"0346122486")</f>
        <v>0346122486</v>
      </c>
      <c r="K8174" s="2" t="str">
        <f ca="1">IFERROR(__xludf.DUMMYFUNCTION("""COMPUTED_VALUE"""),"1753091925648")</f>
        <v>1753091925648</v>
      </c>
    </row>
    <row r="8175" spans="1:11" ht="12.45">
      <c r="A8175" s="2" t="str">
        <f ca="1">IFERROR(__xludf.DUMMYFUNCTION("""COMPUTED_VALUE"""),"1753091945708")</f>
        <v>1753091945708</v>
      </c>
      <c r="C8175" s="2" t="str">
        <v>0</v>
      </c>
      <c r="F8175" s="2" t="str">
        <v>0</v>
      </c>
      <c r="I8175" s="3" t="str">
        <f ca="1">IFERROR(__xludf.DUMMYFUNCTION("""COMPUTED_VALUE"""),"Bùi Thị Mỹ Linh")</f>
        <v>Bùi Thị Mỹ Linh</v>
      </c>
      <c r="J8175" s="3" t="str">
        <f ca="1">IFERROR(__xludf.DUMMYFUNCTION("""COMPUTED_VALUE"""),"0838324912")</f>
        <v>0838324912</v>
      </c>
      <c r="K8175" s="2" t="str">
        <f ca="1">IFERROR(__xludf.DUMMYFUNCTION("""COMPUTED_VALUE"""),"1753091945708")</f>
        <v>1753091945708</v>
      </c>
    </row>
    <row r="8176" spans="1:11" ht="12.45">
      <c r="A8176" s="2" t="str">
        <f ca="1">IFERROR(__xludf.DUMMYFUNCTION("""COMPUTED_VALUE"""),"1753091985039")</f>
        <v>1753091985039</v>
      </c>
      <c r="C8176" s="2" t="str">
        <v>0</v>
      </c>
      <c r="F8176" s="2" t="str">
        <v>0</v>
      </c>
      <c r="I8176" s="3" t="str">
        <f ca="1">IFERROR(__xludf.DUMMYFUNCTION("""COMPUTED_VALUE"""),"Thái thị thanh huyền ")</f>
        <v xml:space="preserve">Thái thị thanh huyền </v>
      </c>
      <c r="J8176" s="3" t="str">
        <f ca="1">IFERROR(__xludf.DUMMYFUNCTION("""COMPUTED_VALUE"""),"0392561355")</f>
        <v>0392561355</v>
      </c>
      <c r="K8176" s="2" t="str">
        <f ca="1">IFERROR(__xludf.DUMMYFUNCTION("""COMPUTED_VALUE"""),"1753091985039")</f>
        <v>1753091985039</v>
      </c>
    </row>
    <row r="8177" spans="1:11" ht="12.45">
      <c r="A8177" s="2" t="str">
        <f ca="1">IFERROR(__xludf.DUMMYFUNCTION("""COMPUTED_VALUE"""),"1753092008960")</f>
        <v>1753092008960</v>
      </c>
      <c r="C8177" s="2" t="str">
        <v>0</v>
      </c>
      <c r="F8177" s="2" t="str">
        <v>0</v>
      </c>
      <c r="I8177" s="3" t="str">
        <f ca="1">IFERROR(__xludf.DUMMYFUNCTION("""COMPUTED_VALUE"""),"Nguyễn Bích Ngọc")</f>
        <v>Nguyễn Bích Ngọc</v>
      </c>
      <c r="J8177" s="3" t="str">
        <f ca="1">IFERROR(__xludf.DUMMYFUNCTION("""COMPUTED_VALUE"""),"0964017926")</f>
        <v>0964017926</v>
      </c>
      <c r="K8177" s="2" t="str">
        <f ca="1">IFERROR(__xludf.DUMMYFUNCTION("""COMPUTED_VALUE"""),"1753092008960")</f>
        <v>1753092008960</v>
      </c>
    </row>
    <row r="8178" spans="1:11" ht="12.45">
      <c r="A8178" s="2" t="str">
        <f ca="1">IFERROR(__xludf.DUMMYFUNCTION("""COMPUTED_VALUE"""),"1753092028714")</f>
        <v>1753092028714</v>
      </c>
      <c r="C8178" s="2" t="str">
        <v>0</v>
      </c>
      <c r="F8178" s="2" t="str">
        <v>0</v>
      </c>
      <c r="I8178" s="3" t="str">
        <f ca="1">IFERROR(__xludf.DUMMYFUNCTION("""COMPUTED_VALUE"""),"Nguyễn Thị Quỳnh Trang ")</f>
        <v xml:space="preserve">Nguyễn Thị Quỳnh Trang </v>
      </c>
      <c r="J8178" s="3" t="str">
        <f ca="1">IFERROR(__xludf.DUMMYFUNCTION("""COMPUTED_VALUE"""),"0384357513")</f>
        <v>0384357513</v>
      </c>
      <c r="K8178" s="2" t="str">
        <f ca="1">IFERROR(__xludf.DUMMYFUNCTION("""COMPUTED_VALUE"""),"1753092028714")</f>
        <v>1753092028714</v>
      </c>
    </row>
    <row r="8179" spans="1:11" ht="12.45">
      <c r="A8179" s="2" t="str">
        <f ca="1">IFERROR(__xludf.DUMMYFUNCTION("""COMPUTED_VALUE"""),"1753092045826")</f>
        <v>1753092045826</v>
      </c>
      <c r="C8179" s="2" t="str">
        <v>0</v>
      </c>
      <c r="F8179" s="2" t="str">
        <v>0</v>
      </c>
      <c r="I8179" s="3" t="str">
        <f ca="1">IFERROR(__xludf.DUMMYFUNCTION("""COMPUTED_VALUE"""),"Giáp Hoàng Khánh Chi")</f>
        <v>Giáp Hoàng Khánh Chi</v>
      </c>
      <c r="J8179" s="3" t="str">
        <f ca="1">IFERROR(__xludf.DUMMYFUNCTION("""COMPUTED_VALUE"""),"0922662112")</f>
        <v>0922662112</v>
      </c>
      <c r="K8179" s="2" t="str">
        <f ca="1">IFERROR(__xludf.DUMMYFUNCTION("""COMPUTED_VALUE"""),"1753092045826")</f>
        <v>1753092045826</v>
      </c>
    </row>
    <row r="8180" spans="1:11" ht="12.45">
      <c r="A8180" s="2" t="str">
        <f ca="1">IFERROR(__xludf.DUMMYFUNCTION("""COMPUTED_VALUE"""),"1753092069307")</f>
        <v>1753092069307</v>
      </c>
      <c r="C8180" s="2" t="str">
        <v>0</v>
      </c>
      <c r="F8180" s="2" t="str">
        <v>0</v>
      </c>
      <c r="I8180" s="3" t="str">
        <f ca="1">IFERROR(__xludf.DUMMYFUNCTION("""COMPUTED_VALUE"""),"Nguyễn Anh Thư")</f>
        <v>Nguyễn Anh Thư</v>
      </c>
      <c r="J8180" s="3" t="str">
        <f ca="1">IFERROR(__xludf.DUMMYFUNCTION("""COMPUTED_VALUE"""),"0385228171")</f>
        <v>0385228171</v>
      </c>
      <c r="K8180" s="2" t="str">
        <f ca="1">IFERROR(__xludf.DUMMYFUNCTION("""COMPUTED_VALUE"""),"1753092069307")</f>
        <v>1753092069307</v>
      </c>
    </row>
    <row r="8181" spans="1:11" ht="12.45">
      <c r="A8181" s="2" t="str">
        <f ca="1">IFERROR(__xludf.DUMMYFUNCTION("""COMPUTED_VALUE"""),"1753092087132")</f>
        <v>1753092087132</v>
      </c>
      <c r="C8181" s="2" t="str">
        <v>0</v>
      </c>
      <c r="F8181" s="2" t="str">
        <v>0</v>
      </c>
      <c r="I8181" s="3" t="str">
        <f ca="1">IFERROR(__xludf.DUMMYFUNCTION("""COMPUTED_VALUE"""),"Phùng Minh Châu ")</f>
        <v xml:space="preserve">Phùng Minh Châu </v>
      </c>
      <c r="J8181" s="3" t="str">
        <f ca="1">IFERROR(__xludf.DUMMYFUNCTION("""COMPUTED_VALUE"""),"0368369927")</f>
        <v>0368369927</v>
      </c>
      <c r="K8181" s="2" t="str">
        <f ca="1">IFERROR(__xludf.DUMMYFUNCTION("""COMPUTED_VALUE"""),"1753092087132")</f>
        <v>1753092087132</v>
      </c>
    </row>
    <row r="8182" spans="1:11" ht="12.45">
      <c r="A8182" s="2" t="str">
        <f ca="1">IFERROR(__xludf.DUMMYFUNCTION("""COMPUTED_VALUE"""),"1753092105873")</f>
        <v>1753092105873</v>
      </c>
      <c r="C8182" s="2" t="str">
        <v>0</v>
      </c>
      <c r="F8182" s="2" t="str">
        <v>0</v>
      </c>
      <c r="I8182" s="3" t="str">
        <f ca="1">IFERROR(__xludf.DUMMYFUNCTION("""COMPUTED_VALUE"""),"Trần Nam Phương")</f>
        <v>Trần Nam Phương</v>
      </c>
      <c r="J8182" s="3" t="str">
        <f ca="1">IFERROR(__xludf.DUMMYFUNCTION("""COMPUTED_VALUE"""),"0395942857")</f>
        <v>0395942857</v>
      </c>
      <c r="K8182" s="2" t="str">
        <f ca="1">IFERROR(__xludf.DUMMYFUNCTION("""COMPUTED_VALUE"""),"1753092105873")</f>
        <v>1753092105873</v>
      </c>
    </row>
    <row r="8183" spans="1:11" ht="12.45">
      <c r="A8183" s="2" t="str">
        <f ca="1">IFERROR(__xludf.DUMMYFUNCTION("""COMPUTED_VALUE"""),"1753092129878")</f>
        <v>1753092129878</v>
      </c>
      <c r="C8183" s="2" t="str">
        <v>0</v>
      </c>
      <c r="F8183" s="2" t="str">
        <v>0</v>
      </c>
      <c r="I8183" s="3" t="str">
        <f ca="1">IFERROR(__xludf.DUMMYFUNCTION("""COMPUTED_VALUE"""),"NGUYỄN QUANG MINH ")</f>
        <v xml:space="preserve">NGUYỄN QUANG MINH </v>
      </c>
      <c r="J8183" s="3" t="str">
        <f ca="1">IFERROR(__xludf.DUMMYFUNCTION("""COMPUTED_VALUE"""),"0989307550")</f>
        <v>0989307550</v>
      </c>
      <c r="K8183" s="2" t="str">
        <f ca="1">IFERROR(__xludf.DUMMYFUNCTION("""COMPUTED_VALUE"""),"1753092129878")</f>
        <v>1753092129878</v>
      </c>
    </row>
    <row r="8184" spans="1:11" ht="12.45">
      <c r="A8184" s="2" t="str">
        <f ca="1">IFERROR(__xludf.DUMMYFUNCTION("""COMPUTED_VALUE"""),"1753092147106")</f>
        <v>1753092147106</v>
      </c>
      <c r="C8184" s="2" t="str">
        <v>0</v>
      </c>
      <c r="F8184" s="2" t="str">
        <v>0</v>
      </c>
      <c r="I8184" s="3" t="str">
        <f ca="1">IFERROR(__xludf.DUMMYFUNCTION("""COMPUTED_VALUE"""),"Nguyễn khắc Anh Duy ")</f>
        <v xml:space="preserve">Nguyễn khắc Anh Duy </v>
      </c>
      <c r="J8184" s="3" t="str">
        <f ca="1">IFERROR(__xludf.DUMMYFUNCTION("""COMPUTED_VALUE"""),"0325502328")</f>
        <v>0325502328</v>
      </c>
      <c r="K8184" s="2" t="str">
        <f ca="1">IFERROR(__xludf.DUMMYFUNCTION("""COMPUTED_VALUE"""),"1753092147106")</f>
        <v>1753092147106</v>
      </c>
    </row>
    <row r="8185" spans="1:11" ht="12.45">
      <c r="A8185" s="2" t="str">
        <f ca="1">IFERROR(__xludf.DUMMYFUNCTION("""COMPUTED_VALUE"""),"1753092164707")</f>
        <v>1753092164707</v>
      </c>
      <c r="C8185" s="2" t="str">
        <v>0</v>
      </c>
      <c r="F8185" s="2" t="str">
        <v>0</v>
      </c>
      <c r="I8185" s="3" t="str">
        <f ca="1">IFERROR(__xludf.DUMMYFUNCTION("""COMPUTED_VALUE"""),"Lê Phương Thúy ")</f>
        <v xml:space="preserve">Lê Phương Thúy </v>
      </c>
      <c r="J8185" s="3" t="str">
        <f ca="1">IFERROR(__xludf.DUMMYFUNCTION("""COMPUTED_VALUE"""),"0879356999")</f>
        <v>0879356999</v>
      </c>
      <c r="K8185" s="2" t="str">
        <f ca="1">IFERROR(__xludf.DUMMYFUNCTION("""COMPUTED_VALUE"""),"1753092164707")</f>
        <v>1753092164707</v>
      </c>
    </row>
    <row r="8186" spans="1:11" ht="12.45">
      <c r="A8186" s="2" t="str">
        <f ca="1">IFERROR(__xludf.DUMMYFUNCTION("""COMPUTED_VALUE"""),"1753092190276")</f>
        <v>1753092190276</v>
      </c>
      <c r="C8186" s="2" t="str">
        <v>0</v>
      </c>
      <c r="F8186" s="2" t="str">
        <v>0</v>
      </c>
      <c r="I8186" s="3" t="str">
        <f ca="1">IFERROR(__xludf.DUMMYFUNCTION("""COMPUTED_VALUE"""),"Trần Thị Mai Trang")</f>
        <v>Trần Thị Mai Trang</v>
      </c>
      <c r="J8186" s="3" t="str">
        <f ca="1">IFERROR(__xludf.DUMMYFUNCTION("""COMPUTED_VALUE"""),"0354961210")</f>
        <v>0354961210</v>
      </c>
      <c r="K8186" s="2" t="str">
        <f ca="1">IFERROR(__xludf.DUMMYFUNCTION("""COMPUTED_VALUE"""),"1753092190276")</f>
        <v>1753092190276</v>
      </c>
    </row>
    <row r="8187" spans="1:11" ht="12.45">
      <c r="A8187" s="2" t="str">
        <f ca="1">IFERROR(__xludf.DUMMYFUNCTION("""COMPUTED_VALUE"""),"1752061296228")</f>
        <v>1752061296228</v>
      </c>
      <c r="C8187" s="2" t="str">
        <v>0</v>
      </c>
      <c r="F8187" s="2" t="str">
        <v>0</v>
      </c>
      <c r="I8187" s="3" t="str">
        <f ca="1">IFERROR(__xludf.DUMMYFUNCTION("""COMPUTED_VALUE"""),"Nguyễn Hoàng Ngọc Dung")</f>
        <v>Nguyễn Hoàng Ngọc Dung</v>
      </c>
      <c r="J8187" s="3" t="str">
        <f ca="1">IFERROR(__xludf.DUMMYFUNCTION("""COMPUTED_VALUE"""),"0896689935")</f>
        <v>0896689935</v>
      </c>
      <c r="K8187" s="2" t="str">
        <f ca="1">IFERROR(__xludf.DUMMYFUNCTION("""COMPUTED_VALUE"""),"1752061296228")</f>
        <v>1752061296228</v>
      </c>
    </row>
    <row r="8188" spans="1:11" ht="12.45">
      <c r="A8188" s="2" t="str">
        <f ca="1">IFERROR(__xludf.DUMMYFUNCTION("""COMPUTED_VALUE"""),"1752061328889")</f>
        <v>1752061328889</v>
      </c>
      <c r="C8188" s="2" t="str">
        <v>0</v>
      </c>
      <c r="F8188" s="2" t="str">
        <v>0</v>
      </c>
      <c r="I8188" s="3" t="str">
        <f ca="1">IFERROR(__xludf.DUMMYFUNCTION("""COMPUTED_VALUE"""),"Nguyễn Thị Ngọc Bảo")</f>
        <v>Nguyễn Thị Ngọc Bảo</v>
      </c>
      <c r="J8188" s="3" t="str">
        <f ca="1">IFERROR(__xludf.DUMMYFUNCTION("""COMPUTED_VALUE"""),"0704830938")</f>
        <v>0704830938</v>
      </c>
      <c r="K8188" s="2" t="str">
        <f ca="1">IFERROR(__xludf.DUMMYFUNCTION("""COMPUTED_VALUE"""),"1752061328889")</f>
        <v>1752061328889</v>
      </c>
    </row>
    <row r="8189" spans="1:11" ht="12.45">
      <c r="A8189" s="2" t="str">
        <f ca="1">IFERROR(__xludf.DUMMYFUNCTION("""COMPUTED_VALUE"""),"1752061352740")</f>
        <v>1752061352740</v>
      </c>
      <c r="C8189" s="2" t="str">
        <v>0</v>
      </c>
      <c r="F8189" s="2" t="str">
        <v>0</v>
      </c>
      <c r="I8189" s="3" t="str">
        <f ca="1">IFERROR(__xludf.DUMMYFUNCTION("""COMPUTED_VALUE"""),"Phí nguyễn quỳnh nhi")</f>
        <v>Phí nguyễn quỳnh nhi</v>
      </c>
      <c r="J8189" s="3" t="str">
        <f ca="1">IFERROR(__xludf.DUMMYFUNCTION("""COMPUTED_VALUE"""),"0963757493")</f>
        <v>0963757493</v>
      </c>
      <c r="K8189" s="2" t="str">
        <f ca="1">IFERROR(__xludf.DUMMYFUNCTION("""COMPUTED_VALUE"""),"1752061352740")</f>
        <v>1752061352740</v>
      </c>
    </row>
    <row r="8190" spans="1:11" ht="12.45">
      <c r="A8190" s="2">
        <f ca="1">IFERROR(__xludf.DUMMYFUNCTION("""COMPUTED_VALUE"""),1759534811812)</f>
        <v>1759534811812</v>
      </c>
      <c r="C8190" s="2" t="str">
        <v>0</v>
      </c>
      <c r="F8190" s="2" t="str">
        <v>0</v>
      </c>
      <c r="I8190" s="3" t="str">
        <f ca="1">IFERROR(__xludf.DUMMYFUNCTION("""COMPUTED_VALUE"""),"Lê Nguyễn Yến Nhi ")</f>
        <v xml:space="preserve">Lê Nguyễn Yến Nhi </v>
      </c>
      <c r="J8190" s="3" t="str">
        <f ca="1">IFERROR(__xludf.DUMMYFUNCTION("""COMPUTED_VALUE"""),"0837688209")</f>
        <v>0837688209</v>
      </c>
      <c r="K8190" s="2">
        <f ca="1">IFERROR(__xludf.DUMMYFUNCTION("""COMPUTED_VALUE"""),1759534811812)</f>
        <v>1759534811812</v>
      </c>
    </row>
    <row r="8191" spans="1:11" ht="12.45">
      <c r="A8191" s="2" t="str">
        <f ca="1">IFERROR(__xludf.DUMMYFUNCTION("""COMPUTED_VALUE"""),"1752061381360")</f>
        <v>1752061381360</v>
      </c>
      <c r="C8191" s="2" t="str">
        <v>0</v>
      </c>
      <c r="F8191" s="2" t="str">
        <v>0</v>
      </c>
      <c r="I8191" s="3" t="str">
        <f ca="1">IFERROR(__xludf.DUMMYFUNCTION("""COMPUTED_VALUE"""),"Chau Sóc Ni")</f>
        <v>Chau Sóc Ni</v>
      </c>
      <c r="J8191" s="3" t="str">
        <f ca="1">IFERROR(__xludf.DUMMYFUNCTION("""COMPUTED_VALUE"""),"0367341632")</f>
        <v>0367341632</v>
      </c>
      <c r="K8191" s="2" t="str">
        <f ca="1">IFERROR(__xludf.DUMMYFUNCTION("""COMPUTED_VALUE"""),"1752061381360")</f>
        <v>1752061381360</v>
      </c>
    </row>
    <row r="8192" spans="1:11" ht="12.45">
      <c r="A8192" s="2" t="str">
        <f ca="1">IFERROR(__xludf.DUMMYFUNCTION("""COMPUTED_VALUE"""),"1752061410271")</f>
        <v>1752061410271</v>
      </c>
      <c r="C8192" s="2" t="str">
        <v>0</v>
      </c>
      <c r="F8192" s="2" t="str">
        <v>0</v>
      </c>
      <c r="I8192" s="3" t="str">
        <f ca="1">IFERROR(__xludf.DUMMYFUNCTION("""COMPUTED_VALUE"""),"Nguyễn Thị Thanh Trúc")</f>
        <v>Nguyễn Thị Thanh Trúc</v>
      </c>
      <c r="J8192" s="3" t="str">
        <f ca="1">IFERROR(__xludf.DUMMYFUNCTION("""COMPUTED_VALUE"""),"0382064902")</f>
        <v>0382064902</v>
      </c>
      <c r="K8192" s="2" t="str">
        <f ca="1">IFERROR(__xludf.DUMMYFUNCTION("""COMPUTED_VALUE"""),"1752061410271")</f>
        <v>1752061410271</v>
      </c>
    </row>
    <row r="8193" spans="1:11" ht="12.45">
      <c r="A8193" s="2" t="str">
        <f ca="1">IFERROR(__xludf.DUMMYFUNCTION("""COMPUTED_VALUE"""),"1752061440699")</f>
        <v>1752061440699</v>
      </c>
      <c r="C8193" s="2" t="str">
        <v>0</v>
      </c>
      <c r="F8193" s="2" t="str">
        <v>0</v>
      </c>
      <c r="I8193" s="3" t="str">
        <f ca="1">IFERROR(__xludf.DUMMYFUNCTION("""COMPUTED_VALUE"""),"Lò Thị Quỳnh Như ")</f>
        <v xml:space="preserve">Lò Thị Quỳnh Như </v>
      </c>
      <c r="J8193" s="3" t="str">
        <f ca="1">IFERROR(__xludf.DUMMYFUNCTION("""COMPUTED_VALUE"""),"0362490981")</f>
        <v>0362490981</v>
      </c>
      <c r="K8193" s="2" t="str">
        <f ca="1">IFERROR(__xludf.DUMMYFUNCTION("""COMPUTED_VALUE"""),"1752061440699")</f>
        <v>1752061440699</v>
      </c>
    </row>
    <row r="8194" spans="1:11" ht="12.45">
      <c r="A8194" s="2" t="str">
        <f ca="1">IFERROR(__xludf.DUMMYFUNCTION("""COMPUTED_VALUE"""),"1752061484621")</f>
        <v>1752061484621</v>
      </c>
      <c r="C8194" s="2" t="str">
        <v>0</v>
      </c>
      <c r="F8194" s="2" t="str">
        <v>0</v>
      </c>
      <c r="I8194" s="3" t="str">
        <f ca="1">IFERROR(__xludf.DUMMYFUNCTION("""COMPUTED_VALUE"""),"Nguyễn Thân Thu Thảo")</f>
        <v>Nguyễn Thân Thu Thảo</v>
      </c>
      <c r="J8194" s="3" t="str">
        <f ca="1">IFERROR(__xludf.DUMMYFUNCTION("""COMPUTED_VALUE"""),"0905062548")</f>
        <v>0905062548</v>
      </c>
      <c r="K8194" s="2" t="str">
        <f ca="1">IFERROR(__xludf.DUMMYFUNCTION("""COMPUTED_VALUE"""),"1752061484621")</f>
        <v>1752061484621</v>
      </c>
    </row>
    <row r="8195" spans="1:11" ht="12.45">
      <c r="A8195" s="2" t="str">
        <f ca="1">IFERROR(__xludf.DUMMYFUNCTION("""COMPUTED_VALUE"""),"1752061509206")</f>
        <v>1752061509206</v>
      </c>
      <c r="C8195" s="2" t="str">
        <v>0</v>
      </c>
      <c r="F8195" s="2" t="str">
        <v>0</v>
      </c>
      <c r="I8195" s="3" t="str">
        <f ca="1">IFERROR(__xludf.DUMMYFUNCTION("""COMPUTED_VALUE"""),"Nguyễn ngọc diệp")</f>
        <v>Nguyễn ngọc diệp</v>
      </c>
      <c r="J8195" s="3" t="str">
        <f ca="1">IFERROR(__xludf.DUMMYFUNCTION("""COMPUTED_VALUE"""),"0961166207")</f>
        <v>0961166207</v>
      </c>
      <c r="K8195" s="2" t="str">
        <f ca="1">IFERROR(__xludf.DUMMYFUNCTION("""COMPUTED_VALUE"""),"1752061509206")</f>
        <v>1752061509206</v>
      </c>
    </row>
    <row r="8196" spans="1:11" ht="12.45">
      <c r="A8196" s="2" t="str">
        <f ca="1">IFERROR(__xludf.DUMMYFUNCTION("""COMPUTED_VALUE"""),"1752061543435")</f>
        <v>1752061543435</v>
      </c>
      <c r="C8196" s="2" t="str">
        <v>0</v>
      </c>
      <c r="F8196" s="2" t="str">
        <v>0</v>
      </c>
      <c r="I8196" s="3" t="str">
        <f ca="1">IFERROR(__xludf.DUMMYFUNCTION("""COMPUTED_VALUE"""),"Phan Thị Cẩm Nhung")</f>
        <v>Phan Thị Cẩm Nhung</v>
      </c>
      <c r="J8196" s="3" t="str">
        <f ca="1">IFERROR(__xludf.DUMMYFUNCTION("""COMPUTED_VALUE"""),"0865987856")</f>
        <v>0865987856</v>
      </c>
      <c r="K8196" s="2" t="str">
        <f ca="1">IFERROR(__xludf.DUMMYFUNCTION("""COMPUTED_VALUE"""),"1752061543435")</f>
        <v>1752061543435</v>
      </c>
    </row>
    <row r="8197" spans="1:11" ht="12.45">
      <c r="A8197" s="2" t="str">
        <f ca="1">IFERROR(__xludf.DUMMYFUNCTION("""COMPUTED_VALUE"""),"1752061587988")</f>
        <v>1752061587988</v>
      </c>
      <c r="C8197" s="2" t="str">
        <v>0</v>
      </c>
      <c r="F8197" s="2" t="str">
        <v>0</v>
      </c>
      <c r="I8197" s="3" t="str">
        <f ca="1">IFERROR(__xludf.DUMMYFUNCTION("""COMPUTED_VALUE"""),"Võ Lê Huyền Trân ")</f>
        <v xml:space="preserve">Võ Lê Huyền Trân </v>
      </c>
      <c r="J8197" s="3" t="str">
        <f ca="1">IFERROR(__xludf.DUMMYFUNCTION("""COMPUTED_VALUE"""),"0865485347")</f>
        <v>0865485347</v>
      </c>
      <c r="K8197" s="2" t="str">
        <f ca="1">IFERROR(__xludf.DUMMYFUNCTION("""COMPUTED_VALUE"""),"1752061587988")</f>
        <v>1752061587988</v>
      </c>
    </row>
    <row r="8198" spans="1:11" ht="12.45">
      <c r="A8198" s="2" t="str">
        <f ca="1">IFERROR(__xludf.DUMMYFUNCTION("""COMPUTED_VALUE"""),"1752061632667")</f>
        <v>1752061632667</v>
      </c>
      <c r="C8198" s="2" t="str">
        <v>0</v>
      </c>
      <c r="F8198" s="2" t="str">
        <v>0</v>
      </c>
      <c r="I8198" s="3" t="str">
        <f ca="1">IFERROR(__xludf.DUMMYFUNCTION("""COMPUTED_VALUE"""),"Hồ Hương Giang")</f>
        <v>Hồ Hương Giang</v>
      </c>
      <c r="J8198" s="3" t="str">
        <f ca="1">IFERROR(__xludf.DUMMYFUNCTION("""COMPUTED_VALUE"""),"0362201935")</f>
        <v>0362201935</v>
      </c>
      <c r="K8198" s="2" t="str">
        <f ca="1">IFERROR(__xludf.DUMMYFUNCTION("""COMPUTED_VALUE"""),"1752061632667")</f>
        <v>1752061632667</v>
      </c>
    </row>
    <row r="8199" spans="1:11" ht="12.45">
      <c r="A8199" s="2" t="str">
        <f ca="1">IFERROR(__xludf.DUMMYFUNCTION("""COMPUTED_VALUE"""),"1752061674939")</f>
        <v>1752061674939</v>
      </c>
      <c r="C8199" s="2" t="str">
        <v>0</v>
      </c>
      <c r="F8199" s="2" t="str">
        <v>0</v>
      </c>
      <c r="I8199" s="3" t="str">
        <f ca="1">IFERROR(__xludf.DUMMYFUNCTION("""COMPUTED_VALUE"""),"Hoàng Minh Khang")</f>
        <v>Hoàng Minh Khang</v>
      </c>
      <c r="J8199" s="3" t="str">
        <f ca="1">IFERROR(__xludf.DUMMYFUNCTION("""COMPUTED_VALUE"""),"0705245294")</f>
        <v>0705245294</v>
      </c>
      <c r="K8199" s="2" t="str">
        <f ca="1">IFERROR(__xludf.DUMMYFUNCTION("""COMPUTED_VALUE"""),"1752061674939")</f>
        <v>1752061674939</v>
      </c>
    </row>
    <row r="8200" spans="1:11" ht="12.45">
      <c r="A8200" s="2" t="str">
        <f ca="1">IFERROR(__xludf.DUMMYFUNCTION("""COMPUTED_VALUE"""),"1752061718269")</f>
        <v>1752061718269</v>
      </c>
      <c r="C8200" s="2" t="str">
        <v>0</v>
      </c>
      <c r="F8200" s="2" t="str">
        <v>0</v>
      </c>
      <c r="I8200" s="3" t="str">
        <f ca="1">IFERROR(__xludf.DUMMYFUNCTION("""COMPUTED_VALUE"""),"Nguyễn Thị Bảo Nguyên ")</f>
        <v xml:space="preserve">Nguyễn Thị Bảo Nguyên </v>
      </c>
      <c r="J8200" s="3" t="str">
        <f ca="1">IFERROR(__xludf.DUMMYFUNCTION("""COMPUTED_VALUE"""),"0926831458")</f>
        <v>0926831458</v>
      </c>
      <c r="K8200" s="2" t="str">
        <f ca="1">IFERROR(__xludf.DUMMYFUNCTION("""COMPUTED_VALUE"""),"1752061718269")</f>
        <v>1752061718269</v>
      </c>
    </row>
    <row r="8201" spans="1:11" ht="12.45">
      <c r="A8201" s="2">
        <f ca="1">IFERROR(__xludf.DUMMYFUNCTION("""COMPUTED_VALUE"""),1759534858639)</f>
        <v>1759534858639</v>
      </c>
      <c r="C8201" s="2" t="str">
        <v>0</v>
      </c>
      <c r="F8201" s="2" t="str">
        <v>0</v>
      </c>
      <c r="I8201" s="3" t="str">
        <f ca="1">IFERROR(__xludf.DUMMYFUNCTION("""COMPUTED_VALUE"""),"Nguyễn Lê Quỳnh Anh")</f>
        <v>Nguyễn Lê Quỳnh Anh</v>
      </c>
      <c r="J8201" s="3" t="str">
        <f ca="1">IFERROR(__xludf.DUMMYFUNCTION("""COMPUTED_VALUE"""),"8482551966")</f>
        <v>8482551966</v>
      </c>
      <c r="K8201" s="2">
        <f ca="1">IFERROR(__xludf.DUMMYFUNCTION("""COMPUTED_VALUE"""),1759534858639)</f>
        <v>1759534858639</v>
      </c>
    </row>
    <row r="8202" spans="1:11" ht="12.45">
      <c r="A8202" s="2" t="str">
        <f ca="1">IFERROR(__xludf.DUMMYFUNCTION("""COMPUTED_VALUE"""),"1752061760488")</f>
        <v>1752061760488</v>
      </c>
      <c r="C8202" s="2" t="str">
        <v>0</v>
      </c>
      <c r="F8202" s="2" t="str">
        <v>0</v>
      </c>
      <c r="I8202" s="3" t="str">
        <f ca="1">IFERROR(__xludf.DUMMYFUNCTION("""COMPUTED_VALUE"""),"Đặng Nguyễn Ngọc Thông")</f>
        <v>Đặng Nguyễn Ngọc Thông</v>
      </c>
      <c r="J8202" s="3" t="str">
        <f ca="1">IFERROR(__xludf.DUMMYFUNCTION("""COMPUTED_VALUE"""),"0776393148")</f>
        <v>0776393148</v>
      </c>
      <c r="K8202" s="2" t="str">
        <f ca="1">IFERROR(__xludf.DUMMYFUNCTION("""COMPUTED_VALUE"""),"1752061760488")</f>
        <v>1752061760488</v>
      </c>
    </row>
    <row r="8203" spans="1:11" ht="12.45">
      <c r="A8203" s="2" t="str">
        <f ca="1">IFERROR(__xludf.DUMMYFUNCTION("""COMPUTED_VALUE"""),"1752061803982")</f>
        <v>1752061803982</v>
      </c>
      <c r="C8203" s="2" t="str">
        <v>0</v>
      </c>
      <c r="F8203" s="2" t="str">
        <v>0</v>
      </c>
      <c r="I8203" s="3" t="str">
        <f ca="1">IFERROR(__xludf.DUMMYFUNCTION("""COMPUTED_VALUE"""),"Vũ Đình Bảo")</f>
        <v>Vũ Đình Bảo</v>
      </c>
      <c r="J8203" s="3" t="str">
        <f ca="1">IFERROR(__xludf.DUMMYFUNCTION("""COMPUTED_VALUE"""),"0913110470")</f>
        <v>0913110470</v>
      </c>
      <c r="K8203" s="2" t="str">
        <f ca="1">IFERROR(__xludf.DUMMYFUNCTION("""COMPUTED_VALUE"""),"1752061803982")</f>
        <v>1752061803982</v>
      </c>
    </row>
    <row r="8204" spans="1:11" ht="12.45">
      <c r="A8204" s="2">
        <f ca="1">IFERROR(__xludf.DUMMYFUNCTION("""COMPUTED_VALUE"""),1759534904861)</f>
        <v>1759534904861</v>
      </c>
      <c r="C8204" s="2" t="str">
        <v>0</v>
      </c>
      <c r="F8204" s="2" t="str">
        <v>0</v>
      </c>
      <c r="I8204" s="3" t="str">
        <f ca="1">IFERROR(__xludf.DUMMYFUNCTION("""COMPUTED_VALUE"""),"Phạm Như Khánh ")</f>
        <v xml:space="preserve">Phạm Như Khánh </v>
      </c>
      <c r="J8204" s="3" t="str">
        <f ca="1">IFERROR(__xludf.DUMMYFUNCTION("""COMPUTED_VALUE"""),"0866250687")</f>
        <v>0866250687</v>
      </c>
      <c r="K8204" s="2">
        <f ca="1">IFERROR(__xludf.DUMMYFUNCTION("""COMPUTED_VALUE"""),1759534904861)</f>
        <v>1759534904861</v>
      </c>
    </row>
    <row r="8205" spans="1:11" ht="12.45">
      <c r="A8205" s="2" t="str">
        <f ca="1">IFERROR(__xludf.DUMMYFUNCTION("""COMPUTED_VALUE"""),"1752061845270")</f>
        <v>1752061845270</v>
      </c>
      <c r="C8205" s="2" t="str">
        <v>0</v>
      </c>
      <c r="F8205" s="2" t="str">
        <v>0</v>
      </c>
      <c r="I8205" s="3" t="str">
        <f ca="1">IFERROR(__xludf.DUMMYFUNCTION("""COMPUTED_VALUE"""),"Lê Hồng Anh")</f>
        <v>Lê Hồng Anh</v>
      </c>
      <c r="J8205" s="3" t="str">
        <f ca="1">IFERROR(__xludf.DUMMYFUNCTION("""COMPUTED_VALUE"""),"0398366931")</f>
        <v>0398366931</v>
      </c>
      <c r="K8205" s="2" t="str">
        <f ca="1">IFERROR(__xludf.DUMMYFUNCTION("""COMPUTED_VALUE"""),"1752061845270")</f>
        <v>1752061845270</v>
      </c>
    </row>
    <row r="8206" spans="1:11" ht="12.45">
      <c r="A8206" s="2">
        <f ca="1">IFERROR(__xludf.DUMMYFUNCTION("""COMPUTED_VALUE"""),1759534975546)</f>
        <v>1759534975546</v>
      </c>
      <c r="C8206" s="2" t="str">
        <v>0</v>
      </c>
      <c r="F8206" s="2" t="str">
        <v>0</v>
      </c>
      <c r="I8206" s="3" t="str">
        <f ca="1">IFERROR(__xludf.DUMMYFUNCTION("""COMPUTED_VALUE"""),"Nguyễn Thanh Ngọc Bảo Duyên")</f>
        <v>Nguyễn Thanh Ngọc Bảo Duyên</v>
      </c>
      <c r="J8206" s="3" t="str">
        <f ca="1">IFERROR(__xludf.DUMMYFUNCTION("""COMPUTED_VALUE"""),"0396964797")</f>
        <v>0396964797</v>
      </c>
      <c r="K8206" s="2">
        <f ca="1">IFERROR(__xludf.DUMMYFUNCTION("""COMPUTED_VALUE"""),1759534975546)</f>
        <v>1759534975546</v>
      </c>
    </row>
    <row r="8207" spans="1:11" ht="12.45">
      <c r="A8207" s="2">
        <f ca="1">IFERROR(__xludf.DUMMYFUNCTION("""COMPUTED_VALUE"""),1759535065562)</f>
        <v>1759535065562</v>
      </c>
      <c r="C8207" s="2" t="str">
        <v>0</v>
      </c>
      <c r="F8207" s="2" t="str">
        <v>0</v>
      </c>
      <c r="I8207" s="3" t="str">
        <f ca="1">IFERROR(__xludf.DUMMYFUNCTION("""COMPUTED_VALUE"""),"Chu Thị Hiền Giang")</f>
        <v>Chu Thị Hiền Giang</v>
      </c>
      <c r="J8207" s="3" t="str">
        <f ca="1">IFERROR(__xludf.DUMMYFUNCTION("""COMPUTED_VALUE"""),"0328815268")</f>
        <v>0328815268</v>
      </c>
      <c r="K8207" s="2">
        <f ca="1">IFERROR(__xludf.DUMMYFUNCTION("""COMPUTED_VALUE"""),1759535065562)</f>
        <v>1759535065562</v>
      </c>
    </row>
    <row r="8208" spans="1:11" ht="12.45">
      <c r="A8208" s="2">
        <f ca="1">IFERROR(__xludf.DUMMYFUNCTION("""COMPUTED_VALUE"""),1759535135953)</f>
        <v>1759535135953</v>
      </c>
      <c r="C8208" s="2" t="str">
        <v>0</v>
      </c>
      <c r="F8208" s="2" t="str">
        <v>0</v>
      </c>
      <c r="I8208" s="3" t="str">
        <f ca="1">IFERROR(__xludf.DUMMYFUNCTION("""COMPUTED_VALUE"""),"Bùi Đại Lộc ")</f>
        <v xml:space="preserve">Bùi Đại Lộc </v>
      </c>
      <c r="J8208" s="3" t="str">
        <f ca="1">IFERROR(__xludf.DUMMYFUNCTION("""COMPUTED_VALUE"""),"0788270506")</f>
        <v>0788270506</v>
      </c>
      <c r="K8208" s="2">
        <f ca="1">IFERROR(__xludf.DUMMYFUNCTION("""COMPUTED_VALUE"""),1759535135953)</f>
        <v>1759535135953</v>
      </c>
    </row>
    <row r="8209" spans="1:11" ht="12.45">
      <c r="A8209" s="2">
        <f ca="1">IFERROR(__xludf.DUMMYFUNCTION("""COMPUTED_VALUE"""),1759535181906)</f>
        <v>1759535181906</v>
      </c>
      <c r="C8209" s="2" t="str">
        <v>0</v>
      </c>
      <c r="F8209" s="2" t="str">
        <v>0</v>
      </c>
      <c r="I8209" s="3" t="str">
        <f ca="1">IFERROR(__xludf.DUMMYFUNCTION("""COMPUTED_VALUE"""),"Hoàng Gia Nhi")</f>
        <v>Hoàng Gia Nhi</v>
      </c>
      <c r="J8209" s="3" t="str">
        <f ca="1">IFERROR(__xludf.DUMMYFUNCTION("""COMPUTED_VALUE"""),"0974888264")</f>
        <v>0974888264</v>
      </c>
      <c r="K8209" s="2">
        <f ca="1">IFERROR(__xludf.DUMMYFUNCTION("""COMPUTED_VALUE"""),1759535181906)</f>
        <v>1759535181906</v>
      </c>
    </row>
    <row r="8210" spans="1:11" ht="12.45">
      <c r="A8210" s="2">
        <f ca="1">IFERROR(__xludf.DUMMYFUNCTION("""COMPUTED_VALUE"""),1748424196541)</f>
        <v>1748424196541</v>
      </c>
      <c r="C8210" s="2" t="str">
        <v>0</v>
      </c>
      <c r="F8210" s="2" t="str">
        <v>0</v>
      </c>
      <c r="I8210" s="3" t="str">
        <f ca="1">IFERROR(__xludf.DUMMYFUNCTION("""COMPUTED_VALUE"""),"Nguyễn Ngọc Thiên Kim")</f>
        <v>Nguyễn Ngọc Thiên Kim</v>
      </c>
      <c r="J8210" s="3" t="str">
        <f ca="1">IFERROR(__xludf.DUMMYFUNCTION("""COMPUTED_VALUE"""),"0813518343")</f>
        <v>0813518343</v>
      </c>
      <c r="K8210" s="2">
        <f ca="1">IFERROR(__xludf.DUMMYFUNCTION("""COMPUTED_VALUE"""),1748424196541)</f>
        <v>1748424196541</v>
      </c>
    </row>
    <row r="8211" spans="1:11" ht="12.45">
      <c r="A8211" s="2">
        <f ca="1">IFERROR(__xludf.DUMMYFUNCTION("""COMPUTED_VALUE"""),1748424249068)</f>
        <v>1748424249068</v>
      </c>
      <c r="C8211" s="2" t="str">
        <v>0</v>
      </c>
      <c r="F8211" s="2" t="str">
        <v>0</v>
      </c>
      <c r="I8211" s="3" t="str">
        <f ca="1">IFERROR(__xludf.DUMMYFUNCTION("""COMPUTED_VALUE"""),"LÊ KHÁNH HUYỀN")</f>
        <v>LÊ KHÁNH HUYỀN</v>
      </c>
      <c r="J8211" s="3" t="str">
        <f ca="1">IFERROR(__xludf.DUMMYFUNCTION("""COMPUTED_VALUE"""),"0888301898")</f>
        <v>0888301898</v>
      </c>
      <c r="K8211" s="2">
        <f ca="1">IFERROR(__xludf.DUMMYFUNCTION("""COMPUTED_VALUE"""),1748424249068)</f>
        <v>1748424249068</v>
      </c>
    </row>
    <row r="8212" spans="1:11" ht="12.45">
      <c r="A8212" s="2" t="str">
        <f ca="1">IFERROR(__xludf.DUMMYFUNCTION("""COMPUTED_VALUE"""),"1752061880080")</f>
        <v>1752061880080</v>
      </c>
      <c r="C8212" s="2" t="str">
        <v>0</v>
      </c>
      <c r="F8212" s="2" t="str">
        <v>0</v>
      </c>
      <c r="I8212" s="3" t="str">
        <f ca="1">IFERROR(__xludf.DUMMYFUNCTION("""COMPUTED_VALUE"""),"LÊ MINH TRƯỜNG")</f>
        <v>LÊ MINH TRƯỜNG</v>
      </c>
      <c r="J8212" s="3" t="str">
        <f ca="1">IFERROR(__xludf.DUMMYFUNCTION("""COMPUTED_VALUE"""),"0796306416")</f>
        <v>0796306416</v>
      </c>
      <c r="K8212" s="2" t="str">
        <f ca="1">IFERROR(__xludf.DUMMYFUNCTION("""COMPUTED_VALUE"""),"1752061880080")</f>
        <v>1752061880080</v>
      </c>
    </row>
    <row r="8213" spans="1:11" ht="12.45">
      <c r="A8213" s="2">
        <f ca="1">IFERROR(__xludf.DUMMYFUNCTION("""COMPUTED_VALUE"""),1748424314837)</f>
        <v>1748424314837</v>
      </c>
      <c r="C8213" s="2" t="str">
        <v>0</v>
      </c>
      <c r="F8213" s="2" t="str">
        <v>0</v>
      </c>
      <c r="I8213" s="3" t="str">
        <f ca="1">IFERROR(__xludf.DUMMYFUNCTION("""COMPUTED_VALUE"""),"Lê Hoàng Diễn ")</f>
        <v xml:space="preserve">Lê Hoàng Diễn </v>
      </c>
      <c r="J8213" s="3" t="str">
        <f ca="1">IFERROR(__xludf.DUMMYFUNCTION("""COMPUTED_VALUE"""),"0378688042")</f>
        <v>0378688042</v>
      </c>
      <c r="K8213" s="2">
        <f ca="1">IFERROR(__xludf.DUMMYFUNCTION("""COMPUTED_VALUE"""),1748424314837)</f>
        <v>1748424314837</v>
      </c>
    </row>
    <row r="8214" spans="1:11" ht="12.45">
      <c r="A8214" s="2" t="str">
        <f ca="1">IFERROR(__xludf.DUMMYFUNCTION("""COMPUTED_VALUE"""),"1752061906897")</f>
        <v>1752061906897</v>
      </c>
      <c r="C8214" s="2" t="str">
        <v>0</v>
      </c>
      <c r="F8214" s="2" t="str">
        <v>0</v>
      </c>
      <c r="I8214" s="3" t="str">
        <f ca="1">IFERROR(__xludf.DUMMYFUNCTION("""COMPUTED_VALUE"""),"Cung Phương Linh")</f>
        <v>Cung Phương Linh</v>
      </c>
      <c r="J8214" s="3" t="str">
        <f ca="1">IFERROR(__xludf.DUMMYFUNCTION("""COMPUTED_VALUE"""),"0335881151")</f>
        <v>0335881151</v>
      </c>
      <c r="K8214" s="2" t="str">
        <f ca="1">IFERROR(__xludf.DUMMYFUNCTION("""COMPUTED_VALUE"""),"1752061906897")</f>
        <v>1752061906897</v>
      </c>
    </row>
    <row r="8215" spans="1:11" ht="12.45">
      <c r="A8215" s="2">
        <f ca="1">IFERROR(__xludf.DUMMYFUNCTION("""COMPUTED_VALUE"""),1748424361460)</f>
        <v>1748424361460</v>
      </c>
      <c r="C8215" s="2" t="str">
        <v>0</v>
      </c>
      <c r="F8215" s="2" t="str">
        <v>0</v>
      </c>
      <c r="I8215" s="3" t="str">
        <f ca="1">IFERROR(__xludf.DUMMYFUNCTION("""COMPUTED_VALUE"""),"Lê Uyển Dy")</f>
        <v>Lê Uyển Dy</v>
      </c>
      <c r="J8215" s="3" t="str">
        <f ca="1">IFERROR(__xludf.DUMMYFUNCTION("""COMPUTED_VALUE"""),"0899360039")</f>
        <v>0899360039</v>
      </c>
      <c r="K8215" s="2">
        <f ca="1">IFERROR(__xludf.DUMMYFUNCTION("""COMPUTED_VALUE"""),1748424361460)</f>
        <v>1748424361460</v>
      </c>
    </row>
    <row r="8216" spans="1:11" ht="12.45">
      <c r="A8216" s="2">
        <f ca="1">IFERROR(__xludf.DUMMYFUNCTION("""COMPUTED_VALUE"""),1748424399772)</f>
        <v>1748424399772</v>
      </c>
      <c r="C8216" s="2" t="str">
        <v>0</v>
      </c>
      <c r="F8216" s="2" t="str">
        <v>0</v>
      </c>
      <c r="I8216" s="3" t="str">
        <f ca="1">IFERROR(__xludf.DUMMYFUNCTION("""COMPUTED_VALUE"""),"Ngô Thị Mỹ Nhung ")</f>
        <v xml:space="preserve">Ngô Thị Mỹ Nhung </v>
      </c>
      <c r="J8216" s="3" t="str">
        <f ca="1">IFERROR(__xludf.DUMMYFUNCTION("""COMPUTED_VALUE"""),"0919843653")</f>
        <v>0919843653</v>
      </c>
      <c r="K8216" s="2">
        <f ca="1">IFERROR(__xludf.DUMMYFUNCTION("""COMPUTED_VALUE"""),1748424399772)</f>
        <v>1748424399772</v>
      </c>
    </row>
    <row r="8217" spans="1:11" ht="12.45">
      <c r="A8217" s="2">
        <f ca="1">IFERROR(__xludf.DUMMYFUNCTION("""COMPUTED_VALUE"""),1748424447735)</f>
        <v>1748424447735</v>
      </c>
      <c r="C8217" s="2" t="str">
        <v>0</v>
      </c>
      <c r="F8217" s="2" t="str">
        <v>0</v>
      </c>
      <c r="I8217" s="3" t="str">
        <f ca="1">IFERROR(__xludf.DUMMYFUNCTION("""COMPUTED_VALUE"""),"Ma Quang Trung")</f>
        <v>Ma Quang Trung</v>
      </c>
      <c r="J8217" s="3" t="str">
        <f ca="1">IFERROR(__xludf.DUMMYFUNCTION("""COMPUTED_VALUE"""),"0352538908")</f>
        <v>0352538908</v>
      </c>
      <c r="K8217" s="2">
        <f ca="1">IFERROR(__xludf.DUMMYFUNCTION("""COMPUTED_VALUE"""),1748424447735)</f>
        <v>1748424447735</v>
      </c>
    </row>
    <row r="8218" spans="1:11" ht="12.45">
      <c r="A8218" s="2">
        <f ca="1">IFERROR(__xludf.DUMMYFUNCTION("""COMPUTED_VALUE"""),1748424479366)</f>
        <v>1748424479366</v>
      </c>
      <c r="C8218" s="2" t="str">
        <v>0</v>
      </c>
      <c r="F8218" s="2" t="str">
        <v>0</v>
      </c>
      <c r="I8218" s="3" t="str">
        <f ca="1">IFERROR(__xludf.DUMMYFUNCTION("""COMPUTED_VALUE"""),"Nguyễn Trà My")</f>
        <v>Nguyễn Trà My</v>
      </c>
      <c r="J8218" s="3" t="str">
        <f ca="1">IFERROR(__xludf.DUMMYFUNCTION("""COMPUTED_VALUE"""),"0977536047")</f>
        <v>0977536047</v>
      </c>
      <c r="K8218" s="2">
        <f ca="1">IFERROR(__xludf.DUMMYFUNCTION("""COMPUTED_VALUE"""),1748424479366)</f>
        <v>1748424479366</v>
      </c>
    </row>
    <row r="8219" spans="1:11" ht="12.45">
      <c r="A8219" s="2">
        <f ca="1">IFERROR(__xludf.DUMMYFUNCTION("""COMPUTED_VALUE"""),1748424541878)</f>
        <v>1748424541878</v>
      </c>
      <c r="C8219" s="2" t="str">
        <v>0</v>
      </c>
      <c r="F8219" s="2" t="str">
        <v>0</v>
      </c>
      <c r="I8219" s="3" t="str">
        <f ca="1">IFERROR(__xludf.DUMMYFUNCTION("""COMPUTED_VALUE"""),"Chu Phương Thảo ")</f>
        <v xml:space="preserve">Chu Phương Thảo </v>
      </c>
      <c r="J8219" s="3" t="str">
        <f ca="1">IFERROR(__xludf.DUMMYFUNCTION("""COMPUTED_VALUE"""),"8436948088")</f>
        <v>8436948088</v>
      </c>
      <c r="K8219" s="2">
        <f ca="1">IFERROR(__xludf.DUMMYFUNCTION("""COMPUTED_VALUE"""),1748424541878)</f>
        <v>1748424541878</v>
      </c>
    </row>
    <row r="8220" spans="1:11" ht="12.45">
      <c r="A8220" s="2">
        <f ca="1">IFERROR(__xludf.DUMMYFUNCTION("""COMPUTED_VALUE"""),1748424579425)</f>
        <v>1748424579425</v>
      </c>
      <c r="C8220" s="2" t="str">
        <v>0</v>
      </c>
      <c r="F8220" s="2" t="str">
        <v>0</v>
      </c>
      <c r="I8220" s="3" t="str">
        <f ca="1">IFERROR(__xludf.DUMMYFUNCTION("""COMPUTED_VALUE"""),"Trần Ngọc Đình")</f>
        <v>Trần Ngọc Đình</v>
      </c>
      <c r="J8220" s="3" t="str">
        <f ca="1">IFERROR(__xludf.DUMMYFUNCTION("""COMPUTED_VALUE"""),"0703025698")</f>
        <v>0703025698</v>
      </c>
      <c r="K8220" s="2">
        <f ca="1">IFERROR(__xludf.DUMMYFUNCTION("""COMPUTED_VALUE"""),1748424579425)</f>
        <v>1748424579425</v>
      </c>
    </row>
    <row r="8221" spans="1:11" ht="12.45">
      <c r="A8221" s="2">
        <f ca="1">IFERROR(__xludf.DUMMYFUNCTION("""COMPUTED_VALUE"""),1748424615425)</f>
        <v>1748424615425</v>
      </c>
      <c r="C8221" s="2" t="str">
        <v>0</v>
      </c>
      <c r="F8221" s="2" t="str">
        <v>0</v>
      </c>
      <c r="I8221" s="3" t="str">
        <f ca="1">IFERROR(__xludf.DUMMYFUNCTION("""COMPUTED_VALUE"""),"Lê Thị Huyền Trang")</f>
        <v>Lê Thị Huyền Trang</v>
      </c>
      <c r="J8221" s="3" t="str">
        <f ca="1">IFERROR(__xludf.DUMMYFUNCTION("""COMPUTED_VALUE"""),"0375305828")</f>
        <v>0375305828</v>
      </c>
      <c r="K8221" s="2">
        <f ca="1">IFERROR(__xludf.DUMMYFUNCTION("""COMPUTED_VALUE"""),1748424615425)</f>
        <v>1748424615425</v>
      </c>
    </row>
    <row r="8222" spans="1:11" ht="12.45">
      <c r="A8222" s="2">
        <f ca="1">IFERROR(__xludf.DUMMYFUNCTION("""COMPUTED_VALUE"""),1748424644468)</f>
        <v>1748424644468</v>
      </c>
      <c r="C8222" s="2" t="str">
        <v>0</v>
      </c>
      <c r="F8222" s="2" t="str">
        <v>0</v>
      </c>
      <c r="I8222" s="3" t="str">
        <f ca="1">IFERROR(__xludf.DUMMYFUNCTION("""COMPUTED_VALUE"""),"Vũ Thị Mai Phương")</f>
        <v>Vũ Thị Mai Phương</v>
      </c>
      <c r="J8222" s="3" t="str">
        <f ca="1">IFERROR(__xludf.DUMMYFUNCTION("""COMPUTED_VALUE"""),"0335507808")</f>
        <v>0335507808</v>
      </c>
      <c r="K8222" s="2">
        <f ca="1">IFERROR(__xludf.DUMMYFUNCTION("""COMPUTED_VALUE"""),1748424644468)</f>
        <v>1748424644468</v>
      </c>
    </row>
    <row r="8223" spans="1:11" ht="12.45">
      <c r="A8223" s="2">
        <f ca="1">IFERROR(__xludf.DUMMYFUNCTION("""COMPUTED_VALUE"""),1748424678092)</f>
        <v>1748424678092</v>
      </c>
      <c r="C8223" s="2" t="str">
        <v>0</v>
      </c>
      <c r="F8223" s="2" t="str">
        <v>0</v>
      </c>
      <c r="I8223" s="3" t="str">
        <f ca="1">IFERROR(__xludf.DUMMYFUNCTION("""COMPUTED_VALUE"""),"Nguyễn Phan Minh Sơn")</f>
        <v>Nguyễn Phan Minh Sơn</v>
      </c>
      <c r="J8223" s="3" t="str">
        <f ca="1">IFERROR(__xludf.DUMMYFUNCTION("""COMPUTED_VALUE"""),"0329393027")</f>
        <v>0329393027</v>
      </c>
      <c r="K8223" s="2">
        <f ca="1">IFERROR(__xludf.DUMMYFUNCTION("""COMPUTED_VALUE"""),1748424678092)</f>
        <v>1748424678092</v>
      </c>
    </row>
    <row r="8224" spans="1:11" ht="12.45">
      <c r="A8224" s="2">
        <f ca="1">IFERROR(__xludf.DUMMYFUNCTION("""COMPUTED_VALUE"""),1748424717623)</f>
        <v>1748424717623</v>
      </c>
      <c r="C8224" s="2" t="str">
        <v>0</v>
      </c>
      <c r="F8224" s="2" t="str">
        <v>0</v>
      </c>
      <c r="I8224" s="3" t="str">
        <f ca="1">IFERROR(__xludf.DUMMYFUNCTION("""COMPUTED_VALUE"""),"Phan Quỳnh Giang")</f>
        <v>Phan Quỳnh Giang</v>
      </c>
      <c r="J8224" s="3" t="str">
        <f ca="1">IFERROR(__xludf.DUMMYFUNCTION("""COMPUTED_VALUE"""),"0332954334")</f>
        <v>0332954334</v>
      </c>
      <c r="K8224" s="2">
        <f ca="1">IFERROR(__xludf.DUMMYFUNCTION("""COMPUTED_VALUE"""),1748424717623)</f>
        <v>1748424717623</v>
      </c>
    </row>
    <row r="8225" spans="1:11" ht="12.45">
      <c r="A8225" s="2" t="str">
        <f ca="1">IFERROR(__xludf.DUMMYFUNCTION("""COMPUTED_VALUE"""),"1768593911164")</f>
        <v>1768593911164</v>
      </c>
      <c r="C8225" s="2" t="str">
        <v>0</v>
      </c>
      <c r="F8225" s="2" t="str">
        <v>0</v>
      </c>
      <c r="I8225" s="3" t="str">
        <f ca="1">IFERROR(__xludf.DUMMYFUNCTION("""COMPUTED_VALUE"""),"Kiều Nguyễn Huyền Trang")</f>
        <v>Kiều Nguyễn Huyền Trang</v>
      </c>
      <c r="J8225" s="3" t="str">
        <f ca="1">IFERROR(__xludf.DUMMYFUNCTION("""COMPUTED_VALUE"""),"0359172809")</f>
        <v>0359172809</v>
      </c>
      <c r="K8225" s="2" t="str">
        <f ca="1">IFERROR(__xludf.DUMMYFUNCTION("""COMPUTED_VALUE"""),"1768593911164")</f>
        <v>1768593911164</v>
      </c>
    </row>
    <row r="8226" spans="1:11" ht="12.45">
      <c r="A8226" s="2" t="str">
        <f ca="1">IFERROR(__xludf.DUMMYFUNCTION("""COMPUTED_VALUE"""),"1768593992416")</f>
        <v>1768593992416</v>
      </c>
      <c r="C8226" s="2" t="str">
        <v>0</v>
      </c>
      <c r="F8226" s="2" t="str">
        <v>0</v>
      </c>
      <c r="I8226" s="3" t="str">
        <f ca="1">IFERROR(__xludf.DUMMYFUNCTION("""COMPUTED_VALUE"""),"Đinh Thị Ngọc Trang ")</f>
        <v xml:space="preserve">Đinh Thị Ngọc Trang </v>
      </c>
      <c r="J8226" s="3" t="str">
        <f ca="1">IFERROR(__xludf.DUMMYFUNCTION("""COMPUTED_VALUE"""),"0363035847")</f>
        <v>0363035847</v>
      </c>
      <c r="K8226" s="2" t="str">
        <f ca="1">IFERROR(__xludf.DUMMYFUNCTION("""COMPUTED_VALUE"""),"1768593992416")</f>
        <v>1768593992416</v>
      </c>
    </row>
    <row r="8227" spans="1:11" ht="12.45">
      <c r="A8227" s="2"/>
      <c r="C8227" s="2" t="str">
        <v>0</v>
      </c>
      <c r="F8227" s="2" t="str">
        <v>0</v>
      </c>
      <c r="I8227" s="3" t="str">
        <f ca="1">IFERROR(__xludf.DUMMYFUNCTION("""COMPUTED_VALUE"""),"Nguyễn Châu Giang")</f>
        <v>Nguyễn Châu Giang</v>
      </c>
      <c r="J8227" s="3" t="str">
        <f ca="1">IFERROR(__xludf.DUMMYFUNCTION("""COMPUTED_VALUE"""),"0967203906")</f>
        <v>0967203906</v>
      </c>
      <c r="K8227" s="2"/>
    </row>
    <row r="8228" spans="1:11" ht="12.45">
      <c r="A8228" s="2" t="str">
        <f ca="1">IFERROR(__xludf.DUMMYFUNCTION("""COMPUTED_VALUE"""),"1768594057249")</f>
        <v>1768594057249</v>
      </c>
      <c r="C8228" s="2" t="str">
        <v>0</v>
      </c>
      <c r="F8228" s="2" t="str">
        <v>0</v>
      </c>
      <c r="I8228" s="3" t="str">
        <f ca="1">IFERROR(__xludf.DUMMYFUNCTION("""COMPUTED_VALUE"""),"Trần Minh Thư")</f>
        <v>Trần Minh Thư</v>
      </c>
      <c r="J8228" s="3" t="str">
        <f ca="1">IFERROR(__xludf.DUMMYFUNCTION("""COMPUTED_VALUE"""),"0765439327")</f>
        <v>0765439327</v>
      </c>
      <c r="K8228" s="2" t="str">
        <f ca="1">IFERROR(__xludf.DUMMYFUNCTION("""COMPUTED_VALUE"""),"1768594057249")</f>
        <v>1768594057249</v>
      </c>
    </row>
    <row r="8229" spans="1:11" ht="12.45">
      <c r="A8229" s="2" t="str">
        <f ca="1">IFERROR(__xludf.DUMMYFUNCTION("""COMPUTED_VALUE"""),"1768594112355")</f>
        <v>1768594112355</v>
      </c>
      <c r="C8229" s="2" t="str">
        <v>0</v>
      </c>
      <c r="F8229" s="2" t="str">
        <v>0</v>
      </c>
      <c r="I8229" s="3" t="str">
        <f ca="1">IFERROR(__xludf.DUMMYFUNCTION("""COMPUTED_VALUE"""),"Võ Ngọc Thiên Kim")</f>
        <v>Võ Ngọc Thiên Kim</v>
      </c>
      <c r="J8229" s="3" t="str">
        <f ca="1">IFERROR(__xludf.DUMMYFUNCTION("""COMPUTED_VALUE"""),"0941630085")</f>
        <v>0941630085</v>
      </c>
      <c r="K8229" s="2" t="str">
        <f ca="1">IFERROR(__xludf.DUMMYFUNCTION("""COMPUTED_VALUE"""),"1768594112355")</f>
        <v>1768594112355</v>
      </c>
    </row>
    <row r="8230" spans="1:11" ht="12.45">
      <c r="A8230" s="2" t="str">
        <f ca="1">IFERROR(__xludf.DUMMYFUNCTION("""COMPUTED_VALUE"""),"1768594189639")</f>
        <v>1768594189639</v>
      </c>
      <c r="C8230" s="2" t="str">
        <v>0</v>
      </c>
      <c r="F8230" s="2" t="str">
        <v>0</v>
      </c>
      <c r="I8230" s="3" t="str">
        <f ca="1">IFERROR(__xludf.DUMMYFUNCTION("""COMPUTED_VALUE"""),"Đào Hồng Ngọc")</f>
        <v>Đào Hồng Ngọc</v>
      </c>
      <c r="J8230" s="3" t="str">
        <f ca="1">IFERROR(__xludf.DUMMYFUNCTION("""COMPUTED_VALUE"""),"0799111347")</f>
        <v>0799111347</v>
      </c>
      <c r="K8230" s="2" t="str">
        <f ca="1">IFERROR(__xludf.DUMMYFUNCTION("""COMPUTED_VALUE"""),"1768594189639")</f>
        <v>1768594189639</v>
      </c>
    </row>
    <row r="8231" spans="1:11" ht="12.45">
      <c r="A8231" s="2" t="str">
        <f ca="1">IFERROR(__xludf.DUMMYFUNCTION("""COMPUTED_VALUE"""),"1768594272356")</f>
        <v>1768594272356</v>
      </c>
      <c r="C8231" s="2" t="str">
        <v>0</v>
      </c>
      <c r="F8231" s="2" t="str">
        <v>0</v>
      </c>
      <c r="I8231" s="3" t="str">
        <f ca="1">IFERROR(__xludf.DUMMYFUNCTION("""COMPUTED_VALUE"""),"Hoàng Thị Lệ Chi ")</f>
        <v xml:space="preserve">Hoàng Thị Lệ Chi </v>
      </c>
      <c r="J8231" s="3" t="str">
        <f ca="1">IFERROR(__xludf.DUMMYFUNCTION("""COMPUTED_VALUE"""),"0833916174")</f>
        <v>0833916174</v>
      </c>
      <c r="K8231" s="2" t="str">
        <f ca="1">IFERROR(__xludf.DUMMYFUNCTION("""COMPUTED_VALUE"""),"1768594272356")</f>
        <v>1768594272356</v>
      </c>
    </row>
    <row r="8232" spans="1:11" ht="12.45">
      <c r="A8232" s="2"/>
      <c r="C8232" s="2" t="str">
        <v>0</v>
      </c>
      <c r="F8232" s="2" t="str">
        <v>0</v>
      </c>
      <c r="I8232" s="3" t="str">
        <f ca="1">IFERROR(__xludf.DUMMYFUNCTION("""COMPUTED_VALUE"""),"Lê Thị Châu Anh")</f>
        <v>Lê Thị Châu Anh</v>
      </c>
      <c r="J8232" s="3" t="str">
        <f ca="1">IFERROR(__xludf.DUMMYFUNCTION("""COMPUTED_VALUE"""),"0345924728")</f>
        <v>0345924728</v>
      </c>
      <c r="K8232" s="2"/>
    </row>
    <row r="8233" spans="1:11" ht="12.45">
      <c r="A8233" s="2" t="str">
        <f ca="1">IFERROR(__xludf.DUMMYFUNCTION("""COMPUTED_VALUE"""),"1768594318761")</f>
        <v>1768594318761</v>
      </c>
      <c r="C8233" s="2" t="str">
        <v>0</v>
      </c>
      <c r="F8233" s="2" t="str">
        <v>0</v>
      </c>
      <c r="I8233" s="3" t="str">
        <f ca="1">IFERROR(__xludf.DUMMYFUNCTION("""COMPUTED_VALUE"""),"Lê Thu Phương ")</f>
        <v xml:space="preserve">Lê Thu Phương </v>
      </c>
      <c r="J8233" s="3" t="str">
        <f ca="1">IFERROR(__xludf.DUMMYFUNCTION("""COMPUTED_VALUE"""),"0974348081")</f>
        <v>0974348081</v>
      </c>
      <c r="K8233" s="2" t="str">
        <f ca="1">IFERROR(__xludf.DUMMYFUNCTION("""COMPUTED_VALUE"""),"1768594318761")</f>
        <v>1768594318761</v>
      </c>
    </row>
    <row r="8234" spans="1:11" ht="12.45">
      <c r="A8234" s="2" t="str">
        <f ca="1">IFERROR(__xludf.DUMMYFUNCTION("""COMPUTED_VALUE"""),"1768594373087")</f>
        <v>1768594373087</v>
      </c>
      <c r="C8234" s="2" t="str">
        <v>0</v>
      </c>
      <c r="F8234" s="2" t="str">
        <v>0</v>
      </c>
      <c r="I8234" s="3" t="str">
        <f ca="1">IFERROR(__xludf.DUMMYFUNCTION("""COMPUTED_VALUE"""),"Lê Quỳnh Chi")</f>
        <v>Lê Quỳnh Chi</v>
      </c>
      <c r="J8234" s="3" t="str">
        <f ca="1">IFERROR(__xludf.DUMMYFUNCTION("""COMPUTED_VALUE"""),"0911034329")</f>
        <v>0911034329</v>
      </c>
      <c r="K8234" s="2" t="str">
        <f ca="1">IFERROR(__xludf.DUMMYFUNCTION("""COMPUTED_VALUE"""),"1768594373087")</f>
        <v>1768594373087</v>
      </c>
    </row>
    <row r="8235" spans="1:11" ht="12.45">
      <c r="A8235" s="2" t="str">
        <f ca="1">IFERROR(__xludf.DUMMYFUNCTION("""COMPUTED_VALUE"""),"1768594458145")</f>
        <v>1768594458145</v>
      </c>
      <c r="C8235" s="2" t="str">
        <v>0</v>
      </c>
      <c r="F8235" s="2" t="str">
        <v>0</v>
      </c>
      <c r="I8235" s="3" t="str">
        <f ca="1">IFERROR(__xludf.DUMMYFUNCTION("""COMPUTED_VALUE"""),"Nguyễn Ngọc Hân")</f>
        <v>Nguyễn Ngọc Hân</v>
      </c>
      <c r="J8235" s="3" t="str">
        <f ca="1">IFERROR(__xludf.DUMMYFUNCTION("""COMPUTED_VALUE"""),"0829919574")</f>
        <v>0829919574</v>
      </c>
      <c r="K8235" s="2" t="str">
        <f ca="1">IFERROR(__xludf.DUMMYFUNCTION("""COMPUTED_VALUE"""),"1768594458145")</f>
        <v>1768594458145</v>
      </c>
    </row>
    <row r="8236" spans="1:11" ht="12.45">
      <c r="A8236" s="2" t="str">
        <f ca="1">IFERROR(__xludf.DUMMYFUNCTION("""COMPUTED_VALUE"""),"1768594514939")</f>
        <v>1768594514939</v>
      </c>
      <c r="C8236" s="2" t="str">
        <v>0</v>
      </c>
      <c r="F8236" s="2" t="str">
        <v>0</v>
      </c>
      <c r="I8236" s="3" t="str">
        <f ca="1">IFERROR(__xludf.DUMMYFUNCTION("""COMPUTED_VALUE"""),"Nguyễn Hữu Tình")</f>
        <v>Nguyễn Hữu Tình</v>
      </c>
      <c r="J8236" s="3" t="str">
        <f ca="1">IFERROR(__xludf.DUMMYFUNCTION("""COMPUTED_VALUE"""),"0372956469")</f>
        <v>0372956469</v>
      </c>
      <c r="K8236" s="2" t="str">
        <f ca="1">IFERROR(__xludf.DUMMYFUNCTION("""COMPUTED_VALUE"""),"1768594514939")</f>
        <v>1768594514939</v>
      </c>
    </row>
    <row r="8237" spans="1:11" ht="12.45">
      <c r="A8237" s="2" t="str">
        <f ca="1">IFERROR(__xludf.DUMMYFUNCTION("""COMPUTED_VALUE"""),"1768594588308")</f>
        <v>1768594588308</v>
      </c>
      <c r="C8237" s="2" t="str">
        <v>0</v>
      </c>
      <c r="F8237" s="2" t="str">
        <v>0</v>
      </c>
      <c r="I8237" s="3" t="str">
        <f ca="1">IFERROR(__xludf.DUMMYFUNCTION("""COMPUTED_VALUE"""),"Nguyễn Duy Phước ")</f>
        <v xml:space="preserve">Nguyễn Duy Phước </v>
      </c>
      <c r="J8237" s="3" t="str">
        <f ca="1">IFERROR(__xludf.DUMMYFUNCTION("""COMPUTED_VALUE"""),"0336946105")</f>
        <v>0336946105</v>
      </c>
      <c r="K8237" s="2" t="str">
        <f ca="1">IFERROR(__xludf.DUMMYFUNCTION("""COMPUTED_VALUE"""),"1768594588308")</f>
        <v>1768594588308</v>
      </c>
    </row>
    <row r="8238" spans="1:11" ht="12.45">
      <c r="A8238" s="2" t="str">
        <f ca="1">IFERROR(__xludf.DUMMYFUNCTION("""COMPUTED_VALUE"""),"1768594640819")</f>
        <v>1768594640819</v>
      </c>
      <c r="C8238" s="2" t="str">
        <v>0</v>
      </c>
      <c r="F8238" s="2" t="str">
        <v>0</v>
      </c>
      <c r="I8238" s="3" t="str">
        <f ca="1">IFERROR(__xludf.DUMMYFUNCTION("""COMPUTED_VALUE"""),"Hoàng Diệu Linh Chi")</f>
        <v>Hoàng Diệu Linh Chi</v>
      </c>
      <c r="J8238" s="3" t="str">
        <f ca="1">IFERROR(__xludf.DUMMYFUNCTION("""COMPUTED_VALUE"""),"0372356830")</f>
        <v>0372356830</v>
      </c>
      <c r="K8238" s="2" t="str">
        <f ca="1">IFERROR(__xludf.DUMMYFUNCTION("""COMPUTED_VALUE"""),"1768594640819")</f>
        <v>1768594640819</v>
      </c>
    </row>
    <row r="8239" spans="1:11" ht="12.45">
      <c r="A8239" s="2" t="str">
        <f ca="1">IFERROR(__xludf.DUMMYFUNCTION("""COMPUTED_VALUE"""),"1768594686801")</f>
        <v>1768594686801</v>
      </c>
      <c r="C8239" s="2" t="str">
        <v>0</v>
      </c>
      <c r="F8239" s="2" t="str">
        <v>0</v>
      </c>
      <c r="I8239" s="3" t="str">
        <f ca="1">IFERROR(__xludf.DUMMYFUNCTION("""COMPUTED_VALUE"""),"Hà Phúc Trường")</f>
        <v>Hà Phúc Trường</v>
      </c>
      <c r="J8239" s="3" t="str">
        <f ca="1">IFERROR(__xludf.DUMMYFUNCTION("""COMPUTED_VALUE"""),"0975558819")</f>
        <v>0975558819</v>
      </c>
      <c r="K8239" s="2" t="str">
        <f ca="1">IFERROR(__xludf.DUMMYFUNCTION("""COMPUTED_VALUE"""),"1768594686801")</f>
        <v>1768594686801</v>
      </c>
    </row>
    <row r="8240" spans="1:11" ht="12.45">
      <c r="A8240" s="2" t="str">
        <f ca="1">IFERROR(__xludf.DUMMYFUNCTION("""COMPUTED_VALUE"""),"1768594770970")</f>
        <v>1768594770970</v>
      </c>
      <c r="C8240" s="2" t="str">
        <v>0</v>
      </c>
      <c r="F8240" s="2" t="str">
        <v>0</v>
      </c>
      <c r="I8240" s="3" t="str">
        <f ca="1">IFERROR(__xludf.DUMMYFUNCTION("""COMPUTED_VALUE"""),"Hoàng Đặng Phúc Tâm")</f>
        <v>Hoàng Đặng Phúc Tâm</v>
      </c>
      <c r="J8240" s="3" t="str">
        <f ca="1">IFERROR(__xludf.DUMMYFUNCTION("""COMPUTED_VALUE"""),"0856200981")</f>
        <v>0856200981</v>
      </c>
      <c r="K8240" s="2" t="str">
        <f ca="1">IFERROR(__xludf.DUMMYFUNCTION("""COMPUTED_VALUE"""),"1768594770970")</f>
        <v>1768594770970</v>
      </c>
    </row>
    <row r="8241" spans="1:11" ht="12.45">
      <c r="A8241" s="2" t="str">
        <f ca="1">IFERROR(__xludf.DUMMYFUNCTION("""COMPUTED_VALUE"""),"1768594827289")</f>
        <v>1768594827289</v>
      </c>
      <c r="C8241" s="2" t="str">
        <v>0</v>
      </c>
      <c r="F8241" s="2" t="str">
        <v>0</v>
      </c>
      <c r="I8241" s="3" t="str">
        <f ca="1">IFERROR(__xludf.DUMMYFUNCTION("""COMPUTED_VALUE"""),"Phan Phương Nhung")</f>
        <v>Phan Phương Nhung</v>
      </c>
      <c r="J8241" s="3" t="str">
        <f ca="1">IFERROR(__xludf.DUMMYFUNCTION("""COMPUTED_VALUE"""),"0986496644")</f>
        <v>0986496644</v>
      </c>
      <c r="K8241" s="2" t="str">
        <f ca="1">IFERROR(__xludf.DUMMYFUNCTION("""COMPUTED_VALUE"""),"1768594827289")</f>
        <v>1768594827289</v>
      </c>
    </row>
    <row r="8242" spans="1:11" ht="12.45">
      <c r="A8242" s="2" t="str">
        <f ca="1">IFERROR(__xludf.DUMMYFUNCTION("""COMPUTED_VALUE"""),"1768594884134")</f>
        <v>1768594884134</v>
      </c>
      <c r="C8242" s="2" t="str">
        <v>0</v>
      </c>
      <c r="F8242" s="2" t="str">
        <v>0</v>
      </c>
      <c r="I8242" s="3" t="str">
        <f ca="1">IFERROR(__xludf.DUMMYFUNCTION("""COMPUTED_VALUE"""),"Giang Chính Nghĩa")</f>
        <v>Giang Chính Nghĩa</v>
      </c>
      <c r="J8242" s="3" t="str">
        <f ca="1">IFERROR(__xludf.DUMMYFUNCTION("""COMPUTED_VALUE"""),"0368684407")</f>
        <v>0368684407</v>
      </c>
      <c r="K8242" s="2" t="str">
        <f ca="1">IFERROR(__xludf.DUMMYFUNCTION("""COMPUTED_VALUE"""),"1768594884134")</f>
        <v>1768594884134</v>
      </c>
    </row>
    <row r="8243" spans="1:11" ht="12.45">
      <c r="A8243" s="2" t="str">
        <f ca="1">IFERROR(__xludf.DUMMYFUNCTION("""COMPUTED_VALUE"""),"1768594931425")</f>
        <v>1768594931425</v>
      </c>
      <c r="C8243" s="2" t="str">
        <v>0</v>
      </c>
      <c r="F8243" s="2" t="str">
        <v>0</v>
      </c>
      <c r="I8243" s="3" t="str">
        <f ca="1">IFERROR(__xludf.DUMMYFUNCTION("""COMPUTED_VALUE"""),"Đoàn Diệu Linh")</f>
        <v>Đoàn Diệu Linh</v>
      </c>
      <c r="J8243" s="3" t="str">
        <f ca="1">IFERROR(__xludf.DUMMYFUNCTION("""COMPUTED_VALUE"""),"0365280556")</f>
        <v>0365280556</v>
      </c>
      <c r="K8243" s="2" t="str">
        <f ca="1">IFERROR(__xludf.DUMMYFUNCTION("""COMPUTED_VALUE"""),"1768594931425")</f>
        <v>1768594931425</v>
      </c>
    </row>
    <row r="8244" spans="1:11" ht="12.45">
      <c r="A8244" s="2" t="str">
        <f ca="1">IFERROR(__xludf.DUMMYFUNCTION("""COMPUTED_VALUE"""),"1768595001187")</f>
        <v>1768595001187</v>
      </c>
      <c r="C8244" s="2" t="str">
        <v>0</v>
      </c>
      <c r="F8244" s="2" t="str">
        <v>0</v>
      </c>
      <c r="I8244" s="3" t="str">
        <f ca="1">IFERROR(__xludf.DUMMYFUNCTION("""COMPUTED_VALUE"""),"Đỗ Nguyễn Phương Thảo")</f>
        <v>Đỗ Nguyễn Phương Thảo</v>
      </c>
      <c r="J8244" s="3" t="str">
        <f ca="1">IFERROR(__xludf.DUMMYFUNCTION("""COMPUTED_VALUE"""),"0338449882")</f>
        <v>0338449882</v>
      </c>
      <c r="K8244" s="2" t="str">
        <f ca="1">IFERROR(__xludf.DUMMYFUNCTION("""COMPUTED_VALUE"""),"1768595001187")</f>
        <v>1768595001187</v>
      </c>
    </row>
    <row r="8245" spans="1:11" ht="12.45">
      <c r="A8245" s="2" t="str">
        <f ca="1">IFERROR(__xludf.DUMMYFUNCTION("""COMPUTED_VALUE"""),"1768595046097")</f>
        <v>1768595046097</v>
      </c>
      <c r="C8245" s="2" t="str">
        <v>0</v>
      </c>
      <c r="F8245" s="2" t="str">
        <v>0</v>
      </c>
      <c r="I8245" s="3" t="str">
        <f ca="1">IFERROR(__xludf.DUMMYFUNCTION("""COMPUTED_VALUE"""),"Trần Nhật Huy")</f>
        <v>Trần Nhật Huy</v>
      </c>
      <c r="J8245" s="3" t="str">
        <f ca="1">IFERROR(__xludf.DUMMYFUNCTION("""COMPUTED_VALUE"""),"0962961706")</f>
        <v>0962961706</v>
      </c>
      <c r="K8245" s="2" t="str">
        <f ca="1">IFERROR(__xludf.DUMMYFUNCTION("""COMPUTED_VALUE"""),"1768595046097")</f>
        <v>1768595046097</v>
      </c>
    </row>
    <row r="8246" spans="1:11" ht="12.45">
      <c r="A8246" s="2" t="str">
        <f ca="1">IFERROR(__xludf.DUMMYFUNCTION("""COMPUTED_VALUE"""),"1768595118637")</f>
        <v>1768595118637</v>
      </c>
      <c r="C8246" s="2" t="str">
        <v>0</v>
      </c>
      <c r="F8246" s="2" t="str">
        <v>0</v>
      </c>
      <c r="I8246" s="3" t="str">
        <f ca="1">IFERROR(__xludf.DUMMYFUNCTION("""COMPUTED_VALUE"""),"Nguyễn Lê Hoàng")</f>
        <v>Nguyễn Lê Hoàng</v>
      </c>
      <c r="J8246" s="3" t="str">
        <f ca="1">IFERROR(__xludf.DUMMYFUNCTION("""COMPUTED_VALUE"""),"0822832099")</f>
        <v>0822832099</v>
      </c>
      <c r="K8246" s="2" t="str">
        <f ca="1">IFERROR(__xludf.DUMMYFUNCTION("""COMPUTED_VALUE"""),"1768595118637")</f>
        <v>1768595118637</v>
      </c>
    </row>
    <row r="8247" spans="1:11" ht="12.45">
      <c r="A8247" s="2" t="str">
        <f ca="1">IFERROR(__xludf.DUMMYFUNCTION("""COMPUTED_VALUE"""),"1768595162453")</f>
        <v>1768595162453</v>
      </c>
      <c r="C8247" s="2" t="str">
        <v>0</v>
      </c>
      <c r="F8247" s="2" t="str">
        <v>0</v>
      </c>
      <c r="I8247" s="3" t="str">
        <f ca="1">IFERROR(__xludf.DUMMYFUNCTION("""COMPUTED_VALUE"""),"Mai Quỳnh Như ")</f>
        <v xml:space="preserve">Mai Quỳnh Như </v>
      </c>
      <c r="J8247" s="3" t="str">
        <f ca="1">IFERROR(__xludf.DUMMYFUNCTION("""COMPUTED_VALUE"""),"0909552517")</f>
        <v>0909552517</v>
      </c>
      <c r="K8247" s="2" t="str">
        <f ca="1">IFERROR(__xludf.DUMMYFUNCTION("""COMPUTED_VALUE"""),"1768595162453")</f>
        <v>1768595162453</v>
      </c>
    </row>
    <row r="8248" spans="1:11" ht="12.45">
      <c r="A8248" s="2" t="str">
        <f ca="1">IFERROR(__xludf.DUMMYFUNCTION("""COMPUTED_VALUE"""),"1768595257637")</f>
        <v>1768595257637</v>
      </c>
      <c r="C8248" s="2" t="str">
        <v>0</v>
      </c>
      <c r="F8248" s="2" t="str">
        <v>0</v>
      </c>
      <c r="I8248" s="3" t="str">
        <f ca="1">IFERROR(__xludf.DUMMYFUNCTION("""COMPUTED_VALUE"""),"Nguyễn Hoàng Mai Anh ")</f>
        <v xml:space="preserve">Nguyễn Hoàng Mai Anh </v>
      </c>
      <c r="J8248" s="3" t="str">
        <f ca="1">IFERROR(__xludf.DUMMYFUNCTION("""COMPUTED_VALUE"""),"0392373765")</f>
        <v>0392373765</v>
      </c>
      <c r="K8248" s="2" t="str">
        <f ca="1">IFERROR(__xludf.DUMMYFUNCTION("""COMPUTED_VALUE"""),"1768595257637")</f>
        <v>1768595257637</v>
      </c>
    </row>
    <row r="8249" spans="1:11" ht="12.45">
      <c r="A8249" s="2" t="str">
        <f ca="1">IFERROR(__xludf.DUMMYFUNCTION("""COMPUTED_VALUE"""),"1768595316386")</f>
        <v>1768595316386</v>
      </c>
      <c r="C8249" s="2" t="str">
        <v>0</v>
      </c>
      <c r="F8249" s="2" t="str">
        <v>0</v>
      </c>
      <c r="I8249" s="3" t="str">
        <f ca="1">IFERROR(__xludf.DUMMYFUNCTION("""COMPUTED_VALUE"""),"Lường Văn Mạnh")</f>
        <v>Lường Văn Mạnh</v>
      </c>
      <c r="J8249" s="3" t="str">
        <f ca="1">IFERROR(__xludf.DUMMYFUNCTION("""COMPUTED_VALUE"""),"0346853301")</f>
        <v>0346853301</v>
      </c>
      <c r="K8249" s="2" t="str">
        <f ca="1">IFERROR(__xludf.DUMMYFUNCTION("""COMPUTED_VALUE"""),"1768595316386")</f>
        <v>1768595316386</v>
      </c>
    </row>
    <row r="8250" spans="1:11" ht="12.45">
      <c r="A8250" s="2" t="str">
        <f ca="1">IFERROR(__xludf.DUMMYFUNCTION("""COMPUTED_VALUE"""),"1768595379798")</f>
        <v>1768595379798</v>
      </c>
      <c r="C8250" s="2" t="str">
        <v>0</v>
      </c>
      <c r="F8250" s="2" t="str">
        <v>0</v>
      </c>
      <c r="I8250" s="3" t="str">
        <f ca="1">IFERROR(__xludf.DUMMYFUNCTION("""COMPUTED_VALUE"""),"Lê Thị Phương Vy")</f>
        <v>Lê Thị Phương Vy</v>
      </c>
      <c r="J8250" s="3" t="str">
        <f ca="1">IFERROR(__xludf.DUMMYFUNCTION("""COMPUTED_VALUE"""),"0906537895")</f>
        <v>0906537895</v>
      </c>
      <c r="K8250" s="2" t="str">
        <f ca="1">IFERROR(__xludf.DUMMYFUNCTION("""COMPUTED_VALUE"""),"1768595379798")</f>
        <v>1768595379798</v>
      </c>
    </row>
    <row r="8251" spans="1:11" ht="12.45">
      <c r="A8251" s="2" t="str">
        <f ca="1">IFERROR(__xludf.DUMMYFUNCTION("""COMPUTED_VALUE"""),"1743766138040")</f>
        <v>1743766138040</v>
      </c>
      <c r="C8251" s="2" t="str">
        <v>0</v>
      </c>
      <c r="F8251" s="2" t="str">
        <v>0</v>
      </c>
      <c r="I8251" s="3" t="str">
        <f ca="1">IFERROR(__xludf.DUMMYFUNCTION("""COMPUTED_VALUE"""),"Nguyễn Ngọc Quỳnh Như")</f>
        <v>Nguyễn Ngọc Quỳnh Như</v>
      </c>
      <c r="J8251" s="3" t="str">
        <f ca="1">IFERROR(__xludf.DUMMYFUNCTION("""COMPUTED_VALUE"""),"0908574504")</f>
        <v>0908574504</v>
      </c>
      <c r="K8251" s="2" t="str">
        <f ca="1">IFERROR(__xludf.DUMMYFUNCTION("""COMPUTED_VALUE"""),"1743766138040")</f>
        <v>1743766138040</v>
      </c>
    </row>
    <row r="8252" spans="1:11" ht="12.45">
      <c r="A8252" s="2" t="str">
        <f ca="1">IFERROR(__xludf.DUMMYFUNCTION("""COMPUTED_VALUE"""),"1743766223159")</f>
        <v>1743766223159</v>
      </c>
      <c r="C8252" s="2" t="str">
        <v>0</v>
      </c>
      <c r="F8252" s="2" t="str">
        <v>0</v>
      </c>
      <c r="I8252" s="3" t="str">
        <f ca="1">IFERROR(__xludf.DUMMYFUNCTION("""COMPUTED_VALUE"""),"Bùi Minh Ánh")</f>
        <v>Bùi Minh Ánh</v>
      </c>
      <c r="J8252" s="3" t="str">
        <f ca="1">IFERROR(__xludf.DUMMYFUNCTION("""COMPUTED_VALUE"""),"0988664843")</f>
        <v>0988664843</v>
      </c>
      <c r="K8252" s="2" t="str">
        <f ca="1">IFERROR(__xludf.DUMMYFUNCTION("""COMPUTED_VALUE"""),"1743766223159")</f>
        <v>1743766223159</v>
      </c>
    </row>
    <row r="8253" spans="1:11" ht="12.45">
      <c r="A8253" s="2" t="str">
        <f ca="1">IFERROR(__xludf.DUMMYFUNCTION("""COMPUTED_VALUE"""),"1743766272159")</f>
        <v>1743766272159</v>
      </c>
      <c r="C8253" s="2" t="str">
        <v>0</v>
      </c>
      <c r="F8253" s="2" t="str">
        <v>0</v>
      </c>
      <c r="I8253" s="3" t="str">
        <f ca="1">IFERROR(__xludf.DUMMYFUNCTION("""COMPUTED_VALUE"""),"Nguyễn Tấn Lộc")</f>
        <v>Nguyễn Tấn Lộc</v>
      </c>
      <c r="J8253" s="3" t="str">
        <f ca="1">IFERROR(__xludf.DUMMYFUNCTION("""COMPUTED_VALUE"""),"0383751440")</f>
        <v>0383751440</v>
      </c>
      <c r="K8253" s="2" t="str">
        <f ca="1">IFERROR(__xludf.DUMMYFUNCTION("""COMPUTED_VALUE"""),"1743766272159")</f>
        <v>1743766272159</v>
      </c>
    </row>
    <row r="8254" spans="1:11" ht="12.45">
      <c r="A8254" s="2" t="str">
        <f ca="1">IFERROR(__xludf.DUMMYFUNCTION("""COMPUTED_VALUE"""),"1743766300863")</f>
        <v>1743766300863</v>
      </c>
      <c r="C8254" s="2" t="str">
        <v>0</v>
      </c>
      <c r="F8254" s="2" t="str">
        <v>0</v>
      </c>
      <c r="I8254" s="3" t="str">
        <f ca="1">IFERROR(__xludf.DUMMYFUNCTION("""COMPUTED_VALUE"""),"Nguyễn Bảo Uyên")</f>
        <v>Nguyễn Bảo Uyên</v>
      </c>
      <c r="J8254" s="3" t="str">
        <f ca="1">IFERROR(__xludf.DUMMYFUNCTION("""COMPUTED_VALUE"""),"0982693307")</f>
        <v>0982693307</v>
      </c>
      <c r="K8254" s="2" t="str">
        <f ca="1">IFERROR(__xludf.DUMMYFUNCTION("""COMPUTED_VALUE"""),"1743766300863")</f>
        <v>1743766300863</v>
      </c>
    </row>
    <row r="8255" spans="1:11" ht="12.45">
      <c r="A8255" s="2" t="str">
        <f ca="1">IFERROR(__xludf.DUMMYFUNCTION("""COMPUTED_VALUE"""),"1743766403164")</f>
        <v>1743766403164</v>
      </c>
      <c r="C8255" s="2" t="str">
        <v>0</v>
      </c>
      <c r="F8255" s="2" t="str">
        <v>0</v>
      </c>
      <c r="I8255" s="3" t="str">
        <f ca="1">IFERROR(__xludf.DUMMYFUNCTION("""COMPUTED_VALUE"""),"Nguyễn Lan Phương")</f>
        <v>Nguyễn Lan Phương</v>
      </c>
      <c r="J8255" s="3" t="str">
        <f ca="1">IFERROR(__xludf.DUMMYFUNCTION("""COMPUTED_VALUE"""),"0384224192")</f>
        <v>0384224192</v>
      </c>
      <c r="K8255" s="2" t="str">
        <f ca="1">IFERROR(__xludf.DUMMYFUNCTION("""COMPUTED_VALUE"""),"1743766403164")</f>
        <v>1743766403164</v>
      </c>
    </row>
    <row r="8256" spans="1:11" ht="12.45">
      <c r="A8256" s="2" t="str">
        <f ca="1">IFERROR(__xludf.DUMMYFUNCTION("""COMPUTED_VALUE"""),"1743766500212")</f>
        <v>1743766500212</v>
      </c>
      <c r="C8256" s="2" t="str">
        <v>0</v>
      </c>
      <c r="F8256" s="2" t="str">
        <v>0</v>
      </c>
      <c r="I8256" s="3" t="str">
        <f ca="1">IFERROR(__xludf.DUMMYFUNCTION("""COMPUTED_VALUE"""),"Nguyễn Phương Thảo")</f>
        <v>Nguyễn Phương Thảo</v>
      </c>
      <c r="J8256" s="3" t="str">
        <f ca="1">IFERROR(__xludf.DUMMYFUNCTION("""COMPUTED_VALUE"""),"0967764827")</f>
        <v>0967764827</v>
      </c>
      <c r="K8256" s="2" t="str">
        <f ca="1">IFERROR(__xludf.DUMMYFUNCTION("""COMPUTED_VALUE"""),"1743766500212")</f>
        <v>1743766500212</v>
      </c>
    </row>
    <row r="8257" spans="1:11" ht="12.45">
      <c r="A8257" s="2" t="str">
        <f ca="1">IFERROR(__xludf.DUMMYFUNCTION("""COMPUTED_VALUE"""),"1743766551291")</f>
        <v>1743766551291</v>
      </c>
      <c r="C8257" s="2" t="str">
        <v>0</v>
      </c>
      <c r="F8257" s="2" t="str">
        <v>0</v>
      </c>
      <c r="I8257" s="3" t="str">
        <f ca="1">IFERROR(__xludf.DUMMYFUNCTION("""COMPUTED_VALUE"""),"Nguyễn Thu Ngân ")</f>
        <v xml:space="preserve">Nguyễn Thu Ngân </v>
      </c>
      <c r="J8257" s="3" t="str">
        <f ca="1">IFERROR(__xludf.DUMMYFUNCTION("""COMPUTED_VALUE"""),"0393786855")</f>
        <v>0393786855</v>
      </c>
      <c r="K8257" s="2" t="str">
        <f ca="1">IFERROR(__xludf.DUMMYFUNCTION("""COMPUTED_VALUE"""),"1743766551291")</f>
        <v>1743766551291</v>
      </c>
    </row>
    <row r="8258" spans="1:11" ht="12.45">
      <c r="A8258" s="2" t="str">
        <f ca="1">IFERROR(__xludf.DUMMYFUNCTION("""COMPUTED_VALUE"""),"1743766611089")</f>
        <v>1743766611089</v>
      </c>
      <c r="C8258" s="2" t="str">
        <v>0</v>
      </c>
      <c r="F8258" s="2" t="str">
        <v>0</v>
      </c>
      <c r="I8258" s="3" t="str">
        <f ca="1">IFERROR(__xludf.DUMMYFUNCTION("""COMPUTED_VALUE"""),"Đặng Hồng Ngọc ")</f>
        <v xml:space="preserve">Đặng Hồng Ngọc </v>
      </c>
      <c r="J8258" s="3" t="str">
        <f ca="1">IFERROR(__xludf.DUMMYFUNCTION("""COMPUTED_VALUE"""),"0964642355")</f>
        <v>0964642355</v>
      </c>
      <c r="K8258" s="2" t="str">
        <f ca="1">IFERROR(__xludf.DUMMYFUNCTION("""COMPUTED_VALUE"""),"1743766611089")</f>
        <v>1743766611089</v>
      </c>
    </row>
    <row r="8259" spans="1:11" ht="12.45">
      <c r="A8259" s="2" t="str">
        <f ca="1">IFERROR(__xludf.DUMMYFUNCTION("""COMPUTED_VALUE"""),"1743766679906")</f>
        <v>1743766679906</v>
      </c>
      <c r="C8259" s="2" t="str">
        <v>0</v>
      </c>
      <c r="F8259" s="2" t="str">
        <v>0</v>
      </c>
      <c r="I8259" s="3" t="str">
        <f ca="1">IFERROR(__xludf.DUMMYFUNCTION("""COMPUTED_VALUE"""),"BÙI GIA HÙNG")</f>
        <v>BÙI GIA HÙNG</v>
      </c>
      <c r="J8259" s="3" t="str">
        <f ca="1">IFERROR(__xludf.DUMMYFUNCTION("""COMPUTED_VALUE"""),"0919709051")</f>
        <v>0919709051</v>
      </c>
      <c r="K8259" s="2" t="str">
        <f ca="1">IFERROR(__xludf.DUMMYFUNCTION("""COMPUTED_VALUE"""),"1743766679906")</f>
        <v>1743766679906</v>
      </c>
    </row>
    <row r="8260" spans="1:11" ht="12.45">
      <c r="A8260" s="2" t="str">
        <f ca="1">IFERROR(__xludf.DUMMYFUNCTION("""COMPUTED_VALUE"""),"1743766783105")</f>
        <v>1743766783105</v>
      </c>
      <c r="C8260" s="2" t="str">
        <v>0</v>
      </c>
      <c r="F8260" s="2" t="str">
        <v>0</v>
      </c>
      <c r="I8260" s="3" t="str">
        <f ca="1">IFERROR(__xludf.DUMMYFUNCTION("""COMPUTED_VALUE"""),"Phan Kim Yến Phương")</f>
        <v>Phan Kim Yến Phương</v>
      </c>
      <c r="J8260" s="3" t="str">
        <f ca="1">IFERROR(__xludf.DUMMYFUNCTION("""COMPUTED_VALUE"""),"0393941793")</f>
        <v>0393941793</v>
      </c>
      <c r="K8260" s="2" t="str">
        <f ca="1">IFERROR(__xludf.DUMMYFUNCTION("""COMPUTED_VALUE"""),"1743766783105")</f>
        <v>1743766783105</v>
      </c>
    </row>
    <row r="8261" spans="1:11" ht="12.45">
      <c r="A8261" s="2" t="str">
        <f ca="1">IFERROR(__xludf.DUMMYFUNCTION("""COMPUTED_VALUE"""),"1743766859597")</f>
        <v>1743766859597</v>
      </c>
      <c r="C8261" s="2" t="str">
        <v>0</v>
      </c>
      <c r="F8261" s="2" t="str">
        <v>0</v>
      </c>
      <c r="I8261" s="3" t="str">
        <f ca="1">IFERROR(__xludf.DUMMYFUNCTION("""COMPUTED_VALUE"""),"Lương Văn Thắng")</f>
        <v>Lương Văn Thắng</v>
      </c>
      <c r="J8261" s="3" t="str">
        <f ca="1">IFERROR(__xludf.DUMMYFUNCTION("""COMPUTED_VALUE"""),"0357413149")</f>
        <v>0357413149</v>
      </c>
      <c r="K8261" s="2" t="str">
        <f ca="1">IFERROR(__xludf.DUMMYFUNCTION("""COMPUTED_VALUE"""),"1743766859597")</f>
        <v>1743766859597</v>
      </c>
    </row>
    <row r="8262" spans="1:11" ht="12.45">
      <c r="A8262" s="2" t="str">
        <f ca="1">IFERROR(__xludf.DUMMYFUNCTION("""COMPUTED_VALUE"""),"1743766931955")</f>
        <v>1743766931955</v>
      </c>
      <c r="C8262" s="2" t="str">
        <v>0</v>
      </c>
      <c r="F8262" s="2" t="str">
        <v>0</v>
      </c>
      <c r="I8262" s="3" t="str">
        <f ca="1">IFERROR(__xludf.DUMMYFUNCTION("""COMPUTED_VALUE"""),"Ngô Huy Đoàn")</f>
        <v>Ngô Huy Đoàn</v>
      </c>
      <c r="J8262" s="3" t="str">
        <f ca="1">IFERROR(__xludf.DUMMYFUNCTION("""COMPUTED_VALUE"""),"0388578755")</f>
        <v>0388578755</v>
      </c>
      <c r="K8262" s="2" t="str">
        <f ca="1">IFERROR(__xludf.DUMMYFUNCTION("""COMPUTED_VALUE"""),"1743766931955")</f>
        <v>1743766931955</v>
      </c>
    </row>
    <row r="8263" spans="1:11" ht="12.45">
      <c r="A8263" s="2" t="str">
        <f ca="1">IFERROR(__xludf.DUMMYFUNCTION("""COMPUTED_VALUE"""),"1743766972445")</f>
        <v>1743766972445</v>
      </c>
      <c r="C8263" s="2" t="str">
        <v>0</v>
      </c>
      <c r="F8263" s="2" t="str">
        <v>0</v>
      </c>
      <c r="I8263" s="3" t="str">
        <f ca="1">IFERROR(__xludf.DUMMYFUNCTION("""COMPUTED_VALUE"""),"Hoàng Lê Anh Thư")</f>
        <v>Hoàng Lê Anh Thư</v>
      </c>
      <c r="J8263" s="3" t="str">
        <f ca="1">IFERROR(__xludf.DUMMYFUNCTION("""COMPUTED_VALUE"""),"0363820130")</f>
        <v>0363820130</v>
      </c>
      <c r="K8263" s="2" t="str">
        <f ca="1">IFERROR(__xludf.DUMMYFUNCTION("""COMPUTED_VALUE"""),"1743766972445")</f>
        <v>1743766972445</v>
      </c>
    </row>
    <row r="8264" spans="1:11" ht="12.45">
      <c r="A8264" s="2" t="str">
        <f ca="1">IFERROR(__xludf.DUMMYFUNCTION("""COMPUTED_VALUE"""),"1743767040519")</f>
        <v>1743767040519</v>
      </c>
      <c r="C8264" s="2" t="str">
        <v>0</v>
      </c>
      <c r="F8264" s="2" t="str">
        <v>0</v>
      </c>
      <c r="I8264" s="3" t="str">
        <f ca="1">IFERROR(__xludf.DUMMYFUNCTION("""COMPUTED_VALUE"""),"Thiều Nguyên Thịnh ")</f>
        <v xml:space="preserve">Thiều Nguyên Thịnh </v>
      </c>
      <c r="J8264" s="3" t="str">
        <f ca="1">IFERROR(__xludf.DUMMYFUNCTION("""COMPUTED_VALUE"""),"0326890224")</f>
        <v>0326890224</v>
      </c>
      <c r="K8264" s="2" t="str">
        <f ca="1">IFERROR(__xludf.DUMMYFUNCTION("""COMPUTED_VALUE"""),"1743767040519")</f>
        <v>1743767040519</v>
      </c>
    </row>
    <row r="8265" spans="1:11" ht="12.45">
      <c r="A8265" s="2" t="str">
        <f ca="1">IFERROR(__xludf.DUMMYFUNCTION("""COMPUTED_VALUE"""),"1743767149761")</f>
        <v>1743767149761</v>
      </c>
      <c r="C8265" s="2" t="str">
        <v>0</v>
      </c>
      <c r="F8265" s="2" t="str">
        <v>0</v>
      </c>
      <c r="I8265" s="3" t="str">
        <f ca="1">IFERROR(__xludf.DUMMYFUNCTION("""COMPUTED_VALUE"""),"Lê Ngọc Huyền Trân ")</f>
        <v xml:space="preserve">Lê Ngọc Huyền Trân </v>
      </c>
      <c r="J8265" s="3" t="str">
        <f ca="1">IFERROR(__xludf.DUMMYFUNCTION("""COMPUTED_VALUE"""),"0904112521")</f>
        <v>0904112521</v>
      </c>
      <c r="K8265" s="2" t="str">
        <f ca="1">IFERROR(__xludf.DUMMYFUNCTION("""COMPUTED_VALUE"""),"1743767149761")</f>
        <v>1743767149761</v>
      </c>
    </row>
    <row r="8266" spans="1:11" ht="12.45">
      <c r="A8266" s="2" t="str">
        <f ca="1">IFERROR(__xludf.DUMMYFUNCTION("""COMPUTED_VALUE"""),"1741508226287")</f>
        <v>1741508226287</v>
      </c>
      <c r="C8266" s="2" t="str">
        <v>0</v>
      </c>
      <c r="F8266" s="2" t="str">
        <v>0</v>
      </c>
      <c r="I8266" s="3" t="str">
        <f ca="1">IFERROR(__xludf.DUMMYFUNCTION("""COMPUTED_VALUE"""),"Lưu Đình Duy")</f>
        <v>Lưu Đình Duy</v>
      </c>
      <c r="J8266" s="3" t="str">
        <f ca="1">IFERROR(__xludf.DUMMYFUNCTION("""COMPUTED_VALUE"""),"0857149496")</f>
        <v>0857149496</v>
      </c>
      <c r="K8266" s="2" t="str">
        <f ca="1">IFERROR(__xludf.DUMMYFUNCTION("""COMPUTED_VALUE"""),"1741508226287")</f>
        <v>1741508226287</v>
      </c>
    </row>
    <row r="8267" spans="1:11" ht="12.45">
      <c r="A8267" s="2" t="str">
        <f ca="1">IFERROR(__xludf.DUMMYFUNCTION("""COMPUTED_VALUE"""),"1743767286941")</f>
        <v>1743767286941</v>
      </c>
      <c r="C8267" s="2" t="str">
        <v>0</v>
      </c>
      <c r="F8267" s="2" t="str">
        <v>0</v>
      </c>
      <c r="I8267" s="3" t="str">
        <f ca="1">IFERROR(__xludf.DUMMYFUNCTION("""COMPUTED_VALUE"""),"Phạm Phương Thảo")</f>
        <v>Phạm Phương Thảo</v>
      </c>
      <c r="J8267" s="3" t="str">
        <f ca="1">IFERROR(__xludf.DUMMYFUNCTION("""COMPUTED_VALUE"""),"0528048472")</f>
        <v>0528048472</v>
      </c>
      <c r="K8267" s="2" t="str">
        <f ca="1">IFERROR(__xludf.DUMMYFUNCTION("""COMPUTED_VALUE"""),"1743767286941")</f>
        <v>1743767286941</v>
      </c>
    </row>
    <row r="8268" spans="1:11" ht="12.45">
      <c r="A8268" s="2" t="str">
        <f ca="1">IFERROR(__xludf.DUMMYFUNCTION("""COMPUTED_VALUE"""),"1743767335157")</f>
        <v>1743767335157</v>
      </c>
      <c r="C8268" s="2" t="str">
        <v>0</v>
      </c>
      <c r="F8268" s="2" t="str">
        <v>0</v>
      </c>
      <c r="I8268" s="3" t="str">
        <f ca="1">IFERROR(__xludf.DUMMYFUNCTION("""COMPUTED_VALUE"""),"Nguyễn Ngọc Trúc Quyên")</f>
        <v>Nguyễn Ngọc Trúc Quyên</v>
      </c>
      <c r="J8268" s="3" t="str">
        <f ca="1">IFERROR(__xludf.DUMMYFUNCTION("""COMPUTED_VALUE"""),"0913797285")</f>
        <v>0913797285</v>
      </c>
      <c r="K8268" s="2" t="str">
        <f ca="1">IFERROR(__xludf.DUMMYFUNCTION("""COMPUTED_VALUE"""),"1743767335157")</f>
        <v>1743767335157</v>
      </c>
    </row>
    <row r="8269" spans="1:11" ht="12.45">
      <c r="A8269" s="2" t="str">
        <f ca="1">IFERROR(__xludf.DUMMYFUNCTION("""COMPUTED_VALUE"""),"1743767384961")</f>
        <v>1743767384961</v>
      </c>
      <c r="C8269" s="2" t="str">
        <v>0</v>
      </c>
      <c r="F8269" s="2" t="str">
        <v>0</v>
      </c>
      <c r="I8269" s="3" t="str">
        <f ca="1">IFERROR(__xludf.DUMMYFUNCTION("""COMPUTED_VALUE"""),"Lê Thúc Cát Tiên")</f>
        <v>Lê Thúc Cát Tiên</v>
      </c>
      <c r="J8269" s="3" t="str">
        <f ca="1">IFERROR(__xludf.DUMMYFUNCTION("""COMPUTED_VALUE"""),"0335006460")</f>
        <v>0335006460</v>
      </c>
      <c r="K8269" s="2" t="str">
        <f ca="1">IFERROR(__xludf.DUMMYFUNCTION("""COMPUTED_VALUE"""),"1743767384961")</f>
        <v>1743767384961</v>
      </c>
    </row>
    <row r="8270" spans="1:11" ht="12.45">
      <c r="A8270" s="2"/>
      <c r="C8270" s="2" t="str">
        <v>0</v>
      </c>
      <c r="F8270" s="2" t="str">
        <v>0</v>
      </c>
      <c r="I8270" s="3" t="str">
        <f ca="1">IFERROR(__xludf.DUMMYFUNCTION("""COMPUTED_VALUE"""),"Đỗ Xuân Tiến")</f>
        <v>Đỗ Xuân Tiến</v>
      </c>
      <c r="J8270" s="3" t="str">
        <f ca="1">IFERROR(__xludf.DUMMYFUNCTION("""COMPUTED_VALUE"""),"0986381329")</f>
        <v>0986381329</v>
      </c>
      <c r="K8270" s="2"/>
    </row>
    <row r="8271" spans="1:11" ht="12.45">
      <c r="A8271" s="2" t="str">
        <f ca="1">IFERROR(__xludf.DUMMYFUNCTION("""COMPUTED_VALUE"""),"1743767431635")</f>
        <v>1743767431635</v>
      </c>
      <c r="C8271" s="2" t="str">
        <v>0</v>
      </c>
      <c r="F8271" s="2" t="str">
        <v>0</v>
      </c>
      <c r="I8271" s="3" t="str">
        <f ca="1">IFERROR(__xludf.DUMMYFUNCTION("""COMPUTED_VALUE"""),"Nguyễn Minh Thư")</f>
        <v>Nguyễn Minh Thư</v>
      </c>
      <c r="J8271" s="3" t="str">
        <f ca="1">IFERROR(__xludf.DUMMYFUNCTION("""COMPUTED_VALUE"""),"0936003373")</f>
        <v>0936003373</v>
      </c>
      <c r="K8271" s="2" t="str">
        <f ca="1">IFERROR(__xludf.DUMMYFUNCTION("""COMPUTED_VALUE"""),"1743767431635")</f>
        <v>1743767431635</v>
      </c>
    </row>
    <row r="8272" spans="1:11" ht="12.45">
      <c r="A8272" s="2"/>
      <c r="C8272" s="2" t="str">
        <v>0</v>
      </c>
      <c r="F8272" s="2" t="str">
        <v>0</v>
      </c>
      <c r="I8272" s="3" t="str">
        <f ca="1">IFERROR(__xludf.DUMMYFUNCTION("""COMPUTED_VALUE"""),"Hoàng Thị Hà")</f>
        <v>Hoàng Thị Hà</v>
      </c>
      <c r="J8272" s="3" t="str">
        <f ca="1">IFERROR(__xludf.DUMMYFUNCTION("""COMPUTED_VALUE"""),"0385280309")</f>
        <v>0385280309</v>
      </c>
      <c r="K8272" s="2"/>
    </row>
    <row r="8273" spans="1:11" ht="12.45">
      <c r="A8273" s="2" t="str">
        <f ca="1">IFERROR(__xludf.DUMMYFUNCTION("""COMPUTED_VALUE"""),"1743767475147")</f>
        <v>1743767475147</v>
      </c>
      <c r="C8273" s="2" t="str">
        <v>0</v>
      </c>
      <c r="F8273" s="2" t="str">
        <v>0</v>
      </c>
      <c r="I8273" s="3" t="str">
        <f ca="1">IFERROR(__xludf.DUMMYFUNCTION("""COMPUTED_VALUE"""),"Đinh Thị Trang My")</f>
        <v>Đinh Thị Trang My</v>
      </c>
      <c r="J8273" s="3" t="str">
        <f ca="1">IFERROR(__xludf.DUMMYFUNCTION("""COMPUTED_VALUE"""),"0982351564")</f>
        <v>0982351564</v>
      </c>
      <c r="K8273" s="2" t="str">
        <f ca="1">IFERROR(__xludf.DUMMYFUNCTION("""COMPUTED_VALUE"""),"1743767475147")</f>
        <v>1743767475147</v>
      </c>
    </row>
    <row r="8274" spans="1:11" ht="12.45">
      <c r="A8274" s="2" t="str">
        <f ca="1">IFERROR(__xludf.DUMMYFUNCTION("""COMPUTED_VALUE"""),"1743767525402")</f>
        <v>1743767525402</v>
      </c>
      <c r="C8274" s="2" t="str">
        <v>0</v>
      </c>
      <c r="F8274" s="2" t="str">
        <v>0</v>
      </c>
      <c r="I8274" s="3" t="str">
        <f ca="1">IFERROR(__xludf.DUMMYFUNCTION("""COMPUTED_VALUE"""),"nguyễn thị mai duyên")</f>
        <v>nguyễn thị mai duyên</v>
      </c>
      <c r="J8274" s="3" t="str">
        <f ca="1">IFERROR(__xludf.DUMMYFUNCTION("""COMPUTED_VALUE"""),"0337166043")</f>
        <v>0337166043</v>
      </c>
      <c r="K8274" s="2" t="str">
        <f ca="1">IFERROR(__xludf.DUMMYFUNCTION("""COMPUTED_VALUE"""),"1743767525402")</f>
        <v>1743767525402</v>
      </c>
    </row>
    <row r="8275" spans="1:11" ht="12.45">
      <c r="A8275" s="2" t="str">
        <f ca="1">IFERROR(__xludf.DUMMYFUNCTION("""COMPUTED_VALUE"""),"1743767556139")</f>
        <v>1743767556139</v>
      </c>
      <c r="C8275" s="2" t="str">
        <v>0</v>
      </c>
      <c r="F8275" s="2" t="str">
        <v>0</v>
      </c>
      <c r="I8275" s="3" t="str">
        <f ca="1">IFERROR(__xludf.DUMMYFUNCTION("""COMPUTED_VALUE"""),"Đỗ Quỳnh Trang")</f>
        <v>Đỗ Quỳnh Trang</v>
      </c>
      <c r="J8275" s="3" t="str">
        <f ca="1">IFERROR(__xludf.DUMMYFUNCTION("""COMPUTED_VALUE"""),"0968413807")</f>
        <v>0968413807</v>
      </c>
      <c r="K8275" s="2" t="str">
        <f ca="1">IFERROR(__xludf.DUMMYFUNCTION("""COMPUTED_VALUE"""),"1743767556139")</f>
        <v>1743767556139</v>
      </c>
    </row>
    <row r="8276" spans="1:11" ht="12.45">
      <c r="A8276" s="2" t="str">
        <f ca="1">IFERROR(__xludf.DUMMYFUNCTION("""COMPUTED_VALUE"""),"1743767598746")</f>
        <v>1743767598746</v>
      </c>
      <c r="C8276" s="2" t="str">
        <v>0</v>
      </c>
      <c r="F8276" s="2" t="str">
        <v>0</v>
      </c>
      <c r="I8276" s="3" t="str">
        <f ca="1">IFERROR(__xludf.DUMMYFUNCTION("""COMPUTED_VALUE"""),"Võ Hà Mai Phương")</f>
        <v>Võ Hà Mai Phương</v>
      </c>
      <c r="J8276" s="3" t="str">
        <f ca="1">IFERROR(__xludf.DUMMYFUNCTION("""COMPUTED_VALUE"""),"0917472589")</f>
        <v>0917472589</v>
      </c>
      <c r="K8276" s="2" t="str">
        <f ca="1">IFERROR(__xludf.DUMMYFUNCTION("""COMPUTED_VALUE"""),"1743767598746")</f>
        <v>1743767598746</v>
      </c>
    </row>
    <row r="8277" spans="1:11" ht="12.45">
      <c r="A8277" s="2" t="str">
        <f ca="1">IFERROR(__xludf.DUMMYFUNCTION("""COMPUTED_VALUE"""),"1743767636585")</f>
        <v>1743767636585</v>
      </c>
      <c r="C8277" s="2" t="str">
        <v>0</v>
      </c>
      <c r="F8277" s="2" t="str">
        <v>0</v>
      </c>
      <c r="I8277" s="3" t="str">
        <f ca="1">IFERROR(__xludf.DUMMYFUNCTION("""COMPUTED_VALUE"""),"Nguyễn Vân Dung")</f>
        <v>Nguyễn Vân Dung</v>
      </c>
      <c r="J8277" s="3" t="str">
        <f ca="1">IFERROR(__xludf.DUMMYFUNCTION("""COMPUTED_VALUE"""),"0333733174")</f>
        <v>0333733174</v>
      </c>
      <c r="K8277" s="2" t="str">
        <f ca="1">IFERROR(__xludf.DUMMYFUNCTION("""COMPUTED_VALUE"""),"1743767636585")</f>
        <v>1743767636585</v>
      </c>
    </row>
    <row r="8278" spans="1:11" ht="12.45">
      <c r="A8278" s="2" t="str">
        <f ca="1">IFERROR(__xludf.DUMMYFUNCTION("""COMPUTED_VALUE"""),"1743767674894")</f>
        <v>1743767674894</v>
      </c>
      <c r="C8278" s="2" t="str">
        <v>0</v>
      </c>
      <c r="F8278" s="2" t="str">
        <v>0</v>
      </c>
      <c r="I8278" s="3" t="str">
        <f ca="1">IFERROR(__xludf.DUMMYFUNCTION("""COMPUTED_VALUE"""),"Nguyễn văn Trình")</f>
        <v>Nguyễn văn Trình</v>
      </c>
      <c r="J8278" s="3" t="str">
        <f ca="1">IFERROR(__xludf.DUMMYFUNCTION("""COMPUTED_VALUE"""),"0326703020")</f>
        <v>0326703020</v>
      </c>
      <c r="K8278" s="2" t="str">
        <f ca="1">IFERROR(__xludf.DUMMYFUNCTION("""COMPUTED_VALUE"""),"1743767674894")</f>
        <v>1743767674894</v>
      </c>
    </row>
    <row r="8279" spans="1:11" ht="12.45">
      <c r="A8279" s="2" t="str">
        <f ca="1">IFERROR(__xludf.DUMMYFUNCTION("""COMPUTED_VALUE"""),"1743767715117")</f>
        <v>1743767715117</v>
      </c>
      <c r="C8279" s="2" t="str">
        <v>0</v>
      </c>
      <c r="F8279" s="2" t="str">
        <v>0</v>
      </c>
      <c r="I8279" s="3" t="str">
        <f ca="1">IFERROR(__xludf.DUMMYFUNCTION("""COMPUTED_VALUE"""),"Nguyễn Thị Ý Nhi")</f>
        <v>Nguyễn Thị Ý Nhi</v>
      </c>
      <c r="J8279" s="3" t="str">
        <f ca="1">IFERROR(__xludf.DUMMYFUNCTION("""COMPUTED_VALUE"""),"0329631243")</f>
        <v>0329631243</v>
      </c>
      <c r="K8279" s="2" t="str">
        <f ca="1">IFERROR(__xludf.DUMMYFUNCTION("""COMPUTED_VALUE"""),"1743767715117")</f>
        <v>1743767715117</v>
      </c>
    </row>
    <row r="8280" spans="1:11" ht="12.45">
      <c r="A8280" s="2"/>
      <c r="C8280" s="2" t="str">
        <v>0</v>
      </c>
      <c r="F8280" s="2" t="str">
        <v>0</v>
      </c>
      <c r="I8280" s="3" t="str">
        <f ca="1">IFERROR(__xludf.DUMMYFUNCTION("""COMPUTED_VALUE"""),"Châu Thị Hiền Thanh ")</f>
        <v xml:space="preserve">Châu Thị Hiền Thanh </v>
      </c>
      <c r="J8280" s="3" t="str">
        <f ca="1">IFERROR(__xludf.DUMMYFUNCTION("""COMPUTED_VALUE"""),"0857052075")</f>
        <v>0857052075</v>
      </c>
      <c r="K8280" s="2"/>
    </row>
    <row r="8281" spans="1:11" ht="12.45">
      <c r="A8281" s="2"/>
      <c r="C8281" s="2" t="str">
        <v>0</v>
      </c>
      <c r="F8281" s="2" t="str">
        <v>0</v>
      </c>
      <c r="I8281" s="3" t="str">
        <f ca="1">IFERROR(__xludf.DUMMYFUNCTION("""COMPUTED_VALUE"""),"Đặng Quỳnh Hương ")</f>
        <v xml:space="preserve">Đặng Quỳnh Hương </v>
      </c>
      <c r="J8281" s="3" t="str">
        <f ca="1">IFERROR(__xludf.DUMMYFUNCTION("""COMPUTED_VALUE"""),"0388448741")</f>
        <v>0388448741</v>
      </c>
      <c r="K8281" s="2"/>
    </row>
    <row r="8282" spans="1:11" ht="12.45">
      <c r="A8282" s="2" t="str">
        <f ca="1">IFERROR(__xludf.DUMMYFUNCTION("""COMPUTED_VALUE"""),"1743767783299")</f>
        <v>1743767783299</v>
      </c>
      <c r="C8282" s="2" t="str">
        <v>0</v>
      </c>
      <c r="F8282" s="2" t="str">
        <v>0</v>
      </c>
      <c r="I8282" s="3" t="str">
        <f ca="1">IFERROR(__xludf.DUMMYFUNCTION("""COMPUTED_VALUE"""),"Trần Nguyễn Gia Quyên")</f>
        <v>Trần Nguyễn Gia Quyên</v>
      </c>
      <c r="J8282" s="3" t="str">
        <f ca="1">IFERROR(__xludf.DUMMYFUNCTION("""COMPUTED_VALUE"""),"0977629950")</f>
        <v>0977629950</v>
      </c>
      <c r="K8282" s="2" t="str">
        <f ca="1">IFERROR(__xludf.DUMMYFUNCTION("""COMPUTED_VALUE"""),"1743767783299")</f>
        <v>1743767783299</v>
      </c>
    </row>
    <row r="8283" spans="1:11" ht="12.45">
      <c r="A8283" s="2" t="str">
        <f ca="1">IFERROR(__xludf.DUMMYFUNCTION("""COMPUTED_VALUE"""),"1743767833083")</f>
        <v>1743767833083</v>
      </c>
      <c r="C8283" s="2" t="str">
        <v>0</v>
      </c>
      <c r="F8283" s="2" t="str">
        <v>0</v>
      </c>
      <c r="I8283" s="3" t="str">
        <f ca="1">IFERROR(__xludf.DUMMYFUNCTION("""COMPUTED_VALUE"""),"Trần Thị Diễm Trang")</f>
        <v>Trần Thị Diễm Trang</v>
      </c>
      <c r="J8283" s="3" t="str">
        <f ca="1">IFERROR(__xludf.DUMMYFUNCTION("""COMPUTED_VALUE"""),"0888366407")</f>
        <v>0888366407</v>
      </c>
      <c r="K8283" s="2" t="str">
        <f ca="1">IFERROR(__xludf.DUMMYFUNCTION("""COMPUTED_VALUE"""),"1743767833083")</f>
        <v>1743767833083</v>
      </c>
    </row>
    <row r="8284" spans="1:11" ht="12.45">
      <c r="A8284" s="2" t="str">
        <f ca="1">IFERROR(__xludf.DUMMYFUNCTION("""COMPUTED_VALUE"""),"1743767870368")</f>
        <v>1743767870368</v>
      </c>
      <c r="C8284" s="2" t="str">
        <v>0</v>
      </c>
      <c r="F8284" s="2" t="str">
        <v>0</v>
      </c>
      <c r="I8284" s="3" t="str">
        <f ca="1">IFERROR(__xludf.DUMMYFUNCTION("""COMPUTED_VALUE"""),"Phan Ngọc Xuân Mai")</f>
        <v>Phan Ngọc Xuân Mai</v>
      </c>
      <c r="J8284" s="3" t="str">
        <f ca="1">IFERROR(__xludf.DUMMYFUNCTION("""COMPUTED_VALUE"""),"0918426169")</f>
        <v>0918426169</v>
      </c>
      <c r="K8284" s="2" t="str">
        <f ca="1">IFERROR(__xludf.DUMMYFUNCTION("""COMPUTED_VALUE"""),"1743767870368")</f>
        <v>1743767870368</v>
      </c>
    </row>
    <row r="8285" spans="1:11" ht="12.45">
      <c r="A8285" s="2" t="str">
        <f ca="1">IFERROR(__xludf.DUMMYFUNCTION("""COMPUTED_VALUE"""),"1743767940238")</f>
        <v>1743767940238</v>
      </c>
      <c r="C8285" s="2" t="str">
        <v>0</v>
      </c>
      <c r="F8285" s="2" t="str">
        <v>0</v>
      </c>
      <c r="I8285" s="3" t="str">
        <f ca="1">IFERROR(__xludf.DUMMYFUNCTION("""COMPUTED_VALUE"""),"Đinh Diệu Vy ")</f>
        <v xml:space="preserve">Đinh Diệu Vy </v>
      </c>
      <c r="J8285" s="3" t="str">
        <f ca="1">IFERROR(__xludf.DUMMYFUNCTION("""COMPUTED_VALUE"""),"0376514527")</f>
        <v>0376514527</v>
      </c>
      <c r="K8285" s="2" t="str">
        <f ca="1">IFERROR(__xludf.DUMMYFUNCTION("""COMPUTED_VALUE"""),"1743767940238")</f>
        <v>1743767940238</v>
      </c>
    </row>
    <row r="8286" spans="1:11" ht="12.45">
      <c r="A8286" s="2" t="str">
        <f ca="1">IFERROR(__xludf.DUMMYFUNCTION("""COMPUTED_VALUE"""),"1743767998566")</f>
        <v>1743767998566</v>
      </c>
      <c r="C8286" s="2" t="str">
        <v>0</v>
      </c>
      <c r="F8286" s="2" t="str">
        <v>0</v>
      </c>
      <c r="I8286" s="3" t="str">
        <f ca="1">IFERROR(__xludf.DUMMYFUNCTION("""COMPUTED_VALUE"""),"Nguyễn Hoàng Thiên Phú")</f>
        <v>Nguyễn Hoàng Thiên Phú</v>
      </c>
      <c r="J8286" s="3" t="str">
        <f ca="1">IFERROR(__xludf.DUMMYFUNCTION("""COMPUTED_VALUE"""),"0353853059")</f>
        <v>0353853059</v>
      </c>
      <c r="K8286" s="2" t="str">
        <f ca="1">IFERROR(__xludf.DUMMYFUNCTION("""COMPUTED_VALUE"""),"1743767998566")</f>
        <v>1743767998566</v>
      </c>
    </row>
    <row r="8287" spans="1:11" ht="12.45">
      <c r="A8287" s="2" t="str">
        <f ca="1">IFERROR(__xludf.DUMMYFUNCTION("""COMPUTED_VALUE"""),"1743768080714")</f>
        <v>1743768080714</v>
      </c>
      <c r="C8287" s="2" t="str">
        <v>0</v>
      </c>
      <c r="F8287" s="2" t="str">
        <v>0</v>
      </c>
      <c r="I8287" s="3" t="str">
        <f ca="1">IFERROR(__xludf.DUMMYFUNCTION("""COMPUTED_VALUE"""),"Nguyễn Ngọc Thuý Oanh")</f>
        <v>Nguyễn Ngọc Thuý Oanh</v>
      </c>
      <c r="J8287" s="3" t="str">
        <f ca="1">IFERROR(__xludf.DUMMYFUNCTION("""COMPUTED_VALUE"""),"0372605217")</f>
        <v>0372605217</v>
      </c>
      <c r="K8287" s="2" t="str">
        <f ca="1">IFERROR(__xludf.DUMMYFUNCTION("""COMPUTED_VALUE"""),"1743768080714")</f>
        <v>1743768080714</v>
      </c>
    </row>
    <row r="8288" spans="1:11" ht="12.45">
      <c r="A8288" s="2" t="str">
        <f ca="1">IFERROR(__xludf.DUMMYFUNCTION("""COMPUTED_VALUE"""),"1743768159326")</f>
        <v>1743768159326</v>
      </c>
      <c r="C8288" s="2" t="str">
        <v>0</v>
      </c>
      <c r="F8288" s="2" t="str">
        <v>0</v>
      </c>
      <c r="I8288" s="3" t="str">
        <f ca="1">IFERROR(__xludf.DUMMYFUNCTION("""COMPUTED_VALUE"""),"NGUYỄN PHƯƠNG THẢO ")</f>
        <v xml:space="preserve">NGUYỄN PHƯƠNG THẢO </v>
      </c>
      <c r="J8288" s="3" t="str">
        <f ca="1">IFERROR(__xludf.DUMMYFUNCTION("""COMPUTED_VALUE"""),"0914807312")</f>
        <v>0914807312</v>
      </c>
      <c r="K8288" s="2" t="str">
        <f ca="1">IFERROR(__xludf.DUMMYFUNCTION("""COMPUTED_VALUE"""),"1743768159326")</f>
        <v>1743768159326</v>
      </c>
    </row>
    <row r="8289" spans="1:11" ht="12.45">
      <c r="A8289" s="2" t="str">
        <f ca="1">IFERROR(__xludf.DUMMYFUNCTION("""COMPUTED_VALUE"""),"1743768244512")</f>
        <v>1743768244512</v>
      </c>
      <c r="C8289" s="2" t="str">
        <v>0</v>
      </c>
      <c r="F8289" s="2" t="str">
        <v>0</v>
      </c>
      <c r="I8289" s="3" t="str">
        <f ca="1">IFERROR(__xludf.DUMMYFUNCTION("""COMPUTED_VALUE"""),"Đàm Thị Phương Thanh ")</f>
        <v xml:space="preserve">Đàm Thị Phương Thanh </v>
      </c>
      <c r="J8289" s="3" t="str">
        <f ca="1">IFERROR(__xludf.DUMMYFUNCTION("""COMPUTED_VALUE"""),"0976521901")</f>
        <v>0976521901</v>
      </c>
      <c r="K8289" s="2" t="str">
        <f ca="1">IFERROR(__xludf.DUMMYFUNCTION("""COMPUTED_VALUE"""),"1743768244512")</f>
        <v>1743768244512</v>
      </c>
    </row>
    <row r="8290" spans="1:11" ht="12.45">
      <c r="A8290" s="2" t="str">
        <f ca="1">IFERROR(__xludf.DUMMYFUNCTION("""COMPUTED_VALUE"""),"1743768302400")</f>
        <v>1743768302400</v>
      </c>
      <c r="C8290" s="2" t="str">
        <v>0</v>
      </c>
      <c r="F8290" s="2" t="str">
        <v>0</v>
      </c>
      <c r="I8290" s="3" t="str">
        <f ca="1">IFERROR(__xludf.DUMMYFUNCTION("""COMPUTED_VALUE"""),"Phạm Đỗ Minh Anh")</f>
        <v>Phạm Đỗ Minh Anh</v>
      </c>
      <c r="J8290" s="3" t="str">
        <f ca="1">IFERROR(__xludf.DUMMYFUNCTION("""COMPUTED_VALUE"""),"0369178063")</f>
        <v>0369178063</v>
      </c>
      <c r="K8290" s="2" t="str">
        <f ca="1">IFERROR(__xludf.DUMMYFUNCTION("""COMPUTED_VALUE"""),"1743768302400")</f>
        <v>1743768302400</v>
      </c>
    </row>
    <row r="8291" spans="1:11" ht="12.45">
      <c r="A8291" s="2" t="str">
        <f ca="1">IFERROR(__xludf.DUMMYFUNCTION("""COMPUTED_VALUE"""),"1743768374253")</f>
        <v>1743768374253</v>
      </c>
      <c r="C8291" s="2" t="str">
        <v>0</v>
      </c>
      <c r="F8291" s="2" t="str">
        <v>0</v>
      </c>
      <c r="I8291" s="3" t="str">
        <f ca="1">IFERROR(__xludf.DUMMYFUNCTION("""COMPUTED_VALUE"""),"Trần Diệp Chi")</f>
        <v>Trần Diệp Chi</v>
      </c>
      <c r="J8291" s="3" t="str">
        <f ca="1">IFERROR(__xludf.DUMMYFUNCTION("""COMPUTED_VALUE"""),"0948325360")</f>
        <v>0948325360</v>
      </c>
      <c r="K8291" s="2" t="str">
        <f ca="1">IFERROR(__xludf.DUMMYFUNCTION("""COMPUTED_VALUE"""),"1743768374253")</f>
        <v>1743768374253</v>
      </c>
    </row>
    <row r="8292" spans="1:11" ht="12.45">
      <c r="A8292" s="2" t="str">
        <f ca="1">IFERROR(__xludf.DUMMYFUNCTION("""COMPUTED_VALUE"""),"1743768432602")</f>
        <v>1743768432602</v>
      </c>
      <c r="C8292" s="2" t="str">
        <v>0</v>
      </c>
      <c r="F8292" s="2" t="str">
        <v>0</v>
      </c>
      <c r="I8292" s="3" t="str">
        <f ca="1">IFERROR(__xludf.DUMMYFUNCTION("""COMPUTED_VALUE"""),"Nguyễn Thị Hà Giang ")</f>
        <v xml:space="preserve">Nguyễn Thị Hà Giang </v>
      </c>
      <c r="J8292" s="3" t="str">
        <f ca="1">IFERROR(__xludf.DUMMYFUNCTION("""COMPUTED_VALUE"""),"0961332945")</f>
        <v>0961332945</v>
      </c>
      <c r="K8292" s="2" t="str">
        <f ca="1">IFERROR(__xludf.DUMMYFUNCTION("""COMPUTED_VALUE"""),"1743768432602")</f>
        <v>1743768432602</v>
      </c>
    </row>
    <row r="8293" spans="1:11" ht="12.45">
      <c r="A8293" s="2" t="str">
        <f ca="1">IFERROR(__xludf.DUMMYFUNCTION("""COMPUTED_VALUE"""),"1743768504839")</f>
        <v>1743768504839</v>
      </c>
      <c r="C8293" s="2" t="str">
        <v>0</v>
      </c>
      <c r="F8293" s="2" t="str">
        <v>0</v>
      </c>
      <c r="I8293" s="3" t="str">
        <f ca="1">IFERROR(__xludf.DUMMYFUNCTION("""COMPUTED_VALUE"""),"Nguyễn Lê Bảo Uyên")</f>
        <v>Nguyễn Lê Bảo Uyên</v>
      </c>
      <c r="J8293" s="3" t="str">
        <f ca="1">IFERROR(__xludf.DUMMYFUNCTION("""COMPUTED_VALUE"""),"0387143524")</f>
        <v>0387143524</v>
      </c>
      <c r="K8293" s="2" t="str">
        <f ca="1">IFERROR(__xludf.DUMMYFUNCTION("""COMPUTED_VALUE"""),"1743768504839")</f>
        <v>1743768504839</v>
      </c>
    </row>
    <row r="8294" spans="1:11" ht="12.45">
      <c r="A8294" s="2" t="str">
        <f ca="1">IFERROR(__xludf.DUMMYFUNCTION("""COMPUTED_VALUE"""),"1743768577608")</f>
        <v>1743768577608</v>
      </c>
      <c r="C8294" s="2" t="str">
        <v>0</v>
      </c>
      <c r="F8294" s="2" t="str">
        <v>0</v>
      </c>
      <c r="I8294" s="3" t="str">
        <f ca="1">IFERROR(__xludf.DUMMYFUNCTION("""COMPUTED_VALUE"""),"Phạm Hồng Yên")</f>
        <v>Phạm Hồng Yên</v>
      </c>
      <c r="J8294" s="3" t="str">
        <f ca="1">IFERROR(__xludf.DUMMYFUNCTION("""COMPUTED_VALUE"""),"0939639097")</f>
        <v>0939639097</v>
      </c>
      <c r="K8294" s="2" t="str">
        <f ca="1">IFERROR(__xludf.DUMMYFUNCTION("""COMPUTED_VALUE"""),"1743768577608")</f>
        <v>1743768577608</v>
      </c>
    </row>
    <row r="8295" spans="1:11" ht="12.45">
      <c r="A8295" s="2" t="str">
        <f ca="1">IFERROR(__xludf.DUMMYFUNCTION("""COMPUTED_VALUE"""),"1743768716665")</f>
        <v>1743768716665</v>
      </c>
      <c r="C8295" s="2" t="str">
        <v>0</v>
      </c>
      <c r="F8295" s="2" t="str">
        <v>0</v>
      </c>
      <c r="I8295" s="3" t="str">
        <f ca="1">IFERROR(__xludf.DUMMYFUNCTION("""COMPUTED_VALUE"""),"Bùi Quốc Thiện ")</f>
        <v xml:space="preserve">Bùi Quốc Thiện </v>
      </c>
      <c r="J8295" s="3" t="str">
        <f ca="1">IFERROR(__xludf.DUMMYFUNCTION("""COMPUTED_VALUE"""),"0356009706")</f>
        <v>0356009706</v>
      </c>
      <c r="K8295" s="2" t="str">
        <f ca="1">IFERROR(__xludf.DUMMYFUNCTION("""COMPUTED_VALUE"""),"1743768716665")</f>
        <v>1743768716665</v>
      </c>
    </row>
    <row r="8296" spans="1:11" ht="12.45">
      <c r="A8296" s="2" t="str">
        <f ca="1">IFERROR(__xludf.DUMMYFUNCTION("""COMPUTED_VALUE"""),"1743768782080")</f>
        <v>1743768782080</v>
      </c>
      <c r="C8296" s="2" t="str">
        <v>0</v>
      </c>
      <c r="F8296" s="2" t="str">
        <v>0</v>
      </c>
      <c r="I8296" s="3" t="str">
        <f ca="1">IFERROR(__xludf.DUMMYFUNCTION("""COMPUTED_VALUE"""),"Nguyễn Lê Cẩm Tú ")</f>
        <v xml:space="preserve">Nguyễn Lê Cẩm Tú </v>
      </c>
      <c r="J8296" s="3" t="str">
        <f ca="1">IFERROR(__xludf.DUMMYFUNCTION("""COMPUTED_VALUE"""),"0762616591")</f>
        <v>0762616591</v>
      </c>
      <c r="K8296" s="2" t="str">
        <f ca="1">IFERROR(__xludf.DUMMYFUNCTION("""COMPUTED_VALUE"""),"1743768782080")</f>
        <v>1743768782080</v>
      </c>
    </row>
    <row r="8297" spans="1:11" ht="12.45">
      <c r="A8297" s="2" t="str">
        <f ca="1">IFERROR(__xludf.DUMMYFUNCTION("""COMPUTED_VALUE"""),"1743768835554")</f>
        <v>1743768835554</v>
      </c>
      <c r="C8297" s="2" t="str">
        <v>0</v>
      </c>
      <c r="F8297" s="2" t="str">
        <v>0</v>
      </c>
      <c r="I8297" s="3" t="str">
        <f ca="1">IFERROR(__xludf.DUMMYFUNCTION("""COMPUTED_VALUE"""),"Nguyễn Thị Tuyết Hương ")</f>
        <v xml:space="preserve">Nguyễn Thị Tuyết Hương </v>
      </c>
      <c r="J8297" s="3" t="str">
        <f ca="1">IFERROR(__xludf.DUMMYFUNCTION("""COMPUTED_VALUE"""),"0853765679")</f>
        <v>0853765679</v>
      </c>
      <c r="K8297" s="2" t="str">
        <f ca="1">IFERROR(__xludf.DUMMYFUNCTION("""COMPUTED_VALUE"""),"1743768835554")</f>
        <v>1743768835554</v>
      </c>
    </row>
    <row r="8298" spans="1:11" ht="12.45">
      <c r="A8298" s="2" t="str">
        <f ca="1">IFERROR(__xludf.DUMMYFUNCTION("""COMPUTED_VALUE"""),"1743768892168")</f>
        <v>1743768892168</v>
      </c>
      <c r="C8298" s="2" t="str">
        <v>0</v>
      </c>
      <c r="F8298" s="2" t="str">
        <v>0</v>
      </c>
      <c r="I8298" s="3" t="str">
        <f ca="1">IFERROR(__xludf.DUMMYFUNCTION("""COMPUTED_VALUE"""),"Phạm thị ngọc nhàn")</f>
        <v>Phạm thị ngọc nhàn</v>
      </c>
      <c r="J8298" s="3" t="str">
        <f ca="1">IFERROR(__xludf.DUMMYFUNCTION("""COMPUTED_VALUE"""),"0388212660")</f>
        <v>0388212660</v>
      </c>
      <c r="K8298" s="2" t="str">
        <f ca="1">IFERROR(__xludf.DUMMYFUNCTION("""COMPUTED_VALUE"""),"1743768892168")</f>
        <v>1743768892168</v>
      </c>
    </row>
    <row r="8299" spans="1:11" ht="12.45">
      <c r="A8299" s="2" t="str">
        <f ca="1">IFERROR(__xludf.DUMMYFUNCTION("""COMPUTED_VALUE"""),"1743768972416")</f>
        <v>1743768972416</v>
      </c>
      <c r="C8299" s="2" t="str">
        <v>0</v>
      </c>
      <c r="F8299" s="2" t="str">
        <v>0</v>
      </c>
      <c r="I8299" s="3" t="str">
        <f ca="1">IFERROR(__xludf.DUMMYFUNCTION("""COMPUTED_VALUE"""),"ĐÀM THẾ DƯƠNG")</f>
        <v>ĐÀM THẾ DƯƠNG</v>
      </c>
      <c r="J8299" s="3" t="str">
        <f ca="1">IFERROR(__xludf.DUMMYFUNCTION("""COMPUTED_VALUE"""),"0325955772")</f>
        <v>0325955772</v>
      </c>
      <c r="K8299" s="2" t="str">
        <f ca="1">IFERROR(__xludf.DUMMYFUNCTION("""COMPUTED_VALUE"""),"1743768972416")</f>
        <v>1743768972416</v>
      </c>
    </row>
    <row r="8300" spans="1:11" ht="12.45">
      <c r="A8300" s="2" t="str">
        <f ca="1">IFERROR(__xludf.DUMMYFUNCTION("""COMPUTED_VALUE"""),"1743769044609")</f>
        <v>1743769044609</v>
      </c>
      <c r="C8300" s="2" t="str">
        <v>0</v>
      </c>
      <c r="F8300" s="2" t="str">
        <v>0</v>
      </c>
      <c r="I8300" s="3" t="str">
        <f ca="1">IFERROR(__xludf.DUMMYFUNCTION("""COMPUTED_VALUE"""),"Đỗ Văn Nam")</f>
        <v>Đỗ Văn Nam</v>
      </c>
      <c r="J8300" s="3" t="str">
        <f ca="1">IFERROR(__xludf.DUMMYFUNCTION("""COMPUTED_VALUE"""),"0962675924")</f>
        <v>0962675924</v>
      </c>
      <c r="K8300" s="2" t="str">
        <f ca="1">IFERROR(__xludf.DUMMYFUNCTION("""COMPUTED_VALUE"""),"1743769044609")</f>
        <v>1743769044609</v>
      </c>
    </row>
    <row r="8301" spans="1:11" ht="12.45">
      <c r="A8301" s="2" t="str">
        <f ca="1">IFERROR(__xludf.DUMMYFUNCTION("""COMPUTED_VALUE"""),"1743769106672")</f>
        <v>1743769106672</v>
      </c>
      <c r="C8301" s="2" t="str">
        <v>0</v>
      </c>
      <c r="F8301" s="2" t="str">
        <v>0</v>
      </c>
      <c r="I8301" s="3" t="str">
        <f ca="1">IFERROR(__xludf.DUMMYFUNCTION("""COMPUTED_VALUE"""),"Vũ Thị Cẩm Bình")</f>
        <v>Vũ Thị Cẩm Bình</v>
      </c>
      <c r="J8301" s="3" t="str">
        <f ca="1">IFERROR(__xludf.DUMMYFUNCTION("""COMPUTED_VALUE"""),"0911206616")</f>
        <v>0911206616</v>
      </c>
      <c r="K8301" s="2" t="str">
        <f ca="1">IFERROR(__xludf.DUMMYFUNCTION("""COMPUTED_VALUE"""),"1743769106672")</f>
        <v>1743769106672</v>
      </c>
    </row>
    <row r="8302" spans="1:11" ht="12.45">
      <c r="A8302" s="2" t="str">
        <f ca="1">IFERROR(__xludf.DUMMYFUNCTION("""COMPUTED_VALUE"""),"1743769172066")</f>
        <v>1743769172066</v>
      </c>
      <c r="C8302" s="2" t="str">
        <v>0</v>
      </c>
      <c r="F8302" s="2" t="str">
        <v>0</v>
      </c>
      <c r="I8302" s="3" t="str">
        <f ca="1">IFERROR(__xludf.DUMMYFUNCTION("""COMPUTED_VALUE"""),"Huỳnh Minh Tiến")</f>
        <v>Huỳnh Minh Tiến</v>
      </c>
      <c r="J8302" s="3" t="str">
        <f ca="1">IFERROR(__xludf.DUMMYFUNCTION("""COMPUTED_VALUE"""),"0346839299")</f>
        <v>0346839299</v>
      </c>
      <c r="K8302" s="2" t="str">
        <f ca="1">IFERROR(__xludf.DUMMYFUNCTION("""COMPUTED_VALUE"""),"1743769172066")</f>
        <v>1743769172066</v>
      </c>
    </row>
    <row r="8303" spans="1:11" ht="12.45">
      <c r="A8303" s="2" t="str">
        <f ca="1">IFERROR(__xludf.DUMMYFUNCTION("""COMPUTED_VALUE"""),"1743769239613")</f>
        <v>1743769239613</v>
      </c>
      <c r="C8303" s="2" t="str">
        <v>0</v>
      </c>
      <c r="F8303" s="2" t="str">
        <v>0</v>
      </c>
      <c r="I8303" s="3" t="str">
        <f ca="1">IFERROR(__xludf.DUMMYFUNCTION("""COMPUTED_VALUE"""),"Võ Văn Huy")</f>
        <v>Võ Văn Huy</v>
      </c>
      <c r="J8303" s="3" t="str">
        <f ca="1">IFERROR(__xludf.DUMMYFUNCTION("""COMPUTED_VALUE"""),"0377481767")</f>
        <v>0377481767</v>
      </c>
      <c r="K8303" s="2" t="str">
        <f ca="1">IFERROR(__xludf.DUMMYFUNCTION("""COMPUTED_VALUE"""),"1743769239613")</f>
        <v>1743769239613</v>
      </c>
    </row>
    <row r="8304" spans="1:11" ht="12.45">
      <c r="A8304" s="2" t="str">
        <f ca="1">IFERROR(__xludf.DUMMYFUNCTION("""COMPUTED_VALUE"""),"1743769301511")</f>
        <v>1743769301511</v>
      </c>
      <c r="C8304" s="2" t="str">
        <v>0</v>
      </c>
      <c r="F8304" s="2" t="str">
        <v>0</v>
      </c>
      <c r="I8304" s="3" t="str">
        <f ca="1">IFERROR(__xludf.DUMMYFUNCTION("""COMPUTED_VALUE"""),"Lê khánh linh")</f>
        <v>Lê khánh linh</v>
      </c>
      <c r="J8304" s="3" t="str">
        <f ca="1">IFERROR(__xludf.DUMMYFUNCTION("""COMPUTED_VALUE"""),"0878001261")</f>
        <v>0878001261</v>
      </c>
      <c r="K8304" s="2" t="str">
        <f ca="1">IFERROR(__xludf.DUMMYFUNCTION("""COMPUTED_VALUE"""),"1743769301511")</f>
        <v>1743769301511</v>
      </c>
    </row>
    <row r="8305" spans="1:11" ht="12.45">
      <c r="A8305" s="2" t="str">
        <f ca="1">IFERROR(__xludf.DUMMYFUNCTION("""COMPUTED_VALUE"""),"1743769398698")</f>
        <v>1743769398698</v>
      </c>
      <c r="C8305" s="2" t="str">
        <v>0</v>
      </c>
      <c r="F8305" s="2" t="str">
        <v>0</v>
      </c>
      <c r="I8305" s="3" t="str">
        <f ca="1">IFERROR(__xludf.DUMMYFUNCTION("""COMPUTED_VALUE"""),"Nguyễn Khánh Ly")</f>
        <v>Nguyễn Khánh Ly</v>
      </c>
      <c r="J8305" s="3" t="str">
        <f ca="1">IFERROR(__xludf.DUMMYFUNCTION("""COMPUTED_VALUE"""),"0337067687")</f>
        <v>0337067687</v>
      </c>
      <c r="K8305" s="2" t="str">
        <f ca="1">IFERROR(__xludf.DUMMYFUNCTION("""COMPUTED_VALUE"""),"1743769398698")</f>
        <v>1743769398698</v>
      </c>
    </row>
    <row r="8306" spans="1:11" ht="12.45">
      <c r="A8306" s="2"/>
      <c r="C8306" s="2" t="str">
        <v>0</v>
      </c>
      <c r="F8306" s="2" t="str">
        <v>0</v>
      </c>
      <c r="I8306" s="3" t="str">
        <f ca="1">IFERROR(__xludf.DUMMYFUNCTION("""COMPUTED_VALUE"""),"Hoàng Minh Châu")</f>
        <v>Hoàng Minh Châu</v>
      </c>
      <c r="J8306" s="3" t="str">
        <f ca="1">IFERROR(__xludf.DUMMYFUNCTION("""COMPUTED_VALUE"""),"0868190278")</f>
        <v>0868190278</v>
      </c>
      <c r="K8306" s="2"/>
    </row>
    <row r="8307" spans="1:11" ht="12.45">
      <c r="A8307" s="2" t="str">
        <f ca="1">IFERROR(__xludf.DUMMYFUNCTION("""COMPUTED_VALUE"""),"1743769475043")</f>
        <v>1743769475043</v>
      </c>
      <c r="C8307" s="2" t="str">
        <v>0</v>
      </c>
      <c r="F8307" s="2" t="str">
        <v>0</v>
      </c>
      <c r="I8307" s="3" t="str">
        <f ca="1">IFERROR(__xludf.DUMMYFUNCTION("""COMPUTED_VALUE"""),"Võ Lê Út Trinh")</f>
        <v>Võ Lê Út Trinh</v>
      </c>
      <c r="J8307" s="3" t="str">
        <f ca="1">IFERROR(__xludf.DUMMYFUNCTION("""COMPUTED_VALUE"""),"0326233780")</f>
        <v>0326233780</v>
      </c>
      <c r="K8307" s="2" t="str">
        <f ca="1">IFERROR(__xludf.DUMMYFUNCTION("""COMPUTED_VALUE"""),"1743769475043")</f>
        <v>1743769475043</v>
      </c>
    </row>
    <row r="8308" spans="1:11" ht="12.45">
      <c r="A8308" s="2" t="str">
        <f ca="1">IFERROR(__xludf.DUMMYFUNCTION("""COMPUTED_VALUE"""),"1743769520746")</f>
        <v>1743769520746</v>
      </c>
      <c r="C8308" s="2" t="str">
        <v>0</v>
      </c>
      <c r="F8308" s="2" t="str">
        <v>0</v>
      </c>
      <c r="I8308" s="3" t="str">
        <f ca="1">IFERROR(__xludf.DUMMYFUNCTION("""COMPUTED_VALUE"""),"Đỗ Minh Ngọc")</f>
        <v>Đỗ Minh Ngọc</v>
      </c>
      <c r="J8308" s="3" t="str">
        <f ca="1">IFERROR(__xludf.DUMMYFUNCTION("""COMPUTED_VALUE"""),"0964883494")</f>
        <v>0964883494</v>
      </c>
      <c r="K8308" s="2" t="str">
        <f ca="1">IFERROR(__xludf.DUMMYFUNCTION("""COMPUTED_VALUE"""),"1743769520746")</f>
        <v>1743769520746</v>
      </c>
    </row>
    <row r="8309" spans="1:11" ht="12.45">
      <c r="A8309" s="2" t="str">
        <f ca="1">IFERROR(__xludf.DUMMYFUNCTION("""COMPUTED_VALUE"""),"1743769591717")</f>
        <v>1743769591717</v>
      </c>
      <c r="C8309" s="2" t="str">
        <v>0</v>
      </c>
      <c r="F8309" s="2" t="str">
        <v>0</v>
      </c>
      <c r="I8309" s="3" t="str">
        <f ca="1">IFERROR(__xludf.DUMMYFUNCTION("""COMPUTED_VALUE"""),"Nguyễn Ngọc Bảo Trâm ")</f>
        <v xml:space="preserve">Nguyễn Ngọc Bảo Trâm </v>
      </c>
      <c r="J8309" s="3" t="str">
        <f ca="1">IFERROR(__xludf.DUMMYFUNCTION("""COMPUTED_VALUE"""),"0868421600")</f>
        <v>0868421600</v>
      </c>
      <c r="K8309" s="2" t="str">
        <f ca="1">IFERROR(__xludf.DUMMYFUNCTION("""COMPUTED_VALUE"""),"1743769591717")</f>
        <v>1743769591717</v>
      </c>
    </row>
    <row r="8310" spans="1:11" ht="12.45">
      <c r="A8310" s="2" t="str">
        <f ca="1">IFERROR(__xludf.DUMMYFUNCTION("""COMPUTED_VALUE"""),"1743769635733")</f>
        <v>1743769635733</v>
      </c>
      <c r="C8310" s="2" t="str">
        <v>0</v>
      </c>
      <c r="F8310" s="2" t="str">
        <v>0</v>
      </c>
      <c r="I8310" s="3" t="str">
        <f ca="1">IFERROR(__xludf.DUMMYFUNCTION("""COMPUTED_VALUE"""),"Nguyễn Thị Kim Uyên")</f>
        <v>Nguyễn Thị Kim Uyên</v>
      </c>
      <c r="J8310" s="3" t="str">
        <f ca="1">IFERROR(__xludf.DUMMYFUNCTION("""COMPUTED_VALUE"""),"0346491517")</f>
        <v>0346491517</v>
      </c>
      <c r="K8310" s="2" t="str">
        <f ca="1">IFERROR(__xludf.DUMMYFUNCTION("""COMPUTED_VALUE"""),"1743769635733")</f>
        <v>1743769635733</v>
      </c>
    </row>
    <row r="8311" spans="1:11" ht="12.45">
      <c r="A8311" s="2" t="str">
        <f ca="1">IFERROR(__xludf.DUMMYFUNCTION("""COMPUTED_VALUE"""),"1743769678812")</f>
        <v>1743769678812</v>
      </c>
      <c r="C8311" s="2" t="str">
        <v>0</v>
      </c>
      <c r="F8311" s="2" t="str">
        <v>0</v>
      </c>
      <c r="I8311" s="3" t="str">
        <f ca="1">IFERROR(__xludf.DUMMYFUNCTION("""COMPUTED_VALUE"""),"Bùi Trần Bảo Nghi")</f>
        <v>Bùi Trần Bảo Nghi</v>
      </c>
      <c r="J8311" s="3" t="str">
        <f ca="1">IFERROR(__xludf.DUMMYFUNCTION("""COMPUTED_VALUE"""),"0387287524")</f>
        <v>0387287524</v>
      </c>
      <c r="K8311" s="2" t="str">
        <f ca="1">IFERROR(__xludf.DUMMYFUNCTION("""COMPUTED_VALUE"""),"1743769678812")</f>
        <v>1743769678812</v>
      </c>
    </row>
    <row r="8312" spans="1:11" ht="12.45">
      <c r="A8312" s="2" t="str">
        <f ca="1">IFERROR(__xludf.DUMMYFUNCTION("""COMPUTED_VALUE"""),"1743769750528")</f>
        <v>1743769750528</v>
      </c>
      <c r="C8312" s="2" t="str">
        <v>0</v>
      </c>
      <c r="F8312" s="2" t="str">
        <v>0</v>
      </c>
      <c r="I8312" s="3" t="str">
        <f ca="1">IFERROR(__xludf.DUMMYFUNCTION("""COMPUTED_VALUE"""),"Võ Thị Thanh Thuỳ")</f>
        <v>Võ Thị Thanh Thuỳ</v>
      </c>
      <c r="J8312" s="3" t="str">
        <f ca="1">IFERROR(__xludf.DUMMYFUNCTION("""COMPUTED_VALUE"""),"0325312512")</f>
        <v>0325312512</v>
      </c>
      <c r="K8312" s="2" t="str">
        <f ca="1">IFERROR(__xludf.DUMMYFUNCTION("""COMPUTED_VALUE"""),"1743769750528")</f>
        <v>1743769750528</v>
      </c>
    </row>
    <row r="8313" spans="1:11" ht="12.45">
      <c r="A8313" s="2" t="str">
        <f ca="1">IFERROR(__xludf.DUMMYFUNCTION("""COMPUTED_VALUE"""),"1743769789533")</f>
        <v>1743769789533</v>
      </c>
      <c r="C8313" s="2" t="str">
        <v>0</v>
      </c>
      <c r="F8313" s="2" t="str">
        <v>0</v>
      </c>
      <c r="I8313" s="3" t="str">
        <f ca="1">IFERROR(__xludf.DUMMYFUNCTION("""COMPUTED_VALUE"""),"ĐẶNG CHÂU GIANG")</f>
        <v>ĐẶNG CHÂU GIANG</v>
      </c>
      <c r="J8313" s="3" t="str">
        <f ca="1">IFERROR(__xludf.DUMMYFUNCTION("""COMPUTED_VALUE"""),"0365874828")</f>
        <v>0365874828</v>
      </c>
      <c r="K8313" s="2" t="str">
        <f ca="1">IFERROR(__xludf.DUMMYFUNCTION("""COMPUTED_VALUE"""),"1743769789533")</f>
        <v>1743769789533</v>
      </c>
    </row>
    <row r="8314" spans="1:11" ht="12.45">
      <c r="A8314" s="2" t="str">
        <f ca="1">IFERROR(__xludf.DUMMYFUNCTION("""COMPUTED_VALUE"""),"1743769850303")</f>
        <v>1743769850303</v>
      </c>
      <c r="C8314" s="2" t="str">
        <v>0</v>
      </c>
      <c r="F8314" s="2" t="str">
        <v>0</v>
      </c>
      <c r="I8314" s="3" t="str">
        <f ca="1">IFERROR(__xludf.DUMMYFUNCTION("""COMPUTED_VALUE"""),"Nguyễn Hương Giang")</f>
        <v>Nguyễn Hương Giang</v>
      </c>
      <c r="J8314" s="3" t="str">
        <f ca="1">IFERROR(__xludf.DUMMYFUNCTION("""COMPUTED_VALUE"""),"0988457924")</f>
        <v>0988457924</v>
      </c>
      <c r="K8314" s="2" t="str">
        <f ca="1">IFERROR(__xludf.DUMMYFUNCTION("""COMPUTED_VALUE"""),"1743769850303")</f>
        <v>1743769850303</v>
      </c>
    </row>
    <row r="8315" spans="1:11" ht="12.45">
      <c r="A8315" s="2" t="str">
        <f ca="1">IFERROR(__xludf.DUMMYFUNCTION("""COMPUTED_VALUE"""),"1743769946980")</f>
        <v>1743769946980</v>
      </c>
      <c r="C8315" s="2" t="str">
        <v>0</v>
      </c>
      <c r="F8315" s="2" t="str">
        <v>0</v>
      </c>
      <c r="I8315" s="3" t="str">
        <f ca="1">IFERROR(__xludf.DUMMYFUNCTION("""COMPUTED_VALUE"""),"Hoàng Nguyễn Thảo Vy")</f>
        <v>Hoàng Nguyễn Thảo Vy</v>
      </c>
      <c r="J8315" s="3" t="str">
        <f ca="1">IFERROR(__xludf.DUMMYFUNCTION("""COMPUTED_VALUE"""),"0886486772")</f>
        <v>0886486772</v>
      </c>
      <c r="K8315" s="2" t="str">
        <f ca="1">IFERROR(__xludf.DUMMYFUNCTION("""COMPUTED_VALUE"""),"1743769946980")</f>
        <v>1743769946980</v>
      </c>
    </row>
    <row r="8316" spans="1:11" ht="12.45">
      <c r="A8316" s="2" t="str">
        <f ca="1">IFERROR(__xludf.DUMMYFUNCTION("""COMPUTED_VALUE"""),"1743770028254")</f>
        <v>1743770028254</v>
      </c>
      <c r="C8316" s="2" t="str">
        <v>0</v>
      </c>
      <c r="F8316" s="2" t="str">
        <v>0</v>
      </c>
      <c r="I8316" s="3" t="str">
        <f ca="1">IFERROR(__xludf.DUMMYFUNCTION("""COMPUTED_VALUE"""),"Phạm Đức Hiếu")</f>
        <v>Phạm Đức Hiếu</v>
      </c>
      <c r="J8316" s="3" t="str">
        <f ca="1">IFERROR(__xludf.DUMMYFUNCTION("""COMPUTED_VALUE"""),"0396134254")</f>
        <v>0396134254</v>
      </c>
      <c r="K8316" s="2" t="str">
        <f ca="1">IFERROR(__xludf.DUMMYFUNCTION("""COMPUTED_VALUE"""),"1743770028254")</f>
        <v>1743770028254</v>
      </c>
    </row>
    <row r="8317" spans="1:11" ht="12.45">
      <c r="A8317" s="2" t="str">
        <f ca="1">IFERROR(__xludf.DUMMYFUNCTION("""COMPUTED_VALUE"""),"1743770101387")</f>
        <v>1743770101387</v>
      </c>
      <c r="C8317" s="2" t="str">
        <v>0</v>
      </c>
      <c r="F8317" s="2" t="str">
        <v>0</v>
      </c>
      <c r="I8317" s="3" t="str">
        <f ca="1">IFERROR(__xludf.DUMMYFUNCTION("""COMPUTED_VALUE"""),"Phạm Thuỳ Linh")</f>
        <v>Phạm Thuỳ Linh</v>
      </c>
      <c r="J8317" s="3" t="str">
        <f ca="1">IFERROR(__xludf.DUMMYFUNCTION("""COMPUTED_VALUE"""),"0354351900")</f>
        <v>0354351900</v>
      </c>
      <c r="K8317" s="2" t="str">
        <f ca="1">IFERROR(__xludf.DUMMYFUNCTION("""COMPUTED_VALUE"""),"1743770101387")</f>
        <v>1743770101387</v>
      </c>
    </row>
    <row r="8318" spans="1:11" ht="12.45">
      <c r="A8318" s="2"/>
      <c r="C8318" s="2" t="str">
        <v>0</v>
      </c>
      <c r="F8318" s="2" t="str">
        <v>0</v>
      </c>
      <c r="I8318" s="3" t="str">
        <f ca="1">IFERROR(__xludf.DUMMYFUNCTION("""COMPUTED_VALUE"""),"Trần Diệu Thảo")</f>
        <v>Trần Diệu Thảo</v>
      </c>
      <c r="J8318" s="3" t="str">
        <f ca="1">IFERROR(__xludf.DUMMYFUNCTION("""COMPUTED_VALUE"""),"0987601917")</f>
        <v>0987601917</v>
      </c>
      <c r="K8318" s="2"/>
    </row>
    <row r="8319" spans="1:11" ht="12.45">
      <c r="A8319" s="2" t="str">
        <f ca="1">IFERROR(__xludf.DUMMYFUNCTION("""COMPUTED_VALUE"""),"1743770157733")</f>
        <v>1743770157733</v>
      </c>
      <c r="C8319" s="2" t="str">
        <v>0</v>
      </c>
      <c r="F8319" s="2" t="str">
        <v>0</v>
      </c>
      <c r="I8319" s="3" t="str">
        <f ca="1">IFERROR(__xludf.DUMMYFUNCTION("""COMPUTED_VALUE"""),"Trần Thị Thuý Quỳnh")</f>
        <v>Trần Thị Thuý Quỳnh</v>
      </c>
      <c r="J8319" s="3" t="str">
        <f ca="1">IFERROR(__xludf.DUMMYFUNCTION("""COMPUTED_VALUE"""),"0392788612")</f>
        <v>0392788612</v>
      </c>
      <c r="K8319" s="2" t="str">
        <f ca="1">IFERROR(__xludf.DUMMYFUNCTION("""COMPUTED_VALUE"""),"1743770157733")</f>
        <v>1743770157733</v>
      </c>
    </row>
    <row r="8320" spans="1:11" ht="12.45">
      <c r="A8320" s="2" t="str">
        <f ca="1">IFERROR(__xludf.DUMMYFUNCTION("""COMPUTED_VALUE"""),"1753926593903")</f>
        <v>1753926593903</v>
      </c>
      <c r="C8320" s="2" t="str">
        <v>0</v>
      </c>
      <c r="F8320" s="2" t="str">
        <v>0</v>
      </c>
      <c r="I8320" s="3" t="str">
        <f ca="1">IFERROR(__xludf.DUMMYFUNCTION("""COMPUTED_VALUE"""),"Phạm Thị Hiền Trang")</f>
        <v>Phạm Thị Hiền Trang</v>
      </c>
      <c r="J8320" s="3" t="str">
        <f ca="1">IFERROR(__xludf.DUMMYFUNCTION("""COMPUTED_VALUE"""),"0357851400")</f>
        <v>0357851400</v>
      </c>
      <c r="K8320" s="2" t="str">
        <f ca="1">IFERROR(__xludf.DUMMYFUNCTION("""COMPUTED_VALUE"""),"1753926593903")</f>
        <v>1753926593903</v>
      </c>
    </row>
    <row r="8321" spans="1:11" ht="12.45">
      <c r="A8321" s="2" t="str">
        <f ca="1">IFERROR(__xludf.DUMMYFUNCTION("""COMPUTED_VALUE"""),"1753926634140")</f>
        <v>1753926634140</v>
      </c>
      <c r="C8321" s="2" t="str">
        <v>0</v>
      </c>
      <c r="F8321" s="2" t="str">
        <v>0</v>
      </c>
      <c r="I8321" s="3" t="str">
        <f ca="1">IFERROR(__xludf.DUMMYFUNCTION("""COMPUTED_VALUE"""),"Lường Diệu Thương ")</f>
        <v xml:space="preserve">Lường Diệu Thương </v>
      </c>
      <c r="J8321" s="3" t="str">
        <f ca="1">IFERROR(__xludf.DUMMYFUNCTION("""COMPUTED_VALUE"""),"0379627984")</f>
        <v>0379627984</v>
      </c>
      <c r="K8321" s="2" t="str">
        <f ca="1">IFERROR(__xludf.DUMMYFUNCTION("""COMPUTED_VALUE"""),"1753926634140")</f>
        <v>1753926634140</v>
      </c>
    </row>
    <row r="8322" spans="1:11" ht="12.45">
      <c r="A8322" s="2" t="str">
        <f ca="1">IFERROR(__xludf.DUMMYFUNCTION("""COMPUTED_VALUE"""),"1753926656786")</f>
        <v>1753926656786</v>
      </c>
      <c r="C8322" s="2" t="str">
        <v>0</v>
      </c>
      <c r="F8322" s="2" t="str">
        <v>0</v>
      </c>
      <c r="I8322" s="3" t="str">
        <f ca="1">IFERROR(__xludf.DUMMYFUNCTION("""COMPUTED_VALUE"""),"Huỳnh Nguyễn Thảo Quyên")</f>
        <v>Huỳnh Nguyễn Thảo Quyên</v>
      </c>
      <c r="J8322" s="3" t="str">
        <f ca="1">IFERROR(__xludf.DUMMYFUNCTION("""COMPUTED_VALUE"""),"0349774692")</f>
        <v>0349774692</v>
      </c>
      <c r="K8322" s="2" t="str">
        <f ca="1">IFERROR(__xludf.DUMMYFUNCTION("""COMPUTED_VALUE"""),"1753926656786")</f>
        <v>1753926656786</v>
      </c>
    </row>
    <row r="8323" spans="1:11" ht="12.45">
      <c r="A8323" s="2" t="str">
        <f ca="1">IFERROR(__xludf.DUMMYFUNCTION("""COMPUTED_VALUE"""),"1753926684672")</f>
        <v>1753926684672</v>
      </c>
      <c r="C8323" s="2" t="str">
        <v>0</v>
      </c>
      <c r="F8323" s="2" t="str">
        <v>0</v>
      </c>
      <c r="I8323" s="3" t="str">
        <f ca="1">IFERROR(__xludf.DUMMYFUNCTION("""COMPUTED_VALUE"""),"Vũ Quang Ngọc Bảo ")</f>
        <v xml:space="preserve">Vũ Quang Ngọc Bảo </v>
      </c>
      <c r="J8323" s="3" t="str">
        <f ca="1">IFERROR(__xludf.DUMMYFUNCTION("""COMPUTED_VALUE"""),"0911796456")</f>
        <v>0911796456</v>
      </c>
      <c r="K8323" s="2" t="str">
        <f ca="1">IFERROR(__xludf.DUMMYFUNCTION("""COMPUTED_VALUE"""),"1753926684672")</f>
        <v>1753926684672</v>
      </c>
    </row>
    <row r="8324" spans="1:11" ht="12.45">
      <c r="A8324" s="2" t="str">
        <f ca="1">IFERROR(__xludf.DUMMYFUNCTION("""COMPUTED_VALUE"""),"1753926711177")</f>
        <v>1753926711177</v>
      </c>
      <c r="C8324" s="2" t="str">
        <v>0</v>
      </c>
      <c r="F8324" s="2" t="str">
        <v>0</v>
      </c>
      <c r="I8324" s="3" t="str">
        <f ca="1">IFERROR(__xludf.DUMMYFUNCTION("""COMPUTED_VALUE"""),"Phạm Trung Hiếu")</f>
        <v>Phạm Trung Hiếu</v>
      </c>
      <c r="J8324" s="3" t="str">
        <f ca="1">IFERROR(__xludf.DUMMYFUNCTION("""COMPUTED_VALUE"""),"0338705283")</f>
        <v>0338705283</v>
      </c>
      <c r="K8324" s="2" t="str">
        <f ca="1">IFERROR(__xludf.DUMMYFUNCTION("""COMPUTED_VALUE"""),"1753926711177")</f>
        <v>1753926711177</v>
      </c>
    </row>
    <row r="8325" spans="1:11" ht="12.45">
      <c r="A8325" s="2" t="str">
        <f ca="1">IFERROR(__xludf.DUMMYFUNCTION("""COMPUTED_VALUE"""),"1753926733031")</f>
        <v>1753926733031</v>
      </c>
      <c r="C8325" s="2" t="str">
        <v>0</v>
      </c>
      <c r="F8325" s="2" t="str">
        <v>0</v>
      </c>
      <c r="I8325" s="3" t="str">
        <f ca="1">IFERROR(__xludf.DUMMYFUNCTION("""COMPUTED_VALUE"""),"Nguyễn Quốc An")</f>
        <v>Nguyễn Quốc An</v>
      </c>
      <c r="J8325" s="3" t="str">
        <f ca="1">IFERROR(__xludf.DUMMYFUNCTION("""COMPUTED_VALUE"""),"0394095698")</f>
        <v>0394095698</v>
      </c>
      <c r="K8325" s="2" t="str">
        <f ca="1">IFERROR(__xludf.DUMMYFUNCTION("""COMPUTED_VALUE"""),"1753926733031")</f>
        <v>1753926733031</v>
      </c>
    </row>
    <row r="8326" spans="1:11" ht="12.45">
      <c r="A8326" s="2" t="str">
        <f ca="1">IFERROR(__xludf.DUMMYFUNCTION("""COMPUTED_VALUE"""),"1753926754054")</f>
        <v>1753926754054</v>
      </c>
      <c r="C8326" s="2" t="str">
        <v>0</v>
      </c>
      <c r="F8326" s="2" t="str">
        <v>0</v>
      </c>
      <c r="I8326" s="3" t="str">
        <f ca="1">IFERROR(__xludf.DUMMYFUNCTION("""COMPUTED_VALUE"""),"Nguyễn Thị Minh Chiến ")</f>
        <v xml:space="preserve">Nguyễn Thị Minh Chiến </v>
      </c>
      <c r="J8326" s="3" t="str">
        <f ca="1">IFERROR(__xludf.DUMMYFUNCTION("""COMPUTED_VALUE"""),"0944460419")</f>
        <v>0944460419</v>
      </c>
      <c r="K8326" s="2" t="str">
        <f ca="1">IFERROR(__xludf.DUMMYFUNCTION("""COMPUTED_VALUE"""),"1753926754054")</f>
        <v>1753926754054</v>
      </c>
    </row>
    <row r="8327" spans="1:11" ht="12.45">
      <c r="A8327" s="2" t="str">
        <f ca="1">IFERROR(__xludf.DUMMYFUNCTION("""COMPUTED_VALUE"""),"1753926785400")</f>
        <v>1753926785400</v>
      </c>
      <c r="C8327" s="2" t="str">
        <v>0</v>
      </c>
      <c r="F8327" s="2" t="str">
        <v>0</v>
      </c>
      <c r="I8327" s="3" t="str">
        <f ca="1">IFERROR(__xludf.DUMMYFUNCTION("""COMPUTED_VALUE"""),"Trần Thị Sen")</f>
        <v>Trần Thị Sen</v>
      </c>
      <c r="J8327" s="3" t="str">
        <f ca="1">IFERROR(__xludf.DUMMYFUNCTION("""COMPUTED_VALUE"""),"0383299269")</f>
        <v>0383299269</v>
      </c>
      <c r="K8327" s="2" t="str">
        <f ca="1">IFERROR(__xludf.DUMMYFUNCTION("""COMPUTED_VALUE"""),"1753926785400")</f>
        <v>1753926785400</v>
      </c>
    </row>
    <row r="8328" spans="1:11" ht="12.45">
      <c r="A8328" s="2" t="str">
        <f ca="1">IFERROR(__xludf.DUMMYFUNCTION("""COMPUTED_VALUE"""),"1753926820761")</f>
        <v>1753926820761</v>
      </c>
      <c r="C8328" s="2" t="str">
        <v>0</v>
      </c>
      <c r="F8328" s="2" t="str">
        <v>0</v>
      </c>
      <c r="I8328" s="3" t="str">
        <f ca="1">IFERROR(__xludf.DUMMYFUNCTION("""COMPUTED_VALUE"""),"Võ Trần Tấn Phát")</f>
        <v>Võ Trần Tấn Phát</v>
      </c>
      <c r="J8328" s="3" t="str">
        <f ca="1">IFERROR(__xludf.DUMMYFUNCTION("""COMPUTED_VALUE"""),"0909389722")</f>
        <v>0909389722</v>
      </c>
      <c r="K8328" s="2" t="str">
        <f ca="1">IFERROR(__xludf.DUMMYFUNCTION("""COMPUTED_VALUE"""),"1753926820761")</f>
        <v>1753926820761</v>
      </c>
    </row>
    <row r="8329" spans="1:11" ht="12.45">
      <c r="A8329" s="2" t="str">
        <f ca="1">IFERROR(__xludf.DUMMYFUNCTION("""COMPUTED_VALUE"""),"1753926847645")</f>
        <v>1753926847645</v>
      </c>
      <c r="C8329" s="2" t="str">
        <v>0</v>
      </c>
      <c r="F8329" s="2" t="str">
        <v>0</v>
      </c>
      <c r="I8329" s="3" t="str">
        <f ca="1">IFERROR(__xludf.DUMMYFUNCTION("""COMPUTED_VALUE"""),"Nguyễn Tuấn Anh ")</f>
        <v xml:space="preserve">Nguyễn Tuấn Anh </v>
      </c>
      <c r="J8329" s="3" t="str">
        <f ca="1">IFERROR(__xludf.DUMMYFUNCTION("""COMPUTED_VALUE"""),"0869474009")</f>
        <v>0869474009</v>
      </c>
      <c r="K8329" s="2" t="str">
        <f ca="1">IFERROR(__xludf.DUMMYFUNCTION("""COMPUTED_VALUE"""),"1753926847645")</f>
        <v>1753926847645</v>
      </c>
    </row>
    <row r="8330" spans="1:11" ht="12.45">
      <c r="A8330" s="2"/>
      <c r="C8330" s="2" t="str">
        <v>0</v>
      </c>
      <c r="F8330" s="2" t="str">
        <v>0</v>
      </c>
      <c r="I8330" s="3" t="str">
        <f ca="1">IFERROR(__xludf.DUMMYFUNCTION("""COMPUTED_VALUE"""),"Lê Thanh Yến Nhi")</f>
        <v>Lê Thanh Yến Nhi</v>
      </c>
      <c r="J8330" s="3" t="str">
        <f ca="1">IFERROR(__xludf.DUMMYFUNCTION("""COMPUTED_VALUE"""),"0889767026")</f>
        <v>0889767026</v>
      </c>
      <c r="K8330" s="2"/>
    </row>
    <row r="8331" spans="1:11" ht="12.45">
      <c r="A8331" s="2" t="str">
        <f ca="1">IFERROR(__xludf.DUMMYFUNCTION("""COMPUTED_VALUE"""),"1753926871727")</f>
        <v>1753926871727</v>
      </c>
      <c r="C8331" s="2" t="str">
        <v>0</v>
      </c>
      <c r="F8331" s="2" t="str">
        <v>0</v>
      </c>
      <c r="I8331" s="3" t="str">
        <f ca="1">IFERROR(__xludf.DUMMYFUNCTION("""COMPUTED_VALUE"""),"Nguyễn Thị Hoa Huệ")</f>
        <v>Nguyễn Thị Hoa Huệ</v>
      </c>
      <c r="J8331" s="3" t="str">
        <f ca="1">IFERROR(__xludf.DUMMYFUNCTION("""COMPUTED_VALUE"""),"0343213373")</f>
        <v>0343213373</v>
      </c>
      <c r="K8331" s="2" t="str">
        <f ca="1">IFERROR(__xludf.DUMMYFUNCTION("""COMPUTED_VALUE"""),"1753926871727")</f>
        <v>1753926871727</v>
      </c>
    </row>
    <row r="8332" spans="1:11" ht="12.45">
      <c r="A8332" s="2" t="str">
        <f ca="1">IFERROR(__xludf.DUMMYFUNCTION("""COMPUTED_VALUE"""),"1753926897757")</f>
        <v>1753926897757</v>
      </c>
      <c r="C8332" s="2" t="str">
        <v>0</v>
      </c>
      <c r="F8332" s="2" t="str">
        <v>0</v>
      </c>
      <c r="I8332" s="3" t="str">
        <f ca="1">IFERROR(__xludf.DUMMYFUNCTION("""COMPUTED_VALUE"""),"Nguyễn Vân Khánh")</f>
        <v>Nguyễn Vân Khánh</v>
      </c>
      <c r="J8332" s="3" t="str">
        <f ca="1">IFERROR(__xludf.DUMMYFUNCTION("""COMPUTED_VALUE"""),"0981933667")</f>
        <v>0981933667</v>
      </c>
      <c r="K8332" s="2" t="str">
        <f ca="1">IFERROR(__xludf.DUMMYFUNCTION("""COMPUTED_VALUE"""),"1753926897757")</f>
        <v>1753926897757</v>
      </c>
    </row>
    <row r="8333" spans="1:11" ht="12.45">
      <c r="A8333" s="2" t="str">
        <f ca="1">IFERROR(__xludf.DUMMYFUNCTION("""COMPUTED_VALUE"""),"1753926919800")</f>
        <v>1753926919800</v>
      </c>
      <c r="C8333" s="2" t="str">
        <v>0</v>
      </c>
      <c r="F8333" s="2" t="str">
        <v>0</v>
      </c>
      <c r="I8333" s="3" t="str">
        <f ca="1">IFERROR(__xludf.DUMMYFUNCTION("""COMPUTED_VALUE"""),"Đới Thị Hồng Ngọc")</f>
        <v>Đới Thị Hồng Ngọc</v>
      </c>
      <c r="J8333" s="3" t="str">
        <f ca="1">IFERROR(__xludf.DUMMYFUNCTION("""COMPUTED_VALUE"""),"0926801333")</f>
        <v>0926801333</v>
      </c>
      <c r="K8333" s="2" t="str">
        <f ca="1">IFERROR(__xludf.DUMMYFUNCTION("""COMPUTED_VALUE"""),"1753926919800")</f>
        <v>1753926919800</v>
      </c>
    </row>
    <row r="8334" spans="1:11" ht="12.45">
      <c r="A8334" s="2" t="str">
        <f ca="1">IFERROR(__xludf.DUMMYFUNCTION("""COMPUTED_VALUE"""),"1753926945687")</f>
        <v>1753926945687</v>
      </c>
      <c r="C8334" s="2" t="str">
        <v>0</v>
      </c>
      <c r="F8334" s="2" t="str">
        <v>0</v>
      </c>
      <c r="I8334" s="3" t="str">
        <f ca="1">IFERROR(__xludf.DUMMYFUNCTION("""COMPUTED_VALUE"""),"Tô Trần Như Ngọc ")</f>
        <v xml:space="preserve">Tô Trần Như Ngọc </v>
      </c>
      <c r="J8334" s="3" t="str">
        <f ca="1">IFERROR(__xludf.DUMMYFUNCTION("""COMPUTED_VALUE"""),"0372480849")</f>
        <v>0372480849</v>
      </c>
      <c r="K8334" s="2" t="str">
        <f ca="1">IFERROR(__xludf.DUMMYFUNCTION("""COMPUTED_VALUE"""),"1753926945687")</f>
        <v>1753926945687</v>
      </c>
    </row>
    <row r="8335" spans="1:11" ht="12.45">
      <c r="A8335" s="2" t="str">
        <f ca="1">IFERROR(__xludf.DUMMYFUNCTION("""COMPUTED_VALUE"""),"1753926974808")</f>
        <v>1753926974808</v>
      </c>
      <c r="C8335" s="2" t="str">
        <v>0</v>
      </c>
      <c r="F8335" s="2" t="str">
        <v>0</v>
      </c>
      <c r="I8335" s="3" t="str">
        <f ca="1">IFERROR(__xludf.DUMMYFUNCTION("""COMPUTED_VALUE"""),"Lê Ngọc Như Phúc")</f>
        <v>Lê Ngọc Như Phúc</v>
      </c>
      <c r="J8335" s="3" t="str">
        <f ca="1">IFERROR(__xludf.DUMMYFUNCTION("""COMPUTED_VALUE"""),"0398200718")</f>
        <v>0398200718</v>
      </c>
      <c r="K8335" s="2" t="str">
        <f ca="1">IFERROR(__xludf.DUMMYFUNCTION("""COMPUTED_VALUE"""),"1753926974808")</f>
        <v>1753926974808</v>
      </c>
    </row>
    <row r="8336" spans="1:11" ht="12.45">
      <c r="A8336" s="2" t="str">
        <f ca="1">IFERROR(__xludf.DUMMYFUNCTION("""COMPUTED_VALUE"""),"1753926998973")</f>
        <v>1753926998973</v>
      </c>
      <c r="C8336" s="2" t="str">
        <v>0</v>
      </c>
      <c r="F8336" s="2" t="str">
        <v>0</v>
      </c>
      <c r="I8336" s="3" t="str">
        <f ca="1">IFERROR(__xludf.DUMMYFUNCTION("""COMPUTED_VALUE"""),"Nguyễn Hoàng Đạt")</f>
        <v>Nguyễn Hoàng Đạt</v>
      </c>
      <c r="J8336" s="3" t="str">
        <f ca="1">IFERROR(__xludf.DUMMYFUNCTION("""COMPUTED_VALUE"""),"0933196715")</f>
        <v>0933196715</v>
      </c>
      <c r="K8336" s="2" t="str">
        <f ca="1">IFERROR(__xludf.DUMMYFUNCTION("""COMPUTED_VALUE"""),"1753926998973")</f>
        <v>1753926998973</v>
      </c>
    </row>
    <row r="8337" spans="1:11" ht="12.45">
      <c r="A8337" s="2" t="str">
        <f ca="1">IFERROR(__xludf.DUMMYFUNCTION("""COMPUTED_VALUE"""),"1753927024327")</f>
        <v>1753927024327</v>
      </c>
      <c r="C8337" s="2" t="str">
        <v>0</v>
      </c>
      <c r="F8337" s="2" t="str">
        <v>0</v>
      </c>
      <c r="I8337" s="3" t="str">
        <f ca="1">IFERROR(__xludf.DUMMYFUNCTION("""COMPUTED_VALUE"""),"Hồ Thị Thanh Thảo")</f>
        <v>Hồ Thị Thanh Thảo</v>
      </c>
      <c r="J8337" s="3" t="str">
        <f ca="1">IFERROR(__xludf.DUMMYFUNCTION("""COMPUTED_VALUE"""),"0384647721")</f>
        <v>0384647721</v>
      </c>
      <c r="K8337" s="2" t="str">
        <f ca="1">IFERROR(__xludf.DUMMYFUNCTION("""COMPUTED_VALUE"""),"1753927024327")</f>
        <v>1753927024327</v>
      </c>
    </row>
    <row r="8338" spans="1:11" ht="12.45">
      <c r="A8338" s="2" t="str">
        <f ca="1">IFERROR(__xludf.DUMMYFUNCTION("""COMPUTED_VALUE"""),"1753927047355")</f>
        <v>1753927047355</v>
      </c>
      <c r="C8338" s="2" t="str">
        <v>0</v>
      </c>
      <c r="F8338" s="2" t="str">
        <v>0</v>
      </c>
      <c r="I8338" s="3" t="str">
        <f ca="1">IFERROR(__xludf.DUMMYFUNCTION("""COMPUTED_VALUE"""),"Nguyễn Hà Anh")</f>
        <v>Nguyễn Hà Anh</v>
      </c>
      <c r="J8338" s="3" t="str">
        <f ca="1">IFERROR(__xludf.DUMMYFUNCTION("""COMPUTED_VALUE"""),"0973044801")</f>
        <v>0973044801</v>
      </c>
      <c r="K8338" s="2" t="str">
        <f ca="1">IFERROR(__xludf.DUMMYFUNCTION("""COMPUTED_VALUE"""),"1753927047355")</f>
        <v>1753927047355</v>
      </c>
    </row>
    <row r="8339" spans="1:11" ht="12.45">
      <c r="A8339" s="2" t="str">
        <f ca="1">IFERROR(__xludf.DUMMYFUNCTION("""COMPUTED_VALUE"""),"1753927071113")</f>
        <v>1753927071113</v>
      </c>
      <c r="C8339" s="2" t="str">
        <v>0</v>
      </c>
      <c r="F8339" s="2" t="str">
        <v>0</v>
      </c>
      <c r="I8339" s="3" t="str">
        <f ca="1">IFERROR(__xludf.DUMMYFUNCTION("""COMPUTED_VALUE"""),"Đỗ Thanh Trúc")</f>
        <v>Đỗ Thanh Trúc</v>
      </c>
      <c r="J8339" s="3" t="str">
        <f ca="1">IFERROR(__xludf.DUMMYFUNCTION("""COMPUTED_VALUE"""),"0793394062")</f>
        <v>0793394062</v>
      </c>
      <c r="K8339" s="2" t="str">
        <f ca="1">IFERROR(__xludf.DUMMYFUNCTION("""COMPUTED_VALUE"""),"1753927071113")</f>
        <v>1753927071113</v>
      </c>
    </row>
    <row r="8340" spans="1:11" ht="12.45">
      <c r="A8340" s="2"/>
      <c r="C8340" s="2" t="str">
        <v>0</v>
      </c>
      <c r="F8340" s="2" t="str">
        <v>0</v>
      </c>
      <c r="I8340" s="3" t="str">
        <f ca="1">IFERROR(__xludf.DUMMYFUNCTION("""COMPUTED_VALUE"""),"Muội Nguyễn")</f>
        <v>Muội Nguyễn</v>
      </c>
      <c r="J8340" s="3" t="str">
        <f ca="1">IFERROR(__xludf.DUMMYFUNCTION("""COMPUTED_VALUE"""),"8432825854")</f>
        <v>8432825854</v>
      </c>
      <c r="K8340" s="2"/>
    </row>
    <row r="8341" spans="1:11" ht="12.45">
      <c r="A8341" s="2" t="str">
        <f ca="1">IFERROR(__xludf.DUMMYFUNCTION("""COMPUTED_VALUE"""),"1753927093591")</f>
        <v>1753927093591</v>
      </c>
      <c r="C8341" s="2" t="str">
        <v>0</v>
      </c>
      <c r="F8341" s="2" t="str">
        <v>0</v>
      </c>
      <c r="I8341" s="3" t="str">
        <f ca="1">IFERROR(__xludf.DUMMYFUNCTION("""COMPUTED_VALUE"""),"Phạm Hoàng Thông")</f>
        <v>Phạm Hoàng Thông</v>
      </c>
      <c r="J8341" s="3" t="str">
        <f ca="1">IFERROR(__xludf.DUMMYFUNCTION("""COMPUTED_VALUE"""),"0369380881")</f>
        <v>0369380881</v>
      </c>
      <c r="K8341" s="2" t="str">
        <f ca="1">IFERROR(__xludf.DUMMYFUNCTION("""COMPUTED_VALUE"""),"1753927093591")</f>
        <v>1753927093591</v>
      </c>
    </row>
    <row r="8342" spans="1:11" ht="12.45">
      <c r="A8342" s="2" t="str">
        <f ca="1">IFERROR(__xludf.DUMMYFUNCTION("""COMPUTED_VALUE"""),"1753927113199")</f>
        <v>1753927113199</v>
      </c>
      <c r="C8342" s="2" t="str">
        <v>0</v>
      </c>
      <c r="F8342" s="2" t="str">
        <v>0</v>
      </c>
      <c r="I8342" s="3" t="str">
        <f ca="1">IFERROR(__xludf.DUMMYFUNCTION("""COMPUTED_VALUE"""),"Nguyễn Duy Tân")</f>
        <v>Nguyễn Duy Tân</v>
      </c>
      <c r="J8342" s="3" t="str">
        <f ca="1">IFERROR(__xludf.DUMMYFUNCTION("""COMPUTED_VALUE"""),"0933938592")</f>
        <v>0933938592</v>
      </c>
      <c r="K8342" s="2" t="str">
        <f ca="1">IFERROR(__xludf.DUMMYFUNCTION("""COMPUTED_VALUE"""),"1753927113199")</f>
        <v>1753927113199</v>
      </c>
    </row>
    <row r="8343" spans="1:11" ht="12.45">
      <c r="A8343" s="2" t="str">
        <f ca="1">IFERROR(__xludf.DUMMYFUNCTION("""COMPUTED_VALUE"""),"1753927135170")</f>
        <v>1753927135170</v>
      </c>
      <c r="C8343" s="2" t="str">
        <v>0</v>
      </c>
      <c r="F8343" s="2" t="str">
        <v>0</v>
      </c>
      <c r="I8343" s="3" t="str">
        <f ca="1">IFERROR(__xludf.DUMMYFUNCTION("""COMPUTED_VALUE"""),"Phạm Yến Nhi")</f>
        <v>Phạm Yến Nhi</v>
      </c>
      <c r="J8343" s="3" t="str">
        <f ca="1">IFERROR(__xludf.DUMMYFUNCTION("""COMPUTED_VALUE"""),"0358233556")</f>
        <v>0358233556</v>
      </c>
      <c r="K8343" s="2" t="str">
        <f ca="1">IFERROR(__xludf.DUMMYFUNCTION("""COMPUTED_VALUE"""),"1753927135170")</f>
        <v>1753927135170</v>
      </c>
    </row>
    <row r="8344" spans="1:11" ht="12.45">
      <c r="A8344" s="2" t="str">
        <f ca="1">IFERROR(__xludf.DUMMYFUNCTION("""COMPUTED_VALUE"""),"1753927153925")</f>
        <v>1753927153925</v>
      </c>
      <c r="C8344" s="2" t="str">
        <v>0</v>
      </c>
      <c r="F8344" s="2" t="str">
        <v>0</v>
      </c>
      <c r="I8344" s="3" t="str">
        <f ca="1">IFERROR(__xludf.DUMMYFUNCTION("""COMPUTED_VALUE"""),"Lê thị Xuân")</f>
        <v>Lê thị Xuân</v>
      </c>
      <c r="J8344" s="3" t="str">
        <f ca="1">IFERROR(__xludf.DUMMYFUNCTION("""COMPUTED_VALUE"""),"0988550217")</f>
        <v>0988550217</v>
      </c>
      <c r="K8344" s="2" t="str">
        <f ca="1">IFERROR(__xludf.DUMMYFUNCTION("""COMPUTED_VALUE"""),"1753927153925")</f>
        <v>1753927153925</v>
      </c>
    </row>
    <row r="8345" spans="1:11" ht="12.45">
      <c r="A8345" s="2" t="str">
        <f ca="1">IFERROR(__xludf.DUMMYFUNCTION("""COMPUTED_VALUE"""),"1753927176770")</f>
        <v>1753927176770</v>
      </c>
      <c r="C8345" s="2" t="str">
        <v>0</v>
      </c>
      <c r="F8345" s="2" t="str">
        <v>0</v>
      </c>
      <c r="I8345" s="3" t="str">
        <f ca="1">IFERROR(__xludf.DUMMYFUNCTION("""COMPUTED_VALUE"""),"Trần Lê Thảo Vy")</f>
        <v>Trần Lê Thảo Vy</v>
      </c>
      <c r="J8345" s="3" t="str">
        <f ca="1">IFERROR(__xludf.DUMMYFUNCTION("""COMPUTED_VALUE"""),"0989639707")</f>
        <v>0989639707</v>
      </c>
      <c r="K8345" s="2" t="str">
        <f ca="1">IFERROR(__xludf.DUMMYFUNCTION("""COMPUTED_VALUE"""),"1753927176770")</f>
        <v>1753927176770</v>
      </c>
    </row>
    <row r="8346" spans="1:11" ht="12.45">
      <c r="A8346" s="2" t="str">
        <f ca="1">IFERROR(__xludf.DUMMYFUNCTION("""COMPUTED_VALUE"""),"1753927191241")</f>
        <v>1753927191241</v>
      </c>
      <c r="C8346" s="2" t="str">
        <v>0</v>
      </c>
      <c r="F8346" s="2" t="str">
        <v>0</v>
      </c>
      <c r="I8346" s="3" t="str">
        <f ca="1">IFERROR(__xludf.DUMMYFUNCTION("""COMPUTED_VALUE"""),"Đỗ Hoàng Linh")</f>
        <v>Đỗ Hoàng Linh</v>
      </c>
      <c r="J8346" s="3" t="str">
        <f ca="1">IFERROR(__xludf.DUMMYFUNCTION("""COMPUTED_VALUE"""),"0988016934")</f>
        <v>0988016934</v>
      </c>
      <c r="K8346" s="2" t="str">
        <f ca="1">IFERROR(__xludf.DUMMYFUNCTION("""COMPUTED_VALUE"""),"1753927191241")</f>
        <v>1753927191241</v>
      </c>
    </row>
    <row r="8347" spans="1:11" ht="12.45">
      <c r="A8347" s="2" t="str">
        <f ca="1">IFERROR(__xludf.DUMMYFUNCTION("""COMPUTED_VALUE"""),"1753927210603")</f>
        <v>1753927210603</v>
      </c>
      <c r="C8347" s="2" t="str">
        <v>0</v>
      </c>
      <c r="F8347" s="2" t="str">
        <v>0</v>
      </c>
      <c r="I8347" s="3" t="str">
        <f ca="1">IFERROR(__xludf.DUMMYFUNCTION("""COMPUTED_VALUE"""),"Võ Hoàng Yến Nhi ")</f>
        <v xml:space="preserve">Võ Hoàng Yến Nhi </v>
      </c>
      <c r="J8347" s="3" t="str">
        <f ca="1">IFERROR(__xludf.DUMMYFUNCTION("""COMPUTED_VALUE"""),"0933719334")</f>
        <v>0933719334</v>
      </c>
      <c r="K8347" s="2" t="str">
        <f ca="1">IFERROR(__xludf.DUMMYFUNCTION("""COMPUTED_VALUE"""),"1753927210603")</f>
        <v>1753927210603</v>
      </c>
    </row>
    <row r="8348" spans="1:11" ht="12.45">
      <c r="A8348" s="2" t="str">
        <f ca="1">IFERROR(__xludf.DUMMYFUNCTION("""COMPUTED_VALUE"""),"1753927233086")</f>
        <v>1753927233086</v>
      </c>
      <c r="C8348" s="2" t="str">
        <v>0</v>
      </c>
      <c r="F8348" s="2" t="str">
        <v>0</v>
      </c>
      <c r="I8348" s="3" t="str">
        <f ca="1">IFERROR(__xludf.DUMMYFUNCTION("""COMPUTED_VALUE"""),"Đinh Tuấn Hưng")</f>
        <v>Đinh Tuấn Hưng</v>
      </c>
      <c r="J8348" s="3" t="str">
        <f ca="1">IFERROR(__xludf.DUMMYFUNCTION("""COMPUTED_VALUE"""),"0971074790")</f>
        <v>0971074790</v>
      </c>
      <c r="K8348" s="2" t="str">
        <f ca="1">IFERROR(__xludf.DUMMYFUNCTION("""COMPUTED_VALUE"""),"1753927233086")</f>
        <v>1753927233086</v>
      </c>
    </row>
    <row r="8349" spans="1:11" ht="12.45">
      <c r="A8349" s="2" t="str">
        <f ca="1">IFERROR(__xludf.DUMMYFUNCTION("""COMPUTED_VALUE"""),"1753927253863")</f>
        <v>1753927253863</v>
      </c>
      <c r="C8349" s="2" t="str">
        <v>0</v>
      </c>
      <c r="F8349" s="2" t="str">
        <v>0</v>
      </c>
      <c r="I8349" s="3" t="str">
        <f ca="1">IFERROR(__xludf.DUMMYFUNCTION("""COMPUTED_VALUE"""),"Phạm Yến Chi")</f>
        <v>Phạm Yến Chi</v>
      </c>
      <c r="J8349" s="3" t="str">
        <f ca="1">IFERROR(__xludf.DUMMYFUNCTION("""COMPUTED_VALUE"""),"0372025289")</f>
        <v>0372025289</v>
      </c>
      <c r="K8349" s="2" t="str">
        <f ca="1">IFERROR(__xludf.DUMMYFUNCTION("""COMPUTED_VALUE"""),"1753927253863")</f>
        <v>1753927253863</v>
      </c>
    </row>
    <row r="8350" spans="1:11" ht="12.45">
      <c r="A8350" s="2" t="str">
        <f ca="1">IFERROR(__xludf.DUMMYFUNCTION("""COMPUTED_VALUE"""),"1753927269545")</f>
        <v>1753927269545</v>
      </c>
      <c r="C8350" s="2" t="str">
        <v>0</v>
      </c>
      <c r="F8350" s="2" t="str">
        <v>0</v>
      </c>
      <c r="I8350" s="3" t="str">
        <f ca="1">IFERROR(__xludf.DUMMYFUNCTION("""COMPUTED_VALUE"""),"Vũ Minh Phương ")</f>
        <v xml:space="preserve">Vũ Minh Phương </v>
      </c>
      <c r="J8350" s="3" t="str">
        <f ca="1">IFERROR(__xludf.DUMMYFUNCTION("""COMPUTED_VALUE"""),"0337388958")</f>
        <v>0337388958</v>
      </c>
      <c r="K8350" s="2" t="str">
        <f ca="1">IFERROR(__xludf.DUMMYFUNCTION("""COMPUTED_VALUE"""),"1753927269545")</f>
        <v>1753927269545</v>
      </c>
    </row>
    <row r="8351" spans="1:11" ht="12.45">
      <c r="A8351" s="2" t="str">
        <f ca="1">IFERROR(__xludf.DUMMYFUNCTION("""COMPUTED_VALUE"""),"1753927292104")</f>
        <v>1753927292104</v>
      </c>
      <c r="C8351" s="2" t="str">
        <v>0</v>
      </c>
      <c r="F8351" s="2" t="str">
        <v>0</v>
      </c>
      <c r="I8351" s="3" t="str">
        <f ca="1">IFERROR(__xludf.DUMMYFUNCTION("""COMPUTED_VALUE"""),"Dương Nhựt Minh")</f>
        <v>Dương Nhựt Minh</v>
      </c>
      <c r="J8351" s="3" t="str">
        <f ca="1">IFERROR(__xludf.DUMMYFUNCTION("""COMPUTED_VALUE"""),"0837487768")</f>
        <v>0837487768</v>
      </c>
      <c r="K8351" s="2" t="str">
        <f ca="1">IFERROR(__xludf.DUMMYFUNCTION("""COMPUTED_VALUE"""),"1753927292104")</f>
        <v>1753927292104</v>
      </c>
    </row>
    <row r="8352" spans="1:11" ht="12.45">
      <c r="A8352" s="2" t="str">
        <f ca="1">IFERROR(__xludf.DUMMYFUNCTION("""COMPUTED_VALUE"""),"1753927312690")</f>
        <v>1753927312690</v>
      </c>
      <c r="C8352" s="2" t="str">
        <v>0</v>
      </c>
      <c r="F8352" s="2" t="str">
        <v>0</v>
      </c>
      <c r="I8352" s="3" t="str">
        <f ca="1">IFERROR(__xludf.DUMMYFUNCTION("""COMPUTED_VALUE"""),"Nguyễn Thị Quỳnh Như")</f>
        <v>Nguyễn Thị Quỳnh Như</v>
      </c>
      <c r="J8352" s="3" t="str">
        <f ca="1">IFERROR(__xludf.DUMMYFUNCTION("""COMPUTED_VALUE"""),"0935587452")</f>
        <v>0935587452</v>
      </c>
      <c r="K8352" s="2" t="str">
        <f ca="1">IFERROR(__xludf.DUMMYFUNCTION("""COMPUTED_VALUE"""),"1753927312690")</f>
        <v>1753927312690</v>
      </c>
    </row>
    <row r="8353" spans="1:11" ht="12.45">
      <c r="A8353" s="2" t="str">
        <f ca="1">IFERROR(__xludf.DUMMYFUNCTION("""COMPUTED_VALUE"""),"1753927334962")</f>
        <v>1753927334962</v>
      </c>
      <c r="C8353" s="2" t="str">
        <v>0</v>
      </c>
      <c r="F8353" s="2" t="str">
        <v>0</v>
      </c>
      <c r="I8353" s="3" t="str">
        <f ca="1">IFERROR(__xludf.DUMMYFUNCTION("""COMPUTED_VALUE"""),"Nguyễn Thị Như Mây")</f>
        <v>Nguyễn Thị Như Mây</v>
      </c>
      <c r="J8353" s="3" t="str">
        <f ca="1">IFERROR(__xludf.DUMMYFUNCTION("""COMPUTED_VALUE"""),"0357199577")</f>
        <v>0357199577</v>
      </c>
      <c r="K8353" s="2" t="str">
        <f ca="1">IFERROR(__xludf.DUMMYFUNCTION("""COMPUTED_VALUE"""),"1753927334962")</f>
        <v>1753927334962</v>
      </c>
    </row>
    <row r="8354" spans="1:11" ht="12.45">
      <c r="A8354" s="2" t="str">
        <f ca="1">IFERROR(__xludf.DUMMYFUNCTION("""COMPUTED_VALUE"""),"1753927358957")</f>
        <v>1753927358957</v>
      </c>
      <c r="C8354" s="2" t="str">
        <v>0</v>
      </c>
      <c r="F8354" s="2" t="str">
        <v>0</v>
      </c>
      <c r="I8354" s="3" t="str">
        <f ca="1">IFERROR(__xludf.DUMMYFUNCTION("""COMPUTED_VALUE"""),"Trương Thảo Vy")</f>
        <v>Trương Thảo Vy</v>
      </c>
      <c r="J8354" s="3" t="str">
        <f ca="1">IFERROR(__xludf.DUMMYFUNCTION("""COMPUTED_VALUE"""),"0378928450")</f>
        <v>0378928450</v>
      </c>
      <c r="K8354" s="2" t="str">
        <f ca="1">IFERROR(__xludf.DUMMYFUNCTION("""COMPUTED_VALUE"""),"1753927358957")</f>
        <v>1753927358957</v>
      </c>
    </row>
    <row r="8355" spans="1:11" ht="12.45">
      <c r="A8355" s="2"/>
      <c r="C8355" s="2" t="str">
        <v>0</v>
      </c>
      <c r="F8355" s="2" t="str">
        <v>0</v>
      </c>
      <c r="I8355" s="3" t="str">
        <f ca="1">IFERROR(__xludf.DUMMYFUNCTION("""COMPUTED_VALUE"""),"Phạm Ly")</f>
        <v>Phạm Ly</v>
      </c>
      <c r="J8355" s="3" t="str">
        <f ca="1">IFERROR(__xludf.DUMMYFUNCTION("""COMPUTED_VALUE"""),"0388503790")</f>
        <v>0388503790</v>
      </c>
      <c r="K8355" s="2"/>
    </row>
    <row r="8356" spans="1:11" ht="12.45">
      <c r="A8356" s="2" t="str">
        <f ca="1">IFERROR(__xludf.DUMMYFUNCTION("""COMPUTED_VALUE"""),"1753927382619")</f>
        <v>1753927382619</v>
      </c>
      <c r="C8356" s="2" t="str">
        <v>0</v>
      </c>
      <c r="F8356" s="2" t="str">
        <v>0</v>
      </c>
      <c r="I8356" s="3" t="str">
        <f ca="1">IFERROR(__xludf.DUMMYFUNCTION("""COMPUTED_VALUE"""),"Nguyễn Phúc Lâm")</f>
        <v>Nguyễn Phúc Lâm</v>
      </c>
      <c r="J8356" s="3" t="str">
        <f ca="1">IFERROR(__xludf.DUMMYFUNCTION("""COMPUTED_VALUE"""),"0988674860")</f>
        <v>0988674860</v>
      </c>
      <c r="K8356" s="2" t="str">
        <f ca="1">IFERROR(__xludf.DUMMYFUNCTION("""COMPUTED_VALUE"""),"1753927382619")</f>
        <v>1753927382619</v>
      </c>
    </row>
    <row r="8357" spans="1:11" ht="12.45">
      <c r="A8357" s="2" t="str">
        <f ca="1">IFERROR(__xludf.DUMMYFUNCTION("""COMPUTED_VALUE"""),"1753927404785")</f>
        <v>1753927404785</v>
      </c>
      <c r="C8357" s="2" t="str">
        <v>0</v>
      </c>
      <c r="F8357" s="2" t="str">
        <v>0</v>
      </c>
      <c r="I8357" s="3" t="str">
        <f ca="1">IFERROR(__xludf.DUMMYFUNCTION("""COMPUTED_VALUE"""),"Nguyễn hữu phước ")</f>
        <v xml:space="preserve">Nguyễn hữu phước </v>
      </c>
      <c r="J8357" s="3" t="str">
        <f ca="1">IFERROR(__xludf.DUMMYFUNCTION("""COMPUTED_VALUE"""),"0787846050")</f>
        <v>0787846050</v>
      </c>
      <c r="K8357" s="2" t="str">
        <f ca="1">IFERROR(__xludf.DUMMYFUNCTION("""COMPUTED_VALUE"""),"1753927404785")</f>
        <v>1753927404785</v>
      </c>
    </row>
    <row r="8358" spans="1:11" ht="12.45">
      <c r="A8358" s="2" t="str">
        <f ca="1">IFERROR(__xludf.DUMMYFUNCTION("""COMPUTED_VALUE"""),"1753927422698")</f>
        <v>1753927422698</v>
      </c>
      <c r="C8358" s="2" t="str">
        <v>0</v>
      </c>
      <c r="F8358" s="2" t="str">
        <v>0</v>
      </c>
      <c r="I8358" s="3" t="str">
        <f ca="1">IFERROR(__xludf.DUMMYFUNCTION("""COMPUTED_VALUE"""),"Trần Ngọc Chinh")</f>
        <v>Trần Ngọc Chinh</v>
      </c>
      <c r="J8358" s="3" t="str">
        <f ca="1">IFERROR(__xludf.DUMMYFUNCTION("""COMPUTED_VALUE"""),"0824756777")</f>
        <v>0824756777</v>
      </c>
      <c r="K8358" s="2" t="str">
        <f ca="1">IFERROR(__xludf.DUMMYFUNCTION("""COMPUTED_VALUE"""),"1753927422698")</f>
        <v>1753927422698</v>
      </c>
    </row>
    <row r="8359" spans="1:11" ht="12.45">
      <c r="A8359" s="2" t="str">
        <f ca="1">IFERROR(__xludf.DUMMYFUNCTION("""COMPUTED_VALUE"""),"1753927444904")</f>
        <v>1753927444904</v>
      </c>
      <c r="C8359" s="2" t="str">
        <v>0</v>
      </c>
      <c r="F8359" s="2" t="str">
        <v>0</v>
      </c>
      <c r="I8359" s="3" t="str">
        <f ca="1">IFERROR(__xludf.DUMMYFUNCTION("""COMPUTED_VALUE"""),"đinh tuệ linh")</f>
        <v>đinh tuệ linh</v>
      </c>
      <c r="J8359" s="3" t="str">
        <f ca="1">IFERROR(__xludf.DUMMYFUNCTION("""COMPUTED_VALUE"""),"0886452036")</f>
        <v>0886452036</v>
      </c>
      <c r="K8359" s="2" t="str">
        <f ca="1">IFERROR(__xludf.DUMMYFUNCTION("""COMPUTED_VALUE"""),"1753927444904")</f>
        <v>1753927444904</v>
      </c>
    </row>
    <row r="8360" spans="1:11" ht="12.45">
      <c r="A8360" s="2" t="str">
        <f ca="1">IFERROR(__xludf.DUMMYFUNCTION("""COMPUTED_VALUE"""),"1753927472285")</f>
        <v>1753927472285</v>
      </c>
      <c r="C8360" s="2" t="str">
        <v>0</v>
      </c>
      <c r="F8360" s="2" t="str">
        <v>0</v>
      </c>
      <c r="I8360" s="3" t="str">
        <f ca="1">IFERROR(__xludf.DUMMYFUNCTION("""COMPUTED_VALUE"""),"Nguyễn Ngọc Tú Linh")</f>
        <v>Nguyễn Ngọc Tú Linh</v>
      </c>
      <c r="J8360" s="3" t="str">
        <f ca="1">IFERROR(__xludf.DUMMYFUNCTION("""COMPUTED_VALUE"""),"0912621354")</f>
        <v>0912621354</v>
      </c>
      <c r="K8360" s="2" t="str">
        <f ca="1">IFERROR(__xludf.DUMMYFUNCTION("""COMPUTED_VALUE"""),"1753927472285")</f>
        <v>1753927472285</v>
      </c>
    </row>
    <row r="8361" spans="1:11" ht="12.45">
      <c r="A8361" s="2" t="str">
        <f ca="1">IFERROR(__xludf.DUMMYFUNCTION("""COMPUTED_VALUE"""),"1753927494110")</f>
        <v>1753927494110</v>
      </c>
      <c r="C8361" s="2" t="str">
        <v>0</v>
      </c>
      <c r="F8361" s="2" t="str">
        <v>0</v>
      </c>
      <c r="I8361" s="3" t="str">
        <f ca="1">IFERROR(__xludf.DUMMYFUNCTION("""COMPUTED_VALUE"""),"Nguyễn Đình Thi ")</f>
        <v xml:space="preserve">Nguyễn Đình Thi </v>
      </c>
      <c r="J8361" s="3" t="str">
        <f ca="1">IFERROR(__xludf.DUMMYFUNCTION("""COMPUTED_VALUE"""),"0946460398")</f>
        <v>0946460398</v>
      </c>
      <c r="K8361" s="2" t="str">
        <f ca="1">IFERROR(__xludf.DUMMYFUNCTION("""COMPUTED_VALUE"""),"1753927494110")</f>
        <v>1753927494110</v>
      </c>
    </row>
    <row r="8362" spans="1:11" ht="12.45">
      <c r="A8362" s="2" t="str">
        <f ca="1">IFERROR(__xludf.DUMMYFUNCTION("""COMPUTED_VALUE"""),"1753927520249")</f>
        <v>1753927520249</v>
      </c>
      <c r="C8362" s="2" t="str">
        <v>0</v>
      </c>
      <c r="F8362" s="2" t="str">
        <v>0</v>
      </c>
      <c r="I8362" s="3" t="str">
        <f ca="1">IFERROR(__xludf.DUMMYFUNCTION("""COMPUTED_VALUE"""),"Lê Nguyễn Thuỳ Linh ")</f>
        <v xml:space="preserve">Lê Nguyễn Thuỳ Linh </v>
      </c>
      <c r="J8362" s="3" t="str">
        <f ca="1">IFERROR(__xludf.DUMMYFUNCTION("""COMPUTED_VALUE"""),"0974099392")</f>
        <v>0974099392</v>
      </c>
      <c r="K8362" s="2" t="str">
        <f ca="1">IFERROR(__xludf.DUMMYFUNCTION("""COMPUTED_VALUE"""),"1753927520249")</f>
        <v>1753927520249</v>
      </c>
    </row>
    <row r="8363" spans="1:11" ht="12.45">
      <c r="A8363" s="2" t="str">
        <f ca="1">IFERROR(__xludf.DUMMYFUNCTION("""COMPUTED_VALUE"""),"1753927539204")</f>
        <v>1753927539204</v>
      </c>
      <c r="C8363" s="2" t="str">
        <v>0</v>
      </c>
      <c r="F8363" s="2" t="str">
        <v>0</v>
      </c>
      <c r="I8363" s="3" t="str">
        <f ca="1">IFERROR(__xludf.DUMMYFUNCTION("""COMPUTED_VALUE"""),"Lê Hải Thịnh")</f>
        <v>Lê Hải Thịnh</v>
      </c>
      <c r="J8363" s="3" t="str">
        <f ca="1">IFERROR(__xludf.DUMMYFUNCTION("""COMPUTED_VALUE"""),"0984065007")</f>
        <v>0984065007</v>
      </c>
      <c r="K8363" s="2" t="str">
        <f ca="1">IFERROR(__xludf.DUMMYFUNCTION("""COMPUTED_VALUE"""),"1753927539204")</f>
        <v>1753927539204</v>
      </c>
    </row>
    <row r="8364" spans="1:11" ht="12.45">
      <c r="A8364" s="2"/>
      <c r="C8364" s="2" t="str">
        <v>0</v>
      </c>
      <c r="F8364" s="2" t="str">
        <v>0</v>
      </c>
      <c r="I8364" s="3" t="str">
        <f ca="1">IFERROR(__xludf.DUMMYFUNCTION("""COMPUTED_VALUE"""),"Hồ Cẩm Đào")</f>
        <v>Hồ Cẩm Đào</v>
      </c>
      <c r="J8364" s="3" t="str">
        <f ca="1">IFERROR(__xludf.DUMMYFUNCTION("""COMPUTED_VALUE"""),"0963949276")</f>
        <v>0963949276</v>
      </c>
      <c r="K8364" s="2"/>
    </row>
    <row r="8365" spans="1:11" ht="12.45">
      <c r="A8365" s="2" t="str">
        <f ca="1">IFERROR(__xludf.DUMMYFUNCTION("""COMPUTED_VALUE"""),"1753927563988")</f>
        <v>1753927563988</v>
      </c>
      <c r="C8365" s="2" t="str">
        <v>0</v>
      </c>
      <c r="F8365" s="2" t="str">
        <v>0</v>
      </c>
      <c r="I8365" s="3" t="str">
        <f ca="1">IFERROR(__xludf.DUMMYFUNCTION("""COMPUTED_VALUE"""),"Khánh Ly")</f>
        <v>Khánh Ly</v>
      </c>
      <c r="J8365" s="3" t="str">
        <f ca="1">IFERROR(__xludf.DUMMYFUNCTION("""COMPUTED_VALUE"""),"0372381742")</f>
        <v>0372381742</v>
      </c>
      <c r="K8365" s="2" t="str">
        <f ca="1">IFERROR(__xludf.DUMMYFUNCTION("""COMPUTED_VALUE"""),"1753927563988")</f>
        <v>1753927563988</v>
      </c>
    </row>
    <row r="8366" spans="1:11" ht="12.45">
      <c r="A8366" s="2" t="str">
        <f ca="1">IFERROR(__xludf.DUMMYFUNCTION("""COMPUTED_VALUE"""),"1753927588817")</f>
        <v>1753927588817</v>
      </c>
      <c r="C8366" s="2" t="str">
        <v>0</v>
      </c>
      <c r="F8366" s="2" t="str">
        <v>0</v>
      </c>
      <c r="I8366" s="3" t="str">
        <f ca="1">IFERROR(__xludf.DUMMYFUNCTION("""COMPUTED_VALUE"""),"Phạm Đức Huy")</f>
        <v>Phạm Đức Huy</v>
      </c>
      <c r="J8366" s="3" t="str">
        <f ca="1">IFERROR(__xludf.DUMMYFUNCTION("""COMPUTED_VALUE"""),"0859205922")</f>
        <v>0859205922</v>
      </c>
      <c r="K8366" s="2" t="str">
        <f ca="1">IFERROR(__xludf.DUMMYFUNCTION("""COMPUTED_VALUE"""),"1753927588817")</f>
        <v>1753927588817</v>
      </c>
    </row>
    <row r="8367" spans="1:11" ht="12.45">
      <c r="A8367" s="2" t="str">
        <f ca="1">IFERROR(__xludf.DUMMYFUNCTION("""COMPUTED_VALUE"""),"1753927610504")</f>
        <v>1753927610504</v>
      </c>
      <c r="C8367" s="2" t="str">
        <v>0</v>
      </c>
      <c r="F8367" s="2" t="str">
        <v>0</v>
      </c>
      <c r="I8367" s="3" t="str">
        <f ca="1">IFERROR(__xludf.DUMMYFUNCTION("""COMPUTED_VALUE"""),"Biện Quốc Cường")</f>
        <v>Biện Quốc Cường</v>
      </c>
      <c r="J8367" s="3" t="str">
        <f ca="1">IFERROR(__xludf.DUMMYFUNCTION("""COMPUTED_VALUE"""),"0816385007")</f>
        <v>0816385007</v>
      </c>
      <c r="K8367" s="2" t="str">
        <f ca="1">IFERROR(__xludf.DUMMYFUNCTION("""COMPUTED_VALUE"""),"1753927610504")</f>
        <v>1753927610504</v>
      </c>
    </row>
    <row r="8368" spans="1:11" ht="12.45">
      <c r="A8368" s="2" t="str">
        <f ca="1">IFERROR(__xludf.DUMMYFUNCTION("""COMPUTED_VALUE"""),"1753927628041")</f>
        <v>1753927628041</v>
      </c>
      <c r="C8368" s="2" t="str">
        <v>0</v>
      </c>
      <c r="F8368" s="2" t="str">
        <v>0</v>
      </c>
      <c r="I8368" s="3" t="str">
        <f ca="1">IFERROR(__xludf.DUMMYFUNCTION("""COMPUTED_VALUE"""),"Vương quỳnh trang ")</f>
        <v xml:space="preserve">Vương quỳnh trang </v>
      </c>
      <c r="J8368" s="3" t="str">
        <f ca="1">IFERROR(__xludf.DUMMYFUNCTION("""COMPUTED_VALUE"""),"0855665957")</f>
        <v>0855665957</v>
      </c>
      <c r="K8368" s="2" t="str">
        <f ca="1">IFERROR(__xludf.DUMMYFUNCTION("""COMPUTED_VALUE"""),"1753927628041")</f>
        <v>1753927628041</v>
      </c>
    </row>
    <row r="8369" spans="1:11" ht="12.45">
      <c r="A8369" s="2" t="str">
        <f ca="1">IFERROR(__xludf.DUMMYFUNCTION("""COMPUTED_VALUE"""),"1753927643195")</f>
        <v>1753927643195</v>
      </c>
      <c r="C8369" s="2" t="str">
        <v>0</v>
      </c>
      <c r="F8369" s="2" t="str">
        <v>0</v>
      </c>
      <c r="I8369" s="3" t="str">
        <f ca="1">IFERROR(__xludf.DUMMYFUNCTION("""COMPUTED_VALUE"""),"Lương Bảo Linh")</f>
        <v>Lương Bảo Linh</v>
      </c>
      <c r="J8369" s="3" t="str">
        <f ca="1">IFERROR(__xludf.DUMMYFUNCTION("""COMPUTED_VALUE"""),"0338399788")</f>
        <v>0338399788</v>
      </c>
      <c r="K8369" s="2" t="str">
        <f ca="1">IFERROR(__xludf.DUMMYFUNCTION("""COMPUTED_VALUE"""),"1753927643195")</f>
        <v>1753927643195</v>
      </c>
    </row>
    <row r="8370" spans="1:11" ht="12.45">
      <c r="A8370" s="2" t="str">
        <f ca="1">IFERROR(__xludf.DUMMYFUNCTION("""COMPUTED_VALUE"""),"1753927664641")</f>
        <v>1753927664641</v>
      </c>
      <c r="C8370" s="2" t="str">
        <v>0</v>
      </c>
      <c r="F8370" s="2" t="str">
        <v>0</v>
      </c>
      <c r="I8370" s="3" t="str">
        <f ca="1">IFERROR(__xludf.DUMMYFUNCTION("""COMPUTED_VALUE"""),"Phạm Tuyết Nhung ")</f>
        <v xml:space="preserve">Phạm Tuyết Nhung </v>
      </c>
      <c r="J8370" s="3" t="str">
        <f ca="1">IFERROR(__xludf.DUMMYFUNCTION("""COMPUTED_VALUE"""),"0375707256")</f>
        <v>0375707256</v>
      </c>
      <c r="K8370" s="2" t="str">
        <f ca="1">IFERROR(__xludf.DUMMYFUNCTION("""COMPUTED_VALUE"""),"1753927664641")</f>
        <v>1753927664641</v>
      </c>
    </row>
    <row r="8371" spans="1:11" ht="12.45">
      <c r="A8371" s="2" t="str">
        <f ca="1">IFERROR(__xludf.DUMMYFUNCTION("""COMPUTED_VALUE"""),"1753927687447")</f>
        <v>1753927687447</v>
      </c>
      <c r="C8371" s="2" t="str">
        <v>0</v>
      </c>
      <c r="F8371" s="2" t="str">
        <v>0</v>
      </c>
      <c r="I8371" s="3" t="str">
        <f ca="1">IFERROR(__xludf.DUMMYFUNCTION("""COMPUTED_VALUE"""),"Dương Hà My")</f>
        <v>Dương Hà My</v>
      </c>
      <c r="J8371" s="3" t="str">
        <f ca="1">IFERROR(__xludf.DUMMYFUNCTION("""COMPUTED_VALUE"""),"0342119458")</f>
        <v>0342119458</v>
      </c>
      <c r="K8371" s="2" t="str">
        <f ca="1">IFERROR(__xludf.DUMMYFUNCTION("""COMPUTED_VALUE"""),"1753927687447")</f>
        <v>1753927687447</v>
      </c>
    </row>
    <row r="8372" spans="1:11" ht="12.45">
      <c r="A8372" s="2" t="str">
        <f ca="1">IFERROR(__xludf.DUMMYFUNCTION("""COMPUTED_VALUE"""),"1753927712014")</f>
        <v>1753927712014</v>
      </c>
      <c r="C8372" s="2" t="str">
        <v>0</v>
      </c>
      <c r="F8372" s="2" t="str">
        <v>0</v>
      </c>
      <c r="I8372" s="3" t="str">
        <f ca="1">IFERROR(__xludf.DUMMYFUNCTION("""COMPUTED_VALUE"""),"Nhật Minh")</f>
        <v>Nhật Minh</v>
      </c>
      <c r="J8372" s="3" t="str">
        <f ca="1">IFERROR(__xludf.DUMMYFUNCTION("""COMPUTED_VALUE"""),"0965372290")</f>
        <v>0965372290</v>
      </c>
      <c r="K8372" s="2" t="str">
        <f ca="1">IFERROR(__xludf.DUMMYFUNCTION("""COMPUTED_VALUE"""),"1753927712014")</f>
        <v>1753927712014</v>
      </c>
    </row>
    <row r="8373" spans="1:11" ht="12.45">
      <c r="A8373" s="2" t="str">
        <f ca="1">IFERROR(__xludf.DUMMYFUNCTION("""COMPUTED_VALUE"""),"1753927729265")</f>
        <v>1753927729265</v>
      </c>
      <c r="C8373" s="2" t="str">
        <v>0</v>
      </c>
      <c r="F8373" s="2" t="str">
        <v>0</v>
      </c>
      <c r="I8373" s="3" t="str">
        <f ca="1">IFERROR(__xludf.DUMMYFUNCTION("""COMPUTED_VALUE"""),"bùi minh thư ")</f>
        <v xml:space="preserve">bùi minh thư </v>
      </c>
      <c r="J8373" s="3" t="str">
        <f ca="1">IFERROR(__xludf.DUMMYFUNCTION("""COMPUTED_VALUE"""),"0983081859")</f>
        <v>0983081859</v>
      </c>
      <c r="K8373" s="2" t="str">
        <f ca="1">IFERROR(__xludf.DUMMYFUNCTION("""COMPUTED_VALUE"""),"1753927729265")</f>
        <v>1753927729265</v>
      </c>
    </row>
    <row r="8374" spans="1:11" ht="12.45">
      <c r="A8374" s="2" t="str">
        <f ca="1">IFERROR(__xludf.DUMMYFUNCTION("""COMPUTED_VALUE"""),"1750179543583")</f>
        <v>1750179543583</v>
      </c>
      <c r="C8374" s="2" t="str">
        <v>0</v>
      </c>
      <c r="F8374" s="2" t="str">
        <v>0</v>
      </c>
      <c r="I8374" s="3" t="str">
        <f ca="1">IFERROR(__xludf.DUMMYFUNCTION("""COMPUTED_VALUE"""),"Đỗ Bình Nhi")</f>
        <v>Đỗ Bình Nhi</v>
      </c>
      <c r="J8374" s="3" t="str">
        <f ca="1">IFERROR(__xludf.DUMMYFUNCTION("""COMPUTED_VALUE"""),"0386494587")</f>
        <v>0386494587</v>
      </c>
      <c r="K8374" s="2" t="str">
        <f ca="1">IFERROR(__xludf.DUMMYFUNCTION("""COMPUTED_VALUE"""),"1750179543583")</f>
        <v>1750179543583</v>
      </c>
    </row>
    <row r="8375" spans="1:11" ht="12.45">
      <c r="A8375" s="2" t="str">
        <f ca="1">IFERROR(__xludf.DUMMYFUNCTION("""COMPUTED_VALUE"""),"1750179575024")</f>
        <v>1750179575024</v>
      </c>
      <c r="C8375" s="2" t="str">
        <v>0</v>
      </c>
      <c r="F8375" s="2" t="str">
        <v>0</v>
      </c>
      <c r="I8375" s="3" t="str">
        <f ca="1">IFERROR(__xludf.DUMMYFUNCTION("""COMPUTED_VALUE"""),"Cao Nguyễn Tuệ Minh")</f>
        <v>Cao Nguyễn Tuệ Minh</v>
      </c>
      <c r="J8375" s="3" t="str">
        <f ca="1">IFERROR(__xludf.DUMMYFUNCTION("""COMPUTED_VALUE"""),"0903219897")</f>
        <v>0903219897</v>
      </c>
      <c r="K8375" s="2" t="str">
        <f ca="1">IFERROR(__xludf.DUMMYFUNCTION("""COMPUTED_VALUE"""),"1750179575024")</f>
        <v>1750179575024</v>
      </c>
    </row>
    <row r="8376" spans="1:11" ht="12.45">
      <c r="A8376" s="2" t="str">
        <f ca="1">IFERROR(__xludf.DUMMYFUNCTION("""COMPUTED_VALUE"""),"1750179599984")</f>
        <v>1750179599984</v>
      </c>
      <c r="C8376" s="2" t="str">
        <v>0</v>
      </c>
      <c r="F8376" s="2" t="str">
        <v>0</v>
      </c>
      <c r="I8376" s="3" t="str">
        <f ca="1">IFERROR(__xludf.DUMMYFUNCTION("""COMPUTED_VALUE"""),"Huỳnh Thanh Trúc ")</f>
        <v xml:space="preserve">Huỳnh Thanh Trúc </v>
      </c>
      <c r="J8376" s="3" t="str">
        <f ca="1">IFERROR(__xludf.DUMMYFUNCTION("""COMPUTED_VALUE"""),"0948134957")</f>
        <v>0948134957</v>
      </c>
      <c r="K8376" s="2" t="str">
        <f ca="1">IFERROR(__xludf.DUMMYFUNCTION("""COMPUTED_VALUE"""),"1750179599984")</f>
        <v>1750179599984</v>
      </c>
    </row>
    <row r="8377" spans="1:11" ht="12.45">
      <c r="A8377" s="2" t="str">
        <f ca="1">IFERROR(__xludf.DUMMYFUNCTION("""COMPUTED_VALUE"""),"1750179622949")</f>
        <v>1750179622949</v>
      </c>
      <c r="C8377" s="2" t="str">
        <v>0</v>
      </c>
      <c r="F8377" s="2" t="str">
        <v>0</v>
      </c>
      <c r="I8377" s="3" t="str">
        <f ca="1">IFERROR(__xludf.DUMMYFUNCTION("""COMPUTED_VALUE"""),"Nguyễn Ngọc Ánh ")</f>
        <v xml:space="preserve">Nguyễn Ngọc Ánh </v>
      </c>
      <c r="J8377" s="3" t="str">
        <f ca="1">IFERROR(__xludf.DUMMYFUNCTION("""COMPUTED_VALUE"""),"0359521640")</f>
        <v>0359521640</v>
      </c>
      <c r="K8377" s="2" t="str">
        <f ca="1">IFERROR(__xludf.DUMMYFUNCTION("""COMPUTED_VALUE"""),"1750179622949")</f>
        <v>1750179622949</v>
      </c>
    </row>
    <row r="8378" spans="1:11" ht="12.45">
      <c r="A8378" s="2" t="str">
        <f ca="1">IFERROR(__xludf.DUMMYFUNCTION("""COMPUTED_VALUE"""),"1750179647965")</f>
        <v>1750179647965</v>
      </c>
      <c r="C8378" s="2" t="str">
        <v>0</v>
      </c>
      <c r="F8378" s="2" t="str">
        <v>0</v>
      </c>
      <c r="I8378" s="3" t="str">
        <f ca="1">IFERROR(__xludf.DUMMYFUNCTION("""COMPUTED_VALUE"""),"Nguyễn Ngọc Yến Nhi")</f>
        <v>Nguyễn Ngọc Yến Nhi</v>
      </c>
      <c r="J8378" s="3" t="str">
        <f ca="1">IFERROR(__xludf.DUMMYFUNCTION("""COMPUTED_VALUE"""),"0356559451")</f>
        <v>0356559451</v>
      </c>
      <c r="K8378" s="2" t="str">
        <f ca="1">IFERROR(__xludf.DUMMYFUNCTION("""COMPUTED_VALUE"""),"1750179647965")</f>
        <v>1750179647965</v>
      </c>
    </row>
    <row r="8379" spans="1:11" ht="12.45">
      <c r="A8379" s="2" t="str">
        <f ca="1">IFERROR(__xludf.DUMMYFUNCTION("""COMPUTED_VALUE"""),"1750179670121")</f>
        <v>1750179670121</v>
      </c>
      <c r="C8379" s="2" t="str">
        <v>0</v>
      </c>
      <c r="F8379" s="2" t="str">
        <v>0</v>
      </c>
      <c r="I8379" s="3" t="str">
        <f ca="1">IFERROR(__xludf.DUMMYFUNCTION("""COMPUTED_VALUE"""),"LÒ VĂN KHOA")</f>
        <v>LÒ VĂN KHOA</v>
      </c>
      <c r="J8379" s="3" t="str">
        <f ca="1">IFERROR(__xludf.DUMMYFUNCTION("""COMPUTED_VALUE"""),"0376988194")</f>
        <v>0376988194</v>
      </c>
      <c r="K8379" s="2" t="str">
        <f ca="1">IFERROR(__xludf.DUMMYFUNCTION("""COMPUTED_VALUE"""),"1750179670121")</f>
        <v>1750179670121</v>
      </c>
    </row>
    <row r="8380" spans="1:11" ht="12.45">
      <c r="A8380" s="2"/>
      <c r="C8380" s="2" t="str">
        <v>0</v>
      </c>
      <c r="F8380" s="2" t="str">
        <v>0</v>
      </c>
      <c r="I8380" s="3" t="str">
        <f ca="1">IFERROR(__xludf.DUMMYFUNCTION("""COMPUTED_VALUE"""),"Nguyễn Vũ Minh Phương")</f>
        <v>Nguyễn Vũ Minh Phương</v>
      </c>
      <c r="J8380" s="3" t="str">
        <f ca="1">IFERROR(__xludf.DUMMYFUNCTION("""COMPUTED_VALUE"""),"0946877669")</f>
        <v>0946877669</v>
      </c>
      <c r="K8380" s="2"/>
    </row>
    <row r="8381" spans="1:11" ht="12.45">
      <c r="A8381" s="2" t="str">
        <f ca="1">IFERROR(__xludf.DUMMYFUNCTION("""COMPUTED_VALUE"""),"1750179701038")</f>
        <v>1750179701038</v>
      </c>
      <c r="C8381" s="2" t="str">
        <v>0</v>
      </c>
      <c r="F8381" s="2" t="str">
        <v>0</v>
      </c>
      <c r="I8381" s="3" t="str">
        <f ca="1">IFERROR(__xludf.DUMMYFUNCTION("""COMPUTED_VALUE"""),"Cao Văn Phương Trinh")</f>
        <v>Cao Văn Phương Trinh</v>
      </c>
      <c r="J8381" s="3" t="str">
        <f ca="1">IFERROR(__xludf.DUMMYFUNCTION("""COMPUTED_VALUE"""),"0886014062")</f>
        <v>0886014062</v>
      </c>
      <c r="K8381" s="2" t="str">
        <f ca="1">IFERROR(__xludf.DUMMYFUNCTION("""COMPUTED_VALUE"""),"1750179701038")</f>
        <v>1750179701038</v>
      </c>
    </row>
    <row r="8382" spans="1:11" ht="12.45">
      <c r="A8382" s="2" t="str">
        <f ca="1">IFERROR(__xludf.DUMMYFUNCTION("""COMPUTED_VALUE"""),"1750179737091")</f>
        <v>1750179737091</v>
      </c>
      <c r="C8382" s="2" t="str">
        <v>0</v>
      </c>
      <c r="F8382" s="2" t="str">
        <v>0</v>
      </c>
      <c r="I8382" s="3" t="str">
        <f ca="1">IFERROR(__xludf.DUMMYFUNCTION("""COMPUTED_VALUE"""),"Hoàng Trung Kiên")</f>
        <v>Hoàng Trung Kiên</v>
      </c>
      <c r="J8382" s="3" t="str">
        <f ca="1">IFERROR(__xludf.DUMMYFUNCTION("""COMPUTED_VALUE"""),"0353424245")</f>
        <v>0353424245</v>
      </c>
      <c r="K8382" s="2" t="str">
        <f ca="1">IFERROR(__xludf.DUMMYFUNCTION("""COMPUTED_VALUE"""),"1750179737091")</f>
        <v>1750179737091</v>
      </c>
    </row>
    <row r="8383" spans="1:11" ht="12.45">
      <c r="A8383" s="2" t="str">
        <f ca="1">IFERROR(__xludf.DUMMYFUNCTION("""COMPUTED_VALUE"""),"1750179773507")</f>
        <v>1750179773507</v>
      </c>
      <c r="C8383" s="2" t="str">
        <v>0</v>
      </c>
      <c r="F8383" s="2" t="str">
        <v>0</v>
      </c>
      <c r="I8383" s="3" t="str">
        <f ca="1">IFERROR(__xludf.DUMMYFUNCTION("""COMPUTED_VALUE"""),"Phạm Công Nam Khánh")</f>
        <v>Phạm Công Nam Khánh</v>
      </c>
      <c r="J8383" s="3" t="str">
        <f ca="1">IFERROR(__xludf.DUMMYFUNCTION("""COMPUTED_VALUE"""),"0338948907")</f>
        <v>0338948907</v>
      </c>
      <c r="K8383" s="2" t="str">
        <f ca="1">IFERROR(__xludf.DUMMYFUNCTION("""COMPUTED_VALUE"""),"1750179773507")</f>
        <v>1750179773507</v>
      </c>
    </row>
    <row r="8384" spans="1:11" ht="12.45">
      <c r="A8384" s="2" t="str">
        <f ca="1">IFERROR(__xludf.DUMMYFUNCTION("""COMPUTED_VALUE"""),"1750179801201")</f>
        <v>1750179801201</v>
      </c>
      <c r="C8384" s="2" t="str">
        <v>0</v>
      </c>
      <c r="F8384" s="2" t="str">
        <v>0</v>
      </c>
      <c r="I8384" s="3" t="str">
        <f ca="1">IFERROR(__xludf.DUMMYFUNCTION("""COMPUTED_VALUE"""),"Huỳnh Tấn Phát")</f>
        <v>Huỳnh Tấn Phát</v>
      </c>
      <c r="J8384" s="3" t="str">
        <f ca="1">IFERROR(__xludf.DUMMYFUNCTION("""COMPUTED_VALUE"""),"0934954722")</f>
        <v>0934954722</v>
      </c>
      <c r="K8384" s="2" t="str">
        <f ca="1">IFERROR(__xludf.DUMMYFUNCTION("""COMPUTED_VALUE"""),"1750179801201")</f>
        <v>1750179801201</v>
      </c>
    </row>
    <row r="8385" spans="1:11" ht="12.45">
      <c r="A8385" s="2" t="str">
        <f ca="1">IFERROR(__xludf.DUMMYFUNCTION("""COMPUTED_VALUE"""),"1750179838841")</f>
        <v>1750179838841</v>
      </c>
      <c r="C8385" s="2" t="str">
        <v>0</v>
      </c>
      <c r="F8385" s="2" t="str">
        <v>0</v>
      </c>
      <c r="I8385" s="3" t="str">
        <f ca="1">IFERROR(__xludf.DUMMYFUNCTION("""COMPUTED_VALUE"""),"thiệu lâm nghi ")</f>
        <v xml:space="preserve">thiệu lâm nghi </v>
      </c>
      <c r="J8385" s="3" t="str">
        <f ca="1">IFERROR(__xludf.DUMMYFUNCTION("""COMPUTED_VALUE"""),"0923810540")</f>
        <v>0923810540</v>
      </c>
      <c r="K8385" s="2" t="str">
        <f ca="1">IFERROR(__xludf.DUMMYFUNCTION("""COMPUTED_VALUE"""),"1750179838841")</f>
        <v>1750179838841</v>
      </c>
    </row>
    <row r="8386" spans="1:11" ht="12.45">
      <c r="A8386" s="2" t="str">
        <f ca="1">IFERROR(__xludf.DUMMYFUNCTION("""COMPUTED_VALUE"""),"1750179869546")</f>
        <v>1750179869546</v>
      </c>
      <c r="C8386" s="2" t="str">
        <v>0</v>
      </c>
      <c r="F8386" s="2" t="str">
        <v>0</v>
      </c>
      <c r="I8386" s="3" t="str">
        <f ca="1">IFERROR(__xludf.DUMMYFUNCTION("""COMPUTED_VALUE"""),"Phạm Đào Phương Anh ")</f>
        <v xml:space="preserve">Phạm Đào Phương Anh </v>
      </c>
      <c r="J8386" s="3" t="str">
        <f ca="1">IFERROR(__xludf.DUMMYFUNCTION("""COMPUTED_VALUE"""),"0948150665")</f>
        <v>0948150665</v>
      </c>
      <c r="K8386" s="2" t="str">
        <f ca="1">IFERROR(__xludf.DUMMYFUNCTION("""COMPUTED_VALUE"""),"1750179869546")</f>
        <v>1750179869546</v>
      </c>
    </row>
    <row r="8387" spans="1:11" ht="12.45">
      <c r="A8387" s="2" t="str">
        <f ca="1">IFERROR(__xludf.DUMMYFUNCTION("""COMPUTED_VALUE"""),"1750179903219")</f>
        <v>1750179903219</v>
      </c>
      <c r="C8387" s="2" t="str">
        <v>0</v>
      </c>
      <c r="F8387" s="2" t="str">
        <v>0</v>
      </c>
      <c r="I8387" s="3" t="str">
        <f ca="1">IFERROR(__xludf.DUMMYFUNCTION("""COMPUTED_VALUE"""),"Hoàng Lê Kim Huyền")</f>
        <v>Hoàng Lê Kim Huyền</v>
      </c>
      <c r="J8387" s="3" t="str">
        <f ca="1">IFERROR(__xludf.DUMMYFUNCTION("""COMPUTED_VALUE"""),"0377836087")</f>
        <v>0377836087</v>
      </c>
      <c r="K8387" s="2" t="str">
        <f ca="1">IFERROR(__xludf.DUMMYFUNCTION("""COMPUTED_VALUE"""),"1750179903219")</f>
        <v>1750179903219</v>
      </c>
    </row>
    <row r="8388" spans="1:11" ht="12.45">
      <c r="A8388" s="2" t="str">
        <f ca="1">IFERROR(__xludf.DUMMYFUNCTION("""COMPUTED_VALUE"""),"1750179923617")</f>
        <v>1750179923617</v>
      </c>
      <c r="C8388" s="2" t="str">
        <v>0</v>
      </c>
      <c r="F8388" s="2" t="str">
        <v>0</v>
      </c>
      <c r="I8388" s="3" t="str">
        <f ca="1">IFERROR(__xludf.DUMMYFUNCTION("""COMPUTED_VALUE"""),"Lê Thị Khánh Linh")</f>
        <v>Lê Thị Khánh Linh</v>
      </c>
      <c r="J8388" s="3" t="str">
        <f ca="1">IFERROR(__xludf.DUMMYFUNCTION("""COMPUTED_VALUE"""),"0964972056")</f>
        <v>0964972056</v>
      </c>
      <c r="K8388" s="2" t="str">
        <f ca="1">IFERROR(__xludf.DUMMYFUNCTION("""COMPUTED_VALUE"""),"1750179923617")</f>
        <v>1750179923617</v>
      </c>
    </row>
    <row r="8389" spans="1:11" ht="12.45">
      <c r="A8389" s="2" t="str">
        <f ca="1">IFERROR(__xludf.DUMMYFUNCTION("""COMPUTED_VALUE"""),"1750179948855")</f>
        <v>1750179948855</v>
      </c>
      <c r="C8389" s="2" t="str">
        <v>0</v>
      </c>
      <c r="F8389" s="2" t="str">
        <v>0</v>
      </c>
      <c r="I8389" s="3" t="str">
        <f ca="1">IFERROR(__xludf.DUMMYFUNCTION("""COMPUTED_VALUE"""),"Đinh thị hồng")</f>
        <v>Đinh thị hồng</v>
      </c>
      <c r="J8389" s="3" t="str">
        <f ca="1">IFERROR(__xludf.DUMMYFUNCTION("""COMPUTED_VALUE"""),"0327055898")</f>
        <v>0327055898</v>
      </c>
      <c r="K8389" s="2" t="str">
        <f ca="1">IFERROR(__xludf.DUMMYFUNCTION("""COMPUTED_VALUE"""),"1750179948855")</f>
        <v>1750179948855</v>
      </c>
    </row>
    <row r="8390" spans="1:11" ht="12.45">
      <c r="A8390" s="2" t="str">
        <f ca="1">IFERROR(__xludf.DUMMYFUNCTION("""COMPUTED_VALUE"""),"1750179973627")</f>
        <v>1750179973627</v>
      </c>
      <c r="C8390" s="2" t="str">
        <v>0</v>
      </c>
      <c r="F8390" s="2" t="str">
        <v>0</v>
      </c>
      <c r="I8390" s="3" t="str">
        <f ca="1">IFERROR(__xludf.DUMMYFUNCTION("""COMPUTED_VALUE"""),"Trịnh Phương Thảo")</f>
        <v>Trịnh Phương Thảo</v>
      </c>
      <c r="J8390" s="3" t="str">
        <f ca="1">IFERROR(__xludf.DUMMYFUNCTION("""COMPUTED_VALUE"""),"0929063688")</f>
        <v>0929063688</v>
      </c>
      <c r="K8390" s="2" t="str">
        <f ca="1">IFERROR(__xludf.DUMMYFUNCTION("""COMPUTED_VALUE"""),"1750179973627")</f>
        <v>1750179973627</v>
      </c>
    </row>
    <row r="8391" spans="1:11" ht="12.45">
      <c r="A8391" s="2" t="str">
        <f ca="1">IFERROR(__xludf.DUMMYFUNCTION("""COMPUTED_VALUE"""),"1750180006505")</f>
        <v>1750180006505</v>
      </c>
      <c r="C8391" s="2" t="str">
        <v>0</v>
      </c>
      <c r="F8391" s="2" t="str">
        <v>0</v>
      </c>
      <c r="I8391" s="3" t="str">
        <f ca="1">IFERROR(__xludf.DUMMYFUNCTION("""COMPUTED_VALUE"""),"Nguyễn Hoàng Linh ")</f>
        <v xml:space="preserve">Nguyễn Hoàng Linh </v>
      </c>
      <c r="J8391" s="3" t="str">
        <f ca="1">IFERROR(__xludf.DUMMYFUNCTION("""COMPUTED_VALUE"""),"0868935569")</f>
        <v>0868935569</v>
      </c>
      <c r="K8391" s="2" t="str">
        <f ca="1">IFERROR(__xludf.DUMMYFUNCTION("""COMPUTED_VALUE"""),"1750180006505")</f>
        <v>1750180006505</v>
      </c>
    </row>
    <row r="8392" spans="1:11" ht="12.45">
      <c r="A8392" s="2" t="str">
        <f ca="1">IFERROR(__xludf.DUMMYFUNCTION("""COMPUTED_VALUE"""),"1750180039179")</f>
        <v>1750180039179</v>
      </c>
      <c r="C8392" s="2" t="str">
        <v>0</v>
      </c>
      <c r="F8392" s="2" t="str">
        <v>0</v>
      </c>
      <c r="I8392" s="3" t="str">
        <f ca="1">IFERROR(__xludf.DUMMYFUNCTION("""COMPUTED_VALUE"""),"Nguyễn Phương Anh")</f>
        <v>Nguyễn Phương Anh</v>
      </c>
      <c r="J8392" s="3" t="str">
        <f ca="1">IFERROR(__xludf.DUMMYFUNCTION("""COMPUTED_VALUE"""),"0916299735")</f>
        <v>0916299735</v>
      </c>
      <c r="K8392" s="2" t="str">
        <f ca="1">IFERROR(__xludf.DUMMYFUNCTION("""COMPUTED_VALUE"""),"1750180039179")</f>
        <v>1750180039179</v>
      </c>
    </row>
    <row r="8393" spans="1:11" ht="12.45">
      <c r="A8393" s="2" t="str">
        <f ca="1">IFERROR(__xludf.DUMMYFUNCTION("""COMPUTED_VALUE"""),"1750180057511")</f>
        <v>1750180057511</v>
      </c>
      <c r="C8393" s="2" t="str">
        <v>0</v>
      </c>
      <c r="F8393" s="2" t="str">
        <v>0</v>
      </c>
      <c r="I8393" s="3" t="str">
        <f ca="1">IFERROR(__xludf.DUMMYFUNCTION("""COMPUTED_VALUE"""),"Nguyễn Hà My")</f>
        <v>Nguyễn Hà My</v>
      </c>
      <c r="J8393" s="3" t="str">
        <f ca="1">IFERROR(__xludf.DUMMYFUNCTION("""COMPUTED_VALUE"""),"0349189122")</f>
        <v>0349189122</v>
      </c>
      <c r="K8393" s="2" t="str">
        <f ca="1">IFERROR(__xludf.DUMMYFUNCTION("""COMPUTED_VALUE"""),"1750180057511")</f>
        <v>1750180057511</v>
      </c>
    </row>
    <row r="8394" spans="1:11" ht="12.45">
      <c r="A8394" s="2" t="str">
        <f ca="1">IFERROR(__xludf.DUMMYFUNCTION("""COMPUTED_VALUE"""),"1750180084536")</f>
        <v>1750180084536</v>
      </c>
      <c r="C8394" s="2" t="str">
        <v>0</v>
      </c>
      <c r="F8394" s="2" t="str">
        <v>0</v>
      </c>
      <c r="I8394" s="3" t="str">
        <f ca="1">IFERROR(__xludf.DUMMYFUNCTION("""COMPUTED_VALUE"""),"Xuân Quốc Minh Vũ ")</f>
        <v xml:space="preserve">Xuân Quốc Minh Vũ </v>
      </c>
      <c r="J8394" s="3" t="str">
        <f ca="1">IFERROR(__xludf.DUMMYFUNCTION("""COMPUTED_VALUE"""),"0989033698")</f>
        <v>0989033698</v>
      </c>
      <c r="K8394" s="2" t="str">
        <f ca="1">IFERROR(__xludf.DUMMYFUNCTION("""COMPUTED_VALUE"""),"1750180084536")</f>
        <v>1750180084536</v>
      </c>
    </row>
    <row r="8395" spans="1:11" ht="12.45">
      <c r="A8395" s="2" t="str">
        <f ca="1">IFERROR(__xludf.DUMMYFUNCTION("""COMPUTED_VALUE"""),"1750180113194")</f>
        <v>1750180113194</v>
      </c>
      <c r="C8395" s="2" t="str">
        <v>0</v>
      </c>
      <c r="F8395" s="2" t="str">
        <v>0</v>
      </c>
      <c r="I8395" s="3" t="str">
        <f ca="1">IFERROR(__xludf.DUMMYFUNCTION("""COMPUTED_VALUE"""),"Nguyễn Nhật Thanh")</f>
        <v>Nguyễn Nhật Thanh</v>
      </c>
      <c r="J8395" s="3" t="str">
        <f ca="1">IFERROR(__xludf.DUMMYFUNCTION("""COMPUTED_VALUE"""),"0906394992")</f>
        <v>0906394992</v>
      </c>
      <c r="K8395" s="2" t="str">
        <f ca="1">IFERROR(__xludf.DUMMYFUNCTION("""COMPUTED_VALUE"""),"1750180113194")</f>
        <v>1750180113194</v>
      </c>
    </row>
    <row r="8396" spans="1:11" ht="12.45">
      <c r="A8396" s="2"/>
      <c r="C8396" s="2" t="str">
        <v>0</v>
      </c>
      <c r="F8396" s="2" t="str">
        <v>0</v>
      </c>
      <c r="I8396" s="3" t="str">
        <f ca="1">IFERROR(__xludf.DUMMYFUNCTION("""COMPUTED_VALUE"""),"Trương Thị Yến Vy ")</f>
        <v xml:space="preserve">Trương Thị Yến Vy </v>
      </c>
      <c r="J8396" s="3" t="str">
        <f ca="1">IFERROR(__xludf.DUMMYFUNCTION("""COMPUTED_VALUE"""),"0981201549")</f>
        <v>0981201549</v>
      </c>
      <c r="K8396" s="2"/>
    </row>
    <row r="8397" spans="1:11" ht="12.45">
      <c r="A8397" s="2" t="str">
        <f ca="1">IFERROR(__xludf.DUMMYFUNCTION("""COMPUTED_VALUE"""),"1750180137663")</f>
        <v>1750180137663</v>
      </c>
      <c r="C8397" s="2" t="str">
        <v>0</v>
      </c>
      <c r="F8397" s="2" t="str">
        <v>0</v>
      </c>
      <c r="I8397" s="3" t="str">
        <f ca="1">IFERROR(__xludf.DUMMYFUNCTION("""COMPUTED_VALUE"""),"Nguyễn Thị Vân Anh")</f>
        <v>Nguyễn Thị Vân Anh</v>
      </c>
      <c r="J8397" s="3" t="str">
        <f ca="1">IFERROR(__xludf.DUMMYFUNCTION("""COMPUTED_VALUE"""),"0385142595")</f>
        <v>0385142595</v>
      </c>
      <c r="K8397" s="2" t="str">
        <f ca="1">IFERROR(__xludf.DUMMYFUNCTION("""COMPUTED_VALUE"""),"1750180137663")</f>
        <v>1750180137663</v>
      </c>
    </row>
    <row r="8398" spans="1:11" ht="12.45">
      <c r="A8398" s="2" t="str">
        <f ca="1">IFERROR(__xludf.DUMMYFUNCTION("""COMPUTED_VALUE"""),"1750180363288")</f>
        <v>1750180363288</v>
      </c>
      <c r="C8398" s="2" t="str">
        <v>0</v>
      </c>
      <c r="F8398" s="2" t="str">
        <v>0</v>
      </c>
      <c r="I8398" s="3" t="str">
        <f ca="1">IFERROR(__xludf.DUMMYFUNCTION("""COMPUTED_VALUE"""),"Châu Ngọc Ý Như")</f>
        <v>Châu Ngọc Ý Như</v>
      </c>
      <c r="J8398" s="3" t="str">
        <f ca="1">IFERROR(__xludf.DUMMYFUNCTION("""COMPUTED_VALUE"""),"0828532572")</f>
        <v>0828532572</v>
      </c>
      <c r="K8398" s="2" t="str">
        <f ca="1">IFERROR(__xludf.DUMMYFUNCTION("""COMPUTED_VALUE"""),"1750180363288")</f>
        <v>1750180363288</v>
      </c>
    </row>
    <row r="8399" spans="1:11" ht="12.45">
      <c r="A8399" s="2" t="str">
        <f ca="1">IFERROR(__xludf.DUMMYFUNCTION("""COMPUTED_VALUE"""),"1750180408564")</f>
        <v>1750180408564</v>
      </c>
      <c r="C8399" s="2" t="str">
        <v>0</v>
      </c>
      <c r="F8399" s="2" t="str">
        <v>0</v>
      </c>
      <c r="I8399" s="3" t="str">
        <f ca="1">IFERROR(__xludf.DUMMYFUNCTION("""COMPUTED_VALUE"""),"Nguyễn Thị Ngọc Linh")</f>
        <v>Nguyễn Thị Ngọc Linh</v>
      </c>
      <c r="J8399" s="3" t="str">
        <f ca="1">IFERROR(__xludf.DUMMYFUNCTION("""COMPUTED_VALUE"""),"0387648622")</f>
        <v>0387648622</v>
      </c>
      <c r="K8399" s="2" t="str">
        <f ca="1">IFERROR(__xludf.DUMMYFUNCTION("""COMPUTED_VALUE"""),"1750180408564")</f>
        <v>1750180408564</v>
      </c>
    </row>
    <row r="8400" spans="1:11" ht="12.45">
      <c r="A8400" s="2" t="str">
        <f ca="1">IFERROR(__xludf.DUMMYFUNCTION("""COMPUTED_VALUE"""),"1750180447824")</f>
        <v>1750180447824</v>
      </c>
      <c r="C8400" s="2" t="str">
        <v>0</v>
      </c>
      <c r="F8400" s="2" t="str">
        <v>0</v>
      </c>
      <c r="I8400" s="3" t="str">
        <f ca="1">IFERROR(__xludf.DUMMYFUNCTION("""COMPUTED_VALUE"""),"Nguyễn Lê Thùy Trang ")</f>
        <v xml:space="preserve">Nguyễn Lê Thùy Trang </v>
      </c>
      <c r="J8400" s="3" t="str">
        <f ca="1">IFERROR(__xludf.DUMMYFUNCTION("""COMPUTED_VALUE"""),"0978041698")</f>
        <v>0978041698</v>
      </c>
      <c r="K8400" s="2" t="str">
        <f ca="1">IFERROR(__xludf.DUMMYFUNCTION("""COMPUTED_VALUE"""),"1750180447824")</f>
        <v>1750180447824</v>
      </c>
    </row>
    <row r="8401" spans="1:11" ht="12.45">
      <c r="A8401" s="2"/>
      <c r="C8401" s="2" t="str">
        <v>0</v>
      </c>
      <c r="F8401" s="2" t="str">
        <v>0</v>
      </c>
      <c r="I8401" s="3" t="str">
        <f ca="1">IFERROR(__xludf.DUMMYFUNCTION("""COMPUTED_VALUE"""),"Nguyễn Bảo Thy")</f>
        <v>Nguyễn Bảo Thy</v>
      </c>
      <c r="J8401" s="3" t="str">
        <f ca="1">IFERROR(__xludf.DUMMYFUNCTION("""COMPUTED_VALUE"""),"0848665337")</f>
        <v>0848665337</v>
      </c>
      <c r="K8401" s="2"/>
    </row>
    <row r="8402" spans="1:11" ht="12.45">
      <c r="A8402" s="2" t="str">
        <f ca="1">IFERROR(__xludf.DUMMYFUNCTION("""COMPUTED_VALUE"""),"1750180482529")</f>
        <v>1750180482529</v>
      </c>
      <c r="C8402" s="2" t="str">
        <v>0</v>
      </c>
      <c r="F8402" s="2" t="str">
        <v>0</v>
      </c>
      <c r="I8402" s="3" t="str">
        <f ca="1">IFERROR(__xludf.DUMMYFUNCTION("""COMPUTED_VALUE"""),"Nguyễn Quỳnh Chi")</f>
        <v>Nguyễn Quỳnh Chi</v>
      </c>
      <c r="J8402" s="3" t="str">
        <f ca="1">IFERROR(__xludf.DUMMYFUNCTION("""COMPUTED_VALUE"""),"0857147773")</f>
        <v>0857147773</v>
      </c>
      <c r="K8402" s="2" t="str">
        <f ca="1">IFERROR(__xludf.DUMMYFUNCTION("""COMPUTED_VALUE"""),"1750180482529")</f>
        <v>1750180482529</v>
      </c>
    </row>
    <row r="8403" spans="1:11" ht="12.45">
      <c r="A8403" s="2" t="str">
        <f ca="1">IFERROR(__xludf.DUMMYFUNCTION("""COMPUTED_VALUE"""),"1750180532046")</f>
        <v>1750180532046</v>
      </c>
      <c r="C8403" s="2" t="str">
        <v>0</v>
      </c>
      <c r="F8403" s="2" t="str">
        <v>0</v>
      </c>
      <c r="I8403" s="3" t="str">
        <f ca="1">IFERROR(__xludf.DUMMYFUNCTION("""COMPUTED_VALUE"""),"Nguyễn Vũ Uyên Nhi")</f>
        <v>Nguyễn Vũ Uyên Nhi</v>
      </c>
      <c r="J8403" s="3" t="str">
        <f ca="1">IFERROR(__xludf.DUMMYFUNCTION("""COMPUTED_VALUE"""),"0348052327")</f>
        <v>0348052327</v>
      </c>
      <c r="K8403" s="2" t="str">
        <f ca="1">IFERROR(__xludf.DUMMYFUNCTION("""COMPUTED_VALUE"""),"1750180532046")</f>
        <v>1750180532046</v>
      </c>
    </row>
    <row r="8404" spans="1:11" ht="12.45">
      <c r="A8404" s="2" t="str">
        <f ca="1">IFERROR(__xludf.DUMMYFUNCTION("""COMPUTED_VALUE"""),"1750180589520")</f>
        <v>1750180589520</v>
      </c>
      <c r="C8404" s="2" t="str">
        <v>0</v>
      </c>
      <c r="F8404" s="2" t="str">
        <v>0</v>
      </c>
      <c r="I8404" s="3" t="str">
        <f ca="1">IFERROR(__xludf.DUMMYFUNCTION("""COMPUTED_VALUE"""),"Nguyễn Như Ngọc")</f>
        <v>Nguyễn Như Ngọc</v>
      </c>
      <c r="J8404" s="3" t="str">
        <f ca="1">IFERROR(__xludf.DUMMYFUNCTION("""COMPUTED_VALUE"""),"0335782401")</f>
        <v>0335782401</v>
      </c>
      <c r="K8404" s="2" t="str">
        <f ca="1">IFERROR(__xludf.DUMMYFUNCTION("""COMPUTED_VALUE"""),"1750180589520")</f>
        <v>1750180589520</v>
      </c>
    </row>
    <row r="8405" spans="1:11" ht="12.45">
      <c r="A8405" s="2" t="str">
        <f ca="1">IFERROR(__xludf.DUMMYFUNCTION("""COMPUTED_VALUE"""),"1750180626317")</f>
        <v>1750180626317</v>
      </c>
      <c r="C8405" s="2" t="str">
        <v>0</v>
      </c>
      <c r="F8405" s="2" t="str">
        <v>0</v>
      </c>
      <c r="I8405" s="3" t="str">
        <f ca="1">IFERROR(__xludf.DUMMYFUNCTION("""COMPUTED_VALUE"""),"Phan Nguyễn Kiều Hân ")</f>
        <v xml:space="preserve">Phan Nguyễn Kiều Hân </v>
      </c>
      <c r="J8405" s="3" t="str">
        <f ca="1">IFERROR(__xludf.DUMMYFUNCTION("""COMPUTED_VALUE"""),"0358078392")</f>
        <v>0358078392</v>
      </c>
      <c r="K8405" s="2" t="str">
        <f ca="1">IFERROR(__xludf.DUMMYFUNCTION("""COMPUTED_VALUE"""),"1750180626317")</f>
        <v>1750180626317</v>
      </c>
    </row>
    <row r="8406" spans="1:11" ht="12.45">
      <c r="A8406" s="2" t="str">
        <f ca="1">IFERROR(__xludf.DUMMYFUNCTION("""COMPUTED_VALUE"""),"1750180663949")</f>
        <v>1750180663949</v>
      </c>
      <c r="C8406" s="2" t="str">
        <v>0</v>
      </c>
      <c r="F8406" s="2" t="str">
        <v>0</v>
      </c>
      <c r="I8406" s="3" t="str">
        <f ca="1">IFERROR(__xludf.DUMMYFUNCTION("""COMPUTED_VALUE"""),"Phạm Huy Hiếu ")</f>
        <v xml:space="preserve">Phạm Huy Hiếu </v>
      </c>
      <c r="J8406" s="3" t="str">
        <f ca="1">IFERROR(__xludf.DUMMYFUNCTION("""COMPUTED_VALUE"""),"0865620093")</f>
        <v>0865620093</v>
      </c>
      <c r="K8406" s="2" t="str">
        <f ca="1">IFERROR(__xludf.DUMMYFUNCTION("""COMPUTED_VALUE"""),"1750180663949")</f>
        <v>1750180663949</v>
      </c>
    </row>
    <row r="8407" spans="1:11" ht="12.45">
      <c r="A8407" s="2" t="str">
        <f ca="1">IFERROR(__xludf.DUMMYFUNCTION("""COMPUTED_VALUE"""),"1750180694435")</f>
        <v>1750180694435</v>
      </c>
      <c r="C8407" s="2" t="str">
        <v>0</v>
      </c>
      <c r="F8407" s="2" t="str">
        <v>0</v>
      </c>
      <c r="I8407" s="3" t="str">
        <f ca="1">IFERROR(__xludf.DUMMYFUNCTION("""COMPUTED_VALUE"""),"Nguyễn Thị Thuỳ Dương")</f>
        <v>Nguyễn Thị Thuỳ Dương</v>
      </c>
      <c r="J8407" s="3" t="str">
        <f ca="1">IFERROR(__xludf.DUMMYFUNCTION("""COMPUTED_VALUE"""),"0352598263")</f>
        <v>0352598263</v>
      </c>
      <c r="K8407" s="2" t="str">
        <f ca="1">IFERROR(__xludf.DUMMYFUNCTION("""COMPUTED_VALUE"""),"1750180694435")</f>
        <v>1750180694435</v>
      </c>
    </row>
    <row r="8408" spans="1:11" ht="12.45">
      <c r="A8408" s="2" t="str">
        <f ca="1">IFERROR(__xludf.DUMMYFUNCTION("""COMPUTED_VALUE"""),"1750180718336")</f>
        <v>1750180718336</v>
      </c>
      <c r="C8408" s="2" t="str">
        <v>0</v>
      </c>
      <c r="F8408" s="2" t="str">
        <v>0</v>
      </c>
      <c r="I8408" s="3" t="str">
        <f ca="1">IFERROR(__xludf.DUMMYFUNCTION("""COMPUTED_VALUE"""),"Trần thị trúc")</f>
        <v>Trần thị trúc</v>
      </c>
      <c r="J8408" s="3" t="str">
        <f ca="1">IFERROR(__xludf.DUMMYFUNCTION("""COMPUTED_VALUE"""),"0845231270")</f>
        <v>0845231270</v>
      </c>
      <c r="K8408" s="2" t="str">
        <f ca="1">IFERROR(__xludf.DUMMYFUNCTION("""COMPUTED_VALUE"""),"1750180718336")</f>
        <v>1750180718336</v>
      </c>
    </row>
    <row r="8409" spans="1:11" ht="12.45">
      <c r="A8409" s="2" t="str">
        <f ca="1">IFERROR(__xludf.DUMMYFUNCTION("""COMPUTED_VALUE"""),"1750180737660")</f>
        <v>1750180737660</v>
      </c>
      <c r="C8409" s="2" t="str">
        <v>0</v>
      </c>
      <c r="F8409" s="2" t="str">
        <v>0</v>
      </c>
      <c r="I8409" s="3" t="str">
        <f ca="1">IFERROR(__xludf.DUMMYFUNCTION("""COMPUTED_VALUE"""),"Nguyễn Thị Minh Ngọc ")</f>
        <v xml:space="preserve">Nguyễn Thị Minh Ngọc </v>
      </c>
      <c r="J8409" s="3" t="str">
        <f ca="1">IFERROR(__xludf.DUMMYFUNCTION("""COMPUTED_VALUE"""),"0373193842")</f>
        <v>0373193842</v>
      </c>
      <c r="K8409" s="2" t="str">
        <f ca="1">IFERROR(__xludf.DUMMYFUNCTION("""COMPUTED_VALUE"""),"1750180737660")</f>
        <v>1750180737660</v>
      </c>
    </row>
    <row r="8410" spans="1:11" ht="12.45">
      <c r="A8410" s="2" t="str">
        <f ca="1">IFERROR(__xludf.DUMMYFUNCTION("""COMPUTED_VALUE"""),"1750180779775")</f>
        <v>1750180779775</v>
      </c>
      <c r="C8410" s="2" t="str">
        <v>0</v>
      </c>
      <c r="F8410" s="2" t="str">
        <v>0</v>
      </c>
      <c r="I8410" s="3" t="str">
        <f ca="1">IFERROR(__xludf.DUMMYFUNCTION("""COMPUTED_VALUE"""),"Vũ Huyền Trang ")</f>
        <v xml:space="preserve">Vũ Huyền Trang </v>
      </c>
      <c r="J8410" s="3" t="str">
        <f ca="1">IFERROR(__xludf.DUMMYFUNCTION("""COMPUTED_VALUE"""),"0986028207")</f>
        <v>0986028207</v>
      </c>
      <c r="K8410" s="2" t="str">
        <f ca="1">IFERROR(__xludf.DUMMYFUNCTION("""COMPUTED_VALUE"""),"1750180779775")</f>
        <v>1750180779775</v>
      </c>
    </row>
    <row r="8411" spans="1:11" ht="12.45">
      <c r="A8411" s="2" t="str">
        <f ca="1">IFERROR(__xludf.DUMMYFUNCTION("""COMPUTED_VALUE"""),"1750180826554")</f>
        <v>1750180826554</v>
      </c>
      <c r="C8411" s="2" t="str">
        <v>0</v>
      </c>
      <c r="F8411" s="2" t="str">
        <v>0</v>
      </c>
      <c r="I8411" s="3" t="str">
        <f ca="1">IFERROR(__xludf.DUMMYFUNCTION("""COMPUTED_VALUE"""),"Đoàn Thị Thu Trang")</f>
        <v>Đoàn Thị Thu Trang</v>
      </c>
      <c r="J8411" s="3" t="str">
        <f ca="1">IFERROR(__xludf.DUMMYFUNCTION("""COMPUTED_VALUE"""),"0934349745")</f>
        <v>0934349745</v>
      </c>
      <c r="K8411" s="2" t="str">
        <f ca="1">IFERROR(__xludf.DUMMYFUNCTION("""COMPUTED_VALUE"""),"1750180826554")</f>
        <v>1750180826554</v>
      </c>
    </row>
    <row r="8412" spans="1:11" ht="12.45">
      <c r="A8412" s="2" t="str">
        <f ca="1">IFERROR(__xludf.DUMMYFUNCTION("""COMPUTED_VALUE"""),"1750180859660")</f>
        <v>1750180859660</v>
      </c>
      <c r="C8412" s="2" t="str">
        <v>0</v>
      </c>
      <c r="F8412" s="2" t="str">
        <v>0</v>
      </c>
      <c r="I8412" s="3" t="str">
        <f ca="1">IFERROR(__xludf.DUMMYFUNCTION("""COMPUTED_VALUE"""),"Phạm Hà Thái An")</f>
        <v>Phạm Hà Thái An</v>
      </c>
      <c r="J8412" s="3" t="str">
        <f ca="1">IFERROR(__xludf.DUMMYFUNCTION("""COMPUTED_VALUE"""),"0966575180")</f>
        <v>0966575180</v>
      </c>
      <c r="K8412" s="2" t="str">
        <f ca="1">IFERROR(__xludf.DUMMYFUNCTION("""COMPUTED_VALUE"""),"1750180859660")</f>
        <v>1750180859660</v>
      </c>
    </row>
    <row r="8413" spans="1:11" ht="12.45">
      <c r="A8413" s="2" t="str">
        <f ca="1">IFERROR(__xludf.DUMMYFUNCTION("""COMPUTED_VALUE"""),"1750180903112")</f>
        <v>1750180903112</v>
      </c>
      <c r="C8413" s="2" t="str">
        <v>0</v>
      </c>
      <c r="F8413" s="2" t="str">
        <v>0</v>
      </c>
      <c r="I8413" s="3" t="str">
        <f ca="1">IFERROR(__xludf.DUMMYFUNCTION("""COMPUTED_VALUE"""),"Đào Hoàng Nguyệt Anh ")</f>
        <v xml:space="preserve">Đào Hoàng Nguyệt Anh </v>
      </c>
      <c r="J8413" s="3" t="str">
        <f ca="1">IFERROR(__xludf.DUMMYFUNCTION("""COMPUTED_VALUE"""),"0375610341")</f>
        <v>0375610341</v>
      </c>
      <c r="K8413" s="2" t="str">
        <f ca="1">IFERROR(__xludf.DUMMYFUNCTION("""COMPUTED_VALUE"""),"1750180903112")</f>
        <v>1750180903112</v>
      </c>
    </row>
    <row r="8414" spans="1:11" ht="12.45">
      <c r="A8414" s="2" t="str">
        <f ca="1">IFERROR(__xludf.DUMMYFUNCTION("""COMPUTED_VALUE"""),"1750180940078")</f>
        <v>1750180940078</v>
      </c>
      <c r="C8414" s="2" t="str">
        <v>0</v>
      </c>
      <c r="F8414" s="2" t="str">
        <v>0</v>
      </c>
      <c r="I8414" s="3" t="str">
        <f ca="1">IFERROR(__xludf.DUMMYFUNCTION("""COMPUTED_VALUE"""),"Trần Thị Yến Nhi")</f>
        <v>Trần Thị Yến Nhi</v>
      </c>
      <c r="J8414" s="3" t="str">
        <f ca="1">IFERROR(__xludf.DUMMYFUNCTION("""COMPUTED_VALUE"""),"0399708007")</f>
        <v>0399708007</v>
      </c>
      <c r="K8414" s="2" t="str">
        <f ca="1">IFERROR(__xludf.DUMMYFUNCTION("""COMPUTED_VALUE"""),"1750180940078")</f>
        <v>1750180940078</v>
      </c>
    </row>
    <row r="8415" spans="1:11" ht="12.45">
      <c r="A8415" s="2" t="str">
        <f ca="1">IFERROR(__xludf.DUMMYFUNCTION("""COMPUTED_VALUE"""),"1750180974566")</f>
        <v>1750180974566</v>
      </c>
      <c r="C8415" s="2" t="str">
        <v>0</v>
      </c>
      <c r="F8415" s="2" t="str">
        <v>0</v>
      </c>
      <c r="I8415" s="3" t="str">
        <f ca="1">IFERROR(__xludf.DUMMYFUNCTION("""COMPUTED_VALUE"""),"Tống Thùy Trang")</f>
        <v>Tống Thùy Trang</v>
      </c>
      <c r="J8415" s="3" t="str">
        <f ca="1">IFERROR(__xludf.DUMMYFUNCTION("""COMPUTED_VALUE"""),"0338457715")</f>
        <v>0338457715</v>
      </c>
      <c r="K8415" s="2" t="str">
        <f ca="1">IFERROR(__xludf.DUMMYFUNCTION("""COMPUTED_VALUE"""),"1750180974566")</f>
        <v>1750180974566</v>
      </c>
    </row>
    <row r="8416" spans="1:11" ht="12.45">
      <c r="A8416" s="2" t="str">
        <f ca="1">IFERROR(__xludf.DUMMYFUNCTION("""COMPUTED_VALUE"""),"1750181015285")</f>
        <v>1750181015285</v>
      </c>
      <c r="C8416" s="2" t="str">
        <v>0</v>
      </c>
      <c r="F8416" s="2" t="str">
        <v>0</v>
      </c>
      <c r="I8416" s="3" t="str">
        <f ca="1">IFERROR(__xludf.DUMMYFUNCTION("""COMPUTED_VALUE"""),"Đồng Minh Hoàng")</f>
        <v>Đồng Minh Hoàng</v>
      </c>
      <c r="J8416" s="3" t="str">
        <f ca="1">IFERROR(__xludf.DUMMYFUNCTION("""COMPUTED_VALUE"""),"0963622522")</f>
        <v>0963622522</v>
      </c>
      <c r="K8416" s="2" t="str">
        <f ca="1">IFERROR(__xludf.DUMMYFUNCTION("""COMPUTED_VALUE"""),"1750181015285")</f>
        <v>1750181015285</v>
      </c>
    </row>
    <row r="8417" spans="1:11" ht="12.45">
      <c r="A8417" s="2" t="str">
        <f ca="1">IFERROR(__xludf.DUMMYFUNCTION("""COMPUTED_VALUE"""),"1750181045366")</f>
        <v>1750181045366</v>
      </c>
      <c r="C8417" s="2" t="str">
        <v>0</v>
      </c>
      <c r="F8417" s="2" t="str">
        <v>0</v>
      </c>
      <c r="I8417" s="3" t="str">
        <f ca="1">IFERROR(__xludf.DUMMYFUNCTION("""COMPUTED_VALUE"""),"Thuỳ linh")</f>
        <v>Thuỳ linh</v>
      </c>
      <c r="J8417" s="3" t="str">
        <f ca="1">IFERROR(__xludf.DUMMYFUNCTION("""COMPUTED_VALUE"""),"0867588507")</f>
        <v>0867588507</v>
      </c>
      <c r="K8417" s="2" t="str">
        <f ca="1">IFERROR(__xludf.DUMMYFUNCTION("""COMPUTED_VALUE"""),"1750181045366")</f>
        <v>1750181045366</v>
      </c>
    </row>
    <row r="8418" spans="1:11" ht="12.45">
      <c r="A8418" s="2"/>
      <c r="C8418" s="2" t="str">
        <v>0</v>
      </c>
      <c r="F8418" s="2" t="str">
        <v>0</v>
      </c>
      <c r="I8418" s="3" t="str">
        <f ca="1">IFERROR(__xludf.DUMMYFUNCTION("""COMPUTED_VALUE"""),"Trần Thị Huỳnh Phượng")</f>
        <v>Trần Thị Huỳnh Phượng</v>
      </c>
      <c r="J8418" s="3" t="str">
        <f ca="1">IFERROR(__xludf.DUMMYFUNCTION("""COMPUTED_VALUE"""),"0856166280")</f>
        <v>0856166280</v>
      </c>
      <c r="K8418" s="2"/>
    </row>
    <row r="8419" spans="1:11" ht="12.45">
      <c r="A8419" s="2" t="str">
        <f ca="1">IFERROR(__xludf.DUMMYFUNCTION("""COMPUTED_VALUE"""),"1750181080405")</f>
        <v>1750181080405</v>
      </c>
      <c r="C8419" s="2" t="str">
        <v>0</v>
      </c>
      <c r="F8419" s="2" t="str">
        <v>0</v>
      </c>
      <c r="I8419" s="3" t="str">
        <f ca="1">IFERROR(__xludf.DUMMYFUNCTION("""COMPUTED_VALUE"""),"Hà Thị Thuý Hường ")</f>
        <v xml:space="preserve">Hà Thị Thuý Hường </v>
      </c>
      <c r="J8419" s="3" t="str">
        <f ca="1">IFERROR(__xludf.DUMMYFUNCTION("""COMPUTED_VALUE"""),"0352144978")</f>
        <v>0352144978</v>
      </c>
      <c r="K8419" s="2" t="str">
        <f ca="1">IFERROR(__xludf.DUMMYFUNCTION("""COMPUTED_VALUE"""),"1750181080405")</f>
        <v>1750181080405</v>
      </c>
    </row>
    <row r="8420" spans="1:11" ht="12.45">
      <c r="A8420" s="2" t="str">
        <f ca="1">IFERROR(__xludf.DUMMYFUNCTION("""COMPUTED_VALUE"""),"1750181120430")</f>
        <v>1750181120430</v>
      </c>
      <c r="C8420" s="2" t="str">
        <v>0</v>
      </c>
      <c r="F8420" s="2" t="str">
        <v>0</v>
      </c>
      <c r="I8420" s="3" t="str">
        <f ca="1">IFERROR(__xludf.DUMMYFUNCTION("""COMPUTED_VALUE"""),"Nông Thuý Kiều")</f>
        <v>Nông Thuý Kiều</v>
      </c>
      <c r="J8420" s="3" t="str">
        <f ca="1">IFERROR(__xludf.DUMMYFUNCTION("""COMPUTED_VALUE"""),"0385011510")</f>
        <v>0385011510</v>
      </c>
      <c r="K8420" s="2" t="str">
        <f ca="1">IFERROR(__xludf.DUMMYFUNCTION("""COMPUTED_VALUE"""),"1750181120430")</f>
        <v>1750181120430</v>
      </c>
    </row>
    <row r="8421" spans="1:11" ht="12.45">
      <c r="A8421" s="2" t="str">
        <f ca="1">IFERROR(__xludf.DUMMYFUNCTION("""COMPUTED_VALUE"""),"1750181152858")</f>
        <v>1750181152858</v>
      </c>
      <c r="C8421" s="2" t="str">
        <v>0</v>
      </c>
      <c r="F8421" s="2" t="str">
        <v>0</v>
      </c>
      <c r="I8421" s="3" t="str">
        <f ca="1">IFERROR(__xludf.DUMMYFUNCTION("""COMPUTED_VALUE"""),"Lưu Thị Yến Nhi ")</f>
        <v xml:space="preserve">Lưu Thị Yến Nhi </v>
      </c>
      <c r="J8421" s="3" t="str">
        <f ca="1">IFERROR(__xludf.DUMMYFUNCTION("""COMPUTED_VALUE"""),"0967102724")</f>
        <v>0967102724</v>
      </c>
      <c r="K8421" s="2" t="str">
        <f ca="1">IFERROR(__xludf.DUMMYFUNCTION("""COMPUTED_VALUE"""),"1750181152858")</f>
        <v>1750181152858</v>
      </c>
    </row>
    <row r="8422" spans="1:11" ht="12.45">
      <c r="A8422" s="2" t="str">
        <f ca="1">IFERROR(__xludf.DUMMYFUNCTION("""COMPUTED_VALUE"""),"1750196542581")</f>
        <v>1750196542581</v>
      </c>
      <c r="C8422" s="2" t="str">
        <v>0</v>
      </c>
      <c r="F8422" s="2" t="str">
        <v>0</v>
      </c>
      <c r="I8422" s="3" t="str">
        <f ca="1">IFERROR(__xludf.DUMMYFUNCTION("""COMPUTED_VALUE"""),"Từ Đoàn Trúc Lâm")</f>
        <v>Từ Đoàn Trúc Lâm</v>
      </c>
      <c r="J8422" s="3" t="str">
        <f ca="1">IFERROR(__xludf.DUMMYFUNCTION("""COMPUTED_VALUE"""),"0962762765")</f>
        <v>0962762765</v>
      </c>
      <c r="K8422" s="2" t="str">
        <f ca="1">IFERROR(__xludf.DUMMYFUNCTION("""COMPUTED_VALUE"""),"1750196542581")</f>
        <v>1750196542581</v>
      </c>
    </row>
    <row r="8423" spans="1:11" ht="12.45">
      <c r="A8423" s="2" t="str">
        <f ca="1">IFERROR(__xludf.DUMMYFUNCTION("""COMPUTED_VALUE"""),"1750181197423")</f>
        <v>1750181197423</v>
      </c>
      <c r="C8423" s="2" t="str">
        <v>0</v>
      </c>
      <c r="F8423" s="2" t="str">
        <v>0</v>
      </c>
      <c r="I8423" s="3" t="str">
        <f ca="1">IFERROR(__xludf.DUMMYFUNCTION("""COMPUTED_VALUE"""),"NGUYỄN THỊ NGỌC KHÁNH ")</f>
        <v xml:space="preserve">NGUYỄN THỊ NGỌC KHÁNH </v>
      </c>
      <c r="J8423" s="3" t="str">
        <f ca="1">IFERROR(__xludf.DUMMYFUNCTION("""COMPUTED_VALUE"""),"0335259321")</f>
        <v>0335259321</v>
      </c>
      <c r="K8423" s="2" t="str">
        <f ca="1">IFERROR(__xludf.DUMMYFUNCTION("""COMPUTED_VALUE"""),"1750181197423")</f>
        <v>1750181197423</v>
      </c>
    </row>
    <row r="8424" spans="1:11" ht="12.45">
      <c r="A8424" s="2" t="str">
        <f ca="1">IFERROR(__xludf.DUMMYFUNCTION("""COMPUTED_VALUE"""),"1750181237609")</f>
        <v>1750181237609</v>
      </c>
      <c r="C8424" s="2" t="str">
        <v>0</v>
      </c>
      <c r="F8424" s="2" t="str">
        <v>0</v>
      </c>
      <c r="I8424" s="3" t="str">
        <f ca="1">IFERROR(__xludf.DUMMYFUNCTION("""COMPUTED_VALUE"""),"Nguyễn Nhã Nghi")</f>
        <v>Nguyễn Nhã Nghi</v>
      </c>
      <c r="J8424" s="3" t="str">
        <f ca="1">IFERROR(__xludf.DUMMYFUNCTION("""COMPUTED_VALUE"""),"0377842308")</f>
        <v>0377842308</v>
      </c>
      <c r="K8424" s="2" t="str">
        <f ca="1">IFERROR(__xludf.DUMMYFUNCTION("""COMPUTED_VALUE"""),"1750181237609")</f>
        <v>1750181237609</v>
      </c>
    </row>
    <row r="8425" spans="1:11" ht="12.45">
      <c r="A8425" s="2" t="str">
        <f ca="1">IFERROR(__xludf.DUMMYFUNCTION("""COMPUTED_VALUE"""),"1750181269910")</f>
        <v>1750181269910</v>
      </c>
      <c r="C8425" s="2" t="str">
        <v>0</v>
      </c>
      <c r="F8425" s="2" t="str">
        <v>0</v>
      </c>
      <c r="I8425" s="3" t="str">
        <f ca="1">IFERROR(__xludf.DUMMYFUNCTION("""COMPUTED_VALUE"""),"Nguyễn Thị Thuý Duy ")</f>
        <v xml:space="preserve">Nguyễn Thị Thuý Duy </v>
      </c>
      <c r="J8425" s="3" t="str">
        <f ca="1">IFERROR(__xludf.DUMMYFUNCTION("""COMPUTED_VALUE"""),"0973521870")</f>
        <v>0973521870</v>
      </c>
      <c r="K8425" s="2" t="str">
        <f ca="1">IFERROR(__xludf.DUMMYFUNCTION("""COMPUTED_VALUE"""),"1750181269910")</f>
        <v>1750181269910</v>
      </c>
    </row>
    <row r="8426" spans="1:11" ht="12.45">
      <c r="A8426" s="2"/>
      <c r="C8426" s="2" t="str">
        <v>0</v>
      </c>
      <c r="F8426" s="2" t="str">
        <v>0</v>
      </c>
      <c r="I8426" s="3" t="str">
        <f ca="1">IFERROR(__xludf.DUMMYFUNCTION("""COMPUTED_VALUE"""),"Thái Phạm Khiết Quỳnh ")</f>
        <v xml:space="preserve">Thái Phạm Khiết Quỳnh </v>
      </c>
      <c r="J8426" s="3" t="str">
        <f ca="1">IFERROR(__xludf.DUMMYFUNCTION("""COMPUTED_VALUE"""),"0911709288")</f>
        <v>0911709288</v>
      </c>
      <c r="K8426" s="2"/>
    </row>
    <row r="8427" spans="1:11" ht="12.45">
      <c r="A8427" s="2" t="str">
        <f ca="1">IFERROR(__xludf.DUMMYFUNCTION("""COMPUTED_VALUE"""),"1750181301611")</f>
        <v>1750181301611</v>
      </c>
      <c r="C8427" s="2" t="str">
        <v>0</v>
      </c>
      <c r="F8427" s="2" t="str">
        <v>0</v>
      </c>
      <c r="I8427" s="3" t="str">
        <f ca="1">IFERROR(__xludf.DUMMYFUNCTION("""COMPUTED_VALUE"""),"Nguyễn Phương Thảo")</f>
        <v>Nguyễn Phương Thảo</v>
      </c>
      <c r="J8427" s="3" t="str">
        <f ca="1">IFERROR(__xludf.DUMMYFUNCTION("""COMPUTED_VALUE"""),"0968346203")</f>
        <v>0968346203</v>
      </c>
      <c r="K8427" s="2" t="str">
        <f ca="1">IFERROR(__xludf.DUMMYFUNCTION("""COMPUTED_VALUE"""),"1750181301611")</f>
        <v>1750181301611</v>
      </c>
    </row>
    <row r="8428" spans="1:11" ht="12.45">
      <c r="A8428" s="2" t="str">
        <f ca="1">IFERROR(__xludf.DUMMYFUNCTION("""COMPUTED_VALUE"""),"1750181331995")</f>
        <v>1750181331995</v>
      </c>
      <c r="C8428" s="2" t="str">
        <v>0</v>
      </c>
      <c r="F8428" s="2" t="str">
        <v>0</v>
      </c>
      <c r="I8428" s="3" t="str">
        <f ca="1">IFERROR(__xludf.DUMMYFUNCTION("""COMPUTED_VALUE"""),"Nguyễn Hoàng Phát")</f>
        <v>Nguyễn Hoàng Phát</v>
      </c>
      <c r="J8428" s="3" t="str">
        <f ca="1">IFERROR(__xludf.DUMMYFUNCTION("""COMPUTED_VALUE"""),"0973311094")</f>
        <v>0973311094</v>
      </c>
      <c r="K8428" s="2" t="str">
        <f ca="1">IFERROR(__xludf.DUMMYFUNCTION("""COMPUTED_VALUE"""),"1750181331995")</f>
        <v>1750181331995</v>
      </c>
    </row>
    <row r="8429" spans="1:11" ht="12.45">
      <c r="A8429" s="2" t="str">
        <f ca="1">IFERROR(__xludf.DUMMYFUNCTION("""COMPUTED_VALUE"""),"1750181367274")</f>
        <v>1750181367274</v>
      </c>
      <c r="C8429" s="2" t="str">
        <v>0</v>
      </c>
      <c r="F8429" s="2" t="str">
        <v>0</v>
      </c>
      <c r="I8429" s="3" t="str">
        <f ca="1">IFERROR(__xludf.DUMMYFUNCTION("""COMPUTED_VALUE"""),"Nguyễn Trần Khánh Vân")</f>
        <v>Nguyễn Trần Khánh Vân</v>
      </c>
      <c r="J8429" s="3" t="str">
        <f ca="1">IFERROR(__xludf.DUMMYFUNCTION("""COMPUTED_VALUE"""),"0825225868")</f>
        <v>0825225868</v>
      </c>
      <c r="K8429" s="2" t="str">
        <f ca="1">IFERROR(__xludf.DUMMYFUNCTION("""COMPUTED_VALUE"""),"1750181367274")</f>
        <v>1750181367274</v>
      </c>
    </row>
    <row r="8430" spans="1:11" ht="12.45">
      <c r="A8430" s="2"/>
      <c r="C8430" s="2" t="str">
        <v>0</v>
      </c>
      <c r="F8430" s="2" t="str">
        <v>0</v>
      </c>
      <c r="I8430" s="3" t="str">
        <f ca="1">IFERROR(__xludf.DUMMYFUNCTION("""COMPUTED_VALUE"""),"Nguyễn Thị Phượng")</f>
        <v>Nguyễn Thị Phượng</v>
      </c>
      <c r="J8430" s="3" t="str">
        <f ca="1">IFERROR(__xludf.DUMMYFUNCTION("""COMPUTED_VALUE"""),"0913697348")</f>
        <v>0913697348</v>
      </c>
      <c r="K8430" s="2"/>
    </row>
    <row r="8431" spans="1:11" ht="12.45">
      <c r="A8431" s="2" t="str">
        <f ca="1">IFERROR(__xludf.DUMMYFUNCTION("""COMPUTED_VALUE"""),"1750181391751")</f>
        <v>1750181391751</v>
      </c>
      <c r="C8431" s="2" t="str">
        <v>0</v>
      </c>
      <c r="F8431" s="2" t="str">
        <v>0</v>
      </c>
      <c r="I8431" s="3" t="str">
        <f ca="1">IFERROR(__xludf.DUMMYFUNCTION("""COMPUTED_VALUE"""),"Nguyễn Thảo Chi")</f>
        <v>Nguyễn Thảo Chi</v>
      </c>
      <c r="J8431" s="3" t="str">
        <f ca="1">IFERROR(__xludf.DUMMYFUNCTION("""COMPUTED_VALUE"""),"0374222838")</f>
        <v>0374222838</v>
      </c>
      <c r="K8431" s="2" t="str">
        <f ca="1">IFERROR(__xludf.DUMMYFUNCTION("""COMPUTED_VALUE"""),"1750181391751")</f>
        <v>1750181391751</v>
      </c>
    </row>
    <row r="8432" spans="1:11" ht="12.45">
      <c r="A8432" s="2" t="str">
        <f ca="1">IFERROR(__xludf.DUMMYFUNCTION("""COMPUTED_VALUE"""),"1750181447649")</f>
        <v>1750181447649</v>
      </c>
      <c r="C8432" s="2" t="str">
        <v>0</v>
      </c>
      <c r="F8432" s="2" t="str">
        <v>0</v>
      </c>
      <c r="I8432" s="3" t="str">
        <f ca="1">IFERROR(__xludf.DUMMYFUNCTION("""COMPUTED_VALUE"""),"Hoàng Hiểu Mai")</f>
        <v>Hoàng Hiểu Mai</v>
      </c>
      <c r="J8432" s="3" t="str">
        <f ca="1">IFERROR(__xludf.DUMMYFUNCTION("""COMPUTED_VALUE"""),"0866752081")</f>
        <v>0866752081</v>
      </c>
      <c r="K8432" s="2" t="str">
        <f ca="1">IFERROR(__xludf.DUMMYFUNCTION("""COMPUTED_VALUE"""),"1750181447649")</f>
        <v>1750181447649</v>
      </c>
    </row>
    <row r="8433" spans="1:11" ht="12.45">
      <c r="A8433" s="2" t="str">
        <f ca="1">IFERROR(__xludf.DUMMYFUNCTION("""COMPUTED_VALUE"""),"1750181479681")</f>
        <v>1750181479681</v>
      </c>
      <c r="C8433" s="2" t="str">
        <v>0</v>
      </c>
      <c r="F8433" s="2" t="str">
        <v>0</v>
      </c>
      <c r="I8433" s="3" t="str">
        <f ca="1">IFERROR(__xludf.DUMMYFUNCTION("""COMPUTED_VALUE"""),"Tô Đặng Hoàng Yến")</f>
        <v>Tô Đặng Hoàng Yến</v>
      </c>
      <c r="J8433" s="3" t="str">
        <f ca="1">IFERROR(__xludf.DUMMYFUNCTION("""COMPUTED_VALUE"""),"0899333464")</f>
        <v>0899333464</v>
      </c>
      <c r="K8433" s="2" t="str">
        <f ca="1">IFERROR(__xludf.DUMMYFUNCTION("""COMPUTED_VALUE"""),"1750181479681")</f>
        <v>1750181479681</v>
      </c>
    </row>
    <row r="8434" spans="1:11" ht="12.45">
      <c r="A8434" s="2" t="str">
        <f ca="1">IFERROR(__xludf.DUMMYFUNCTION("""COMPUTED_VALUE"""),"1750181512767")</f>
        <v>1750181512767</v>
      </c>
      <c r="C8434" s="2" t="str">
        <v>0</v>
      </c>
      <c r="F8434" s="2" t="str">
        <v>0</v>
      </c>
      <c r="I8434" s="3" t="str">
        <f ca="1">IFERROR(__xludf.DUMMYFUNCTION("""COMPUTED_VALUE"""),"Bùi Thị Diệu Linh ")</f>
        <v xml:space="preserve">Bùi Thị Diệu Linh </v>
      </c>
      <c r="J8434" s="3" t="str">
        <f ca="1">IFERROR(__xludf.DUMMYFUNCTION("""COMPUTED_VALUE"""),"0966283198")</f>
        <v>0966283198</v>
      </c>
      <c r="K8434" s="2" t="str">
        <f ca="1">IFERROR(__xludf.DUMMYFUNCTION("""COMPUTED_VALUE"""),"1750181512767")</f>
        <v>1750181512767</v>
      </c>
    </row>
    <row r="8435" spans="1:11" ht="12.45">
      <c r="A8435" s="2" t="str">
        <f ca="1">IFERROR(__xludf.DUMMYFUNCTION("""COMPUTED_VALUE"""),"1750181538915")</f>
        <v>1750181538915</v>
      </c>
      <c r="C8435" s="2" t="str">
        <v>0</v>
      </c>
      <c r="F8435" s="2" t="str">
        <v>0</v>
      </c>
      <c r="I8435" s="3" t="str">
        <f ca="1">IFERROR(__xludf.DUMMYFUNCTION("""COMPUTED_VALUE"""),"Lê Huyền Trang ")</f>
        <v xml:space="preserve">Lê Huyền Trang </v>
      </c>
      <c r="J8435" s="3" t="str">
        <f ca="1">IFERROR(__xludf.DUMMYFUNCTION("""COMPUTED_VALUE"""),"0818825740")</f>
        <v>0818825740</v>
      </c>
      <c r="K8435" s="2" t="str">
        <f ca="1">IFERROR(__xludf.DUMMYFUNCTION("""COMPUTED_VALUE"""),"1750181538915")</f>
        <v>1750181538915</v>
      </c>
    </row>
    <row r="8436" spans="1:11" ht="12.45">
      <c r="A8436" s="2" t="str">
        <f ca="1">IFERROR(__xludf.DUMMYFUNCTION("""COMPUTED_VALUE"""),"1750181570508")</f>
        <v>1750181570508</v>
      </c>
      <c r="C8436" s="2" t="str">
        <v>0</v>
      </c>
      <c r="F8436" s="2" t="str">
        <v>0</v>
      </c>
      <c r="I8436" s="3" t="str">
        <f ca="1">IFERROR(__xludf.DUMMYFUNCTION("""COMPUTED_VALUE"""),"Nguyễn Mai Linh ")</f>
        <v xml:space="preserve">Nguyễn Mai Linh </v>
      </c>
      <c r="J8436" s="3" t="str">
        <f ca="1">IFERROR(__xludf.DUMMYFUNCTION("""COMPUTED_VALUE"""),"0867081356")</f>
        <v>0867081356</v>
      </c>
      <c r="K8436" s="2" t="str">
        <f ca="1">IFERROR(__xludf.DUMMYFUNCTION("""COMPUTED_VALUE"""),"1750181570508")</f>
        <v>1750181570508</v>
      </c>
    </row>
    <row r="8437" spans="1:11" ht="12.45">
      <c r="A8437" s="2" t="str">
        <f ca="1">IFERROR(__xludf.DUMMYFUNCTION("""COMPUTED_VALUE"""),"1750181601569")</f>
        <v>1750181601569</v>
      </c>
      <c r="C8437" s="2" t="str">
        <v>0</v>
      </c>
      <c r="F8437" s="2" t="str">
        <v>0</v>
      </c>
      <c r="I8437" s="3" t="str">
        <f ca="1">IFERROR(__xludf.DUMMYFUNCTION("""COMPUTED_VALUE"""),"Trần Thị Hải Yến")</f>
        <v>Trần Thị Hải Yến</v>
      </c>
      <c r="J8437" s="3" t="str">
        <f ca="1">IFERROR(__xludf.DUMMYFUNCTION("""COMPUTED_VALUE"""),"0832269681")</f>
        <v>0832269681</v>
      </c>
      <c r="K8437" s="2" t="str">
        <f ca="1">IFERROR(__xludf.DUMMYFUNCTION("""COMPUTED_VALUE"""),"1750181601569")</f>
        <v>1750181601569</v>
      </c>
    </row>
    <row r="8438" spans="1:11" ht="12.45">
      <c r="A8438" s="2" t="str">
        <f ca="1">IFERROR(__xludf.DUMMYFUNCTION("""COMPUTED_VALUE"""),"1750181619583")</f>
        <v>1750181619583</v>
      </c>
      <c r="C8438" s="2" t="str">
        <v>0</v>
      </c>
      <c r="F8438" s="2" t="str">
        <v>0</v>
      </c>
      <c r="I8438" s="3" t="str">
        <f ca="1">IFERROR(__xludf.DUMMYFUNCTION("""COMPUTED_VALUE"""),"Đặng Phương Linh")</f>
        <v>Đặng Phương Linh</v>
      </c>
      <c r="J8438" s="3" t="str">
        <f ca="1">IFERROR(__xludf.DUMMYFUNCTION("""COMPUTED_VALUE"""),"0982312355")</f>
        <v>0982312355</v>
      </c>
      <c r="K8438" s="2" t="str">
        <f ca="1">IFERROR(__xludf.DUMMYFUNCTION("""COMPUTED_VALUE"""),"1750181619583")</f>
        <v>1750181619583</v>
      </c>
    </row>
    <row r="8439" spans="1:11" ht="12.45">
      <c r="A8439" s="2" t="str">
        <f ca="1">IFERROR(__xludf.DUMMYFUNCTION("""COMPUTED_VALUE"""),"1750181639889")</f>
        <v>1750181639889</v>
      </c>
      <c r="C8439" s="2" t="str">
        <v>0</v>
      </c>
      <c r="F8439" s="2" t="str">
        <v>0</v>
      </c>
      <c r="I8439" s="3" t="str">
        <f ca="1">IFERROR(__xludf.DUMMYFUNCTION("""COMPUTED_VALUE"""),"Tưởng Thái Hương Ly ")</f>
        <v xml:space="preserve">Tưởng Thái Hương Ly </v>
      </c>
      <c r="J8439" s="3" t="str">
        <f ca="1">IFERROR(__xludf.DUMMYFUNCTION("""COMPUTED_VALUE"""),"0399109820")</f>
        <v>0399109820</v>
      </c>
      <c r="K8439" s="2" t="str">
        <f ca="1">IFERROR(__xludf.DUMMYFUNCTION("""COMPUTED_VALUE"""),"1750181639889")</f>
        <v>1750181639889</v>
      </c>
    </row>
    <row r="8440" spans="1:11" ht="12.45">
      <c r="A8440" s="2" t="str">
        <f ca="1">IFERROR(__xludf.DUMMYFUNCTION("""COMPUTED_VALUE"""),"1750181661622")</f>
        <v>1750181661622</v>
      </c>
      <c r="C8440" s="2" t="str">
        <v>0</v>
      </c>
      <c r="F8440" s="2" t="str">
        <v>0</v>
      </c>
      <c r="I8440" s="3" t="str">
        <f ca="1">IFERROR(__xludf.DUMMYFUNCTION("""COMPUTED_VALUE"""),"Ngô Thị Phương ")</f>
        <v xml:space="preserve">Ngô Thị Phương </v>
      </c>
      <c r="J8440" s="3" t="str">
        <f ca="1">IFERROR(__xludf.DUMMYFUNCTION("""COMPUTED_VALUE"""),"0979158921")</f>
        <v>0979158921</v>
      </c>
      <c r="K8440" s="2" t="str">
        <f ca="1">IFERROR(__xludf.DUMMYFUNCTION("""COMPUTED_VALUE"""),"1750181661622")</f>
        <v>1750181661622</v>
      </c>
    </row>
    <row r="8441" spans="1:11" ht="12.45">
      <c r="A8441" s="2" t="str">
        <f ca="1">IFERROR(__xludf.DUMMYFUNCTION("""COMPUTED_VALUE"""),"1750181705425")</f>
        <v>1750181705425</v>
      </c>
      <c r="C8441" s="2" t="str">
        <v>0</v>
      </c>
      <c r="F8441" s="2" t="str">
        <v>0</v>
      </c>
      <c r="I8441" s="3" t="str">
        <f ca="1">IFERROR(__xludf.DUMMYFUNCTION("""COMPUTED_VALUE"""),"Đỗ Công Đình ")</f>
        <v xml:space="preserve">Đỗ Công Đình </v>
      </c>
      <c r="J8441" s="3" t="str">
        <f ca="1">IFERROR(__xludf.DUMMYFUNCTION("""COMPUTED_VALUE"""),"0345470124")</f>
        <v>0345470124</v>
      </c>
      <c r="K8441" s="2" t="str">
        <f ca="1">IFERROR(__xludf.DUMMYFUNCTION("""COMPUTED_VALUE"""),"1750181705425")</f>
        <v>1750181705425</v>
      </c>
    </row>
    <row r="8442" spans="1:11" ht="12.45">
      <c r="A8442" s="2" t="str">
        <f ca="1">IFERROR(__xludf.DUMMYFUNCTION("""COMPUTED_VALUE"""),"1750181742711")</f>
        <v>1750181742711</v>
      </c>
      <c r="C8442" s="2" t="str">
        <v>0</v>
      </c>
      <c r="F8442" s="2" t="str">
        <v>0</v>
      </c>
      <c r="I8442" s="3" t="str">
        <f ca="1">IFERROR(__xludf.DUMMYFUNCTION("""COMPUTED_VALUE"""),"Nguyễn Vũ Minh")</f>
        <v>Nguyễn Vũ Minh</v>
      </c>
      <c r="J8442" s="3" t="str">
        <f ca="1">IFERROR(__xludf.DUMMYFUNCTION("""COMPUTED_VALUE"""),"0348729647")</f>
        <v>0348729647</v>
      </c>
      <c r="K8442" s="2" t="str">
        <f ca="1">IFERROR(__xludf.DUMMYFUNCTION("""COMPUTED_VALUE"""),"1750181742711")</f>
        <v>1750181742711</v>
      </c>
    </row>
    <row r="8443" spans="1:11" ht="12.45">
      <c r="A8443" s="2" t="str">
        <f ca="1">IFERROR(__xludf.DUMMYFUNCTION("""COMPUTED_VALUE"""),"1750181778613")</f>
        <v>1750181778613</v>
      </c>
      <c r="C8443" s="2" t="str">
        <v>0</v>
      </c>
      <c r="F8443" s="2" t="str">
        <v>0</v>
      </c>
      <c r="I8443" s="3" t="str">
        <f ca="1">IFERROR(__xludf.DUMMYFUNCTION("""COMPUTED_VALUE"""),"Bùi Thị Giang ")</f>
        <v xml:space="preserve">Bùi Thị Giang </v>
      </c>
      <c r="J8443" s="3" t="str">
        <f ca="1">IFERROR(__xludf.DUMMYFUNCTION("""COMPUTED_VALUE"""),"0348491780")</f>
        <v>0348491780</v>
      </c>
      <c r="K8443" s="2" t="str">
        <f ca="1">IFERROR(__xludf.DUMMYFUNCTION("""COMPUTED_VALUE"""),"1750181778613")</f>
        <v>1750181778613</v>
      </c>
    </row>
    <row r="8444" spans="1:11" ht="12.45">
      <c r="A8444" s="2" t="str">
        <f ca="1">IFERROR(__xludf.DUMMYFUNCTION("""COMPUTED_VALUE"""),"1750181809874")</f>
        <v>1750181809874</v>
      </c>
      <c r="C8444" s="2" t="str">
        <v>0</v>
      </c>
      <c r="F8444" s="2" t="str">
        <v>0</v>
      </c>
      <c r="I8444" s="3" t="str">
        <f ca="1">IFERROR(__xludf.DUMMYFUNCTION("""COMPUTED_VALUE"""),"Lâm Nguyễn Bảo Trân")</f>
        <v>Lâm Nguyễn Bảo Trân</v>
      </c>
      <c r="J8444" s="3" t="str">
        <f ca="1">IFERROR(__xludf.DUMMYFUNCTION("""COMPUTED_VALUE"""),"0896471191")</f>
        <v>0896471191</v>
      </c>
      <c r="K8444" s="2" t="str">
        <f ca="1">IFERROR(__xludf.DUMMYFUNCTION("""COMPUTED_VALUE"""),"1750181809874")</f>
        <v>1750181809874</v>
      </c>
    </row>
    <row r="8445" spans="1:11" ht="12.45">
      <c r="A8445" s="2" t="str">
        <f ca="1">IFERROR(__xludf.DUMMYFUNCTION("""COMPUTED_VALUE"""),"1750181834187")</f>
        <v>1750181834187</v>
      </c>
      <c r="C8445" s="2" t="str">
        <v>0</v>
      </c>
      <c r="F8445" s="2" t="str">
        <v>0</v>
      </c>
      <c r="I8445" s="3" t="str">
        <f ca="1">IFERROR(__xludf.DUMMYFUNCTION("""COMPUTED_VALUE"""),"Nguyễn Văn Đại ")</f>
        <v xml:space="preserve">Nguyễn Văn Đại </v>
      </c>
      <c r="J8445" s="3" t="str">
        <f ca="1">IFERROR(__xludf.DUMMYFUNCTION("""COMPUTED_VALUE"""),"0378915798")</f>
        <v>0378915798</v>
      </c>
      <c r="K8445" s="2" t="str">
        <f ca="1">IFERROR(__xludf.DUMMYFUNCTION("""COMPUTED_VALUE"""),"1750181834187")</f>
        <v>1750181834187</v>
      </c>
    </row>
    <row r="8446" spans="1:11" ht="12.45">
      <c r="A8446" s="2" t="str">
        <f ca="1">IFERROR(__xludf.DUMMYFUNCTION("""COMPUTED_VALUE"""),"1750181861192")</f>
        <v>1750181861192</v>
      </c>
      <c r="C8446" s="2" t="str">
        <v>0</v>
      </c>
      <c r="F8446" s="2" t="str">
        <v>0</v>
      </c>
      <c r="I8446" s="3" t="str">
        <f ca="1">IFERROR(__xludf.DUMMYFUNCTION("""COMPUTED_VALUE"""),"Nguyễn Thị vân ")</f>
        <v xml:space="preserve">Nguyễn Thị vân </v>
      </c>
      <c r="J8446" s="3" t="str">
        <f ca="1">IFERROR(__xludf.DUMMYFUNCTION("""COMPUTED_VALUE"""),"0327293646")</f>
        <v>0327293646</v>
      </c>
      <c r="K8446" s="2" t="str">
        <f ca="1">IFERROR(__xludf.DUMMYFUNCTION("""COMPUTED_VALUE"""),"1750181861192")</f>
        <v>1750181861192</v>
      </c>
    </row>
    <row r="8447" spans="1:11" ht="12.45">
      <c r="A8447" s="2" t="str">
        <f ca="1">IFERROR(__xludf.DUMMYFUNCTION("""COMPUTED_VALUE"""),"1750181899647")</f>
        <v>1750181899647</v>
      </c>
      <c r="C8447" s="2" t="str">
        <v>0</v>
      </c>
      <c r="F8447" s="2" t="str">
        <v>0</v>
      </c>
      <c r="I8447" s="3" t="str">
        <f ca="1">IFERROR(__xludf.DUMMYFUNCTION("""COMPUTED_VALUE"""),"Đào Nguyễn Ngọc Sơn")</f>
        <v>Đào Nguyễn Ngọc Sơn</v>
      </c>
      <c r="J8447" s="3" t="str">
        <f ca="1">IFERROR(__xludf.DUMMYFUNCTION("""COMPUTED_VALUE"""),"0363760875")</f>
        <v>0363760875</v>
      </c>
      <c r="K8447" s="2" t="str">
        <f ca="1">IFERROR(__xludf.DUMMYFUNCTION("""COMPUTED_VALUE"""),"1750181899647")</f>
        <v>1750181899647</v>
      </c>
    </row>
    <row r="8448" spans="1:11" ht="12.45">
      <c r="A8448" s="2" t="str">
        <f ca="1">IFERROR(__xludf.DUMMYFUNCTION("""COMPUTED_VALUE"""),"1750181938155")</f>
        <v>1750181938155</v>
      </c>
      <c r="C8448" s="2" t="str">
        <v>0</v>
      </c>
      <c r="F8448" s="2" t="str">
        <v>0</v>
      </c>
      <c r="I8448" s="3" t="str">
        <f ca="1">IFERROR(__xludf.DUMMYFUNCTION("""COMPUTED_VALUE"""),"Nguyễn Đăng Khoa")</f>
        <v>Nguyễn Đăng Khoa</v>
      </c>
      <c r="J8448" s="3" t="str">
        <f ca="1">IFERROR(__xludf.DUMMYFUNCTION("""COMPUTED_VALUE"""),"0939590511")</f>
        <v>0939590511</v>
      </c>
      <c r="K8448" s="2" t="str">
        <f ca="1">IFERROR(__xludf.DUMMYFUNCTION("""COMPUTED_VALUE"""),"1750181938155")</f>
        <v>1750181938155</v>
      </c>
    </row>
    <row r="8449" spans="1:11" ht="12.45">
      <c r="A8449" s="2" t="str">
        <f ca="1">IFERROR(__xludf.DUMMYFUNCTION("""COMPUTED_VALUE"""),"1750181961313")</f>
        <v>1750181961313</v>
      </c>
      <c r="C8449" s="2" t="str">
        <v>0</v>
      </c>
      <c r="F8449" s="2" t="str">
        <v>0</v>
      </c>
      <c r="I8449" s="3" t="str">
        <f ca="1">IFERROR(__xludf.DUMMYFUNCTION("""COMPUTED_VALUE"""),"nguyễn thuỳ linh")</f>
        <v>nguyễn thuỳ linh</v>
      </c>
      <c r="J8449" s="3" t="str">
        <f ca="1">IFERROR(__xludf.DUMMYFUNCTION("""COMPUTED_VALUE"""),"0925440575")</f>
        <v>0925440575</v>
      </c>
      <c r="K8449" s="2" t="str">
        <f ca="1">IFERROR(__xludf.DUMMYFUNCTION("""COMPUTED_VALUE"""),"1750181961313")</f>
        <v>1750181961313</v>
      </c>
    </row>
    <row r="8450" spans="1:11" ht="12.45">
      <c r="A8450" s="2" t="str">
        <f ca="1">IFERROR(__xludf.DUMMYFUNCTION("""COMPUTED_VALUE"""),"1765276816804")</f>
        <v>1765276816804</v>
      </c>
      <c r="C8450" s="2" t="str">
        <v>0</v>
      </c>
      <c r="F8450" s="2" t="str">
        <v>0</v>
      </c>
      <c r="I8450" s="3" t="str">
        <f ca="1">IFERROR(__xludf.DUMMYFUNCTION("""COMPUTED_VALUE"""),"Lương Thanh Tùng ")</f>
        <v xml:space="preserve">Lương Thanh Tùng </v>
      </c>
      <c r="J8450" s="3" t="str">
        <f ca="1">IFERROR(__xludf.DUMMYFUNCTION("""COMPUTED_VALUE"""),"0327122856")</f>
        <v>0327122856</v>
      </c>
      <c r="K8450" s="2" t="str">
        <f ca="1">IFERROR(__xludf.DUMMYFUNCTION("""COMPUTED_VALUE"""),"1765276816804")</f>
        <v>1765276816804</v>
      </c>
    </row>
    <row r="8451" spans="1:11" ht="12.45">
      <c r="A8451" s="2"/>
      <c r="C8451" s="2" t="str">
        <v>0</v>
      </c>
      <c r="F8451" s="2" t="str">
        <v>0</v>
      </c>
      <c r="I8451" s="3" t="str">
        <f ca="1">IFERROR(__xludf.DUMMYFUNCTION("""COMPUTED_VALUE"""),"Nguyễn Ngọc Ánh Nhi")</f>
        <v>Nguyễn Ngọc Ánh Nhi</v>
      </c>
      <c r="J8451" s="3" t="str">
        <f ca="1">IFERROR(__xludf.DUMMYFUNCTION("""COMPUTED_VALUE"""),"0374184337")</f>
        <v>0374184337</v>
      </c>
      <c r="K8451" s="2"/>
    </row>
    <row r="8452" spans="1:11" ht="12.45">
      <c r="A8452" s="2" t="str">
        <f ca="1">IFERROR(__xludf.DUMMYFUNCTION("""COMPUTED_VALUE"""),"1765276852164")</f>
        <v>1765276852164</v>
      </c>
      <c r="C8452" s="2" t="str">
        <v>0</v>
      </c>
      <c r="F8452" s="2" t="str">
        <v>0</v>
      </c>
      <c r="I8452" s="3" t="str">
        <f ca="1">IFERROR(__xludf.DUMMYFUNCTION("""COMPUTED_VALUE"""),"Nguyễn Hồng Ngân")</f>
        <v>Nguyễn Hồng Ngân</v>
      </c>
      <c r="J8452" s="3" t="str">
        <f ca="1">IFERROR(__xludf.DUMMYFUNCTION("""COMPUTED_VALUE"""),"0865031348")</f>
        <v>0865031348</v>
      </c>
      <c r="K8452" s="2" t="str">
        <f ca="1">IFERROR(__xludf.DUMMYFUNCTION("""COMPUTED_VALUE"""),"1765276852164")</f>
        <v>1765276852164</v>
      </c>
    </row>
    <row r="8453" spans="1:11" ht="12.45">
      <c r="A8453" s="2" t="str">
        <f ca="1">IFERROR(__xludf.DUMMYFUNCTION("""COMPUTED_VALUE"""),"1765276873620")</f>
        <v>1765276873620</v>
      </c>
      <c r="C8453" s="2" t="str">
        <v>0</v>
      </c>
      <c r="F8453" s="2" t="str">
        <v>0</v>
      </c>
      <c r="I8453" s="3" t="str">
        <f ca="1">IFERROR(__xludf.DUMMYFUNCTION("""COMPUTED_VALUE"""),"Lê Quang Tùng ")</f>
        <v xml:space="preserve">Lê Quang Tùng </v>
      </c>
      <c r="J8453" s="3" t="str">
        <f ca="1">IFERROR(__xludf.DUMMYFUNCTION("""COMPUTED_VALUE"""),"0396391728")</f>
        <v>0396391728</v>
      </c>
      <c r="K8453" s="2" t="str">
        <f ca="1">IFERROR(__xludf.DUMMYFUNCTION("""COMPUTED_VALUE"""),"1765276873620")</f>
        <v>1765276873620</v>
      </c>
    </row>
    <row r="8454" spans="1:11" ht="12.45">
      <c r="A8454" s="2" t="str">
        <f ca="1">IFERROR(__xludf.DUMMYFUNCTION("""COMPUTED_VALUE"""),"1765276899138")</f>
        <v>1765276899138</v>
      </c>
      <c r="C8454" s="2" t="str">
        <v>0</v>
      </c>
      <c r="F8454" s="2" t="str">
        <v>0</v>
      </c>
      <c r="I8454" s="3" t="str">
        <f ca="1">IFERROR(__xludf.DUMMYFUNCTION("""COMPUTED_VALUE"""),"Nguyễn Hồng Hạnh")</f>
        <v>Nguyễn Hồng Hạnh</v>
      </c>
      <c r="J8454" s="3" t="str">
        <f ca="1">IFERROR(__xludf.DUMMYFUNCTION("""COMPUTED_VALUE"""),"0335169826")</f>
        <v>0335169826</v>
      </c>
      <c r="K8454" s="2" t="str">
        <f ca="1">IFERROR(__xludf.DUMMYFUNCTION("""COMPUTED_VALUE"""),"1765276899138")</f>
        <v>1765276899138</v>
      </c>
    </row>
    <row r="8455" spans="1:11" ht="12.45">
      <c r="A8455" s="2"/>
      <c r="C8455" s="2" t="str">
        <v>0</v>
      </c>
      <c r="F8455" s="2" t="str">
        <v>0</v>
      </c>
      <c r="I8455" s="3" t="str">
        <f ca="1">IFERROR(__xludf.DUMMYFUNCTION("""COMPUTED_VALUE"""),"Trần Bảo Nhi ")</f>
        <v xml:space="preserve">Trần Bảo Nhi </v>
      </c>
      <c r="J8455" s="3" t="str">
        <f ca="1">IFERROR(__xludf.DUMMYFUNCTION("""COMPUTED_VALUE"""),"0865732007")</f>
        <v>0865732007</v>
      </c>
      <c r="K8455" s="2"/>
    </row>
    <row r="8456" spans="1:11" ht="12.45">
      <c r="A8456" s="2"/>
      <c r="C8456" s="2" t="str">
        <v>0</v>
      </c>
      <c r="F8456" s="2" t="str">
        <v>0</v>
      </c>
      <c r="I8456" s="3" t="str">
        <f ca="1">IFERROR(__xludf.DUMMYFUNCTION("""COMPUTED_VALUE"""),"Trần Thị Kim Thoa ")</f>
        <v xml:space="preserve">Trần Thị Kim Thoa </v>
      </c>
      <c r="J8456" s="3" t="str">
        <f ca="1">IFERROR(__xludf.DUMMYFUNCTION("""COMPUTED_VALUE"""),"0363039338")</f>
        <v>0363039338</v>
      </c>
      <c r="K8456" s="2"/>
    </row>
    <row r="8457" spans="1:11" ht="12.45">
      <c r="A8457" s="2" t="str">
        <f ca="1">IFERROR(__xludf.DUMMYFUNCTION("""COMPUTED_VALUE"""),"1765276926221")</f>
        <v>1765276926221</v>
      </c>
      <c r="C8457" s="2" t="str">
        <v>0</v>
      </c>
      <c r="F8457" s="2" t="str">
        <v>0</v>
      </c>
      <c r="I8457" s="3" t="str">
        <f ca="1">IFERROR(__xludf.DUMMYFUNCTION("""COMPUTED_VALUE"""),"Đinh Ngọc Diệu Linh")</f>
        <v>Đinh Ngọc Diệu Linh</v>
      </c>
      <c r="J8457" s="3" t="str">
        <f ca="1">IFERROR(__xludf.DUMMYFUNCTION("""COMPUTED_VALUE"""),"0388712885")</f>
        <v>0388712885</v>
      </c>
      <c r="K8457" s="2" t="str">
        <f ca="1">IFERROR(__xludf.DUMMYFUNCTION("""COMPUTED_VALUE"""),"1765276926221")</f>
        <v>1765276926221</v>
      </c>
    </row>
    <row r="8458" spans="1:11" ht="12.45">
      <c r="A8458" s="2" t="str">
        <f ca="1">IFERROR(__xludf.DUMMYFUNCTION("""COMPUTED_VALUE"""),"1765276968958")</f>
        <v>1765276968958</v>
      </c>
      <c r="C8458" s="2" t="str">
        <v>0</v>
      </c>
      <c r="F8458" s="2" t="str">
        <v>0</v>
      </c>
      <c r="I8458" s="3" t="str">
        <f ca="1">IFERROR(__xludf.DUMMYFUNCTION("""COMPUTED_VALUE"""),"Nguyễn Trung Cường")</f>
        <v>Nguyễn Trung Cường</v>
      </c>
      <c r="J8458" s="3" t="str">
        <f ca="1">IFERROR(__xludf.DUMMYFUNCTION("""COMPUTED_VALUE"""),"0397628632")</f>
        <v>0397628632</v>
      </c>
      <c r="K8458" s="2" t="str">
        <f ca="1">IFERROR(__xludf.DUMMYFUNCTION("""COMPUTED_VALUE"""),"1765276968958")</f>
        <v>1765276968958</v>
      </c>
    </row>
    <row r="8459" spans="1:11" ht="12.45">
      <c r="A8459" s="2" t="str">
        <f ca="1">IFERROR(__xludf.DUMMYFUNCTION("""COMPUTED_VALUE"""),"1765277011828")</f>
        <v>1765277011828</v>
      </c>
      <c r="C8459" s="2" t="str">
        <v>0</v>
      </c>
      <c r="F8459" s="2" t="str">
        <v>0</v>
      </c>
      <c r="I8459" s="3" t="str">
        <f ca="1">IFERROR(__xludf.DUMMYFUNCTION("""COMPUTED_VALUE"""),"Nguyễn Văn Huy")</f>
        <v>Nguyễn Văn Huy</v>
      </c>
      <c r="J8459" s="3" t="str">
        <f ca="1">IFERROR(__xludf.DUMMYFUNCTION("""COMPUTED_VALUE"""),"0326230386")</f>
        <v>0326230386</v>
      </c>
      <c r="K8459" s="2" t="str">
        <f ca="1">IFERROR(__xludf.DUMMYFUNCTION("""COMPUTED_VALUE"""),"1765277011828")</f>
        <v>1765277011828</v>
      </c>
    </row>
    <row r="8460" spans="1:11" ht="12.45">
      <c r="A8460" s="2" t="str">
        <f ca="1">IFERROR(__xludf.DUMMYFUNCTION("""COMPUTED_VALUE"""),"1765277038725")</f>
        <v>1765277038725</v>
      </c>
      <c r="C8460" s="2" t="str">
        <v>0</v>
      </c>
      <c r="F8460" s="2" t="str">
        <v>0</v>
      </c>
      <c r="I8460" s="3" t="str">
        <f ca="1">IFERROR(__xludf.DUMMYFUNCTION("""COMPUTED_VALUE"""),"Trần Hoàng Hạnh")</f>
        <v>Trần Hoàng Hạnh</v>
      </c>
      <c r="J8460" s="3" t="str">
        <f ca="1">IFERROR(__xludf.DUMMYFUNCTION("""COMPUTED_VALUE"""),"0818915369")</f>
        <v>0818915369</v>
      </c>
      <c r="K8460" s="2" t="str">
        <f ca="1">IFERROR(__xludf.DUMMYFUNCTION("""COMPUTED_VALUE"""),"1765277038725")</f>
        <v>1765277038725</v>
      </c>
    </row>
    <row r="8461" spans="1:11" ht="12.45">
      <c r="A8461" s="2"/>
      <c r="C8461" s="2" t="str">
        <v>0</v>
      </c>
      <c r="F8461" s="2" t="str">
        <v>0</v>
      </c>
      <c r="I8461" s="3" t="str">
        <f ca="1">IFERROR(__xludf.DUMMYFUNCTION("""COMPUTED_VALUE"""),"Nguyễn Thị Ngân Á")</f>
        <v>Nguyễn Thị Ngân Á</v>
      </c>
      <c r="J8461" s="3" t="str">
        <f ca="1">IFERROR(__xludf.DUMMYFUNCTION("""COMPUTED_VALUE"""),"0345528776")</f>
        <v>0345528776</v>
      </c>
      <c r="K8461" s="2"/>
    </row>
    <row r="8462" spans="1:11" ht="12.45">
      <c r="A8462" s="2" t="str">
        <f ca="1">IFERROR(__xludf.DUMMYFUNCTION("""COMPUTED_VALUE"""),"1765277066433")</f>
        <v>1765277066433</v>
      </c>
      <c r="C8462" s="2" t="str">
        <v>0</v>
      </c>
      <c r="F8462" s="2" t="str">
        <v>0</v>
      </c>
      <c r="I8462" s="3" t="str">
        <f ca="1">IFERROR(__xludf.DUMMYFUNCTION("""COMPUTED_VALUE"""),"Đinh Thị Thanh Mai")</f>
        <v>Đinh Thị Thanh Mai</v>
      </c>
      <c r="J8462" s="3" t="str">
        <f ca="1">IFERROR(__xludf.DUMMYFUNCTION("""COMPUTED_VALUE"""),"0964818393")</f>
        <v>0964818393</v>
      </c>
      <c r="K8462" s="2" t="str">
        <f ca="1">IFERROR(__xludf.DUMMYFUNCTION("""COMPUTED_VALUE"""),"1765277066433")</f>
        <v>1765277066433</v>
      </c>
    </row>
    <row r="8463" spans="1:11" ht="12.45">
      <c r="A8463" s="2"/>
      <c r="C8463" s="2" t="str">
        <v>0</v>
      </c>
      <c r="F8463" s="2" t="str">
        <v>0</v>
      </c>
      <c r="I8463" s="3" t="str">
        <f ca="1">IFERROR(__xludf.DUMMYFUNCTION("""COMPUTED_VALUE"""),"Trương Khả Nhi ")</f>
        <v xml:space="preserve">Trương Khả Nhi </v>
      </c>
      <c r="J8463" s="3" t="str">
        <f ca="1">IFERROR(__xludf.DUMMYFUNCTION("""COMPUTED_VALUE"""),"0583123121")</f>
        <v>0583123121</v>
      </c>
      <c r="K8463" s="2"/>
    </row>
    <row r="8464" spans="1:11" ht="12.45">
      <c r="A8464" s="2" t="str">
        <f ca="1">IFERROR(__xludf.DUMMYFUNCTION("""COMPUTED_VALUE"""),"1765277114179")</f>
        <v>1765277114179</v>
      </c>
      <c r="C8464" s="2" t="str">
        <v>0</v>
      </c>
      <c r="F8464" s="2" t="str">
        <v>0</v>
      </c>
      <c r="I8464" s="3" t="str">
        <f ca="1">IFERROR(__xludf.DUMMYFUNCTION("""COMPUTED_VALUE"""),"Nguyễn Lan Hương")</f>
        <v>Nguyễn Lan Hương</v>
      </c>
      <c r="J8464" s="3" t="str">
        <f ca="1">IFERROR(__xludf.DUMMYFUNCTION("""COMPUTED_VALUE"""),"0904910757")</f>
        <v>0904910757</v>
      </c>
      <c r="K8464" s="2" t="str">
        <f ca="1">IFERROR(__xludf.DUMMYFUNCTION("""COMPUTED_VALUE"""),"1765277114179")</f>
        <v>1765277114179</v>
      </c>
    </row>
    <row r="8465" spans="1:11" ht="12.45">
      <c r="A8465" s="2" t="str">
        <f ca="1">IFERROR(__xludf.DUMMYFUNCTION("""COMPUTED_VALUE"""),"1765277160553")</f>
        <v>1765277160553</v>
      </c>
      <c r="C8465" s="2" t="str">
        <v>0</v>
      </c>
      <c r="F8465" s="2" t="str">
        <v>0</v>
      </c>
      <c r="I8465" s="3" t="str">
        <f ca="1">IFERROR(__xludf.DUMMYFUNCTION("""COMPUTED_VALUE"""),"Hồ Thị Thanh Phương")</f>
        <v>Hồ Thị Thanh Phương</v>
      </c>
      <c r="J8465" s="3" t="str">
        <f ca="1">IFERROR(__xludf.DUMMYFUNCTION("""COMPUTED_VALUE"""),"0345352007")</f>
        <v>0345352007</v>
      </c>
      <c r="K8465" s="2" t="str">
        <f ca="1">IFERROR(__xludf.DUMMYFUNCTION("""COMPUTED_VALUE"""),"1765277160553")</f>
        <v>1765277160553</v>
      </c>
    </row>
    <row r="8466" spans="1:11" ht="12.45">
      <c r="A8466" s="2" t="str">
        <f ca="1">IFERROR(__xludf.DUMMYFUNCTION("""COMPUTED_VALUE"""),"1765277191723")</f>
        <v>1765277191723</v>
      </c>
      <c r="C8466" s="2" t="str">
        <v>0</v>
      </c>
      <c r="F8466" s="2" t="str">
        <v>0</v>
      </c>
      <c r="I8466" s="3" t="str">
        <f ca="1">IFERROR(__xludf.DUMMYFUNCTION("""COMPUTED_VALUE"""),"Phạm Hồng Ngọc ")</f>
        <v xml:space="preserve">Phạm Hồng Ngọc </v>
      </c>
      <c r="J8466" s="3" t="str">
        <f ca="1">IFERROR(__xludf.DUMMYFUNCTION("""COMPUTED_VALUE"""),"0941800348")</f>
        <v>0941800348</v>
      </c>
      <c r="K8466" s="2" t="str">
        <f ca="1">IFERROR(__xludf.DUMMYFUNCTION("""COMPUTED_VALUE"""),"1765277191723")</f>
        <v>1765277191723</v>
      </c>
    </row>
    <row r="8467" spans="1:11" ht="12.45">
      <c r="A8467" s="2" t="str">
        <f ca="1">IFERROR(__xludf.DUMMYFUNCTION("""COMPUTED_VALUE"""),"1765277231208")</f>
        <v>1765277231208</v>
      </c>
      <c r="C8467" s="2" t="str">
        <v>0</v>
      </c>
      <c r="F8467" s="2" t="str">
        <v>0</v>
      </c>
      <c r="I8467" s="3" t="str">
        <f ca="1">IFERROR(__xludf.DUMMYFUNCTION("""COMPUTED_VALUE"""),"Lương Thị Vân")</f>
        <v>Lương Thị Vân</v>
      </c>
      <c r="J8467" s="3" t="str">
        <f ca="1">IFERROR(__xludf.DUMMYFUNCTION("""COMPUTED_VALUE"""),"0362437118")</f>
        <v>0362437118</v>
      </c>
      <c r="K8467" s="2" t="str">
        <f ca="1">IFERROR(__xludf.DUMMYFUNCTION("""COMPUTED_VALUE"""),"1765277231208")</f>
        <v>1765277231208</v>
      </c>
    </row>
    <row r="8468" spans="1:11" ht="12.45">
      <c r="A8468" s="2" t="str">
        <f ca="1">IFERROR(__xludf.DUMMYFUNCTION("""COMPUTED_VALUE"""),"1765277278755")</f>
        <v>1765277278755</v>
      </c>
      <c r="C8468" s="2" t="str">
        <v>0</v>
      </c>
      <c r="F8468" s="2" t="str">
        <v>0</v>
      </c>
      <c r="I8468" s="3" t="str">
        <f ca="1">IFERROR(__xludf.DUMMYFUNCTION("""COMPUTED_VALUE"""),"Hà kiều trinh")</f>
        <v>Hà kiều trinh</v>
      </c>
      <c r="J8468" s="3" t="str">
        <f ca="1">IFERROR(__xludf.DUMMYFUNCTION("""COMPUTED_VALUE"""),"0813467829")</f>
        <v>0813467829</v>
      </c>
      <c r="K8468" s="2" t="str">
        <f ca="1">IFERROR(__xludf.DUMMYFUNCTION("""COMPUTED_VALUE"""),"1765277278755")</f>
        <v>1765277278755</v>
      </c>
    </row>
    <row r="8469" spans="1:11" ht="12.45">
      <c r="A8469" s="2" t="str">
        <f ca="1">IFERROR(__xludf.DUMMYFUNCTION("""COMPUTED_VALUE"""),"1765277326750")</f>
        <v>1765277326750</v>
      </c>
      <c r="C8469" s="2" t="str">
        <v>0</v>
      </c>
      <c r="F8469" s="2" t="str">
        <v>0</v>
      </c>
      <c r="I8469" s="3" t="str">
        <f ca="1">IFERROR(__xludf.DUMMYFUNCTION("""COMPUTED_VALUE"""),"Lê Đặng Phương Thảo")</f>
        <v>Lê Đặng Phương Thảo</v>
      </c>
      <c r="J8469" s="3" t="str">
        <f ca="1">IFERROR(__xludf.DUMMYFUNCTION("""COMPUTED_VALUE"""),"0848214707")</f>
        <v>0848214707</v>
      </c>
      <c r="K8469" s="2" t="str">
        <f ca="1">IFERROR(__xludf.DUMMYFUNCTION("""COMPUTED_VALUE"""),"1765277326750")</f>
        <v>1765277326750</v>
      </c>
    </row>
    <row r="8470" spans="1:11" ht="12.45">
      <c r="A8470" s="2" t="str">
        <f ca="1">IFERROR(__xludf.DUMMYFUNCTION("""COMPUTED_VALUE"""),"1765277368104")</f>
        <v>1765277368104</v>
      </c>
      <c r="C8470" s="2" t="str">
        <v>0</v>
      </c>
      <c r="F8470" s="2" t="str">
        <v>0</v>
      </c>
      <c r="I8470" s="3" t="str">
        <f ca="1">IFERROR(__xludf.DUMMYFUNCTION("""COMPUTED_VALUE"""),"Lê Thị Côca")</f>
        <v>Lê Thị Côca</v>
      </c>
      <c r="J8470" s="3" t="str">
        <f ca="1">IFERROR(__xludf.DUMMYFUNCTION("""COMPUTED_VALUE"""),"0868982543")</f>
        <v>0868982543</v>
      </c>
      <c r="K8470" s="2" t="str">
        <f ca="1">IFERROR(__xludf.DUMMYFUNCTION("""COMPUTED_VALUE"""),"1765277368104")</f>
        <v>1765277368104</v>
      </c>
    </row>
    <row r="8471" spans="1:11" ht="12.45">
      <c r="A8471" s="2" t="str">
        <f ca="1">IFERROR(__xludf.DUMMYFUNCTION("""COMPUTED_VALUE"""),"1765277446014")</f>
        <v>1765277446014</v>
      </c>
      <c r="C8471" s="2" t="str">
        <v>0</v>
      </c>
      <c r="F8471" s="2" t="str">
        <v>0</v>
      </c>
      <c r="I8471" s="3" t="str">
        <f ca="1">IFERROR(__xludf.DUMMYFUNCTION("""COMPUTED_VALUE"""),"Trần Ngọc Bích")</f>
        <v>Trần Ngọc Bích</v>
      </c>
      <c r="J8471" s="3" t="str">
        <f ca="1">IFERROR(__xludf.DUMMYFUNCTION("""COMPUTED_VALUE"""),"0849480797")</f>
        <v>0849480797</v>
      </c>
      <c r="K8471" s="2" t="str">
        <f ca="1">IFERROR(__xludf.DUMMYFUNCTION("""COMPUTED_VALUE"""),"1765277446014")</f>
        <v>1765277446014</v>
      </c>
    </row>
    <row r="8472" spans="1:11" ht="12.45">
      <c r="A8472" s="2" t="str">
        <f ca="1">IFERROR(__xludf.DUMMYFUNCTION("""COMPUTED_VALUE"""),"1765277489744")</f>
        <v>1765277489744</v>
      </c>
      <c r="C8472" s="2" t="str">
        <v>0</v>
      </c>
      <c r="F8472" s="2" t="str">
        <v>0</v>
      </c>
      <c r="I8472" s="3" t="str">
        <f ca="1">IFERROR(__xludf.DUMMYFUNCTION("""COMPUTED_VALUE"""),"Lê Thị Như Quỳnh")</f>
        <v>Lê Thị Như Quỳnh</v>
      </c>
      <c r="J8472" s="3" t="str">
        <f ca="1">IFERROR(__xludf.DUMMYFUNCTION("""COMPUTED_VALUE"""),"0344680809")</f>
        <v>0344680809</v>
      </c>
      <c r="K8472" s="2" t="str">
        <f ca="1">IFERROR(__xludf.DUMMYFUNCTION("""COMPUTED_VALUE"""),"1765277489744")</f>
        <v>1765277489744</v>
      </c>
    </row>
    <row r="8473" spans="1:11" ht="12.45">
      <c r="A8473" s="2" t="str">
        <f ca="1">IFERROR(__xludf.DUMMYFUNCTION("""COMPUTED_VALUE"""),"1765277537564")</f>
        <v>1765277537564</v>
      </c>
      <c r="C8473" s="2" t="str">
        <v>0</v>
      </c>
      <c r="F8473" s="2" t="str">
        <v>0</v>
      </c>
      <c r="I8473" s="3" t="str">
        <f ca="1">IFERROR(__xludf.DUMMYFUNCTION("""COMPUTED_VALUE"""),"Nguyễn Ngọc Khánh Đoan ")</f>
        <v xml:space="preserve">Nguyễn Ngọc Khánh Đoan </v>
      </c>
      <c r="J8473" s="3" t="str">
        <f ca="1">IFERROR(__xludf.DUMMYFUNCTION("""COMPUTED_VALUE"""),"0913189803")</f>
        <v>0913189803</v>
      </c>
      <c r="K8473" s="2" t="str">
        <f ca="1">IFERROR(__xludf.DUMMYFUNCTION("""COMPUTED_VALUE"""),"1765277537564")</f>
        <v>1765277537564</v>
      </c>
    </row>
    <row r="8474" spans="1:11" ht="12.45">
      <c r="A8474" s="2" t="str">
        <f ca="1">IFERROR(__xludf.DUMMYFUNCTION("""COMPUTED_VALUE"""),"1765277584420")</f>
        <v>1765277584420</v>
      </c>
      <c r="C8474" s="2" t="str">
        <v>0</v>
      </c>
      <c r="F8474" s="2" t="str">
        <v>0</v>
      </c>
      <c r="I8474" s="3" t="str">
        <f ca="1">IFERROR(__xludf.DUMMYFUNCTION("""COMPUTED_VALUE"""),"Phùng thuỳ trang")</f>
        <v>Phùng thuỳ trang</v>
      </c>
      <c r="J8474" s="3" t="str">
        <f ca="1">IFERROR(__xludf.DUMMYFUNCTION("""COMPUTED_VALUE"""),"0989177282")</f>
        <v>0989177282</v>
      </c>
      <c r="K8474" s="2" t="str">
        <f ca="1">IFERROR(__xludf.DUMMYFUNCTION("""COMPUTED_VALUE"""),"1765277584420")</f>
        <v>1765277584420</v>
      </c>
    </row>
    <row r="8475" spans="1:11" ht="12.45">
      <c r="A8475" s="2" t="str">
        <f ca="1">IFERROR(__xludf.DUMMYFUNCTION("""COMPUTED_VALUE"""),"1752075934696")</f>
        <v>1752075934696</v>
      </c>
      <c r="C8475" s="2" t="str">
        <v>0</v>
      </c>
      <c r="F8475" s="2" t="str">
        <v>0</v>
      </c>
      <c r="I8475" s="3" t="str">
        <f ca="1">IFERROR(__xludf.DUMMYFUNCTION("""COMPUTED_VALUE"""),"Nguyễn Hà Vi")</f>
        <v>Nguyễn Hà Vi</v>
      </c>
      <c r="J8475" s="3" t="str">
        <f ca="1">IFERROR(__xludf.DUMMYFUNCTION("""COMPUTED_VALUE"""),"0859760607")</f>
        <v>0859760607</v>
      </c>
      <c r="K8475" s="2" t="str">
        <f ca="1">IFERROR(__xludf.DUMMYFUNCTION("""COMPUTED_VALUE"""),"1752075934696")</f>
        <v>1752075934696</v>
      </c>
    </row>
    <row r="8476" spans="1:11" ht="12.45">
      <c r="A8476" s="2" t="str">
        <f ca="1">IFERROR(__xludf.DUMMYFUNCTION("""COMPUTED_VALUE"""),"1752075972799")</f>
        <v>1752075972799</v>
      </c>
      <c r="C8476" s="2" t="str">
        <v>0</v>
      </c>
      <c r="F8476" s="2" t="str">
        <v>0</v>
      </c>
      <c r="I8476" s="3" t="str">
        <f ca="1">IFERROR(__xludf.DUMMYFUNCTION("""COMPUTED_VALUE"""),"Nguyễn Ngọc Phương Nghi")</f>
        <v>Nguyễn Ngọc Phương Nghi</v>
      </c>
      <c r="J8476" s="3" t="str">
        <f ca="1">IFERROR(__xludf.DUMMYFUNCTION("""COMPUTED_VALUE"""),"0949964328")</f>
        <v>0949964328</v>
      </c>
      <c r="K8476" s="2" t="str">
        <f ca="1">IFERROR(__xludf.DUMMYFUNCTION("""COMPUTED_VALUE"""),"1752075972799")</f>
        <v>1752075972799</v>
      </c>
    </row>
    <row r="8477" spans="1:11" ht="12.45">
      <c r="A8477" s="2" t="str">
        <f ca="1">IFERROR(__xludf.DUMMYFUNCTION("""COMPUTED_VALUE"""),"1752076002221")</f>
        <v>1752076002221</v>
      </c>
      <c r="C8477" s="2" t="str">
        <v>0</v>
      </c>
      <c r="F8477" s="2" t="str">
        <v>0</v>
      </c>
      <c r="I8477" s="3" t="str">
        <f ca="1">IFERROR(__xludf.DUMMYFUNCTION("""COMPUTED_VALUE"""),"Nguyễn Thị Huỳnh Như")</f>
        <v>Nguyễn Thị Huỳnh Như</v>
      </c>
      <c r="J8477" s="3" t="str">
        <f ca="1">IFERROR(__xludf.DUMMYFUNCTION("""COMPUTED_VALUE"""),"0349859792")</f>
        <v>0349859792</v>
      </c>
      <c r="K8477" s="2" t="str">
        <f ca="1">IFERROR(__xludf.DUMMYFUNCTION("""COMPUTED_VALUE"""),"1752076002221")</f>
        <v>1752076002221</v>
      </c>
    </row>
    <row r="8478" spans="1:11" ht="12.45">
      <c r="A8478" s="2" t="str">
        <f ca="1">IFERROR(__xludf.DUMMYFUNCTION("""COMPUTED_VALUE"""),"1752076031975")</f>
        <v>1752076031975</v>
      </c>
      <c r="C8478" s="2" t="str">
        <v>0</v>
      </c>
      <c r="F8478" s="2" t="str">
        <v>0</v>
      </c>
      <c r="I8478" s="3" t="str">
        <f ca="1">IFERROR(__xludf.DUMMYFUNCTION("""COMPUTED_VALUE"""),"Nguyễn Võ Gia Hân")</f>
        <v>Nguyễn Võ Gia Hân</v>
      </c>
      <c r="J8478" s="3" t="str">
        <f ca="1">IFERROR(__xludf.DUMMYFUNCTION("""COMPUTED_VALUE"""),"0582932924")</f>
        <v>0582932924</v>
      </c>
      <c r="K8478" s="2" t="str">
        <f ca="1">IFERROR(__xludf.DUMMYFUNCTION("""COMPUTED_VALUE"""),"1752076031975")</f>
        <v>1752076031975</v>
      </c>
    </row>
    <row r="8479" spans="1:11" ht="12.45">
      <c r="A8479" s="2" t="str">
        <f ca="1">IFERROR(__xludf.DUMMYFUNCTION("""COMPUTED_VALUE"""),"1752076062942")</f>
        <v>1752076062942</v>
      </c>
      <c r="C8479" s="2" t="str">
        <v>0</v>
      </c>
      <c r="F8479" s="2" t="str">
        <v>0</v>
      </c>
      <c r="I8479" s="3" t="str">
        <f ca="1">IFERROR(__xludf.DUMMYFUNCTION("""COMPUTED_VALUE"""),"Trần Thị Thu Hà")</f>
        <v>Trần Thị Thu Hà</v>
      </c>
      <c r="J8479" s="3" t="str">
        <f ca="1">IFERROR(__xludf.DUMMYFUNCTION("""COMPUTED_VALUE"""),"0384692673")</f>
        <v>0384692673</v>
      </c>
      <c r="K8479" s="2" t="str">
        <f ca="1">IFERROR(__xludf.DUMMYFUNCTION("""COMPUTED_VALUE"""),"1752076062942")</f>
        <v>1752076062942</v>
      </c>
    </row>
    <row r="8480" spans="1:11" ht="12.45">
      <c r="A8480" s="2" t="str">
        <f ca="1">IFERROR(__xludf.DUMMYFUNCTION("""COMPUTED_VALUE"""),"1752076099647")</f>
        <v>1752076099647</v>
      </c>
      <c r="C8480" s="2" t="str">
        <v>0</v>
      </c>
      <c r="F8480" s="2" t="str">
        <v>0</v>
      </c>
      <c r="I8480" s="3" t="str">
        <f ca="1">IFERROR(__xludf.DUMMYFUNCTION("""COMPUTED_VALUE"""),"Trịnh Hải Anh")</f>
        <v>Trịnh Hải Anh</v>
      </c>
      <c r="J8480" s="3" t="str">
        <f ca="1">IFERROR(__xludf.DUMMYFUNCTION("""COMPUTED_VALUE"""),"0778026984")</f>
        <v>0778026984</v>
      </c>
      <c r="K8480" s="2" t="str">
        <f ca="1">IFERROR(__xludf.DUMMYFUNCTION("""COMPUTED_VALUE"""),"1752076099647")</f>
        <v>1752076099647</v>
      </c>
    </row>
    <row r="8481" spans="1:11" ht="12.45">
      <c r="A8481" s="2" t="str">
        <f ca="1">IFERROR(__xludf.DUMMYFUNCTION("""COMPUTED_VALUE"""),"1752076127139")</f>
        <v>1752076127139</v>
      </c>
      <c r="C8481" s="2" t="str">
        <v>0</v>
      </c>
      <c r="F8481" s="2" t="str">
        <v>0</v>
      </c>
      <c r="I8481" s="3" t="str">
        <f ca="1">IFERROR(__xludf.DUMMYFUNCTION("""COMPUTED_VALUE"""),"Trịnh Ngọc Bảo Châu ")</f>
        <v xml:space="preserve">Trịnh Ngọc Bảo Châu </v>
      </c>
      <c r="J8481" s="3" t="str">
        <f ca="1">IFERROR(__xludf.DUMMYFUNCTION("""COMPUTED_VALUE"""),"0338764002")</f>
        <v>0338764002</v>
      </c>
      <c r="K8481" s="2" t="str">
        <f ca="1">IFERROR(__xludf.DUMMYFUNCTION("""COMPUTED_VALUE"""),"1752076127139")</f>
        <v>1752076127139</v>
      </c>
    </row>
    <row r="8482" spans="1:11" ht="12.45">
      <c r="A8482" s="2" t="str">
        <f ca="1">IFERROR(__xludf.DUMMYFUNCTION("""COMPUTED_VALUE"""),"1752076168591")</f>
        <v>1752076168591</v>
      </c>
      <c r="C8482" s="2" t="str">
        <v>0</v>
      </c>
      <c r="F8482" s="2" t="str">
        <v>0</v>
      </c>
      <c r="I8482" s="3" t="str">
        <f ca="1">IFERROR(__xludf.DUMMYFUNCTION("""COMPUTED_VALUE"""),"Doãn Khánh Huyền")</f>
        <v>Doãn Khánh Huyền</v>
      </c>
      <c r="J8482" s="3" t="str">
        <f ca="1">IFERROR(__xludf.DUMMYFUNCTION("""COMPUTED_VALUE"""),"0359551565")</f>
        <v>0359551565</v>
      </c>
      <c r="K8482" s="2" t="str">
        <f ca="1">IFERROR(__xludf.DUMMYFUNCTION("""COMPUTED_VALUE"""),"1752076168591")</f>
        <v>1752076168591</v>
      </c>
    </row>
    <row r="8483" spans="1:11" ht="12.45">
      <c r="A8483" s="2" t="str">
        <f ca="1">IFERROR(__xludf.DUMMYFUNCTION("""COMPUTED_VALUE"""),"1752076210100")</f>
        <v>1752076210100</v>
      </c>
      <c r="C8483" s="2" t="str">
        <v>0</v>
      </c>
      <c r="F8483" s="2" t="str">
        <v>0</v>
      </c>
      <c r="I8483" s="3" t="str">
        <f ca="1">IFERROR(__xludf.DUMMYFUNCTION("""COMPUTED_VALUE"""),"Nguyễn Hồng Thắm")</f>
        <v>Nguyễn Hồng Thắm</v>
      </c>
      <c r="J8483" s="3" t="str">
        <f ca="1">IFERROR(__xludf.DUMMYFUNCTION("""COMPUTED_VALUE"""),"0368843480")</f>
        <v>0368843480</v>
      </c>
      <c r="K8483" s="2" t="str">
        <f ca="1">IFERROR(__xludf.DUMMYFUNCTION("""COMPUTED_VALUE"""),"1752076210100")</f>
        <v>1752076210100</v>
      </c>
    </row>
    <row r="8484" spans="1:11" ht="12.45">
      <c r="A8484" s="2" t="str">
        <f ca="1">IFERROR(__xludf.DUMMYFUNCTION("""COMPUTED_VALUE"""),"1752076246210")</f>
        <v>1752076246210</v>
      </c>
      <c r="C8484" s="2" t="str">
        <v>0</v>
      </c>
      <c r="F8484" s="2" t="str">
        <v>0</v>
      </c>
      <c r="I8484" s="3" t="str">
        <f ca="1">IFERROR(__xludf.DUMMYFUNCTION("""COMPUTED_VALUE"""),"Hoàng Thị Nga ")</f>
        <v xml:space="preserve">Hoàng Thị Nga </v>
      </c>
      <c r="J8484" s="3" t="str">
        <f ca="1">IFERROR(__xludf.DUMMYFUNCTION("""COMPUTED_VALUE"""),"0397782619")</f>
        <v>0397782619</v>
      </c>
      <c r="K8484" s="2" t="str">
        <f ca="1">IFERROR(__xludf.DUMMYFUNCTION("""COMPUTED_VALUE"""),"1752076246210")</f>
        <v>1752076246210</v>
      </c>
    </row>
    <row r="8485" spans="1:11" ht="12.45">
      <c r="A8485" s="2" t="str">
        <f ca="1">IFERROR(__xludf.DUMMYFUNCTION("""COMPUTED_VALUE"""),"1752076280666")</f>
        <v>1752076280666</v>
      </c>
      <c r="C8485" s="2" t="str">
        <v>0</v>
      </c>
      <c r="F8485" s="2" t="str">
        <v>0</v>
      </c>
      <c r="I8485" s="3" t="str">
        <f ca="1">IFERROR(__xludf.DUMMYFUNCTION("""COMPUTED_VALUE"""),"Quách Khánh Băng")</f>
        <v>Quách Khánh Băng</v>
      </c>
      <c r="J8485" s="3" t="str">
        <f ca="1">IFERROR(__xludf.DUMMYFUNCTION("""COMPUTED_VALUE"""),"0918086055")</f>
        <v>0918086055</v>
      </c>
      <c r="K8485" s="2" t="str">
        <f ca="1">IFERROR(__xludf.DUMMYFUNCTION("""COMPUTED_VALUE"""),"1752076280666")</f>
        <v>1752076280666</v>
      </c>
    </row>
    <row r="8486" spans="1:11" ht="12.45">
      <c r="A8486" s="2" t="str">
        <f ca="1">IFERROR(__xludf.DUMMYFUNCTION("""COMPUTED_VALUE"""),"1752076319606")</f>
        <v>1752076319606</v>
      </c>
      <c r="C8486" s="2" t="str">
        <v>0</v>
      </c>
      <c r="F8486" s="2" t="str">
        <v>0</v>
      </c>
      <c r="I8486" s="3" t="str">
        <f ca="1">IFERROR(__xludf.DUMMYFUNCTION("""COMPUTED_VALUE"""),"Nguyễn Văn Thành")</f>
        <v>Nguyễn Văn Thành</v>
      </c>
      <c r="J8486" s="3" t="str">
        <f ca="1">IFERROR(__xludf.DUMMYFUNCTION("""COMPUTED_VALUE"""),"0347981173")</f>
        <v>0347981173</v>
      </c>
      <c r="K8486" s="2" t="str">
        <f ca="1">IFERROR(__xludf.DUMMYFUNCTION("""COMPUTED_VALUE"""),"1752076319606")</f>
        <v>1752076319606</v>
      </c>
    </row>
    <row r="8487" spans="1:11" ht="12.45">
      <c r="A8487" s="2" t="str">
        <f ca="1">IFERROR(__xludf.DUMMYFUNCTION("""COMPUTED_VALUE"""),"1752076364812")</f>
        <v>1752076364812</v>
      </c>
      <c r="C8487" s="2" t="str">
        <v>0</v>
      </c>
      <c r="F8487" s="2" t="str">
        <v>0</v>
      </c>
      <c r="I8487" s="3" t="str">
        <f ca="1">IFERROR(__xludf.DUMMYFUNCTION("""COMPUTED_VALUE"""),"Lê Minh Thư")</f>
        <v>Lê Minh Thư</v>
      </c>
      <c r="J8487" s="3" t="str">
        <f ca="1">IFERROR(__xludf.DUMMYFUNCTION("""COMPUTED_VALUE"""),"0394910460")</f>
        <v>0394910460</v>
      </c>
      <c r="K8487" s="2" t="str">
        <f ca="1">IFERROR(__xludf.DUMMYFUNCTION("""COMPUTED_VALUE"""),"1752076364812")</f>
        <v>1752076364812</v>
      </c>
    </row>
    <row r="8488" spans="1:11" ht="12.45">
      <c r="A8488" s="2" t="str">
        <f ca="1">IFERROR(__xludf.DUMMYFUNCTION("""COMPUTED_VALUE"""),"1752076408823")</f>
        <v>1752076408823</v>
      </c>
      <c r="C8488" s="2" t="str">
        <v>0</v>
      </c>
      <c r="F8488" s="2" t="str">
        <v>0</v>
      </c>
      <c r="I8488" s="3" t="str">
        <f ca="1">IFERROR(__xludf.DUMMYFUNCTION("""COMPUTED_VALUE"""),"Nguyễn Mỹ Duyên ")</f>
        <v xml:space="preserve">Nguyễn Mỹ Duyên </v>
      </c>
      <c r="J8488" s="3" t="str">
        <f ca="1">IFERROR(__xludf.DUMMYFUNCTION("""COMPUTED_VALUE"""),"0827399572")</f>
        <v>0827399572</v>
      </c>
      <c r="K8488" s="2" t="str">
        <f ca="1">IFERROR(__xludf.DUMMYFUNCTION("""COMPUTED_VALUE"""),"1752076408823")</f>
        <v>1752076408823</v>
      </c>
    </row>
    <row r="8489" spans="1:11" ht="12.45">
      <c r="A8489" s="2" t="str">
        <f ca="1">IFERROR(__xludf.DUMMYFUNCTION("""COMPUTED_VALUE"""),"1752076447870")</f>
        <v>1752076447870</v>
      </c>
      <c r="C8489" s="2" t="str">
        <v>0</v>
      </c>
      <c r="F8489" s="2" t="str">
        <v>0</v>
      </c>
      <c r="I8489" s="3" t="str">
        <f ca="1">IFERROR(__xludf.DUMMYFUNCTION("""COMPUTED_VALUE"""),"Đoàn Thị Kiều Oanh ")</f>
        <v xml:space="preserve">Đoàn Thị Kiều Oanh </v>
      </c>
      <c r="J8489" s="3" t="str">
        <f ca="1">IFERROR(__xludf.DUMMYFUNCTION("""COMPUTED_VALUE"""),"0896409851")</f>
        <v>0896409851</v>
      </c>
      <c r="K8489" s="2" t="str">
        <f ca="1">IFERROR(__xludf.DUMMYFUNCTION("""COMPUTED_VALUE"""),"1752076447870")</f>
        <v>1752076447870</v>
      </c>
    </row>
    <row r="8490" spans="1:11" ht="12.45">
      <c r="A8490" s="2" t="str">
        <f ca="1">IFERROR(__xludf.DUMMYFUNCTION("""COMPUTED_VALUE"""),"1752076478429")</f>
        <v>1752076478429</v>
      </c>
      <c r="C8490" s="2" t="str">
        <v>0</v>
      </c>
      <c r="F8490" s="2" t="str">
        <v>0</v>
      </c>
      <c r="I8490" s="3" t="str">
        <f ca="1">IFERROR(__xludf.DUMMYFUNCTION("""COMPUTED_VALUE"""),"Nguyễn Tuấn Anh")</f>
        <v>Nguyễn Tuấn Anh</v>
      </c>
      <c r="J8490" s="3" t="str">
        <f ca="1">IFERROR(__xludf.DUMMYFUNCTION("""COMPUTED_VALUE"""),"0907041794")</f>
        <v>0907041794</v>
      </c>
      <c r="K8490" s="2" t="str">
        <f ca="1">IFERROR(__xludf.DUMMYFUNCTION("""COMPUTED_VALUE"""),"1752076478429")</f>
        <v>1752076478429</v>
      </c>
    </row>
    <row r="8491" spans="1:11" ht="12.45">
      <c r="A8491" s="2" t="str">
        <f ca="1">IFERROR(__xludf.DUMMYFUNCTION("""COMPUTED_VALUE"""),"1752076526158")</f>
        <v>1752076526158</v>
      </c>
      <c r="C8491" s="2" t="str">
        <v>0</v>
      </c>
      <c r="F8491" s="2" t="str">
        <v>0</v>
      </c>
      <c r="I8491" s="3" t="str">
        <f ca="1">IFERROR(__xludf.DUMMYFUNCTION("""COMPUTED_VALUE"""),"nguyễn văn long")</f>
        <v>nguyễn văn long</v>
      </c>
      <c r="J8491" s="3" t="str">
        <f ca="1">IFERROR(__xludf.DUMMYFUNCTION("""COMPUTED_VALUE"""),"0862922328")</f>
        <v>0862922328</v>
      </c>
      <c r="K8491" s="2" t="str">
        <f ca="1">IFERROR(__xludf.DUMMYFUNCTION("""COMPUTED_VALUE"""),"1752076526158")</f>
        <v>1752076526158</v>
      </c>
    </row>
    <row r="8492" spans="1:11" ht="12.45">
      <c r="A8492" s="2" t="str">
        <f ca="1">IFERROR(__xludf.DUMMYFUNCTION("""COMPUTED_VALUE"""),"1752076559366")</f>
        <v>1752076559366</v>
      </c>
      <c r="C8492" s="2" t="str">
        <v>0</v>
      </c>
      <c r="F8492" s="2" t="str">
        <v>0</v>
      </c>
      <c r="I8492" s="3" t="str">
        <f ca="1">IFERROR(__xludf.DUMMYFUNCTION("""COMPUTED_VALUE"""),"Phạm Nguyễn Ngọc Thảo")</f>
        <v>Phạm Nguyễn Ngọc Thảo</v>
      </c>
      <c r="J8492" s="3" t="str">
        <f ca="1">IFERROR(__xludf.DUMMYFUNCTION("""COMPUTED_VALUE"""),"0983781955")</f>
        <v>0983781955</v>
      </c>
      <c r="K8492" s="2" t="str">
        <f ca="1">IFERROR(__xludf.DUMMYFUNCTION("""COMPUTED_VALUE"""),"1752076559366")</f>
        <v>1752076559366</v>
      </c>
    </row>
    <row r="8493" spans="1:11" ht="12.45">
      <c r="A8493" s="2" t="str">
        <f ca="1">IFERROR(__xludf.DUMMYFUNCTION("""COMPUTED_VALUE"""),"1752076590769")</f>
        <v>1752076590769</v>
      </c>
      <c r="C8493" s="2" t="str">
        <v>0</v>
      </c>
      <c r="F8493" s="2" t="str">
        <v>0</v>
      </c>
      <c r="I8493" s="3" t="str">
        <f ca="1">IFERROR(__xludf.DUMMYFUNCTION("""COMPUTED_VALUE"""),"Nguyễn Thanh Lam")</f>
        <v>Nguyễn Thanh Lam</v>
      </c>
      <c r="J8493" s="3" t="str">
        <f ca="1">IFERROR(__xludf.DUMMYFUNCTION("""COMPUTED_VALUE"""),"0905827243")</f>
        <v>0905827243</v>
      </c>
      <c r="K8493" s="2" t="str">
        <f ca="1">IFERROR(__xludf.DUMMYFUNCTION("""COMPUTED_VALUE"""),"1752076590769")</f>
        <v>1752076590769</v>
      </c>
    </row>
    <row r="8494" spans="1:11" ht="12.45">
      <c r="A8494" s="2"/>
      <c r="C8494" s="2" t="str">
        <v>0</v>
      </c>
      <c r="F8494" s="2" t="str">
        <v>0</v>
      </c>
      <c r="I8494" s="3" t="str">
        <f ca="1">IFERROR(__xludf.DUMMYFUNCTION("""COMPUTED_VALUE"""),"Phạm Thị Tuyết Ngân")</f>
        <v>Phạm Thị Tuyết Ngân</v>
      </c>
      <c r="J8494" s="3" t="str">
        <f ca="1">IFERROR(__xludf.DUMMYFUNCTION("""COMPUTED_VALUE"""),"0342872297")</f>
        <v>0342872297</v>
      </c>
      <c r="K8494" s="2"/>
    </row>
    <row r="8495" spans="1:11" ht="12.45">
      <c r="A8495" s="2" t="str">
        <f ca="1">IFERROR(__xludf.DUMMYFUNCTION("""COMPUTED_VALUE"""),"1752076620598")</f>
        <v>1752076620598</v>
      </c>
      <c r="C8495" s="2" t="str">
        <v>0</v>
      </c>
      <c r="F8495" s="2" t="str">
        <v>0</v>
      </c>
      <c r="I8495" s="3" t="str">
        <f ca="1">IFERROR(__xludf.DUMMYFUNCTION("""COMPUTED_VALUE"""),"Phạm Phương Thùy Trang")</f>
        <v>Phạm Phương Thùy Trang</v>
      </c>
      <c r="J8495" s="3" t="str">
        <f ca="1">IFERROR(__xludf.DUMMYFUNCTION("""COMPUTED_VALUE"""),"0378566061")</f>
        <v>0378566061</v>
      </c>
      <c r="K8495" s="2" t="str">
        <f ca="1">IFERROR(__xludf.DUMMYFUNCTION("""COMPUTED_VALUE"""),"1752076620598")</f>
        <v>1752076620598</v>
      </c>
    </row>
    <row r="8496" spans="1:11" ht="12.45">
      <c r="A8496" s="2" t="str">
        <f ca="1">IFERROR(__xludf.DUMMYFUNCTION("""COMPUTED_VALUE"""),"1752076665120")</f>
        <v>1752076665120</v>
      </c>
      <c r="C8496" s="2" t="str">
        <v>0</v>
      </c>
      <c r="F8496" s="2" t="str">
        <v>0</v>
      </c>
      <c r="I8496" s="3" t="str">
        <f ca="1">IFERROR(__xludf.DUMMYFUNCTION("""COMPUTED_VALUE"""),"Nguyễn Trần Phương Linh")</f>
        <v>Nguyễn Trần Phương Linh</v>
      </c>
      <c r="J8496" s="3" t="str">
        <f ca="1">IFERROR(__xludf.DUMMYFUNCTION("""COMPUTED_VALUE"""),"0366152400")</f>
        <v>0366152400</v>
      </c>
      <c r="K8496" s="2" t="str">
        <f ca="1">IFERROR(__xludf.DUMMYFUNCTION("""COMPUTED_VALUE"""),"1752076665120")</f>
        <v>1752076665120</v>
      </c>
    </row>
    <row r="8497" spans="1:11" ht="12.45">
      <c r="A8497" s="2" t="str">
        <f ca="1">IFERROR(__xludf.DUMMYFUNCTION("""COMPUTED_VALUE"""),"1752076704576")</f>
        <v>1752076704576</v>
      </c>
      <c r="C8497" s="2" t="str">
        <v>0</v>
      </c>
      <c r="F8497" s="2" t="str">
        <v>0</v>
      </c>
      <c r="I8497" s="3" t="str">
        <f ca="1">IFERROR(__xludf.DUMMYFUNCTION("""COMPUTED_VALUE"""),"Nguyễn Phương Tuyền")</f>
        <v>Nguyễn Phương Tuyền</v>
      </c>
      <c r="J8497" s="3" t="str">
        <f ca="1">IFERROR(__xludf.DUMMYFUNCTION("""COMPUTED_VALUE"""),"0962833059")</f>
        <v>0962833059</v>
      </c>
      <c r="K8497" s="2" t="str">
        <f ca="1">IFERROR(__xludf.DUMMYFUNCTION("""COMPUTED_VALUE"""),"1752076704576")</f>
        <v>1752076704576</v>
      </c>
    </row>
    <row r="8498" spans="1:11" ht="12.45">
      <c r="A8498" s="2" t="str">
        <f ca="1">IFERROR(__xludf.DUMMYFUNCTION("""COMPUTED_VALUE"""),"1752076739885")</f>
        <v>1752076739885</v>
      </c>
      <c r="C8498" s="2" t="str">
        <v>0</v>
      </c>
      <c r="F8498" s="2" t="str">
        <v>0</v>
      </c>
      <c r="I8498" s="3" t="str">
        <f ca="1">IFERROR(__xludf.DUMMYFUNCTION("""COMPUTED_VALUE"""),"Nguyễn Thị Diệu Linh ")</f>
        <v xml:space="preserve">Nguyễn Thị Diệu Linh </v>
      </c>
      <c r="J8498" s="3" t="str">
        <f ca="1">IFERROR(__xludf.DUMMYFUNCTION("""COMPUTED_VALUE"""),"0366373831")</f>
        <v>0366373831</v>
      </c>
      <c r="K8498" s="2" t="str">
        <f ca="1">IFERROR(__xludf.DUMMYFUNCTION("""COMPUTED_VALUE"""),"1752076739885")</f>
        <v>1752076739885</v>
      </c>
    </row>
    <row r="8499" spans="1:11" ht="12.45">
      <c r="A8499" s="2" t="str">
        <f ca="1">IFERROR(__xludf.DUMMYFUNCTION("""COMPUTED_VALUE"""),"1752076774880")</f>
        <v>1752076774880</v>
      </c>
      <c r="C8499" s="2" t="str">
        <v>0</v>
      </c>
      <c r="F8499" s="2" t="str">
        <v>0</v>
      </c>
      <c r="I8499" s="3" t="str">
        <f ca="1">IFERROR(__xludf.DUMMYFUNCTION("""COMPUTED_VALUE"""),"Roá roá ")</f>
        <v xml:space="preserve">Roá roá </v>
      </c>
      <c r="J8499" s="3" t="str">
        <f ca="1">IFERROR(__xludf.DUMMYFUNCTION("""COMPUTED_VALUE"""),"0336589412")</f>
        <v>0336589412</v>
      </c>
      <c r="K8499" s="2" t="str">
        <f ca="1">IFERROR(__xludf.DUMMYFUNCTION("""COMPUTED_VALUE"""),"1752076774880")</f>
        <v>1752076774880</v>
      </c>
    </row>
    <row r="8500" spans="1:11" ht="12.45">
      <c r="A8500" s="2" t="str">
        <f ca="1">IFERROR(__xludf.DUMMYFUNCTION("""COMPUTED_VALUE"""),"1752076819365")</f>
        <v>1752076819365</v>
      </c>
      <c r="C8500" s="2" t="str">
        <v>0</v>
      </c>
      <c r="F8500" s="2" t="str">
        <v>0</v>
      </c>
      <c r="I8500" s="3" t="str">
        <f ca="1">IFERROR(__xludf.DUMMYFUNCTION("""COMPUTED_VALUE"""),"Nguyễn Thị Khánh Ngọc")</f>
        <v>Nguyễn Thị Khánh Ngọc</v>
      </c>
      <c r="J8500" s="3" t="str">
        <f ca="1">IFERROR(__xludf.DUMMYFUNCTION("""COMPUTED_VALUE"""),"0768514779")</f>
        <v>0768514779</v>
      </c>
      <c r="K8500" s="2" t="str">
        <f ca="1">IFERROR(__xludf.DUMMYFUNCTION("""COMPUTED_VALUE"""),"1752076819365")</f>
        <v>1752076819365</v>
      </c>
    </row>
    <row r="8501" spans="1:11" ht="12.45">
      <c r="A8501" s="2" t="str">
        <f ca="1">IFERROR(__xludf.DUMMYFUNCTION("""COMPUTED_VALUE"""),"1752076848437")</f>
        <v>1752076848437</v>
      </c>
      <c r="C8501" s="2" t="str">
        <v>0</v>
      </c>
      <c r="F8501" s="2" t="str">
        <v>0</v>
      </c>
      <c r="I8501" s="3" t="str">
        <f ca="1">IFERROR(__xludf.DUMMYFUNCTION("""COMPUTED_VALUE"""),"Nguyễn Phương Quyên")</f>
        <v>Nguyễn Phương Quyên</v>
      </c>
      <c r="J8501" s="3" t="str">
        <f ca="1">IFERROR(__xludf.DUMMYFUNCTION("""COMPUTED_VALUE"""),"0966276923")</f>
        <v>0966276923</v>
      </c>
      <c r="K8501" s="2" t="str">
        <f ca="1">IFERROR(__xludf.DUMMYFUNCTION("""COMPUTED_VALUE"""),"1752076848437")</f>
        <v>1752076848437</v>
      </c>
    </row>
    <row r="8502" spans="1:11" ht="12.45">
      <c r="A8502" s="2" t="str">
        <f ca="1">IFERROR(__xludf.DUMMYFUNCTION("""COMPUTED_VALUE"""),"1752076876669")</f>
        <v>1752076876669</v>
      </c>
      <c r="C8502" s="2" t="str">
        <v>0</v>
      </c>
      <c r="F8502" s="2" t="str">
        <v>0</v>
      </c>
      <c r="I8502" s="3" t="str">
        <f ca="1">IFERROR(__xludf.DUMMYFUNCTION("""COMPUTED_VALUE"""),"Bùi Phương Thảo")</f>
        <v>Bùi Phương Thảo</v>
      </c>
      <c r="J8502" s="3" t="str">
        <f ca="1">IFERROR(__xludf.DUMMYFUNCTION("""COMPUTED_VALUE"""),"0338360207")</f>
        <v>0338360207</v>
      </c>
      <c r="K8502" s="2" t="str">
        <f ca="1">IFERROR(__xludf.DUMMYFUNCTION("""COMPUTED_VALUE"""),"1752076876669")</f>
        <v>1752076876669</v>
      </c>
    </row>
    <row r="8503" spans="1:11" ht="12.45">
      <c r="A8503" s="2" t="str">
        <f ca="1">IFERROR(__xludf.DUMMYFUNCTION("""COMPUTED_VALUE"""),"1752076903376")</f>
        <v>1752076903376</v>
      </c>
      <c r="C8503" s="2" t="str">
        <v>0</v>
      </c>
      <c r="F8503" s="2" t="str">
        <v>0</v>
      </c>
      <c r="I8503" s="3" t="str">
        <f ca="1">IFERROR(__xludf.DUMMYFUNCTION("""COMPUTED_VALUE"""),"Trần Thị Thùy Linh ")</f>
        <v xml:space="preserve">Trần Thị Thùy Linh </v>
      </c>
      <c r="J8503" s="3" t="str">
        <f ca="1">IFERROR(__xludf.DUMMYFUNCTION("""COMPUTED_VALUE"""),"0869195398")</f>
        <v>0869195398</v>
      </c>
      <c r="K8503" s="2" t="str">
        <f ca="1">IFERROR(__xludf.DUMMYFUNCTION("""COMPUTED_VALUE"""),"1752076903376")</f>
        <v>1752076903376</v>
      </c>
    </row>
    <row r="8504" spans="1:11" ht="12.45">
      <c r="A8504" s="2" t="str">
        <f ca="1">IFERROR(__xludf.DUMMYFUNCTION("""COMPUTED_VALUE"""),"1752076942291")</f>
        <v>1752076942291</v>
      </c>
      <c r="C8504" s="2" t="str">
        <v>0</v>
      </c>
      <c r="F8504" s="2" t="str">
        <v>0</v>
      </c>
      <c r="I8504" s="3" t="str">
        <f ca="1">IFERROR(__xludf.DUMMYFUNCTION("""COMPUTED_VALUE"""),"Bùi Như Quỳnh ")</f>
        <v xml:space="preserve">Bùi Như Quỳnh </v>
      </c>
      <c r="J8504" s="3" t="str">
        <f ca="1">IFERROR(__xludf.DUMMYFUNCTION("""COMPUTED_VALUE"""),"0964892197")</f>
        <v>0964892197</v>
      </c>
      <c r="K8504" s="2" t="str">
        <f ca="1">IFERROR(__xludf.DUMMYFUNCTION("""COMPUTED_VALUE"""),"1752076942291")</f>
        <v>1752076942291</v>
      </c>
    </row>
    <row r="8505" spans="1:11" ht="12.45">
      <c r="A8505" s="2" t="str">
        <f ca="1">IFERROR(__xludf.DUMMYFUNCTION("""COMPUTED_VALUE"""),"1752076970813")</f>
        <v>1752076970813</v>
      </c>
      <c r="C8505" s="2" t="str">
        <v>0</v>
      </c>
      <c r="F8505" s="2" t="str">
        <v>0</v>
      </c>
      <c r="I8505" s="3" t="str">
        <f ca="1">IFERROR(__xludf.DUMMYFUNCTION("""COMPUTED_VALUE"""),"Đặng Thị Hải Yến")</f>
        <v>Đặng Thị Hải Yến</v>
      </c>
      <c r="J8505" s="3" t="str">
        <f ca="1">IFERROR(__xludf.DUMMYFUNCTION("""COMPUTED_VALUE"""),"0385415238")</f>
        <v>0385415238</v>
      </c>
      <c r="K8505" s="2" t="str">
        <f ca="1">IFERROR(__xludf.DUMMYFUNCTION("""COMPUTED_VALUE"""),"1752076970813")</f>
        <v>1752076970813</v>
      </c>
    </row>
    <row r="8506" spans="1:11" ht="12.45">
      <c r="A8506" s="2"/>
      <c r="C8506" s="2" t="str">
        <v>0</v>
      </c>
      <c r="F8506" s="2" t="str">
        <v>0</v>
      </c>
      <c r="I8506" s="3" t="str">
        <f ca="1">IFERROR(__xludf.DUMMYFUNCTION("""COMPUTED_VALUE"""),"Dương Thị Kiều Tiên")</f>
        <v>Dương Thị Kiều Tiên</v>
      </c>
      <c r="J8506" s="3" t="str">
        <f ca="1">IFERROR(__xludf.DUMMYFUNCTION("""COMPUTED_VALUE"""),"0342515230")</f>
        <v>0342515230</v>
      </c>
      <c r="K8506" s="2"/>
    </row>
    <row r="8507" spans="1:11" ht="12.45">
      <c r="A8507" s="2" t="str">
        <f ca="1">IFERROR(__xludf.DUMMYFUNCTION("""COMPUTED_VALUE"""),"1752076989269")</f>
        <v>1752076989269</v>
      </c>
      <c r="C8507" s="2" t="str">
        <v>0</v>
      </c>
      <c r="F8507" s="2" t="str">
        <v>0</v>
      </c>
      <c r="I8507" s="3" t="str">
        <f ca="1">IFERROR(__xludf.DUMMYFUNCTION("""COMPUTED_VALUE"""),"Cao Phương Linh")</f>
        <v>Cao Phương Linh</v>
      </c>
      <c r="J8507" s="3" t="str">
        <f ca="1">IFERROR(__xludf.DUMMYFUNCTION("""COMPUTED_VALUE"""),"0978399607")</f>
        <v>0978399607</v>
      </c>
      <c r="K8507" s="2" t="str">
        <f ca="1">IFERROR(__xludf.DUMMYFUNCTION("""COMPUTED_VALUE"""),"1752076989269")</f>
        <v>1752076989269</v>
      </c>
    </row>
    <row r="8508" spans="1:11" ht="12.45">
      <c r="A8508" s="2" t="str">
        <f ca="1">IFERROR(__xludf.DUMMYFUNCTION("""COMPUTED_VALUE"""),"1752077013842")</f>
        <v>1752077013842</v>
      </c>
      <c r="C8508" s="2" t="str">
        <v>0</v>
      </c>
      <c r="F8508" s="2" t="str">
        <v>0</v>
      </c>
      <c r="I8508" s="3" t="str">
        <f ca="1">IFERROR(__xludf.DUMMYFUNCTION("""COMPUTED_VALUE"""),"Trịnh Bảo Chi")</f>
        <v>Trịnh Bảo Chi</v>
      </c>
      <c r="J8508" s="3" t="str">
        <f ca="1">IFERROR(__xludf.DUMMYFUNCTION("""COMPUTED_VALUE"""),"0964366273")</f>
        <v>0964366273</v>
      </c>
      <c r="K8508" s="2" t="str">
        <f ca="1">IFERROR(__xludf.DUMMYFUNCTION("""COMPUTED_VALUE"""),"1752077013842")</f>
        <v>1752077013842</v>
      </c>
    </row>
    <row r="8509" spans="1:11" ht="12.45">
      <c r="A8509" s="2" t="str">
        <f ca="1">IFERROR(__xludf.DUMMYFUNCTION("""COMPUTED_VALUE"""),"1752077038265")</f>
        <v>1752077038265</v>
      </c>
      <c r="C8509" s="2" t="str">
        <v>0</v>
      </c>
      <c r="F8509" s="2" t="str">
        <v>0</v>
      </c>
      <c r="I8509" s="3" t="str">
        <f ca="1">IFERROR(__xludf.DUMMYFUNCTION("""COMPUTED_VALUE"""),"Tráng Thị Mỵ")</f>
        <v>Tráng Thị Mỵ</v>
      </c>
      <c r="J8509" s="3" t="str">
        <f ca="1">IFERROR(__xludf.DUMMYFUNCTION("""COMPUTED_VALUE"""),"0334160210")</f>
        <v>0334160210</v>
      </c>
      <c r="K8509" s="2" t="str">
        <f ca="1">IFERROR(__xludf.DUMMYFUNCTION("""COMPUTED_VALUE"""),"1752077038265")</f>
        <v>1752077038265</v>
      </c>
    </row>
    <row r="8510" spans="1:11" ht="12.45">
      <c r="A8510" s="2" t="str">
        <f ca="1">IFERROR(__xludf.DUMMYFUNCTION("""COMPUTED_VALUE"""),"1752077064833")</f>
        <v>1752077064833</v>
      </c>
      <c r="C8510" s="2" t="str">
        <v>0</v>
      </c>
      <c r="F8510" s="2" t="str">
        <v>0</v>
      </c>
      <c r="I8510" s="3" t="str">
        <f ca="1">IFERROR(__xludf.DUMMYFUNCTION("""COMPUTED_VALUE"""),"Hoàng Văn Trung")</f>
        <v>Hoàng Văn Trung</v>
      </c>
      <c r="J8510" s="3" t="str">
        <f ca="1">IFERROR(__xludf.DUMMYFUNCTION("""COMPUTED_VALUE"""),"0346026107")</f>
        <v>0346026107</v>
      </c>
      <c r="K8510" s="2" t="str">
        <f ca="1">IFERROR(__xludf.DUMMYFUNCTION("""COMPUTED_VALUE"""),"1752077064833")</f>
        <v>1752077064833</v>
      </c>
    </row>
    <row r="8511" spans="1:11" ht="12.45">
      <c r="A8511" s="2" t="str">
        <f ca="1">IFERROR(__xludf.DUMMYFUNCTION("""COMPUTED_VALUE"""),"1752077092960")</f>
        <v>1752077092960</v>
      </c>
      <c r="C8511" s="2" t="str">
        <v>0</v>
      </c>
      <c r="F8511" s="2" t="str">
        <v>0</v>
      </c>
      <c r="I8511" s="3" t="str">
        <f ca="1">IFERROR(__xludf.DUMMYFUNCTION("""COMPUTED_VALUE"""),"Thanh Vy")</f>
        <v>Thanh Vy</v>
      </c>
      <c r="J8511" s="3" t="str">
        <f ca="1">IFERROR(__xludf.DUMMYFUNCTION("""COMPUTED_VALUE"""),"0398926588")</f>
        <v>0398926588</v>
      </c>
      <c r="K8511" s="2" t="str">
        <f ca="1">IFERROR(__xludf.DUMMYFUNCTION("""COMPUTED_VALUE"""),"1752077092960")</f>
        <v>1752077092960</v>
      </c>
    </row>
    <row r="8512" spans="1:11" ht="12.45">
      <c r="A8512" s="2" t="str">
        <f ca="1">IFERROR(__xludf.DUMMYFUNCTION("""COMPUTED_VALUE"""),"1752077122861")</f>
        <v>1752077122861</v>
      </c>
      <c r="C8512" s="2" t="str">
        <v>0</v>
      </c>
      <c r="F8512" s="2" t="str">
        <v>0</v>
      </c>
      <c r="I8512" s="3" t="str">
        <f ca="1">IFERROR(__xludf.DUMMYFUNCTION("""COMPUTED_VALUE"""),"Tường Vy")</f>
        <v>Tường Vy</v>
      </c>
      <c r="J8512" s="3" t="str">
        <f ca="1">IFERROR(__xludf.DUMMYFUNCTION("""COMPUTED_VALUE"""),"0961745608")</f>
        <v>0961745608</v>
      </c>
      <c r="K8512" s="2" t="str">
        <f ca="1">IFERROR(__xludf.DUMMYFUNCTION("""COMPUTED_VALUE"""),"1752077122861")</f>
        <v>1752077122861</v>
      </c>
    </row>
    <row r="8513" spans="1:11" ht="12.45">
      <c r="A8513" s="2" t="str">
        <f ca="1">IFERROR(__xludf.DUMMYFUNCTION("""COMPUTED_VALUE"""),"1752077148053")</f>
        <v>1752077148053</v>
      </c>
      <c r="C8513" s="2" t="str">
        <v>0</v>
      </c>
      <c r="F8513" s="2" t="str">
        <v>0</v>
      </c>
      <c r="I8513" s="3" t="str">
        <f ca="1">IFERROR(__xludf.DUMMYFUNCTION("""COMPUTED_VALUE"""),"Nguyễn Thị Ngọc Mai ")</f>
        <v xml:space="preserve">Nguyễn Thị Ngọc Mai </v>
      </c>
      <c r="J8513" s="3" t="str">
        <f ca="1">IFERROR(__xludf.DUMMYFUNCTION("""COMPUTED_VALUE"""),"0368397833")</f>
        <v>0368397833</v>
      </c>
      <c r="K8513" s="2" t="str">
        <f ca="1">IFERROR(__xludf.DUMMYFUNCTION("""COMPUTED_VALUE"""),"1752077148053")</f>
        <v>1752077148053</v>
      </c>
    </row>
    <row r="8514" spans="1:11" ht="12.45">
      <c r="A8514" s="2" t="str">
        <f ca="1">IFERROR(__xludf.DUMMYFUNCTION("""COMPUTED_VALUE"""),"1752077184388")</f>
        <v>1752077184388</v>
      </c>
      <c r="C8514" s="2" t="str">
        <v>0</v>
      </c>
      <c r="F8514" s="2" t="str">
        <v>0</v>
      </c>
      <c r="I8514" s="3" t="str">
        <f ca="1">IFERROR(__xludf.DUMMYFUNCTION("""COMPUTED_VALUE"""),"Đinh Thị Nguyệt Tú")</f>
        <v>Đinh Thị Nguyệt Tú</v>
      </c>
      <c r="J8514" s="3" t="str">
        <f ca="1">IFERROR(__xludf.DUMMYFUNCTION("""COMPUTED_VALUE"""),"0332759143")</f>
        <v>0332759143</v>
      </c>
      <c r="K8514" s="2" t="str">
        <f ca="1">IFERROR(__xludf.DUMMYFUNCTION("""COMPUTED_VALUE"""),"1752077184388")</f>
        <v>1752077184388</v>
      </c>
    </row>
    <row r="8515" spans="1:11" ht="12.45">
      <c r="A8515" s="2" t="str">
        <f ca="1">IFERROR(__xludf.DUMMYFUNCTION("""COMPUTED_VALUE"""),"1752077221677")</f>
        <v>1752077221677</v>
      </c>
      <c r="C8515" s="2" t="str">
        <v>0</v>
      </c>
      <c r="F8515" s="2" t="str">
        <v>0</v>
      </c>
      <c r="I8515" s="3" t="str">
        <f ca="1">IFERROR(__xludf.DUMMYFUNCTION("""COMPUTED_VALUE"""),"Trần Châu Ái Trân")</f>
        <v>Trần Châu Ái Trân</v>
      </c>
      <c r="J8515" s="3" t="str">
        <f ca="1">IFERROR(__xludf.DUMMYFUNCTION("""COMPUTED_VALUE"""),"0332488734")</f>
        <v>0332488734</v>
      </c>
      <c r="K8515" s="2" t="str">
        <f ca="1">IFERROR(__xludf.DUMMYFUNCTION("""COMPUTED_VALUE"""),"1752077221677")</f>
        <v>1752077221677</v>
      </c>
    </row>
    <row r="8516" spans="1:11" ht="12.45">
      <c r="A8516" s="2" t="str">
        <f ca="1">IFERROR(__xludf.DUMMYFUNCTION("""COMPUTED_VALUE"""),"1752077257333")</f>
        <v>1752077257333</v>
      </c>
      <c r="C8516" s="2" t="str">
        <v>0</v>
      </c>
      <c r="F8516" s="2" t="str">
        <v>0</v>
      </c>
      <c r="I8516" s="3" t="str">
        <f ca="1">IFERROR(__xludf.DUMMYFUNCTION("""COMPUTED_VALUE"""),"Đinh Viết Quốc Đạt")</f>
        <v>Đinh Viết Quốc Đạt</v>
      </c>
      <c r="J8516" s="3" t="str">
        <f ca="1">IFERROR(__xludf.DUMMYFUNCTION("""COMPUTED_VALUE"""),"0983277243")</f>
        <v>0983277243</v>
      </c>
      <c r="K8516" s="2" t="str">
        <f ca="1">IFERROR(__xludf.DUMMYFUNCTION("""COMPUTED_VALUE"""),"1752077257333")</f>
        <v>1752077257333</v>
      </c>
    </row>
    <row r="8517" spans="1:11" ht="12.45">
      <c r="A8517" s="2"/>
      <c r="C8517" s="2" t="str">
        <v>0</v>
      </c>
      <c r="F8517" s="2" t="str">
        <v>0</v>
      </c>
      <c r="I8517" s="3" t="str">
        <f ca="1">IFERROR(__xludf.DUMMYFUNCTION("""COMPUTED_VALUE"""),"Ngô Thu Giang")</f>
        <v>Ngô Thu Giang</v>
      </c>
      <c r="J8517" s="3" t="str">
        <f ca="1">IFERROR(__xludf.DUMMYFUNCTION("""COMPUTED_VALUE"""),"0379024611")</f>
        <v>0379024611</v>
      </c>
      <c r="K8517" s="2"/>
    </row>
    <row r="8518" spans="1:11" ht="12.45">
      <c r="A8518" s="2" t="str">
        <f ca="1">IFERROR(__xludf.DUMMYFUNCTION("""COMPUTED_VALUE"""),"1752077288071")</f>
        <v>1752077288071</v>
      </c>
      <c r="C8518" s="2" t="str">
        <v>0</v>
      </c>
      <c r="F8518" s="2" t="str">
        <v>0</v>
      </c>
      <c r="I8518" s="3" t="str">
        <f ca="1">IFERROR(__xludf.DUMMYFUNCTION("""COMPUTED_VALUE"""),"Lê Thị Ngọc Như")</f>
        <v>Lê Thị Ngọc Như</v>
      </c>
      <c r="J8518" s="3" t="str">
        <f ca="1">IFERROR(__xludf.DUMMYFUNCTION("""COMPUTED_VALUE"""),"0927432403")</f>
        <v>0927432403</v>
      </c>
      <c r="K8518" s="2" t="str">
        <f ca="1">IFERROR(__xludf.DUMMYFUNCTION("""COMPUTED_VALUE"""),"1752077288071")</f>
        <v>1752077288071</v>
      </c>
    </row>
    <row r="8519" spans="1:11" ht="12.45">
      <c r="A8519" s="2" t="str">
        <f ca="1">IFERROR(__xludf.DUMMYFUNCTION("""COMPUTED_VALUE"""),"1752077312987")</f>
        <v>1752077312987</v>
      </c>
      <c r="C8519" s="2" t="str">
        <v>0</v>
      </c>
      <c r="F8519" s="2" t="str">
        <v>0</v>
      </c>
      <c r="I8519" s="3" t="str">
        <f ca="1">IFERROR(__xludf.DUMMYFUNCTION("""COMPUTED_VALUE"""),"Đoàn Trần Khánh Ly")</f>
        <v>Đoàn Trần Khánh Ly</v>
      </c>
      <c r="J8519" s="3" t="str">
        <f ca="1">IFERROR(__xludf.DUMMYFUNCTION("""COMPUTED_VALUE"""),"0918522755")</f>
        <v>0918522755</v>
      </c>
      <c r="K8519" s="2" t="str">
        <f ca="1">IFERROR(__xludf.DUMMYFUNCTION("""COMPUTED_VALUE"""),"1752077312987")</f>
        <v>1752077312987</v>
      </c>
    </row>
    <row r="8520" spans="1:11" ht="12.45">
      <c r="A8520" s="2" t="str">
        <f ca="1">IFERROR(__xludf.DUMMYFUNCTION("""COMPUTED_VALUE"""),"1752077338689")</f>
        <v>1752077338689</v>
      </c>
      <c r="C8520" s="2" t="str">
        <v>0</v>
      </c>
      <c r="F8520" s="2" t="str">
        <v>0</v>
      </c>
      <c r="I8520" s="3" t="str">
        <f ca="1">IFERROR(__xludf.DUMMYFUNCTION("""COMPUTED_VALUE"""),"Nguyễn Hoàng Phương")</f>
        <v>Nguyễn Hoàng Phương</v>
      </c>
      <c r="J8520" s="3" t="str">
        <f ca="1">IFERROR(__xludf.DUMMYFUNCTION("""COMPUTED_VALUE"""),"0867557453")</f>
        <v>0867557453</v>
      </c>
      <c r="K8520" s="2" t="str">
        <f ca="1">IFERROR(__xludf.DUMMYFUNCTION("""COMPUTED_VALUE"""),"1752077338689")</f>
        <v>1752077338689</v>
      </c>
    </row>
    <row r="8521" spans="1:11" ht="12.45">
      <c r="A8521" s="2" t="str">
        <f ca="1">IFERROR(__xludf.DUMMYFUNCTION("""COMPUTED_VALUE"""),"1752077359305")</f>
        <v>1752077359305</v>
      </c>
      <c r="C8521" s="2" t="str">
        <v>0</v>
      </c>
      <c r="F8521" s="2" t="str">
        <v>0</v>
      </c>
      <c r="I8521" s="3" t="str">
        <f ca="1">IFERROR(__xludf.DUMMYFUNCTION("""COMPUTED_VALUE"""),"Vương Hải Anh")</f>
        <v>Vương Hải Anh</v>
      </c>
      <c r="J8521" s="3" t="str">
        <f ca="1">IFERROR(__xludf.DUMMYFUNCTION("""COMPUTED_VALUE"""),"0368619303")</f>
        <v>0368619303</v>
      </c>
      <c r="K8521" s="2" t="str">
        <f ca="1">IFERROR(__xludf.DUMMYFUNCTION("""COMPUTED_VALUE"""),"1752077359305")</f>
        <v>1752077359305</v>
      </c>
    </row>
    <row r="8522" spans="1:11" ht="12.45">
      <c r="A8522" s="2" t="str">
        <f ca="1">IFERROR(__xludf.DUMMYFUNCTION("""COMPUTED_VALUE"""),"1752077385959")</f>
        <v>1752077385959</v>
      </c>
      <c r="C8522" s="2" t="str">
        <v>0</v>
      </c>
      <c r="F8522" s="2" t="str">
        <v>0</v>
      </c>
      <c r="I8522" s="3" t="str">
        <f ca="1">IFERROR(__xludf.DUMMYFUNCTION("""COMPUTED_VALUE"""),"Nguyễn Thị Như Nguyệt")</f>
        <v>Nguyễn Thị Như Nguyệt</v>
      </c>
      <c r="J8522" s="3" t="str">
        <f ca="1">IFERROR(__xludf.DUMMYFUNCTION("""COMPUTED_VALUE"""),"0853774387")</f>
        <v>0853774387</v>
      </c>
      <c r="K8522" s="2" t="str">
        <f ca="1">IFERROR(__xludf.DUMMYFUNCTION("""COMPUTED_VALUE"""),"1752077385959")</f>
        <v>1752077385959</v>
      </c>
    </row>
    <row r="8523" spans="1:11" ht="12.45">
      <c r="A8523" s="2" t="str">
        <f ca="1">IFERROR(__xludf.DUMMYFUNCTION("""COMPUTED_VALUE"""),"1752077416308")</f>
        <v>1752077416308</v>
      </c>
      <c r="C8523" s="2" t="str">
        <v>0</v>
      </c>
      <c r="F8523" s="2" t="str">
        <v>0</v>
      </c>
      <c r="I8523" s="3" t="str">
        <f ca="1">IFERROR(__xludf.DUMMYFUNCTION("""COMPUTED_VALUE"""),"Trần Quỳnh Anh")</f>
        <v>Trần Quỳnh Anh</v>
      </c>
      <c r="J8523" s="3" t="str">
        <f ca="1">IFERROR(__xludf.DUMMYFUNCTION("""COMPUTED_VALUE"""),"0354566793")</f>
        <v>0354566793</v>
      </c>
      <c r="K8523" s="2" t="str">
        <f ca="1">IFERROR(__xludf.DUMMYFUNCTION("""COMPUTED_VALUE"""),"1752077416308")</f>
        <v>1752077416308</v>
      </c>
    </row>
    <row r="8524" spans="1:11" ht="12.45">
      <c r="A8524" s="2" t="str">
        <f ca="1">IFERROR(__xludf.DUMMYFUNCTION("""COMPUTED_VALUE"""),"1752077441539")</f>
        <v>1752077441539</v>
      </c>
      <c r="C8524" s="2" t="str">
        <v>0</v>
      </c>
      <c r="F8524" s="2" t="str">
        <v>0</v>
      </c>
      <c r="I8524" s="3" t="str">
        <f ca="1">IFERROR(__xludf.DUMMYFUNCTION("""COMPUTED_VALUE"""),"Võ Thị Diễm Quỳnh ")</f>
        <v xml:space="preserve">Võ Thị Diễm Quỳnh </v>
      </c>
      <c r="J8524" s="3" t="str">
        <f ca="1">IFERROR(__xludf.DUMMYFUNCTION("""COMPUTED_VALUE"""),"0915813926")</f>
        <v>0915813926</v>
      </c>
      <c r="K8524" s="2" t="str">
        <f ca="1">IFERROR(__xludf.DUMMYFUNCTION("""COMPUTED_VALUE"""),"1752077441539")</f>
        <v>1752077441539</v>
      </c>
    </row>
    <row r="8525" spans="1:11" ht="12.45">
      <c r="A8525" s="2"/>
      <c r="C8525" s="2" t="str">
        <v>0</v>
      </c>
      <c r="F8525" s="2" t="str">
        <v>0</v>
      </c>
      <c r="I8525" s="3" t="str">
        <f ca="1">IFERROR(__xludf.DUMMYFUNCTION("""COMPUTED_VALUE"""),"Bùi Thùy Dung")</f>
        <v>Bùi Thùy Dung</v>
      </c>
      <c r="J8525" s="3" t="str">
        <f ca="1">IFERROR(__xludf.DUMMYFUNCTION("""COMPUTED_VALUE"""),"0344847423")</f>
        <v>0344847423</v>
      </c>
      <c r="K8525" s="2"/>
    </row>
    <row r="8526" spans="1:11" ht="12.45">
      <c r="A8526" s="2" t="str">
        <f ca="1">IFERROR(__xludf.DUMMYFUNCTION("""COMPUTED_VALUE"""),"1752077471548")</f>
        <v>1752077471548</v>
      </c>
      <c r="C8526" s="2" t="str">
        <v>0</v>
      </c>
      <c r="F8526" s="2" t="str">
        <v>0</v>
      </c>
      <c r="I8526" s="3" t="str">
        <f ca="1">IFERROR(__xludf.DUMMYFUNCTION("""COMPUTED_VALUE"""),"TRẦN THỊ THANH MAI")</f>
        <v>TRẦN THỊ THANH MAI</v>
      </c>
      <c r="J8526" s="3" t="str">
        <f ca="1">IFERROR(__xludf.DUMMYFUNCTION("""COMPUTED_VALUE"""),"0941126945")</f>
        <v>0941126945</v>
      </c>
      <c r="K8526" s="2" t="str">
        <f ca="1">IFERROR(__xludf.DUMMYFUNCTION("""COMPUTED_VALUE"""),"1752077471548")</f>
        <v>1752077471548</v>
      </c>
    </row>
    <row r="8527" spans="1:11" ht="12.45">
      <c r="A8527" s="2" t="str">
        <f ca="1">IFERROR(__xludf.DUMMYFUNCTION("""COMPUTED_VALUE"""),"1752077495628")</f>
        <v>1752077495628</v>
      </c>
      <c r="C8527" s="2" t="str">
        <v>0</v>
      </c>
      <c r="F8527" s="2" t="str">
        <v>0</v>
      </c>
      <c r="I8527" s="3" t="str">
        <f ca="1">IFERROR(__xludf.DUMMYFUNCTION("""COMPUTED_VALUE"""),"Tran ngoc trang")</f>
        <v>Tran ngoc trang</v>
      </c>
      <c r="J8527" s="3" t="str">
        <f ca="1">IFERROR(__xludf.DUMMYFUNCTION("""COMPUTED_VALUE"""),"0356375643")</f>
        <v>0356375643</v>
      </c>
      <c r="K8527" s="2" t="str">
        <f ca="1">IFERROR(__xludf.DUMMYFUNCTION("""COMPUTED_VALUE"""),"1752077495628")</f>
        <v>1752077495628</v>
      </c>
    </row>
    <row r="8528" spans="1:11" ht="12.45">
      <c r="A8528" s="2" t="str">
        <f ca="1">IFERROR(__xludf.DUMMYFUNCTION("""COMPUTED_VALUE"""),"1752077529676")</f>
        <v>1752077529676</v>
      </c>
      <c r="C8528" s="2" t="str">
        <v>0</v>
      </c>
      <c r="F8528" s="2" t="str">
        <v>0</v>
      </c>
      <c r="I8528" s="3" t="str">
        <f ca="1">IFERROR(__xludf.DUMMYFUNCTION("""COMPUTED_VALUE"""),"Nguyễn Bá Lành ")</f>
        <v xml:space="preserve">Nguyễn Bá Lành </v>
      </c>
      <c r="J8528" s="3" t="str">
        <f ca="1">IFERROR(__xludf.DUMMYFUNCTION("""COMPUTED_VALUE"""),"0799034330")</f>
        <v>0799034330</v>
      </c>
      <c r="K8528" s="2" t="str">
        <f ca="1">IFERROR(__xludf.DUMMYFUNCTION("""COMPUTED_VALUE"""),"1752077529676")</f>
        <v>1752077529676</v>
      </c>
    </row>
    <row r="8529" spans="1:11" ht="12.45">
      <c r="A8529" s="2"/>
      <c r="C8529" s="2" t="str">
        <v>0</v>
      </c>
      <c r="F8529" s="2" t="str">
        <v>0</v>
      </c>
      <c r="I8529" s="3" t="str">
        <f ca="1">IFERROR(__xludf.DUMMYFUNCTION("""COMPUTED_VALUE"""),"Ngô Kiều Trang")</f>
        <v>Ngô Kiều Trang</v>
      </c>
      <c r="J8529" s="3" t="str">
        <f ca="1">IFERROR(__xludf.DUMMYFUNCTION("""COMPUTED_VALUE"""),"0344234957")</f>
        <v>0344234957</v>
      </c>
      <c r="K8529" s="2"/>
    </row>
    <row r="8530" spans="1:11" ht="12.45">
      <c r="A8530" s="2"/>
      <c r="C8530" s="2" t="str">
        <v>0</v>
      </c>
      <c r="F8530" s="2" t="str">
        <v>0</v>
      </c>
      <c r="I8530" s="3" t="str">
        <f ca="1">IFERROR(__xludf.DUMMYFUNCTION("""COMPUTED_VALUE"""),"Phú Hưng")</f>
        <v>Phú Hưng</v>
      </c>
      <c r="J8530" s="3" t="str">
        <f ca="1">IFERROR(__xludf.DUMMYFUNCTION("""COMPUTED_VALUE"""),"0355827767")</f>
        <v>0355827767</v>
      </c>
      <c r="K8530" s="2"/>
    </row>
    <row r="8531" spans="1:11" ht="12.45">
      <c r="A8531" s="2" t="str">
        <f ca="1">IFERROR(__xludf.DUMMYFUNCTION("""COMPUTED_VALUE"""),"1752077557009")</f>
        <v>1752077557009</v>
      </c>
      <c r="C8531" s="2" t="str">
        <v>0</v>
      </c>
      <c r="F8531" s="2" t="str">
        <v>0</v>
      </c>
      <c r="I8531" s="3" t="str">
        <f ca="1">IFERROR(__xludf.DUMMYFUNCTION("""COMPUTED_VALUE"""),"Trần Thanh Bình")</f>
        <v>Trần Thanh Bình</v>
      </c>
      <c r="J8531" s="3" t="str">
        <f ca="1">IFERROR(__xludf.DUMMYFUNCTION("""COMPUTED_VALUE"""),"0865770608")</f>
        <v>0865770608</v>
      </c>
      <c r="K8531" s="2" t="str">
        <f ca="1">IFERROR(__xludf.DUMMYFUNCTION("""COMPUTED_VALUE"""),"1752077557009")</f>
        <v>1752077557009</v>
      </c>
    </row>
    <row r="8532" spans="1:11" ht="12.45">
      <c r="A8532" s="2" t="str">
        <f ca="1">IFERROR(__xludf.DUMMYFUNCTION("""COMPUTED_VALUE"""),"1752077587014")</f>
        <v>1752077587014</v>
      </c>
      <c r="C8532" s="2" t="str">
        <v>0</v>
      </c>
      <c r="F8532" s="2" t="str">
        <v>0</v>
      </c>
      <c r="I8532" s="3" t="str">
        <f ca="1">IFERROR(__xludf.DUMMYFUNCTION("""COMPUTED_VALUE"""),"Nguyễn Thanh Thuỳ")</f>
        <v>Nguyễn Thanh Thuỳ</v>
      </c>
      <c r="J8532" s="3" t="str">
        <f ca="1">IFERROR(__xludf.DUMMYFUNCTION("""COMPUTED_VALUE"""),"0919466403")</f>
        <v>0919466403</v>
      </c>
      <c r="K8532" s="2" t="str">
        <f ca="1">IFERROR(__xludf.DUMMYFUNCTION("""COMPUTED_VALUE"""),"1752077587014")</f>
        <v>1752077587014</v>
      </c>
    </row>
    <row r="8533" spans="1:11" ht="12.45">
      <c r="A8533" s="2" t="str">
        <f ca="1">IFERROR(__xludf.DUMMYFUNCTION("""COMPUTED_VALUE"""),"1752077623648")</f>
        <v>1752077623648</v>
      </c>
      <c r="C8533" s="2" t="str">
        <v>0</v>
      </c>
      <c r="F8533" s="2" t="str">
        <v>0</v>
      </c>
      <c r="I8533" s="3" t="str">
        <f ca="1">IFERROR(__xludf.DUMMYFUNCTION("""COMPUTED_VALUE"""),"Nguyễn thị Tú trinh ")</f>
        <v xml:space="preserve">Nguyễn thị Tú trinh </v>
      </c>
      <c r="J8533" s="3" t="str">
        <f ca="1">IFERROR(__xludf.DUMMYFUNCTION("""COMPUTED_VALUE"""),"0855866693")</f>
        <v>0855866693</v>
      </c>
      <c r="K8533" s="2" t="str">
        <f ca="1">IFERROR(__xludf.DUMMYFUNCTION("""COMPUTED_VALUE"""),"1752077623648")</f>
        <v>1752077623648</v>
      </c>
    </row>
    <row r="8534" spans="1:11" ht="12.45">
      <c r="A8534" s="2" t="str">
        <f ca="1">IFERROR(__xludf.DUMMYFUNCTION("""COMPUTED_VALUE"""),"1752077650575")</f>
        <v>1752077650575</v>
      </c>
      <c r="C8534" s="2" t="str">
        <v>0</v>
      </c>
      <c r="F8534" s="2" t="str">
        <v>0</v>
      </c>
      <c r="I8534" s="3" t="str">
        <f ca="1">IFERROR(__xludf.DUMMYFUNCTION("""COMPUTED_VALUE"""),"Nguyễn Lan Phương")</f>
        <v>Nguyễn Lan Phương</v>
      </c>
      <c r="J8534" s="3" t="str">
        <f ca="1">IFERROR(__xludf.DUMMYFUNCTION("""COMPUTED_VALUE"""),"0362632683")</f>
        <v>0362632683</v>
      </c>
      <c r="K8534" s="2" t="str">
        <f ca="1">IFERROR(__xludf.DUMMYFUNCTION("""COMPUTED_VALUE"""),"1752077650575")</f>
        <v>1752077650575</v>
      </c>
    </row>
    <row r="8535" spans="1:11" ht="12.45">
      <c r="A8535" s="2" t="str">
        <f ca="1">IFERROR(__xludf.DUMMYFUNCTION("""COMPUTED_VALUE"""),"1752077678210")</f>
        <v>1752077678210</v>
      </c>
      <c r="C8535" s="2" t="str">
        <v>0</v>
      </c>
      <c r="F8535" s="2" t="str">
        <v>0</v>
      </c>
      <c r="I8535" s="3" t="str">
        <f ca="1">IFERROR(__xludf.DUMMYFUNCTION("""COMPUTED_VALUE"""),"Lê Hạnh Anh")</f>
        <v>Lê Hạnh Anh</v>
      </c>
      <c r="J8535" s="3" t="str">
        <f ca="1">IFERROR(__xludf.DUMMYFUNCTION("""COMPUTED_VALUE"""),"0911260466")</f>
        <v>0911260466</v>
      </c>
      <c r="K8535" s="2" t="str">
        <f ca="1">IFERROR(__xludf.DUMMYFUNCTION("""COMPUTED_VALUE"""),"1752077678210")</f>
        <v>1752077678210</v>
      </c>
    </row>
    <row r="8536" spans="1:11" ht="12.45">
      <c r="A8536" s="2" t="str">
        <f ca="1">IFERROR(__xludf.DUMMYFUNCTION("""COMPUTED_VALUE"""),"1752077705055")</f>
        <v>1752077705055</v>
      </c>
      <c r="C8536" s="2" t="str">
        <v>0</v>
      </c>
      <c r="F8536" s="2" t="str">
        <v>0</v>
      </c>
      <c r="I8536" s="3" t="str">
        <f ca="1">IFERROR(__xludf.DUMMYFUNCTION("""COMPUTED_VALUE"""),"Trần Thị Thu Hằng")</f>
        <v>Trần Thị Thu Hằng</v>
      </c>
      <c r="J8536" s="3" t="str">
        <f ca="1">IFERROR(__xludf.DUMMYFUNCTION("""COMPUTED_VALUE"""),"0925204723")</f>
        <v>0925204723</v>
      </c>
      <c r="K8536" s="2" t="str">
        <f ca="1">IFERROR(__xludf.DUMMYFUNCTION("""COMPUTED_VALUE"""),"1752077705055")</f>
        <v>1752077705055</v>
      </c>
    </row>
    <row r="8537" spans="1:11" ht="12.45">
      <c r="A8537" s="2" t="str">
        <f ca="1">IFERROR(__xludf.DUMMYFUNCTION("""COMPUTED_VALUE"""),"1752077735504")</f>
        <v>1752077735504</v>
      </c>
      <c r="C8537" s="2" t="str">
        <v>0</v>
      </c>
      <c r="F8537" s="2" t="str">
        <v>0</v>
      </c>
      <c r="I8537" s="3" t="str">
        <f ca="1">IFERROR(__xludf.DUMMYFUNCTION("""COMPUTED_VALUE"""),"Trần Thị Như Ý ")</f>
        <v xml:space="preserve">Trần Thị Như Ý </v>
      </c>
      <c r="J8537" s="3" t="str">
        <f ca="1">IFERROR(__xludf.DUMMYFUNCTION("""COMPUTED_VALUE"""),"0392864807")</f>
        <v>0392864807</v>
      </c>
      <c r="K8537" s="2" t="str">
        <f ca="1">IFERROR(__xludf.DUMMYFUNCTION("""COMPUTED_VALUE"""),"1752077735504")</f>
        <v>1752077735504</v>
      </c>
    </row>
    <row r="8538" spans="1:11" ht="12.45">
      <c r="A8538" s="2" t="str">
        <f ca="1">IFERROR(__xludf.DUMMYFUNCTION("""COMPUTED_VALUE"""),"1752077758443")</f>
        <v>1752077758443</v>
      </c>
      <c r="C8538" s="2" t="str">
        <v>0</v>
      </c>
      <c r="F8538" s="2" t="str">
        <v>0</v>
      </c>
      <c r="I8538" s="2" t="str">
        <f ca="1">IFERROR(__xludf.DUMMYFUNCTION("""COMPUTED_VALUE"""),"Khổng Yến Nhi")</f>
        <v>Khổng Yến Nhi</v>
      </c>
      <c r="J8538" s="3" t="str">
        <f ca="1">IFERROR(__xludf.DUMMYFUNCTION("""COMPUTED_VALUE"""),"0981967756")</f>
        <v>0981967756</v>
      </c>
      <c r="K8538" s="2" t="str">
        <f ca="1">IFERROR(__xludf.DUMMYFUNCTION("""COMPUTED_VALUE"""),"1752077758443")</f>
        <v>1752077758443</v>
      </c>
    </row>
    <row r="8539" spans="1:11" ht="12.45">
      <c r="A8539" s="2" t="str">
        <f ca="1">IFERROR(__xludf.DUMMYFUNCTION("""COMPUTED_VALUE"""),"1752077790970")</f>
        <v>1752077790970</v>
      </c>
      <c r="C8539" s="2" t="str">
        <v>0</v>
      </c>
      <c r="F8539" s="2" t="str">
        <v>0</v>
      </c>
      <c r="I8539" s="3" t="str">
        <f ca="1">IFERROR(__xludf.DUMMYFUNCTION("""COMPUTED_VALUE"""),"Lê Quỳnh An")</f>
        <v>Lê Quỳnh An</v>
      </c>
      <c r="J8539" s="3" t="str">
        <f ca="1">IFERROR(__xludf.DUMMYFUNCTION("""COMPUTED_VALUE"""),"0389185931")</f>
        <v>0389185931</v>
      </c>
      <c r="K8539" s="2" t="str">
        <f ca="1">IFERROR(__xludf.DUMMYFUNCTION("""COMPUTED_VALUE"""),"1752077790970")</f>
        <v>1752077790970</v>
      </c>
    </row>
    <row r="8540" spans="1:11" ht="12.45">
      <c r="A8540" s="2" t="str">
        <f ca="1">IFERROR(__xludf.DUMMYFUNCTION("""COMPUTED_VALUE"""),"1752077832681")</f>
        <v>1752077832681</v>
      </c>
      <c r="C8540" s="2" t="str">
        <v>0</v>
      </c>
      <c r="F8540" s="2" t="str">
        <v>0</v>
      </c>
      <c r="I8540" s="3" t="str">
        <f ca="1">IFERROR(__xludf.DUMMYFUNCTION("""COMPUTED_VALUE"""),"Nguyễn Quỳnh Anh")</f>
        <v>Nguyễn Quỳnh Anh</v>
      </c>
      <c r="J8540" s="3" t="str">
        <f ca="1">IFERROR(__xludf.DUMMYFUNCTION("""COMPUTED_VALUE"""),"0941063542")</f>
        <v>0941063542</v>
      </c>
      <c r="K8540" s="2" t="str">
        <f ca="1">IFERROR(__xludf.DUMMYFUNCTION("""COMPUTED_VALUE"""),"1752077832681")</f>
        <v>1752077832681</v>
      </c>
    </row>
    <row r="8541" spans="1:11" ht="12.45">
      <c r="A8541" s="2" t="str">
        <f ca="1">IFERROR(__xludf.DUMMYFUNCTION("""COMPUTED_VALUE"""),"1752077858098")</f>
        <v>1752077858098</v>
      </c>
      <c r="C8541" s="2" t="str">
        <v>0</v>
      </c>
      <c r="F8541" s="2" t="str">
        <v>0</v>
      </c>
      <c r="I8541" s="3" t="str">
        <f ca="1">IFERROR(__xludf.DUMMYFUNCTION("""COMPUTED_VALUE"""),"Bún Đậu Mắm Tôm")</f>
        <v>Bún Đậu Mắm Tôm</v>
      </c>
      <c r="J8541" s="3" t="str">
        <f ca="1">IFERROR(__xludf.DUMMYFUNCTION("""COMPUTED_VALUE"""),"0362684870")</f>
        <v>0362684870</v>
      </c>
      <c r="K8541" s="2" t="str">
        <f ca="1">IFERROR(__xludf.DUMMYFUNCTION("""COMPUTED_VALUE"""),"1752077858098")</f>
        <v>1752077858098</v>
      </c>
    </row>
    <row r="8542" spans="1:11" ht="12.45">
      <c r="A8542" s="2" t="str">
        <f ca="1">IFERROR(__xludf.DUMMYFUNCTION("""COMPUTED_VALUE"""),"1752077889554")</f>
        <v>1752077889554</v>
      </c>
      <c r="C8542" s="2" t="str">
        <v>0</v>
      </c>
      <c r="F8542" s="2" t="str">
        <v>0</v>
      </c>
      <c r="I8542" s="3" t="str">
        <f ca="1">IFERROR(__xludf.DUMMYFUNCTION("""COMPUTED_VALUE"""),"Nguyễn Thu Hà")</f>
        <v>Nguyễn Thu Hà</v>
      </c>
      <c r="J8542" s="3" t="str">
        <f ca="1">IFERROR(__xludf.DUMMYFUNCTION("""COMPUTED_VALUE"""),"0362780605")</f>
        <v>0362780605</v>
      </c>
      <c r="K8542" s="2" t="str">
        <f ca="1">IFERROR(__xludf.DUMMYFUNCTION("""COMPUTED_VALUE"""),"1752077889554")</f>
        <v>1752077889554</v>
      </c>
    </row>
    <row r="8543" spans="1:11" ht="12.45">
      <c r="A8543" s="2" t="str">
        <f ca="1">IFERROR(__xludf.DUMMYFUNCTION("""COMPUTED_VALUE"""),"1752077918583")</f>
        <v>1752077918583</v>
      </c>
      <c r="C8543" s="2" t="str">
        <v>0</v>
      </c>
      <c r="F8543" s="2" t="str">
        <v>0</v>
      </c>
      <c r="I8543" s="3" t="str">
        <f ca="1">IFERROR(__xludf.DUMMYFUNCTION("""COMPUTED_VALUE"""),"Võ Ngọc Thảo Trinh ")</f>
        <v xml:space="preserve">Võ Ngọc Thảo Trinh </v>
      </c>
      <c r="J8543" s="3" t="str">
        <f ca="1">IFERROR(__xludf.DUMMYFUNCTION("""COMPUTED_VALUE"""),"0962052487")</f>
        <v>0962052487</v>
      </c>
      <c r="K8543" s="2" t="str">
        <f ca="1">IFERROR(__xludf.DUMMYFUNCTION("""COMPUTED_VALUE"""),"1752077918583")</f>
        <v>1752077918583</v>
      </c>
    </row>
    <row r="8544" spans="1:11" ht="12.45">
      <c r="A8544" s="2" t="str">
        <f ca="1">IFERROR(__xludf.DUMMYFUNCTION("""COMPUTED_VALUE"""),"1752077949196")</f>
        <v>1752077949196</v>
      </c>
      <c r="C8544" s="2" t="str">
        <v>0</v>
      </c>
      <c r="F8544" s="2" t="str">
        <v>0</v>
      </c>
      <c r="I8544" s="3" t="str">
        <f ca="1">IFERROR(__xludf.DUMMYFUNCTION("""COMPUTED_VALUE"""),"Nguyễn Thị Phương Anh ")</f>
        <v xml:space="preserve">Nguyễn Thị Phương Anh </v>
      </c>
      <c r="J8544" s="3" t="str">
        <f ca="1">IFERROR(__xludf.DUMMYFUNCTION("""COMPUTED_VALUE"""),"0395817783")</f>
        <v>0395817783</v>
      </c>
      <c r="K8544" s="2" t="str">
        <f ca="1">IFERROR(__xludf.DUMMYFUNCTION("""COMPUTED_VALUE"""),"1752077949196")</f>
        <v>1752077949196</v>
      </c>
    </row>
    <row r="8545" spans="1:11" ht="12.45">
      <c r="A8545" s="2" t="str">
        <f ca="1">IFERROR(__xludf.DUMMYFUNCTION("""COMPUTED_VALUE"""),"1752077978422")</f>
        <v>1752077978422</v>
      </c>
      <c r="C8545" s="2" t="str">
        <v>0</v>
      </c>
      <c r="F8545" s="2" t="str">
        <v>0</v>
      </c>
      <c r="I8545" s="3" t="str">
        <f ca="1">IFERROR(__xludf.DUMMYFUNCTION("""COMPUTED_VALUE"""),"Trần Thị Trâm Anh")</f>
        <v>Trần Thị Trâm Anh</v>
      </c>
      <c r="J8545" s="3" t="str">
        <f ca="1">IFERROR(__xludf.DUMMYFUNCTION("""COMPUTED_VALUE"""),"0822772268")</f>
        <v>0822772268</v>
      </c>
      <c r="K8545" s="2" t="str">
        <f ca="1">IFERROR(__xludf.DUMMYFUNCTION("""COMPUTED_VALUE"""),"1752077978422")</f>
        <v>1752077978422</v>
      </c>
    </row>
    <row r="8546" spans="1:11" ht="12.45">
      <c r="A8546" s="2" t="str">
        <f ca="1">IFERROR(__xludf.DUMMYFUNCTION("""COMPUTED_VALUE"""),"1752078002947")</f>
        <v>1752078002947</v>
      </c>
      <c r="C8546" s="2" t="str">
        <v>0</v>
      </c>
      <c r="F8546" s="2" t="str">
        <v>0</v>
      </c>
      <c r="I8546" s="3" t="str">
        <f ca="1">IFERROR(__xludf.DUMMYFUNCTION("""COMPUTED_VALUE"""),"Đặng Hà Phương")</f>
        <v>Đặng Hà Phương</v>
      </c>
      <c r="J8546" s="3" t="str">
        <f ca="1">IFERROR(__xludf.DUMMYFUNCTION("""COMPUTED_VALUE"""),"0986786869")</f>
        <v>0986786869</v>
      </c>
      <c r="K8546" s="2" t="str">
        <f ca="1">IFERROR(__xludf.DUMMYFUNCTION("""COMPUTED_VALUE"""),"1752078002947")</f>
        <v>1752078002947</v>
      </c>
    </row>
    <row r="8547" spans="1:11" ht="12.45">
      <c r="A8547" s="2" t="str">
        <f ca="1">IFERROR(__xludf.DUMMYFUNCTION("""COMPUTED_VALUE"""),"1752078022001")</f>
        <v>1752078022001</v>
      </c>
      <c r="C8547" s="2" t="str">
        <v>0</v>
      </c>
      <c r="F8547" s="2" t="str">
        <v>0</v>
      </c>
      <c r="I8547" s="3" t="str">
        <f ca="1">IFERROR(__xludf.DUMMYFUNCTION("""COMPUTED_VALUE"""),"Vũ Ngọc Lan")</f>
        <v>Vũ Ngọc Lan</v>
      </c>
      <c r="J8547" s="3" t="str">
        <f ca="1">IFERROR(__xludf.DUMMYFUNCTION("""COMPUTED_VALUE"""),"0917469868")</f>
        <v>0917469868</v>
      </c>
      <c r="K8547" s="2" t="str">
        <f ca="1">IFERROR(__xludf.DUMMYFUNCTION("""COMPUTED_VALUE"""),"1752078022001")</f>
        <v>1752078022001</v>
      </c>
    </row>
    <row r="8548" spans="1:11" ht="12.45">
      <c r="A8548" s="2" t="str">
        <f ca="1">IFERROR(__xludf.DUMMYFUNCTION("""COMPUTED_VALUE"""),"1752078051083")</f>
        <v>1752078051083</v>
      </c>
      <c r="C8548" s="2" t="str">
        <v>0</v>
      </c>
      <c r="F8548" s="2" t="str">
        <v>0</v>
      </c>
      <c r="I8548" s="3" t="str">
        <f ca="1">IFERROR(__xludf.DUMMYFUNCTION("""COMPUTED_VALUE"""),"Đoàn Anh Tuấn ")</f>
        <v xml:space="preserve">Đoàn Anh Tuấn </v>
      </c>
      <c r="J8548" s="3" t="str">
        <f ca="1">IFERROR(__xludf.DUMMYFUNCTION("""COMPUTED_VALUE"""),"0345287823")</f>
        <v>0345287823</v>
      </c>
      <c r="K8548" s="2" t="str">
        <f ca="1">IFERROR(__xludf.DUMMYFUNCTION("""COMPUTED_VALUE"""),"1752078051083")</f>
        <v>1752078051083</v>
      </c>
    </row>
    <row r="8549" spans="1:11" ht="12.45">
      <c r="A8549" s="2" t="str">
        <f ca="1">IFERROR(__xludf.DUMMYFUNCTION("""COMPUTED_VALUE"""),"1747705120652")</f>
        <v>1747705120652</v>
      </c>
      <c r="C8549" s="2" t="str">
        <v>0</v>
      </c>
      <c r="F8549" s="2" t="str">
        <v>0</v>
      </c>
      <c r="I8549" s="3" t="str">
        <f ca="1">IFERROR(__xludf.DUMMYFUNCTION("""COMPUTED_VALUE"""),"Đặng Thị Hoài Nhi ")</f>
        <v xml:space="preserve">Đặng Thị Hoài Nhi </v>
      </c>
      <c r="J8549" s="3" t="str">
        <f ca="1">IFERROR(__xludf.DUMMYFUNCTION("""COMPUTED_VALUE"""),"0398224118")</f>
        <v>0398224118</v>
      </c>
      <c r="K8549" s="2" t="str">
        <f ca="1">IFERROR(__xludf.DUMMYFUNCTION("""COMPUTED_VALUE"""),"1747705120652")</f>
        <v>1747705120652</v>
      </c>
    </row>
    <row r="8550" spans="1:11" ht="12.45">
      <c r="A8550" s="2" t="str">
        <f ca="1">IFERROR(__xludf.DUMMYFUNCTION("""COMPUTED_VALUE"""),"1747705173639")</f>
        <v>1747705173639</v>
      </c>
      <c r="C8550" s="2" t="str">
        <v>0</v>
      </c>
      <c r="F8550" s="2" t="str">
        <v>0</v>
      </c>
      <c r="I8550" s="3" t="str">
        <f ca="1">IFERROR(__xludf.DUMMYFUNCTION("""COMPUTED_VALUE"""),"Nguyễn Thị Hồng Phúc ")</f>
        <v xml:space="preserve">Nguyễn Thị Hồng Phúc </v>
      </c>
      <c r="J8550" s="3" t="str">
        <f ca="1">IFERROR(__xludf.DUMMYFUNCTION("""COMPUTED_VALUE"""),"0904473585")</f>
        <v>0904473585</v>
      </c>
      <c r="K8550" s="2" t="str">
        <f ca="1">IFERROR(__xludf.DUMMYFUNCTION("""COMPUTED_VALUE"""),"1747705173639")</f>
        <v>1747705173639</v>
      </c>
    </row>
    <row r="8551" spans="1:11" ht="12.45">
      <c r="A8551" s="2" t="str">
        <f ca="1">IFERROR(__xludf.DUMMYFUNCTION("""COMPUTED_VALUE"""),"1751768773480")</f>
        <v>1751768773480</v>
      </c>
      <c r="C8551" s="2" t="str">
        <v>0</v>
      </c>
      <c r="F8551" s="2" t="str">
        <v>0</v>
      </c>
      <c r="I8551" s="3" t="str">
        <f ca="1">IFERROR(__xludf.DUMMYFUNCTION("""COMPUTED_VALUE"""),"Vũ Trà My")</f>
        <v>Vũ Trà My</v>
      </c>
      <c r="J8551" s="3" t="str">
        <f ca="1">IFERROR(__xludf.DUMMYFUNCTION("""COMPUTED_VALUE"""),"0904409319")</f>
        <v>0904409319</v>
      </c>
      <c r="K8551" s="2" t="str">
        <f ca="1">IFERROR(__xludf.DUMMYFUNCTION("""COMPUTED_VALUE"""),"1751768773480")</f>
        <v>1751768773480</v>
      </c>
    </row>
    <row r="8552" spans="1:11" ht="12.45">
      <c r="A8552" s="2" t="str">
        <f ca="1">IFERROR(__xludf.DUMMYFUNCTION("""COMPUTED_VALUE"""),"1747705421921")</f>
        <v>1747705421921</v>
      </c>
      <c r="C8552" s="2" t="str">
        <v>0</v>
      </c>
      <c r="F8552" s="2" t="str">
        <v>0</v>
      </c>
      <c r="I8552" s="3" t="str">
        <f ca="1">IFERROR(__xludf.DUMMYFUNCTION("""COMPUTED_VALUE"""),"Ngô Trọng Luận ")</f>
        <v xml:space="preserve">Ngô Trọng Luận </v>
      </c>
      <c r="J8552" s="3" t="str">
        <f ca="1">IFERROR(__xludf.DUMMYFUNCTION("""COMPUTED_VALUE"""),"0979520083")</f>
        <v>0979520083</v>
      </c>
      <c r="K8552" s="2" t="str">
        <f ca="1">IFERROR(__xludf.DUMMYFUNCTION("""COMPUTED_VALUE"""),"1747705421921")</f>
        <v>1747705421921</v>
      </c>
    </row>
    <row r="8553" spans="1:11" ht="12.45">
      <c r="A8553" s="2" t="str">
        <f ca="1">IFERROR(__xludf.DUMMYFUNCTION("""COMPUTED_VALUE"""),"1747705450604")</f>
        <v>1747705450604</v>
      </c>
      <c r="C8553" s="2" t="str">
        <v>0</v>
      </c>
      <c r="F8553" s="2" t="str">
        <v>0</v>
      </c>
      <c r="I8553" s="3" t="str">
        <f ca="1">IFERROR(__xludf.DUMMYFUNCTION("""COMPUTED_VALUE"""),"Nguyễn Văn Thuận")</f>
        <v>Nguyễn Văn Thuận</v>
      </c>
      <c r="J8553" s="3" t="str">
        <f ca="1">IFERROR(__xludf.DUMMYFUNCTION("""COMPUTED_VALUE"""),"0326925217")</f>
        <v>0326925217</v>
      </c>
      <c r="K8553" s="2" t="str">
        <f ca="1">IFERROR(__xludf.DUMMYFUNCTION("""COMPUTED_VALUE"""),"1747705450604")</f>
        <v>1747705450604</v>
      </c>
    </row>
    <row r="8554" spans="1:11" ht="12.45">
      <c r="A8554" s="2" t="str">
        <f ca="1">IFERROR(__xludf.DUMMYFUNCTION("""COMPUTED_VALUE"""),"1747705494260")</f>
        <v>1747705494260</v>
      </c>
      <c r="C8554" s="2" t="str">
        <v>0</v>
      </c>
      <c r="F8554" s="2" t="str">
        <v>0</v>
      </c>
      <c r="I8554" s="3" t="str">
        <f ca="1">IFERROR(__xludf.DUMMYFUNCTION("""COMPUTED_VALUE"""),"Mùa Ánh Dương")</f>
        <v>Mùa Ánh Dương</v>
      </c>
      <c r="J8554" s="3" t="str">
        <f ca="1">IFERROR(__xludf.DUMMYFUNCTION("""COMPUTED_VALUE"""),"0862948931")</f>
        <v>0862948931</v>
      </c>
      <c r="K8554" s="2" t="str">
        <f ca="1">IFERROR(__xludf.DUMMYFUNCTION("""COMPUTED_VALUE"""),"1747705494260")</f>
        <v>1747705494260</v>
      </c>
    </row>
    <row r="8555" spans="1:11" ht="12.45">
      <c r="A8555" s="2" t="str">
        <f ca="1">IFERROR(__xludf.DUMMYFUNCTION("""COMPUTED_VALUE"""),"1747705524178")</f>
        <v>1747705524178</v>
      </c>
      <c r="C8555" s="2" t="str">
        <v>0</v>
      </c>
      <c r="F8555" s="2" t="str">
        <v>0</v>
      </c>
      <c r="I8555" s="3" t="str">
        <f ca="1">IFERROR(__xludf.DUMMYFUNCTION("""COMPUTED_VALUE"""),"Hoàng Đăng Khoa")</f>
        <v>Hoàng Đăng Khoa</v>
      </c>
      <c r="J8555" s="3" t="str">
        <f ca="1">IFERROR(__xludf.DUMMYFUNCTION("""COMPUTED_VALUE"""),"0962717204")</f>
        <v>0962717204</v>
      </c>
      <c r="K8555" s="2" t="str">
        <f ca="1">IFERROR(__xludf.DUMMYFUNCTION("""COMPUTED_VALUE"""),"1747705524178")</f>
        <v>1747705524178</v>
      </c>
    </row>
    <row r="8556" spans="1:11" ht="12.45">
      <c r="A8556" s="2" t="str">
        <f ca="1">IFERROR(__xludf.DUMMYFUNCTION("""COMPUTED_VALUE"""),"1747705553931")</f>
        <v>1747705553931</v>
      </c>
      <c r="C8556" s="2" t="str">
        <v>0</v>
      </c>
      <c r="F8556" s="2" t="str">
        <v>0</v>
      </c>
      <c r="I8556" s="3" t="str">
        <f ca="1">IFERROR(__xludf.DUMMYFUNCTION("""COMPUTED_VALUE"""),"Nguyễn Thị Tố Uyên ")</f>
        <v xml:space="preserve">Nguyễn Thị Tố Uyên </v>
      </c>
      <c r="J8556" s="3" t="str">
        <f ca="1">IFERROR(__xludf.DUMMYFUNCTION("""COMPUTED_VALUE"""),"0908476613")</f>
        <v>0908476613</v>
      </c>
      <c r="K8556" s="2" t="str">
        <f ca="1">IFERROR(__xludf.DUMMYFUNCTION("""COMPUTED_VALUE"""),"1747705553931")</f>
        <v>1747705553931</v>
      </c>
    </row>
    <row r="8557" spans="1:11" ht="12.45">
      <c r="A8557" s="2"/>
      <c r="C8557" s="2" t="str">
        <v>0</v>
      </c>
      <c r="F8557" s="2" t="str">
        <v>0</v>
      </c>
      <c r="I8557" s="3" t="str">
        <f ca="1">IFERROR(__xludf.DUMMYFUNCTION("""COMPUTED_VALUE"""),"Nguyễn Thị Phương Linh")</f>
        <v>Nguyễn Thị Phương Linh</v>
      </c>
      <c r="J8557" s="3" t="str">
        <f ca="1">IFERROR(__xludf.DUMMYFUNCTION("""COMPUTED_VALUE"""),"0357428928")</f>
        <v>0357428928</v>
      </c>
      <c r="K8557" s="2"/>
    </row>
    <row r="8558" spans="1:11" ht="12.45">
      <c r="A8558" s="2"/>
      <c r="C8558" s="2" t="str">
        <v>0</v>
      </c>
      <c r="F8558" s="2" t="str">
        <v>0</v>
      </c>
      <c r="I8558" s="3" t="str">
        <f ca="1">IFERROR(__xludf.DUMMYFUNCTION("""COMPUTED_VALUE"""),"Nguyễn Thuý Hằng")</f>
        <v>Nguyễn Thuý Hằng</v>
      </c>
      <c r="J8558" s="3" t="str">
        <f ca="1">IFERROR(__xludf.DUMMYFUNCTION("""COMPUTED_VALUE"""),"0862252528")</f>
        <v>0862252528</v>
      </c>
      <c r="K8558" s="2"/>
    </row>
    <row r="8559" spans="1:11" ht="12.45">
      <c r="A8559" s="2" t="str">
        <f ca="1">IFERROR(__xludf.DUMMYFUNCTION("""COMPUTED_VALUE"""),"1747705590118")</f>
        <v>1747705590118</v>
      </c>
      <c r="C8559" s="2" t="str">
        <v>0</v>
      </c>
      <c r="F8559" s="2" t="str">
        <v>0</v>
      </c>
      <c r="I8559" s="3" t="str">
        <f ca="1">IFERROR(__xludf.DUMMYFUNCTION("""COMPUTED_VALUE"""),"Cao Nguyễn Yến Nhi")</f>
        <v>Cao Nguyễn Yến Nhi</v>
      </c>
      <c r="J8559" s="3" t="str">
        <f ca="1">IFERROR(__xludf.DUMMYFUNCTION("""COMPUTED_VALUE"""),"0358478775")</f>
        <v>0358478775</v>
      </c>
      <c r="K8559" s="2" t="str">
        <f ca="1">IFERROR(__xludf.DUMMYFUNCTION("""COMPUTED_VALUE"""),"1747705590118")</f>
        <v>1747705590118</v>
      </c>
    </row>
    <row r="8560" spans="1:11" ht="12.45">
      <c r="A8560" s="2" t="str">
        <f ca="1">IFERROR(__xludf.DUMMYFUNCTION("""COMPUTED_VALUE"""),"1747705628426")</f>
        <v>1747705628426</v>
      </c>
      <c r="C8560" s="2" t="str">
        <v>0</v>
      </c>
      <c r="F8560" s="2" t="str">
        <v>0</v>
      </c>
      <c r="I8560" s="3" t="str">
        <f ca="1">IFERROR(__xludf.DUMMYFUNCTION("""COMPUTED_VALUE"""),"Lầu A Cú ")</f>
        <v xml:space="preserve">Lầu A Cú </v>
      </c>
      <c r="J8560" s="3" t="str">
        <f ca="1">IFERROR(__xludf.DUMMYFUNCTION("""COMPUTED_VALUE"""),"0862593470")</f>
        <v>0862593470</v>
      </c>
      <c r="K8560" s="2" t="str">
        <f ca="1">IFERROR(__xludf.DUMMYFUNCTION("""COMPUTED_VALUE"""),"1747705628426")</f>
        <v>1747705628426</v>
      </c>
    </row>
    <row r="8561" spans="1:11" ht="12.45">
      <c r="A8561" s="2" t="str">
        <f ca="1">IFERROR(__xludf.DUMMYFUNCTION("""COMPUTED_VALUE"""),"1747705659118")</f>
        <v>1747705659118</v>
      </c>
      <c r="C8561" s="2" t="str">
        <v>0</v>
      </c>
      <c r="F8561" s="2" t="str">
        <v>0</v>
      </c>
      <c r="I8561" s="3" t="str">
        <f ca="1">IFERROR(__xludf.DUMMYFUNCTION("""COMPUTED_VALUE"""),"Nguyễn Hà Phương")</f>
        <v>Nguyễn Hà Phương</v>
      </c>
      <c r="J8561" s="3" t="str">
        <f ca="1">IFERROR(__xludf.DUMMYFUNCTION("""COMPUTED_VALUE"""),"0914938456")</f>
        <v>0914938456</v>
      </c>
      <c r="K8561" s="2" t="str">
        <f ca="1">IFERROR(__xludf.DUMMYFUNCTION("""COMPUTED_VALUE"""),"1747705659118")</f>
        <v>1747705659118</v>
      </c>
    </row>
    <row r="8562" spans="1:11" ht="12.45">
      <c r="A8562" s="2" t="str">
        <f ca="1">IFERROR(__xludf.DUMMYFUNCTION("""COMPUTED_VALUE"""),"1747705684654")</f>
        <v>1747705684654</v>
      </c>
      <c r="C8562" s="2" t="str">
        <v>0</v>
      </c>
      <c r="F8562" s="2" t="str">
        <v>0</v>
      </c>
      <c r="I8562" s="3" t="str">
        <f ca="1">IFERROR(__xludf.DUMMYFUNCTION("""COMPUTED_VALUE"""),"Võ Thị Tường Vy")</f>
        <v>Võ Thị Tường Vy</v>
      </c>
      <c r="J8562" s="3" t="str">
        <f ca="1">IFERROR(__xludf.DUMMYFUNCTION("""COMPUTED_VALUE"""),"0383032907")</f>
        <v>0383032907</v>
      </c>
      <c r="K8562" s="2" t="str">
        <f ca="1">IFERROR(__xludf.DUMMYFUNCTION("""COMPUTED_VALUE"""),"1747705684654")</f>
        <v>1747705684654</v>
      </c>
    </row>
    <row r="8563" spans="1:11" ht="12.45">
      <c r="A8563" s="2" t="str">
        <f ca="1">IFERROR(__xludf.DUMMYFUNCTION("""COMPUTED_VALUE"""),"1747705920510")</f>
        <v>1747705920510</v>
      </c>
      <c r="C8563" s="2" t="str">
        <v>0</v>
      </c>
      <c r="F8563" s="2" t="str">
        <v>0</v>
      </c>
      <c r="I8563" s="3" t="str">
        <f ca="1">IFERROR(__xludf.DUMMYFUNCTION("""COMPUTED_VALUE"""),"Nguyễn trần phương linh")</f>
        <v>Nguyễn trần phương linh</v>
      </c>
      <c r="J8563" s="3" t="str">
        <f ca="1">IFERROR(__xludf.DUMMYFUNCTION("""COMPUTED_VALUE"""),"0367067588")</f>
        <v>0367067588</v>
      </c>
      <c r="K8563" s="2" t="str">
        <f ca="1">IFERROR(__xludf.DUMMYFUNCTION("""COMPUTED_VALUE"""),"1747705920510")</f>
        <v>1747705920510</v>
      </c>
    </row>
    <row r="8564" spans="1:11" ht="12.45">
      <c r="A8564" s="2"/>
      <c r="C8564" s="2" t="str">
        <v>0</v>
      </c>
      <c r="F8564" s="2" t="str">
        <v>0</v>
      </c>
      <c r="I8564" s="3" t="str">
        <f ca="1">IFERROR(__xludf.DUMMYFUNCTION("""COMPUTED_VALUE"""),"Nguyễn Thuỳ Trang")</f>
        <v>Nguyễn Thuỳ Trang</v>
      </c>
      <c r="J8564" s="3" t="str">
        <f ca="1">IFERROR(__xludf.DUMMYFUNCTION("""COMPUTED_VALUE"""),"0945287499")</f>
        <v>0945287499</v>
      </c>
      <c r="K8564" s="2"/>
    </row>
    <row r="8565" spans="1:11" ht="12.45">
      <c r="A8565" s="2" t="str">
        <f ca="1">IFERROR(__xludf.DUMMYFUNCTION("""COMPUTED_VALUE"""),"1747705957204")</f>
        <v>1747705957204</v>
      </c>
      <c r="C8565" s="2" t="str">
        <v>0</v>
      </c>
      <c r="F8565" s="2" t="str">
        <v>0</v>
      </c>
      <c r="I8565" s="3" t="str">
        <f ca="1">IFERROR(__xludf.DUMMYFUNCTION("""COMPUTED_VALUE"""),"Lê Thị Thu Hoài ")</f>
        <v xml:space="preserve">Lê Thị Thu Hoài </v>
      </c>
      <c r="J8565" s="3" t="str">
        <f ca="1">IFERROR(__xludf.DUMMYFUNCTION("""COMPUTED_VALUE"""),"0915979831")</f>
        <v>0915979831</v>
      </c>
      <c r="K8565" s="2" t="str">
        <f ca="1">IFERROR(__xludf.DUMMYFUNCTION("""COMPUTED_VALUE"""),"1747705957204")</f>
        <v>1747705957204</v>
      </c>
    </row>
    <row r="8566" spans="1:11" ht="12.45">
      <c r="A8566" s="2" t="str">
        <f ca="1">IFERROR(__xludf.DUMMYFUNCTION("""COMPUTED_VALUE"""),"1747705984925")</f>
        <v>1747705984925</v>
      </c>
      <c r="C8566" s="2" t="str">
        <v>0</v>
      </c>
      <c r="F8566" s="2" t="str">
        <v>0</v>
      </c>
      <c r="I8566" s="3" t="str">
        <f ca="1">IFERROR(__xludf.DUMMYFUNCTION("""COMPUTED_VALUE"""),"Nguyễn Hữu Lâm")</f>
        <v>Nguyễn Hữu Lâm</v>
      </c>
      <c r="J8566" s="3" t="str">
        <f ca="1">IFERROR(__xludf.DUMMYFUNCTION("""COMPUTED_VALUE"""),"0902001951")</f>
        <v>0902001951</v>
      </c>
      <c r="K8566" s="2" t="str">
        <f ca="1">IFERROR(__xludf.DUMMYFUNCTION("""COMPUTED_VALUE"""),"1747705984925")</f>
        <v>1747705984925</v>
      </c>
    </row>
    <row r="8567" spans="1:11" ht="12.45">
      <c r="A8567" s="2" t="str">
        <f ca="1">IFERROR(__xludf.DUMMYFUNCTION("""COMPUTED_VALUE"""),"1747706035204")</f>
        <v>1747706035204</v>
      </c>
      <c r="C8567" s="2" t="str">
        <v>0</v>
      </c>
      <c r="F8567" s="2" t="str">
        <v>0</v>
      </c>
      <c r="I8567" s="3" t="str">
        <f ca="1">IFERROR(__xludf.DUMMYFUNCTION("""COMPUTED_VALUE"""),"Lê Trương Chúc An ")</f>
        <v xml:space="preserve">Lê Trương Chúc An </v>
      </c>
      <c r="J8567" s="3" t="str">
        <f ca="1">IFERROR(__xludf.DUMMYFUNCTION("""COMPUTED_VALUE"""),"0354470611")</f>
        <v>0354470611</v>
      </c>
      <c r="K8567" s="2" t="str">
        <f ca="1">IFERROR(__xludf.DUMMYFUNCTION("""COMPUTED_VALUE"""),"1747706035204")</f>
        <v>1747706035204</v>
      </c>
    </row>
    <row r="8568" spans="1:11" ht="12.45">
      <c r="A8568" s="2" t="str">
        <f ca="1">IFERROR(__xludf.DUMMYFUNCTION("""COMPUTED_VALUE"""),"1747706081259")</f>
        <v>1747706081259</v>
      </c>
      <c r="C8568" s="2" t="str">
        <v>0</v>
      </c>
      <c r="F8568" s="2" t="str">
        <v>0</v>
      </c>
      <c r="I8568" s="3" t="str">
        <f ca="1">IFERROR(__xludf.DUMMYFUNCTION("""COMPUTED_VALUE"""),"Phạm Minh Tiến ")</f>
        <v xml:space="preserve">Phạm Minh Tiến </v>
      </c>
      <c r="J8568" s="3" t="str">
        <f ca="1">IFERROR(__xludf.DUMMYFUNCTION("""COMPUTED_VALUE"""),"0377260622")</f>
        <v>0377260622</v>
      </c>
      <c r="K8568" s="2" t="str">
        <f ca="1">IFERROR(__xludf.DUMMYFUNCTION("""COMPUTED_VALUE"""),"1747706081259")</f>
        <v>1747706081259</v>
      </c>
    </row>
    <row r="8569" spans="1:11" ht="12.45">
      <c r="A8569" s="2" t="str">
        <f ca="1">IFERROR(__xludf.DUMMYFUNCTION("""COMPUTED_VALUE"""),"1747706122756")</f>
        <v>1747706122756</v>
      </c>
      <c r="C8569" s="2" t="str">
        <v>0</v>
      </c>
      <c r="F8569" s="2" t="str">
        <v>0</v>
      </c>
      <c r="I8569" s="3" t="str">
        <f ca="1">IFERROR(__xludf.DUMMYFUNCTION("""COMPUTED_VALUE"""),"Trần Thanh Ngân ")</f>
        <v xml:space="preserve">Trần Thanh Ngân </v>
      </c>
      <c r="J8569" s="3" t="str">
        <f ca="1">IFERROR(__xludf.DUMMYFUNCTION("""COMPUTED_VALUE"""),"0886939963")</f>
        <v>0886939963</v>
      </c>
      <c r="K8569" s="2" t="str">
        <f ca="1">IFERROR(__xludf.DUMMYFUNCTION("""COMPUTED_VALUE"""),"1747706122756")</f>
        <v>1747706122756</v>
      </c>
    </row>
    <row r="8570" spans="1:11" ht="12.45">
      <c r="A8570" s="2" t="str">
        <f ca="1">IFERROR(__xludf.DUMMYFUNCTION("""COMPUTED_VALUE"""),"1751768806770")</f>
        <v>1751768806770</v>
      </c>
      <c r="C8570" s="2" t="str">
        <v>0</v>
      </c>
      <c r="F8570" s="2" t="str">
        <v>0</v>
      </c>
      <c r="I8570" s="3" t="str">
        <f ca="1">IFERROR(__xludf.DUMMYFUNCTION("""COMPUTED_VALUE"""),"Tạ Hoàng Duy ")</f>
        <v xml:space="preserve">Tạ Hoàng Duy </v>
      </c>
      <c r="J8570" s="3" t="str">
        <f ca="1">IFERROR(__xludf.DUMMYFUNCTION("""COMPUTED_VALUE"""),"0824152771")</f>
        <v>0824152771</v>
      </c>
      <c r="K8570" s="2" t="str">
        <f ca="1">IFERROR(__xludf.DUMMYFUNCTION("""COMPUTED_VALUE"""),"1751768806770")</f>
        <v>1751768806770</v>
      </c>
    </row>
    <row r="8571" spans="1:11" ht="12.45">
      <c r="A8571" s="2" t="str">
        <f ca="1">IFERROR(__xludf.DUMMYFUNCTION("""COMPUTED_VALUE"""),"1747706158105")</f>
        <v>1747706158105</v>
      </c>
      <c r="C8571" s="2" t="str">
        <v>0</v>
      </c>
      <c r="F8571" s="2" t="str">
        <v>0</v>
      </c>
      <c r="I8571" s="3" t="str">
        <f ca="1">IFERROR(__xludf.DUMMYFUNCTION("""COMPUTED_VALUE"""),"Huỳnh Thị Thu Thảo")</f>
        <v>Huỳnh Thị Thu Thảo</v>
      </c>
      <c r="J8571" s="3" t="str">
        <f ca="1">IFERROR(__xludf.DUMMYFUNCTION("""COMPUTED_VALUE"""),"0979417139")</f>
        <v>0979417139</v>
      </c>
      <c r="K8571" s="2" t="str">
        <f ca="1">IFERROR(__xludf.DUMMYFUNCTION("""COMPUTED_VALUE"""),"1747706158105")</f>
        <v>1747706158105</v>
      </c>
    </row>
    <row r="8572" spans="1:11" ht="12.45">
      <c r="A8572" s="2" t="str">
        <f ca="1">IFERROR(__xludf.DUMMYFUNCTION("""COMPUTED_VALUE"""),"1747706190744")</f>
        <v>1747706190744</v>
      </c>
      <c r="C8572" s="2" t="str">
        <v>0</v>
      </c>
      <c r="F8572" s="2" t="str">
        <v>0</v>
      </c>
      <c r="I8572" s="3" t="str">
        <f ca="1">IFERROR(__xludf.DUMMYFUNCTION("""COMPUTED_VALUE"""),"Đỗ Nguyễn Uyên Phương")</f>
        <v>Đỗ Nguyễn Uyên Phương</v>
      </c>
      <c r="J8572" s="3" t="str">
        <f ca="1">IFERROR(__xludf.DUMMYFUNCTION("""COMPUTED_VALUE"""),"0395286841")</f>
        <v>0395286841</v>
      </c>
      <c r="K8572" s="2" t="str">
        <f ca="1">IFERROR(__xludf.DUMMYFUNCTION("""COMPUTED_VALUE"""),"1747706190744")</f>
        <v>1747706190744</v>
      </c>
    </row>
    <row r="8573" spans="1:11" ht="12.45">
      <c r="A8573" s="2" t="str">
        <f ca="1">IFERROR(__xludf.DUMMYFUNCTION("""COMPUTED_VALUE"""),"1747706219613")</f>
        <v>1747706219613</v>
      </c>
      <c r="C8573" s="2" t="str">
        <v>0</v>
      </c>
      <c r="F8573" s="2" t="str">
        <v>0</v>
      </c>
      <c r="I8573" s="3" t="str">
        <f ca="1">IFERROR(__xludf.DUMMYFUNCTION("""COMPUTED_VALUE"""),"Mai Thuỵ Như")</f>
        <v>Mai Thuỵ Như</v>
      </c>
      <c r="J8573" s="3" t="str">
        <f ca="1">IFERROR(__xludf.DUMMYFUNCTION("""COMPUTED_VALUE"""),"0866155324")</f>
        <v>0866155324</v>
      </c>
      <c r="K8573" s="2" t="str">
        <f ca="1">IFERROR(__xludf.DUMMYFUNCTION("""COMPUTED_VALUE"""),"1747706219613")</f>
        <v>1747706219613</v>
      </c>
    </row>
    <row r="8574" spans="1:11" ht="12.45">
      <c r="A8574" s="2" t="str">
        <f ca="1">IFERROR(__xludf.DUMMYFUNCTION("""COMPUTED_VALUE"""),"1747706251897")</f>
        <v>1747706251897</v>
      </c>
      <c r="C8574" s="2" t="str">
        <v>0</v>
      </c>
      <c r="F8574" s="2" t="str">
        <v>0</v>
      </c>
      <c r="I8574" s="3" t="str">
        <f ca="1">IFERROR(__xludf.DUMMYFUNCTION("""COMPUTED_VALUE"""),"Huỳnh Thị Phương Thảo")</f>
        <v>Huỳnh Thị Phương Thảo</v>
      </c>
      <c r="J8574" s="3" t="str">
        <f ca="1">IFERROR(__xludf.DUMMYFUNCTION("""COMPUTED_VALUE"""),"0772876667")</f>
        <v>0772876667</v>
      </c>
      <c r="K8574" s="2" t="str">
        <f ca="1">IFERROR(__xludf.DUMMYFUNCTION("""COMPUTED_VALUE"""),"1747706251897")</f>
        <v>1747706251897</v>
      </c>
    </row>
    <row r="8575" spans="1:11" ht="12.45">
      <c r="A8575" s="2" t="str">
        <f ca="1">IFERROR(__xludf.DUMMYFUNCTION("""COMPUTED_VALUE"""),"1747706286996")</f>
        <v>1747706286996</v>
      </c>
      <c r="C8575" s="2" t="str">
        <v>0</v>
      </c>
      <c r="F8575" s="2" t="str">
        <v>0</v>
      </c>
      <c r="I8575" s="3" t="str">
        <f ca="1">IFERROR(__xludf.DUMMYFUNCTION("""COMPUTED_VALUE"""),"Nguyễn Kim Ngân")</f>
        <v>Nguyễn Kim Ngân</v>
      </c>
      <c r="J8575" s="3" t="str">
        <f ca="1">IFERROR(__xludf.DUMMYFUNCTION("""COMPUTED_VALUE"""),"0343242625")</f>
        <v>0343242625</v>
      </c>
      <c r="K8575" s="2" t="str">
        <f ca="1">IFERROR(__xludf.DUMMYFUNCTION("""COMPUTED_VALUE"""),"1747706286996")</f>
        <v>1747706286996</v>
      </c>
    </row>
    <row r="8576" spans="1:11" ht="12.45">
      <c r="A8576" s="2" t="str">
        <f ca="1">IFERROR(__xludf.DUMMYFUNCTION("""COMPUTED_VALUE"""),"1747706309540")</f>
        <v>1747706309540</v>
      </c>
      <c r="C8576" s="2" t="str">
        <v>0</v>
      </c>
      <c r="F8576" s="2" t="str">
        <v>0</v>
      </c>
      <c r="I8576" s="3" t="str">
        <f ca="1">IFERROR(__xludf.DUMMYFUNCTION("""COMPUTED_VALUE"""),"Nguyễn Thị Phương Anh")</f>
        <v>Nguyễn Thị Phương Anh</v>
      </c>
      <c r="J8576" s="3" t="str">
        <f ca="1">IFERROR(__xludf.DUMMYFUNCTION("""COMPUTED_VALUE"""),"0398847725")</f>
        <v>0398847725</v>
      </c>
      <c r="K8576" s="2" t="str">
        <f ca="1">IFERROR(__xludf.DUMMYFUNCTION("""COMPUTED_VALUE"""),"1747706309540")</f>
        <v>1747706309540</v>
      </c>
    </row>
    <row r="8577" spans="1:11" ht="12.45">
      <c r="A8577" s="2" t="str">
        <f ca="1">IFERROR(__xludf.DUMMYFUNCTION("""COMPUTED_VALUE"""),"1747706354254")</f>
        <v>1747706354254</v>
      </c>
      <c r="C8577" s="2" t="str">
        <v>0</v>
      </c>
      <c r="F8577" s="2" t="str">
        <v>0</v>
      </c>
      <c r="I8577" s="3" t="str">
        <f ca="1">IFERROR(__xludf.DUMMYFUNCTION("""COMPUTED_VALUE"""),"Trần Thị Mai Ngân")</f>
        <v>Trần Thị Mai Ngân</v>
      </c>
      <c r="J8577" s="3" t="str">
        <f ca="1">IFERROR(__xludf.DUMMYFUNCTION("""COMPUTED_VALUE"""),"0966071529")</f>
        <v>0966071529</v>
      </c>
      <c r="K8577" s="2" t="str">
        <f ca="1">IFERROR(__xludf.DUMMYFUNCTION("""COMPUTED_VALUE"""),"1747706354254")</f>
        <v>1747706354254</v>
      </c>
    </row>
    <row r="8578" spans="1:11" ht="12.45">
      <c r="A8578" s="2" t="str">
        <f ca="1">IFERROR(__xludf.DUMMYFUNCTION("""COMPUTED_VALUE"""),"1757558462899")</f>
        <v>1757558462899</v>
      </c>
      <c r="C8578" s="2" t="str">
        <v>0</v>
      </c>
      <c r="F8578" s="2" t="str">
        <v>0</v>
      </c>
      <c r="I8578" s="3" t="str">
        <f ca="1">IFERROR(__xludf.DUMMYFUNCTION("""COMPUTED_VALUE"""),"Lê Minh Bảo Ngọc")</f>
        <v>Lê Minh Bảo Ngọc</v>
      </c>
      <c r="J8578" s="3" t="str">
        <f ca="1">IFERROR(__xludf.DUMMYFUNCTION("""COMPUTED_VALUE"""),"0905519025")</f>
        <v>0905519025</v>
      </c>
      <c r="K8578" s="2" t="str">
        <f ca="1">IFERROR(__xludf.DUMMYFUNCTION("""COMPUTED_VALUE"""),"1757558462899")</f>
        <v>1757558462899</v>
      </c>
    </row>
    <row r="8579" spans="1:11" ht="12.45">
      <c r="A8579" s="2" t="str">
        <f ca="1">IFERROR(__xludf.DUMMYFUNCTION("""COMPUTED_VALUE"""),"1757558519192")</f>
        <v>1757558519192</v>
      </c>
      <c r="C8579" s="2" t="str">
        <v>0</v>
      </c>
      <c r="F8579" s="2" t="str">
        <v>0</v>
      </c>
      <c r="I8579" s="3" t="str">
        <f ca="1">IFERROR(__xludf.DUMMYFUNCTION("""COMPUTED_VALUE"""),"Trần Thị Hoàng Linh")</f>
        <v>Trần Thị Hoàng Linh</v>
      </c>
      <c r="J8579" s="3" t="str">
        <f ca="1">IFERROR(__xludf.DUMMYFUNCTION("""COMPUTED_VALUE"""),"0917930058")</f>
        <v>0917930058</v>
      </c>
      <c r="K8579" s="2" t="str">
        <f ca="1">IFERROR(__xludf.DUMMYFUNCTION("""COMPUTED_VALUE"""),"1757558519192")</f>
        <v>1757558519192</v>
      </c>
    </row>
    <row r="8580" spans="1:11" ht="12.45">
      <c r="A8580" s="2" t="str">
        <f ca="1">IFERROR(__xludf.DUMMYFUNCTION("""COMPUTED_VALUE"""),"1757558564680")</f>
        <v>1757558564680</v>
      </c>
      <c r="C8580" s="2" t="str">
        <v>0</v>
      </c>
      <c r="F8580" s="2" t="str">
        <v>0</v>
      </c>
      <c r="I8580" s="3" t="str">
        <f ca="1">IFERROR(__xludf.DUMMYFUNCTION("""COMPUTED_VALUE"""),"Nguyễn Bảo Thy ")</f>
        <v xml:space="preserve">Nguyễn Bảo Thy </v>
      </c>
      <c r="J8580" s="3" t="str">
        <f ca="1">IFERROR(__xludf.DUMMYFUNCTION("""COMPUTED_VALUE"""),"0936051107")</f>
        <v>0936051107</v>
      </c>
      <c r="K8580" s="2" t="str">
        <f ca="1">IFERROR(__xludf.DUMMYFUNCTION("""COMPUTED_VALUE"""),"1757558564680")</f>
        <v>1757558564680</v>
      </c>
    </row>
    <row r="8581" spans="1:11" ht="12.45">
      <c r="A8581" s="2" t="str">
        <f ca="1">IFERROR(__xludf.DUMMYFUNCTION("""COMPUTED_VALUE"""),"1757558605170")</f>
        <v>1757558605170</v>
      </c>
      <c r="C8581" s="2" t="str">
        <v>0</v>
      </c>
      <c r="F8581" s="2" t="str">
        <v>0</v>
      </c>
      <c r="I8581" s="3" t="str">
        <f ca="1">IFERROR(__xludf.DUMMYFUNCTION("""COMPUTED_VALUE"""),"Thái Thanh Phong ")</f>
        <v xml:space="preserve">Thái Thanh Phong </v>
      </c>
      <c r="J8581" s="3" t="str">
        <f ca="1">IFERROR(__xludf.DUMMYFUNCTION("""COMPUTED_VALUE"""),"0374580500")</f>
        <v>0374580500</v>
      </c>
      <c r="K8581" s="2" t="str">
        <f ca="1">IFERROR(__xludf.DUMMYFUNCTION("""COMPUTED_VALUE"""),"1757558605170")</f>
        <v>1757558605170</v>
      </c>
    </row>
    <row r="8582" spans="1:11" ht="12.45">
      <c r="A8582" s="2" t="str">
        <f ca="1">IFERROR(__xludf.DUMMYFUNCTION("""COMPUTED_VALUE"""),"1759438862416")</f>
        <v>1759438862416</v>
      </c>
      <c r="C8582" s="2" t="str">
        <v>0</v>
      </c>
      <c r="F8582" s="2" t="str">
        <v>0</v>
      </c>
      <c r="I8582" s="3" t="str">
        <f ca="1">IFERROR(__xludf.DUMMYFUNCTION("""COMPUTED_VALUE"""),"Hoàng Trần Quỳnh Hương")</f>
        <v>Hoàng Trần Quỳnh Hương</v>
      </c>
      <c r="J8582" s="3" t="str">
        <f ca="1">IFERROR(__xludf.DUMMYFUNCTION("""COMPUTED_VALUE"""),"0387442003")</f>
        <v>0387442003</v>
      </c>
      <c r="K8582" s="2" t="str">
        <f ca="1">IFERROR(__xludf.DUMMYFUNCTION("""COMPUTED_VALUE"""),"1759438862416")</f>
        <v>1759438862416</v>
      </c>
    </row>
    <row r="8583" spans="1:11" ht="12.45">
      <c r="A8583" s="2" t="str">
        <f ca="1">IFERROR(__xludf.DUMMYFUNCTION("""COMPUTED_VALUE"""),"1757558648357")</f>
        <v>1757558648357</v>
      </c>
      <c r="C8583" s="2" t="str">
        <v>0</v>
      </c>
      <c r="F8583" s="2" t="str">
        <v>0</v>
      </c>
      <c r="I8583" s="3" t="str">
        <f ca="1">IFERROR(__xludf.DUMMYFUNCTION("""COMPUTED_VALUE"""),"Nguyễn Thị Hương Xuân")</f>
        <v>Nguyễn Thị Hương Xuân</v>
      </c>
      <c r="J8583" s="3" t="str">
        <f ca="1">IFERROR(__xludf.DUMMYFUNCTION("""COMPUTED_VALUE"""),"0375232267")</f>
        <v>0375232267</v>
      </c>
      <c r="K8583" s="2" t="str">
        <f ca="1">IFERROR(__xludf.DUMMYFUNCTION("""COMPUTED_VALUE"""),"1757558648357")</f>
        <v>1757558648357</v>
      </c>
    </row>
    <row r="8584" spans="1:11" ht="12.45">
      <c r="A8584" s="2" t="str">
        <f ca="1">IFERROR(__xludf.DUMMYFUNCTION("""COMPUTED_VALUE"""),"1757558697141")</f>
        <v>1757558697141</v>
      </c>
      <c r="C8584" s="2" t="str">
        <v>0</v>
      </c>
      <c r="F8584" s="2" t="str">
        <v>0</v>
      </c>
      <c r="I8584" s="3" t="str">
        <f ca="1">IFERROR(__xludf.DUMMYFUNCTION("""COMPUTED_VALUE"""),"Phan Thị An Khanh ")</f>
        <v xml:space="preserve">Phan Thị An Khanh </v>
      </c>
      <c r="J8584" s="3" t="str">
        <f ca="1">IFERROR(__xludf.DUMMYFUNCTION("""COMPUTED_VALUE"""),"0379740329")</f>
        <v>0379740329</v>
      </c>
      <c r="K8584" s="2" t="str">
        <f ca="1">IFERROR(__xludf.DUMMYFUNCTION("""COMPUTED_VALUE"""),"1757558697141")</f>
        <v>1757558697141</v>
      </c>
    </row>
    <row r="8585" spans="1:11" ht="12.45">
      <c r="A8585" s="2" t="str">
        <f ca="1">IFERROR(__xludf.DUMMYFUNCTION("""COMPUTED_VALUE"""),"1757558747652")</f>
        <v>1757558747652</v>
      </c>
      <c r="C8585" s="2" t="str">
        <v>0</v>
      </c>
      <c r="F8585" s="2" t="str">
        <v>0</v>
      </c>
      <c r="I8585" s="3" t="str">
        <f ca="1">IFERROR(__xludf.DUMMYFUNCTION("""COMPUTED_VALUE"""),"Lê Thuý An")</f>
        <v>Lê Thuý An</v>
      </c>
      <c r="J8585" s="3" t="str">
        <f ca="1">IFERROR(__xludf.DUMMYFUNCTION("""COMPUTED_VALUE"""),"0834112199")</f>
        <v>0834112199</v>
      </c>
      <c r="K8585" s="2" t="str">
        <f ca="1">IFERROR(__xludf.DUMMYFUNCTION("""COMPUTED_VALUE"""),"1757558747652")</f>
        <v>1757558747652</v>
      </c>
    </row>
    <row r="8586" spans="1:11" ht="12.45">
      <c r="A8586" s="2" t="str">
        <f ca="1">IFERROR(__xludf.DUMMYFUNCTION("""COMPUTED_VALUE"""),"1757558791994")</f>
        <v>1757558791994</v>
      </c>
      <c r="C8586" s="2" t="str">
        <v>0</v>
      </c>
      <c r="F8586" s="2" t="str">
        <v>0</v>
      </c>
      <c r="I8586" s="3" t="str">
        <f ca="1">IFERROR(__xludf.DUMMYFUNCTION("""COMPUTED_VALUE"""),"Nguyễn Ngọc Khánh Vy ")</f>
        <v xml:space="preserve">Nguyễn Ngọc Khánh Vy </v>
      </c>
      <c r="J8586" s="3" t="str">
        <f ca="1">IFERROR(__xludf.DUMMYFUNCTION("""COMPUTED_VALUE"""),"0333525453")</f>
        <v>0333525453</v>
      </c>
      <c r="K8586" s="2" t="str">
        <f ca="1">IFERROR(__xludf.DUMMYFUNCTION("""COMPUTED_VALUE"""),"1757558791994")</f>
        <v>1757558791994</v>
      </c>
    </row>
    <row r="8587" spans="1:11" ht="12.45">
      <c r="A8587" s="2" t="str">
        <f ca="1">IFERROR(__xludf.DUMMYFUNCTION("""COMPUTED_VALUE"""),"1757558828275")</f>
        <v>1757558828275</v>
      </c>
      <c r="C8587" s="2" t="str">
        <v>0</v>
      </c>
      <c r="F8587" s="2" t="str">
        <v>0</v>
      </c>
      <c r="I8587" s="3" t="str">
        <f ca="1">IFERROR(__xludf.DUMMYFUNCTION("""COMPUTED_VALUE"""),"Nguyễn Phương Huyền ")</f>
        <v xml:space="preserve">Nguyễn Phương Huyền </v>
      </c>
      <c r="J8587" s="3" t="str">
        <f ca="1">IFERROR(__xludf.DUMMYFUNCTION("""COMPUTED_VALUE"""),"0356351794")</f>
        <v>0356351794</v>
      </c>
      <c r="K8587" s="2" t="str">
        <f ca="1">IFERROR(__xludf.DUMMYFUNCTION("""COMPUTED_VALUE"""),"1757558828275")</f>
        <v>1757558828275</v>
      </c>
    </row>
    <row r="8588" spans="1:11" ht="12.45">
      <c r="A8588" s="2" t="str">
        <f ca="1">IFERROR(__xludf.DUMMYFUNCTION("""COMPUTED_VALUE"""),"1757558854101")</f>
        <v>1757558854101</v>
      </c>
      <c r="C8588" s="2" t="str">
        <v>0</v>
      </c>
      <c r="F8588" s="2" t="str">
        <v>0</v>
      </c>
      <c r="I8588" s="3" t="str">
        <f ca="1">IFERROR(__xludf.DUMMYFUNCTION("""COMPUTED_VALUE"""),"Vũ Thị Huyền My")</f>
        <v>Vũ Thị Huyền My</v>
      </c>
      <c r="J8588" s="3" t="str">
        <f ca="1">IFERROR(__xludf.DUMMYFUNCTION("""COMPUTED_VALUE"""),"0866423104")</f>
        <v>0866423104</v>
      </c>
      <c r="K8588" s="2" t="str">
        <f ca="1">IFERROR(__xludf.DUMMYFUNCTION("""COMPUTED_VALUE"""),"1757558854101")</f>
        <v>1757558854101</v>
      </c>
    </row>
    <row r="8589" spans="1:11" ht="12.45">
      <c r="A8589" s="2" t="str">
        <f ca="1">IFERROR(__xludf.DUMMYFUNCTION("""COMPUTED_VALUE"""),"1757558881727")</f>
        <v>1757558881727</v>
      </c>
      <c r="C8589" s="2" t="str">
        <v>0</v>
      </c>
      <c r="F8589" s="2" t="str">
        <v>0</v>
      </c>
      <c r="I8589" s="3" t="str">
        <f ca="1">IFERROR(__xludf.DUMMYFUNCTION("""COMPUTED_VALUE"""),"phạm nhi")</f>
        <v>phạm nhi</v>
      </c>
      <c r="J8589" s="3" t="str">
        <f ca="1">IFERROR(__xludf.DUMMYFUNCTION("""COMPUTED_VALUE"""),"0705029978")</f>
        <v>0705029978</v>
      </c>
      <c r="K8589" s="2" t="str">
        <f ca="1">IFERROR(__xludf.DUMMYFUNCTION("""COMPUTED_VALUE"""),"1757558881727")</f>
        <v>1757558881727</v>
      </c>
    </row>
    <row r="8590" spans="1:11" ht="12.45">
      <c r="A8590" s="2" t="str">
        <f ca="1">IFERROR(__xludf.DUMMYFUNCTION("""COMPUTED_VALUE"""),"1757558921614")</f>
        <v>1757558921614</v>
      </c>
      <c r="C8590" s="2" t="str">
        <v>0</v>
      </c>
      <c r="F8590" s="2" t="str">
        <v>0</v>
      </c>
      <c r="I8590" s="3" t="str">
        <f ca="1">IFERROR(__xludf.DUMMYFUNCTION("""COMPUTED_VALUE"""),"Nguyễn Hoàng Anh Thư")</f>
        <v>Nguyễn Hoàng Anh Thư</v>
      </c>
      <c r="J8590" s="3" t="str">
        <f ca="1">IFERROR(__xludf.DUMMYFUNCTION("""COMPUTED_VALUE"""),"0396679460")</f>
        <v>0396679460</v>
      </c>
      <c r="K8590" s="2" t="str">
        <f ca="1">IFERROR(__xludf.DUMMYFUNCTION("""COMPUTED_VALUE"""),"1757558921614")</f>
        <v>1757558921614</v>
      </c>
    </row>
    <row r="8591" spans="1:11" ht="12.45">
      <c r="A8591" s="2" t="str">
        <f ca="1">IFERROR(__xludf.DUMMYFUNCTION("""COMPUTED_VALUE"""),"1757558956629")</f>
        <v>1757558956629</v>
      </c>
      <c r="C8591" s="2" t="str">
        <v>0</v>
      </c>
      <c r="F8591" s="2" t="str">
        <v>0</v>
      </c>
      <c r="I8591" s="3" t="str">
        <f ca="1">IFERROR(__xludf.DUMMYFUNCTION("""COMPUTED_VALUE"""),"Trần Thị Hà Vy")</f>
        <v>Trần Thị Hà Vy</v>
      </c>
      <c r="J8591" s="3" t="str">
        <f ca="1">IFERROR(__xludf.DUMMYFUNCTION("""COMPUTED_VALUE"""),"0966838543")</f>
        <v>0966838543</v>
      </c>
      <c r="K8591" s="2" t="str">
        <f ca="1">IFERROR(__xludf.DUMMYFUNCTION("""COMPUTED_VALUE"""),"1757558956629")</f>
        <v>1757558956629</v>
      </c>
    </row>
    <row r="8592" spans="1:11" ht="12.45">
      <c r="A8592" s="2" t="str">
        <f ca="1">IFERROR(__xludf.DUMMYFUNCTION("""COMPUTED_VALUE"""),"1757559002759")</f>
        <v>1757559002759</v>
      </c>
      <c r="C8592" s="2" t="str">
        <v>0</v>
      </c>
      <c r="F8592" s="2" t="str">
        <v>0</v>
      </c>
      <c r="I8592" s="3" t="str">
        <f ca="1">IFERROR(__xludf.DUMMYFUNCTION("""COMPUTED_VALUE"""),"Đào Thị Hà Linh")</f>
        <v>Đào Thị Hà Linh</v>
      </c>
      <c r="J8592" s="3" t="str">
        <f ca="1">IFERROR(__xludf.DUMMYFUNCTION("""COMPUTED_VALUE"""),"0865042910")</f>
        <v>0865042910</v>
      </c>
      <c r="K8592" s="2" t="str">
        <f ca="1">IFERROR(__xludf.DUMMYFUNCTION("""COMPUTED_VALUE"""),"1757559002759")</f>
        <v>1757559002759</v>
      </c>
    </row>
    <row r="8593" spans="1:11" ht="12.45">
      <c r="A8593" s="2" t="str">
        <f ca="1">IFERROR(__xludf.DUMMYFUNCTION("""COMPUTED_VALUE"""),"1757559050111")</f>
        <v>1757559050111</v>
      </c>
      <c r="C8593" s="2" t="str">
        <v>0</v>
      </c>
      <c r="F8593" s="2" t="str">
        <v>0</v>
      </c>
      <c r="I8593" s="3" t="str">
        <f ca="1">IFERROR(__xludf.DUMMYFUNCTION("""COMPUTED_VALUE"""),"Trần Nguyễn Huyền Trang")</f>
        <v>Trần Nguyễn Huyền Trang</v>
      </c>
      <c r="J8593" s="3" t="str">
        <f ca="1">IFERROR(__xludf.DUMMYFUNCTION("""COMPUTED_VALUE"""),"0778588827")</f>
        <v>0778588827</v>
      </c>
      <c r="K8593" s="2" t="str">
        <f ca="1">IFERROR(__xludf.DUMMYFUNCTION("""COMPUTED_VALUE"""),"1757559050111")</f>
        <v>1757559050111</v>
      </c>
    </row>
    <row r="8594" spans="1:11" ht="12.45">
      <c r="A8594" s="2"/>
      <c r="C8594" s="2" t="str">
        <v>0</v>
      </c>
      <c r="F8594" s="2" t="str">
        <v>0</v>
      </c>
      <c r="I8594" s="3" t="str">
        <f ca="1">IFERROR(__xludf.DUMMYFUNCTION("""COMPUTED_VALUE"""),"Nguyễn Khánh Ngân")</f>
        <v>Nguyễn Khánh Ngân</v>
      </c>
      <c r="J8594" s="3" t="str">
        <f ca="1">IFERROR(__xludf.DUMMYFUNCTION("""COMPUTED_VALUE"""),"0397889097")</f>
        <v>0397889097</v>
      </c>
      <c r="K8594" s="2"/>
    </row>
    <row r="8595" spans="1:11" ht="12.45">
      <c r="A8595" s="2" t="str">
        <f ca="1">IFERROR(__xludf.DUMMYFUNCTION("""COMPUTED_VALUE"""),"1757559086421")</f>
        <v>1757559086421</v>
      </c>
      <c r="C8595" s="2" t="str">
        <v>0</v>
      </c>
      <c r="F8595" s="2" t="str">
        <v>0</v>
      </c>
      <c r="I8595" s="3" t="str">
        <f ca="1">IFERROR(__xludf.DUMMYFUNCTION("""COMPUTED_VALUE"""),"Hoàng Văn Học ")</f>
        <v xml:space="preserve">Hoàng Văn Học </v>
      </c>
      <c r="J8595" s="3" t="str">
        <f ca="1">IFERROR(__xludf.DUMMYFUNCTION("""COMPUTED_VALUE"""),"0376963527")</f>
        <v>0376963527</v>
      </c>
      <c r="K8595" s="2" t="str">
        <f ca="1">IFERROR(__xludf.DUMMYFUNCTION("""COMPUTED_VALUE"""),"1757559086421")</f>
        <v>1757559086421</v>
      </c>
    </row>
    <row r="8596" spans="1:11" ht="12.45">
      <c r="A8596" s="2"/>
      <c r="C8596" s="2" t="str">
        <v>0</v>
      </c>
      <c r="F8596" s="2" t="str">
        <v>0</v>
      </c>
      <c r="I8596" s="3" t="str">
        <f ca="1">IFERROR(__xludf.DUMMYFUNCTION("""COMPUTED_VALUE"""),"Đậu Thị Nguyệt Hà ")</f>
        <v xml:space="preserve">Đậu Thị Nguyệt Hà </v>
      </c>
      <c r="J8596" s="3" t="str">
        <f ca="1">IFERROR(__xludf.DUMMYFUNCTION("""COMPUTED_VALUE"""),"0836016566")</f>
        <v>0836016566</v>
      </c>
      <c r="K8596" s="2"/>
    </row>
    <row r="8597" spans="1:11" ht="12.45">
      <c r="A8597" s="2" t="str">
        <f ca="1">IFERROR(__xludf.DUMMYFUNCTION("""COMPUTED_VALUE"""),"1757559127385")</f>
        <v>1757559127385</v>
      </c>
      <c r="C8597" s="2" t="str">
        <v>0</v>
      </c>
      <c r="F8597" s="2" t="str">
        <v>0</v>
      </c>
      <c r="I8597" s="3" t="str">
        <f ca="1">IFERROR(__xludf.DUMMYFUNCTION("""COMPUTED_VALUE"""),"Nguyễn Thị yến Nhi")</f>
        <v>Nguyễn Thị yến Nhi</v>
      </c>
      <c r="J8597" s="3" t="str">
        <f ca="1">IFERROR(__xludf.DUMMYFUNCTION("""COMPUTED_VALUE"""),"0347791789")</f>
        <v>0347791789</v>
      </c>
      <c r="K8597" s="2" t="str">
        <f ca="1">IFERROR(__xludf.DUMMYFUNCTION("""COMPUTED_VALUE"""),"1757559127385")</f>
        <v>1757559127385</v>
      </c>
    </row>
    <row r="8598" spans="1:11" ht="12.45">
      <c r="A8598" s="2" t="str">
        <f ca="1">IFERROR(__xludf.DUMMYFUNCTION("""COMPUTED_VALUE"""),"1757559175213")</f>
        <v>1757559175213</v>
      </c>
      <c r="C8598" s="2" t="str">
        <v>0</v>
      </c>
      <c r="F8598" s="2" t="str">
        <v>0</v>
      </c>
      <c r="I8598" s="3" t="str">
        <f ca="1">IFERROR(__xludf.DUMMYFUNCTION("""COMPUTED_VALUE"""),"Nguyễn Thị Trúc Hân ")</f>
        <v xml:space="preserve">Nguyễn Thị Trúc Hân </v>
      </c>
      <c r="J8598" s="3" t="str">
        <f ca="1">IFERROR(__xludf.DUMMYFUNCTION("""COMPUTED_VALUE"""),"0888670637")</f>
        <v>0888670637</v>
      </c>
      <c r="K8598" s="2" t="str">
        <f ca="1">IFERROR(__xludf.DUMMYFUNCTION("""COMPUTED_VALUE"""),"1757559175213")</f>
        <v>1757559175213</v>
      </c>
    </row>
    <row r="8599" spans="1:11" ht="12.45">
      <c r="A8599" s="2" t="str">
        <f ca="1">IFERROR(__xludf.DUMMYFUNCTION("""COMPUTED_VALUE"""),"1757559231204")</f>
        <v>1757559231204</v>
      </c>
      <c r="C8599" s="2" t="str">
        <v>0</v>
      </c>
      <c r="F8599" s="2" t="str">
        <v>0</v>
      </c>
      <c r="I8599" s="3" t="str">
        <f ca="1">IFERROR(__xludf.DUMMYFUNCTION("""COMPUTED_VALUE"""),"Phùng Thái An Khang ")</f>
        <v xml:space="preserve">Phùng Thái An Khang </v>
      </c>
      <c r="J8599" s="3" t="str">
        <f ca="1">IFERROR(__xludf.DUMMYFUNCTION("""COMPUTED_VALUE"""),"0918660249")</f>
        <v>0918660249</v>
      </c>
      <c r="K8599" s="2" t="str">
        <f ca="1">IFERROR(__xludf.DUMMYFUNCTION("""COMPUTED_VALUE"""),"1757559231204")</f>
        <v>1757559231204</v>
      </c>
    </row>
    <row r="8600" spans="1:11" ht="12.45">
      <c r="A8600" s="2" t="str">
        <f ca="1">IFERROR(__xludf.DUMMYFUNCTION("""COMPUTED_VALUE"""),"1757559261692")</f>
        <v>1757559261692</v>
      </c>
      <c r="C8600" s="2" t="str">
        <v>0</v>
      </c>
      <c r="F8600" s="2" t="str">
        <v>0</v>
      </c>
      <c r="I8600" s="3" t="str">
        <f ca="1">IFERROR(__xludf.DUMMYFUNCTION("""COMPUTED_VALUE"""),"Tô Thị Giàng")</f>
        <v>Tô Thị Giàng</v>
      </c>
      <c r="J8600" s="3" t="str">
        <f ca="1">IFERROR(__xludf.DUMMYFUNCTION("""COMPUTED_VALUE"""),"0329203171")</f>
        <v>0329203171</v>
      </c>
      <c r="K8600" s="2" t="str">
        <f ca="1">IFERROR(__xludf.DUMMYFUNCTION("""COMPUTED_VALUE"""),"1757559261692")</f>
        <v>1757559261692</v>
      </c>
    </row>
    <row r="8601" spans="1:11" ht="12.45">
      <c r="A8601" s="2" t="str">
        <f ca="1">IFERROR(__xludf.DUMMYFUNCTION("""COMPUTED_VALUE"""),"1751768844202")</f>
        <v>1751768844202</v>
      </c>
      <c r="C8601" s="2" t="str">
        <v>0</v>
      </c>
      <c r="F8601" s="2" t="str">
        <v>0</v>
      </c>
      <c r="I8601" s="3" t="str">
        <f ca="1">IFERROR(__xludf.DUMMYFUNCTION("""COMPUTED_VALUE"""),"Võ Thị Như Thảo")</f>
        <v>Võ Thị Như Thảo</v>
      </c>
      <c r="J8601" s="3" t="str">
        <f ca="1">IFERROR(__xludf.DUMMYFUNCTION("""COMPUTED_VALUE"""),"0763660432")</f>
        <v>0763660432</v>
      </c>
      <c r="K8601" s="2" t="str">
        <f ca="1">IFERROR(__xludf.DUMMYFUNCTION("""COMPUTED_VALUE"""),"1751768844202")</f>
        <v>1751768844202</v>
      </c>
    </row>
    <row r="8602" spans="1:11" ht="12.45">
      <c r="A8602" s="2" t="str">
        <f ca="1">IFERROR(__xludf.DUMMYFUNCTION("""COMPUTED_VALUE"""),"1751768879234")</f>
        <v>1751768879234</v>
      </c>
      <c r="C8602" s="2" t="str">
        <v>0</v>
      </c>
      <c r="F8602" s="2" t="str">
        <v>0</v>
      </c>
      <c r="I8602" s="3" t="str">
        <f ca="1">IFERROR(__xludf.DUMMYFUNCTION("""COMPUTED_VALUE"""),"Nguyễn Hoàng Khánh Ly")</f>
        <v>Nguyễn Hoàng Khánh Ly</v>
      </c>
      <c r="J8602" s="3" t="str">
        <f ca="1">IFERROR(__xludf.DUMMYFUNCTION("""COMPUTED_VALUE"""),"0794460047")</f>
        <v>0794460047</v>
      </c>
      <c r="K8602" s="2" t="str">
        <f ca="1">IFERROR(__xludf.DUMMYFUNCTION("""COMPUTED_VALUE"""),"1751768879234")</f>
        <v>1751768879234</v>
      </c>
    </row>
    <row r="8603" spans="1:11" ht="12.45">
      <c r="A8603" s="2" t="str">
        <f ca="1">IFERROR(__xludf.DUMMYFUNCTION("""COMPUTED_VALUE"""),"1751768912300")</f>
        <v>1751768912300</v>
      </c>
      <c r="C8603" s="2" t="str">
        <v>0</v>
      </c>
      <c r="F8603" s="2" t="str">
        <v>0</v>
      </c>
      <c r="I8603" s="3" t="str">
        <f ca="1">IFERROR(__xludf.DUMMYFUNCTION("""COMPUTED_VALUE"""),"Tống Thị Thanh Tâm")</f>
        <v>Tống Thị Thanh Tâm</v>
      </c>
      <c r="J8603" s="3" t="str">
        <f ca="1">IFERROR(__xludf.DUMMYFUNCTION("""COMPUTED_VALUE"""),"0828485227")</f>
        <v>0828485227</v>
      </c>
      <c r="K8603" s="2" t="str">
        <f ca="1">IFERROR(__xludf.DUMMYFUNCTION("""COMPUTED_VALUE"""),"1751768912300")</f>
        <v>1751768912300</v>
      </c>
    </row>
    <row r="8604" spans="1:11" ht="12.45">
      <c r="A8604" s="2" t="str">
        <f ca="1">IFERROR(__xludf.DUMMYFUNCTION("""COMPUTED_VALUE"""),"1751768941838")</f>
        <v>1751768941838</v>
      </c>
      <c r="C8604" s="2" t="str">
        <v>0</v>
      </c>
      <c r="F8604" s="2" t="str">
        <v>0</v>
      </c>
      <c r="I8604" s="3" t="str">
        <f ca="1">IFERROR(__xludf.DUMMYFUNCTION("""COMPUTED_VALUE"""),"Lường Thị Hương Giang")</f>
        <v>Lường Thị Hương Giang</v>
      </c>
      <c r="J8604" s="3" t="str">
        <f ca="1">IFERROR(__xludf.DUMMYFUNCTION("""COMPUTED_VALUE"""),"0835556880")</f>
        <v>0835556880</v>
      </c>
      <c r="K8604" s="2" t="str">
        <f ca="1">IFERROR(__xludf.DUMMYFUNCTION("""COMPUTED_VALUE"""),"1751768941838")</f>
        <v>1751768941838</v>
      </c>
    </row>
    <row r="8605" spans="1:11" ht="12.45">
      <c r="A8605" s="2"/>
      <c r="C8605" s="2" t="str">
        <v>0</v>
      </c>
      <c r="F8605" s="2" t="str">
        <v>0</v>
      </c>
      <c r="I8605" s="3" t="str">
        <f ca="1">IFERROR(__xludf.DUMMYFUNCTION("""COMPUTED_VALUE"""),"Nguyễn Ngọc Minh Thư ")</f>
        <v xml:space="preserve">Nguyễn Ngọc Minh Thư </v>
      </c>
      <c r="J8605" s="3" t="str">
        <f ca="1">IFERROR(__xludf.DUMMYFUNCTION("""COMPUTED_VALUE"""),"0971043350")</f>
        <v>0971043350</v>
      </c>
      <c r="K8605" s="2"/>
    </row>
    <row r="8606" spans="1:11" ht="12.45">
      <c r="A8606" s="2" t="str">
        <f ca="1">IFERROR(__xludf.DUMMYFUNCTION("""COMPUTED_VALUE"""),"1751768973450")</f>
        <v>1751768973450</v>
      </c>
      <c r="C8606" s="2" t="str">
        <v>0</v>
      </c>
      <c r="F8606" s="2" t="str">
        <v>0</v>
      </c>
      <c r="I8606" s="3" t="str">
        <f ca="1">IFERROR(__xludf.DUMMYFUNCTION("""COMPUTED_VALUE"""),"Nguyễn Thuỳ Linh")</f>
        <v>Nguyễn Thuỳ Linh</v>
      </c>
      <c r="J8606" s="3" t="str">
        <f ca="1">IFERROR(__xludf.DUMMYFUNCTION("""COMPUTED_VALUE"""),"0383758778")</f>
        <v>0383758778</v>
      </c>
      <c r="K8606" s="2" t="str">
        <f ca="1">IFERROR(__xludf.DUMMYFUNCTION("""COMPUTED_VALUE"""),"1751768973450")</f>
        <v>1751768973450</v>
      </c>
    </row>
    <row r="8607" spans="1:11" ht="12.45">
      <c r="A8607" s="2" t="str">
        <f ca="1">IFERROR(__xludf.DUMMYFUNCTION("""COMPUTED_VALUE"""),"1751769026494")</f>
        <v>1751769026494</v>
      </c>
      <c r="C8607" s="2" t="str">
        <v>0</v>
      </c>
      <c r="F8607" s="2" t="str">
        <v>0</v>
      </c>
      <c r="I8607" s="3" t="str">
        <f ca="1">IFERROR(__xludf.DUMMYFUNCTION("""COMPUTED_VALUE"""),"Trương Lê Thanh Mai")</f>
        <v>Trương Lê Thanh Mai</v>
      </c>
      <c r="J8607" s="3" t="str">
        <f ca="1">IFERROR(__xludf.DUMMYFUNCTION("""COMPUTED_VALUE"""),"0847977369")</f>
        <v>0847977369</v>
      </c>
      <c r="K8607" s="2" t="str">
        <f ca="1">IFERROR(__xludf.DUMMYFUNCTION("""COMPUTED_VALUE"""),"1751769026494")</f>
        <v>1751769026494</v>
      </c>
    </row>
    <row r="8608" spans="1:11" ht="12.45">
      <c r="A8608" s="2" t="str">
        <f ca="1">IFERROR(__xludf.DUMMYFUNCTION("""COMPUTED_VALUE"""),"1751769048649")</f>
        <v>1751769048649</v>
      </c>
      <c r="C8608" s="2" t="str">
        <v>0</v>
      </c>
      <c r="F8608" s="2" t="str">
        <v>0</v>
      </c>
      <c r="I8608" s="3" t="str">
        <f ca="1">IFERROR(__xludf.DUMMYFUNCTION("""COMPUTED_VALUE"""),"Hoàng Văn Thảo")</f>
        <v>Hoàng Văn Thảo</v>
      </c>
      <c r="J8608" s="3" t="str">
        <f ca="1">IFERROR(__xludf.DUMMYFUNCTION("""COMPUTED_VALUE"""),"0335980840")</f>
        <v>0335980840</v>
      </c>
      <c r="K8608" s="2" t="str">
        <f ca="1">IFERROR(__xludf.DUMMYFUNCTION("""COMPUTED_VALUE"""),"1751769048649")</f>
        <v>1751769048649</v>
      </c>
    </row>
    <row r="8609" spans="1:11" ht="12.45">
      <c r="A8609" s="2" t="str">
        <f ca="1">IFERROR(__xludf.DUMMYFUNCTION("""COMPUTED_VALUE"""),"1751769073855")</f>
        <v>1751769073855</v>
      </c>
      <c r="C8609" s="2" t="str">
        <v>0</v>
      </c>
      <c r="F8609" s="2" t="str">
        <v>0</v>
      </c>
      <c r="I8609" s="3" t="str">
        <f ca="1">IFERROR(__xludf.DUMMYFUNCTION("""COMPUTED_VALUE"""),"Trần Hoàng Phương Uyên ")</f>
        <v xml:space="preserve">Trần Hoàng Phương Uyên </v>
      </c>
      <c r="J8609" s="3" t="str">
        <f ca="1">IFERROR(__xludf.DUMMYFUNCTION("""COMPUTED_VALUE"""),"0862321034")</f>
        <v>0862321034</v>
      </c>
      <c r="K8609" s="2" t="str">
        <f ca="1">IFERROR(__xludf.DUMMYFUNCTION("""COMPUTED_VALUE"""),"1751769073855")</f>
        <v>1751769073855</v>
      </c>
    </row>
    <row r="8610" spans="1:11" ht="12.45">
      <c r="A8610" s="2" t="str">
        <f ca="1">IFERROR(__xludf.DUMMYFUNCTION("""COMPUTED_VALUE"""),"1751769104640")</f>
        <v>1751769104640</v>
      </c>
      <c r="C8610" s="2" t="str">
        <v>0</v>
      </c>
      <c r="F8610" s="2" t="str">
        <v>0</v>
      </c>
      <c r="I8610" s="3" t="str">
        <f ca="1">IFERROR(__xludf.DUMMYFUNCTION("""COMPUTED_VALUE"""),"Nguyễn Thị Tuyết ")</f>
        <v xml:space="preserve">Nguyễn Thị Tuyết </v>
      </c>
      <c r="J8610" s="3" t="str">
        <f ca="1">IFERROR(__xludf.DUMMYFUNCTION("""COMPUTED_VALUE"""),"0399868498")</f>
        <v>0399868498</v>
      </c>
      <c r="K8610" s="2" t="str">
        <f ca="1">IFERROR(__xludf.DUMMYFUNCTION("""COMPUTED_VALUE"""),"1751769104640")</f>
        <v>1751769104640</v>
      </c>
    </row>
    <row r="8611" spans="1:11" ht="12.45">
      <c r="A8611" s="2" t="str">
        <f ca="1">IFERROR(__xludf.DUMMYFUNCTION("""COMPUTED_VALUE"""),"1751769135778")</f>
        <v>1751769135778</v>
      </c>
      <c r="C8611" s="2" t="str">
        <v>0</v>
      </c>
      <c r="F8611" s="2" t="str">
        <v>0</v>
      </c>
      <c r="I8611" s="3" t="str">
        <f ca="1">IFERROR(__xludf.DUMMYFUNCTION("""COMPUTED_VALUE"""),"Nguyễn Lê Bảo Vy ")</f>
        <v xml:space="preserve">Nguyễn Lê Bảo Vy </v>
      </c>
      <c r="J8611" s="3" t="str">
        <f ca="1">IFERROR(__xludf.DUMMYFUNCTION("""COMPUTED_VALUE"""),"0332557064")</f>
        <v>0332557064</v>
      </c>
      <c r="K8611" s="2" t="str">
        <f ca="1">IFERROR(__xludf.DUMMYFUNCTION("""COMPUTED_VALUE"""),"1751769135778")</f>
        <v>1751769135778</v>
      </c>
    </row>
    <row r="8612" spans="1:11" ht="12.45">
      <c r="A8612" s="2" t="str">
        <f ca="1">IFERROR(__xludf.DUMMYFUNCTION("""COMPUTED_VALUE"""),"1751769176079")</f>
        <v>1751769176079</v>
      </c>
      <c r="C8612" s="2" t="str">
        <v>0</v>
      </c>
      <c r="F8612" s="2" t="str">
        <v>0</v>
      </c>
      <c r="I8612" s="3" t="str">
        <f ca="1">IFERROR(__xludf.DUMMYFUNCTION("""COMPUTED_VALUE"""),"Lâm Thảo Nguyên")</f>
        <v>Lâm Thảo Nguyên</v>
      </c>
      <c r="J8612" s="3" t="str">
        <f ca="1">IFERROR(__xludf.DUMMYFUNCTION("""COMPUTED_VALUE"""),"0862778669")</f>
        <v>0862778669</v>
      </c>
      <c r="K8612" s="2" t="str">
        <f ca="1">IFERROR(__xludf.DUMMYFUNCTION("""COMPUTED_VALUE"""),"1751769176079")</f>
        <v>1751769176079</v>
      </c>
    </row>
    <row r="8613" spans="1:11" ht="12.45">
      <c r="A8613" s="2" t="str">
        <f ca="1">IFERROR(__xludf.DUMMYFUNCTION("""COMPUTED_VALUE"""),"1751769201572")</f>
        <v>1751769201572</v>
      </c>
      <c r="C8613" s="2" t="str">
        <v>0</v>
      </c>
      <c r="F8613" s="2" t="str">
        <v>0</v>
      </c>
      <c r="I8613" s="3" t="str">
        <f ca="1">IFERROR(__xludf.DUMMYFUNCTION("""COMPUTED_VALUE"""),"Nguyễn Hương Giang")</f>
        <v>Nguyễn Hương Giang</v>
      </c>
      <c r="J8613" s="3" t="str">
        <f ca="1">IFERROR(__xludf.DUMMYFUNCTION("""COMPUTED_VALUE"""),"0977393206")</f>
        <v>0977393206</v>
      </c>
      <c r="K8613" s="2" t="str">
        <f ca="1">IFERROR(__xludf.DUMMYFUNCTION("""COMPUTED_VALUE"""),"1751769201572")</f>
        <v>1751769201572</v>
      </c>
    </row>
    <row r="8614" spans="1:11" ht="12.45">
      <c r="A8614" s="2"/>
      <c r="C8614" s="2" t="str">
        <v>0</v>
      </c>
      <c r="F8614" s="2" t="str">
        <v>0</v>
      </c>
      <c r="I8614" s="3" t="str">
        <f ca="1">IFERROR(__xludf.DUMMYFUNCTION("""COMPUTED_VALUE"""),"Lê Hoài Thu")</f>
        <v>Lê Hoài Thu</v>
      </c>
      <c r="J8614" s="3" t="str">
        <f ca="1">IFERROR(__xludf.DUMMYFUNCTION("""COMPUTED_VALUE"""),"0961321507")</f>
        <v>0961321507</v>
      </c>
      <c r="K8614" s="2"/>
    </row>
    <row r="8615" spans="1:11" ht="12.45">
      <c r="A8615" s="2" t="str">
        <f ca="1">IFERROR(__xludf.DUMMYFUNCTION("""COMPUTED_VALUE"""),"1751784655983")</f>
        <v>1751784655983</v>
      </c>
      <c r="C8615" s="2" t="str">
        <v>0</v>
      </c>
      <c r="F8615" s="2" t="str">
        <v>0</v>
      </c>
      <c r="I8615" s="3" t="str">
        <f ca="1">IFERROR(__xludf.DUMMYFUNCTION("""COMPUTED_VALUE"""),"Hoàng Thanh Ngọc")</f>
        <v>Hoàng Thanh Ngọc</v>
      </c>
      <c r="J8615" s="3" t="str">
        <f ca="1">IFERROR(__xludf.DUMMYFUNCTION("""COMPUTED_VALUE"""),"0911512311")</f>
        <v>0911512311</v>
      </c>
      <c r="K8615" s="2" t="str">
        <f ca="1">IFERROR(__xludf.DUMMYFUNCTION("""COMPUTED_VALUE"""),"1751784655983")</f>
        <v>1751784655983</v>
      </c>
    </row>
    <row r="8616" spans="1:11" ht="12.45">
      <c r="A8616" s="2" t="str">
        <f ca="1">IFERROR(__xludf.DUMMYFUNCTION("""COMPUTED_VALUE"""),"1759438902636")</f>
        <v>1759438902636</v>
      </c>
      <c r="C8616" s="2" t="str">
        <v>0</v>
      </c>
      <c r="F8616" s="2" t="str">
        <v>0</v>
      </c>
      <c r="I8616" s="3" t="str">
        <f ca="1">IFERROR(__xludf.DUMMYFUNCTION("""COMPUTED_VALUE"""),"Phạm Hải Yến ")</f>
        <v xml:space="preserve">Phạm Hải Yến </v>
      </c>
      <c r="J8616" s="3" t="str">
        <f ca="1">IFERROR(__xludf.DUMMYFUNCTION("""COMPUTED_VALUE"""),"0337643625")</f>
        <v>0337643625</v>
      </c>
      <c r="K8616" s="2" t="str">
        <f ca="1">IFERROR(__xludf.DUMMYFUNCTION("""COMPUTED_VALUE"""),"1759438902636")</f>
        <v>1759438902636</v>
      </c>
    </row>
    <row r="8617" spans="1:11" ht="12.45">
      <c r="A8617" s="2" t="str">
        <f ca="1">IFERROR(__xludf.DUMMYFUNCTION("""COMPUTED_VALUE"""),"1759438966683")</f>
        <v>1759438966683</v>
      </c>
      <c r="C8617" s="2" t="str">
        <v>0</v>
      </c>
      <c r="F8617" s="2" t="str">
        <v>0</v>
      </c>
      <c r="I8617" s="3" t="str">
        <f ca="1">IFERROR(__xludf.DUMMYFUNCTION("""COMPUTED_VALUE"""),"Hoàng Thị Thanh Bình")</f>
        <v>Hoàng Thị Thanh Bình</v>
      </c>
      <c r="J8617" s="3" t="str">
        <f ca="1">IFERROR(__xludf.DUMMYFUNCTION("""COMPUTED_VALUE"""),"0966713275")</f>
        <v>0966713275</v>
      </c>
      <c r="K8617" s="2" t="str">
        <f ca="1">IFERROR(__xludf.DUMMYFUNCTION("""COMPUTED_VALUE"""),"1759438966683")</f>
        <v>1759438966683</v>
      </c>
    </row>
    <row r="8618" spans="1:11" ht="12.45">
      <c r="A8618" s="2" t="str">
        <f ca="1">IFERROR(__xludf.DUMMYFUNCTION("""COMPUTED_VALUE"""),"1759439016093")</f>
        <v>1759439016093</v>
      </c>
      <c r="C8618" s="2" t="str">
        <v>0</v>
      </c>
      <c r="F8618" s="2" t="str">
        <v>0</v>
      </c>
      <c r="I8618" s="3" t="str">
        <f ca="1">IFERROR(__xludf.DUMMYFUNCTION("""COMPUTED_VALUE"""),"Trần Anh Thư")</f>
        <v>Trần Anh Thư</v>
      </c>
      <c r="J8618" s="3" t="str">
        <f ca="1">IFERROR(__xludf.DUMMYFUNCTION("""COMPUTED_VALUE"""),"0984083169")</f>
        <v>0984083169</v>
      </c>
      <c r="K8618" s="2" t="str">
        <f ca="1">IFERROR(__xludf.DUMMYFUNCTION("""COMPUTED_VALUE"""),"1759439016093")</f>
        <v>1759439016093</v>
      </c>
    </row>
    <row r="8619" spans="1:11" ht="12.45">
      <c r="A8619" s="2" t="str">
        <f ca="1">IFERROR(__xludf.DUMMYFUNCTION("""COMPUTED_VALUE"""),"1759439060699")</f>
        <v>1759439060699</v>
      </c>
      <c r="C8619" s="2" t="str">
        <v>0</v>
      </c>
      <c r="F8619" s="2" t="str">
        <v>0</v>
      </c>
      <c r="I8619" s="3" t="str">
        <f ca="1">IFERROR(__xludf.DUMMYFUNCTION("""COMPUTED_VALUE"""),"lê thị thùy linh")</f>
        <v>lê thị thùy linh</v>
      </c>
      <c r="J8619" s="3" t="str">
        <f ca="1">IFERROR(__xludf.DUMMYFUNCTION("""COMPUTED_VALUE"""),"0328130878")</f>
        <v>0328130878</v>
      </c>
      <c r="K8619" s="2" t="str">
        <f ca="1">IFERROR(__xludf.DUMMYFUNCTION("""COMPUTED_VALUE"""),"1759439060699")</f>
        <v>1759439060699</v>
      </c>
    </row>
    <row r="8620" spans="1:11" ht="12.45">
      <c r="A8620" s="2" t="str">
        <f ca="1">IFERROR(__xludf.DUMMYFUNCTION("""COMPUTED_VALUE"""),"1759439105883")</f>
        <v>1759439105883</v>
      </c>
      <c r="C8620" s="2" t="str">
        <v>0</v>
      </c>
      <c r="F8620" s="2" t="str">
        <v>0</v>
      </c>
      <c r="I8620" s="3" t="str">
        <f ca="1">IFERROR(__xludf.DUMMYFUNCTION("""COMPUTED_VALUE"""),"Đào Duy Ninh")</f>
        <v>Đào Duy Ninh</v>
      </c>
      <c r="J8620" s="3" t="str">
        <f ca="1">IFERROR(__xludf.DUMMYFUNCTION("""COMPUTED_VALUE"""),"0932941419")</f>
        <v>0932941419</v>
      </c>
      <c r="K8620" s="2" t="str">
        <f ca="1">IFERROR(__xludf.DUMMYFUNCTION("""COMPUTED_VALUE"""),"1759439105883")</f>
        <v>1759439105883</v>
      </c>
    </row>
    <row r="8621" spans="1:11" ht="12.45">
      <c r="A8621" s="2" t="str">
        <f ca="1">IFERROR(__xludf.DUMMYFUNCTION("""COMPUTED_VALUE"""),"1759439141384")</f>
        <v>1759439141384</v>
      </c>
      <c r="C8621" s="2" t="str">
        <v>0</v>
      </c>
      <c r="F8621" s="2" t="str">
        <v>0</v>
      </c>
      <c r="I8621" s="3" t="str">
        <f ca="1">IFERROR(__xludf.DUMMYFUNCTION("""COMPUTED_VALUE"""),"Nguyễn Văn Đức")</f>
        <v>Nguyễn Văn Đức</v>
      </c>
      <c r="J8621" s="3" t="str">
        <f ca="1">IFERROR(__xludf.DUMMYFUNCTION("""COMPUTED_VALUE"""),"0815771245")</f>
        <v>0815771245</v>
      </c>
      <c r="K8621" s="2" t="str">
        <f ca="1">IFERROR(__xludf.DUMMYFUNCTION("""COMPUTED_VALUE"""),"1759439141384")</f>
        <v>1759439141384</v>
      </c>
    </row>
    <row r="8622" spans="1:11" ht="12.45">
      <c r="A8622" s="2" t="str">
        <f ca="1">IFERROR(__xludf.DUMMYFUNCTION("""COMPUTED_VALUE"""),"1759439170184")</f>
        <v>1759439170184</v>
      </c>
      <c r="C8622" s="2" t="str">
        <v>0</v>
      </c>
      <c r="F8622" s="2" t="str">
        <v>0</v>
      </c>
      <c r="I8622" s="3" t="str">
        <f ca="1">IFERROR(__xludf.DUMMYFUNCTION("""COMPUTED_VALUE"""),"Tống Hoàng Phúc")</f>
        <v>Tống Hoàng Phúc</v>
      </c>
      <c r="J8622" s="3" t="str">
        <f ca="1">IFERROR(__xludf.DUMMYFUNCTION("""COMPUTED_VALUE"""),"0356201007")</f>
        <v>0356201007</v>
      </c>
      <c r="K8622" s="2" t="str">
        <f ca="1">IFERROR(__xludf.DUMMYFUNCTION("""COMPUTED_VALUE"""),"1759439170184")</f>
        <v>1759439170184</v>
      </c>
    </row>
    <row r="8623" spans="1:11" ht="12.45">
      <c r="A8623" s="2" t="str">
        <f ca="1">IFERROR(__xludf.DUMMYFUNCTION("""COMPUTED_VALUE"""),"1759439212442")</f>
        <v>1759439212442</v>
      </c>
      <c r="C8623" s="2" t="str">
        <v>0</v>
      </c>
      <c r="F8623" s="2" t="str">
        <v>0</v>
      </c>
      <c r="I8623" s="3" t="str">
        <f ca="1">IFERROR(__xludf.DUMMYFUNCTION("""COMPUTED_VALUE"""),"Phạm Hồng Lợi")</f>
        <v>Phạm Hồng Lợi</v>
      </c>
      <c r="J8623" s="3" t="str">
        <f ca="1">IFERROR(__xludf.DUMMYFUNCTION("""COMPUTED_VALUE"""),"0343083035")</f>
        <v>0343083035</v>
      </c>
      <c r="K8623" s="2" t="str">
        <f ca="1">IFERROR(__xludf.DUMMYFUNCTION("""COMPUTED_VALUE"""),"1759439212442")</f>
        <v>1759439212442</v>
      </c>
    </row>
    <row r="8624" spans="1:11" ht="12.45">
      <c r="A8624" s="2" t="str">
        <f ca="1">IFERROR(__xludf.DUMMYFUNCTION("""COMPUTED_VALUE"""),"1759439255145")</f>
        <v>1759439255145</v>
      </c>
      <c r="C8624" s="2" t="str">
        <v>0</v>
      </c>
      <c r="F8624" s="2" t="str">
        <v>0</v>
      </c>
      <c r="I8624" s="3" t="str">
        <f ca="1">IFERROR(__xludf.DUMMYFUNCTION("""COMPUTED_VALUE"""),"Nguyễn Quốc Hòa")</f>
        <v>Nguyễn Quốc Hòa</v>
      </c>
      <c r="J8624" s="3" t="str">
        <f ca="1">IFERROR(__xludf.DUMMYFUNCTION("""COMPUTED_VALUE"""),"0333780804")</f>
        <v>0333780804</v>
      </c>
      <c r="K8624" s="2" t="str">
        <f ca="1">IFERROR(__xludf.DUMMYFUNCTION("""COMPUTED_VALUE"""),"1759439255145")</f>
        <v>1759439255145</v>
      </c>
    </row>
    <row r="8625" spans="1:11" ht="12.45">
      <c r="A8625" s="2" t="str">
        <f ca="1">IFERROR(__xludf.DUMMYFUNCTION("""COMPUTED_VALUE"""),"1759439289366")</f>
        <v>1759439289366</v>
      </c>
      <c r="C8625" s="2" t="str">
        <v>0</v>
      </c>
      <c r="F8625" s="2" t="str">
        <v>0</v>
      </c>
      <c r="I8625" s="3" t="str">
        <f ca="1">IFERROR(__xludf.DUMMYFUNCTION("""COMPUTED_VALUE"""),"Võ Ngọc Hoàn Châu ")</f>
        <v xml:space="preserve">Võ Ngọc Hoàn Châu </v>
      </c>
      <c r="J8625" s="3" t="str">
        <f ca="1">IFERROR(__xludf.DUMMYFUNCTION("""COMPUTED_VALUE"""),"0353201764")</f>
        <v>0353201764</v>
      </c>
      <c r="K8625" s="2" t="str">
        <f ca="1">IFERROR(__xludf.DUMMYFUNCTION("""COMPUTED_VALUE"""),"1759439289366")</f>
        <v>1759439289366</v>
      </c>
    </row>
    <row r="8626" spans="1:11" ht="12.45">
      <c r="A8626" s="2" t="str">
        <f ca="1">IFERROR(__xludf.DUMMYFUNCTION("""COMPUTED_VALUE"""),"1759439334673")</f>
        <v>1759439334673</v>
      </c>
      <c r="C8626" s="2" t="str">
        <v>0</v>
      </c>
      <c r="F8626" s="2" t="str">
        <v>0</v>
      </c>
      <c r="I8626" s="3" t="str">
        <f ca="1">IFERROR(__xludf.DUMMYFUNCTION("""COMPUTED_VALUE"""),"Võ Lê Thanh Hậu ")</f>
        <v xml:space="preserve">Võ Lê Thanh Hậu </v>
      </c>
      <c r="J8626" s="3" t="str">
        <f ca="1">IFERROR(__xludf.DUMMYFUNCTION("""COMPUTED_VALUE"""),"0934908743")</f>
        <v>0934908743</v>
      </c>
      <c r="K8626" s="2" t="str">
        <f ca="1">IFERROR(__xludf.DUMMYFUNCTION("""COMPUTED_VALUE"""),"1759439334673")</f>
        <v>1759439334673</v>
      </c>
    </row>
    <row r="8627" spans="1:11" ht="12.45">
      <c r="A8627" s="2" t="str">
        <f ca="1">IFERROR(__xludf.DUMMYFUNCTION("""COMPUTED_VALUE"""),"1759439370102")</f>
        <v>1759439370102</v>
      </c>
      <c r="C8627" s="2" t="str">
        <v>0</v>
      </c>
      <c r="F8627" s="2" t="str">
        <v>0</v>
      </c>
      <c r="I8627" s="3" t="str">
        <f ca="1">IFERROR(__xludf.DUMMYFUNCTION("""COMPUTED_VALUE"""),"Trần Thanh Hằng")</f>
        <v>Trần Thanh Hằng</v>
      </c>
      <c r="J8627" s="3" t="str">
        <f ca="1">IFERROR(__xludf.DUMMYFUNCTION("""COMPUTED_VALUE"""),"0357753418")</f>
        <v>0357753418</v>
      </c>
      <c r="K8627" s="2" t="str">
        <f ca="1">IFERROR(__xludf.DUMMYFUNCTION("""COMPUTED_VALUE"""),"1759439370102")</f>
        <v>1759439370102</v>
      </c>
    </row>
    <row r="8628" spans="1:11" ht="12.45">
      <c r="A8628" s="2"/>
      <c r="C8628" s="2" t="str">
        <v>0</v>
      </c>
      <c r="F8628" s="2" t="str">
        <v>0</v>
      </c>
      <c r="I8628" s="3" t="str">
        <f ca="1">IFERROR(__xludf.DUMMYFUNCTION("""COMPUTED_VALUE"""),"Phạm Thị Hạ Vy")</f>
        <v>Phạm Thị Hạ Vy</v>
      </c>
      <c r="J8628" s="3" t="str">
        <f ca="1">IFERROR(__xludf.DUMMYFUNCTION("""COMPUTED_VALUE"""),"0337330234")</f>
        <v>0337330234</v>
      </c>
      <c r="K8628" s="2"/>
    </row>
    <row r="8629" spans="1:11" ht="12.45">
      <c r="A8629" s="2" t="str">
        <f ca="1">IFERROR(__xludf.DUMMYFUNCTION("""COMPUTED_VALUE"""),"1759439389647")</f>
        <v>1759439389647</v>
      </c>
      <c r="C8629" s="2" t="str">
        <v>0</v>
      </c>
      <c r="F8629" s="2" t="str">
        <v>0</v>
      </c>
      <c r="I8629" s="3" t="str">
        <f ca="1">IFERROR(__xludf.DUMMYFUNCTION("""COMPUTED_VALUE"""),"Nguyễn Duy Tiến")</f>
        <v>Nguyễn Duy Tiến</v>
      </c>
      <c r="J8629" s="3" t="str">
        <f ca="1">IFERROR(__xludf.DUMMYFUNCTION("""COMPUTED_VALUE"""),"0358317909")</f>
        <v>0358317909</v>
      </c>
      <c r="K8629" s="2" t="str">
        <f ca="1">IFERROR(__xludf.DUMMYFUNCTION("""COMPUTED_VALUE"""),"1759439389647")</f>
        <v>1759439389647</v>
      </c>
    </row>
    <row r="8630" spans="1:11" ht="12.45">
      <c r="A8630" s="2" t="str">
        <f ca="1">IFERROR(__xludf.DUMMYFUNCTION("""COMPUTED_VALUE"""),"1759439429533")</f>
        <v>1759439429533</v>
      </c>
      <c r="C8630" s="2" t="str">
        <v>0</v>
      </c>
      <c r="F8630" s="2" t="str">
        <v>0</v>
      </c>
      <c r="I8630" s="3" t="str">
        <f ca="1">IFERROR(__xludf.DUMMYFUNCTION("""COMPUTED_VALUE"""),"Lê Thanh Thục")</f>
        <v>Lê Thanh Thục</v>
      </c>
      <c r="J8630" s="3" t="str">
        <f ca="1">IFERROR(__xludf.DUMMYFUNCTION("""COMPUTED_VALUE"""),"0356607242")</f>
        <v>0356607242</v>
      </c>
      <c r="K8630" s="2" t="str">
        <f ca="1">IFERROR(__xludf.DUMMYFUNCTION("""COMPUTED_VALUE"""),"1759439429533")</f>
        <v>1759439429533</v>
      </c>
    </row>
    <row r="8631" spans="1:11" ht="12.45">
      <c r="A8631" s="2" t="str">
        <f ca="1">IFERROR(__xludf.DUMMYFUNCTION("""COMPUTED_VALUE"""),"1759439469383")</f>
        <v>1759439469383</v>
      </c>
      <c r="C8631" s="2" t="str">
        <v>0</v>
      </c>
      <c r="F8631" s="2" t="str">
        <v>0</v>
      </c>
      <c r="I8631" s="3" t="str">
        <f ca="1">IFERROR(__xludf.DUMMYFUNCTION("""COMPUTED_VALUE"""),"Nguyễn Tiến Thành")</f>
        <v>Nguyễn Tiến Thành</v>
      </c>
      <c r="J8631" s="3" t="str">
        <f ca="1">IFERROR(__xludf.DUMMYFUNCTION("""COMPUTED_VALUE"""),"0786873294")</f>
        <v>0786873294</v>
      </c>
      <c r="K8631" s="2" t="str">
        <f ca="1">IFERROR(__xludf.DUMMYFUNCTION("""COMPUTED_VALUE"""),"1759439469383")</f>
        <v>1759439469383</v>
      </c>
    </row>
    <row r="8632" spans="1:11" ht="12.45">
      <c r="A8632" s="2" t="str">
        <f ca="1">IFERROR(__xludf.DUMMYFUNCTION("""COMPUTED_VALUE"""),"1759439520176")</f>
        <v>1759439520176</v>
      </c>
      <c r="C8632" s="2" t="str">
        <v>0</v>
      </c>
      <c r="F8632" s="2" t="str">
        <v>0</v>
      </c>
      <c r="I8632" s="3" t="str">
        <f ca="1">IFERROR(__xludf.DUMMYFUNCTION("""COMPUTED_VALUE"""),"Chu Đức Hoàng ")</f>
        <v xml:space="preserve">Chu Đức Hoàng </v>
      </c>
      <c r="J8632" s="3" t="str">
        <f ca="1">IFERROR(__xludf.DUMMYFUNCTION("""COMPUTED_VALUE"""),"0584245999")</f>
        <v>0584245999</v>
      </c>
      <c r="K8632" s="2" t="str">
        <f ca="1">IFERROR(__xludf.DUMMYFUNCTION("""COMPUTED_VALUE"""),"1759439520176")</f>
        <v>1759439520176</v>
      </c>
    </row>
    <row r="8633" spans="1:11" ht="12.45">
      <c r="A8633" s="2"/>
      <c r="C8633" s="2" t="str">
        <v>0</v>
      </c>
      <c r="F8633" s="2" t="str">
        <v>0</v>
      </c>
      <c r="I8633" s="3" t="str">
        <f ca="1">IFERROR(__xludf.DUMMYFUNCTION("""COMPUTED_VALUE"""),"Ngô Thẩm Hoàng Vinh ")</f>
        <v xml:space="preserve">Ngô Thẩm Hoàng Vinh </v>
      </c>
      <c r="J8633" s="3" t="str">
        <f ca="1">IFERROR(__xludf.DUMMYFUNCTION("""COMPUTED_VALUE"""),"0365238868")</f>
        <v>0365238868</v>
      </c>
      <c r="K8633" s="2"/>
    </row>
    <row r="8634" spans="1:11" ht="12.45">
      <c r="A8634" s="2"/>
      <c r="C8634" s="2" t="str">
        <v>0</v>
      </c>
      <c r="F8634" s="2" t="str">
        <v>0</v>
      </c>
      <c r="I8634" s="3" t="str">
        <f ca="1">IFERROR(__xludf.DUMMYFUNCTION("""COMPUTED_VALUE"""),"Phạm Thuỳ Linh")</f>
        <v>Phạm Thuỳ Linh</v>
      </c>
      <c r="J8634" s="3" t="str">
        <f ca="1">IFERROR(__xludf.DUMMYFUNCTION("""COMPUTED_VALUE"""),"0326154999")</f>
        <v>0326154999</v>
      </c>
      <c r="K8634" s="2"/>
    </row>
    <row r="8635" spans="1:11" ht="12.45">
      <c r="A8635" s="2" t="str">
        <f ca="1">IFERROR(__xludf.DUMMYFUNCTION("""COMPUTED_VALUE"""),"1759439557617")</f>
        <v>1759439557617</v>
      </c>
      <c r="C8635" s="2" t="str">
        <v>0</v>
      </c>
      <c r="F8635" s="2" t="str">
        <v>0</v>
      </c>
      <c r="I8635" s="3" t="str">
        <f ca="1">IFERROR(__xludf.DUMMYFUNCTION("""COMPUTED_VALUE"""),"Hà Thu Hằng")</f>
        <v>Hà Thu Hằng</v>
      </c>
      <c r="J8635" s="3" t="str">
        <f ca="1">IFERROR(__xludf.DUMMYFUNCTION("""COMPUTED_VALUE"""),"0876283578")</f>
        <v>0876283578</v>
      </c>
      <c r="K8635" s="2" t="str">
        <f ca="1">IFERROR(__xludf.DUMMYFUNCTION("""COMPUTED_VALUE"""),"1759439557617")</f>
        <v>1759439557617</v>
      </c>
    </row>
    <row r="8636" spans="1:11" ht="12.45">
      <c r="A8636" s="2" t="str">
        <f ca="1">IFERROR(__xludf.DUMMYFUNCTION("""COMPUTED_VALUE"""),"1759439624016")</f>
        <v>1759439624016</v>
      </c>
      <c r="C8636" s="2" t="str">
        <v>0</v>
      </c>
      <c r="F8636" s="2" t="str">
        <v>0</v>
      </c>
      <c r="I8636" s="3" t="str">
        <f ca="1">IFERROR(__xludf.DUMMYFUNCTION("""COMPUTED_VALUE"""),"NGUYỄN CÔNG HỒNG")</f>
        <v>NGUYỄN CÔNG HỒNG</v>
      </c>
      <c r="J8636" s="3" t="str">
        <f ca="1">IFERROR(__xludf.DUMMYFUNCTION("""COMPUTED_VALUE"""),"0346231347")</f>
        <v>0346231347</v>
      </c>
      <c r="K8636" s="2" t="str">
        <f ca="1">IFERROR(__xludf.DUMMYFUNCTION("""COMPUTED_VALUE"""),"1759439624016")</f>
        <v>1759439624016</v>
      </c>
    </row>
    <row r="8637" spans="1:11" ht="12.45">
      <c r="A8637" s="2" t="str">
        <f ca="1">IFERROR(__xludf.DUMMYFUNCTION("""COMPUTED_VALUE"""),"1759439653750")</f>
        <v>1759439653750</v>
      </c>
      <c r="C8637" s="2" t="str">
        <v>0</v>
      </c>
      <c r="F8637" s="2" t="str">
        <v>0</v>
      </c>
      <c r="I8637" s="3" t="str">
        <f ca="1">IFERROR(__xludf.DUMMYFUNCTION("""COMPUTED_VALUE"""),"Đỗ Ngọc")</f>
        <v>Đỗ Ngọc</v>
      </c>
      <c r="J8637" s="3" t="str">
        <f ca="1">IFERROR(__xludf.DUMMYFUNCTION("""COMPUTED_VALUE"""),"0336760833")</f>
        <v>0336760833</v>
      </c>
      <c r="K8637" s="2" t="str">
        <f ca="1">IFERROR(__xludf.DUMMYFUNCTION("""COMPUTED_VALUE"""),"1759439653750")</f>
        <v>1759439653750</v>
      </c>
    </row>
    <row r="8638" spans="1:11" ht="12.45">
      <c r="A8638" s="2" t="str">
        <f ca="1">IFERROR(__xludf.DUMMYFUNCTION("""COMPUTED_VALUE"""),"1759439694962")</f>
        <v>1759439694962</v>
      </c>
      <c r="C8638" s="2" t="str">
        <v>0</v>
      </c>
      <c r="F8638" s="2" t="str">
        <v>0</v>
      </c>
      <c r="I8638" s="3" t="str">
        <f ca="1">IFERROR(__xludf.DUMMYFUNCTION("""COMPUTED_VALUE"""),"Hoàng Thị Minh Ngọc")</f>
        <v>Hoàng Thị Minh Ngọc</v>
      </c>
      <c r="J8638" s="3" t="str">
        <f ca="1">IFERROR(__xludf.DUMMYFUNCTION("""COMPUTED_VALUE"""),"0345646339")</f>
        <v>0345646339</v>
      </c>
      <c r="K8638" s="2" t="str">
        <f ca="1">IFERROR(__xludf.DUMMYFUNCTION("""COMPUTED_VALUE"""),"1759439694962")</f>
        <v>1759439694962</v>
      </c>
    </row>
    <row r="8639" spans="1:11" ht="12.45">
      <c r="A8639" s="2" t="str">
        <f ca="1">IFERROR(__xludf.DUMMYFUNCTION("""COMPUTED_VALUE"""),"1759439721782")</f>
        <v>1759439721782</v>
      </c>
      <c r="C8639" s="2" t="str">
        <v>0</v>
      </c>
      <c r="F8639" s="2" t="str">
        <v>0</v>
      </c>
      <c r="I8639" s="3" t="str">
        <f ca="1">IFERROR(__xludf.DUMMYFUNCTION("""COMPUTED_VALUE"""),"Dương Ngọc Huyền")</f>
        <v>Dương Ngọc Huyền</v>
      </c>
      <c r="J8639" s="3" t="str">
        <f ca="1">IFERROR(__xludf.DUMMYFUNCTION("""COMPUTED_VALUE"""),"0369731002")</f>
        <v>0369731002</v>
      </c>
      <c r="K8639" s="2" t="str">
        <f ca="1">IFERROR(__xludf.DUMMYFUNCTION("""COMPUTED_VALUE"""),"1759439721782")</f>
        <v>1759439721782</v>
      </c>
    </row>
    <row r="8640" spans="1:11" ht="12.45">
      <c r="A8640" s="2" t="str">
        <f ca="1">IFERROR(__xludf.DUMMYFUNCTION("""COMPUTED_VALUE"""),"1759439777204")</f>
        <v>1759439777204</v>
      </c>
      <c r="C8640" s="2" t="str">
        <v>0</v>
      </c>
      <c r="F8640" s="2" t="str">
        <v>0</v>
      </c>
      <c r="I8640" s="3" t="str">
        <f ca="1">IFERROR(__xludf.DUMMYFUNCTION("""COMPUTED_VALUE"""),"Nguyễn Tân Khả Vy ")</f>
        <v xml:space="preserve">Nguyễn Tân Khả Vy </v>
      </c>
      <c r="J8640" s="3" t="str">
        <f ca="1">IFERROR(__xludf.DUMMYFUNCTION("""COMPUTED_VALUE"""),"0783676598")</f>
        <v>0783676598</v>
      </c>
      <c r="K8640" s="2" t="str">
        <f ca="1">IFERROR(__xludf.DUMMYFUNCTION("""COMPUTED_VALUE"""),"1759439777204")</f>
        <v>1759439777204</v>
      </c>
    </row>
    <row r="8641" spans="1:11" ht="12.45">
      <c r="A8641" s="2" t="str">
        <f ca="1">IFERROR(__xludf.DUMMYFUNCTION("""COMPUTED_VALUE"""),"1759439811725")</f>
        <v>1759439811725</v>
      </c>
      <c r="C8641" s="2" t="str">
        <v>0</v>
      </c>
      <c r="F8641" s="2" t="str">
        <v>0</v>
      </c>
      <c r="I8641" s="3" t="str">
        <f ca="1">IFERROR(__xludf.DUMMYFUNCTION("""COMPUTED_VALUE"""),"Lê Nguyễn Bảo Anh")</f>
        <v>Lê Nguyễn Bảo Anh</v>
      </c>
      <c r="J8641" s="3" t="str">
        <f ca="1">IFERROR(__xludf.DUMMYFUNCTION("""COMPUTED_VALUE"""),"0373461455")</f>
        <v>0373461455</v>
      </c>
      <c r="K8641" s="2" t="str">
        <f ca="1">IFERROR(__xludf.DUMMYFUNCTION("""COMPUTED_VALUE"""),"1759439811725")</f>
        <v>1759439811725</v>
      </c>
    </row>
    <row r="8642" spans="1:11" ht="12.45">
      <c r="A8642" s="2" t="str">
        <f ca="1">IFERROR(__xludf.DUMMYFUNCTION("""COMPUTED_VALUE"""),"1759439837413")</f>
        <v>1759439837413</v>
      </c>
      <c r="C8642" s="2" t="str">
        <v>0</v>
      </c>
      <c r="F8642" s="2" t="str">
        <v>0</v>
      </c>
      <c r="I8642" s="3" t="str">
        <f ca="1">IFERROR(__xludf.DUMMYFUNCTION("""COMPUTED_VALUE"""),"Bùi Thu Phương ")</f>
        <v xml:space="preserve">Bùi Thu Phương </v>
      </c>
      <c r="J8642" s="3" t="str">
        <f ca="1">IFERROR(__xludf.DUMMYFUNCTION("""COMPUTED_VALUE"""),"0986591169")</f>
        <v>0986591169</v>
      </c>
      <c r="K8642" s="2" t="str">
        <f ca="1">IFERROR(__xludf.DUMMYFUNCTION("""COMPUTED_VALUE"""),"1759439837413")</f>
        <v>1759439837413</v>
      </c>
    </row>
    <row r="8643" spans="1:11" ht="12.45">
      <c r="A8643" s="2" t="str">
        <f ca="1">IFERROR(__xludf.DUMMYFUNCTION("""COMPUTED_VALUE"""),"1759439865823")</f>
        <v>1759439865823</v>
      </c>
      <c r="C8643" s="2" t="str">
        <v>0</v>
      </c>
      <c r="F8643" s="2" t="str">
        <v>0</v>
      </c>
      <c r="I8643" s="3" t="str">
        <f ca="1">IFERROR(__xludf.DUMMYFUNCTION("""COMPUTED_VALUE"""),"Nguyễn Trung Đức ")</f>
        <v xml:space="preserve">Nguyễn Trung Đức </v>
      </c>
      <c r="J8643" s="3" t="str">
        <f ca="1">IFERROR(__xludf.DUMMYFUNCTION("""COMPUTED_VALUE"""),"0339562994")</f>
        <v>0339562994</v>
      </c>
      <c r="K8643" s="2" t="str">
        <f ca="1">IFERROR(__xludf.DUMMYFUNCTION("""COMPUTED_VALUE"""),"1759439865823")</f>
        <v>1759439865823</v>
      </c>
    </row>
    <row r="8644" spans="1:11" ht="12.45">
      <c r="A8644" s="2" t="str">
        <f ca="1">IFERROR(__xludf.DUMMYFUNCTION("""COMPUTED_VALUE"""),"1759439897336")</f>
        <v>1759439897336</v>
      </c>
      <c r="C8644" s="2" t="str">
        <v>0</v>
      </c>
      <c r="F8644" s="2" t="str">
        <v>0</v>
      </c>
      <c r="I8644" s="3" t="str">
        <f ca="1">IFERROR(__xludf.DUMMYFUNCTION("""COMPUTED_VALUE"""),"Bùi Tuấn Sơn ")</f>
        <v xml:space="preserve">Bùi Tuấn Sơn </v>
      </c>
      <c r="J8644" s="3" t="str">
        <f ca="1">IFERROR(__xludf.DUMMYFUNCTION("""COMPUTED_VALUE"""),"0865151478")</f>
        <v>0865151478</v>
      </c>
      <c r="K8644" s="2" t="str">
        <f ca="1">IFERROR(__xludf.DUMMYFUNCTION("""COMPUTED_VALUE"""),"1759439897336")</f>
        <v>1759439897336</v>
      </c>
    </row>
    <row r="8645" spans="1:11" ht="12.45">
      <c r="A8645" s="2" t="str">
        <f ca="1">IFERROR(__xludf.DUMMYFUNCTION("""COMPUTED_VALUE"""),"1759439925736")</f>
        <v>1759439925736</v>
      </c>
      <c r="C8645" s="2" t="str">
        <v>0</v>
      </c>
      <c r="F8645" s="2" t="str">
        <v>0</v>
      </c>
      <c r="I8645" s="3" t="str">
        <f ca="1">IFERROR(__xludf.DUMMYFUNCTION("""COMPUTED_VALUE"""),"Bùi Thị Tuyết Dung ")</f>
        <v xml:space="preserve">Bùi Thị Tuyết Dung </v>
      </c>
      <c r="J8645" s="3" t="str">
        <f ca="1">IFERROR(__xludf.DUMMYFUNCTION("""COMPUTED_VALUE"""),"0334200650")</f>
        <v>0334200650</v>
      </c>
      <c r="K8645" s="2" t="str">
        <f ca="1">IFERROR(__xludf.DUMMYFUNCTION("""COMPUTED_VALUE"""),"1759439925736")</f>
        <v>1759439925736</v>
      </c>
    </row>
    <row r="8646" spans="1:11" ht="12.45">
      <c r="A8646" s="2"/>
      <c r="C8646" s="2" t="str">
        <v>0</v>
      </c>
      <c r="F8646" s="2" t="str">
        <v>0</v>
      </c>
      <c r="I8646" s="3" t="str">
        <f ca="1">IFERROR(__xludf.DUMMYFUNCTION("""COMPUTED_VALUE"""),"Vi Vy")</f>
        <v>Vi Vy</v>
      </c>
      <c r="J8646" s="3" t="str">
        <f ca="1">IFERROR(__xludf.DUMMYFUNCTION("""COMPUTED_VALUE"""),"0846546662")</f>
        <v>0846546662</v>
      </c>
      <c r="K8646" s="2"/>
    </row>
    <row r="8647" spans="1:11" ht="12.45">
      <c r="A8647" s="2" t="str">
        <f ca="1">IFERROR(__xludf.DUMMYFUNCTION("""COMPUTED_VALUE"""),"1759439952561")</f>
        <v>1759439952561</v>
      </c>
      <c r="C8647" s="2" t="str">
        <v>0</v>
      </c>
      <c r="F8647" s="2" t="str">
        <v>0</v>
      </c>
      <c r="I8647" s="3" t="str">
        <f ca="1">IFERROR(__xludf.DUMMYFUNCTION("""COMPUTED_VALUE"""),"Lê Thuý Anh")</f>
        <v>Lê Thuý Anh</v>
      </c>
      <c r="J8647" s="3" t="str">
        <f ca="1">IFERROR(__xludf.DUMMYFUNCTION("""COMPUTED_VALUE"""),"0395391636")</f>
        <v>0395391636</v>
      </c>
      <c r="K8647" s="2" t="str">
        <f ca="1">IFERROR(__xludf.DUMMYFUNCTION("""COMPUTED_VALUE"""),"1759439952561")</f>
        <v>1759439952561</v>
      </c>
    </row>
    <row r="8648" spans="1:11" ht="12.45">
      <c r="A8648" s="2" t="str">
        <f ca="1">IFERROR(__xludf.DUMMYFUNCTION("""COMPUTED_VALUE"""),"1759439977996")</f>
        <v>1759439977996</v>
      </c>
      <c r="C8648" s="2" t="str">
        <v>0</v>
      </c>
      <c r="F8648" s="2" t="str">
        <v>0</v>
      </c>
      <c r="I8648" s="3" t="str">
        <f ca="1">IFERROR(__xludf.DUMMYFUNCTION("""COMPUTED_VALUE"""),"Trần Thị Vân Khánh")</f>
        <v>Trần Thị Vân Khánh</v>
      </c>
      <c r="J8648" s="3" t="str">
        <f ca="1">IFERROR(__xludf.DUMMYFUNCTION("""COMPUTED_VALUE"""),"0918002456")</f>
        <v>0918002456</v>
      </c>
      <c r="K8648" s="2" t="str">
        <f ca="1">IFERROR(__xludf.DUMMYFUNCTION("""COMPUTED_VALUE"""),"1759439977996")</f>
        <v>1759439977996</v>
      </c>
    </row>
    <row r="8649" spans="1:11" ht="12.45">
      <c r="A8649" s="2" t="str">
        <f ca="1">IFERROR(__xludf.DUMMYFUNCTION("""COMPUTED_VALUE"""),"1759440018621")</f>
        <v>1759440018621</v>
      </c>
      <c r="C8649" s="2" t="str">
        <v>0</v>
      </c>
      <c r="F8649" s="2" t="str">
        <v>0</v>
      </c>
      <c r="I8649" s="3" t="str">
        <f ca="1">IFERROR(__xludf.DUMMYFUNCTION("""COMPUTED_VALUE"""),"Phạm Thị Thu Thủy")</f>
        <v>Phạm Thị Thu Thủy</v>
      </c>
      <c r="J8649" s="3" t="str">
        <f ca="1">IFERROR(__xludf.DUMMYFUNCTION("""COMPUTED_VALUE"""),"0836650504")</f>
        <v>0836650504</v>
      </c>
      <c r="K8649" s="2" t="str">
        <f ca="1">IFERROR(__xludf.DUMMYFUNCTION("""COMPUTED_VALUE"""),"1759440018621")</f>
        <v>1759440018621</v>
      </c>
    </row>
    <row r="8650" spans="1:11" ht="12.45">
      <c r="A8650" s="2" t="str">
        <f ca="1">IFERROR(__xludf.DUMMYFUNCTION("""COMPUTED_VALUE"""),"1759440067957")</f>
        <v>1759440067957</v>
      </c>
      <c r="C8650" s="2" t="str">
        <v>0</v>
      </c>
      <c r="F8650" s="2" t="str">
        <v>0</v>
      </c>
      <c r="I8650" s="3" t="str">
        <f ca="1">IFERROR(__xludf.DUMMYFUNCTION("""COMPUTED_VALUE"""),"Phan Bằng Lăng")</f>
        <v>Phan Bằng Lăng</v>
      </c>
      <c r="J8650" s="3" t="str">
        <f ca="1">IFERROR(__xludf.DUMMYFUNCTION("""COMPUTED_VALUE"""),"0387382619")</f>
        <v>0387382619</v>
      </c>
      <c r="K8650" s="2" t="str">
        <f ca="1">IFERROR(__xludf.DUMMYFUNCTION("""COMPUTED_VALUE"""),"1759440067957")</f>
        <v>1759440067957</v>
      </c>
    </row>
    <row r="8651" spans="1:11" ht="12.45">
      <c r="A8651" s="2" t="str">
        <f ca="1">IFERROR(__xludf.DUMMYFUNCTION("""COMPUTED_VALUE"""),"1759440111646")</f>
        <v>1759440111646</v>
      </c>
      <c r="C8651" s="2" t="str">
        <v>0</v>
      </c>
      <c r="F8651" s="2" t="str">
        <v>0</v>
      </c>
      <c r="I8651" s="3" t="str">
        <f ca="1">IFERROR(__xludf.DUMMYFUNCTION("""COMPUTED_VALUE"""),"Tòng Đức Duy")</f>
        <v>Tòng Đức Duy</v>
      </c>
      <c r="J8651" s="3" t="str">
        <f ca="1">IFERROR(__xludf.DUMMYFUNCTION("""COMPUTED_VALUE"""),"0859314333")</f>
        <v>0859314333</v>
      </c>
      <c r="K8651" s="2" t="str">
        <f ca="1">IFERROR(__xludf.DUMMYFUNCTION("""COMPUTED_VALUE"""),"1759440111646")</f>
        <v>1759440111646</v>
      </c>
    </row>
    <row r="8652" spans="1:11" ht="12.45">
      <c r="A8652" s="2" t="str">
        <f ca="1">IFERROR(__xludf.DUMMYFUNCTION("""COMPUTED_VALUE"""),"1759440147720")</f>
        <v>1759440147720</v>
      </c>
      <c r="C8652" s="2" t="str">
        <v>0</v>
      </c>
      <c r="F8652" s="2" t="str">
        <v>0</v>
      </c>
      <c r="I8652" s="3" t="str">
        <f ca="1">IFERROR(__xludf.DUMMYFUNCTION("""COMPUTED_VALUE"""),"Trần Hoàng Giang")</f>
        <v>Trần Hoàng Giang</v>
      </c>
      <c r="J8652" s="3" t="str">
        <f ca="1">IFERROR(__xludf.DUMMYFUNCTION("""COMPUTED_VALUE"""),"0971262181")</f>
        <v>0971262181</v>
      </c>
      <c r="K8652" s="2" t="str">
        <f ca="1">IFERROR(__xludf.DUMMYFUNCTION("""COMPUTED_VALUE"""),"1759440147720")</f>
        <v>1759440147720</v>
      </c>
    </row>
    <row r="8653" spans="1:11" ht="12.45">
      <c r="A8653" s="2" t="str">
        <f ca="1">IFERROR(__xludf.DUMMYFUNCTION("""COMPUTED_VALUE"""),"1759440180617")</f>
        <v>1759440180617</v>
      </c>
      <c r="C8653" s="2" t="str">
        <v>0</v>
      </c>
      <c r="F8653" s="2" t="str">
        <v>0</v>
      </c>
      <c r="I8653" s="3" t="str">
        <f ca="1">IFERROR(__xludf.DUMMYFUNCTION("""COMPUTED_VALUE"""),"Minh Loan")</f>
        <v>Minh Loan</v>
      </c>
      <c r="J8653" s="3" t="str">
        <f ca="1">IFERROR(__xludf.DUMMYFUNCTION("""COMPUTED_VALUE"""),"0344510775")</f>
        <v>0344510775</v>
      </c>
      <c r="K8653" s="2" t="str">
        <f ca="1">IFERROR(__xludf.DUMMYFUNCTION("""COMPUTED_VALUE"""),"1759440180617")</f>
        <v>1759440180617</v>
      </c>
    </row>
    <row r="8654" spans="1:11" ht="12.45">
      <c r="A8654" s="2" t="str">
        <f ca="1">IFERROR(__xludf.DUMMYFUNCTION("""COMPUTED_VALUE"""),"1775117992563")</f>
        <v>1775117992563</v>
      </c>
      <c r="C8654" s="2" t="str">
        <v>0</v>
      </c>
      <c r="F8654" s="2" t="str">
        <v>0</v>
      </c>
      <c r="I8654" s="3" t="str">
        <f ca="1">IFERROR(__xludf.DUMMYFUNCTION("""COMPUTED_VALUE"""),"NGUYỄN THANH TÌNH")</f>
        <v>NGUYỄN THANH TÌNH</v>
      </c>
      <c r="J8654" s="3" t="str">
        <f ca="1">IFERROR(__xludf.DUMMYFUNCTION("""COMPUTED_VALUE"""),"0365670571")</f>
        <v>0365670571</v>
      </c>
      <c r="K8654" s="2" t="str">
        <f ca="1">IFERROR(__xludf.DUMMYFUNCTION("""COMPUTED_VALUE"""),"1775117992563")</f>
        <v>1775117992563</v>
      </c>
    </row>
    <row r="8655" spans="1:11" ht="12.45">
      <c r="A8655" s="2" t="str">
        <f ca="1">IFERROR(__xludf.DUMMYFUNCTION("""COMPUTED_VALUE"""),"1775118027774")</f>
        <v>1775118027774</v>
      </c>
      <c r="C8655" s="2" t="str">
        <v>0</v>
      </c>
      <c r="F8655" s="2" t="str">
        <v>0</v>
      </c>
      <c r="I8655" s="3" t="str">
        <f ca="1">IFERROR(__xludf.DUMMYFUNCTION("""COMPUTED_VALUE"""),"Khâu Ngọc Quỳnh")</f>
        <v>Khâu Ngọc Quỳnh</v>
      </c>
      <c r="J8655" s="3" t="str">
        <f ca="1">IFERROR(__xludf.DUMMYFUNCTION("""COMPUTED_VALUE"""),"0888202907")</f>
        <v>0888202907</v>
      </c>
      <c r="K8655" s="2" t="str">
        <f ca="1">IFERROR(__xludf.DUMMYFUNCTION("""COMPUTED_VALUE"""),"1775118027774")</f>
        <v>1775118027774</v>
      </c>
    </row>
    <row r="8656" spans="1:11" ht="12.45">
      <c r="A8656" s="2" t="str">
        <f ca="1">IFERROR(__xludf.DUMMYFUNCTION("""COMPUTED_VALUE"""),"1775167682491")</f>
        <v>1775167682491</v>
      </c>
      <c r="C8656" s="2" t="str">
        <v>0</v>
      </c>
      <c r="F8656" s="2" t="str">
        <v>0</v>
      </c>
      <c r="I8656" s="3" t="str">
        <f ca="1">IFERROR(__xludf.DUMMYFUNCTION("""COMPUTED_VALUE"""),"Ma Quỳnh Nga")</f>
        <v>Ma Quỳnh Nga</v>
      </c>
      <c r="J8656" s="3" t="str">
        <f ca="1">IFERROR(__xludf.DUMMYFUNCTION("""COMPUTED_VALUE"""),"0968590389")</f>
        <v>0968590389</v>
      </c>
      <c r="K8656" s="2" t="str">
        <f ca="1">IFERROR(__xludf.DUMMYFUNCTION("""COMPUTED_VALUE"""),"1775167682491")</f>
        <v>1775167682491</v>
      </c>
    </row>
    <row r="8657" spans="1:11" ht="12.45">
      <c r="A8657" s="2" t="str">
        <f ca="1">IFERROR(__xludf.DUMMYFUNCTION("""COMPUTED_VALUE"""),"1775118096329")</f>
        <v>1775118096329</v>
      </c>
      <c r="C8657" s="2" t="str">
        <v>0</v>
      </c>
      <c r="F8657" s="2" t="str">
        <v>0</v>
      </c>
      <c r="I8657" s="3" t="str">
        <f ca="1">IFERROR(__xludf.DUMMYFUNCTION("""COMPUTED_VALUE"""),"Phạm Thị Ngọc Anh ")</f>
        <v xml:space="preserve">Phạm Thị Ngọc Anh </v>
      </c>
      <c r="J8657" s="3" t="str">
        <f ca="1">IFERROR(__xludf.DUMMYFUNCTION("""COMPUTED_VALUE"""),"0333262940")</f>
        <v>0333262940</v>
      </c>
      <c r="K8657" s="2" t="str">
        <f ca="1">IFERROR(__xludf.DUMMYFUNCTION("""COMPUTED_VALUE"""),"1775118096329")</f>
        <v>1775118096329</v>
      </c>
    </row>
    <row r="8658" spans="1:11" ht="12.45">
      <c r="A8658" s="2" t="str">
        <f ca="1">IFERROR(__xludf.DUMMYFUNCTION("""COMPUTED_VALUE"""),"1775118131334")</f>
        <v>1775118131334</v>
      </c>
      <c r="C8658" s="2" t="str">
        <v>0</v>
      </c>
      <c r="F8658" s="2" t="str">
        <v>0</v>
      </c>
      <c r="I8658" s="3" t="str">
        <f ca="1">IFERROR(__xludf.DUMMYFUNCTION("""COMPUTED_VALUE"""),"Trần Văn Quốc")</f>
        <v>Trần Văn Quốc</v>
      </c>
      <c r="J8658" s="3" t="str">
        <f ca="1">IFERROR(__xludf.DUMMYFUNCTION("""COMPUTED_VALUE"""),"0972196219")</f>
        <v>0972196219</v>
      </c>
      <c r="K8658" s="2" t="str">
        <f ca="1">IFERROR(__xludf.DUMMYFUNCTION("""COMPUTED_VALUE"""),"1775118131334")</f>
        <v>1775118131334</v>
      </c>
    </row>
    <row r="8659" spans="1:11" ht="12.45">
      <c r="A8659" s="2" t="str">
        <f ca="1">IFERROR(__xludf.DUMMYFUNCTION("""COMPUTED_VALUE"""),"1775118177781")</f>
        <v>1775118177781</v>
      </c>
      <c r="C8659" s="2" t="str">
        <v>0</v>
      </c>
      <c r="F8659" s="2" t="str">
        <v>0</v>
      </c>
      <c r="I8659" s="3" t="str">
        <f ca="1">IFERROR(__xludf.DUMMYFUNCTION("""COMPUTED_VALUE"""),"Nguyễn Hương Lan")</f>
        <v>Nguyễn Hương Lan</v>
      </c>
      <c r="J8659" s="3" t="str">
        <f ca="1">IFERROR(__xludf.DUMMYFUNCTION("""COMPUTED_VALUE"""),"0984286825")</f>
        <v>0984286825</v>
      </c>
      <c r="K8659" s="2" t="str">
        <f ca="1">IFERROR(__xludf.DUMMYFUNCTION("""COMPUTED_VALUE"""),"1775118177781")</f>
        <v>1775118177781</v>
      </c>
    </row>
    <row r="8660" spans="1:11" ht="12.45">
      <c r="A8660" s="2" t="str">
        <f ca="1">IFERROR(__xludf.DUMMYFUNCTION("""COMPUTED_VALUE"""),"1775118217054")</f>
        <v>1775118217054</v>
      </c>
      <c r="C8660" s="2" t="str">
        <v>0</v>
      </c>
      <c r="F8660" s="2" t="str">
        <v>0</v>
      </c>
      <c r="I8660" s="3" t="str">
        <f ca="1">IFERROR(__xludf.DUMMYFUNCTION("""COMPUTED_VALUE"""),"Lò Tuấn Anh")</f>
        <v>Lò Tuấn Anh</v>
      </c>
      <c r="J8660" s="3" t="str">
        <f ca="1">IFERROR(__xludf.DUMMYFUNCTION("""COMPUTED_VALUE"""),"0914804595")</f>
        <v>0914804595</v>
      </c>
      <c r="K8660" s="2" t="str">
        <f ca="1">IFERROR(__xludf.DUMMYFUNCTION("""COMPUTED_VALUE"""),"1775118217054")</f>
        <v>1775118217054</v>
      </c>
    </row>
    <row r="8661" spans="1:11" ht="12.45">
      <c r="A8661" s="2" t="str">
        <f ca="1">IFERROR(__xludf.DUMMYFUNCTION("""COMPUTED_VALUE"""),"1775118250691")</f>
        <v>1775118250691</v>
      </c>
      <c r="C8661" s="2" t="str">
        <v>0</v>
      </c>
      <c r="F8661" s="2" t="str">
        <v>0</v>
      </c>
      <c r="I8661" s="3" t="str">
        <f ca="1">IFERROR(__xludf.DUMMYFUNCTION("""COMPUTED_VALUE"""),"Nguyễn Thị Kim Chi")</f>
        <v>Nguyễn Thị Kim Chi</v>
      </c>
      <c r="J8661" s="3" t="str">
        <f ca="1">IFERROR(__xludf.DUMMYFUNCTION("""COMPUTED_VALUE"""),"0384024831")</f>
        <v>0384024831</v>
      </c>
      <c r="K8661" s="2" t="str">
        <f ca="1">IFERROR(__xludf.DUMMYFUNCTION("""COMPUTED_VALUE"""),"1775118250691")</f>
        <v>1775118250691</v>
      </c>
    </row>
    <row r="8662" spans="1:11" ht="12.45">
      <c r="A8662" s="2" t="str">
        <f ca="1">IFERROR(__xludf.DUMMYFUNCTION("""COMPUTED_VALUE"""),"1775118285212")</f>
        <v>1775118285212</v>
      </c>
      <c r="C8662" s="2" t="str">
        <v>0</v>
      </c>
      <c r="F8662" s="2" t="str">
        <v>0</v>
      </c>
      <c r="I8662" s="3" t="str">
        <f ca="1">IFERROR(__xludf.DUMMYFUNCTION("""COMPUTED_VALUE"""),"Phùng Thị Mai Hoa ")</f>
        <v xml:space="preserve">Phùng Thị Mai Hoa </v>
      </c>
      <c r="J8662" s="3" t="str">
        <f ca="1">IFERROR(__xludf.DUMMYFUNCTION("""COMPUTED_VALUE"""),"0969717870")</f>
        <v>0969717870</v>
      </c>
      <c r="K8662" s="2" t="str">
        <f ca="1">IFERROR(__xludf.DUMMYFUNCTION("""COMPUTED_VALUE"""),"1775118285212")</f>
        <v>1775118285212</v>
      </c>
    </row>
    <row r="8663" spans="1:11" ht="12.45">
      <c r="A8663" s="2" t="str">
        <f ca="1">IFERROR(__xludf.DUMMYFUNCTION("""COMPUTED_VALUE"""),"1775118308682")</f>
        <v>1775118308682</v>
      </c>
      <c r="C8663" s="2" t="str">
        <v>0</v>
      </c>
      <c r="F8663" s="2" t="str">
        <v>0</v>
      </c>
      <c r="I8663" s="3" t="str">
        <f ca="1">IFERROR(__xludf.DUMMYFUNCTION("""COMPUTED_VALUE"""),"Nguyễn Bảo Linh")</f>
        <v>Nguyễn Bảo Linh</v>
      </c>
      <c r="J8663" s="3" t="str">
        <f ca="1">IFERROR(__xludf.DUMMYFUNCTION("""COMPUTED_VALUE"""),"0968221007")</f>
        <v>0968221007</v>
      </c>
      <c r="K8663" s="2" t="str">
        <f ca="1">IFERROR(__xludf.DUMMYFUNCTION("""COMPUTED_VALUE"""),"1775118308682")</f>
        <v>1775118308682</v>
      </c>
    </row>
    <row r="8664" spans="1:11" ht="12.45">
      <c r="A8664" s="2" t="str">
        <f ca="1">IFERROR(__xludf.DUMMYFUNCTION("""COMPUTED_VALUE"""),"1775118352271")</f>
        <v>1775118352271</v>
      </c>
      <c r="C8664" s="2" t="str">
        <v>0</v>
      </c>
      <c r="F8664" s="2" t="str">
        <v>0</v>
      </c>
      <c r="I8664" s="3" t="str">
        <f ca="1">IFERROR(__xludf.DUMMYFUNCTION("""COMPUTED_VALUE"""),"Nguyễn trần ánh diễm")</f>
        <v>Nguyễn trần ánh diễm</v>
      </c>
      <c r="J8664" s="3" t="str">
        <f ca="1">IFERROR(__xludf.DUMMYFUNCTION("""COMPUTED_VALUE"""),"0338061911")</f>
        <v>0338061911</v>
      </c>
      <c r="K8664" s="2" t="str">
        <f ca="1">IFERROR(__xludf.DUMMYFUNCTION("""COMPUTED_VALUE"""),"1775118352271")</f>
        <v>1775118352271</v>
      </c>
    </row>
    <row r="8665" spans="1:11" ht="12.45">
      <c r="A8665" s="2" t="str">
        <f ca="1">IFERROR(__xludf.DUMMYFUNCTION("""COMPUTED_VALUE"""),"1775118385654")</f>
        <v>1775118385654</v>
      </c>
      <c r="C8665" s="2" t="str">
        <v>0</v>
      </c>
      <c r="F8665" s="2" t="str">
        <v>0</v>
      </c>
      <c r="I8665" s="3" t="str">
        <f ca="1">IFERROR(__xludf.DUMMYFUNCTION("""COMPUTED_VALUE"""),"Phạm Thị Thanh Ngân ")</f>
        <v xml:space="preserve">Phạm Thị Thanh Ngân </v>
      </c>
      <c r="J8665" s="3" t="str">
        <f ca="1">IFERROR(__xludf.DUMMYFUNCTION("""COMPUTED_VALUE"""),"0898214097")</f>
        <v>0898214097</v>
      </c>
      <c r="K8665" s="2" t="str">
        <f ca="1">IFERROR(__xludf.DUMMYFUNCTION("""COMPUTED_VALUE"""),"1775118385654")</f>
        <v>1775118385654</v>
      </c>
    </row>
    <row r="8666" spans="1:11" ht="12.45">
      <c r="A8666" s="2"/>
      <c r="C8666" s="2" t="str">
        <v>0</v>
      </c>
      <c r="F8666" s="2" t="str">
        <v>0</v>
      </c>
      <c r="I8666" s="3" t="str">
        <f ca="1">IFERROR(__xludf.DUMMYFUNCTION("""COMPUTED_VALUE"""),"Phạm Thị Hồng Diễm")</f>
        <v>Phạm Thị Hồng Diễm</v>
      </c>
      <c r="J8666" s="3" t="str">
        <f ca="1">IFERROR(__xludf.DUMMYFUNCTION("""COMPUTED_VALUE"""),"0397517854")</f>
        <v>0397517854</v>
      </c>
      <c r="K8666" s="2"/>
    </row>
    <row r="8667" spans="1:11" ht="12.45">
      <c r="A8667" s="2" t="str">
        <f ca="1">IFERROR(__xludf.DUMMYFUNCTION("""COMPUTED_VALUE"""),"1775118418016")</f>
        <v>1775118418016</v>
      </c>
      <c r="C8667" s="2" t="str">
        <v>0</v>
      </c>
      <c r="F8667" s="2" t="str">
        <v>0</v>
      </c>
      <c r="I8667" s="3" t="str">
        <f ca="1">IFERROR(__xludf.DUMMYFUNCTION("""COMPUTED_VALUE"""),"Trần Lê Thuỳ Duyên")</f>
        <v>Trần Lê Thuỳ Duyên</v>
      </c>
      <c r="J8667" s="3" t="str">
        <f ca="1">IFERROR(__xludf.DUMMYFUNCTION("""COMPUTED_VALUE"""),"0903574069")</f>
        <v>0903574069</v>
      </c>
      <c r="K8667" s="2" t="str">
        <f ca="1">IFERROR(__xludf.DUMMYFUNCTION("""COMPUTED_VALUE"""),"1775118418016")</f>
        <v>1775118418016</v>
      </c>
    </row>
    <row r="8668" spans="1:11" ht="12.45">
      <c r="A8668" s="2" t="str">
        <f ca="1">IFERROR(__xludf.DUMMYFUNCTION("""COMPUTED_VALUE"""),"1775118445789")</f>
        <v>1775118445789</v>
      </c>
      <c r="C8668" s="2" t="str">
        <v>0</v>
      </c>
      <c r="F8668" s="2" t="str">
        <v>0</v>
      </c>
      <c r="I8668" s="3" t="str">
        <f ca="1">IFERROR(__xludf.DUMMYFUNCTION("""COMPUTED_VALUE"""),"Phạm Thị Yến Nhi")</f>
        <v>Phạm Thị Yến Nhi</v>
      </c>
      <c r="J8668" s="3" t="str">
        <f ca="1">IFERROR(__xludf.DUMMYFUNCTION("""COMPUTED_VALUE"""),"0975893342")</f>
        <v>0975893342</v>
      </c>
      <c r="K8668" s="2" t="str">
        <f ca="1">IFERROR(__xludf.DUMMYFUNCTION("""COMPUTED_VALUE"""),"1775118445789")</f>
        <v>1775118445789</v>
      </c>
    </row>
    <row r="8669" spans="1:11" ht="12.45">
      <c r="A8669" s="2" t="str">
        <f ca="1">IFERROR(__xludf.DUMMYFUNCTION("""COMPUTED_VALUE"""),"1775118473985")</f>
        <v>1775118473985</v>
      </c>
      <c r="C8669" s="2" t="str">
        <v>0</v>
      </c>
      <c r="F8669" s="2" t="str">
        <v>0</v>
      </c>
      <c r="I8669" s="3" t="str">
        <f ca="1">IFERROR(__xludf.DUMMYFUNCTION("""COMPUTED_VALUE"""),"Nguyễn Đặng Phương Anh")</f>
        <v>Nguyễn Đặng Phương Anh</v>
      </c>
      <c r="J8669" s="3" t="str">
        <f ca="1">IFERROR(__xludf.DUMMYFUNCTION("""COMPUTED_VALUE"""),"0362988720")</f>
        <v>0362988720</v>
      </c>
      <c r="K8669" s="2" t="str">
        <f ca="1">IFERROR(__xludf.DUMMYFUNCTION("""COMPUTED_VALUE"""),"1775118473985")</f>
        <v>1775118473985</v>
      </c>
    </row>
    <row r="8670" spans="1:11" ht="12.45">
      <c r="A8670" s="2" t="str">
        <f ca="1">IFERROR(__xludf.DUMMYFUNCTION("""COMPUTED_VALUE"""),"1775118524790")</f>
        <v>1775118524790</v>
      </c>
      <c r="C8670" s="2" t="str">
        <v>0</v>
      </c>
      <c r="F8670" s="2" t="str">
        <v>0</v>
      </c>
      <c r="I8670" s="3" t="str">
        <f ca="1">IFERROR(__xludf.DUMMYFUNCTION("""COMPUTED_VALUE"""),"Đặng Hà Chi")</f>
        <v>Đặng Hà Chi</v>
      </c>
      <c r="J8670" s="3" t="str">
        <f ca="1">IFERROR(__xludf.DUMMYFUNCTION("""COMPUTED_VALUE"""),"0336198626")</f>
        <v>0336198626</v>
      </c>
      <c r="K8670" s="2" t="str">
        <f ca="1">IFERROR(__xludf.DUMMYFUNCTION("""COMPUTED_VALUE"""),"1775118524790")</f>
        <v>1775118524790</v>
      </c>
    </row>
    <row r="8671" spans="1:11" ht="12.45">
      <c r="A8671" s="2" t="str">
        <f ca="1">IFERROR(__xludf.DUMMYFUNCTION("""COMPUTED_VALUE"""),"1775118564892")</f>
        <v>1775118564892</v>
      </c>
      <c r="C8671" s="2" t="str">
        <v>0</v>
      </c>
      <c r="F8671" s="2" t="str">
        <v>0</v>
      </c>
      <c r="I8671" s="3" t="str">
        <f ca="1">IFERROR(__xludf.DUMMYFUNCTION("""COMPUTED_VALUE"""),"Lê Bảo Khánh")</f>
        <v>Lê Bảo Khánh</v>
      </c>
      <c r="J8671" s="3" t="str">
        <f ca="1">IFERROR(__xludf.DUMMYFUNCTION("""COMPUTED_VALUE"""),"0982518069")</f>
        <v>0982518069</v>
      </c>
      <c r="K8671" s="2" t="str">
        <f ca="1">IFERROR(__xludf.DUMMYFUNCTION("""COMPUTED_VALUE"""),"1775118564892")</f>
        <v>1775118564892</v>
      </c>
    </row>
    <row r="8672" spans="1:11" ht="12.45">
      <c r="A8672" s="2" t="str">
        <f ca="1">IFERROR(__xludf.DUMMYFUNCTION("""COMPUTED_VALUE"""),"1775118592088")</f>
        <v>1775118592088</v>
      </c>
      <c r="C8672" s="2" t="str">
        <v>0</v>
      </c>
      <c r="F8672" s="2" t="str">
        <v>0</v>
      </c>
      <c r="I8672" s="3" t="str">
        <f ca="1">IFERROR(__xludf.DUMMYFUNCTION("""COMPUTED_VALUE"""),"Nguyễn Phương Linh")</f>
        <v>Nguyễn Phương Linh</v>
      </c>
      <c r="J8672" s="3" t="str">
        <f ca="1">IFERROR(__xludf.DUMMYFUNCTION("""COMPUTED_VALUE"""),"0387828568")</f>
        <v>0387828568</v>
      </c>
      <c r="K8672" s="2" t="str">
        <f ca="1">IFERROR(__xludf.DUMMYFUNCTION("""COMPUTED_VALUE"""),"1775118592088")</f>
        <v>1775118592088</v>
      </c>
    </row>
    <row r="8673" spans="1:11" ht="12.45">
      <c r="A8673" s="2" t="str">
        <f ca="1">IFERROR(__xludf.DUMMYFUNCTION("""COMPUTED_VALUE"""),"1759440215782")</f>
        <v>1759440215782</v>
      </c>
      <c r="C8673" s="2" t="str">
        <v>0</v>
      </c>
      <c r="F8673" s="2" t="str">
        <v>0</v>
      </c>
      <c r="I8673" s="3" t="str">
        <f ca="1">IFERROR(__xludf.DUMMYFUNCTION("""COMPUTED_VALUE"""),"Phạm Huyền Trang")</f>
        <v>Phạm Huyền Trang</v>
      </c>
      <c r="J8673" s="3" t="str">
        <f ca="1">IFERROR(__xludf.DUMMYFUNCTION("""COMPUTED_VALUE"""),"0982885800")</f>
        <v>0982885800</v>
      </c>
      <c r="K8673" s="2" t="str">
        <f ca="1">IFERROR(__xludf.DUMMYFUNCTION("""COMPUTED_VALUE"""),"1759440215782")</f>
        <v>1759440215782</v>
      </c>
    </row>
    <row r="8674" spans="1:11" ht="12.45">
      <c r="A8674" s="2" t="str">
        <f ca="1">IFERROR(__xludf.DUMMYFUNCTION("""COMPUTED_VALUE"""),"1775118620370")</f>
        <v>1775118620370</v>
      </c>
      <c r="C8674" s="2" t="str">
        <v>0</v>
      </c>
      <c r="F8674" s="2" t="str">
        <v>0</v>
      </c>
      <c r="I8674" s="3" t="str">
        <f ca="1">IFERROR(__xludf.DUMMYFUNCTION("""COMPUTED_VALUE"""),"Hoàng Châu Nhi")</f>
        <v>Hoàng Châu Nhi</v>
      </c>
      <c r="J8674" s="3" t="str">
        <f ca="1">IFERROR(__xludf.DUMMYFUNCTION("""COMPUTED_VALUE"""),"0963498589")</f>
        <v>0963498589</v>
      </c>
      <c r="K8674" s="2" t="str">
        <f ca="1">IFERROR(__xludf.DUMMYFUNCTION("""COMPUTED_VALUE"""),"1775118620370")</f>
        <v>1775118620370</v>
      </c>
    </row>
    <row r="8675" spans="1:11" ht="12.45">
      <c r="A8675" s="2" t="str">
        <f ca="1">IFERROR(__xludf.DUMMYFUNCTION("""COMPUTED_VALUE"""),"1775118663166")</f>
        <v>1775118663166</v>
      </c>
      <c r="C8675" s="2" t="str">
        <v>0</v>
      </c>
      <c r="F8675" s="2" t="str">
        <v>0</v>
      </c>
      <c r="I8675" s="3" t="str">
        <f ca="1">IFERROR(__xludf.DUMMYFUNCTION("""COMPUTED_VALUE"""),"NGUYỄN THẢO CHI")</f>
        <v>NGUYỄN THẢO CHI</v>
      </c>
      <c r="J8675" s="3" t="str">
        <f ca="1">IFERROR(__xludf.DUMMYFUNCTION("""COMPUTED_VALUE"""),"0364396523")</f>
        <v>0364396523</v>
      </c>
      <c r="K8675" s="2" t="str">
        <f ca="1">IFERROR(__xludf.DUMMYFUNCTION("""COMPUTED_VALUE"""),"1775118663166")</f>
        <v>1775118663166</v>
      </c>
    </row>
    <row r="8676" spans="1:11" ht="12.45">
      <c r="A8676" s="2" t="str">
        <f ca="1">IFERROR(__xludf.DUMMYFUNCTION("""COMPUTED_VALUE"""),"1775118734357")</f>
        <v>1775118734357</v>
      </c>
      <c r="C8676" s="2" t="str">
        <v>0</v>
      </c>
      <c r="F8676" s="2" t="str">
        <v>0</v>
      </c>
      <c r="I8676" s="3" t="str">
        <f ca="1">IFERROR(__xludf.DUMMYFUNCTION("""COMPUTED_VALUE"""),"Bùi Quang Trưởng")</f>
        <v>Bùi Quang Trưởng</v>
      </c>
      <c r="J8676" s="3" t="str">
        <f ca="1">IFERROR(__xludf.DUMMYFUNCTION("""COMPUTED_VALUE"""),"0816435560")</f>
        <v>0816435560</v>
      </c>
      <c r="K8676" s="2" t="str">
        <f ca="1">IFERROR(__xludf.DUMMYFUNCTION("""COMPUTED_VALUE"""),"1775118734357")</f>
        <v>1775118734357</v>
      </c>
    </row>
    <row r="8677" spans="1:11" ht="12.45">
      <c r="A8677" s="2"/>
      <c r="C8677" s="2" t="str">
        <v>0</v>
      </c>
      <c r="F8677" s="2" t="str">
        <v>0</v>
      </c>
      <c r="I8677" s="3" t="str">
        <f ca="1">IFERROR(__xludf.DUMMYFUNCTION("""COMPUTED_VALUE"""),"Nguyễn Quang Tùng")</f>
        <v>Nguyễn Quang Tùng</v>
      </c>
      <c r="J8677" s="3" t="str">
        <f ca="1">IFERROR(__xludf.DUMMYFUNCTION("""COMPUTED_VALUE"""),"0793066052")</f>
        <v>0793066052</v>
      </c>
      <c r="K8677" s="2"/>
    </row>
    <row r="8678" spans="1:11" ht="12.45">
      <c r="A8678" s="2" t="str">
        <f ca="1">IFERROR(__xludf.DUMMYFUNCTION("""COMPUTED_VALUE"""),"1759440250655")</f>
        <v>1759440250655</v>
      </c>
      <c r="C8678" s="2" t="str">
        <v>0</v>
      </c>
      <c r="F8678" s="2" t="str">
        <v>0</v>
      </c>
      <c r="I8678" s="3" t="str">
        <f ca="1">IFERROR(__xludf.DUMMYFUNCTION("""COMPUTED_VALUE"""),"Tô Thị Ngọc Ánh ")</f>
        <v xml:space="preserve">Tô Thị Ngọc Ánh </v>
      </c>
      <c r="J8678" s="3" t="str">
        <f ca="1">IFERROR(__xludf.DUMMYFUNCTION("""COMPUTED_VALUE"""),"0334615319")</f>
        <v>0334615319</v>
      </c>
      <c r="K8678" s="2" t="str">
        <f ca="1">IFERROR(__xludf.DUMMYFUNCTION("""COMPUTED_VALUE"""),"1759440250655")</f>
        <v>1759440250655</v>
      </c>
    </row>
    <row r="8679" spans="1:11" ht="12.45">
      <c r="A8679" s="2" t="str">
        <f ca="1">IFERROR(__xludf.DUMMYFUNCTION("""COMPUTED_VALUE"""),"1775118758969")</f>
        <v>1775118758969</v>
      </c>
      <c r="C8679" s="2" t="str">
        <v>0</v>
      </c>
      <c r="F8679" s="2" t="str">
        <v>0</v>
      </c>
      <c r="I8679" s="3" t="str">
        <f ca="1">IFERROR(__xludf.DUMMYFUNCTION("""COMPUTED_VALUE"""),"Bùi Thái An")</f>
        <v>Bùi Thái An</v>
      </c>
      <c r="J8679" s="3" t="str">
        <f ca="1">IFERROR(__xludf.DUMMYFUNCTION("""COMPUTED_VALUE"""),"0344556274")</f>
        <v>0344556274</v>
      </c>
      <c r="K8679" s="2" t="str">
        <f ca="1">IFERROR(__xludf.DUMMYFUNCTION("""COMPUTED_VALUE"""),"1775118758969")</f>
        <v>1775118758969</v>
      </c>
    </row>
    <row r="8680" spans="1:11" ht="12.45">
      <c r="A8680" s="2" t="str">
        <f ca="1">IFERROR(__xludf.DUMMYFUNCTION("""COMPUTED_VALUE"""),"1775118806235")</f>
        <v>1775118806235</v>
      </c>
      <c r="C8680" s="2" t="str">
        <v>0</v>
      </c>
      <c r="F8680" s="2" t="str">
        <v>0</v>
      </c>
      <c r="I8680" s="3" t="str">
        <f ca="1">IFERROR(__xludf.DUMMYFUNCTION("""COMPUTED_VALUE"""),"Trương Nguyệt Minh")</f>
        <v>Trương Nguyệt Minh</v>
      </c>
      <c r="J8680" s="3" t="str">
        <f ca="1">IFERROR(__xludf.DUMMYFUNCTION("""COMPUTED_VALUE"""),"0827292868")</f>
        <v>0827292868</v>
      </c>
      <c r="K8680" s="2" t="str">
        <f ca="1">IFERROR(__xludf.DUMMYFUNCTION("""COMPUTED_VALUE"""),"1775118806235")</f>
        <v>1775118806235</v>
      </c>
    </row>
    <row r="8681" spans="1:11" ht="12.45">
      <c r="A8681" s="2" t="str">
        <f ca="1">IFERROR(__xludf.DUMMYFUNCTION("""COMPUTED_VALUE"""),"1775118846850")</f>
        <v>1775118846850</v>
      </c>
      <c r="C8681" s="2" t="str">
        <v>0</v>
      </c>
      <c r="F8681" s="2" t="str">
        <v>0</v>
      </c>
      <c r="I8681" s="3" t="str">
        <f ca="1">IFERROR(__xludf.DUMMYFUNCTION("""COMPUTED_VALUE"""),"Nguyễn Khánh Huyền")</f>
        <v>Nguyễn Khánh Huyền</v>
      </c>
      <c r="J8681" s="3" t="str">
        <f ca="1">IFERROR(__xludf.DUMMYFUNCTION("""COMPUTED_VALUE"""),"0384325663")</f>
        <v>0384325663</v>
      </c>
      <c r="K8681" s="2" t="str">
        <f ca="1">IFERROR(__xludf.DUMMYFUNCTION("""COMPUTED_VALUE"""),"1775118846850")</f>
        <v>1775118846850</v>
      </c>
    </row>
    <row r="8682" spans="1:11" ht="12.45">
      <c r="A8682" s="2" t="str">
        <f ca="1">IFERROR(__xludf.DUMMYFUNCTION("""COMPUTED_VALUE"""),"1775118882091")</f>
        <v>1775118882091</v>
      </c>
      <c r="C8682" s="2" t="str">
        <v>0</v>
      </c>
      <c r="F8682" s="2" t="str">
        <v>0</v>
      </c>
      <c r="I8682" s="3" t="str">
        <f ca="1">IFERROR(__xludf.DUMMYFUNCTION("""COMPUTED_VALUE"""),"Đinh Thị Cẩm Vân")</f>
        <v>Đinh Thị Cẩm Vân</v>
      </c>
      <c r="J8682" s="3" t="str">
        <f ca="1">IFERROR(__xludf.DUMMYFUNCTION("""COMPUTED_VALUE"""),"0855398025")</f>
        <v>0855398025</v>
      </c>
      <c r="K8682" s="2" t="str">
        <f ca="1">IFERROR(__xludf.DUMMYFUNCTION("""COMPUTED_VALUE"""),"1775118882091")</f>
        <v>1775118882091</v>
      </c>
    </row>
    <row r="8683" spans="1:11" ht="12.45">
      <c r="A8683" s="2" t="str">
        <f ca="1">IFERROR(__xludf.DUMMYFUNCTION("""COMPUTED_VALUE"""),"1775118913788")</f>
        <v>1775118913788</v>
      </c>
      <c r="C8683" s="2" t="str">
        <v>0</v>
      </c>
      <c r="F8683" s="2" t="str">
        <v>0</v>
      </c>
      <c r="I8683" s="3" t="str">
        <f ca="1">IFERROR(__xludf.DUMMYFUNCTION("""COMPUTED_VALUE"""),"Nguyễn Bảo Lâm")</f>
        <v>Nguyễn Bảo Lâm</v>
      </c>
      <c r="J8683" s="3" t="str">
        <f ca="1">IFERROR(__xludf.DUMMYFUNCTION("""COMPUTED_VALUE"""),"0812565336")</f>
        <v>0812565336</v>
      </c>
      <c r="K8683" s="2" t="str">
        <f ca="1">IFERROR(__xludf.DUMMYFUNCTION("""COMPUTED_VALUE"""),"1775118913788")</f>
        <v>1775118913788</v>
      </c>
    </row>
    <row r="8684" spans="1:11" ht="12.45">
      <c r="A8684" s="2" t="str">
        <f ca="1">IFERROR(__xludf.DUMMYFUNCTION("""COMPUTED_VALUE"""),"1759440290207")</f>
        <v>1759440290207</v>
      </c>
      <c r="C8684" s="2" t="str">
        <v>0</v>
      </c>
      <c r="F8684" s="2" t="str">
        <v>0</v>
      </c>
      <c r="I8684" s="3" t="str">
        <f ca="1">IFERROR(__xludf.DUMMYFUNCTION("""COMPUTED_VALUE"""),"Quách Tiến Nhân")</f>
        <v>Quách Tiến Nhân</v>
      </c>
      <c r="J8684" s="3" t="str">
        <f ca="1">IFERROR(__xludf.DUMMYFUNCTION("""COMPUTED_VALUE"""),"0762807413")</f>
        <v>0762807413</v>
      </c>
      <c r="K8684" s="2" t="str">
        <f ca="1">IFERROR(__xludf.DUMMYFUNCTION("""COMPUTED_VALUE"""),"1759440290207")</f>
        <v>1759440290207</v>
      </c>
    </row>
    <row r="8685" spans="1:11" ht="12.45">
      <c r="A8685" s="2" t="str">
        <f ca="1">IFERROR(__xludf.DUMMYFUNCTION("""COMPUTED_VALUE"""),"1775118935031")</f>
        <v>1775118935031</v>
      </c>
      <c r="C8685" s="2" t="str">
        <v>0</v>
      </c>
      <c r="F8685" s="2" t="str">
        <v>0</v>
      </c>
      <c r="I8685" s="3" t="str">
        <f ca="1">IFERROR(__xludf.DUMMYFUNCTION("""COMPUTED_VALUE"""),"Lê Thị Hồng Vân ")</f>
        <v xml:space="preserve">Lê Thị Hồng Vân </v>
      </c>
      <c r="J8685" s="3" t="str">
        <f ca="1">IFERROR(__xludf.DUMMYFUNCTION("""COMPUTED_VALUE"""),"0862130763")</f>
        <v>0862130763</v>
      </c>
      <c r="K8685" s="2" t="str">
        <f ca="1">IFERROR(__xludf.DUMMYFUNCTION("""COMPUTED_VALUE"""),"1775118935031")</f>
        <v>1775118935031</v>
      </c>
    </row>
    <row r="8686" spans="1:11" ht="12.45">
      <c r="A8686" s="2" t="str">
        <f ca="1">IFERROR(__xludf.DUMMYFUNCTION("""COMPUTED_VALUE"""),"1775119001167")</f>
        <v>1775119001167</v>
      </c>
      <c r="C8686" s="2" t="str">
        <v>0</v>
      </c>
      <c r="F8686" s="2" t="str">
        <v>0</v>
      </c>
      <c r="I8686" s="3" t="str">
        <f ca="1">IFERROR(__xludf.DUMMYFUNCTION("""COMPUTED_VALUE"""),"Nguyễn Thuý Ngân")</f>
        <v>Nguyễn Thuý Ngân</v>
      </c>
      <c r="J8686" s="3" t="str">
        <f ca="1">IFERROR(__xludf.DUMMYFUNCTION("""COMPUTED_VALUE"""),"0832660767")</f>
        <v>0832660767</v>
      </c>
      <c r="K8686" s="2" t="str">
        <f ca="1">IFERROR(__xludf.DUMMYFUNCTION("""COMPUTED_VALUE"""),"1775119001167")</f>
        <v>1775119001167</v>
      </c>
    </row>
    <row r="8687" spans="1:11" ht="12.45">
      <c r="A8687" s="2" t="str">
        <f ca="1">IFERROR(__xludf.DUMMYFUNCTION("""COMPUTED_VALUE"""),"1775119032504")</f>
        <v>1775119032504</v>
      </c>
      <c r="C8687" s="2" t="str">
        <v>0</v>
      </c>
      <c r="F8687" s="2" t="str">
        <v>0</v>
      </c>
      <c r="I8687" s="3" t="str">
        <f ca="1">IFERROR(__xludf.DUMMYFUNCTION("""COMPUTED_VALUE"""),"Nguyễn Lam Thuỷ Tiên")</f>
        <v>Nguyễn Lam Thuỷ Tiên</v>
      </c>
      <c r="J8687" s="3" t="str">
        <f ca="1">IFERROR(__xludf.DUMMYFUNCTION("""COMPUTED_VALUE"""),"0988627288")</f>
        <v>0988627288</v>
      </c>
      <c r="K8687" s="2" t="str">
        <f ca="1">IFERROR(__xludf.DUMMYFUNCTION("""COMPUTED_VALUE"""),"1775119032504")</f>
        <v>1775119032504</v>
      </c>
    </row>
    <row r="8688" spans="1:11" ht="12.45">
      <c r="A8688" s="2" t="str">
        <f ca="1">IFERROR(__xludf.DUMMYFUNCTION("""COMPUTED_VALUE"""),"1775119070637")</f>
        <v>1775119070637</v>
      </c>
      <c r="C8688" s="2" t="str">
        <v>0</v>
      </c>
      <c r="F8688" s="2" t="str">
        <v>0</v>
      </c>
      <c r="I8688" s="2" t="str">
        <f ca="1">IFERROR(__xludf.DUMMYFUNCTION("""COMPUTED_VALUE"""),"Đậu Chill")</f>
        <v>Đậu Chill</v>
      </c>
      <c r="J8688" s="3" t="str">
        <f ca="1">IFERROR(__xludf.DUMMYFUNCTION("""COMPUTED_VALUE"""),"0982206254")</f>
        <v>0982206254</v>
      </c>
      <c r="K8688" s="2" t="str">
        <f ca="1">IFERROR(__xludf.DUMMYFUNCTION("""COMPUTED_VALUE"""),"1775119070637")</f>
        <v>1775119070637</v>
      </c>
    </row>
    <row r="8689" spans="1:11" ht="12.45">
      <c r="A8689" s="2">
        <f ca="1">IFERROR(__xludf.DUMMYFUNCTION("""COMPUTED_VALUE"""),1748292188173)</f>
        <v>1748292188173</v>
      </c>
      <c r="C8689" s="2" t="str">
        <v>0</v>
      </c>
      <c r="F8689" s="2" t="str">
        <v>0</v>
      </c>
      <c r="I8689" s="3" t="str">
        <f ca="1">IFERROR(__xludf.DUMMYFUNCTION("""COMPUTED_VALUE"""),"Nguyễn Thị Ngọc Châu")</f>
        <v>Nguyễn Thị Ngọc Châu</v>
      </c>
      <c r="J8689" s="3" t="str">
        <f ca="1">IFERROR(__xludf.DUMMYFUNCTION("""COMPUTED_VALUE"""),"0979058714")</f>
        <v>0979058714</v>
      </c>
      <c r="K8689" s="2">
        <f ca="1">IFERROR(__xludf.DUMMYFUNCTION("""COMPUTED_VALUE"""),1748292188173)</f>
        <v>1748292188173</v>
      </c>
    </row>
    <row r="8690" spans="1:11" ht="12.45">
      <c r="A8690" s="2" t="str">
        <f ca="1">IFERROR(__xludf.DUMMYFUNCTION("""COMPUTED_VALUE"""),"1775119121272")</f>
        <v>1775119121272</v>
      </c>
      <c r="C8690" s="2" t="str">
        <v>0</v>
      </c>
      <c r="F8690" s="2" t="str">
        <v>0</v>
      </c>
      <c r="I8690" s="3" t="str">
        <f ca="1">IFERROR(__xludf.DUMMYFUNCTION("""COMPUTED_VALUE"""),"Huỳnh Nguyễn Ngọc Trâm ")</f>
        <v xml:space="preserve">Huỳnh Nguyễn Ngọc Trâm </v>
      </c>
      <c r="J8690" s="3" t="str">
        <f ca="1">IFERROR(__xludf.DUMMYFUNCTION("""COMPUTED_VALUE"""),"0868038338")</f>
        <v>0868038338</v>
      </c>
      <c r="K8690" s="2" t="str">
        <f ca="1">IFERROR(__xludf.DUMMYFUNCTION("""COMPUTED_VALUE"""),"1775119121272")</f>
        <v>1775119121272</v>
      </c>
    </row>
    <row r="8691" spans="1:11" ht="12.45">
      <c r="A8691" s="2" t="str">
        <f ca="1">IFERROR(__xludf.DUMMYFUNCTION("""COMPUTED_VALUE"""),"1775167738371")</f>
        <v>1775167738371</v>
      </c>
      <c r="C8691" s="2" t="str">
        <v>0</v>
      </c>
      <c r="F8691" s="2" t="str">
        <v>0</v>
      </c>
      <c r="I8691" s="3" t="str">
        <f ca="1">IFERROR(__xludf.DUMMYFUNCTION("""COMPUTED_VALUE"""),"Trần Mạnh Toàn")</f>
        <v>Trần Mạnh Toàn</v>
      </c>
      <c r="J8691" s="3" t="str">
        <f ca="1">IFERROR(__xludf.DUMMYFUNCTION("""COMPUTED_VALUE"""),"0988307129")</f>
        <v>0988307129</v>
      </c>
      <c r="K8691" s="2" t="str">
        <f ca="1">IFERROR(__xludf.DUMMYFUNCTION("""COMPUTED_VALUE"""),"1775167738371")</f>
        <v>1775167738371</v>
      </c>
    </row>
    <row r="8692" spans="1:11" ht="12.45">
      <c r="A8692" s="2" t="str">
        <f ca="1">IFERROR(__xludf.DUMMYFUNCTION("""COMPUTED_VALUE"""),"1775119183100")</f>
        <v>1775119183100</v>
      </c>
      <c r="C8692" s="2" t="str">
        <v>0</v>
      </c>
      <c r="F8692" s="2" t="str">
        <v>0</v>
      </c>
      <c r="I8692" s="3" t="str">
        <f ca="1">IFERROR(__xludf.DUMMYFUNCTION("""COMPUTED_VALUE"""),"Nguyễn Diệu Quyên ")</f>
        <v xml:space="preserve">Nguyễn Diệu Quyên </v>
      </c>
      <c r="J8692" s="3" t="str">
        <f ca="1">IFERROR(__xludf.DUMMYFUNCTION("""COMPUTED_VALUE"""),"0337898053")</f>
        <v>0337898053</v>
      </c>
      <c r="K8692" s="2" t="str">
        <f ca="1">IFERROR(__xludf.DUMMYFUNCTION("""COMPUTED_VALUE"""),"1775119183100")</f>
        <v>1775119183100</v>
      </c>
    </row>
    <row r="8693" spans="1:11" ht="12.45">
      <c r="A8693" s="2" t="str">
        <f ca="1">IFERROR(__xludf.DUMMYFUNCTION("""COMPUTED_VALUE"""),"1775119232275")</f>
        <v>1775119232275</v>
      </c>
      <c r="C8693" s="2" t="str">
        <v>0</v>
      </c>
      <c r="F8693" s="2" t="str">
        <v>0</v>
      </c>
      <c r="I8693" s="3" t="str">
        <f ca="1">IFERROR(__xludf.DUMMYFUNCTION("""COMPUTED_VALUE"""),"Nguyễn Thị Ngân")</f>
        <v>Nguyễn Thị Ngân</v>
      </c>
      <c r="J8693" s="3" t="str">
        <f ca="1">IFERROR(__xludf.DUMMYFUNCTION("""COMPUTED_VALUE"""),"0392893917")</f>
        <v>0392893917</v>
      </c>
      <c r="K8693" s="2" t="str">
        <f ca="1">IFERROR(__xludf.DUMMYFUNCTION("""COMPUTED_VALUE"""),"1775119232275")</f>
        <v>1775119232275</v>
      </c>
    </row>
    <row r="8694" spans="1:11" ht="12.45">
      <c r="A8694" s="2" t="str">
        <f ca="1">IFERROR(__xludf.DUMMYFUNCTION("""COMPUTED_VALUE"""),"1775119278023")</f>
        <v>1775119278023</v>
      </c>
      <c r="C8694" s="2" t="str">
        <v>0</v>
      </c>
      <c r="F8694" s="2" t="str">
        <v>0</v>
      </c>
      <c r="I8694" s="3" t="str">
        <f ca="1">IFERROR(__xludf.DUMMYFUNCTION("""COMPUTED_VALUE"""),"Lê Khánh Linh ")</f>
        <v xml:space="preserve">Lê Khánh Linh </v>
      </c>
      <c r="J8694" s="3" t="str">
        <f ca="1">IFERROR(__xludf.DUMMYFUNCTION("""COMPUTED_VALUE"""),"0968637102")</f>
        <v>0968637102</v>
      </c>
      <c r="K8694" s="2" t="str">
        <f ca="1">IFERROR(__xludf.DUMMYFUNCTION("""COMPUTED_VALUE"""),"1775119278023")</f>
        <v>1775119278023</v>
      </c>
    </row>
    <row r="8695" spans="1:11" ht="12.45">
      <c r="A8695" s="2" t="str">
        <f ca="1">IFERROR(__xludf.DUMMYFUNCTION("""COMPUTED_VALUE"""),"1775119327446")</f>
        <v>1775119327446</v>
      </c>
      <c r="C8695" s="2" t="str">
        <v>0</v>
      </c>
      <c r="F8695" s="2" t="str">
        <v>0</v>
      </c>
      <c r="I8695" s="3" t="str">
        <f ca="1">IFERROR(__xludf.DUMMYFUNCTION("""COMPUTED_VALUE"""),"Trần PhươngAnh")</f>
        <v>Trần PhươngAnh</v>
      </c>
      <c r="J8695" s="3" t="str">
        <f ca="1">IFERROR(__xludf.DUMMYFUNCTION("""COMPUTED_VALUE"""),"0346562300")</f>
        <v>0346562300</v>
      </c>
      <c r="K8695" s="2" t="str">
        <f ca="1">IFERROR(__xludf.DUMMYFUNCTION("""COMPUTED_VALUE"""),"1775119327446")</f>
        <v>1775119327446</v>
      </c>
    </row>
    <row r="8696" spans="1:11" ht="12.45">
      <c r="A8696" s="2" t="str">
        <f ca="1">IFERROR(__xludf.DUMMYFUNCTION("""COMPUTED_VALUE"""),"1775119382176")</f>
        <v>1775119382176</v>
      </c>
      <c r="C8696" s="2" t="str">
        <v>0</v>
      </c>
      <c r="F8696" s="2" t="str">
        <v>0</v>
      </c>
      <c r="I8696" s="3" t="str">
        <f ca="1">IFERROR(__xludf.DUMMYFUNCTION("""COMPUTED_VALUE"""),"Lý Võ Hoài Tâm")</f>
        <v>Lý Võ Hoài Tâm</v>
      </c>
      <c r="J8696" s="3" t="str">
        <f ca="1">IFERROR(__xludf.DUMMYFUNCTION("""COMPUTED_VALUE"""),"0935775109")</f>
        <v>0935775109</v>
      </c>
      <c r="K8696" s="2" t="str">
        <f ca="1">IFERROR(__xludf.DUMMYFUNCTION("""COMPUTED_VALUE"""),"1775119382176")</f>
        <v>1775119382176</v>
      </c>
    </row>
    <row r="8697" spans="1:11" ht="12.45">
      <c r="A8697" s="2" t="str">
        <f ca="1">IFERROR(__xludf.DUMMYFUNCTION("""COMPUTED_VALUE"""),"1775119413519")</f>
        <v>1775119413519</v>
      </c>
      <c r="C8697" s="2" t="str">
        <v>0</v>
      </c>
      <c r="F8697" s="2" t="str">
        <v>0</v>
      </c>
      <c r="I8697" s="3" t="str">
        <f ca="1">IFERROR(__xludf.DUMMYFUNCTION("""COMPUTED_VALUE"""),"Vũ Minh Thu")</f>
        <v>Vũ Minh Thu</v>
      </c>
      <c r="J8697" s="3" t="str">
        <f ca="1">IFERROR(__xludf.DUMMYFUNCTION("""COMPUTED_VALUE"""),"0388168484")</f>
        <v>0388168484</v>
      </c>
      <c r="K8697" s="2" t="str">
        <f ca="1">IFERROR(__xludf.DUMMYFUNCTION("""COMPUTED_VALUE"""),"1775119413519")</f>
        <v>1775119413519</v>
      </c>
    </row>
    <row r="8698" spans="1:11" ht="12.45">
      <c r="A8698" s="2" t="str">
        <f ca="1">IFERROR(__xludf.DUMMYFUNCTION("""COMPUTED_VALUE"""),"1775119450036")</f>
        <v>1775119450036</v>
      </c>
      <c r="C8698" s="2" t="str">
        <v>0</v>
      </c>
      <c r="F8698" s="2" t="str">
        <v>0</v>
      </c>
      <c r="I8698" s="3" t="str">
        <f ca="1">IFERROR(__xludf.DUMMYFUNCTION("""COMPUTED_VALUE"""),"Lê Văn Anh Quân")</f>
        <v>Lê Văn Anh Quân</v>
      </c>
      <c r="J8698" s="3" t="str">
        <f ca="1">IFERROR(__xludf.DUMMYFUNCTION("""COMPUTED_VALUE"""),"0917034615")</f>
        <v>0917034615</v>
      </c>
      <c r="K8698" s="2" t="str">
        <f ca="1">IFERROR(__xludf.DUMMYFUNCTION("""COMPUTED_VALUE"""),"1775119450036")</f>
        <v>1775119450036</v>
      </c>
    </row>
    <row r="8699" spans="1:11" ht="12.45">
      <c r="A8699" s="2" t="str">
        <f ca="1">IFERROR(__xludf.DUMMYFUNCTION("""COMPUTED_VALUE"""),"1775119501674")</f>
        <v>1775119501674</v>
      </c>
      <c r="C8699" s="2" t="str">
        <v>0</v>
      </c>
      <c r="F8699" s="2" t="str">
        <v>0</v>
      </c>
      <c r="I8699" s="3" t="str">
        <f ca="1">IFERROR(__xludf.DUMMYFUNCTION("""COMPUTED_VALUE"""),"Nguyễn Huyền Trang")</f>
        <v>Nguyễn Huyền Trang</v>
      </c>
      <c r="J8699" s="3" t="str">
        <f ca="1">IFERROR(__xludf.DUMMYFUNCTION("""COMPUTED_VALUE"""),"0936724320")</f>
        <v>0936724320</v>
      </c>
      <c r="K8699" s="2" t="str">
        <f ca="1">IFERROR(__xludf.DUMMYFUNCTION("""COMPUTED_VALUE"""),"1775119501674")</f>
        <v>1775119501674</v>
      </c>
    </row>
    <row r="8700" spans="1:11" ht="12.45">
      <c r="A8700" s="2" t="str">
        <f ca="1">IFERROR(__xludf.DUMMYFUNCTION("""COMPUTED_VALUE"""),"1775119538298")</f>
        <v>1775119538298</v>
      </c>
      <c r="C8700" s="2" t="str">
        <v>0</v>
      </c>
      <c r="F8700" s="2" t="str">
        <v>0</v>
      </c>
      <c r="I8700" s="3" t="str">
        <f ca="1">IFERROR(__xludf.DUMMYFUNCTION("""COMPUTED_VALUE"""),"Nguyễn Thị Phương Anh")</f>
        <v>Nguyễn Thị Phương Anh</v>
      </c>
      <c r="J8700" s="3" t="str">
        <f ca="1">IFERROR(__xludf.DUMMYFUNCTION("""COMPUTED_VALUE"""),"0384227518")</f>
        <v>0384227518</v>
      </c>
      <c r="K8700" s="2" t="str">
        <f ca="1">IFERROR(__xludf.DUMMYFUNCTION("""COMPUTED_VALUE"""),"1775119538298")</f>
        <v>1775119538298</v>
      </c>
    </row>
    <row r="8701" spans="1:11" ht="12.45">
      <c r="A8701" s="2" t="str">
        <f ca="1">IFERROR(__xludf.DUMMYFUNCTION("""COMPUTED_VALUE"""),"1775119579616")</f>
        <v>1775119579616</v>
      </c>
      <c r="C8701" s="2" t="str">
        <v>0</v>
      </c>
      <c r="F8701" s="2" t="str">
        <v>0</v>
      </c>
      <c r="I8701" s="3" t="str">
        <f ca="1">IFERROR(__xludf.DUMMYFUNCTION("""COMPUTED_VALUE"""),"Lê Thị Thêm")</f>
        <v>Lê Thị Thêm</v>
      </c>
      <c r="J8701" s="3" t="str">
        <f ca="1">IFERROR(__xludf.DUMMYFUNCTION("""COMPUTED_VALUE"""),"0346188152")</f>
        <v>0346188152</v>
      </c>
      <c r="K8701" s="2" t="str">
        <f ca="1">IFERROR(__xludf.DUMMYFUNCTION("""COMPUTED_VALUE"""),"1775119579616")</f>
        <v>1775119579616</v>
      </c>
    </row>
    <row r="8702" spans="1:11" ht="12.45">
      <c r="A8702" s="2" t="str">
        <f ca="1">IFERROR(__xludf.DUMMYFUNCTION("""COMPUTED_VALUE"""),"1775119614602")</f>
        <v>1775119614602</v>
      </c>
      <c r="C8702" s="2" t="str">
        <v>0</v>
      </c>
      <c r="F8702" s="2" t="str">
        <v>0</v>
      </c>
      <c r="I8702" s="3" t="str">
        <f ca="1">IFERROR(__xludf.DUMMYFUNCTION("""COMPUTED_VALUE"""),"Phàn Thùy Trang")</f>
        <v>Phàn Thùy Trang</v>
      </c>
      <c r="J8702" s="3" t="str">
        <f ca="1">IFERROR(__xludf.DUMMYFUNCTION("""COMPUTED_VALUE"""),"0354496391")</f>
        <v>0354496391</v>
      </c>
      <c r="K8702" s="2" t="str">
        <f ca="1">IFERROR(__xludf.DUMMYFUNCTION("""COMPUTED_VALUE"""),"1775119614602")</f>
        <v>1775119614602</v>
      </c>
    </row>
    <row r="8703" spans="1:11" ht="12.45">
      <c r="A8703" s="2" t="str">
        <f ca="1">IFERROR(__xludf.DUMMYFUNCTION("""COMPUTED_VALUE"""),"1775119654263")</f>
        <v>1775119654263</v>
      </c>
      <c r="C8703" s="2" t="str">
        <v>0</v>
      </c>
      <c r="F8703" s="2" t="str">
        <v>0</v>
      </c>
      <c r="I8703" s="3" t="str">
        <f ca="1">IFERROR(__xludf.DUMMYFUNCTION("""COMPUTED_VALUE"""),"Mai Yến Nhi ")</f>
        <v xml:space="preserve">Mai Yến Nhi </v>
      </c>
      <c r="J8703" s="3" t="str">
        <f ca="1">IFERROR(__xludf.DUMMYFUNCTION("""COMPUTED_VALUE"""),"0865303910")</f>
        <v>0865303910</v>
      </c>
      <c r="K8703" s="2" t="str">
        <f ca="1">IFERROR(__xludf.DUMMYFUNCTION("""COMPUTED_VALUE"""),"1775119654263")</f>
        <v>1775119654263</v>
      </c>
    </row>
    <row r="8704" spans="1:11" ht="12.45">
      <c r="A8704" s="2">
        <f ca="1">IFERROR(__xludf.DUMMYFUNCTION("""COMPUTED_VALUE"""),1748292212897)</f>
        <v>1748292212897</v>
      </c>
      <c r="C8704" s="2" t="str">
        <v>0</v>
      </c>
      <c r="F8704" s="2" t="str">
        <v>0</v>
      </c>
      <c r="I8704" s="3" t="str">
        <f ca="1">IFERROR(__xludf.DUMMYFUNCTION("""COMPUTED_VALUE"""),"Nguyễn hà trúc ly")</f>
        <v>Nguyễn hà trúc ly</v>
      </c>
      <c r="J8704" s="3" t="str">
        <f ca="1">IFERROR(__xludf.DUMMYFUNCTION("""COMPUTED_VALUE"""),"0384414750")</f>
        <v>0384414750</v>
      </c>
      <c r="K8704" s="2">
        <f ca="1">IFERROR(__xludf.DUMMYFUNCTION("""COMPUTED_VALUE"""),1748292212897)</f>
        <v>1748292212897</v>
      </c>
    </row>
    <row r="8705" spans="1:11" ht="12.45">
      <c r="A8705" s="2" t="str">
        <f ca="1">IFERROR(__xludf.DUMMYFUNCTION("""COMPUTED_VALUE"""),"1775119685769")</f>
        <v>1775119685769</v>
      </c>
      <c r="C8705" s="2" t="str">
        <v>0</v>
      </c>
      <c r="F8705" s="2" t="str">
        <v>0</v>
      </c>
      <c r="I8705" s="3" t="str">
        <f ca="1">IFERROR(__xludf.DUMMYFUNCTION("""COMPUTED_VALUE"""),"Nguyễn Thuỳ Anh")</f>
        <v>Nguyễn Thuỳ Anh</v>
      </c>
      <c r="J8705" s="3" t="str">
        <f ca="1">IFERROR(__xludf.DUMMYFUNCTION("""COMPUTED_VALUE"""),"0394064092")</f>
        <v>0394064092</v>
      </c>
      <c r="K8705" s="2" t="str">
        <f ca="1">IFERROR(__xludf.DUMMYFUNCTION("""COMPUTED_VALUE"""),"1775119685769")</f>
        <v>1775119685769</v>
      </c>
    </row>
    <row r="8706" spans="1:11" ht="12.45">
      <c r="A8706" s="2" t="str">
        <f ca="1">IFERROR(__xludf.DUMMYFUNCTION("""COMPUTED_VALUE"""),"1775119745351")</f>
        <v>1775119745351</v>
      </c>
      <c r="C8706" s="2" t="str">
        <v>0</v>
      </c>
      <c r="F8706" s="2" t="str">
        <v>0</v>
      </c>
      <c r="I8706" s="3" t="str">
        <f ca="1">IFERROR(__xludf.DUMMYFUNCTION("""COMPUTED_VALUE"""),"Phạm Thị Yến Vy ")</f>
        <v xml:space="preserve">Phạm Thị Yến Vy </v>
      </c>
      <c r="J8706" s="3" t="str">
        <f ca="1">IFERROR(__xludf.DUMMYFUNCTION("""COMPUTED_VALUE"""),"0896545703")</f>
        <v>0896545703</v>
      </c>
      <c r="K8706" s="2" t="str">
        <f ca="1">IFERROR(__xludf.DUMMYFUNCTION("""COMPUTED_VALUE"""),"1775119745351")</f>
        <v>1775119745351</v>
      </c>
    </row>
    <row r="8707" spans="1:11" ht="12.45">
      <c r="A8707" s="2" t="str">
        <f ca="1">IFERROR(__xludf.DUMMYFUNCTION("""COMPUTED_VALUE"""),"1775119798933")</f>
        <v>1775119798933</v>
      </c>
      <c r="C8707" s="2" t="str">
        <v>0</v>
      </c>
      <c r="F8707" s="2" t="str">
        <v>0</v>
      </c>
      <c r="I8707" s="3" t="str">
        <f ca="1">IFERROR(__xludf.DUMMYFUNCTION("""COMPUTED_VALUE"""),"Bùi Thị Hải Bình")</f>
        <v>Bùi Thị Hải Bình</v>
      </c>
      <c r="J8707" s="3" t="str">
        <f ca="1">IFERROR(__xludf.DUMMYFUNCTION("""COMPUTED_VALUE"""),"0974992569")</f>
        <v>0974992569</v>
      </c>
      <c r="K8707" s="2" t="str">
        <f ca="1">IFERROR(__xludf.DUMMYFUNCTION("""COMPUTED_VALUE"""),"1775119798933")</f>
        <v>1775119798933</v>
      </c>
    </row>
    <row r="8708" spans="1:11" ht="12.45">
      <c r="A8708" s="2" t="str">
        <f ca="1">IFERROR(__xludf.DUMMYFUNCTION("""COMPUTED_VALUE"""),"1756215105705")</f>
        <v>1756215105705</v>
      </c>
      <c r="C8708" s="2" t="str">
        <v>0</v>
      </c>
      <c r="F8708" s="2" t="str">
        <v>0</v>
      </c>
      <c r="I8708" s="3" t="str">
        <f ca="1">IFERROR(__xludf.DUMMYFUNCTION("""COMPUTED_VALUE"""),"Đoàn Anh Giàu")</f>
        <v>Đoàn Anh Giàu</v>
      </c>
      <c r="J8708" s="3" t="str">
        <f ca="1">IFERROR(__xludf.DUMMYFUNCTION("""COMPUTED_VALUE"""),"0865232537")</f>
        <v>0865232537</v>
      </c>
      <c r="K8708" s="2" t="str">
        <f ca="1">IFERROR(__xludf.DUMMYFUNCTION("""COMPUTED_VALUE"""),"1756215105705")</f>
        <v>1756215105705</v>
      </c>
    </row>
    <row r="8709" spans="1:11" ht="12.45">
      <c r="A8709" s="2" t="str">
        <f ca="1">IFERROR(__xludf.DUMMYFUNCTION("""COMPUTED_VALUE"""),"1759440354707")</f>
        <v>1759440354707</v>
      </c>
      <c r="C8709" s="2" t="str">
        <v>0</v>
      </c>
      <c r="F8709" s="2" t="str">
        <v>0</v>
      </c>
      <c r="I8709" s="3" t="str">
        <f ca="1">IFERROR(__xludf.DUMMYFUNCTION("""COMPUTED_VALUE"""),"Nguyễn Đức lợi ")</f>
        <v xml:space="preserve">Nguyễn Đức lợi </v>
      </c>
      <c r="J8709" s="3" t="str">
        <f ca="1">IFERROR(__xludf.DUMMYFUNCTION("""COMPUTED_VALUE"""),"0333872105")</f>
        <v>0333872105</v>
      </c>
      <c r="K8709" s="2" t="str">
        <f ca="1">IFERROR(__xludf.DUMMYFUNCTION("""COMPUTED_VALUE"""),"1759440354707")</f>
        <v>1759440354707</v>
      </c>
    </row>
    <row r="8710" spans="1:11" ht="12.45">
      <c r="A8710" s="2" t="str">
        <f ca="1">IFERROR(__xludf.DUMMYFUNCTION("""COMPUTED_VALUE"""),"1759440379687")</f>
        <v>1759440379687</v>
      </c>
      <c r="C8710" s="2" t="str">
        <v>0</v>
      </c>
      <c r="F8710" s="2" t="str">
        <v>0</v>
      </c>
      <c r="I8710" s="3" t="str">
        <f ca="1">IFERROR(__xludf.DUMMYFUNCTION("""COMPUTED_VALUE"""),"Cao Quỳnh Thi")</f>
        <v>Cao Quỳnh Thi</v>
      </c>
      <c r="J8710" s="3" t="str">
        <f ca="1">IFERROR(__xludf.DUMMYFUNCTION("""COMPUTED_VALUE"""),"0354384499")</f>
        <v>0354384499</v>
      </c>
      <c r="K8710" s="2" t="str">
        <f ca="1">IFERROR(__xludf.DUMMYFUNCTION("""COMPUTED_VALUE"""),"1759440379687")</f>
        <v>1759440379687</v>
      </c>
    </row>
    <row r="8711" spans="1:11" ht="12.45">
      <c r="A8711" s="2"/>
      <c r="C8711" s="2" t="str">
        <v>0</v>
      </c>
      <c r="F8711" s="2" t="str">
        <v>0</v>
      </c>
      <c r="I8711" s="3" t="str">
        <f ca="1">IFERROR(__xludf.DUMMYFUNCTION("""COMPUTED_VALUE"""),"Nguyễn Hà Kiều Anh ")</f>
        <v xml:space="preserve">Nguyễn Hà Kiều Anh </v>
      </c>
      <c r="J8711" s="3" t="str">
        <f ca="1">IFERROR(__xludf.DUMMYFUNCTION("""COMPUTED_VALUE"""),"0336806569")</f>
        <v>0336806569</v>
      </c>
      <c r="K8711" s="2"/>
    </row>
    <row r="8712" spans="1:11" ht="12.45">
      <c r="A8712" s="2" t="str">
        <f ca="1">IFERROR(__xludf.DUMMYFUNCTION("""COMPUTED_VALUE"""),"1759440418302")</f>
        <v>1759440418302</v>
      </c>
      <c r="C8712" s="2" t="str">
        <v>0</v>
      </c>
      <c r="F8712" s="2" t="str">
        <v>0</v>
      </c>
      <c r="I8712" s="3" t="str">
        <f ca="1">IFERROR(__xludf.DUMMYFUNCTION("""COMPUTED_VALUE"""),"Vũ Khánh An")</f>
        <v>Vũ Khánh An</v>
      </c>
      <c r="J8712" s="3" t="str">
        <f ca="1">IFERROR(__xludf.DUMMYFUNCTION("""COMPUTED_VALUE"""),"0984624253")</f>
        <v>0984624253</v>
      </c>
      <c r="K8712" s="2" t="str">
        <f ca="1">IFERROR(__xludf.DUMMYFUNCTION("""COMPUTED_VALUE"""),"1759440418302")</f>
        <v>1759440418302</v>
      </c>
    </row>
    <row r="8713" spans="1:11" ht="12.45">
      <c r="A8713" s="2" t="str">
        <f ca="1">IFERROR(__xludf.DUMMYFUNCTION("""COMPUTED_VALUE"""),"1759440481545")</f>
        <v>1759440481545</v>
      </c>
      <c r="C8713" s="2" t="str">
        <v>0</v>
      </c>
      <c r="F8713" s="2" t="str">
        <v>0</v>
      </c>
      <c r="I8713" s="3" t="str">
        <f ca="1">IFERROR(__xludf.DUMMYFUNCTION("""COMPUTED_VALUE"""),"Đào Huyền ")</f>
        <v xml:space="preserve">Đào Huyền </v>
      </c>
      <c r="J8713" s="3" t="str">
        <f ca="1">IFERROR(__xludf.DUMMYFUNCTION("""COMPUTED_VALUE"""),"0925903888")</f>
        <v>0925903888</v>
      </c>
      <c r="K8713" s="2" t="str">
        <f ca="1">IFERROR(__xludf.DUMMYFUNCTION("""COMPUTED_VALUE"""),"1759440481545")</f>
        <v>1759440481545</v>
      </c>
    </row>
    <row r="8714" spans="1:11" ht="12.45">
      <c r="A8714" s="2" t="str">
        <f ca="1">IFERROR(__xludf.DUMMYFUNCTION("""COMPUTED_VALUE"""),"1759440510850")</f>
        <v>1759440510850</v>
      </c>
      <c r="C8714" s="2" t="str">
        <v>0</v>
      </c>
      <c r="F8714" s="2" t="str">
        <v>0</v>
      </c>
      <c r="I8714" s="3" t="str">
        <f ca="1">IFERROR(__xludf.DUMMYFUNCTION("""COMPUTED_VALUE"""),"Nguyễn Hồng Nhung ")</f>
        <v xml:space="preserve">Nguyễn Hồng Nhung </v>
      </c>
      <c r="J8714" s="3" t="str">
        <f ca="1">IFERROR(__xludf.DUMMYFUNCTION("""COMPUTED_VALUE"""),"0973046738")</f>
        <v>0973046738</v>
      </c>
      <c r="K8714" s="2" t="str">
        <f ca="1">IFERROR(__xludf.DUMMYFUNCTION("""COMPUTED_VALUE"""),"1759440510850")</f>
        <v>1759440510850</v>
      </c>
    </row>
    <row r="8715" spans="1:11" ht="12.45">
      <c r="A8715" s="2"/>
      <c r="C8715" s="2" t="str">
        <v>0</v>
      </c>
      <c r="F8715" s="2" t="str">
        <v>0</v>
      </c>
      <c r="I8715" s="3" t="str">
        <f ca="1">IFERROR(__xludf.DUMMYFUNCTION("""COMPUTED_VALUE"""),"Trần Thành Dương")</f>
        <v>Trần Thành Dương</v>
      </c>
      <c r="J8715" s="3" t="str">
        <f ca="1">IFERROR(__xludf.DUMMYFUNCTION("""COMPUTED_VALUE"""),"0961366408")</f>
        <v>0961366408</v>
      </c>
      <c r="K8715" s="2"/>
    </row>
    <row r="8716" spans="1:11" ht="12.45">
      <c r="A8716" s="2" t="str">
        <f ca="1">IFERROR(__xludf.DUMMYFUNCTION("""COMPUTED_VALUE"""),"1759440540894")</f>
        <v>1759440540894</v>
      </c>
      <c r="C8716" s="2" t="str">
        <v>0</v>
      </c>
      <c r="F8716" s="2" t="str">
        <v>0</v>
      </c>
      <c r="I8716" s="3" t="str">
        <f ca="1">IFERROR(__xludf.DUMMYFUNCTION("""COMPUTED_VALUE"""),"Bùi Phương Linh")</f>
        <v>Bùi Phương Linh</v>
      </c>
      <c r="J8716" s="3" t="str">
        <f ca="1">IFERROR(__xludf.DUMMYFUNCTION("""COMPUTED_VALUE"""),"0904492156")</f>
        <v>0904492156</v>
      </c>
      <c r="K8716" s="2" t="str">
        <f ca="1">IFERROR(__xludf.DUMMYFUNCTION("""COMPUTED_VALUE"""),"1759440540894")</f>
        <v>1759440540894</v>
      </c>
    </row>
    <row r="8717" spans="1:11" ht="12.45">
      <c r="A8717" s="2" t="str">
        <f ca="1">IFERROR(__xludf.DUMMYFUNCTION("""COMPUTED_VALUE"""),"1759440574756")</f>
        <v>1759440574756</v>
      </c>
      <c r="C8717" s="2" t="str">
        <v>0</v>
      </c>
      <c r="F8717" s="2" t="str">
        <v>0</v>
      </c>
      <c r="I8717" s="3" t="str">
        <f ca="1">IFERROR(__xludf.DUMMYFUNCTION("""COMPUTED_VALUE"""),"Lê Nguyễn Kim Thư ")</f>
        <v xml:space="preserve">Lê Nguyễn Kim Thư </v>
      </c>
      <c r="J8717" s="3" t="str">
        <f ca="1">IFERROR(__xludf.DUMMYFUNCTION("""COMPUTED_VALUE"""),"0909325144")</f>
        <v>0909325144</v>
      </c>
      <c r="K8717" s="2" t="str">
        <f ca="1">IFERROR(__xludf.DUMMYFUNCTION("""COMPUTED_VALUE"""),"1759440574756")</f>
        <v>1759440574756</v>
      </c>
    </row>
    <row r="8718" spans="1:11" ht="12.45">
      <c r="A8718" s="2" t="str">
        <f ca="1">IFERROR(__xludf.DUMMYFUNCTION("""COMPUTED_VALUE"""),"1759440606596")</f>
        <v>1759440606596</v>
      </c>
      <c r="C8718" s="2" t="str">
        <v>0</v>
      </c>
      <c r="F8718" s="2" t="str">
        <v>0</v>
      </c>
      <c r="I8718" s="3" t="str">
        <f ca="1">IFERROR(__xludf.DUMMYFUNCTION("""COMPUTED_VALUE"""),"Lê Thị Vân")</f>
        <v>Lê Thị Vân</v>
      </c>
      <c r="J8718" s="3" t="str">
        <f ca="1">IFERROR(__xludf.DUMMYFUNCTION("""COMPUTED_VALUE"""),"0983966121")</f>
        <v>0983966121</v>
      </c>
      <c r="K8718" s="2" t="str">
        <f ca="1">IFERROR(__xludf.DUMMYFUNCTION("""COMPUTED_VALUE"""),"1759440606596")</f>
        <v>1759440606596</v>
      </c>
    </row>
    <row r="8719" spans="1:11" ht="12.45">
      <c r="A8719" s="2" t="str">
        <f ca="1">IFERROR(__xludf.DUMMYFUNCTION("""COMPUTED_VALUE"""),"1759440633078")</f>
        <v>1759440633078</v>
      </c>
      <c r="C8719" s="2" t="str">
        <v>0</v>
      </c>
      <c r="F8719" s="2" t="str">
        <v>0</v>
      </c>
      <c r="I8719" s="3" t="str">
        <f ca="1">IFERROR(__xludf.DUMMYFUNCTION("""COMPUTED_VALUE"""),"Nguyễn Y Bình")</f>
        <v>Nguyễn Y Bình</v>
      </c>
      <c r="J8719" s="3" t="str">
        <f ca="1">IFERROR(__xludf.DUMMYFUNCTION("""COMPUTED_VALUE"""),"0339942284")</f>
        <v>0339942284</v>
      </c>
      <c r="K8719" s="2" t="str">
        <f ca="1">IFERROR(__xludf.DUMMYFUNCTION("""COMPUTED_VALUE"""),"1759440633078")</f>
        <v>1759440633078</v>
      </c>
    </row>
    <row r="8720" spans="1:11" ht="12.45">
      <c r="A8720" s="2" t="str">
        <f ca="1">IFERROR(__xludf.DUMMYFUNCTION("""COMPUTED_VALUE"""),"1759440656524")</f>
        <v>1759440656524</v>
      </c>
      <c r="C8720" s="2" t="str">
        <v>0</v>
      </c>
      <c r="F8720" s="2" t="str">
        <v>0</v>
      </c>
      <c r="I8720" s="3" t="str">
        <f ca="1">IFERROR(__xludf.DUMMYFUNCTION("""COMPUTED_VALUE"""),"Nguyễn Phương Thảo ")</f>
        <v xml:space="preserve">Nguyễn Phương Thảo </v>
      </c>
      <c r="J8720" s="3" t="str">
        <f ca="1">IFERROR(__xludf.DUMMYFUNCTION("""COMPUTED_VALUE"""),"0367590200")</f>
        <v>0367590200</v>
      </c>
      <c r="K8720" s="2" t="str">
        <f ca="1">IFERROR(__xludf.DUMMYFUNCTION("""COMPUTED_VALUE"""),"1759440656524")</f>
        <v>1759440656524</v>
      </c>
    </row>
    <row r="8721" spans="1:11" ht="12.45">
      <c r="A8721" s="2" t="str">
        <f ca="1">IFERROR(__xludf.DUMMYFUNCTION("""COMPUTED_VALUE"""),"1759440681046")</f>
        <v>1759440681046</v>
      </c>
      <c r="C8721" s="2" t="str">
        <v>0</v>
      </c>
      <c r="F8721" s="2" t="str">
        <v>0</v>
      </c>
      <c r="I8721" s="3" t="str">
        <f ca="1">IFERROR(__xludf.DUMMYFUNCTION("""COMPUTED_VALUE"""),"Nguyễn Phan Ngọc Linh")</f>
        <v>Nguyễn Phan Ngọc Linh</v>
      </c>
      <c r="J8721" s="3" t="str">
        <f ca="1">IFERROR(__xludf.DUMMYFUNCTION("""COMPUTED_VALUE"""),"0359342566")</f>
        <v>0359342566</v>
      </c>
      <c r="K8721" s="2" t="str">
        <f ca="1">IFERROR(__xludf.DUMMYFUNCTION("""COMPUTED_VALUE"""),"1759440681046")</f>
        <v>1759440681046</v>
      </c>
    </row>
    <row r="8722" spans="1:11" ht="12.45">
      <c r="A8722" s="2" t="str">
        <f ca="1">IFERROR(__xludf.DUMMYFUNCTION("""COMPUTED_VALUE"""),"1759440714113")</f>
        <v>1759440714113</v>
      </c>
      <c r="C8722" s="2" t="str">
        <v>0</v>
      </c>
      <c r="F8722" s="2" t="str">
        <v>0</v>
      </c>
      <c r="I8722" s="3" t="str">
        <f ca="1">IFERROR(__xludf.DUMMYFUNCTION("""COMPUTED_VALUE"""),"Lê Quốc Anh")</f>
        <v>Lê Quốc Anh</v>
      </c>
      <c r="J8722" s="3" t="str">
        <f ca="1">IFERROR(__xludf.DUMMYFUNCTION("""COMPUTED_VALUE"""),"0376991346")</f>
        <v>0376991346</v>
      </c>
      <c r="K8722" s="2" t="str">
        <f ca="1">IFERROR(__xludf.DUMMYFUNCTION("""COMPUTED_VALUE"""),"1759440714113")</f>
        <v>1759440714113</v>
      </c>
    </row>
    <row r="8723" spans="1:11" ht="12.45">
      <c r="A8723" s="2" t="str">
        <f ca="1">IFERROR(__xludf.DUMMYFUNCTION("""COMPUTED_VALUE"""),"1759440748442")</f>
        <v>1759440748442</v>
      </c>
      <c r="C8723" s="2" t="str">
        <v>0</v>
      </c>
      <c r="F8723" s="2" t="str">
        <v>0</v>
      </c>
      <c r="I8723" s="3" t="str">
        <f ca="1">IFERROR(__xludf.DUMMYFUNCTION("""COMPUTED_VALUE"""),"Nguyễn Thị Phương Anh")</f>
        <v>Nguyễn Thị Phương Anh</v>
      </c>
      <c r="J8723" s="3" t="str">
        <f ca="1">IFERROR(__xludf.DUMMYFUNCTION("""COMPUTED_VALUE"""),"0784914707")</f>
        <v>0784914707</v>
      </c>
      <c r="K8723" s="2" t="str">
        <f ca="1">IFERROR(__xludf.DUMMYFUNCTION("""COMPUTED_VALUE"""),"1759440748442")</f>
        <v>1759440748442</v>
      </c>
    </row>
    <row r="8724" spans="1:11" ht="12.45">
      <c r="A8724" s="2" t="str">
        <f ca="1">IFERROR(__xludf.DUMMYFUNCTION("""COMPUTED_VALUE"""),"1759440787894")</f>
        <v>1759440787894</v>
      </c>
      <c r="C8724" s="2" t="str">
        <v>0</v>
      </c>
      <c r="F8724" s="2" t="str">
        <v>0</v>
      </c>
      <c r="I8724" s="3" t="str">
        <f ca="1">IFERROR(__xludf.DUMMYFUNCTION("""COMPUTED_VALUE"""),"Vòng Ngọc Thiên Hoa")</f>
        <v>Vòng Ngọc Thiên Hoa</v>
      </c>
      <c r="J8724" s="3" t="str">
        <f ca="1">IFERROR(__xludf.DUMMYFUNCTION("""COMPUTED_VALUE"""),"0326137822")</f>
        <v>0326137822</v>
      </c>
      <c r="K8724" s="2" t="str">
        <f ca="1">IFERROR(__xludf.DUMMYFUNCTION("""COMPUTED_VALUE"""),"1759440787894")</f>
        <v>1759440787894</v>
      </c>
    </row>
    <row r="8725" spans="1:11" ht="12.45">
      <c r="A8725" s="2" t="str">
        <f ca="1">IFERROR(__xludf.DUMMYFUNCTION("""COMPUTED_VALUE"""),"1759440818778")</f>
        <v>1759440818778</v>
      </c>
      <c r="C8725" s="2" t="str">
        <v>0</v>
      </c>
      <c r="F8725" s="2" t="str">
        <v>0</v>
      </c>
      <c r="I8725" s="3" t="str">
        <f ca="1">IFERROR(__xludf.DUMMYFUNCTION("""COMPUTED_VALUE"""),"Phạm Khánh Linh")</f>
        <v>Phạm Khánh Linh</v>
      </c>
      <c r="J8725" s="3" t="str">
        <f ca="1">IFERROR(__xludf.DUMMYFUNCTION("""COMPUTED_VALUE"""),"0985065235")</f>
        <v>0985065235</v>
      </c>
      <c r="K8725" s="2" t="str">
        <f ca="1">IFERROR(__xludf.DUMMYFUNCTION("""COMPUTED_VALUE"""),"1759440818778")</f>
        <v>1759440818778</v>
      </c>
    </row>
    <row r="8726" spans="1:11" ht="12.45">
      <c r="A8726" s="2" t="str">
        <f ca="1">IFERROR(__xludf.DUMMYFUNCTION("""COMPUTED_VALUE"""),"1759440852214")</f>
        <v>1759440852214</v>
      </c>
      <c r="C8726" s="2" t="str">
        <v>0</v>
      </c>
      <c r="F8726" s="2" t="str">
        <v>0</v>
      </c>
      <c r="I8726" s="3" t="str">
        <f ca="1">IFERROR(__xludf.DUMMYFUNCTION("""COMPUTED_VALUE"""),"ĐỖ THÙY DUNG")</f>
        <v>ĐỖ THÙY DUNG</v>
      </c>
      <c r="J8726" s="3" t="str">
        <f ca="1">IFERROR(__xludf.DUMMYFUNCTION("""COMPUTED_VALUE"""),"0389887616")</f>
        <v>0389887616</v>
      </c>
      <c r="K8726" s="2" t="str">
        <f ca="1">IFERROR(__xludf.DUMMYFUNCTION("""COMPUTED_VALUE"""),"1759440852214")</f>
        <v>1759440852214</v>
      </c>
    </row>
    <row r="8727" spans="1:11" ht="12.45">
      <c r="A8727" s="2" t="str">
        <f ca="1">IFERROR(__xludf.DUMMYFUNCTION("""COMPUTED_VALUE"""),"1759440896061")</f>
        <v>1759440896061</v>
      </c>
      <c r="C8727" s="2" t="str">
        <v>0</v>
      </c>
      <c r="F8727" s="2" t="str">
        <v>0</v>
      </c>
      <c r="I8727" s="3" t="str">
        <f ca="1">IFERROR(__xludf.DUMMYFUNCTION("""COMPUTED_VALUE"""),"Dương Thị Uyên Nhi")</f>
        <v>Dương Thị Uyên Nhi</v>
      </c>
      <c r="J8727" s="3" t="str">
        <f ca="1">IFERROR(__xludf.DUMMYFUNCTION("""COMPUTED_VALUE"""),"0388852590")</f>
        <v>0388852590</v>
      </c>
      <c r="K8727" s="2" t="str">
        <f ca="1">IFERROR(__xludf.DUMMYFUNCTION("""COMPUTED_VALUE"""),"1759440896061")</f>
        <v>1759440896061</v>
      </c>
    </row>
    <row r="8728" spans="1:11" ht="12.45">
      <c r="A8728" s="2"/>
      <c r="C8728" s="2" t="str">
        <v>0</v>
      </c>
      <c r="F8728" s="2" t="str">
        <v>0</v>
      </c>
      <c r="I8728" s="3" t="str">
        <f ca="1">IFERROR(__xludf.DUMMYFUNCTION("""COMPUTED_VALUE"""),"Nguyễn Phương Linh")</f>
        <v>Nguyễn Phương Linh</v>
      </c>
      <c r="J8728" s="3" t="str">
        <f ca="1">IFERROR(__xludf.DUMMYFUNCTION("""COMPUTED_VALUE"""),"0966506412")</f>
        <v>0966506412</v>
      </c>
      <c r="K8728" s="2"/>
    </row>
    <row r="8729" spans="1:11" ht="12.45">
      <c r="A8729" s="2" t="str">
        <f ca="1">IFERROR(__xludf.DUMMYFUNCTION("""COMPUTED_VALUE"""),"1759440924068")</f>
        <v>1759440924068</v>
      </c>
      <c r="C8729" s="2" t="str">
        <v>0</v>
      </c>
      <c r="F8729" s="2" t="str">
        <v>0</v>
      </c>
      <c r="I8729" s="3" t="str">
        <f ca="1">IFERROR(__xludf.DUMMYFUNCTION("""COMPUTED_VALUE"""),"Nguyễn thế nhất")</f>
        <v>Nguyễn thế nhất</v>
      </c>
      <c r="J8729" s="3" t="str">
        <f ca="1">IFERROR(__xludf.DUMMYFUNCTION("""COMPUTED_VALUE"""),"0345850543")</f>
        <v>0345850543</v>
      </c>
      <c r="K8729" s="2" t="str">
        <f ca="1">IFERROR(__xludf.DUMMYFUNCTION("""COMPUTED_VALUE"""),"1759440924068")</f>
        <v>1759440924068</v>
      </c>
    </row>
    <row r="8730" spans="1:11" ht="12.45">
      <c r="A8730" s="2" t="str">
        <f ca="1">IFERROR(__xludf.DUMMYFUNCTION("""COMPUTED_VALUE"""),"1759440963215")</f>
        <v>1759440963215</v>
      </c>
      <c r="C8730" s="2" t="str">
        <v>0</v>
      </c>
      <c r="F8730" s="2" t="str">
        <v>0</v>
      </c>
      <c r="I8730" s="3" t="str">
        <f ca="1">IFERROR(__xludf.DUMMYFUNCTION("""COMPUTED_VALUE"""),"Nguyễn Thị Yến Nhi")</f>
        <v>Nguyễn Thị Yến Nhi</v>
      </c>
      <c r="J8730" s="3" t="str">
        <f ca="1">IFERROR(__xludf.DUMMYFUNCTION("""COMPUTED_VALUE"""),"0359946438")</f>
        <v>0359946438</v>
      </c>
      <c r="K8730" s="2" t="str">
        <f ca="1">IFERROR(__xludf.DUMMYFUNCTION("""COMPUTED_VALUE"""),"1759440963215")</f>
        <v>1759440963215</v>
      </c>
    </row>
    <row r="8731" spans="1:11" ht="12.45">
      <c r="A8731" s="2" t="str">
        <f ca="1">IFERROR(__xludf.DUMMYFUNCTION("""COMPUTED_VALUE"""),"1759440994615")</f>
        <v>1759440994615</v>
      </c>
      <c r="C8731" s="2" t="str">
        <v>0</v>
      </c>
      <c r="F8731" s="2" t="str">
        <v>0</v>
      </c>
      <c r="I8731" s="3" t="str">
        <f ca="1">IFERROR(__xludf.DUMMYFUNCTION("""COMPUTED_VALUE"""),"Trần Thị Gia Hân")</f>
        <v>Trần Thị Gia Hân</v>
      </c>
      <c r="J8731" s="3" t="str">
        <f ca="1">IFERROR(__xludf.DUMMYFUNCTION("""COMPUTED_VALUE"""),"0938573632")</f>
        <v>0938573632</v>
      </c>
      <c r="K8731" s="2" t="str">
        <f ca="1">IFERROR(__xludf.DUMMYFUNCTION("""COMPUTED_VALUE"""),"1759440994615")</f>
        <v>1759440994615</v>
      </c>
    </row>
    <row r="8732" spans="1:11" ht="12.45">
      <c r="A8732" s="2" t="str">
        <f ca="1">IFERROR(__xludf.DUMMYFUNCTION("""COMPUTED_VALUE"""),"1759441035673")</f>
        <v>1759441035673</v>
      </c>
      <c r="C8732" s="2" t="str">
        <v>0</v>
      </c>
      <c r="F8732" s="2" t="str">
        <v>0</v>
      </c>
      <c r="I8732" s="3" t="str">
        <f ca="1">IFERROR(__xludf.DUMMYFUNCTION("""COMPUTED_VALUE"""),"Lê Ngọc Gia Hân")</f>
        <v>Lê Ngọc Gia Hân</v>
      </c>
      <c r="J8732" s="3" t="str">
        <f ca="1">IFERROR(__xludf.DUMMYFUNCTION("""COMPUTED_VALUE"""),"0939415546")</f>
        <v>0939415546</v>
      </c>
      <c r="K8732" s="2" t="str">
        <f ca="1">IFERROR(__xludf.DUMMYFUNCTION("""COMPUTED_VALUE"""),"1759441035673")</f>
        <v>1759441035673</v>
      </c>
    </row>
    <row r="8733" spans="1:11" ht="12.45">
      <c r="A8733" s="2" t="str">
        <f ca="1">IFERROR(__xludf.DUMMYFUNCTION("""COMPUTED_VALUE"""),"1759441060617")</f>
        <v>1759441060617</v>
      </c>
      <c r="C8733" s="2" t="str">
        <v>0</v>
      </c>
      <c r="F8733" s="2" t="str">
        <v>0</v>
      </c>
      <c r="I8733" s="3" t="str">
        <f ca="1">IFERROR(__xludf.DUMMYFUNCTION("""COMPUTED_VALUE"""),"Nguyễn Thị Thanh Chi")</f>
        <v>Nguyễn Thị Thanh Chi</v>
      </c>
      <c r="J8733" s="3" t="str">
        <f ca="1">IFERROR(__xludf.DUMMYFUNCTION("""COMPUTED_VALUE"""),"0387695892")</f>
        <v>0387695892</v>
      </c>
      <c r="K8733" s="2" t="str">
        <f ca="1">IFERROR(__xludf.DUMMYFUNCTION("""COMPUTED_VALUE"""),"1759441060617")</f>
        <v>1759441060617</v>
      </c>
    </row>
    <row r="8734" spans="1:11" ht="12.45">
      <c r="A8734" s="2" t="str">
        <f ca="1">IFERROR(__xludf.DUMMYFUNCTION("""COMPUTED_VALUE"""),"1759441097331")</f>
        <v>1759441097331</v>
      </c>
      <c r="C8734" s="2" t="str">
        <v>0</v>
      </c>
      <c r="F8734" s="2" t="str">
        <v>0</v>
      </c>
      <c r="I8734" s="3" t="str">
        <f ca="1">IFERROR(__xludf.DUMMYFUNCTION("""COMPUTED_VALUE"""),"Bùi Hương Giang")</f>
        <v>Bùi Hương Giang</v>
      </c>
      <c r="J8734" s="3" t="str">
        <f ca="1">IFERROR(__xludf.DUMMYFUNCTION("""COMPUTED_VALUE"""),"0963630399")</f>
        <v>0963630399</v>
      </c>
      <c r="K8734" s="2" t="str">
        <f ca="1">IFERROR(__xludf.DUMMYFUNCTION("""COMPUTED_VALUE"""),"1759441097331")</f>
        <v>1759441097331</v>
      </c>
    </row>
    <row r="8735" spans="1:11" ht="12.45">
      <c r="A8735" s="2" t="str">
        <f ca="1">IFERROR(__xludf.DUMMYFUNCTION("""COMPUTED_VALUE"""),"1759441130598")</f>
        <v>1759441130598</v>
      </c>
      <c r="C8735" s="2" t="str">
        <v>0</v>
      </c>
      <c r="F8735" s="2" t="str">
        <v>0</v>
      </c>
      <c r="I8735" s="3" t="str">
        <f ca="1">IFERROR(__xludf.DUMMYFUNCTION("""COMPUTED_VALUE"""),"Lê Phạm Thanh Ngân ")</f>
        <v xml:space="preserve">Lê Phạm Thanh Ngân </v>
      </c>
      <c r="J8735" s="3" t="str">
        <f ca="1">IFERROR(__xludf.DUMMYFUNCTION("""COMPUTED_VALUE"""),"0333492265")</f>
        <v>0333492265</v>
      </c>
      <c r="K8735" s="2" t="str">
        <f ca="1">IFERROR(__xludf.DUMMYFUNCTION("""COMPUTED_VALUE"""),"1759441130598")</f>
        <v>1759441130598</v>
      </c>
    </row>
    <row r="8736" spans="1:11" ht="12.45">
      <c r="A8736" s="2" t="str">
        <f ca="1">IFERROR(__xludf.DUMMYFUNCTION("""COMPUTED_VALUE"""),"1759441176675")</f>
        <v>1759441176675</v>
      </c>
      <c r="C8736" s="2" t="str">
        <v>0</v>
      </c>
      <c r="F8736" s="2" t="str">
        <v>0</v>
      </c>
      <c r="I8736" s="3" t="str">
        <f ca="1">IFERROR(__xludf.DUMMYFUNCTION("""COMPUTED_VALUE"""),"Huỳnh Hoàng Anh Thư")</f>
        <v>Huỳnh Hoàng Anh Thư</v>
      </c>
      <c r="J8736" s="3" t="str">
        <f ca="1">IFERROR(__xludf.DUMMYFUNCTION("""COMPUTED_VALUE"""),"0836463779")</f>
        <v>0836463779</v>
      </c>
      <c r="K8736" s="2" t="str">
        <f ca="1">IFERROR(__xludf.DUMMYFUNCTION("""COMPUTED_VALUE"""),"1759441176675")</f>
        <v>1759441176675</v>
      </c>
    </row>
    <row r="8737" spans="1:11" ht="12.45">
      <c r="A8737" s="2" t="str">
        <f ca="1">IFERROR(__xludf.DUMMYFUNCTION("""COMPUTED_VALUE"""),"1759441234058")</f>
        <v>1759441234058</v>
      </c>
      <c r="C8737" s="2" t="str">
        <v>0</v>
      </c>
      <c r="F8737" s="2" t="str">
        <v>0</v>
      </c>
      <c r="I8737" s="3" t="str">
        <f ca="1">IFERROR(__xludf.DUMMYFUNCTION("""COMPUTED_VALUE"""),"Lương Trà My")</f>
        <v>Lương Trà My</v>
      </c>
      <c r="J8737" s="3" t="str">
        <f ca="1">IFERROR(__xludf.DUMMYFUNCTION("""COMPUTED_VALUE"""),"0983566798")</f>
        <v>0983566798</v>
      </c>
      <c r="K8737" s="2" t="str">
        <f ca="1">IFERROR(__xludf.DUMMYFUNCTION("""COMPUTED_VALUE"""),"1759441234058")</f>
        <v>1759441234058</v>
      </c>
    </row>
    <row r="8738" spans="1:11" ht="12.45">
      <c r="A8738" s="2" t="str">
        <f ca="1">IFERROR(__xludf.DUMMYFUNCTION("""COMPUTED_VALUE"""),"1759441271221")</f>
        <v>1759441271221</v>
      </c>
      <c r="C8738" s="2" t="str">
        <v>0</v>
      </c>
      <c r="F8738" s="2" t="str">
        <v>0</v>
      </c>
      <c r="I8738" s="3" t="str">
        <f ca="1">IFERROR(__xludf.DUMMYFUNCTION("""COMPUTED_VALUE"""),"Nguyễn Hồng Ngọc Trâm")</f>
        <v>Nguyễn Hồng Ngọc Trâm</v>
      </c>
      <c r="J8738" s="3" t="str">
        <f ca="1">IFERROR(__xludf.DUMMYFUNCTION("""COMPUTED_VALUE"""),"0339632933")</f>
        <v>0339632933</v>
      </c>
      <c r="K8738" s="2" t="str">
        <f ca="1">IFERROR(__xludf.DUMMYFUNCTION("""COMPUTED_VALUE"""),"1759441271221")</f>
        <v>1759441271221</v>
      </c>
    </row>
    <row r="8739" spans="1:11" ht="12.45">
      <c r="A8739" s="2" t="str">
        <f ca="1">IFERROR(__xludf.DUMMYFUNCTION("""COMPUTED_VALUE"""),"1759441310955")</f>
        <v>1759441310955</v>
      </c>
      <c r="C8739" s="2" t="str">
        <v>0</v>
      </c>
      <c r="F8739" s="2" t="str">
        <v>0</v>
      </c>
      <c r="I8739" s="3" t="str">
        <f ca="1">IFERROR(__xludf.DUMMYFUNCTION("""COMPUTED_VALUE"""),"Hồ Ý Vy")</f>
        <v>Hồ Ý Vy</v>
      </c>
      <c r="J8739" s="3" t="str">
        <f ca="1">IFERROR(__xludf.DUMMYFUNCTION("""COMPUTED_VALUE"""),"0799403399")</f>
        <v>0799403399</v>
      </c>
      <c r="K8739" s="2" t="str">
        <f ca="1">IFERROR(__xludf.DUMMYFUNCTION("""COMPUTED_VALUE"""),"1759441310955")</f>
        <v>1759441310955</v>
      </c>
    </row>
    <row r="8740" spans="1:11" ht="12.45">
      <c r="A8740" s="2"/>
      <c r="C8740" s="2" t="str">
        <v>0</v>
      </c>
      <c r="F8740" s="2" t="str">
        <v>0</v>
      </c>
      <c r="I8740" s="3" t="str">
        <f ca="1">IFERROR(__xludf.DUMMYFUNCTION("""COMPUTED_VALUE"""),"angela Ngọc Trinh")</f>
        <v>angela Ngọc Trinh</v>
      </c>
      <c r="J8740" s="3" t="str">
        <f ca="1">IFERROR(__xludf.DUMMYFUNCTION("""COMPUTED_VALUE"""),"0813139140")</f>
        <v>0813139140</v>
      </c>
      <c r="K8740" s="2"/>
    </row>
    <row r="8741" spans="1:11" ht="12.45">
      <c r="A8741" s="2" t="str">
        <f ca="1">IFERROR(__xludf.DUMMYFUNCTION("""COMPUTED_VALUE"""),"1759441346518")</f>
        <v>1759441346518</v>
      </c>
      <c r="C8741" s="2" t="str">
        <v>0</v>
      </c>
      <c r="F8741" s="2" t="str">
        <v>0</v>
      </c>
      <c r="I8741" s="3" t="str">
        <f ca="1">IFERROR(__xludf.DUMMYFUNCTION("""COMPUTED_VALUE"""),"Bùi Hương Giang")</f>
        <v>Bùi Hương Giang</v>
      </c>
      <c r="J8741" s="3" t="str">
        <f ca="1">IFERROR(__xludf.DUMMYFUNCTION("""COMPUTED_VALUE"""),"0911595886")</f>
        <v>0911595886</v>
      </c>
      <c r="K8741" s="2" t="str">
        <f ca="1">IFERROR(__xludf.DUMMYFUNCTION("""COMPUTED_VALUE"""),"1759441346518")</f>
        <v>1759441346518</v>
      </c>
    </row>
    <row r="8742" spans="1:11" ht="12.45">
      <c r="A8742" s="2" t="str">
        <f ca="1">IFERROR(__xludf.DUMMYFUNCTION("""COMPUTED_VALUE"""),"1759441381686")</f>
        <v>1759441381686</v>
      </c>
      <c r="C8742" s="2" t="str">
        <v>0</v>
      </c>
      <c r="F8742" s="2" t="str">
        <v>0</v>
      </c>
      <c r="I8742" s="3" t="str">
        <f ca="1">IFERROR(__xludf.DUMMYFUNCTION("""COMPUTED_VALUE"""),"PHAN THỊ NGỌC THUỶ")</f>
        <v>PHAN THỊ NGỌC THUỶ</v>
      </c>
      <c r="J8742" s="3" t="str">
        <f ca="1">IFERROR(__xludf.DUMMYFUNCTION("""COMPUTED_VALUE"""),"0348686451")</f>
        <v>0348686451</v>
      </c>
      <c r="K8742" s="2" t="str">
        <f ca="1">IFERROR(__xludf.DUMMYFUNCTION("""COMPUTED_VALUE"""),"1759441381686")</f>
        <v>1759441381686</v>
      </c>
    </row>
    <row r="8743" spans="1:11" ht="12.45">
      <c r="A8743" s="2" t="str">
        <f ca="1">IFERROR(__xludf.DUMMYFUNCTION("""COMPUTED_VALUE"""),"1759441419980")</f>
        <v>1759441419980</v>
      </c>
      <c r="C8743" s="2" t="str">
        <v>0</v>
      </c>
      <c r="F8743" s="2" t="str">
        <v>0</v>
      </c>
      <c r="I8743" s="3" t="str">
        <f ca="1">IFERROR(__xludf.DUMMYFUNCTION("""COMPUTED_VALUE"""),"Trần Thùy Dương")</f>
        <v>Trần Thùy Dương</v>
      </c>
      <c r="J8743" s="3" t="str">
        <f ca="1">IFERROR(__xludf.DUMMYFUNCTION("""COMPUTED_VALUE"""),"0813227191")</f>
        <v>0813227191</v>
      </c>
      <c r="K8743" s="2" t="str">
        <f ca="1">IFERROR(__xludf.DUMMYFUNCTION("""COMPUTED_VALUE"""),"1759441419980")</f>
        <v>1759441419980</v>
      </c>
    </row>
    <row r="8744" spans="1:11" ht="12.45">
      <c r="A8744" s="2" t="str">
        <f ca="1">IFERROR(__xludf.DUMMYFUNCTION("""COMPUTED_VALUE"""),"1750465540322")</f>
        <v>1750465540322</v>
      </c>
      <c r="C8744" s="2" t="str">
        <v>0</v>
      </c>
      <c r="F8744" s="2" t="str">
        <v>0</v>
      </c>
      <c r="I8744" s="3" t="str">
        <f ca="1">IFERROR(__xludf.DUMMYFUNCTION("""COMPUTED_VALUE"""),"Nguyễn Trúc Linh")</f>
        <v>Nguyễn Trúc Linh</v>
      </c>
      <c r="J8744" s="3" t="str">
        <f ca="1">IFERROR(__xludf.DUMMYFUNCTION("""COMPUTED_VALUE"""),"0908132550")</f>
        <v>0908132550</v>
      </c>
      <c r="K8744" s="2" t="str">
        <f ca="1">IFERROR(__xludf.DUMMYFUNCTION("""COMPUTED_VALUE"""),"1750465540322")</f>
        <v>1750465540322</v>
      </c>
    </row>
    <row r="8745" spans="1:11" ht="12.45">
      <c r="A8745" s="2" t="str">
        <f ca="1">IFERROR(__xludf.DUMMYFUNCTION("""COMPUTED_VALUE"""),"1750465570180")</f>
        <v>1750465570180</v>
      </c>
      <c r="C8745" s="2" t="str">
        <v>0</v>
      </c>
      <c r="F8745" s="2" t="str">
        <v>0</v>
      </c>
      <c r="I8745" s="3" t="str">
        <f ca="1">IFERROR(__xludf.DUMMYFUNCTION("""COMPUTED_VALUE"""),"Đỗ Thu Huyền")</f>
        <v>Đỗ Thu Huyền</v>
      </c>
      <c r="J8745" s="3" t="str">
        <f ca="1">IFERROR(__xludf.DUMMYFUNCTION("""COMPUTED_VALUE"""),"0865247857")</f>
        <v>0865247857</v>
      </c>
      <c r="K8745" s="2" t="str">
        <f ca="1">IFERROR(__xludf.DUMMYFUNCTION("""COMPUTED_VALUE"""),"1750465570180")</f>
        <v>1750465570180</v>
      </c>
    </row>
    <row r="8746" spans="1:11" ht="12.45">
      <c r="A8746" s="2" t="str">
        <f ca="1">IFERROR(__xludf.DUMMYFUNCTION("""COMPUTED_VALUE"""),"1759441456177")</f>
        <v>1759441456177</v>
      </c>
      <c r="C8746" s="2" t="str">
        <v>0</v>
      </c>
      <c r="F8746" s="2" t="str">
        <v>0</v>
      </c>
      <c r="I8746" s="3" t="str">
        <f ca="1">IFERROR(__xludf.DUMMYFUNCTION("""COMPUTED_VALUE"""),"Võ Thị Thanh Thư")</f>
        <v>Võ Thị Thanh Thư</v>
      </c>
      <c r="J8746" s="3" t="str">
        <f ca="1">IFERROR(__xludf.DUMMYFUNCTION("""COMPUTED_VALUE"""),"0947987400")</f>
        <v>0947987400</v>
      </c>
      <c r="K8746" s="2" t="str">
        <f ca="1">IFERROR(__xludf.DUMMYFUNCTION("""COMPUTED_VALUE"""),"1759441456177")</f>
        <v>1759441456177</v>
      </c>
    </row>
    <row r="8747" spans="1:11" ht="12.45">
      <c r="A8747" s="2" t="str">
        <f ca="1">IFERROR(__xludf.DUMMYFUNCTION("""COMPUTED_VALUE"""),"1750465620645")</f>
        <v>1750465620645</v>
      </c>
      <c r="C8747" s="2" t="str">
        <v>0</v>
      </c>
      <c r="F8747" s="2" t="str">
        <v>0</v>
      </c>
      <c r="I8747" s="3" t="str">
        <f ca="1">IFERROR(__xludf.DUMMYFUNCTION("""COMPUTED_VALUE"""),"Lê Trần Thái Anh")</f>
        <v>Lê Trần Thái Anh</v>
      </c>
      <c r="J8747" s="3" t="str">
        <f ca="1">IFERROR(__xludf.DUMMYFUNCTION("""COMPUTED_VALUE"""),"0352199258")</f>
        <v>0352199258</v>
      </c>
      <c r="K8747" s="2" t="str">
        <f ca="1">IFERROR(__xludf.DUMMYFUNCTION("""COMPUTED_VALUE"""),"1750465620645")</f>
        <v>1750465620645</v>
      </c>
    </row>
    <row r="8748" spans="1:11" ht="12.45">
      <c r="A8748" s="2" t="str">
        <f ca="1">IFERROR(__xludf.DUMMYFUNCTION("""COMPUTED_VALUE"""),"1750465661081")</f>
        <v>1750465661081</v>
      </c>
      <c r="C8748" s="2" t="str">
        <v>0</v>
      </c>
      <c r="F8748" s="2" t="str">
        <v>0</v>
      </c>
      <c r="I8748" s="3" t="str">
        <f ca="1">IFERROR(__xludf.DUMMYFUNCTION("""COMPUTED_VALUE"""),"Đỗ Thanh Thư")</f>
        <v>Đỗ Thanh Thư</v>
      </c>
      <c r="J8748" s="3" t="str">
        <f ca="1">IFERROR(__xludf.DUMMYFUNCTION("""COMPUTED_VALUE"""),"0344582367")</f>
        <v>0344582367</v>
      </c>
      <c r="K8748" s="2" t="str">
        <f ca="1">IFERROR(__xludf.DUMMYFUNCTION("""COMPUTED_VALUE"""),"1750465661081")</f>
        <v>1750465661081</v>
      </c>
    </row>
    <row r="8749" spans="1:11" ht="12.45">
      <c r="A8749" s="2" t="str">
        <f ca="1">IFERROR(__xludf.DUMMYFUNCTION("""COMPUTED_VALUE"""),"1750465702410")</f>
        <v>1750465702410</v>
      </c>
      <c r="C8749" s="2" t="str">
        <v>0</v>
      </c>
      <c r="F8749" s="2" t="str">
        <v>0</v>
      </c>
      <c r="I8749" s="3" t="str">
        <f ca="1">IFERROR(__xludf.DUMMYFUNCTION("""COMPUTED_VALUE"""),"Nguyễn Diệp Linh Hương")</f>
        <v>Nguyễn Diệp Linh Hương</v>
      </c>
      <c r="J8749" s="3" t="str">
        <f ca="1">IFERROR(__xludf.DUMMYFUNCTION("""COMPUTED_VALUE"""),"0981706632")</f>
        <v>0981706632</v>
      </c>
      <c r="K8749" s="2" t="str">
        <f ca="1">IFERROR(__xludf.DUMMYFUNCTION("""COMPUTED_VALUE"""),"1750465702410")</f>
        <v>1750465702410</v>
      </c>
    </row>
    <row r="8750" spans="1:11" ht="12.45">
      <c r="A8750" s="2" t="str">
        <f ca="1">IFERROR(__xludf.DUMMYFUNCTION("""COMPUTED_VALUE"""),"1750465731423")</f>
        <v>1750465731423</v>
      </c>
      <c r="C8750" s="2" t="str">
        <v>0</v>
      </c>
      <c r="F8750" s="2" t="str">
        <v>0</v>
      </c>
      <c r="I8750" s="3" t="str">
        <f ca="1">IFERROR(__xludf.DUMMYFUNCTION("""COMPUTED_VALUE"""),"Đinh Nguyễn An Nhi")</f>
        <v>Đinh Nguyễn An Nhi</v>
      </c>
      <c r="J8750" s="3" t="str">
        <f ca="1">IFERROR(__xludf.DUMMYFUNCTION("""COMPUTED_VALUE"""),"0849301007")</f>
        <v>0849301007</v>
      </c>
      <c r="K8750" s="2" t="str">
        <f ca="1">IFERROR(__xludf.DUMMYFUNCTION("""COMPUTED_VALUE"""),"1750465731423")</f>
        <v>1750465731423</v>
      </c>
    </row>
    <row r="8751" spans="1:11" ht="12.45">
      <c r="A8751" s="2" t="str">
        <f ca="1">IFERROR(__xludf.DUMMYFUNCTION("""COMPUTED_VALUE"""),"1750465795653")</f>
        <v>1750465795653</v>
      </c>
      <c r="C8751" s="2" t="str">
        <v>0</v>
      </c>
      <c r="F8751" s="2" t="str">
        <v>0</v>
      </c>
      <c r="I8751" s="3" t="str">
        <f ca="1">IFERROR(__xludf.DUMMYFUNCTION("""COMPUTED_VALUE"""),"Nguyễn Minh Trang")</f>
        <v>Nguyễn Minh Trang</v>
      </c>
      <c r="J8751" s="3" t="str">
        <f ca="1">IFERROR(__xludf.DUMMYFUNCTION("""COMPUTED_VALUE"""),"8432972829")</f>
        <v>8432972829</v>
      </c>
      <c r="K8751" s="2" t="str">
        <f ca="1">IFERROR(__xludf.DUMMYFUNCTION("""COMPUTED_VALUE"""),"1750465795653")</f>
        <v>1750465795653</v>
      </c>
    </row>
    <row r="8752" spans="1:11" ht="12.45">
      <c r="A8752" s="2" t="str">
        <f ca="1">IFERROR(__xludf.DUMMYFUNCTION("""COMPUTED_VALUE"""),"1750465823341")</f>
        <v>1750465823341</v>
      </c>
      <c r="C8752" s="2" t="str">
        <v>0</v>
      </c>
      <c r="F8752" s="2" t="str">
        <v>0</v>
      </c>
      <c r="I8752" s="3" t="str">
        <f ca="1">IFERROR(__xludf.DUMMYFUNCTION("""COMPUTED_VALUE"""),"Nguyễn Thúy Hiền")</f>
        <v>Nguyễn Thúy Hiền</v>
      </c>
      <c r="J8752" s="3" t="str">
        <f ca="1">IFERROR(__xludf.DUMMYFUNCTION("""COMPUTED_VALUE"""),"0877812388")</f>
        <v>0877812388</v>
      </c>
      <c r="K8752" s="2" t="str">
        <f ca="1">IFERROR(__xludf.DUMMYFUNCTION("""COMPUTED_VALUE"""),"1750465823341")</f>
        <v>1750465823341</v>
      </c>
    </row>
    <row r="8753" spans="1:11" ht="12.45">
      <c r="A8753" s="2" t="str">
        <f ca="1">IFERROR(__xludf.DUMMYFUNCTION("""COMPUTED_VALUE"""),"1750465845504")</f>
        <v>1750465845504</v>
      </c>
      <c r="C8753" s="2" t="str">
        <v>0</v>
      </c>
      <c r="F8753" s="2" t="str">
        <v>0</v>
      </c>
      <c r="I8753" s="3" t="str">
        <f ca="1">IFERROR(__xludf.DUMMYFUNCTION("""COMPUTED_VALUE"""),"Trần Hoàng Đoan Trang")</f>
        <v>Trần Hoàng Đoan Trang</v>
      </c>
      <c r="J8753" s="3" t="str">
        <f ca="1">IFERROR(__xludf.DUMMYFUNCTION("""COMPUTED_VALUE"""),"0847897859")</f>
        <v>0847897859</v>
      </c>
      <c r="K8753" s="2" t="str">
        <f ca="1">IFERROR(__xludf.DUMMYFUNCTION("""COMPUTED_VALUE"""),"1750465845504")</f>
        <v>1750465845504</v>
      </c>
    </row>
    <row r="8754" spans="1:11" ht="12.45">
      <c r="A8754" s="2" t="str">
        <f ca="1">IFERROR(__xludf.DUMMYFUNCTION("""COMPUTED_VALUE"""),"1750465885782")</f>
        <v>1750465885782</v>
      </c>
      <c r="C8754" s="2" t="str">
        <v>0</v>
      </c>
      <c r="F8754" s="2" t="str">
        <v>0</v>
      </c>
      <c r="I8754" s="3" t="str">
        <f ca="1">IFERROR(__xludf.DUMMYFUNCTION("""COMPUTED_VALUE"""),"Âu Thị Như Nguyệt")</f>
        <v>Âu Thị Như Nguyệt</v>
      </c>
      <c r="J8754" s="3" t="str">
        <f ca="1">IFERROR(__xludf.DUMMYFUNCTION("""COMPUTED_VALUE"""),"0869569116")</f>
        <v>0869569116</v>
      </c>
      <c r="K8754" s="2" t="str">
        <f ca="1">IFERROR(__xludf.DUMMYFUNCTION("""COMPUTED_VALUE"""),"1750465885782")</f>
        <v>1750465885782</v>
      </c>
    </row>
    <row r="8755" spans="1:11" ht="12.45">
      <c r="A8755" s="2" t="str">
        <f ca="1">IFERROR(__xludf.DUMMYFUNCTION("""COMPUTED_VALUE"""),"1750465918716")</f>
        <v>1750465918716</v>
      </c>
      <c r="C8755" s="2" t="str">
        <v>0</v>
      </c>
      <c r="F8755" s="2" t="str">
        <v>0</v>
      </c>
      <c r="I8755" s="3" t="str">
        <f ca="1">IFERROR(__xludf.DUMMYFUNCTION("""COMPUTED_VALUE"""),"Nguyễn Tuyết Phương ")</f>
        <v xml:space="preserve">Nguyễn Tuyết Phương </v>
      </c>
      <c r="J8755" s="3" t="str">
        <f ca="1">IFERROR(__xludf.DUMMYFUNCTION("""COMPUTED_VALUE"""),"0348378247")</f>
        <v>0348378247</v>
      </c>
      <c r="K8755" s="2" t="str">
        <f ca="1">IFERROR(__xludf.DUMMYFUNCTION("""COMPUTED_VALUE"""),"1750465918716")</f>
        <v>1750465918716</v>
      </c>
    </row>
    <row r="8756" spans="1:11" ht="12.45">
      <c r="A8756" s="2" t="str">
        <f ca="1">IFERROR(__xludf.DUMMYFUNCTION("""COMPUTED_VALUE"""),"1750465960972")</f>
        <v>1750465960972</v>
      </c>
      <c r="C8756" s="2" t="str">
        <v>0</v>
      </c>
      <c r="F8756" s="2" t="str">
        <v>0</v>
      </c>
      <c r="I8756" s="3" t="str">
        <f ca="1">IFERROR(__xludf.DUMMYFUNCTION("""COMPUTED_VALUE"""),"Nguyễn Thị Như Ý")</f>
        <v>Nguyễn Thị Như Ý</v>
      </c>
      <c r="J8756" s="3" t="str">
        <f ca="1">IFERROR(__xludf.DUMMYFUNCTION("""COMPUTED_VALUE"""),"0388030934")</f>
        <v>0388030934</v>
      </c>
      <c r="K8756" s="2" t="str">
        <f ca="1">IFERROR(__xludf.DUMMYFUNCTION("""COMPUTED_VALUE"""),"1750465960972")</f>
        <v>1750465960972</v>
      </c>
    </row>
    <row r="8757" spans="1:11" ht="12.45">
      <c r="A8757" s="2" t="str">
        <f ca="1">IFERROR(__xludf.DUMMYFUNCTION("""COMPUTED_VALUE"""),"1750465998903")</f>
        <v>1750465998903</v>
      </c>
      <c r="C8757" s="2" t="str">
        <v>0</v>
      </c>
      <c r="F8757" s="2" t="str">
        <v>0</v>
      </c>
      <c r="I8757" s="2" t="str">
        <f ca="1">IFERROR(__xludf.DUMMYFUNCTION("""COMPUTED_VALUE"""),"Nguyễn Thị Minh Anh")</f>
        <v>Nguyễn Thị Minh Anh</v>
      </c>
      <c r="J8757" s="3" t="str">
        <f ca="1">IFERROR(__xludf.DUMMYFUNCTION("""COMPUTED_VALUE"""),"0896739897")</f>
        <v>0896739897</v>
      </c>
      <c r="K8757" s="2" t="str">
        <f ca="1">IFERROR(__xludf.DUMMYFUNCTION("""COMPUTED_VALUE"""),"1750465998903")</f>
        <v>1750465998903</v>
      </c>
    </row>
    <row r="8758" spans="1:11" ht="12.45">
      <c r="A8758" s="2"/>
      <c r="C8758" s="2" t="str">
        <v>0</v>
      </c>
      <c r="F8758" s="2" t="str">
        <v>0</v>
      </c>
      <c r="I8758" s="3" t="str">
        <f ca="1">IFERROR(__xludf.DUMMYFUNCTION("""COMPUTED_VALUE"""),"Vương Khánh Linh")</f>
        <v>Vương Khánh Linh</v>
      </c>
      <c r="J8758" s="3" t="str">
        <f ca="1">IFERROR(__xludf.DUMMYFUNCTION("""COMPUTED_VALUE"""),"0978514575")</f>
        <v>0978514575</v>
      </c>
      <c r="K8758" s="2"/>
    </row>
    <row r="8759" spans="1:11" ht="12.45">
      <c r="A8759" s="2" t="str">
        <f ca="1">IFERROR(__xludf.DUMMYFUNCTION("""COMPUTED_VALUE"""),"1756215164137")</f>
        <v>1756215164137</v>
      </c>
      <c r="C8759" s="2" t="str">
        <v>0</v>
      </c>
      <c r="F8759" s="2" t="str">
        <v>0</v>
      </c>
      <c r="I8759" s="3" t="str">
        <f ca="1">IFERROR(__xludf.DUMMYFUNCTION("""COMPUTED_VALUE"""),"Nguyễn Hoàng Mỹ Quyên ")</f>
        <v xml:space="preserve">Nguyễn Hoàng Mỹ Quyên </v>
      </c>
      <c r="J8759" s="3" t="str">
        <f ca="1">IFERROR(__xludf.DUMMYFUNCTION("""COMPUTED_VALUE"""),"0941767429")</f>
        <v>0941767429</v>
      </c>
      <c r="K8759" s="2" t="str">
        <f ca="1">IFERROR(__xludf.DUMMYFUNCTION("""COMPUTED_VALUE"""),"1756215164137")</f>
        <v>1756215164137</v>
      </c>
    </row>
    <row r="8760" spans="1:11" ht="12.45">
      <c r="A8760" s="2" t="str">
        <f ca="1">IFERROR(__xludf.DUMMYFUNCTION("""COMPUTED_VALUE"""),"1750466016333")</f>
        <v>1750466016333</v>
      </c>
      <c r="C8760" s="2" t="str">
        <v>0</v>
      </c>
      <c r="F8760" s="2" t="str">
        <v>0</v>
      </c>
      <c r="I8760" s="3" t="str">
        <f ca="1">IFERROR(__xludf.DUMMYFUNCTION("""COMPUTED_VALUE"""),"Nguyễn huyền diệu")</f>
        <v>Nguyễn huyền diệu</v>
      </c>
      <c r="J8760" s="3" t="str">
        <f ca="1">IFERROR(__xludf.DUMMYFUNCTION("""COMPUTED_VALUE"""),"0855934189")</f>
        <v>0855934189</v>
      </c>
      <c r="K8760" s="2" t="str">
        <f ca="1">IFERROR(__xludf.DUMMYFUNCTION("""COMPUTED_VALUE"""),"1750466016333")</f>
        <v>1750466016333</v>
      </c>
    </row>
    <row r="8761" spans="1:11" ht="12.45">
      <c r="A8761" s="2" t="str">
        <f ca="1">IFERROR(__xludf.DUMMYFUNCTION("""COMPUTED_VALUE"""),"1750466094073")</f>
        <v>1750466094073</v>
      </c>
      <c r="C8761" s="2" t="str">
        <v>0</v>
      </c>
      <c r="F8761" s="2" t="str">
        <v>0</v>
      </c>
      <c r="I8761" s="3" t="str">
        <f ca="1">IFERROR(__xludf.DUMMYFUNCTION("""COMPUTED_VALUE"""),"Nguyễn Quý Đạt ")</f>
        <v xml:space="preserve">Nguyễn Quý Đạt </v>
      </c>
      <c r="J8761" s="3" t="str">
        <f ca="1">IFERROR(__xludf.DUMMYFUNCTION("""COMPUTED_VALUE"""),"0834282979")</f>
        <v>0834282979</v>
      </c>
      <c r="K8761" s="2" t="str">
        <f ca="1">IFERROR(__xludf.DUMMYFUNCTION("""COMPUTED_VALUE"""),"1750466094073")</f>
        <v>1750466094073</v>
      </c>
    </row>
    <row r="8762" spans="1:11" ht="12.45">
      <c r="A8762" s="2" t="str">
        <f ca="1">IFERROR(__xludf.DUMMYFUNCTION("""COMPUTED_VALUE"""),"1750466194570")</f>
        <v>1750466194570</v>
      </c>
      <c r="C8762" s="2" t="str">
        <v>0</v>
      </c>
      <c r="F8762" s="2" t="str">
        <v>0</v>
      </c>
      <c r="I8762" s="3" t="str">
        <f ca="1">IFERROR(__xludf.DUMMYFUNCTION("""COMPUTED_VALUE"""),"Nguyễn Thu Hiền")</f>
        <v>Nguyễn Thu Hiền</v>
      </c>
      <c r="J8762" s="3" t="str">
        <f ca="1">IFERROR(__xludf.DUMMYFUNCTION("""COMPUTED_VALUE"""),"0867452870")</f>
        <v>0867452870</v>
      </c>
      <c r="K8762" s="2" t="str">
        <f ca="1">IFERROR(__xludf.DUMMYFUNCTION("""COMPUTED_VALUE"""),"1750466194570")</f>
        <v>1750466194570</v>
      </c>
    </row>
    <row r="8763" spans="1:11" ht="12.45">
      <c r="A8763" s="2" t="str">
        <f ca="1">IFERROR(__xludf.DUMMYFUNCTION("""COMPUTED_VALUE"""),"1750466269727")</f>
        <v>1750466269727</v>
      </c>
      <c r="C8763" s="2" t="str">
        <v>0</v>
      </c>
      <c r="F8763" s="2" t="str">
        <v>0</v>
      </c>
      <c r="I8763" s="3" t="str">
        <f ca="1">IFERROR(__xludf.DUMMYFUNCTION("""COMPUTED_VALUE"""),"Nguyễn ngọc")</f>
        <v>Nguyễn ngọc</v>
      </c>
      <c r="J8763" s="3" t="str">
        <f ca="1">IFERROR(__xludf.DUMMYFUNCTION("""COMPUTED_VALUE"""),"0975575236")</f>
        <v>0975575236</v>
      </c>
      <c r="K8763" s="2" t="str">
        <f ca="1">IFERROR(__xludf.DUMMYFUNCTION("""COMPUTED_VALUE"""),"1750466269727")</f>
        <v>1750466269727</v>
      </c>
    </row>
    <row r="8764" spans="1:11" ht="12.45">
      <c r="A8764" s="2"/>
      <c r="C8764" s="2" t="str">
        <v>0</v>
      </c>
      <c r="F8764" s="2" t="str">
        <v>0</v>
      </c>
      <c r="I8764" s="3" t="str">
        <f ca="1">IFERROR(__xludf.DUMMYFUNCTION("""COMPUTED_VALUE"""),"Hoàng Nguyễn Thanh Thảo")</f>
        <v>Hoàng Nguyễn Thanh Thảo</v>
      </c>
      <c r="J8764" s="3" t="str">
        <f ca="1">IFERROR(__xludf.DUMMYFUNCTION("""COMPUTED_VALUE"""),"0352684246")</f>
        <v>0352684246</v>
      </c>
      <c r="K8764" s="2"/>
    </row>
    <row r="8765" spans="1:11" ht="12.45">
      <c r="A8765" s="2" t="str">
        <f ca="1">IFERROR(__xludf.DUMMYFUNCTION("""COMPUTED_VALUE"""),"1750466308010")</f>
        <v>1750466308010</v>
      </c>
      <c r="C8765" s="2" t="str">
        <v>0</v>
      </c>
      <c r="F8765" s="2" t="str">
        <v>0</v>
      </c>
      <c r="I8765" s="3" t="str">
        <f ca="1">IFERROR(__xludf.DUMMYFUNCTION("""COMPUTED_VALUE"""),"Lê Thanh Tùng")</f>
        <v>Lê Thanh Tùng</v>
      </c>
      <c r="J8765" s="3" t="str">
        <f ca="1">IFERROR(__xludf.DUMMYFUNCTION("""COMPUTED_VALUE"""),"0949260407")</f>
        <v>0949260407</v>
      </c>
      <c r="K8765" s="2" t="str">
        <f ca="1">IFERROR(__xludf.DUMMYFUNCTION("""COMPUTED_VALUE"""),"1750466308010")</f>
        <v>1750466308010</v>
      </c>
    </row>
    <row r="8766" spans="1:11" ht="12.45">
      <c r="A8766" s="2" t="str">
        <f ca="1">IFERROR(__xludf.DUMMYFUNCTION("""COMPUTED_VALUE"""),"1750466334556")</f>
        <v>1750466334556</v>
      </c>
      <c r="C8766" s="2" t="str">
        <v>0</v>
      </c>
      <c r="F8766" s="2" t="str">
        <v>0</v>
      </c>
      <c r="I8766" s="3" t="str">
        <f ca="1">IFERROR(__xludf.DUMMYFUNCTION("""COMPUTED_VALUE"""),"Phạm Thu Hiền")</f>
        <v>Phạm Thu Hiền</v>
      </c>
      <c r="J8766" s="3" t="str">
        <f ca="1">IFERROR(__xludf.DUMMYFUNCTION("""COMPUTED_VALUE"""),"0974715528")</f>
        <v>0974715528</v>
      </c>
      <c r="K8766" s="2" t="str">
        <f ca="1">IFERROR(__xludf.DUMMYFUNCTION("""COMPUTED_VALUE"""),"1750466334556")</f>
        <v>1750466334556</v>
      </c>
    </row>
    <row r="8767" spans="1:11" ht="12.45">
      <c r="A8767" s="2" t="str">
        <f ca="1">IFERROR(__xludf.DUMMYFUNCTION("""COMPUTED_VALUE"""),"1750466395580")</f>
        <v>1750466395580</v>
      </c>
      <c r="C8767" s="2" t="str">
        <v>0</v>
      </c>
      <c r="F8767" s="2" t="str">
        <v>0</v>
      </c>
      <c r="I8767" s="3" t="str">
        <f ca="1">IFERROR(__xludf.DUMMYFUNCTION("""COMPUTED_VALUE"""),"Vũ Huyền Thương")</f>
        <v>Vũ Huyền Thương</v>
      </c>
      <c r="J8767" s="3" t="str">
        <f ca="1">IFERROR(__xludf.DUMMYFUNCTION("""COMPUTED_VALUE"""),"0826999629")</f>
        <v>0826999629</v>
      </c>
      <c r="K8767" s="2" t="str">
        <f ca="1">IFERROR(__xludf.DUMMYFUNCTION("""COMPUTED_VALUE"""),"1750466395580")</f>
        <v>1750466395580</v>
      </c>
    </row>
    <row r="8768" spans="1:11" ht="12.45">
      <c r="A8768" s="2" t="str">
        <f ca="1">IFERROR(__xludf.DUMMYFUNCTION("""COMPUTED_VALUE"""),"1750466461506")</f>
        <v>1750466461506</v>
      </c>
      <c r="C8768" s="2" t="str">
        <v>0</v>
      </c>
      <c r="F8768" s="2" t="str">
        <v>0</v>
      </c>
      <c r="I8768" s="3" t="str">
        <f ca="1">IFERROR(__xludf.DUMMYFUNCTION("""COMPUTED_VALUE"""),"Đậu Thị Huyền Trang")</f>
        <v>Đậu Thị Huyền Trang</v>
      </c>
      <c r="J8768" s="3" t="str">
        <f ca="1">IFERROR(__xludf.DUMMYFUNCTION("""COMPUTED_VALUE"""),"0943890267")</f>
        <v>0943890267</v>
      </c>
      <c r="K8768" s="2" t="str">
        <f ca="1">IFERROR(__xludf.DUMMYFUNCTION("""COMPUTED_VALUE"""),"1750466461506")</f>
        <v>1750466461506</v>
      </c>
    </row>
    <row r="8769" spans="1:11" ht="12.45">
      <c r="A8769" s="2" t="str">
        <f ca="1">IFERROR(__xludf.DUMMYFUNCTION("""COMPUTED_VALUE"""),"1750466497106")</f>
        <v>1750466497106</v>
      </c>
      <c r="C8769" s="2" t="str">
        <v>0</v>
      </c>
      <c r="F8769" s="2" t="str">
        <v>0</v>
      </c>
      <c r="I8769" s="3" t="str">
        <f ca="1">IFERROR(__xludf.DUMMYFUNCTION("""COMPUTED_VALUE"""),"Nguyễn Thủy Thanh")</f>
        <v>Nguyễn Thủy Thanh</v>
      </c>
      <c r="J8769" s="3" t="str">
        <f ca="1">IFERROR(__xludf.DUMMYFUNCTION("""COMPUTED_VALUE"""),"0843377507")</f>
        <v>0843377507</v>
      </c>
      <c r="K8769" s="2" t="str">
        <f ca="1">IFERROR(__xludf.DUMMYFUNCTION("""COMPUTED_VALUE"""),"1750466497106")</f>
        <v>1750466497106</v>
      </c>
    </row>
    <row r="8770" spans="1:11" ht="12.45">
      <c r="A8770" s="2"/>
      <c r="C8770" s="2" t="str">
        <v>0</v>
      </c>
      <c r="F8770" s="2" t="str">
        <v>0</v>
      </c>
      <c r="I8770" s="3" t="str">
        <f ca="1">IFERROR(__xludf.DUMMYFUNCTION("""COMPUTED_VALUE"""),"Đàm Thu Hoà ")</f>
        <v xml:space="preserve">Đàm Thu Hoà </v>
      </c>
      <c r="J8770" s="3" t="str">
        <f ca="1">IFERROR(__xludf.DUMMYFUNCTION("""COMPUTED_VALUE"""),"0385560396")</f>
        <v>0385560396</v>
      </c>
      <c r="K8770" s="2"/>
    </row>
    <row r="8771" spans="1:11" ht="12.45">
      <c r="A8771" s="2" t="str">
        <f ca="1">IFERROR(__xludf.DUMMYFUNCTION("""COMPUTED_VALUE"""),"1756215220550")</f>
        <v>1756215220550</v>
      </c>
      <c r="C8771" s="2" t="str">
        <v>0</v>
      </c>
      <c r="F8771" s="2" t="str">
        <v>0</v>
      </c>
      <c r="I8771" s="3" t="str">
        <f ca="1">IFERROR(__xludf.DUMMYFUNCTION("""COMPUTED_VALUE"""),"Lưu Quang Trường")</f>
        <v>Lưu Quang Trường</v>
      </c>
      <c r="J8771" s="3" t="str">
        <f ca="1">IFERROR(__xludf.DUMMYFUNCTION("""COMPUTED_VALUE"""),"0847086338")</f>
        <v>0847086338</v>
      </c>
      <c r="K8771" s="2" t="str">
        <f ca="1">IFERROR(__xludf.DUMMYFUNCTION("""COMPUTED_VALUE"""),"1756215220550")</f>
        <v>1756215220550</v>
      </c>
    </row>
    <row r="8772" spans="1:11" ht="12.45">
      <c r="A8772" s="2"/>
      <c r="C8772" s="2" t="str">
        <v>0</v>
      </c>
      <c r="F8772" s="2" t="str">
        <v>0</v>
      </c>
      <c r="I8772" s="3" t="str">
        <f ca="1">IFERROR(__xludf.DUMMYFUNCTION("""COMPUTED_VALUE"""),"Ngô Ngọc Nguyên ")</f>
        <v xml:space="preserve">Ngô Ngọc Nguyên </v>
      </c>
      <c r="J8772" s="3" t="str">
        <f ca="1">IFERROR(__xludf.DUMMYFUNCTION("""COMPUTED_VALUE"""),"0399300907")</f>
        <v>0399300907</v>
      </c>
      <c r="K8772" s="2"/>
    </row>
    <row r="8773" spans="1:11" ht="12.45">
      <c r="A8773" s="2" t="str">
        <f ca="1">IFERROR(__xludf.DUMMYFUNCTION("""COMPUTED_VALUE"""),"1750466527949")</f>
        <v>1750466527949</v>
      </c>
      <c r="C8773" s="2" t="str">
        <v>0</v>
      </c>
      <c r="F8773" s="2" t="str">
        <v>0</v>
      </c>
      <c r="I8773" s="3" t="str">
        <f ca="1">IFERROR(__xludf.DUMMYFUNCTION("""COMPUTED_VALUE"""),"Trương Tuệ Nhiên")</f>
        <v>Trương Tuệ Nhiên</v>
      </c>
      <c r="J8773" s="3" t="str">
        <f ca="1">IFERROR(__xludf.DUMMYFUNCTION("""COMPUTED_VALUE"""),"0797365063")</f>
        <v>0797365063</v>
      </c>
      <c r="K8773" s="2" t="str">
        <f ca="1">IFERROR(__xludf.DUMMYFUNCTION("""COMPUTED_VALUE"""),"1750466527949")</f>
        <v>1750466527949</v>
      </c>
    </row>
    <row r="8774" spans="1:11" ht="12.45">
      <c r="A8774" s="2" t="str">
        <f ca="1">IFERROR(__xludf.DUMMYFUNCTION("""COMPUTED_VALUE"""),"1750466561953")</f>
        <v>1750466561953</v>
      </c>
      <c r="C8774" s="2" t="str">
        <v>0</v>
      </c>
      <c r="F8774" s="2" t="str">
        <v>0</v>
      </c>
      <c r="I8774" s="3" t="str">
        <f ca="1">IFERROR(__xludf.DUMMYFUNCTION("""COMPUTED_VALUE"""),"Lò Thị Hặc")</f>
        <v>Lò Thị Hặc</v>
      </c>
      <c r="J8774" s="3" t="str">
        <f ca="1">IFERROR(__xludf.DUMMYFUNCTION("""COMPUTED_VALUE"""),"0898703010")</f>
        <v>0898703010</v>
      </c>
      <c r="K8774" s="2" t="str">
        <f ca="1">IFERROR(__xludf.DUMMYFUNCTION("""COMPUTED_VALUE"""),"1750466561953")</f>
        <v>1750466561953</v>
      </c>
    </row>
    <row r="8775" spans="1:11" ht="12.45">
      <c r="A8775" s="2" t="str">
        <f ca="1">IFERROR(__xludf.DUMMYFUNCTION("""COMPUTED_VALUE"""),"1750466580759")</f>
        <v>1750466580759</v>
      </c>
      <c r="C8775" s="2" t="str">
        <v>0</v>
      </c>
      <c r="F8775" s="2" t="str">
        <v>0</v>
      </c>
      <c r="I8775" s="3" t="str">
        <f ca="1">IFERROR(__xludf.DUMMYFUNCTION("""COMPUTED_VALUE"""),"Đặng Anh Minh")</f>
        <v>Đặng Anh Minh</v>
      </c>
      <c r="J8775" s="3" t="str">
        <f ca="1">IFERROR(__xludf.DUMMYFUNCTION("""COMPUTED_VALUE"""),"0706412202")</f>
        <v>0706412202</v>
      </c>
      <c r="K8775" s="2" t="str">
        <f ca="1">IFERROR(__xludf.DUMMYFUNCTION("""COMPUTED_VALUE"""),"1750466580759")</f>
        <v>1750466580759</v>
      </c>
    </row>
    <row r="8776" spans="1:11" ht="12.45">
      <c r="A8776" s="2" t="str">
        <f ca="1">IFERROR(__xludf.DUMMYFUNCTION("""COMPUTED_VALUE"""),"1750466602885")</f>
        <v>1750466602885</v>
      </c>
      <c r="C8776" s="2" t="str">
        <v>0</v>
      </c>
      <c r="F8776" s="2" t="str">
        <v>0</v>
      </c>
      <c r="I8776" s="3" t="str">
        <f ca="1">IFERROR(__xludf.DUMMYFUNCTION("""COMPUTED_VALUE"""),"Nguyễn Đình Chung")</f>
        <v>Nguyễn Đình Chung</v>
      </c>
      <c r="J8776" s="3" t="str">
        <f ca="1">IFERROR(__xludf.DUMMYFUNCTION("""COMPUTED_VALUE"""),"0934437045")</f>
        <v>0934437045</v>
      </c>
      <c r="K8776" s="2" t="str">
        <f ca="1">IFERROR(__xludf.DUMMYFUNCTION("""COMPUTED_VALUE"""),"1750466602885")</f>
        <v>1750466602885</v>
      </c>
    </row>
    <row r="8777" spans="1:11" ht="12.45">
      <c r="A8777" s="2" t="str">
        <f ca="1">IFERROR(__xludf.DUMMYFUNCTION("""COMPUTED_VALUE"""),"1750466642663")</f>
        <v>1750466642663</v>
      </c>
      <c r="C8777" s="2" t="str">
        <v>0</v>
      </c>
      <c r="F8777" s="2" t="str">
        <v>0</v>
      </c>
      <c r="I8777" s="3" t="str">
        <f ca="1">IFERROR(__xludf.DUMMYFUNCTION("""COMPUTED_VALUE"""),"Đoàn Công Minh")</f>
        <v>Đoàn Công Minh</v>
      </c>
      <c r="J8777" s="3" t="str">
        <f ca="1">IFERROR(__xludf.DUMMYFUNCTION("""COMPUTED_VALUE"""),"0963975153")</f>
        <v>0963975153</v>
      </c>
      <c r="K8777" s="2" t="str">
        <f ca="1">IFERROR(__xludf.DUMMYFUNCTION("""COMPUTED_VALUE"""),"1750466642663")</f>
        <v>1750466642663</v>
      </c>
    </row>
    <row r="8778" spans="1:11" ht="12.45">
      <c r="A8778" s="2" t="str">
        <f ca="1">IFERROR(__xludf.DUMMYFUNCTION("""COMPUTED_VALUE"""),"1750466667967")</f>
        <v>1750466667967</v>
      </c>
      <c r="C8778" s="2" t="str">
        <v>0</v>
      </c>
      <c r="F8778" s="2" t="str">
        <v>0</v>
      </c>
      <c r="I8778" s="3" t="str">
        <f ca="1">IFERROR(__xludf.DUMMYFUNCTION("""COMPUTED_VALUE"""),"Hoàng Thị Thu Trang")</f>
        <v>Hoàng Thị Thu Trang</v>
      </c>
      <c r="J8778" s="3" t="str">
        <f ca="1">IFERROR(__xludf.DUMMYFUNCTION("""COMPUTED_VALUE"""),"0867332741")</f>
        <v>0867332741</v>
      </c>
      <c r="K8778" s="2" t="str">
        <f ca="1">IFERROR(__xludf.DUMMYFUNCTION("""COMPUTED_VALUE"""),"1750466667967")</f>
        <v>1750466667967</v>
      </c>
    </row>
    <row r="8779" spans="1:11" ht="12.45">
      <c r="A8779" s="2" t="str">
        <f ca="1">IFERROR(__xludf.DUMMYFUNCTION("""COMPUTED_VALUE"""),"1750466705472")</f>
        <v>1750466705472</v>
      </c>
      <c r="C8779" s="2" t="str">
        <v>0</v>
      </c>
      <c r="F8779" s="2" t="str">
        <v>0</v>
      </c>
      <c r="I8779" s="3" t="str">
        <f ca="1">IFERROR(__xludf.DUMMYFUNCTION("""COMPUTED_VALUE"""),"Huỳnh Thị Khánh Huyền")</f>
        <v>Huỳnh Thị Khánh Huyền</v>
      </c>
      <c r="J8779" s="3" t="str">
        <f ca="1">IFERROR(__xludf.DUMMYFUNCTION("""COMPUTED_VALUE"""),"0383798724")</f>
        <v>0383798724</v>
      </c>
      <c r="K8779" s="2" t="str">
        <f ca="1">IFERROR(__xludf.DUMMYFUNCTION("""COMPUTED_VALUE"""),"1750466705472")</f>
        <v>1750466705472</v>
      </c>
    </row>
    <row r="8780" spans="1:11" ht="12.45">
      <c r="A8780" s="2" t="str">
        <f ca="1">IFERROR(__xludf.DUMMYFUNCTION("""COMPUTED_VALUE"""),"1750466823200")</f>
        <v>1750466823200</v>
      </c>
      <c r="C8780" s="2" t="str">
        <v>0</v>
      </c>
      <c r="F8780" s="2" t="str">
        <v>0</v>
      </c>
      <c r="I8780" s="3" t="str">
        <f ca="1">IFERROR(__xludf.DUMMYFUNCTION("""COMPUTED_VALUE"""),"Nguyễn Duy Phúc Khang")</f>
        <v>Nguyễn Duy Phúc Khang</v>
      </c>
      <c r="J8780" s="3" t="str">
        <f ca="1">IFERROR(__xludf.DUMMYFUNCTION("""COMPUTED_VALUE"""),"0399803146")</f>
        <v>0399803146</v>
      </c>
      <c r="K8780" s="2" t="str">
        <f ca="1">IFERROR(__xludf.DUMMYFUNCTION("""COMPUTED_VALUE"""),"1750466823200")</f>
        <v>1750466823200</v>
      </c>
    </row>
    <row r="8781" spans="1:11" ht="12.45">
      <c r="A8781" s="2" t="str">
        <f ca="1">IFERROR(__xludf.DUMMYFUNCTION("""COMPUTED_VALUE"""),"1750466852122")</f>
        <v>1750466852122</v>
      </c>
      <c r="C8781" s="2" t="str">
        <v>0</v>
      </c>
      <c r="F8781" s="2" t="str">
        <v>0</v>
      </c>
      <c r="I8781" s="3" t="str">
        <f ca="1">IFERROR(__xludf.DUMMYFUNCTION("""COMPUTED_VALUE"""),"ĐÀM MỸ ANH")</f>
        <v>ĐÀM MỸ ANH</v>
      </c>
      <c r="J8781" s="3" t="str">
        <f ca="1">IFERROR(__xludf.DUMMYFUNCTION("""COMPUTED_VALUE"""),"0378024186")</f>
        <v>0378024186</v>
      </c>
      <c r="K8781" s="2" t="str">
        <f ca="1">IFERROR(__xludf.DUMMYFUNCTION("""COMPUTED_VALUE"""),"1750466852122")</f>
        <v>1750466852122</v>
      </c>
    </row>
    <row r="8782" spans="1:11" ht="12.45">
      <c r="A8782" s="2" t="str">
        <f ca="1">IFERROR(__xludf.DUMMYFUNCTION("""COMPUTED_VALUE"""),"1750466894563")</f>
        <v>1750466894563</v>
      </c>
      <c r="C8782" s="2" t="str">
        <v>0</v>
      </c>
      <c r="F8782" s="2" t="str">
        <v>0</v>
      </c>
      <c r="I8782" s="3" t="str">
        <f ca="1">IFERROR(__xludf.DUMMYFUNCTION("""COMPUTED_VALUE"""),"Trần Thị Thanh Thủy ")</f>
        <v xml:space="preserve">Trần Thị Thanh Thủy </v>
      </c>
      <c r="J8782" s="3" t="str">
        <f ca="1">IFERROR(__xludf.DUMMYFUNCTION("""COMPUTED_VALUE"""),"0981547136")</f>
        <v>0981547136</v>
      </c>
      <c r="K8782" s="2" t="str">
        <f ca="1">IFERROR(__xludf.DUMMYFUNCTION("""COMPUTED_VALUE"""),"1750466894563")</f>
        <v>1750466894563</v>
      </c>
    </row>
    <row r="8783" spans="1:11" ht="12.45">
      <c r="A8783" s="2" t="str">
        <f ca="1">IFERROR(__xludf.DUMMYFUNCTION("""COMPUTED_VALUE"""),"1750466932214")</f>
        <v>1750466932214</v>
      </c>
      <c r="C8783" s="2" t="str">
        <v>0</v>
      </c>
      <c r="F8783" s="2" t="str">
        <v>0</v>
      </c>
      <c r="I8783" s="3" t="str">
        <f ca="1">IFERROR(__xludf.DUMMYFUNCTION("""COMPUTED_VALUE"""),"Hoàng Huyền Trang")</f>
        <v>Hoàng Huyền Trang</v>
      </c>
      <c r="J8783" s="3" t="str">
        <f ca="1">IFERROR(__xludf.DUMMYFUNCTION("""COMPUTED_VALUE"""),"0972933568")</f>
        <v>0972933568</v>
      </c>
      <c r="K8783" s="2" t="str">
        <f ca="1">IFERROR(__xludf.DUMMYFUNCTION("""COMPUTED_VALUE"""),"1750466932214")</f>
        <v>1750466932214</v>
      </c>
    </row>
    <row r="8784" spans="1:11" ht="12.45">
      <c r="A8784" s="2" t="str">
        <f ca="1">IFERROR(__xludf.DUMMYFUNCTION("""COMPUTED_VALUE"""),"1750466959321")</f>
        <v>1750466959321</v>
      </c>
      <c r="C8784" s="2" t="str">
        <v>0</v>
      </c>
      <c r="F8784" s="2" t="str">
        <v>0</v>
      </c>
      <c r="I8784" s="3" t="str">
        <f ca="1">IFERROR(__xludf.DUMMYFUNCTION("""COMPUTED_VALUE"""),"Triệu Tuyết Nhung ")</f>
        <v xml:space="preserve">Triệu Tuyết Nhung </v>
      </c>
      <c r="J8784" s="3" t="str">
        <f ca="1">IFERROR(__xludf.DUMMYFUNCTION("""COMPUTED_VALUE"""),"0345268710")</f>
        <v>0345268710</v>
      </c>
      <c r="K8784" s="2" t="str">
        <f ca="1">IFERROR(__xludf.DUMMYFUNCTION("""COMPUTED_VALUE"""),"1750466959321")</f>
        <v>1750466959321</v>
      </c>
    </row>
    <row r="8785" spans="1:11" ht="12.45">
      <c r="A8785" s="2" t="str">
        <f ca="1">IFERROR(__xludf.DUMMYFUNCTION("""COMPUTED_VALUE"""),"1750467010643")</f>
        <v>1750467010643</v>
      </c>
      <c r="C8785" s="2" t="str">
        <v>0</v>
      </c>
      <c r="F8785" s="2" t="str">
        <v>0</v>
      </c>
      <c r="I8785" s="3" t="str">
        <f ca="1">IFERROR(__xludf.DUMMYFUNCTION("""COMPUTED_VALUE"""),"Bùi Mai Anh")</f>
        <v>Bùi Mai Anh</v>
      </c>
      <c r="J8785" s="3" t="str">
        <f ca="1">IFERROR(__xludf.DUMMYFUNCTION("""COMPUTED_VALUE"""),"0862274508")</f>
        <v>0862274508</v>
      </c>
      <c r="K8785" s="2" t="str">
        <f ca="1">IFERROR(__xludf.DUMMYFUNCTION("""COMPUTED_VALUE"""),"1750467010643")</f>
        <v>1750467010643</v>
      </c>
    </row>
    <row r="8786" spans="1:11" ht="12.45">
      <c r="A8786" s="2" t="str">
        <f ca="1">IFERROR(__xludf.DUMMYFUNCTION("""COMPUTED_VALUE"""),"1750467029982")</f>
        <v>1750467029982</v>
      </c>
      <c r="C8786" s="2" t="str">
        <v>0</v>
      </c>
      <c r="F8786" s="2" t="str">
        <v>0</v>
      </c>
      <c r="I8786" s="3" t="str">
        <f ca="1">IFERROR(__xludf.DUMMYFUNCTION("""COMPUTED_VALUE"""),"Đặng Hải Yến ")</f>
        <v xml:space="preserve">Đặng Hải Yến </v>
      </c>
      <c r="J8786" s="3" t="str">
        <f ca="1">IFERROR(__xludf.DUMMYFUNCTION("""COMPUTED_VALUE"""),"0399534796")</f>
        <v>0399534796</v>
      </c>
      <c r="K8786" s="2" t="str">
        <f ca="1">IFERROR(__xludf.DUMMYFUNCTION("""COMPUTED_VALUE"""),"1750467029982")</f>
        <v>1750467029982</v>
      </c>
    </row>
    <row r="8787" spans="1:11" ht="12.45">
      <c r="A8787" s="2">
        <f ca="1">IFERROR(__xludf.DUMMYFUNCTION("""COMPUTED_VALUE"""),1750673905691)</f>
        <v>1750673905691</v>
      </c>
      <c r="C8787" s="2" t="str">
        <v>0</v>
      </c>
      <c r="F8787" s="2" t="str">
        <v>0</v>
      </c>
      <c r="I8787" s="3" t="str">
        <f ca="1">IFERROR(__xludf.DUMMYFUNCTION("""COMPUTED_VALUE"""),"Lê Hoàng Trung Kiên ")</f>
        <v xml:space="preserve">Lê Hoàng Trung Kiên </v>
      </c>
      <c r="J8787" s="3" t="str">
        <f ca="1">IFERROR(__xludf.DUMMYFUNCTION("""COMPUTED_VALUE"""),"0972262647")</f>
        <v>0972262647</v>
      </c>
      <c r="K8787" s="2">
        <f ca="1">IFERROR(__xludf.DUMMYFUNCTION("""COMPUTED_VALUE"""),1750673905691)</f>
        <v>1750673905691</v>
      </c>
    </row>
    <row r="8788" spans="1:11" ht="12.45">
      <c r="A8788" s="2">
        <f ca="1">IFERROR(__xludf.DUMMYFUNCTION("""COMPUTED_VALUE"""),1750673932795)</f>
        <v>1750673932795</v>
      </c>
      <c r="C8788" s="2" t="str">
        <v>0</v>
      </c>
      <c r="F8788" s="2" t="str">
        <v>0</v>
      </c>
      <c r="I8788" s="3" t="str">
        <f ca="1">IFERROR(__xludf.DUMMYFUNCTION("""COMPUTED_VALUE"""),"Đào Khánh Ly")</f>
        <v>Đào Khánh Ly</v>
      </c>
      <c r="J8788" s="3" t="str">
        <f ca="1">IFERROR(__xludf.DUMMYFUNCTION("""COMPUTED_VALUE"""),"0379610288")</f>
        <v>0379610288</v>
      </c>
      <c r="K8788" s="2">
        <f ca="1">IFERROR(__xludf.DUMMYFUNCTION("""COMPUTED_VALUE"""),1750673932795)</f>
        <v>1750673932795</v>
      </c>
    </row>
    <row r="8789" spans="1:11" ht="12.45">
      <c r="A8789" s="2">
        <f ca="1">IFERROR(__xludf.DUMMYFUNCTION("""COMPUTED_VALUE"""),1750673964318)</f>
        <v>1750673964318</v>
      </c>
      <c r="C8789" s="2" t="str">
        <v>0</v>
      </c>
      <c r="F8789" s="2" t="str">
        <v>0</v>
      </c>
      <c r="I8789" s="3" t="str">
        <f ca="1">IFERROR(__xludf.DUMMYFUNCTION("""COMPUTED_VALUE"""),"Nguyễn Thuý Nga")</f>
        <v>Nguyễn Thuý Nga</v>
      </c>
      <c r="J8789" s="3" t="str">
        <f ca="1">IFERROR(__xludf.DUMMYFUNCTION("""COMPUTED_VALUE"""),"0865311356")</f>
        <v>0865311356</v>
      </c>
      <c r="K8789" s="2">
        <f ca="1">IFERROR(__xludf.DUMMYFUNCTION("""COMPUTED_VALUE"""),1750673964318)</f>
        <v>1750673964318</v>
      </c>
    </row>
    <row r="8790" spans="1:11" ht="12.45">
      <c r="A8790" s="2">
        <f ca="1">IFERROR(__xludf.DUMMYFUNCTION("""COMPUTED_VALUE"""),1750673994254)</f>
        <v>1750673994254</v>
      </c>
      <c r="C8790" s="2" t="str">
        <v>0</v>
      </c>
      <c r="F8790" s="2" t="str">
        <v>0</v>
      </c>
      <c r="I8790" s="3" t="str">
        <f ca="1">IFERROR(__xludf.DUMMYFUNCTION("""COMPUTED_VALUE"""),"Nguyễn Văn Thuận")</f>
        <v>Nguyễn Văn Thuận</v>
      </c>
      <c r="J8790" s="3" t="str">
        <f ca="1">IFERROR(__xludf.DUMMYFUNCTION("""COMPUTED_VALUE"""),"0828675309")</f>
        <v>0828675309</v>
      </c>
      <c r="K8790" s="2">
        <f ca="1">IFERROR(__xludf.DUMMYFUNCTION("""COMPUTED_VALUE"""),1750673994254)</f>
        <v>1750673994254</v>
      </c>
    </row>
    <row r="8791" spans="1:11" ht="12.45">
      <c r="A8791" s="2">
        <f ca="1">IFERROR(__xludf.DUMMYFUNCTION("""COMPUTED_VALUE"""),1750674038599)</f>
        <v>1750674038599</v>
      </c>
      <c r="C8791" s="2" t="str">
        <v>0</v>
      </c>
      <c r="F8791" s="2" t="str">
        <v>0</v>
      </c>
      <c r="I8791" s="3" t="str">
        <f ca="1">IFERROR(__xludf.DUMMYFUNCTION("""COMPUTED_VALUE"""),"Lê Thị Anh Thư")</f>
        <v>Lê Thị Anh Thư</v>
      </c>
      <c r="J8791" s="3" t="str">
        <f ca="1">IFERROR(__xludf.DUMMYFUNCTION("""COMPUTED_VALUE"""),"0364947546")</f>
        <v>0364947546</v>
      </c>
      <c r="K8791" s="2">
        <f ca="1">IFERROR(__xludf.DUMMYFUNCTION("""COMPUTED_VALUE"""),1750674038599)</f>
        <v>1750674038599</v>
      </c>
    </row>
    <row r="8792" spans="1:11" ht="12.45">
      <c r="A8792" s="2">
        <f ca="1">IFERROR(__xludf.DUMMYFUNCTION("""COMPUTED_VALUE"""),1750674076172)</f>
        <v>1750674076172</v>
      </c>
      <c r="C8792" s="2" t="str">
        <v>0</v>
      </c>
      <c r="F8792" s="2" t="str">
        <v>0</v>
      </c>
      <c r="I8792" s="3" t="str">
        <f ca="1">IFERROR(__xludf.DUMMYFUNCTION("""COMPUTED_VALUE"""),"Lý Phương Mai")</f>
        <v>Lý Phương Mai</v>
      </c>
      <c r="J8792" s="3" t="str">
        <f ca="1">IFERROR(__xludf.DUMMYFUNCTION("""COMPUTED_VALUE"""),"0946857176")</f>
        <v>0946857176</v>
      </c>
      <c r="K8792" s="2">
        <f ca="1">IFERROR(__xludf.DUMMYFUNCTION("""COMPUTED_VALUE"""),1750674076172)</f>
        <v>1750674076172</v>
      </c>
    </row>
    <row r="8793" spans="1:11" ht="12.45">
      <c r="A8793" s="2">
        <f ca="1">IFERROR(__xludf.DUMMYFUNCTION("""COMPUTED_VALUE"""),1750674107377)</f>
        <v>1750674107377</v>
      </c>
      <c r="C8793" s="2" t="str">
        <v>0</v>
      </c>
      <c r="F8793" s="2" t="str">
        <v>0</v>
      </c>
      <c r="I8793" s="3" t="str">
        <f ca="1">IFERROR(__xludf.DUMMYFUNCTION("""COMPUTED_VALUE"""),"Trần Ngọc Đan Vy ")</f>
        <v xml:space="preserve">Trần Ngọc Đan Vy </v>
      </c>
      <c r="J8793" s="3" t="str">
        <f ca="1">IFERROR(__xludf.DUMMYFUNCTION("""COMPUTED_VALUE"""),"0363793159")</f>
        <v>0363793159</v>
      </c>
      <c r="K8793" s="2">
        <f ca="1">IFERROR(__xludf.DUMMYFUNCTION("""COMPUTED_VALUE"""),1750674107377)</f>
        <v>1750674107377</v>
      </c>
    </row>
    <row r="8794" spans="1:11" ht="12.45">
      <c r="A8794" s="2">
        <f ca="1">IFERROR(__xludf.DUMMYFUNCTION("""COMPUTED_VALUE"""),1750674155536)</f>
        <v>1750674155536</v>
      </c>
      <c r="C8794" s="2" t="str">
        <v>0</v>
      </c>
      <c r="F8794" s="2" t="str">
        <v>0</v>
      </c>
      <c r="I8794" s="3" t="str">
        <f ca="1">IFERROR(__xludf.DUMMYFUNCTION("""COMPUTED_VALUE"""),"Ly Dìn Quân")</f>
        <v>Ly Dìn Quân</v>
      </c>
      <c r="J8794" s="3" t="str">
        <f ca="1">IFERROR(__xludf.DUMMYFUNCTION("""COMPUTED_VALUE"""),"0343466317")</f>
        <v>0343466317</v>
      </c>
      <c r="K8794" s="2">
        <f ca="1">IFERROR(__xludf.DUMMYFUNCTION("""COMPUTED_VALUE"""),1750674155536)</f>
        <v>1750674155536</v>
      </c>
    </row>
    <row r="8795" spans="1:11" ht="12.45">
      <c r="A8795" s="2">
        <f ca="1">IFERROR(__xludf.DUMMYFUNCTION("""COMPUTED_VALUE"""),1750674216401)</f>
        <v>1750674216401</v>
      </c>
      <c r="C8795" s="2" t="str">
        <v>0</v>
      </c>
      <c r="F8795" s="2" t="str">
        <v>0</v>
      </c>
      <c r="I8795" s="3" t="str">
        <f ca="1">IFERROR(__xludf.DUMMYFUNCTION("""COMPUTED_VALUE"""),"Nguyễn Văn Phương")</f>
        <v>Nguyễn Văn Phương</v>
      </c>
      <c r="J8795" s="3" t="str">
        <f ca="1">IFERROR(__xludf.DUMMYFUNCTION("""COMPUTED_VALUE"""),"0559811244")</f>
        <v>0559811244</v>
      </c>
      <c r="K8795" s="2">
        <f ca="1">IFERROR(__xludf.DUMMYFUNCTION("""COMPUTED_VALUE"""),1750674216401)</f>
        <v>1750674216401</v>
      </c>
    </row>
    <row r="8796" spans="1:11" ht="12.45">
      <c r="A8796" s="2">
        <f ca="1">IFERROR(__xludf.DUMMYFUNCTION("""COMPUTED_VALUE"""),1750674247590)</f>
        <v>1750674247590</v>
      </c>
      <c r="C8796" s="2" t="str">
        <v>0</v>
      </c>
      <c r="F8796" s="2" t="str">
        <v>0</v>
      </c>
      <c r="I8796" s="3" t="str">
        <f ca="1">IFERROR(__xludf.DUMMYFUNCTION("""COMPUTED_VALUE"""),"Hà Khánh Huyền")</f>
        <v>Hà Khánh Huyền</v>
      </c>
      <c r="J8796" s="3" t="str">
        <f ca="1">IFERROR(__xludf.DUMMYFUNCTION("""COMPUTED_VALUE"""),"0344633512")</f>
        <v>0344633512</v>
      </c>
      <c r="K8796" s="2">
        <f ca="1">IFERROR(__xludf.DUMMYFUNCTION("""COMPUTED_VALUE"""),1750674247590)</f>
        <v>1750674247590</v>
      </c>
    </row>
    <row r="8797" spans="1:11" ht="12.45">
      <c r="A8797" s="2">
        <f ca="1">IFERROR(__xludf.DUMMYFUNCTION("""COMPUTED_VALUE"""),1750674275339)</f>
        <v>1750674275339</v>
      </c>
      <c r="C8797" s="2" t="str">
        <v>0</v>
      </c>
      <c r="F8797" s="2" t="str">
        <v>0</v>
      </c>
      <c r="I8797" s="3" t="str">
        <f ca="1">IFERROR(__xludf.DUMMYFUNCTION("""COMPUTED_VALUE"""),"Trần Duy Hưng")</f>
        <v>Trần Duy Hưng</v>
      </c>
      <c r="J8797" s="3" t="str">
        <f ca="1">IFERROR(__xludf.DUMMYFUNCTION("""COMPUTED_VALUE"""),"0985865029")</f>
        <v>0985865029</v>
      </c>
      <c r="K8797" s="2">
        <f ca="1">IFERROR(__xludf.DUMMYFUNCTION("""COMPUTED_VALUE"""),1750674275339)</f>
        <v>1750674275339</v>
      </c>
    </row>
    <row r="8798" spans="1:11" ht="12.45">
      <c r="A8798" s="2">
        <f ca="1">IFERROR(__xludf.DUMMYFUNCTION("""COMPUTED_VALUE"""),1750674349028)</f>
        <v>1750674349028</v>
      </c>
      <c r="C8798" s="2" t="str">
        <v>0</v>
      </c>
      <c r="F8798" s="2" t="str">
        <v>0</v>
      </c>
      <c r="I8798" s="3" t="str">
        <f ca="1">IFERROR(__xludf.DUMMYFUNCTION("""COMPUTED_VALUE"""),"Nguyễn Văn Minh ")</f>
        <v xml:space="preserve">Nguyễn Văn Minh </v>
      </c>
      <c r="J8798" s="3" t="str">
        <f ca="1">IFERROR(__xludf.DUMMYFUNCTION("""COMPUTED_VALUE"""),"0862026409")</f>
        <v>0862026409</v>
      </c>
      <c r="K8798" s="2">
        <f ca="1">IFERROR(__xludf.DUMMYFUNCTION("""COMPUTED_VALUE"""),1750674349028)</f>
        <v>1750674349028</v>
      </c>
    </row>
    <row r="8799" spans="1:11" ht="12.45">
      <c r="A8799" s="2">
        <f ca="1">IFERROR(__xludf.DUMMYFUNCTION("""COMPUTED_VALUE"""),1750674379301)</f>
        <v>1750674379301</v>
      </c>
      <c r="C8799" s="2" t="str">
        <v>0</v>
      </c>
      <c r="F8799" s="2" t="str">
        <v>0</v>
      </c>
      <c r="I8799" s="3" t="str">
        <f ca="1">IFERROR(__xludf.DUMMYFUNCTION("""COMPUTED_VALUE"""),"Đặng Đức Việt")</f>
        <v>Đặng Đức Việt</v>
      </c>
      <c r="J8799" s="3" t="str">
        <f ca="1">IFERROR(__xludf.DUMMYFUNCTION("""COMPUTED_VALUE"""),"0965193026")</f>
        <v>0965193026</v>
      </c>
      <c r="K8799" s="2">
        <f ca="1">IFERROR(__xludf.DUMMYFUNCTION("""COMPUTED_VALUE"""),1750674379301)</f>
        <v>1750674379301</v>
      </c>
    </row>
    <row r="8800" spans="1:11" ht="12.45">
      <c r="A8800" s="2" t="str">
        <f ca="1">IFERROR(__xludf.DUMMYFUNCTION("""COMPUTED_VALUE"""),"1756215271581")</f>
        <v>1756215271581</v>
      </c>
      <c r="C8800" s="2" t="str">
        <v>0</v>
      </c>
      <c r="F8800" s="2" t="str">
        <v>0</v>
      </c>
      <c r="I8800" s="3" t="str">
        <f ca="1">IFERROR(__xludf.DUMMYFUNCTION("""COMPUTED_VALUE"""),"Nguyễn Thuỳ Trâm Anh")</f>
        <v>Nguyễn Thuỳ Trâm Anh</v>
      </c>
      <c r="J8800" s="3" t="str">
        <f ca="1">IFERROR(__xludf.DUMMYFUNCTION("""COMPUTED_VALUE"""),"0918199033")</f>
        <v>0918199033</v>
      </c>
      <c r="K8800" s="2" t="str">
        <f ca="1">IFERROR(__xludf.DUMMYFUNCTION("""COMPUTED_VALUE"""),"1756215271581")</f>
        <v>1756215271581</v>
      </c>
    </row>
    <row r="8801" spans="1:11" ht="12.45">
      <c r="A8801" s="2">
        <f ca="1">IFERROR(__xludf.DUMMYFUNCTION("""COMPUTED_VALUE"""),1751048862644)</f>
        <v>1751048862644</v>
      </c>
      <c r="C8801" s="2" t="str">
        <v>0</v>
      </c>
      <c r="F8801" s="2" t="str">
        <v>0</v>
      </c>
      <c r="I8801" s="3" t="str">
        <f ca="1">IFERROR(__xludf.DUMMYFUNCTION("""COMPUTED_VALUE"""),"lê thị hồng anh ")</f>
        <v xml:space="preserve">lê thị hồng anh </v>
      </c>
      <c r="J8801" s="3" t="str">
        <f ca="1">IFERROR(__xludf.DUMMYFUNCTION("""COMPUTED_VALUE"""),"0789596247")</f>
        <v>0789596247</v>
      </c>
      <c r="K8801" s="2">
        <f ca="1">IFERROR(__xludf.DUMMYFUNCTION("""COMPUTED_VALUE"""),1751048862644)</f>
        <v>1751048862644</v>
      </c>
    </row>
    <row r="8802" spans="1:11" ht="12.45">
      <c r="A8802" s="2">
        <f ca="1">IFERROR(__xludf.DUMMYFUNCTION("""COMPUTED_VALUE"""),1751048903188)</f>
        <v>1751048903188</v>
      </c>
      <c r="C8802" s="2" t="str">
        <v>0</v>
      </c>
      <c r="F8802" s="2" t="str">
        <v>0</v>
      </c>
      <c r="I8802" s="3" t="str">
        <f ca="1">IFERROR(__xludf.DUMMYFUNCTION("""COMPUTED_VALUE"""),"Dương Khánh Ngọc")</f>
        <v>Dương Khánh Ngọc</v>
      </c>
      <c r="J8802" s="3" t="str">
        <f ca="1">IFERROR(__xludf.DUMMYFUNCTION("""COMPUTED_VALUE"""),"0985671981")</f>
        <v>0985671981</v>
      </c>
      <c r="K8802" s="2">
        <f ca="1">IFERROR(__xludf.DUMMYFUNCTION("""COMPUTED_VALUE"""),1751048903188)</f>
        <v>1751048903188</v>
      </c>
    </row>
    <row r="8803" spans="1:11" ht="12.45">
      <c r="A8803" s="2">
        <f ca="1">IFERROR(__xludf.DUMMYFUNCTION("""COMPUTED_VALUE"""),1751048969341)</f>
        <v>1751048969341</v>
      </c>
      <c r="C8803" s="2" t="str">
        <v>0</v>
      </c>
      <c r="F8803" s="2" t="str">
        <v>0</v>
      </c>
      <c r="I8803" s="3" t="str">
        <f ca="1">IFERROR(__xludf.DUMMYFUNCTION("""COMPUTED_VALUE"""),"Nguyễn Phạm Yến Ngọc")</f>
        <v>Nguyễn Phạm Yến Ngọc</v>
      </c>
      <c r="J8803" s="3" t="str">
        <f ca="1">IFERROR(__xludf.DUMMYFUNCTION("""COMPUTED_VALUE"""),"0349373019")</f>
        <v>0349373019</v>
      </c>
      <c r="K8803" s="2">
        <f ca="1">IFERROR(__xludf.DUMMYFUNCTION("""COMPUTED_VALUE"""),1751048969341)</f>
        <v>1751048969341</v>
      </c>
    </row>
    <row r="8804" spans="1:11" ht="12.45">
      <c r="A8804" s="2" t="str">
        <f ca="1">IFERROR(__xludf.DUMMYFUNCTION("""COMPUTED_VALUE"""),"1756215292741")</f>
        <v>1756215292741</v>
      </c>
      <c r="C8804" s="2" t="str">
        <v>0</v>
      </c>
      <c r="F8804" s="2" t="str">
        <v>0</v>
      </c>
      <c r="I8804" s="3" t="str">
        <f ca="1">IFERROR(__xludf.DUMMYFUNCTION("""COMPUTED_VALUE"""),"Võ Trần Kim Dung")</f>
        <v>Võ Trần Kim Dung</v>
      </c>
      <c r="J8804" s="3" t="str">
        <f ca="1">IFERROR(__xludf.DUMMYFUNCTION("""COMPUTED_VALUE"""),"0889600816")</f>
        <v>0889600816</v>
      </c>
      <c r="K8804" s="2" t="str">
        <f ca="1">IFERROR(__xludf.DUMMYFUNCTION("""COMPUTED_VALUE"""),"1756215292741")</f>
        <v>1756215292741</v>
      </c>
    </row>
    <row r="8805" spans="1:11" ht="12.45">
      <c r="A8805" s="2" t="str">
        <f ca="1">IFERROR(__xludf.DUMMYFUNCTION("""COMPUTED_VALUE"""),"1756215325927")</f>
        <v>1756215325927</v>
      </c>
      <c r="C8805" s="2" t="str">
        <v>0</v>
      </c>
      <c r="F8805" s="2" t="str">
        <v>0</v>
      </c>
      <c r="I8805" s="3" t="str">
        <f ca="1">IFERROR(__xludf.DUMMYFUNCTION("""COMPUTED_VALUE"""),"LÊ PHAN NGỌC HÂN")</f>
        <v>LÊ PHAN NGỌC HÂN</v>
      </c>
      <c r="J8805" s="3" t="str">
        <f ca="1">IFERROR(__xludf.DUMMYFUNCTION("""COMPUTED_VALUE"""),"0842328207")</f>
        <v>0842328207</v>
      </c>
      <c r="K8805" s="2" t="str">
        <f ca="1">IFERROR(__xludf.DUMMYFUNCTION("""COMPUTED_VALUE"""),"1756215325927")</f>
        <v>1756215325927</v>
      </c>
    </row>
    <row r="8806" spans="1:11" ht="12.45">
      <c r="A8806" s="2" t="str">
        <f ca="1">IFERROR(__xludf.DUMMYFUNCTION("""COMPUTED_VALUE"""),"1756215379044")</f>
        <v>1756215379044</v>
      </c>
      <c r="C8806" s="2" t="str">
        <v>0</v>
      </c>
      <c r="F8806" s="2" t="str">
        <v>0</v>
      </c>
      <c r="I8806" s="3" t="str">
        <f ca="1">IFERROR(__xludf.DUMMYFUNCTION("""COMPUTED_VALUE"""),"Phan Ngọc Quỳnh Ngân")</f>
        <v>Phan Ngọc Quỳnh Ngân</v>
      </c>
      <c r="J8806" s="3" t="str">
        <f ca="1">IFERROR(__xludf.DUMMYFUNCTION("""COMPUTED_VALUE"""),"0865559412")</f>
        <v>0865559412</v>
      </c>
      <c r="K8806" s="2" t="str">
        <f ca="1">IFERROR(__xludf.DUMMYFUNCTION("""COMPUTED_VALUE"""),"1756215379044")</f>
        <v>1756215379044</v>
      </c>
    </row>
    <row r="8807" spans="1:11" ht="12.45">
      <c r="A8807" s="2" t="str">
        <f ca="1">IFERROR(__xludf.DUMMYFUNCTION("""COMPUTED_VALUE"""),"1756215407551")</f>
        <v>1756215407551</v>
      </c>
      <c r="C8807" s="2" t="str">
        <v>0</v>
      </c>
      <c r="F8807" s="2" t="str">
        <v>0</v>
      </c>
      <c r="I8807" s="3" t="str">
        <f ca="1">IFERROR(__xludf.DUMMYFUNCTION("""COMPUTED_VALUE"""),"Phạm Thị Diệu Linh")</f>
        <v>Phạm Thị Diệu Linh</v>
      </c>
      <c r="J8807" s="3" t="str">
        <f ca="1">IFERROR(__xludf.DUMMYFUNCTION("""COMPUTED_VALUE"""),"0866842106")</f>
        <v>0866842106</v>
      </c>
      <c r="K8807" s="2" t="str">
        <f ca="1">IFERROR(__xludf.DUMMYFUNCTION("""COMPUTED_VALUE"""),"1756215407551")</f>
        <v>1756215407551</v>
      </c>
    </row>
    <row r="8808" spans="1:11" ht="12.45">
      <c r="A8808" s="2" t="str">
        <f ca="1">IFERROR(__xludf.DUMMYFUNCTION("""COMPUTED_VALUE"""),"1756215427786")</f>
        <v>1756215427786</v>
      </c>
      <c r="C8808" s="2" t="str">
        <v>0</v>
      </c>
      <c r="F8808" s="2" t="str">
        <v>0</v>
      </c>
      <c r="I8808" s="3" t="str">
        <f ca="1">IFERROR(__xludf.DUMMYFUNCTION("""COMPUTED_VALUE"""),"Võ Hoàng Nhật Lam ")</f>
        <v xml:space="preserve">Võ Hoàng Nhật Lam </v>
      </c>
      <c r="J8808" s="3" t="str">
        <f ca="1">IFERROR(__xludf.DUMMYFUNCTION("""COMPUTED_VALUE"""),"0857576859")</f>
        <v>0857576859</v>
      </c>
      <c r="K8808" s="2" t="str">
        <f ca="1">IFERROR(__xludf.DUMMYFUNCTION("""COMPUTED_VALUE"""),"1756215427786")</f>
        <v>1756215427786</v>
      </c>
    </row>
    <row r="8809" spans="1:11" ht="12.45">
      <c r="A8809" s="2" t="str">
        <f ca="1">IFERROR(__xludf.DUMMYFUNCTION("""COMPUTED_VALUE"""),"1756215451954")</f>
        <v>1756215451954</v>
      </c>
      <c r="C8809" s="2" t="str">
        <v>0</v>
      </c>
      <c r="F8809" s="2" t="str">
        <v>0</v>
      </c>
      <c r="I8809" s="3" t="str">
        <f ca="1">IFERROR(__xludf.DUMMYFUNCTION("""COMPUTED_VALUE"""),"Kiều Gia Bảo")</f>
        <v>Kiều Gia Bảo</v>
      </c>
      <c r="J8809" s="3" t="str">
        <f ca="1">IFERROR(__xludf.DUMMYFUNCTION("""COMPUTED_VALUE"""),"0947943500")</f>
        <v>0947943500</v>
      </c>
      <c r="K8809" s="2" t="str">
        <f ca="1">IFERROR(__xludf.DUMMYFUNCTION("""COMPUTED_VALUE"""),"1756215451954")</f>
        <v>1756215451954</v>
      </c>
    </row>
    <row r="8810" spans="1:11" ht="12.45">
      <c r="A8810" s="2"/>
      <c r="C8810" s="2" t="str">
        <v>0</v>
      </c>
      <c r="F8810" s="2" t="str">
        <v>0</v>
      </c>
      <c r="I8810" s="3" t="str">
        <f ca="1">IFERROR(__xludf.DUMMYFUNCTION("""COMPUTED_VALUE"""),"Cơ Lâu Bảo")</f>
        <v>Cơ Lâu Bảo</v>
      </c>
      <c r="J8810" s="3" t="str">
        <f ca="1">IFERROR(__xludf.DUMMYFUNCTION("""COMPUTED_VALUE"""),"0377009147")</f>
        <v>0377009147</v>
      </c>
      <c r="K8810" s="2"/>
    </row>
    <row r="8811" spans="1:11" ht="12.45">
      <c r="A8811" s="2" t="str">
        <f ca="1">IFERROR(__xludf.DUMMYFUNCTION("""COMPUTED_VALUE"""),"1756215484352")</f>
        <v>1756215484352</v>
      </c>
      <c r="C8811" s="2" t="str">
        <v>0</v>
      </c>
      <c r="F8811" s="2" t="str">
        <v>0</v>
      </c>
      <c r="I8811" s="3" t="str">
        <f ca="1">IFERROR(__xludf.DUMMYFUNCTION("""COMPUTED_VALUE"""),"Mai Ngọc Phương Uyên")</f>
        <v>Mai Ngọc Phương Uyên</v>
      </c>
      <c r="J8811" s="3" t="str">
        <f ca="1">IFERROR(__xludf.DUMMYFUNCTION("""COMPUTED_VALUE"""),"0862834749")</f>
        <v>0862834749</v>
      </c>
      <c r="K8811" s="2" t="str">
        <f ca="1">IFERROR(__xludf.DUMMYFUNCTION("""COMPUTED_VALUE"""),"1756215484352")</f>
        <v>1756215484352</v>
      </c>
    </row>
    <row r="8812" spans="1:11" ht="12.45">
      <c r="A8812" s="2" t="str">
        <f ca="1">IFERROR(__xludf.DUMMYFUNCTION("""COMPUTED_VALUE"""),"1756215520200")</f>
        <v>1756215520200</v>
      </c>
      <c r="C8812" s="2" t="str">
        <v>0</v>
      </c>
      <c r="F8812" s="2" t="str">
        <v>0</v>
      </c>
      <c r="I8812" s="3" t="str">
        <f ca="1">IFERROR(__xludf.DUMMYFUNCTION("""COMPUTED_VALUE"""),"TRẦN LINH GIANG")</f>
        <v>TRẦN LINH GIANG</v>
      </c>
      <c r="J8812" s="3" t="str">
        <f ca="1">IFERROR(__xludf.DUMMYFUNCTION("""COMPUTED_VALUE"""),"0815936228")</f>
        <v>0815936228</v>
      </c>
      <c r="K8812" s="2" t="str">
        <f ca="1">IFERROR(__xludf.DUMMYFUNCTION("""COMPUTED_VALUE"""),"1756215520200")</f>
        <v>1756215520200</v>
      </c>
    </row>
    <row r="8813" spans="1:11" ht="12.45">
      <c r="A8813" s="2" t="str">
        <f ca="1">IFERROR(__xludf.DUMMYFUNCTION("""COMPUTED_VALUE"""),"1756215542040")</f>
        <v>1756215542040</v>
      </c>
      <c r="C8813" s="2" t="str">
        <v>0</v>
      </c>
      <c r="F8813" s="2" t="str">
        <v>0</v>
      </c>
      <c r="I8813" s="3" t="str">
        <f ca="1">IFERROR(__xludf.DUMMYFUNCTION("""COMPUTED_VALUE"""),"Đỗ Minh Châu")</f>
        <v>Đỗ Minh Châu</v>
      </c>
      <c r="J8813" s="3" t="str">
        <f ca="1">IFERROR(__xludf.DUMMYFUNCTION("""COMPUTED_VALUE"""),"0393809734")</f>
        <v>0393809734</v>
      </c>
      <c r="K8813" s="2" t="str">
        <f ca="1">IFERROR(__xludf.DUMMYFUNCTION("""COMPUTED_VALUE"""),"1756215542040")</f>
        <v>1756215542040</v>
      </c>
    </row>
    <row r="8814" spans="1:11" ht="12.45">
      <c r="A8814" s="2" t="str">
        <f ca="1">IFERROR(__xludf.DUMMYFUNCTION("""COMPUTED_VALUE"""),"1756215572533")</f>
        <v>1756215572533</v>
      </c>
      <c r="C8814" s="2" t="str">
        <v>0</v>
      </c>
      <c r="F8814" s="2" t="str">
        <v>0</v>
      </c>
      <c r="I8814" s="3" t="str">
        <f ca="1">IFERROR(__xludf.DUMMYFUNCTION("""COMPUTED_VALUE"""),"Lê Hà My")</f>
        <v>Lê Hà My</v>
      </c>
      <c r="J8814" s="3" t="str">
        <f ca="1">IFERROR(__xludf.DUMMYFUNCTION("""COMPUTED_VALUE"""),"0845610919")</f>
        <v>0845610919</v>
      </c>
      <c r="K8814" s="2" t="str">
        <f ca="1">IFERROR(__xludf.DUMMYFUNCTION("""COMPUTED_VALUE"""),"1756215572533")</f>
        <v>1756215572533</v>
      </c>
    </row>
    <row r="8815" spans="1:11" ht="12.45">
      <c r="A8815" s="2" t="str">
        <f ca="1">IFERROR(__xludf.DUMMYFUNCTION("""COMPUTED_VALUE"""),"1756215601944")</f>
        <v>1756215601944</v>
      </c>
      <c r="C8815" s="2" t="str">
        <v>0</v>
      </c>
      <c r="F8815" s="2" t="str">
        <v>0</v>
      </c>
      <c r="I8815" s="3" t="str">
        <f ca="1">IFERROR(__xludf.DUMMYFUNCTION("""COMPUTED_VALUE"""),"Trần Thị Khánh Huyền")</f>
        <v>Trần Thị Khánh Huyền</v>
      </c>
      <c r="J8815" s="3" t="str">
        <f ca="1">IFERROR(__xludf.DUMMYFUNCTION("""COMPUTED_VALUE"""),"0867217906")</f>
        <v>0867217906</v>
      </c>
      <c r="K8815" s="2" t="str">
        <f ca="1">IFERROR(__xludf.DUMMYFUNCTION("""COMPUTED_VALUE"""),"1756215601944")</f>
        <v>1756215601944</v>
      </c>
    </row>
    <row r="8816" spans="1:11" ht="12.45">
      <c r="A8816" s="2" t="str">
        <f ca="1">IFERROR(__xludf.DUMMYFUNCTION("""COMPUTED_VALUE"""),"1756215634728")</f>
        <v>1756215634728</v>
      </c>
      <c r="C8816" s="2" t="str">
        <v>0</v>
      </c>
      <c r="F8816" s="2" t="str">
        <v>0</v>
      </c>
      <c r="I8816" s="3" t="str">
        <f ca="1">IFERROR(__xludf.DUMMYFUNCTION("""COMPUTED_VALUE"""),"Đỗ Trường")</f>
        <v>Đỗ Trường</v>
      </c>
      <c r="J8816" s="3" t="str">
        <f ca="1">IFERROR(__xludf.DUMMYFUNCTION("""COMPUTED_VALUE"""),"0868718569")</f>
        <v>0868718569</v>
      </c>
      <c r="K8816" s="2" t="str">
        <f ca="1">IFERROR(__xludf.DUMMYFUNCTION("""COMPUTED_VALUE"""),"1756215634728")</f>
        <v>1756215634728</v>
      </c>
    </row>
    <row r="8817" spans="1:11" ht="12.45">
      <c r="A8817" s="2" t="str">
        <f ca="1">IFERROR(__xludf.DUMMYFUNCTION("""COMPUTED_VALUE"""),"1756227284915")</f>
        <v>1756227284915</v>
      </c>
      <c r="C8817" s="2" t="str">
        <v>0</v>
      </c>
      <c r="F8817" s="2" t="str">
        <v>0</v>
      </c>
      <c r="I8817" s="3" t="str">
        <f ca="1">IFERROR(__xludf.DUMMYFUNCTION("""COMPUTED_VALUE"""),"Nguyễn Thị Khánh Huyền ")</f>
        <v xml:space="preserve">Nguyễn Thị Khánh Huyền </v>
      </c>
      <c r="J8817" s="3" t="str">
        <f ca="1">IFERROR(__xludf.DUMMYFUNCTION("""COMPUTED_VALUE"""),"0362493269")</f>
        <v>0362493269</v>
      </c>
      <c r="K8817" s="2" t="str">
        <f ca="1">IFERROR(__xludf.DUMMYFUNCTION("""COMPUTED_VALUE"""),"1756227284915")</f>
        <v>1756227284915</v>
      </c>
    </row>
    <row r="8818" spans="1:11" ht="12.45">
      <c r="A8818" s="2" t="str">
        <f ca="1">IFERROR(__xludf.DUMMYFUNCTION("""COMPUTED_VALUE"""),"1756215706430")</f>
        <v>1756215706430</v>
      </c>
      <c r="C8818" s="2" t="str">
        <v>0</v>
      </c>
      <c r="F8818" s="2" t="str">
        <v>0</v>
      </c>
      <c r="I8818" s="3" t="str">
        <f ca="1">IFERROR(__xludf.DUMMYFUNCTION("""COMPUTED_VALUE"""),"Cao Ngọc Nhi")</f>
        <v>Cao Ngọc Nhi</v>
      </c>
      <c r="J8818" s="3" t="str">
        <f ca="1">IFERROR(__xludf.DUMMYFUNCTION("""COMPUTED_VALUE"""),"0932262308")</f>
        <v>0932262308</v>
      </c>
      <c r="K8818" s="2" t="str">
        <f ca="1">IFERROR(__xludf.DUMMYFUNCTION("""COMPUTED_VALUE"""),"1756215706430")</f>
        <v>1756215706430</v>
      </c>
    </row>
    <row r="8819" spans="1:11" ht="12.45">
      <c r="A8819" s="2" t="str">
        <f ca="1">IFERROR(__xludf.DUMMYFUNCTION("""COMPUTED_VALUE"""),"1756215759835")</f>
        <v>1756215759835</v>
      </c>
      <c r="C8819" s="2" t="str">
        <v>0</v>
      </c>
      <c r="F8819" s="2" t="str">
        <v>0</v>
      </c>
      <c r="I8819" s="3" t="str">
        <f ca="1">IFERROR(__xludf.DUMMYFUNCTION("""COMPUTED_VALUE"""),"Trần Gia Hân")</f>
        <v>Trần Gia Hân</v>
      </c>
      <c r="J8819" s="3" t="str">
        <f ca="1">IFERROR(__xludf.DUMMYFUNCTION("""COMPUTED_VALUE"""),"0905021527")</f>
        <v>0905021527</v>
      </c>
      <c r="K8819" s="2" t="str">
        <f ca="1">IFERROR(__xludf.DUMMYFUNCTION("""COMPUTED_VALUE"""),"1756215759835")</f>
        <v>1756215759835</v>
      </c>
    </row>
    <row r="8820" spans="1:11" ht="12.45">
      <c r="A8820" s="2" t="str">
        <f ca="1">IFERROR(__xludf.DUMMYFUNCTION("""COMPUTED_VALUE"""),"1756215784644")</f>
        <v>1756215784644</v>
      </c>
      <c r="C8820" s="2" t="str">
        <v>0</v>
      </c>
      <c r="F8820" s="2" t="str">
        <v>0</v>
      </c>
      <c r="I8820" s="3" t="str">
        <f ca="1">IFERROR(__xludf.DUMMYFUNCTION("""COMPUTED_VALUE"""),"Nguyễn Thu Hiền")</f>
        <v>Nguyễn Thu Hiền</v>
      </c>
      <c r="J8820" s="3" t="str">
        <f ca="1">IFERROR(__xludf.DUMMYFUNCTION("""COMPUTED_VALUE"""),"0913527490")</f>
        <v>0913527490</v>
      </c>
      <c r="K8820" s="2" t="str">
        <f ca="1">IFERROR(__xludf.DUMMYFUNCTION("""COMPUTED_VALUE"""),"1756215784644")</f>
        <v>1756215784644</v>
      </c>
    </row>
    <row r="8821" spans="1:11" ht="12.45">
      <c r="A8821" s="2" t="str">
        <f ca="1">IFERROR(__xludf.DUMMYFUNCTION("""COMPUTED_VALUE"""),"1756215835016")</f>
        <v>1756215835016</v>
      </c>
      <c r="C8821" s="2" t="str">
        <v>0</v>
      </c>
      <c r="F8821" s="2" t="str">
        <v>0</v>
      </c>
      <c r="I8821" s="3" t="str">
        <f ca="1">IFERROR(__xludf.DUMMYFUNCTION("""COMPUTED_VALUE"""),"Lê Thị Quỳnh Như")</f>
        <v>Lê Thị Quỳnh Như</v>
      </c>
      <c r="J8821" s="3" t="str">
        <f ca="1">IFERROR(__xludf.DUMMYFUNCTION("""COMPUTED_VALUE"""),"0919615065")</f>
        <v>0919615065</v>
      </c>
      <c r="K8821" s="2" t="str">
        <f ca="1">IFERROR(__xludf.DUMMYFUNCTION("""COMPUTED_VALUE"""),"1756215835016")</f>
        <v>1756215835016</v>
      </c>
    </row>
    <row r="8822" spans="1:11" ht="12.45">
      <c r="A8822" s="2" t="str">
        <f ca="1">IFERROR(__xludf.DUMMYFUNCTION("""COMPUTED_VALUE"""),"1756215867941")</f>
        <v>1756215867941</v>
      </c>
      <c r="C8822" s="2" t="str">
        <v>0</v>
      </c>
      <c r="F8822" s="2" t="str">
        <v>0</v>
      </c>
      <c r="I8822" s="3" t="str">
        <f ca="1">IFERROR(__xludf.DUMMYFUNCTION("""COMPUTED_VALUE"""),"Nguyễn Thị Yến Trinh")</f>
        <v>Nguyễn Thị Yến Trinh</v>
      </c>
      <c r="J8822" s="3" t="str">
        <f ca="1">IFERROR(__xludf.DUMMYFUNCTION("""COMPUTED_VALUE"""),"0785827180")</f>
        <v>0785827180</v>
      </c>
      <c r="K8822" s="2" t="str">
        <f ca="1">IFERROR(__xludf.DUMMYFUNCTION("""COMPUTED_VALUE"""),"1756215867941")</f>
        <v>1756215867941</v>
      </c>
    </row>
    <row r="8823" spans="1:11" ht="12.45">
      <c r="A8823" s="2" t="str">
        <f ca="1">IFERROR(__xludf.DUMMYFUNCTION("""COMPUTED_VALUE"""),"1756215902033")</f>
        <v>1756215902033</v>
      </c>
      <c r="C8823" s="2" t="str">
        <v>0</v>
      </c>
      <c r="F8823" s="2" t="str">
        <v>0</v>
      </c>
      <c r="I8823" s="3" t="str">
        <f ca="1">IFERROR(__xludf.DUMMYFUNCTION("""COMPUTED_VALUE"""),"Nguyễn Thị Linh Đan")</f>
        <v>Nguyễn Thị Linh Đan</v>
      </c>
      <c r="J8823" s="3" t="str">
        <f ca="1">IFERROR(__xludf.DUMMYFUNCTION("""COMPUTED_VALUE"""),"0327953755")</f>
        <v>0327953755</v>
      </c>
      <c r="K8823" s="2" t="str">
        <f ca="1">IFERROR(__xludf.DUMMYFUNCTION("""COMPUTED_VALUE"""),"1756215902033")</f>
        <v>1756215902033</v>
      </c>
    </row>
    <row r="8824" spans="1:11" ht="12.45">
      <c r="A8824" s="2" t="str">
        <f ca="1">IFERROR(__xludf.DUMMYFUNCTION("""COMPUTED_VALUE"""),"1756215931808")</f>
        <v>1756215931808</v>
      </c>
      <c r="C8824" s="2" t="str">
        <v>0</v>
      </c>
      <c r="F8824" s="2" t="str">
        <v>0</v>
      </c>
      <c r="I8824" s="3" t="str">
        <f ca="1">IFERROR(__xludf.DUMMYFUNCTION("""COMPUTED_VALUE"""),"Nguyễn Thế Chính")</f>
        <v>Nguyễn Thế Chính</v>
      </c>
      <c r="J8824" s="3" t="str">
        <f ca="1">IFERROR(__xludf.DUMMYFUNCTION("""COMPUTED_VALUE"""),"0347814082")</f>
        <v>0347814082</v>
      </c>
      <c r="K8824" s="2" t="str">
        <f ca="1">IFERROR(__xludf.DUMMYFUNCTION("""COMPUTED_VALUE"""),"1756215931808")</f>
        <v>1756215931808</v>
      </c>
    </row>
    <row r="8825" spans="1:11" ht="12.45">
      <c r="A8825" s="2" t="str">
        <f ca="1">IFERROR(__xludf.DUMMYFUNCTION("""COMPUTED_VALUE"""),"1756215950059")</f>
        <v>1756215950059</v>
      </c>
      <c r="C8825" s="2" t="str">
        <v>0</v>
      </c>
      <c r="F8825" s="2" t="str">
        <v>0</v>
      </c>
      <c r="I8825" s="3" t="str">
        <f ca="1">IFERROR(__xludf.DUMMYFUNCTION("""COMPUTED_VALUE"""),"Lê Hồng Ngọc ")</f>
        <v xml:space="preserve">Lê Hồng Ngọc </v>
      </c>
      <c r="J8825" s="3" t="str">
        <f ca="1">IFERROR(__xludf.DUMMYFUNCTION("""COMPUTED_VALUE"""),"0869118581")</f>
        <v>0869118581</v>
      </c>
      <c r="K8825" s="2" t="str">
        <f ca="1">IFERROR(__xludf.DUMMYFUNCTION("""COMPUTED_VALUE"""),"1756215950059")</f>
        <v>1756215950059</v>
      </c>
    </row>
    <row r="8826" spans="1:11" ht="12.45">
      <c r="A8826" s="2" t="str">
        <f ca="1">IFERROR(__xludf.DUMMYFUNCTION("""COMPUTED_VALUE"""),"1756215978403")</f>
        <v>1756215978403</v>
      </c>
      <c r="C8826" s="2" t="str">
        <v>0</v>
      </c>
      <c r="F8826" s="2" t="str">
        <v>0</v>
      </c>
      <c r="I8826" s="3" t="str">
        <f ca="1">IFERROR(__xludf.DUMMYFUNCTION("""COMPUTED_VALUE"""),"Nguyễn Ngô Diễm Quỳnh ")</f>
        <v xml:space="preserve">Nguyễn Ngô Diễm Quỳnh </v>
      </c>
      <c r="J8826" s="3" t="str">
        <f ca="1">IFERROR(__xludf.DUMMYFUNCTION("""COMPUTED_VALUE"""),"0965843455")</f>
        <v>0965843455</v>
      </c>
      <c r="K8826" s="2" t="str">
        <f ca="1">IFERROR(__xludf.DUMMYFUNCTION("""COMPUTED_VALUE"""),"1756215978403")</f>
        <v>1756215978403</v>
      </c>
    </row>
    <row r="8827" spans="1:11" ht="12.45">
      <c r="A8827" s="2" t="str">
        <f ca="1">IFERROR(__xludf.DUMMYFUNCTION("""COMPUTED_VALUE"""),"1756216002729")</f>
        <v>1756216002729</v>
      </c>
      <c r="C8827" s="2" t="str">
        <v>0</v>
      </c>
      <c r="F8827" s="2" t="str">
        <v>0</v>
      </c>
      <c r="I8827" s="3" t="str">
        <f ca="1">IFERROR(__xludf.DUMMYFUNCTION("""COMPUTED_VALUE"""),"Đặng Hồng Khuyên")</f>
        <v>Đặng Hồng Khuyên</v>
      </c>
      <c r="J8827" s="3" t="str">
        <f ca="1">IFERROR(__xludf.DUMMYFUNCTION("""COMPUTED_VALUE"""),"0866426944")</f>
        <v>0866426944</v>
      </c>
      <c r="K8827" s="2" t="str">
        <f ca="1">IFERROR(__xludf.DUMMYFUNCTION("""COMPUTED_VALUE"""),"1756216002729")</f>
        <v>1756216002729</v>
      </c>
    </row>
    <row r="8828" spans="1:11" ht="12.45">
      <c r="A8828" s="2" t="str">
        <f ca="1">IFERROR(__xludf.DUMMYFUNCTION("""COMPUTED_VALUE"""),"1756216033422")</f>
        <v>1756216033422</v>
      </c>
      <c r="C8828" s="2" t="str">
        <v>0</v>
      </c>
      <c r="F8828" s="2" t="str">
        <v>0</v>
      </c>
      <c r="I8828" s="3" t="str">
        <f ca="1">IFERROR(__xludf.DUMMYFUNCTION("""COMPUTED_VALUE"""),"Nguyễn Mai Trang")</f>
        <v>Nguyễn Mai Trang</v>
      </c>
      <c r="J8828" s="3" t="str">
        <f ca="1">IFERROR(__xludf.DUMMYFUNCTION("""COMPUTED_VALUE"""),"0327135152")</f>
        <v>0327135152</v>
      </c>
      <c r="K8828" s="2" t="str">
        <f ca="1">IFERROR(__xludf.DUMMYFUNCTION("""COMPUTED_VALUE"""),"1756216033422")</f>
        <v>1756216033422</v>
      </c>
    </row>
    <row r="8829" spans="1:11" ht="12.45">
      <c r="A8829" s="2" t="str">
        <f ca="1">IFERROR(__xludf.DUMMYFUNCTION("""COMPUTED_VALUE"""),"1756216060912")</f>
        <v>1756216060912</v>
      </c>
      <c r="C8829" s="2" t="str">
        <v>0</v>
      </c>
      <c r="F8829" s="2" t="str">
        <v>0</v>
      </c>
      <c r="I8829" s="3" t="str">
        <f ca="1">IFERROR(__xludf.DUMMYFUNCTION("""COMPUTED_VALUE"""),"Vương Ngọc Linh")</f>
        <v>Vương Ngọc Linh</v>
      </c>
      <c r="J8829" s="3" t="str">
        <f ca="1">IFERROR(__xludf.DUMMYFUNCTION("""COMPUTED_VALUE"""),"0971334050")</f>
        <v>0971334050</v>
      </c>
      <c r="K8829" s="2" t="str">
        <f ca="1">IFERROR(__xludf.DUMMYFUNCTION("""COMPUTED_VALUE"""),"1756216060912")</f>
        <v>1756216060912</v>
      </c>
    </row>
    <row r="8830" spans="1:11" ht="12.45">
      <c r="A8830" s="2" t="str">
        <f ca="1">IFERROR(__xludf.DUMMYFUNCTION("""COMPUTED_VALUE"""),"1756216098667")</f>
        <v>1756216098667</v>
      </c>
      <c r="C8830" s="2" t="str">
        <v>0</v>
      </c>
      <c r="F8830" s="2" t="str">
        <v>0</v>
      </c>
      <c r="I8830" s="3" t="str">
        <f ca="1">IFERROR(__xludf.DUMMYFUNCTION("""COMPUTED_VALUE"""),"Nguyễn Lê Xuân Hiền")</f>
        <v>Nguyễn Lê Xuân Hiền</v>
      </c>
      <c r="J8830" s="3" t="str">
        <f ca="1">IFERROR(__xludf.DUMMYFUNCTION("""COMPUTED_VALUE"""),"0916784307")</f>
        <v>0916784307</v>
      </c>
      <c r="K8830" s="2" t="str">
        <f ca="1">IFERROR(__xludf.DUMMYFUNCTION("""COMPUTED_VALUE"""),"1756216098667")</f>
        <v>1756216098667</v>
      </c>
    </row>
    <row r="8831" spans="1:11" ht="12.45">
      <c r="A8831" s="2" t="str">
        <f ca="1">IFERROR(__xludf.DUMMYFUNCTION("""COMPUTED_VALUE"""),"1756216150246")</f>
        <v>1756216150246</v>
      </c>
      <c r="C8831" s="2" t="str">
        <v>0</v>
      </c>
      <c r="F8831" s="2" t="str">
        <v>0</v>
      </c>
      <c r="I8831" s="3" t="str">
        <f ca="1">IFERROR(__xludf.DUMMYFUNCTION("""COMPUTED_VALUE"""),"Phạm Trần Minh Thư ")</f>
        <v xml:space="preserve">Phạm Trần Minh Thư </v>
      </c>
      <c r="J8831" s="3" t="str">
        <f ca="1">IFERROR(__xludf.DUMMYFUNCTION("""COMPUTED_VALUE"""),"0865373011")</f>
        <v>0865373011</v>
      </c>
      <c r="K8831" s="2" t="str">
        <f ca="1">IFERROR(__xludf.DUMMYFUNCTION("""COMPUTED_VALUE"""),"1756216150246")</f>
        <v>1756216150246</v>
      </c>
    </row>
    <row r="8832" spans="1:11" ht="12.45">
      <c r="A8832" s="2" t="str">
        <f ca="1">IFERROR(__xludf.DUMMYFUNCTION("""COMPUTED_VALUE"""),"1756216202183")</f>
        <v>1756216202183</v>
      </c>
      <c r="C8832" s="2" t="str">
        <v>0</v>
      </c>
      <c r="F8832" s="2" t="str">
        <v>0</v>
      </c>
      <c r="I8832" s="3" t="str">
        <f ca="1">IFERROR(__xludf.DUMMYFUNCTION("""COMPUTED_VALUE"""),"Ngân Xuân Thọ ")</f>
        <v xml:space="preserve">Ngân Xuân Thọ </v>
      </c>
      <c r="J8832" s="3" t="str">
        <f ca="1">IFERROR(__xludf.DUMMYFUNCTION("""COMPUTED_VALUE"""),"0333449386")</f>
        <v>0333449386</v>
      </c>
      <c r="K8832" s="2" t="str">
        <f ca="1">IFERROR(__xludf.DUMMYFUNCTION("""COMPUTED_VALUE"""),"1756216202183")</f>
        <v>1756216202183</v>
      </c>
    </row>
    <row r="8833" spans="1:11" ht="12.45">
      <c r="A8833" s="2" t="str">
        <f ca="1">IFERROR(__xludf.DUMMYFUNCTION("""COMPUTED_VALUE"""),"1748292233296")</f>
        <v>1748292233296</v>
      </c>
      <c r="C8833" s="2" t="str">
        <v>0</v>
      </c>
      <c r="F8833" s="2" t="str">
        <v>0</v>
      </c>
      <c r="I8833" s="3" t="str">
        <f ca="1">IFERROR(__xludf.DUMMYFUNCTION("""COMPUTED_VALUE"""),"Nguyễn Ngọc Linh")</f>
        <v>Nguyễn Ngọc Linh</v>
      </c>
      <c r="J8833" s="3" t="str">
        <f ca="1">IFERROR(__xludf.DUMMYFUNCTION("""COMPUTED_VALUE"""),"0377197512")</f>
        <v>0377197512</v>
      </c>
      <c r="K8833" s="2" t="str">
        <f ca="1">IFERROR(__xludf.DUMMYFUNCTION("""COMPUTED_VALUE"""),"1748292233296")</f>
        <v>1748292233296</v>
      </c>
    </row>
    <row r="8834" spans="1:11" ht="12.45">
      <c r="A8834" s="2" t="str">
        <f ca="1">IFERROR(__xludf.DUMMYFUNCTION("""COMPUTED_VALUE"""),"1756216150246")</f>
        <v>1756216150246</v>
      </c>
      <c r="C8834" s="2" t="str">
        <v>0</v>
      </c>
      <c r="F8834" s="2" t="str">
        <v>0</v>
      </c>
      <c r="I8834" s="3" t="str">
        <f ca="1">IFERROR(__xludf.DUMMYFUNCTION("""COMPUTED_VALUE"""),"Trần Thị Cẩm Tú")</f>
        <v>Trần Thị Cẩm Tú</v>
      </c>
      <c r="J8834" s="3" t="str">
        <f ca="1">IFERROR(__xludf.DUMMYFUNCTION("""COMPUTED_VALUE"""),"0963031257")</f>
        <v>0963031257</v>
      </c>
      <c r="K8834" s="2" t="str">
        <f ca="1">IFERROR(__xludf.DUMMYFUNCTION("""COMPUTED_VALUE"""),"1756216150246")</f>
        <v>1756216150246</v>
      </c>
    </row>
    <row r="8835" spans="1:11" ht="12.45">
      <c r="A8835" s="2" t="str">
        <f ca="1">IFERROR(__xludf.DUMMYFUNCTION("""COMPUTED_VALUE"""),"1756216231914")</f>
        <v>1756216231914</v>
      </c>
      <c r="C8835" s="2" t="str">
        <v>0</v>
      </c>
      <c r="F8835" s="2" t="str">
        <v>0</v>
      </c>
      <c r="I8835" s="3" t="str">
        <f ca="1">IFERROR(__xludf.DUMMYFUNCTION("""COMPUTED_VALUE"""),"Nguyễn Thị Ngọc Anh")</f>
        <v>Nguyễn Thị Ngọc Anh</v>
      </c>
      <c r="J8835" s="3" t="str">
        <f ca="1">IFERROR(__xludf.DUMMYFUNCTION("""COMPUTED_VALUE"""),"0336979394")</f>
        <v>0336979394</v>
      </c>
      <c r="K8835" s="2" t="str">
        <f ca="1">IFERROR(__xludf.DUMMYFUNCTION("""COMPUTED_VALUE"""),"1756216231914")</f>
        <v>1756216231914</v>
      </c>
    </row>
    <row r="8836" spans="1:11" ht="12.45">
      <c r="A8836" s="2" t="str">
        <f ca="1">IFERROR(__xludf.DUMMYFUNCTION("""COMPUTED_VALUE"""),"1756216260722")</f>
        <v>1756216260722</v>
      </c>
      <c r="C8836" s="2" t="str">
        <v>0</v>
      </c>
      <c r="F8836" s="2" t="str">
        <v>0</v>
      </c>
      <c r="I8836" s="3" t="str">
        <f ca="1">IFERROR(__xludf.DUMMYFUNCTION("""COMPUTED_VALUE"""),"Nguyễn Lâm Nhựt ")</f>
        <v xml:space="preserve">Nguyễn Lâm Nhựt </v>
      </c>
      <c r="J8836" s="3" t="str">
        <f ca="1">IFERROR(__xludf.DUMMYFUNCTION("""COMPUTED_VALUE"""),"0398931162")</f>
        <v>0398931162</v>
      </c>
      <c r="K8836" s="2" t="str">
        <f ca="1">IFERROR(__xludf.DUMMYFUNCTION("""COMPUTED_VALUE"""),"1756216260722")</f>
        <v>1756216260722</v>
      </c>
    </row>
    <row r="8837" spans="1:11" ht="12.45">
      <c r="A8837" s="2" t="str">
        <f ca="1">IFERROR(__xludf.DUMMYFUNCTION("""COMPUTED_VALUE"""),"1756216287926")</f>
        <v>1756216287926</v>
      </c>
      <c r="C8837" s="2" t="str">
        <v>0</v>
      </c>
      <c r="F8837" s="2" t="str">
        <v>0</v>
      </c>
      <c r="I8837" s="3" t="str">
        <f ca="1">IFERROR(__xludf.DUMMYFUNCTION("""COMPUTED_VALUE"""),"Võ Thị Trà My")</f>
        <v>Võ Thị Trà My</v>
      </c>
      <c r="J8837" s="3" t="str">
        <f ca="1">IFERROR(__xludf.DUMMYFUNCTION("""COMPUTED_VALUE"""),"0328171937")</f>
        <v>0328171937</v>
      </c>
      <c r="K8837" s="2" t="str">
        <f ca="1">IFERROR(__xludf.DUMMYFUNCTION("""COMPUTED_VALUE"""),"1756216287926")</f>
        <v>1756216287926</v>
      </c>
    </row>
    <row r="8838" spans="1:11" ht="12.45">
      <c r="A8838" s="2" t="str">
        <f ca="1">IFERROR(__xludf.DUMMYFUNCTION("""COMPUTED_VALUE"""),"1756216318711")</f>
        <v>1756216318711</v>
      </c>
      <c r="C8838" s="2" t="str">
        <v>0</v>
      </c>
      <c r="F8838" s="2" t="str">
        <v>0</v>
      </c>
      <c r="I8838" s="3" t="str">
        <f ca="1">IFERROR(__xludf.DUMMYFUNCTION("""COMPUTED_VALUE"""),"Minh Sơn Phú")</f>
        <v>Minh Sơn Phú</v>
      </c>
      <c r="J8838" s="3" t="str">
        <f ca="1">IFERROR(__xludf.DUMMYFUNCTION("""COMPUTED_VALUE"""),"0946776998")</f>
        <v>0946776998</v>
      </c>
      <c r="K8838" s="2" t="str">
        <f ca="1">IFERROR(__xludf.DUMMYFUNCTION("""COMPUTED_VALUE"""),"1756216318711")</f>
        <v>1756216318711</v>
      </c>
    </row>
    <row r="8839" spans="1:11" ht="12.45">
      <c r="A8839" s="2" t="str">
        <f ca="1">IFERROR(__xludf.DUMMYFUNCTION("""COMPUTED_VALUE"""),"1756216364921")</f>
        <v>1756216364921</v>
      </c>
      <c r="C8839" s="2" t="str">
        <v>0</v>
      </c>
      <c r="F8839" s="2" t="str">
        <v>0</v>
      </c>
      <c r="I8839" s="3" t="str">
        <f ca="1">IFERROR(__xludf.DUMMYFUNCTION("""COMPUTED_VALUE"""),"Lê Phan Phương Thảo")</f>
        <v>Lê Phan Phương Thảo</v>
      </c>
      <c r="J8839" s="3" t="str">
        <f ca="1">IFERROR(__xludf.DUMMYFUNCTION("""COMPUTED_VALUE"""),"0818974999")</f>
        <v>0818974999</v>
      </c>
      <c r="K8839" s="2" t="str">
        <f ca="1">IFERROR(__xludf.DUMMYFUNCTION("""COMPUTED_VALUE"""),"1756216364921")</f>
        <v>1756216364921</v>
      </c>
    </row>
    <row r="8840" spans="1:11" ht="12.45">
      <c r="A8840" s="2" t="str">
        <f ca="1">IFERROR(__xludf.DUMMYFUNCTION("""COMPUTED_VALUE"""),"1756216405703")</f>
        <v>1756216405703</v>
      </c>
      <c r="C8840" s="2" t="str">
        <v>0</v>
      </c>
      <c r="F8840" s="2" t="str">
        <v>0</v>
      </c>
      <c r="I8840" s="3" t="str">
        <f ca="1">IFERROR(__xludf.DUMMYFUNCTION("""COMPUTED_VALUE"""),"Huỳnh Nguyễn Kim Ngân ")</f>
        <v xml:space="preserve">Huỳnh Nguyễn Kim Ngân </v>
      </c>
      <c r="J8840" s="3" t="str">
        <f ca="1">IFERROR(__xludf.DUMMYFUNCTION("""COMPUTED_VALUE"""),"0362263483")</f>
        <v>0362263483</v>
      </c>
      <c r="K8840" s="2" t="str">
        <f ca="1">IFERROR(__xludf.DUMMYFUNCTION("""COMPUTED_VALUE"""),"1756216405703")</f>
        <v>1756216405703</v>
      </c>
    </row>
    <row r="8841" spans="1:11" ht="12.45">
      <c r="A8841" s="2" t="str">
        <f ca="1">IFERROR(__xludf.DUMMYFUNCTION("""COMPUTED_VALUE"""),"1756216464512")</f>
        <v>1756216464512</v>
      </c>
      <c r="C8841" s="2" t="str">
        <v>0</v>
      </c>
      <c r="F8841" s="2" t="str">
        <v>0</v>
      </c>
      <c r="I8841" s="3" t="str">
        <f ca="1">IFERROR(__xludf.DUMMYFUNCTION("""COMPUTED_VALUE"""),"Nguyễn Mạnh Dung")</f>
        <v>Nguyễn Mạnh Dung</v>
      </c>
      <c r="J8841" s="3" t="str">
        <f ca="1">IFERROR(__xludf.DUMMYFUNCTION("""COMPUTED_VALUE"""),"0326978927")</f>
        <v>0326978927</v>
      </c>
      <c r="K8841" s="2" t="str">
        <f ca="1">IFERROR(__xludf.DUMMYFUNCTION("""COMPUTED_VALUE"""),"1756216464512")</f>
        <v>1756216464512</v>
      </c>
    </row>
    <row r="8842" spans="1:11" ht="12.45">
      <c r="A8842" s="2" t="str">
        <f ca="1">IFERROR(__xludf.DUMMYFUNCTION("""COMPUTED_VALUE"""),"1756216514707")</f>
        <v>1756216514707</v>
      </c>
      <c r="C8842" s="2" t="str">
        <v>0</v>
      </c>
      <c r="F8842" s="2" t="str">
        <v>0</v>
      </c>
      <c r="I8842" s="3" t="str">
        <f ca="1">IFERROR(__xludf.DUMMYFUNCTION("""COMPUTED_VALUE"""),"Triệu Thị Bảo Linh")</f>
        <v>Triệu Thị Bảo Linh</v>
      </c>
      <c r="J8842" s="3" t="str">
        <f ca="1">IFERROR(__xludf.DUMMYFUNCTION("""COMPUTED_VALUE"""),"0904188123")</f>
        <v>0904188123</v>
      </c>
      <c r="K8842" s="2" t="str">
        <f ca="1">IFERROR(__xludf.DUMMYFUNCTION("""COMPUTED_VALUE"""),"1756216514707")</f>
        <v>1756216514707</v>
      </c>
    </row>
    <row r="8843" spans="1:11" ht="12.45">
      <c r="A8843" s="2" t="str">
        <f ca="1">IFERROR(__xludf.DUMMYFUNCTION("""COMPUTED_VALUE"""),"1756216557760")</f>
        <v>1756216557760</v>
      </c>
      <c r="C8843" s="2" t="str">
        <v>0</v>
      </c>
      <c r="F8843" s="2" t="str">
        <v>0</v>
      </c>
      <c r="I8843" s="3" t="str">
        <f ca="1">IFERROR(__xludf.DUMMYFUNCTION("""COMPUTED_VALUE"""),"Lê Thị Kiều Anh ")</f>
        <v xml:space="preserve">Lê Thị Kiều Anh </v>
      </c>
      <c r="J8843" s="3" t="str">
        <f ca="1">IFERROR(__xludf.DUMMYFUNCTION("""COMPUTED_VALUE"""),"0705425538")</f>
        <v>0705425538</v>
      </c>
      <c r="K8843" s="2" t="str">
        <f ca="1">IFERROR(__xludf.DUMMYFUNCTION("""COMPUTED_VALUE"""),"1756216557760")</f>
        <v>1756216557760</v>
      </c>
    </row>
    <row r="8844" spans="1:11" ht="12.45">
      <c r="A8844" s="2" t="str">
        <f ca="1">IFERROR(__xludf.DUMMYFUNCTION("""COMPUTED_VALUE"""),"1756216584870")</f>
        <v>1756216584870</v>
      </c>
      <c r="C8844" s="2" t="str">
        <v>0</v>
      </c>
      <c r="F8844" s="2" t="str">
        <v>0</v>
      </c>
      <c r="I8844" s="3" t="str">
        <f ca="1">IFERROR(__xludf.DUMMYFUNCTION("""COMPUTED_VALUE"""),"Nguyễn Thị Thu Huyền")</f>
        <v>Nguyễn Thị Thu Huyền</v>
      </c>
      <c r="J8844" s="3" t="str">
        <f ca="1">IFERROR(__xludf.DUMMYFUNCTION("""COMPUTED_VALUE"""),"0978364698")</f>
        <v>0978364698</v>
      </c>
      <c r="K8844" s="2" t="str">
        <f ca="1">IFERROR(__xludf.DUMMYFUNCTION("""COMPUTED_VALUE"""),"1756216584870")</f>
        <v>1756216584870</v>
      </c>
    </row>
    <row r="8845" spans="1:11" ht="12.45">
      <c r="A8845" s="2" t="str">
        <f ca="1">IFERROR(__xludf.DUMMYFUNCTION("""COMPUTED_VALUE"""),"1756216619440")</f>
        <v>1756216619440</v>
      </c>
      <c r="C8845" s="2" t="str">
        <v>0</v>
      </c>
      <c r="F8845" s="2" t="str">
        <v>0</v>
      </c>
      <c r="I8845" s="3" t="str">
        <f ca="1">IFERROR(__xludf.DUMMYFUNCTION("""COMPUTED_VALUE"""),"Nguyễn Ngọc Trâm Anh ")</f>
        <v xml:space="preserve">Nguyễn Ngọc Trâm Anh </v>
      </c>
      <c r="J8845" s="3" t="str">
        <f ca="1">IFERROR(__xludf.DUMMYFUNCTION("""COMPUTED_VALUE"""),"0814714231")</f>
        <v>0814714231</v>
      </c>
      <c r="K8845" s="2" t="str">
        <f ca="1">IFERROR(__xludf.DUMMYFUNCTION("""COMPUTED_VALUE"""),"1756216619440")</f>
        <v>1756216619440</v>
      </c>
    </row>
    <row r="8846" spans="1:11" ht="12.45">
      <c r="A8846" s="2" t="str">
        <f ca="1">IFERROR(__xludf.DUMMYFUNCTION("""COMPUTED_VALUE"""),"1756216675455")</f>
        <v>1756216675455</v>
      </c>
      <c r="C8846" s="2" t="str">
        <v>0</v>
      </c>
      <c r="F8846" s="2" t="str">
        <v>0</v>
      </c>
      <c r="I8846" s="3" t="str">
        <f ca="1">IFERROR(__xludf.DUMMYFUNCTION("""COMPUTED_VALUE"""),"Võ Thành Phát")</f>
        <v>Võ Thành Phát</v>
      </c>
      <c r="J8846" s="3" t="str">
        <f ca="1">IFERROR(__xludf.DUMMYFUNCTION("""COMPUTED_VALUE"""),"0348470825")</f>
        <v>0348470825</v>
      </c>
      <c r="K8846" s="2" t="str">
        <f ca="1">IFERROR(__xludf.DUMMYFUNCTION("""COMPUTED_VALUE"""),"1756216675455")</f>
        <v>1756216675455</v>
      </c>
    </row>
    <row r="8847" spans="1:11" ht="12.45">
      <c r="A8847" s="2" t="str">
        <f ca="1">IFERROR(__xludf.DUMMYFUNCTION("""COMPUTED_VALUE"""),"1756216754591")</f>
        <v>1756216754591</v>
      </c>
      <c r="C8847" s="2" t="str">
        <v>0</v>
      </c>
      <c r="F8847" s="2" t="str">
        <v>0</v>
      </c>
      <c r="I8847" s="3" t="str">
        <f ca="1">IFERROR(__xludf.DUMMYFUNCTION("""COMPUTED_VALUE"""),"Phạm Xuân Hoà")</f>
        <v>Phạm Xuân Hoà</v>
      </c>
      <c r="J8847" s="3" t="str">
        <f ca="1">IFERROR(__xludf.DUMMYFUNCTION("""COMPUTED_VALUE"""),"0362786212")</f>
        <v>0362786212</v>
      </c>
      <c r="K8847" s="2" t="str">
        <f ca="1">IFERROR(__xludf.DUMMYFUNCTION("""COMPUTED_VALUE"""),"1756216754591")</f>
        <v>1756216754591</v>
      </c>
    </row>
    <row r="8848" spans="1:11" ht="12.45">
      <c r="A8848" s="2" t="str">
        <f ca="1">IFERROR(__xludf.DUMMYFUNCTION("""COMPUTED_VALUE"""),"1748292293457")</f>
        <v>1748292293457</v>
      </c>
      <c r="C8848" s="2" t="str">
        <v>0</v>
      </c>
      <c r="F8848" s="2" t="str">
        <v>0</v>
      </c>
      <c r="I8848" s="3" t="str">
        <f ca="1">IFERROR(__xludf.DUMMYFUNCTION("""COMPUTED_VALUE"""),"Lương Xuân Hồng Đức ")</f>
        <v xml:space="preserve">Lương Xuân Hồng Đức </v>
      </c>
      <c r="J8848" s="3" t="str">
        <f ca="1">IFERROR(__xludf.DUMMYFUNCTION("""COMPUTED_VALUE"""),"0977401719")</f>
        <v>0977401719</v>
      </c>
      <c r="K8848" s="2" t="str">
        <f ca="1">IFERROR(__xludf.DUMMYFUNCTION("""COMPUTED_VALUE"""),"1748292293457")</f>
        <v>1748292293457</v>
      </c>
    </row>
    <row r="8849" spans="1:11" ht="12.45">
      <c r="A8849" s="2" t="str">
        <f ca="1">IFERROR(__xludf.DUMMYFUNCTION("""COMPUTED_VALUE"""),"1748292317820")</f>
        <v>1748292317820</v>
      </c>
      <c r="C8849" s="2" t="str">
        <v>0</v>
      </c>
      <c r="F8849" s="2" t="str">
        <v>0</v>
      </c>
      <c r="I8849" s="3" t="str">
        <f ca="1">IFERROR(__xludf.DUMMYFUNCTION("""COMPUTED_VALUE"""),"Trần Tuyết Ngọc")</f>
        <v>Trần Tuyết Ngọc</v>
      </c>
      <c r="J8849" s="3" t="str">
        <f ca="1">IFERROR(__xludf.DUMMYFUNCTION("""COMPUTED_VALUE"""),"0393558626")</f>
        <v>0393558626</v>
      </c>
      <c r="K8849" s="2" t="str">
        <f ca="1">IFERROR(__xludf.DUMMYFUNCTION("""COMPUTED_VALUE"""),"1748292317820")</f>
        <v>1748292317820</v>
      </c>
    </row>
    <row r="8850" spans="1:11" ht="12.45">
      <c r="A8850" s="2" t="str">
        <f ca="1">IFERROR(__xludf.DUMMYFUNCTION("""COMPUTED_VALUE"""),"1748292340534")</f>
        <v>1748292340534</v>
      </c>
      <c r="C8850" s="2" t="str">
        <v>0</v>
      </c>
      <c r="F8850" s="2" t="str">
        <v>0</v>
      </c>
      <c r="I8850" s="3" t="str">
        <f ca="1">IFERROR(__xludf.DUMMYFUNCTION("""COMPUTED_VALUE"""),"Nguyễn Thị Yến")</f>
        <v>Nguyễn Thị Yến</v>
      </c>
      <c r="J8850" s="3" t="str">
        <f ca="1">IFERROR(__xludf.DUMMYFUNCTION("""COMPUTED_VALUE"""),"0397193655")</f>
        <v>0397193655</v>
      </c>
      <c r="K8850" s="2" t="str">
        <f ca="1">IFERROR(__xludf.DUMMYFUNCTION("""COMPUTED_VALUE"""),"1748292340534")</f>
        <v>1748292340534</v>
      </c>
    </row>
    <row r="8851" spans="1:11" ht="12.45">
      <c r="A8851" s="2" t="str">
        <f ca="1">IFERROR(__xludf.DUMMYFUNCTION("""COMPUTED_VALUE"""),"1748292361852")</f>
        <v>1748292361852</v>
      </c>
      <c r="C8851" s="2" t="str">
        <v>0</v>
      </c>
      <c r="F8851" s="2" t="str">
        <v>0</v>
      </c>
      <c r="I8851" s="3" t="str">
        <f ca="1">IFERROR(__xludf.DUMMYFUNCTION("""COMPUTED_VALUE"""),"Nguyễn Phạm Hoài Anh")</f>
        <v>Nguyễn Phạm Hoài Anh</v>
      </c>
      <c r="J8851" s="3" t="str">
        <f ca="1">IFERROR(__xludf.DUMMYFUNCTION("""COMPUTED_VALUE"""),"0777037589")</f>
        <v>0777037589</v>
      </c>
      <c r="K8851" s="2" t="str">
        <f ca="1">IFERROR(__xludf.DUMMYFUNCTION("""COMPUTED_VALUE"""),"1748292361852")</f>
        <v>1748292361852</v>
      </c>
    </row>
    <row r="8852" spans="1:11" ht="12.45">
      <c r="A8852" s="2" t="str">
        <f ca="1">IFERROR(__xludf.DUMMYFUNCTION("""COMPUTED_VALUE"""),"1748292389324")</f>
        <v>1748292389324</v>
      </c>
      <c r="C8852" s="2" t="str">
        <v>0</v>
      </c>
      <c r="F8852" s="2" t="str">
        <v>0</v>
      </c>
      <c r="I8852" s="3" t="str">
        <f ca="1">IFERROR(__xludf.DUMMYFUNCTION("""COMPUTED_VALUE"""),"Mạc Thị Mai Sang")</f>
        <v>Mạc Thị Mai Sang</v>
      </c>
      <c r="J8852" s="3" t="str">
        <f ca="1">IFERROR(__xludf.DUMMYFUNCTION("""COMPUTED_VALUE"""),"0349157840")</f>
        <v>0349157840</v>
      </c>
      <c r="K8852" s="2" t="str">
        <f ca="1">IFERROR(__xludf.DUMMYFUNCTION("""COMPUTED_VALUE"""),"1748292389324")</f>
        <v>1748292389324</v>
      </c>
    </row>
    <row r="8853" spans="1:11" ht="12.45">
      <c r="A8853" s="2" t="str">
        <f ca="1">IFERROR(__xludf.DUMMYFUNCTION("""COMPUTED_VALUE"""),"1748292415561")</f>
        <v>1748292415561</v>
      </c>
      <c r="C8853" s="2" t="str">
        <v>0</v>
      </c>
      <c r="F8853" s="2" t="str">
        <v>0</v>
      </c>
      <c r="I8853" s="3" t="str">
        <f ca="1">IFERROR(__xludf.DUMMYFUNCTION("""COMPUTED_VALUE"""),"Nguyễn Thục Tâm")</f>
        <v>Nguyễn Thục Tâm</v>
      </c>
      <c r="J8853" s="3" t="str">
        <f ca="1">IFERROR(__xludf.DUMMYFUNCTION("""COMPUTED_VALUE"""),"0903058026")</f>
        <v>0903058026</v>
      </c>
      <c r="K8853" s="2" t="str">
        <f ca="1">IFERROR(__xludf.DUMMYFUNCTION("""COMPUTED_VALUE"""),"1748292415561")</f>
        <v>1748292415561</v>
      </c>
    </row>
    <row r="8854" spans="1:11" ht="12.45">
      <c r="A8854" s="2" t="str">
        <f ca="1">IFERROR(__xludf.DUMMYFUNCTION("""COMPUTED_VALUE"""),"1748292436962")</f>
        <v>1748292436962</v>
      </c>
      <c r="C8854" s="2" t="str">
        <v>0</v>
      </c>
      <c r="F8854" s="2" t="str">
        <v>0</v>
      </c>
      <c r="I8854" s="3" t="str">
        <f ca="1">IFERROR(__xludf.DUMMYFUNCTION("""COMPUTED_VALUE"""),"Nông Thành Đạt")</f>
        <v>Nông Thành Đạt</v>
      </c>
      <c r="J8854" s="3" t="str">
        <f ca="1">IFERROR(__xludf.DUMMYFUNCTION("""COMPUTED_VALUE"""),"0832275116")</f>
        <v>0832275116</v>
      </c>
      <c r="K8854" s="2" t="str">
        <f ca="1">IFERROR(__xludf.DUMMYFUNCTION("""COMPUTED_VALUE"""),"1748292436962")</f>
        <v>1748292436962</v>
      </c>
    </row>
    <row r="8855" spans="1:11" ht="12.45">
      <c r="A8855" s="2" t="str">
        <f ca="1">IFERROR(__xludf.DUMMYFUNCTION("""COMPUTED_VALUE"""),"1748292457726")</f>
        <v>1748292457726</v>
      </c>
      <c r="C8855" s="2" t="str">
        <v>0</v>
      </c>
      <c r="F8855" s="2" t="str">
        <v>0</v>
      </c>
      <c r="I8855" s="3" t="str">
        <f ca="1">IFERROR(__xludf.DUMMYFUNCTION("""COMPUTED_VALUE"""),"Phan Ngọc Mai")</f>
        <v>Phan Ngọc Mai</v>
      </c>
      <c r="J8855" s="3" t="str">
        <f ca="1">IFERROR(__xludf.DUMMYFUNCTION("""COMPUTED_VALUE"""),"0397519819")</f>
        <v>0397519819</v>
      </c>
      <c r="K8855" s="2" t="str">
        <f ca="1">IFERROR(__xludf.DUMMYFUNCTION("""COMPUTED_VALUE"""),"1748292457726")</f>
        <v>1748292457726</v>
      </c>
    </row>
    <row r="8856" spans="1:11" ht="12.45">
      <c r="A8856" s="2" t="str">
        <f ca="1">IFERROR(__xludf.DUMMYFUNCTION("""COMPUTED_VALUE"""),"1748292477916")</f>
        <v>1748292477916</v>
      </c>
      <c r="C8856" s="2" t="str">
        <v>0</v>
      </c>
      <c r="F8856" s="2" t="str">
        <v>0</v>
      </c>
      <c r="I8856" s="3" t="str">
        <f ca="1">IFERROR(__xludf.DUMMYFUNCTION("""COMPUTED_VALUE"""),"Nguyễn Thị Trâm Anh")</f>
        <v>Nguyễn Thị Trâm Anh</v>
      </c>
      <c r="J8856" s="3" t="str">
        <f ca="1">IFERROR(__xludf.DUMMYFUNCTION("""COMPUTED_VALUE"""),"0907476569")</f>
        <v>0907476569</v>
      </c>
      <c r="K8856" s="2" t="str">
        <f ca="1">IFERROR(__xludf.DUMMYFUNCTION("""COMPUTED_VALUE"""),"1748292477916")</f>
        <v>1748292477916</v>
      </c>
    </row>
    <row r="8857" spans="1:11" ht="12.45">
      <c r="A8857" s="2" t="str">
        <f ca="1">IFERROR(__xludf.DUMMYFUNCTION("""COMPUTED_VALUE"""),"1748292506912")</f>
        <v>1748292506912</v>
      </c>
      <c r="C8857" s="2" t="str">
        <v>0</v>
      </c>
      <c r="F8857" s="2" t="str">
        <v>0</v>
      </c>
      <c r="I8857" s="3" t="str">
        <f ca="1">IFERROR(__xludf.DUMMYFUNCTION("""COMPUTED_VALUE"""),"Âu Đặng Ngọc Trâm")</f>
        <v>Âu Đặng Ngọc Trâm</v>
      </c>
      <c r="J8857" s="3" t="str">
        <f ca="1">IFERROR(__xludf.DUMMYFUNCTION("""COMPUTED_VALUE"""),"0868810672")</f>
        <v>0868810672</v>
      </c>
      <c r="K8857" s="2" t="str">
        <f ca="1">IFERROR(__xludf.DUMMYFUNCTION("""COMPUTED_VALUE"""),"1748292506912")</f>
        <v>1748292506912</v>
      </c>
    </row>
    <row r="8858" spans="1:11" ht="12.45">
      <c r="A8858" s="2" t="str">
        <f ca="1">IFERROR(__xludf.DUMMYFUNCTION("""COMPUTED_VALUE"""),"1748292529820")</f>
        <v>1748292529820</v>
      </c>
      <c r="C8858" s="2" t="str">
        <v>0</v>
      </c>
      <c r="F8858" s="2" t="str">
        <v>0</v>
      </c>
      <c r="I8858" s="3" t="str">
        <f ca="1">IFERROR(__xludf.DUMMYFUNCTION("""COMPUTED_VALUE"""),"Huỳnh Thị Ngọc Duyên")</f>
        <v>Huỳnh Thị Ngọc Duyên</v>
      </c>
      <c r="J8858" s="3" t="str">
        <f ca="1">IFERROR(__xludf.DUMMYFUNCTION("""COMPUTED_VALUE"""),"0369049210")</f>
        <v>0369049210</v>
      </c>
      <c r="K8858" s="2" t="str">
        <f ca="1">IFERROR(__xludf.DUMMYFUNCTION("""COMPUTED_VALUE"""),"1748292529820")</f>
        <v>1748292529820</v>
      </c>
    </row>
    <row r="8859" spans="1:11" ht="12.45">
      <c r="A8859" s="2" t="str">
        <f ca="1">IFERROR(__xludf.DUMMYFUNCTION("""COMPUTED_VALUE"""),"1748292542732")</f>
        <v>1748292542732</v>
      </c>
      <c r="C8859" s="2" t="str">
        <v>0</v>
      </c>
      <c r="F8859" s="2" t="str">
        <v>0</v>
      </c>
      <c r="I8859" s="3" t="str">
        <f ca="1">IFERROR(__xludf.DUMMYFUNCTION("""COMPUTED_VALUE"""),"Nguyễn Phương Nhung")</f>
        <v>Nguyễn Phương Nhung</v>
      </c>
      <c r="J8859" s="3" t="str">
        <f ca="1">IFERROR(__xludf.DUMMYFUNCTION("""COMPUTED_VALUE"""),"0397908217")</f>
        <v>0397908217</v>
      </c>
      <c r="K8859" s="2" t="str">
        <f ca="1">IFERROR(__xludf.DUMMYFUNCTION("""COMPUTED_VALUE"""),"1748292542732")</f>
        <v>1748292542732</v>
      </c>
    </row>
    <row r="8860" spans="1:11" ht="12.45">
      <c r="A8860" s="2" t="str">
        <f ca="1">IFERROR(__xludf.DUMMYFUNCTION("""COMPUTED_VALUE"""),"1748292561764")</f>
        <v>1748292561764</v>
      </c>
      <c r="C8860" s="2" t="str">
        <v>0</v>
      </c>
      <c r="F8860" s="2" t="str">
        <v>0</v>
      </c>
      <c r="I8860" s="3" t="str">
        <f ca="1">IFERROR(__xludf.DUMMYFUNCTION("""COMPUTED_VALUE"""),"Lê Nguyễn Phương Linh")</f>
        <v>Lê Nguyễn Phương Linh</v>
      </c>
      <c r="J8860" s="3" t="str">
        <f ca="1">IFERROR(__xludf.DUMMYFUNCTION("""COMPUTED_VALUE"""),"0941738836")</f>
        <v>0941738836</v>
      </c>
      <c r="K8860" s="2" t="str">
        <f ca="1">IFERROR(__xludf.DUMMYFUNCTION("""COMPUTED_VALUE"""),"1748292561764")</f>
        <v>1748292561764</v>
      </c>
    </row>
    <row r="8861" spans="1:11" ht="12.45">
      <c r="A8861" s="2" t="str">
        <f ca="1">IFERROR(__xludf.DUMMYFUNCTION("""COMPUTED_VALUE"""),"1748292588874")</f>
        <v>1748292588874</v>
      </c>
      <c r="C8861" s="2" t="str">
        <v>0</v>
      </c>
      <c r="F8861" s="2" t="str">
        <v>0</v>
      </c>
      <c r="I8861" s="3" t="str">
        <f ca="1">IFERROR(__xludf.DUMMYFUNCTION("""COMPUTED_VALUE"""),"Hoàng Thị Yến Nhi ")</f>
        <v xml:space="preserve">Hoàng Thị Yến Nhi </v>
      </c>
      <c r="J8861" s="3" t="str">
        <f ca="1">IFERROR(__xludf.DUMMYFUNCTION("""COMPUTED_VALUE"""),"0393414301")</f>
        <v>0393414301</v>
      </c>
      <c r="K8861" s="2" t="str">
        <f ca="1">IFERROR(__xludf.DUMMYFUNCTION("""COMPUTED_VALUE"""),"1748292588874")</f>
        <v>1748292588874</v>
      </c>
    </row>
    <row r="8862" spans="1:11" ht="12.45">
      <c r="A8862" s="2" t="str">
        <f ca="1">IFERROR(__xludf.DUMMYFUNCTION("""COMPUTED_VALUE"""),"1748292613423")</f>
        <v>1748292613423</v>
      </c>
      <c r="C8862" s="2" t="str">
        <v>0</v>
      </c>
      <c r="F8862" s="2" t="str">
        <v>0</v>
      </c>
      <c r="I8862" s="3" t="str">
        <f ca="1">IFERROR(__xludf.DUMMYFUNCTION("""COMPUTED_VALUE"""),"Phạm Hoàng Anh")</f>
        <v>Phạm Hoàng Anh</v>
      </c>
      <c r="J8862" s="3" t="str">
        <f ca="1">IFERROR(__xludf.DUMMYFUNCTION("""COMPUTED_VALUE"""),"8484835172")</f>
        <v>8484835172</v>
      </c>
      <c r="K8862" s="2" t="str">
        <f ca="1">IFERROR(__xludf.DUMMYFUNCTION("""COMPUTED_VALUE"""),"1748292613423")</f>
        <v>1748292613423</v>
      </c>
    </row>
    <row r="8863" spans="1:11" ht="12.45">
      <c r="A8863" s="2" t="str">
        <f ca="1">IFERROR(__xludf.DUMMYFUNCTION("""COMPUTED_VALUE"""),"1748292635190")</f>
        <v>1748292635190</v>
      </c>
      <c r="C8863" s="2" t="str">
        <v>0</v>
      </c>
      <c r="F8863" s="2" t="str">
        <v>0</v>
      </c>
      <c r="I8863" s="3" t="str">
        <f ca="1">IFERROR(__xludf.DUMMYFUNCTION("""COMPUTED_VALUE"""),"Nguyễn Thị Ngọc Mai")</f>
        <v>Nguyễn Thị Ngọc Mai</v>
      </c>
      <c r="J8863" s="3" t="str">
        <f ca="1">IFERROR(__xludf.DUMMYFUNCTION("""COMPUTED_VALUE"""),"0844914470")</f>
        <v>0844914470</v>
      </c>
      <c r="K8863" s="2" t="str">
        <f ca="1">IFERROR(__xludf.DUMMYFUNCTION("""COMPUTED_VALUE"""),"1748292635190")</f>
        <v>1748292635190</v>
      </c>
    </row>
    <row r="8864" spans="1:11" ht="12.45">
      <c r="A8864" s="2" t="str">
        <f ca="1">IFERROR(__xludf.DUMMYFUNCTION("""COMPUTED_VALUE"""),"1748292657214")</f>
        <v>1748292657214</v>
      </c>
      <c r="C8864" s="2" t="str">
        <v>0</v>
      </c>
      <c r="F8864" s="2" t="str">
        <v>0</v>
      </c>
      <c r="I8864" s="3" t="str">
        <f ca="1">IFERROR(__xludf.DUMMYFUNCTION("""COMPUTED_VALUE"""),"Nguyễn Hoàng Hà Chi")</f>
        <v>Nguyễn Hoàng Hà Chi</v>
      </c>
      <c r="J8864" s="3" t="str">
        <f ca="1">IFERROR(__xludf.DUMMYFUNCTION("""COMPUTED_VALUE"""),"0988601088")</f>
        <v>0988601088</v>
      </c>
      <c r="K8864" s="2" t="str">
        <f ca="1">IFERROR(__xludf.DUMMYFUNCTION("""COMPUTED_VALUE"""),"1748292657214")</f>
        <v>1748292657214</v>
      </c>
    </row>
    <row r="8865" spans="1:11" ht="12.45">
      <c r="A8865" s="2" t="str">
        <f ca="1">IFERROR(__xludf.DUMMYFUNCTION("""COMPUTED_VALUE"""),"1748292697370")</f>
        <v>1748292697370</v>
      </c>
      <c r="C8865" s="2" t="str">
        <v>0</v>
      </c>
      <c r="F8865" s="2" t="str">
        <v>0</v>
      </c>
      <c r="I8865" s="3" t="str">
        <f ca="1">IFERROR(__xludf.DUMMYFUNCTION("""COMPUTED_VALUE"""),"Nguyễn Thị Trà My ")</f>
        <v xml:space="preserve">Nguyễn Thị Trà My </v>
      </c>
      <c r="J8865" s="3" t="str">
        <f ca="1">IFERROR(__xludf.DUMMYFUNCTION("""COMPUTED_VALUE"""),"0876574679")</f>
        <v>0876574679</v>
      </c>
      <c r="K8865" s="2" t="str">
        <f ca="1">IFERROR(__xludf.DUMMYFUNCTION("""COMPUTED_VALUE"""),"1748292697370")</f>
        <v>1748292697370</v>
      </c>
    </row>
    <row r="8866" spans="1:11" ht="12.45">
      <c r="A8866" s="2" t="str">
        <f ca="1">IFERROR(__xludf.DUMMYFUNCTION("""COMPUTED_VALUE"""),"1748292738248")</f>
        <v>1748292738248</v>
      </c>
      <c r="C8866" s="2" t="str">
        <v>0</v>
      </c>
      <c r="F8866" s="2" t="str">
        <v>0</v>
      </c>
      <c r="I8866" s="3" t="str">
        <f ca="1">IFERROR(__xludf.DUMMYFUNCTION("""COMPUTED_VALUE"""),"Lê Trần Khánh Vy ")</f>
        <v xml:space="preserve">Lê Trần Khánh Vy </v>
      </c>
      <c r="J8866" s="3" t="str">
        <f ca="1">IFERROR(__xludf.DUMMYFUNCTION("""COMPUTED_VALUE"""),"0948446713")</f>
        <v>0948446713</v>
      </c>
      <c r="K8866" s="2" t="str">
        <f ca="1">IFERROR(__xludf.DUMMYFUNCTION("""COMPUTED_VALUE"""),"1748292738248")</f>
        <v>1748292738248</v>
      </c>
    </row>
    <row r="8867" spans="1:11" ht="12.45">
      <c r="A8867" s="2" t="str">
        <f ca="1">IFERROR(__xludf.DUMMYFUNCTION("""COMPUTED_VALUE"""),"1748292775665")</f>
        <v>1748292775665</v>
      </c>
      <c r="C8867" s="2" t="str">
        <v>0</v>
      </c>
      <c r="F8867" s="2" t="str">
        <v>0</v>
      </c>
      <c r="I8867" s="3" t="str">
        <f ca="1">IFERROR(__xludf.DUMMYFUNCTION("""COMPUTED_VALUE"""),"Nguyễn Duy Hùng")</f>
        <v>Nguyễn Duy Hùng</v>
      </c>
      <c r="J8867" s="3" t="str">
        <f ca="1">IFERROR(__xludf.DUMMYFUNCTION("""COMPUTED_VALUE"""),"0931672438")</f>
        <v>0931672438</v>
      </c>
      <c r="K8867" s="2" t="str">
        <f ca="1">IFERROR(__xludf.DUMMYFUNCTION("""COMPUTED_VALUE"""),"1748292775665")</f>
        <v>1748292775665</v>
      </c>
    </row>
    <row r="8868" spans="1:11" ht="12.45">
      <c r="A8868" s="2" t="str">
        <f ca="1">IFERROR(__xludf.DUMMYFUNCTION("""COMPUTED_VALUE"""),"1748292800840")</f>
        <v>1748292800840</v>
      </c>
      <c r="C8868" s="2" t="str">
        <v>0</v>
      </c>
      <c r="F8868" s="2" t="str">
        <v>0</v>
      </c>
      <c r="I8868" s="3" t="str">
        <f ca="1">IFERROR(__xludf.DUMMYFUNCTION("""COMPUTED_VALUE"""),"Lưu Đỗ Thanh Trà")</f>
        <v>Lưu Đỗ Thanh Trà</v>
      </c>
      <c r="J8868" s="3" t="str">
        <f ca="1">IFERROR(__xludf.DUMMYFUNCTION("""COMPUTED_VALUE"""),"0393334642")</f>
        <v>0393334642</v>
      </c>
      <c r="K8868" s="2" t="str">
        <f ca="1">IFERROR(__xludf.DUMMYFUNCTION("""COMPUTED_VALUE"""),"1748292800840")</f>
        <v>1748292800840</v>
      </c>
    </row>
    <row r="8869" spans="1:11" ht="12.45">
      <c r="A8869" s="2" t="str">
        <f ca="1">IFERROR(__xludf.DUMMYFUNCTION("""COMPUTED_VALUE"""),"1748292821812")</f>
        <v>1748292821812</v>
      </c>
      <c r="C8869" s="2" t="str">
        <v>0</v>
      </c>
      <c r="F8869" s="2" t="str">
        <v>0</v>
      </c>
      <c r="I8869" s="3" t="str">
        <f ca="1">IFERROR(__xludf.DUMMYFUNCTION("""COMPUTED_VALUE"""),"Nguyễn Khánh Ly ")</f>
        <v xml:space="preserve">Nguyễn Khánh Ly </v>
      </c>
      <c r="J8869" s="3" t="str">
        <f ca="1">IFERROR(__xludf.DUMMYFUNCTION("""COMPUTED_VALUE"""),"0379986700")</f>
        <v>0379986700</v>
      </c>
      <c r="K8869" s="2" t="str">
        <f ca="1">IFERROR(__xludf.DUMMYFUNCTION("""COMPUTED_VALUE"""),"1748292821812")</f>
        <v>1748292821812</v>
      </c>
    </row>
    <row r="8870" spans="1:11" ht="12.45">
      <c r="A8870" s="2" t="str">
        <f ca="1">IFERROR(__xludf.DUMMYFUNCTION("""COMPUTED_VALUE"""),"1748292847609")</f>
        <v>1748292847609</v>
      </c>
      <c r="C8870" s="2" t="str">
        <v>0</v>
      </c>
      <c r="F8870" s="2" t="str">
        <v>0</v>
      </c>
      <c r="I8870" s="3" t="str">
        <f ca="1">IFERROR(__xludf.DUMMYFUNCTION("""COMPUTED_VALUE"""),"Đỗ Cẩm Tú ")</f>
        <v xml:space="preserve">Đỗ Cẩm Tú </v>
      </c>
      <c r="J8870" s="3" t="str">
        <f ca="1">IFERROR(__xludf.DUMMYFUNCTION("""COMPUTED_VALUE"""),"0367023972")</f>
        <v>0367023972</v>
      </c>
      <c r="K8870" s="2" t="str">
        <f ca="1">IFERROR(__xludf.DUMMYFUNCTION("""COMPUTED_VALUE"""),"1748292847609")</f>
        <v>1748292847609</v>
      </c>
    </row>
    <row r="8871" spans="1:11" ht="12.45">
      <c r="A8871" s="2" t="str">
        <f ca="1">IFERROR(__xludf.DUMMYFUNCTION("""COMPUTED_VALUE"""),"1748292876866")</f>
        <v>1748292876866</v>
      </c>
      <c r="C8871" s="2" t="str">
        <v>0</v>
      </c>
      <c r="F8871" s="2" t="str">
        <v>0</v>
      </c>
      <c r="I8871" s="3" t="str">
        <f ca="1">IFERROR(__xludf.DUMMYFUNCTION("""COMPUTED_VALUE"""),"Lê Hải Anh")</f>
        <v>Lê Hải Anh</v>
      </c>
      <c r="J8871" s="3" t="str">
        <f ca="1">IFERROR(__xludf.DUMMYFUNCTION("""COMPUTED_VALUE"""),"0847668233")</f>
        <v>0847668233</v>
      </c>
      <c r="K8871" s="2" t="str">
        <f ca="1">IFERROR(__xludf.DUMMYFUNCTION("""COMPUTED_VALUE"""),"1748292876866")</f>
        <v>1748292876866</v>
      </c>
    </row>
    <row r="8872" spans="1:11" ht="12.45">
      <c r="A8872" s="2" t="str">
        <f ca="1">IFERROR(__xludf.DUMMYFUNCTION("""COMPUTED_VALUE"""),"1748292901714")</f>
        <v>1748292901714</v>
      </c>
      <c r="C8872" s="2" t="str">
        <v>0</v>
      </c>
      <c r="F8872" s="2" t="str">
        <v>0</v>
      </c>
      <c r="I8872" s="3" t="str">
        <f ca="1">IFERROR(__xludf.DUMMYFUNCTION("""COMPUTED_VALUE"""),"Thái Ngọc Đoan")</f>
        <v>Thái Ngọc Đoan</v>
      </c>
      <c r="J8872" s="3" t="str">
        <f ca="1">IFERROR(__xludf.DUMMYFUNCTION("""COMPUTED_VALUE"""),"0393535966")</f>
        <v>0393535966</v>
      </c>
      <c r="K8872" s="2" t="str">
        <f ca="1">IFERROR(__xludf.DUMMYFUNCTION("""COMPUTED_VALUE"""),"1748292901714")</f>
        <v>1748292901714</v>
      </c>
    </row>
    <row r="8873" spans="1:11" ht="12.45">
      <c r="A8873" s="2" t="str">
        <f ca="1">IFERROR(__xludf.DUMMYFUNCTION("""COMPUTED_VALUE"""),"1748292921404")</f>
        <v>1748292921404</v>
      </c>
      <c r="C8873" s="2" t="str">
        <v>0</v>
      </c>
      <c r="F8873" s="2" t="str">
        <v>0</v>
      </c>
      <c r="I8873" s="3" t="str">
        <f ca="1">IFERROR(__xludf.DUMMYFUNCTION("""COMPUTED_VALUE"""),"Vũ hoài thu")</f>
        <v>Vũ hoài thu</v>
      </c>
      <c r="J8873" s="3" t="str">
        <f ca="1">IFERROR(__xludf.DUMMYFUNCTION("""COMPUTED_VALUE"""),"0825606822")</f>
        <v>0825606822</v>
      </c>
      <c r="K8873" s="2" t="str">
        <f ca="1">IFERROR(__xludf.DUMMYFUNCTION("""COMPUTED_VALUE"""),"1748292921404")</f>
        <v>1748292921404</v>
      </c>
    </row>
    <row r="8874" spans="1:11" ht="12.45">
      <c r="A8874" s="2" t="str">
        <f ca="1">IFERROR(__xludf.DUMMYFUNCTION("""COMPUTED_VALUE"""),"1748292944470")</f>
        <v>1748292944470</v>
      </c>
      <c r="C8874" s="2" t="str">
        <v>0</v>
      </c>
      <c r="F8874" s="2" t="str">
        <v>0</v>
      </c>
      <c r="I8874" s="3" t="str">
        <f ca="1">IFERROR(__xludf.DUMMYFUNCTION("""COMPUTED_VALUE"""),"Nguyễn Anh Trâm")</f>
        <v>Nguyễn Anh Trâm</v>
      </c>
      <c r="J8874" s="3" t="str">
        <f ca="1">IFERROR(__xludf.DUMMYFUNCTION("""COMPUTED_VALUE"""),"0344332279")</f>
        <v>0344332279</v>
      </c>
      <c r="K8874" s="2" t="str">
        <f ca="1">IFERROR(__xludf.DUMMYFUNCTION("""COMPUTED_VALUE"""),"1748292944470")</f>
        <v>1748292944470</v>
      </c>
    </row>
    <row r="8875" spans="1:11" ht="12.45">
      <c r="A8875" s="2" t="str">
        <f ca="1">IFERROR(__xludf.DUMMYFUNCTION("""COMPUTED_VALUE"""),"1748292968010")</f>
        <v>1748292968010</v>
      </c>
      <c r="C8875" s="2" t="str">
        <v>0</v>
      </c>
      <c r="F8875" s="2" t="str">
        <v>0</v>
      </c>
      <c r="I8875" s="3" t="str">
        <f ca="1">IFERROR(__xludf.DUMMYFUNCTION("""COMPUTED_VALUE"""),"Nguyễn Phương Dung ")</f>
        <v xml:space="preserve">Nguyễn Phương Dung </v>
      </c>
      <c r="J8875" s="3" t="str">
        <f ca="1">IFERROR(__xludf.DUMMYFUNCTION("""COMPUTED_VALUE"""),"0981297486")</f>
        <v>0981297486</v>
      </c>
      <c r="K8875" s="2" t="str">
        <f ca="1">IFERROR(__xludf.DUMMYFUNCTION("""COMPUTED_VALUE"""),"1748292968010")</f>
        <v>1748292968010</v>
      </c>
    </row>
    <row r="8876" spans="1:11" ht="12.45">
      <c r="A8876" s="2" t="str">
        <f ca="1">IFERROR(__xludf.DUMMYFUNCTION("""COMPUTED_VALUE"""),"1748292991840")</f>
        <v>1748292991840</v>
      </c>
      <c r="C8876" s="2" t="str">
        <v>0</v>
      </c>
      <c r="F8876" s="2" t="str">
        <v>0</v>
      </c>
      <c r="I8876" s="3" t="str">
        <f ca="1">IFERROR(__xludf.DUMMYFUNCTION("""COMPUTED_VALUE"""),"Phạm Kim Thanh Tú")</f>
        <v>Phạm Kim Thanh Tú</v>
      </c>
      <c r="J8876" s="3" t="str">
        <f ca="1">IFERROR(__xludf.DUMMYFUNCTION("""COMPUTED_VALUE"""),"0839974392")</f>
        <v>0839974392</v>
      </c>
      <c r="K8876" s="2" t="str">
        <f ca="1">IFERROR(__xludf.DUMMYFUNCTION("""COMPUTED_VALUE"""),"1748292991840")</f>
        <v>1748292991840</v>
      </c>
    </row>
    <row r="8877" spans="1:11" ht="12.45">
      <c r="A8877" s="2" t="str">
        <f ca="1">IFERROR(__xludf.DUMMYFUNCTION("""COMPUTED_VALUE"""),"1748293040629")</f>
        <v>1748293040629</v>
      </c>
      <c r="C8877" s="2" t="str">
        <v>0</v>
      </c>
      <c r="F8877" s="2" t="str">
        <v>0</v>
      </c>
      <c r="I8877" s="3" t="str">
        <f ca="1">IFERROR(__xludf.DUMMYFUNCTION("""COMPUTED_VALUE"""),"Lê Xuân Dũng ")</f>
        <v xml:space="preserve">Lê Xuân Dũng </v>
      </c>
      <c r="J8877" s="3" t="str">
        <f ca="1">IFERROR(__xludf.DUMMYFUNCTION("""COMPUTED_VALUE"""),"0329641930")</f>
        <v>0329641930</v>
      </c>
      <c r="K8877" s="2" t="str">
        <f ca="1">IFERROR(__xludf.DUMMYFUNCTION("""COMPUTED_VALUE"""),"1748293040629")</f>
        <v>1748293040629</v>
      </c>
    </row>
    <row r="8878" spans="1:11" ht="12.45">
      <c r="A8878" s="2" t="str">
        <f ca="1">IFERROR(__xludf.DUMMYFUNCTION("""COMPUTED_VALUE"""),"1748293056350")</f>
        <v>1748293056350</v>
      </c>
      <c r="C8878" s="2" t="str">
        <v>0</v>
      </c>
      <c r="F8878" s="2" t="str">
        <v>0</v>
      </c>
      <c r="I8878" s="3" t="str">
        <f ca="1">IFERROR(__xludf.DUMMYFUNCTION("""COMPUTED_VALUE"""),"Nguyễn Minh Khoa")</f>
        <v>Nguyễn Minh Khoa</v>
      </c>
      <c r="J8878" s="3" t="str">
        <f ca="1">IFERROR(__xludf.DUMMYFUNCTION("""COMPUTED_VALUE"""),"0394876030")</f>
        <v>0394876030</v>
      </c>
      <c r="K8878" s="2" t="str">
        <f ca="1">IFERROR(__xludf.DUMMYFUNCTION("""COMPUTED_VALUE"""),"1748293056350")</f>
        <v>1748293056350</v>
      </c>
    </row>
    <row r="8879" spans="1:11" ht="12.45">
      <c r="A8879" s="2" t="str">
        <f ca="1">IFERROR(__xludf.DUMMYFUNCTION("""COMPUTED_VALUE"""),"1752598375977")</f>
        <v>1752598375977</v>
      </c>
      <c r="C8879" s="2" t="str">
        <v>0</v>
      </c>
      <c r="F8879" s="2" t="str">
        <v>0</v>
      </c>
      <c r="I8879" s="3" t="str">
        <f ca="1">IFERROR(__xludf.DUMMYFUNCTION("""COMPUTED_VALUE"""),"Lê Trần Anh")</f>
        <v>Lê Trần Anh</v>
      </c>
      <c r="J8879" s="3" t="str">
        <f ca="1">IFERROR(__xludf.DUMMYFUNCTION("""COMPUTED_VALUE"""),"0962817480")</f>
        <v>0962817480</v>
      </c>
      <c r="K8879" s="2" t="str">
        <f ca="1">IFERROR(__xludf.DUMMYFUNCTION("""COMPUTED_VALUE"""),"1752598375977")</f>
        <v>1752598375977</v>
      </c>
    </row>
    <row r="8880" spans="1:11" ht="12.45">
      <c r="A8880" s="2" t="str">
        <f ca="1">IFERROR(__xludf.DUMMYFUNCTION("""COMPUTED_VALUE"""),"1748293075605")</f>
        <v>1748293075605</v>
      </c>
      <c r="C8880" s="2" t="str">
        <v>0</v>
      </c>
      <c r="F8880" s="2" t="str">
        <v>0</v>
      </c>
      <c r="I8880" s="3" t="str">
        <f ca="1">IFERROR(__xludf.DUMMYFUNCTION("""COMPUTED_VALUE"""),"Nguyễn Minh Trung ")</f>
        <v xml:space="preserve">Nguyễn Minh Trung </v>
      </c>
      <c r="J8880" s="3" t="str">
        <f ca="1">IFERROR(__xludf.DUMMYFUNCTION("""COMPUTED_VALUE"""),"0388992493")</f>
        <v>0388992493</v>
      </c>
      <c r="K8880" s="2" t="str">
        <f ca="1">IFERROR(__xludf.DUMMYFUNCTION("""COMPUTED_VALUE"""),"1748293075605")</f>
        <v>1748293075605</v>
      </c>
    </row>
    <row r="8881" spans="1:11" ht="12.45">
      <c r="A8881" s="2" t="str">
        <f ca="1">IFERROR(__xludf.DUMMYFUNCTION("""COMPUTED_VALUE"""),"1748293105071")</f>
        <v>1748293105071</v>
      </c>
      <c r="C8881" s="2" t="str">
        <v>0</v>
      </c>
      <c r="F8881" s="2" t="str">
        <v>0</v>
      </c>
      <c r="I8881" s="3" t="str">
        <f ca="1">IFERROR(__xludf.DUMMYFUNCTION("""COMPUTED_VALUE"""),"Đinh Xuân Trường ")</f>
        <v xml:space="preserve">Đinh Xuân Trường </v>
      </c>
      <c r="J8881" s="3" t="str">
        <f ca="1">IFERROR(__xludf.DUMMYFUNCTION("""COMPUTED_VALUE"""),"0867698207")</f>
        <v>0867698207</v>
      </c>
      <c r="K8881" s="2" t="str">
        <f ca="1">IFERROR(__xludf.DUMMYFUNCTION("""COMPUTED_VALUE"""),"1748293105071")</f>
        <v>1748293105071</v>
      </c>
    </row>
    <row r="8882" spans="1:11" ht="12.45">
      <c r="A8882" s="2" t="str">
        <f ca="1">IFERROR(__xludf.DUMMYFUNCTION("""COMPUTED_VALUE"""),"1748293143501")</f>
        <v>1748293143501</v>
      </c>
      <c r="C8882" s="2" t="str">
        <v>0</v>
      </c>
      <c r="F8882" s="2" t="str">
        <v>0</v>
      </c>
      <c r="I8882" s="3" t="str">
        <f ca="1">IFERROR(__xludf.DUMMYFUNCTION("""COMPUTED_VALUE"""),"Nguyễn Hà Trang")</f>
        <v>Nguyễn Hà Trang</v>
      </c>
      <c r="J8882" s="3" t="str">
        <f ca="1">IFERROR(__xludf.DUMMYFUNCTION("""COMPUTED_VALUE"""),"0869212358")</f>
        <v>0869212358</v>
      </c>
      <c r="K8882" s="2" t="str">
        <f ca="1">IFERROR(__xludf.DUMMYFUNCTION("""COMPUTED_VALUE"""),"1748293143501")</f>
        <v>1748293143501</v>
      </c>
    </row>
    <row r="8883" spans="1:11" ht="12.45">
      <c r="A8883" s="2" t="str">
        <f ca="1">IFERROR(__xludf.DUMMYFUNCTION("""COMPUTED_VALUE"""),"1748293169633")</f>
        <v>1748293169633</v>
      </c>
      <c r="C8883" s="2" t="str">
        <v>0</v>
      </c>
      <c r="F8883" s="2" t="str">
        <v>0</v>
      </c>
      <c r="I8883" s="3" t="str">
        <f ca="1">IFERROR(__xludf.DUMMYFUNCTION("""COMPUTED_VALUE"""),"Vũ Quỳnh Hương")</f>
        <v>Vũ Quỳnh Hương</v>
      </c>
      <c r="J8883" s="3" t="str">
        <f ca="1">IFERROR(__xludf.DUMMYFUNCTION("""COMPUTED_VALUE"""),"0918415414")</f>
        <v>0918415414</v>
      </c>
      <c r="K8883" s="2" t="str">
        <f ca="1">IFERROR(__xludf.DUMMYFUNCTION("""COMPUTED_VALUE"""),"1748293169633")</f>
        <v>1748293169633</v>
      </c>
    </row>
    <row r="8884" spans="1:11" ht="12.45">
      <c r="A8884" s="2"/>
      <c r="C8884" s="2" t="str">
        <v>0</v>
      </c>
      <c r="F8884" s="2" t="str">
        <v>0</v>
      </c>
      <c r="I8884" s="3" t="str">
        <f ca="1">IFERROR(__xludf.DUMMYFUNCTION("""COMPUTED_VALUE"""),"Trần Công Minh")</f>
        <v>Trần Công Minh</v>
      </c>
      <c r="J8884" s="3" t="str">
        <f ca="1">IFERROR(__xludf.DUMMYFUNCTION("""COMPUTED_VALUE"""),"0763211799")</f>
        <v>0763211799</v>
      </c>
      <c r="K8884" s="2"/>
    </row>
    <row r="8885" spans="1:11" ht="12.45">
      <c r="A8885" s="2" t="str">
        <f ca="1">IFERROR(__xludf.DUMMYFUNCTION("""COMPUTED_VALUE"""),"1748293190501")</f>
        <v>1748293190501</v>
      </c>
      <c r="C8885" s="2" t="str">
        <v>0</v>
      </c>
      <c r="F8885" s="2" t="str">
        <v>0</v>
      </c>
      <c r="I8885" s="3" t="str">
        <f ca="1">IFERROR(__xludf.DUMMYFUNCTION("""COMPUTED_VALUE"""),"Nguyễn Duy Khánh ")</f>
        <v xml:space="preserve">Nguyễn Duy Khánh </v>
      </c>
      <c r="J8885" s="3" t="str">
        <f ca="1">IFERROR(__xludf.DUMMYFUNCTION("""COMPUTED_VALUE"""),"0867798654")</f>
        <v>0867798654</v>
      </c>
      <c r="K8885" s="2" t="str">
        <f ca="1">IFERROR(__xludf.DUMMYFUNCTION("""COMPUTED_VALUE"""),"1748293190501")</f>
        <v>1748293190501</v>
      </c>
    </row>
    <row r="8886" spans="1:11" ht="12.45">
      <c r="A8886" s="2" t="str">
        <f ca="1">IFERROR(__xludf.DUMMYFUNCTION("""COMPUTED_VALUE"""),"1748293217511")</f>
        <v>1748293217511</v>
      </c>
      <c r="C8886" s="2" t="str">
        <v>0</v>
      </c>
      <c r="F8886" s="2" t="str">
        <v>0</v>
      </c>
      <c r="I8886" s="3" t="str">
        <f ca="1">IFERROR(__xludf.DUMMYFUNCTION("""COMPUTED_VALUE"""),"Phạm Lê Nhật Minh")</f>
        <v>Phạm Lê Nhật Minh</v>
      </c>
      <c r="J8886" s="3" t="str">
        <f ca="1">IFERROR(__xludf.DUMMYFUNCTION("""COMPUTED_VALUE"""),"0988071612")</f>
        <v>0988071612</v>
      </c>
      <c r="K8886" s="2" t="str">
        <f ca="1">IFERROR(__xludf.DUMMYFUNCTION("""COMPUTED_VALUE"""),"1748293217511")</f>
        <v>1748293217511</v>
      </c>
    </row>
    <row r="8887" spans="1:11" ht="12.45">
      <c r="A8887" s="2" t="str">
        <f ca="1">IFERROR(__xludf.DUMMYFUNCTION("""COMPUTED_VALUE"""),"1748293248499")</f>
        <v>1748293248499</v>
      </c>
      <c r="C8887" s="2" t="str">
        <v>0</v>
      </c>
      <c r="F8887" s="2" t="str">
        <v>0</v>
      </c>
      <c r="I8887" s="3" t="str">
        <f ca="1">IFERROR(__xludf.DUMMYFUNCTION("""COMPUTED_VALUE"""),"Đinh Thu Hien ")</f>
        <v xml:space="preserve">Đinh Thu Hien </v>
      </c>
      <c r="J8887" s="3" t="str">
        <f ca="1">IFERROR(__xludf.DUMMYFUNCTION("""COMPUTED_VALUE"""),"0817141777")</f>
        <v>0817141777</v>
      </c>
      <c r="K8887" s="2" t="str">
        <f ca="1">IFERROR(__xludf.DUMMYFUNCTION("""COMPUTED_VALUE"""),"1748293248499")</f>
        <v>1748293248499</v>
      </c>
    </row>
    <row r="8888" spans="1:11" ht="12.45">
      <c r="A8888" s="2" t="str">
        <f ca="1">IFERROR(__xludf.DUMMYFUNCTION("""COMPUTED_VALUE"""),"1748293276626")</f>
        <v>1748293276626</v>
      </c>
      <c r="C8888" s="2" t="str">
        <v>0</v>
      </c>
      <c r="F8888" s="2" t="str">
        <v>0</v>
      </c>
      <c r="I8888" s="3" t="str">
        <f ca="1">IFERROR(__xludf.DUMMYFUNCTION("""COMPUTED_VALUE"""),"Hồ Quỳnh Anh")</f>
        <v>Hồ Quỳnh Anh</v>
      </c>
      <c r="J8888" s="3" t="str">
        <f ca="1">IFERROR(__xludf.DUMMYFUNCTION("""COMPUTED_VALUE"""),"0368097915")</f>
        <v>0368097915</v>
      </c>
      <c r="K8888" s="2" t="str">
        <f ca="1">IFERROR(__xludf.DUMMYFUNCTION("""COMPUTED_VALUE"""),"1748293276626")</f>
        <v>1748293276626</v>
      </c>
    </row>
    <row r="8889" spans="1:11" ht="12.45">
      <c r="A8889" s="2" t="str">
        <f ca="1">IFERROR(__xludf.DUMMYFUNCTION("""COMPUTED_VALUE"""),"1748293295297")</f>
        <v>1748293295297</v>
      </c>
      <c r="C8889" s="2" t="str">
        <v>0</v>
      </c>
      <c r="F8889" s="2" t="str">
        <v>0</v>
      </c>
      <c r="I8889" s="3" t="str">
        <f ca="1">IFERROR(__xludf.DUMMYFUNCTION("""COMPUTED_VALUE"""),"Đỗ Lan Hương ")</f>
        <v xml:space="preserve">Đỗ Lan Hương </v>
      </c>
      <c r="J8889" s="3" t="str">
        <f ca="1">IFERROR(__xludf.DUMMYFUNCTION("""COMPUTED_VALUE"""),"0375656672")</f>
        <v>0375656672</v>
      </c>
      <c r="K8889" s="2" t="str">
        <f ca="1">IFERROR(__xludf.DUMMYFUNCTION("""COMPUTED_VALUE"""),"1748293295297")</f>
        <v>1748293295297</v>
      </c>
    </row>
    <row r="8890" spans="1:11" ht="12.45">
      <c r="A8890" s="2" t="str">
        <f ca="1">IFERROR(__xludf.DUMMYFUNCTION("""COMPUTED_VALUE"""),"1748293323027")</f>
        <v>1748293323027</v>
      </c>
      <c r="C8890" s="2" t="str">
        <v>0</v>
      </c>
      <c r="F8890" s="2" t="str">
        <v>0</v>
      </c>
      <c r="I8890" s="3" t="str">
        <f ca="1">IFERROR(__xludf.DUMMYFUNCTION("""COMPUTED_VALUE"""),"Nguyễn Thùy Dương ")</f>
        <v xml:space="preserve">Nguyễn Thùy Dương </v>
      </c>
      <c r="J8890" s="3" t="str">
        <f ca="1">IFERROR(__xludf.DUMMYFUNCTION("""COMPUTED_VALUE"""),"0325824939")</f>
        <v>0325824939</v>
      </c>
      <c r="K8890" s="2" t="str">
        <f ca="1">IFERROR(__xludf.DUMMYFUNCTION("""COMPUTED_VALUE"""),"1748293323027")</f>
        <v>1748293323027</v>
      </c>
    </row>
    <row r="8891" spans="1:11" ht="12.45">
      <c r="A8891" s="2" t="str">
        <f ca="1">IFERROR(__xludf.DUMMYFUNCTION("""COMPUTED_VALUE"""),"1748293344395")</f>
        <v>1748293344395</v>
      </c>
      <c r="C8891" s="2" t="str">
        <v>0</v>
      </c>
      <c r="F8891" s="2" t="str">
        <v>0</v>
      </c>
      <c r="I8891" s="3" t="str">
        <f ca="1">IFERROR(__xludf.DUMMYFUNCTION("""COMPUTED_VALUE"""),"Nguyễn Ngọc Linh ")</f>
        <v xml:space="preserve">Nguyễn Ngọc Linh </v>
      </c>
      <c r="J8891" s="3" t="str">
        <f ca="1">IFERROR(__xludf.DUMMYFUNCTION("""COMPUTED_VALUE"""),"0384952028")</f>
        <v>0384952028</v>
      </c>
      <c r="K8891" s="2" t="str">
        <f ca="1">IFERROR(__xludf.DUMMYFUNCTION("""COMPUTED_VALUE"""),"1748293344395")</f>
        <v>1748293344395</v>
      </c>
    </row>
    <row r="8892" spans="1:11" ht="12.45">
      <c r="A8892" s="2" t="str">
        <f ca="1">IFERROR(__xludf.DUMMYFUNCTION("""COMPUTED_VALUE"""),"1748293367107")</f>
        <v>1748293367107</v>
      </c>
      <c r="C8892" s="2" t="str">
        <v>0</v>
      </c>
      <c r="F8892" s="2" t="str">
        <v>0</v>
      </c>
      <c r="I8892" s="3" t="str">
        <f ca="1">IFERROR(__xludf.DUMMYFUNCTION("""COMPUTED_VALUE"""),"Trần Huyền Trang")</f>
        <v>Trần Huyền Trang</v>
      </c>
      <c r="J8892" s="3" t="str">
        <f ca="1">IFERROR(__xludf.DUMMYFUNCTION("""COMPUTED_VALUE"""),"0896924372")</f>
        <v>0896924372</v>
      </c>
      <c r="K8892" s="2" t="str">
        <f ca="1">IFERROR(__xludf.DUMMYFUNCTION("""COMPUTED_VALUE"""),"1748293367107")</f>
        <v>1748293367107</v>
      </c>
    </row>
    <row r="8893" spans="1:11" ht="12.45">
      <c r="A8893" s="2" t="str">
        <f ca="1">IFERROR(__xludf.DUMMYFUNCTION("""COMPUTED_VALUE"""),"1748293396726")</f>
        <v>1748293396726</v>
      </c>
      <c r="C8893" s="2" t="str">
        <v>0</v>
      </c>
      <c r="F8893" s="2" t="str">
        <v>0</v>
      </c>
      <c r="I8893" s="3" t="str">
        <f ca="1">IFERROR(__xludf.DUMMYFUNCTION("""COMPUTED_VALUE"""),"Trần Thị Diễm Thư")</f>
        <v>Trần Thị Diễm Thư</v>
      </c>
      <c r="J8893" s="3" t="str">
        <f ca="1">IFERROR(__xludf.DUMMYFUNCTION("""COMPUTED_VALUE"""),"0706455914")</f>
        <v>0706455914</v>
      </c>
      <c r="K8893" s="2" t="str">
        <f ca="1">IFERROR(__xludf.DUMMYFUNCTION("""COMPUTED_VALUE"""),"1748293396726")</f>
        <v>1748293396726</v>
      </c>
    </row>
    <row r="8894" spans="1:11" ht="12.45">
      <c r="A8894" s="2" t="str">
        <f ca="1">IFERROR(__xludf.DUMMYFUNCTION("""COMPUTED_VALUE"""),"1748293415448")</f>
        <v>1748293415448</v>
      </c>
      <c r="C8894" s="2" t="str">
        <v>0</v>
      </c>
      <c r="F8894" s="2" t="str">
        <v>0</v>
      </c>
      <c r="I8894" s="3" t="str">
        <f ca="1">IFERROR(__xludf.DUMMYFUNCTION("""COMPUTED_VALUE"""),"Lê Đăng Tiến")</f>
        <v>Lê Đăng Tiến</v>
      </c>
      <c r="J8894" s="3" t="str">
        <f ca="1">IFERROR(__xludf.DUMMYFUNCTION("""COMPUTED_VALUE"""),"0373754117")</f>
        <v>0373754117</v>
      </c>
      <c r="K8894" s="2" t="str">
        <f ca="1">IFERROR(__xludf.DUMMYFUNCTION("""COMPUTED_VALUE"""),"1748293415448")</f>
        <v>1748293415448</v>
      </c>
    </row>
    <row r="8895" spans="1:11" ht="12.45">
      <c r="A8895" s="2" t="str">
        <f ca="1">IFERROR(__xludf.DUMMYFUNCTION("""COMPUTED_VALUE"""),"1748293431464")</f>
        <v>1748293431464</v>
      </c>
      <c r="C8895" s="2" t="str">
        <v>0</v>
      </c>
      <c r="F8895" s="2" t="str">
        <v>0</v>
      </c>
      <c r="I8895" s="3" t="str">
        <f ca="1">IFERROR(__xludf.DUMMYFUNCTION("""COMPUTED_VALUE"""),"Nguyễn Nhật Linh")</f>
        <v>Nguyễn Nhật Linh</v>
      </c>
      <c r="J8895" s="3" t="str">
        <f ca="1">IFERROR(__xludf.DUMMYFUNCTION("""COMPUTED_VALUE"""),"8498950276")</f>
        <v>8498950276</v>
      </c>
      <c r="K8895" s="2" t="str">
        <f ca="1">IFERROR(__xludf.DUMMYFUNCTION("""COMPUTED_VALUE"""),"1748293431464")</f>
        <v>1748293431464</v>
      </c>
    </row>
    <row r="8896" spans="1:11" ht="12.45">
      <c r="A8896" s="2" t="str">
        <f ca="1">IFERROR(__xludf.DUMMYFUNCTION("""COMPUTED_VALUE"""),"1748293445196")</f>
        <v>1748293445196</v>
      </c>
      <c r="C8896" s="2" t="str">
        <v>0</v>
      </c>
      <c r="F8896" s="2" t="str">
        <v>0</v>
      </c>
      <c r="I8896" s="3" t="str">
        <f ca="1">IFERROR(__xludf.DUMMYFUNCTION("""COMPUTED_VALUE"""),"nguyễn thị lan anh")</f>
        <v>nguyễn thị lan anh</v>
      </c>
      <c r="J8896" s="3" t="str">
        <f ca="1">IFERROR(__xludf.DUMMYFUNCTION("""COMPUTED_VALUE"""),"0363414803")</f>
        <v>0363414803</v>
      </c>
      <c r="K8896" s="2" t="str">
        <f ca="1">IFERROR(__xludf.DUMMYFUNCTION("""COMPUTED_VALUE"""),"1748293445196")</f>
        <v>1748293445196</v>
      </c>
    </row>
    <row r="8897" spans="1:11" ht="12.45">
      <c r="A8897" s="2" t="str">
        <f ca="1">IFERROR(__xludf.DUMMYFUNCTION("""COMPUTED_VALUE"""),"1748293463997")</f>
        <v>1748293463997</v>
      </c>
      <c r="C8897" s="2" t="str">
        <v>0</v>
      </c>
      <c r="F8897" s="2" t="str">
        <v>0</v>
      </c>
      <c r="I8897" s="3" t="str">
        <f ca="1">IFERROR(__xludf.DUMMYFUNCTION("""COMPUTED_VALUE"""),"Cao Thị Anh Thư")</f>
        <v>Cao Thị Anh Thư</v>
      </c>
      <c r="J8897" s="3" t="str">
        <f ca="1">IFERROR(__xludf.DUMMYFUNCTION("""COMPUTED_VALUE"""),"0333049471")</f>
        <v>0333049471</v>
      </c>
      <c r="K8897" s="2" t="str">
        <f ca="1">IFERROR(__xludf.DUMMYFUNCTION("""COMPUTED_VALUE"""),"1748293463997")</f>
        <v>1748293463997</v>
      </c>
    </row>
    <row r="8898" spans="1:11" ht="12.45">
      <c r="A8898" s="2" t="str">
        <f ca="1">IFERROR(__xludf.DUMMYFUNCTION("""COMPUTED_VALUE"""),"1752598399503")</f>
        <v>1752598399503</v>
      </c>
      <c r="C8898" s="2" t="str">
        <v>0</v>
      </c>
      <c r="F8898" s="2" t="str">
        <v>0</v>
      </c>
      <c r="I8898" s="3" t="str">
        <f ca="1">IFERROR(__xludf.DUMMYFUNCTION("""COMPUTED_VALUE"""),"Lê Đức Nghĩa")</f>
        <v>Lê Đức Nghĩa</v>
      </c>
      <c r="J8898" s="3" t="str">
        <f ca="1">IFERROR(__xludf.DUMMYFUNCTION("""COMPUTED_VALUE"""),"8437835180")</f>
        <v>8437835180</v>
      </c>
      <c r="K8898" s="2" t="str">
        <f ca="1">IFERROR(__xludf.DUMMYFUNCTION("""COMPUTED_VALUE"""),"1752598399503")</f>
        <v>1752598399503</v>
      </c>
    </row>
    <row r="8899" spans="1:11" ht="12.45">
      <c r="A8899" s="2"/>
      <c r="C8899" s="2" t="str">
        <v>0</v>
      </c>
      <c r="F8899" s="2" t="str">
        <v>0</v>
      </c>
      <c r="I8899" s="3" t="str">
        <f ca="1">IFERROR(__xludf.DUMMYFUNCTION("""COMPUTED_VALUE"""),"Tăng Nhật Huy")</f>
        <v>Tăng Nhật Huy</v>
      </c>
      <c r="J8899" s="3" t="str">
        <f ca="1">IFERROR(__xludf.DUMMYFUNCTION("""COMPUTED_VALUE"""),"0367681125")</f>
        <v>0367681125</v>
      </c>
      <c r="K8899" s="2"/>
    </row>
    <row r="8900" spans="1:11" ht="12.45">
      <c r="A8900" s="2" t="str">
        <f ca="1">IFERROR(__xludf.DUMMYFUNCTION("""COMPUTED_VALUE"""),"1752598417245")</f>
        <v>1752598417245</v>
      </c>
      <c r="C8900" s="2" t="str">
        <v>0</v>
      </c>
      <c r="F8900" s="2" t="str">
        <v>0</v>
      </c>
      <c r="I8900" s="3" t="str">
        <f ca="1">IFERROR(__xludf.DUMMYFUNCTION("""COMPUTED_VALUE"""),"Phùng Thị Như Quỳnh")</f>
        <v>Phùng Thị Như Quỳnh</v>
      </c>
      <c r="J8900" s="3" t="str">
        <f ca="1">IFERROR(__xludf.DUMMYFUNCTION("""COMPUTED_VALUE"""),"0326679021")</f>
        <v>0326679021</v>
      </c>
      <c r="K8900" s="2" t="str">
        <f ca="1">IFERROR(__xludf.DUMMYFUNCTION("""COMPUTED_VALUE"""),"1752598417245")</f>
        <v>1752598417245</v>
      </c>
    </row>
    <row r="8901" spans="1:11" ht="12.45">
      <c r="A8901" s="2" t="str">
        <f ca="1">IFERROR(__xludf.DUMMYFUNCTION("""COMPUTED_VALUE"""),"1752598444563")</f>
        <v>1752598444563</v>
      </c>
      <c r="C8901" s="2" t="str">
        <v>0</v>
      </c>
      <c r="F8901" s="2" t="str">
        <v>0</v>
      </c>
      <c r="I8901" s="3" t="str">
        <f ca="1">IFERROR(__xludf.DUMMYFUNCTION("""COMPUTED_VALUE"""),"Tô Mai Phương")</f>
        <v>Tô Mai Phương</v>
      </c>
      <c r="J8901" s="3" t="str">
        <f ca="1">IFERROR(__xludf.DUMMYFUNCTION("""COMPUTED_VALUE"""),"0847165118")</f>
        <v>0847165118</v>
      </c>
      <c r="K8901" s="2" t="str">
        <f ca="1">IFERROR(__xludf.DUMMYFUNCTION("""COMPUTED_VALUE"""),"1752598444563")</f>
        <v>1752598444563</v>
      </c>
    </row>
    <row r="8902" spans="1:11" ht="12.45">
      <c r="A8902" s="2" t="str">
        <f ca="1">IFERROR(__xludf.DUMMYFUNCTION("""COMPUTED_VALUE"""),"1752598465204")</f>
        <v>1752598465204</v>
      </c>
      <c r="C8902" s="2" t="str">
        <v>0</v>
      </c>
      <c r="F8902" s="2" t="str">
        <v>0</v>
      </c>
      <c r="I8902" s="3" t="str">
        <f ca="1">IFERROR(__xludf.DUMMYFUNCTION("""COMPUTED_VALUE"""),"Đinh Diệu Ly")</f>
        <v>Đinh Diệu Ly</v>
      </c>
      <c r="J8902" s="3" t="str">
        <f ca="1">IFERROR(__xludf.DUMMYFUNCTION("""COMPUTED_VALUE"""),"0814778216")</f>
        <v>0814778216</v>
      </c>
      <c r="K8902" s="2" t="str">
        <f ca="1">IFERROR(__xludf.DUMMYFUNCTION("""COMPUTED_VALUE"""),"1752598465204")</f>
        <v>1752598465204</v>
      </c>
    </row>
    <row r="8903" spans="1:11" ht="12.45">
      <c r="A8903" s="2" t="str">
        <f ca="1">IFERROR(__xludf.DUMMYFUNCTION("""COMPUTED_VALUE"""),"1752598504427")</f>
        <v>1752598504427</v>
      </c>
      <c r="C8903" s="2" t="str">
        <v>0</v>
      </c>
      <c r="F8903" s="2" t="str">
        <v>0</v>
      </c>
      <c r="I8903" s="3" t="str">
        <f ca="1">IFERROR(__xludf.DUMMYFUNCTION("""COMPUTED_VALUE"""),"Trần Quý Vương")</f>
        <v>Trần Quý Vương</v>
      </c>
      <c r="J8903" s="3" t="str">
        <f ca="1">IFERROR(__xludf.DUMMYFUNCTION("""COMPUTED_VALUE"""),"0981242672")</f>
        <v>0981242672</v>
      </c>
      <c r="K8903" s="2" t="str">
        <f ca="1">IFERROR(__xludf.DUMMYFUNCTION("""COMPUTED_VALUE"""),"1752598504427")</f>
        <v>1752598504427</v>
      </c>
    </row>
    <row r="8904" spans="1:11" ht="12.45">
      <c r="A8904" s="2" t="str">
        <f ca="1">IFERROR(__xludf.DUMMYFUNCTION("""COMPUTED_VALUE"""),"1752598528330")</f>
        <v>1752598528330</v>
      </c>
      <c r="C8904" s="2" t="str">
        <v>0</v>
      </c>
      <c r="F8904" s="2" t="str">
        <v>0</v>
      </c>
      <c r="I8904" s="3" t="str">
        <f ca="1">IFERROR(__xludf.DUMMYFUNCTION("""COMPUTED_VALUE"""),"Lê Diệu Hoa")</f>
        <v>Lê Diệu Hoa</v>
      </c>
      <c r="J8904" s="3" t="str">
        <f ca="1">IFERROR(__xludf.DUMMYFUNCTION("""COMPUTED_VALUE"""),"0984262837")</f>
        <v>0984262837</v>
      </c>
      <c r="K8904" s="2" t="str">
        <f ca="1">IFERROR(__xludf.DUMMYFUNCTION("""COMPUTED_VALUE"""),"1752598528330")</f>
        <v>1752598528330</v>
      </c>
    </row>
    <row r="8905" spans="1:11" ht="12.45">
      <c r="A8905" s="2" t="str">
        <f ca="1">IFERROR(__xludf.DUMMYFUNCTION("""COMPUTED_VALUE"""),"1752598552914")</f>
        <v>1752598552914</v>
      </c>
      <c r="C8905" s="2" t="str">
        <v>0</v>
      </c>
      <c r="F8905" s="2" t="str">
        <v>0</v>
      </c>
      <c r="I8905" s="3" t="str">
        <f ca="1">IFERROR(__xludf.DUMMYFUNCTION("""COMPUTED_VALUE"""),"Nguyễn Thuỳ Trang")</f>
        <v>Nguyễn Thuỳ Trang</v>
      </c>
      <c r="J8905" s="3" t="str">
        <f ca="1">IFERROR(__xludf.DUMMYFUNCTION("""COMPUTED_VALUE"""),"0971603209")</f>
        <v>0971603209</v>
      </c>
      <c r="K8905" s="2" t="str">
        <f ca="1">IFERROR(__xludf.DUMMYFUNCTION("""COMPUTED_VALUE"""),"1752598552914")</f>
        <v>1752598552914</v>
      </c>
    </row>
    <row r="8906" spans="1:11" ht="12.45">
      <c r="A8906" s="2"/>
      <c r="C8906" s="2" t="str">
        <v>0</v>
      </c>
      <c r="F8906" s="2" t="str">
        <v>0</v>
      </c>
      <c r="I8906" s="3" t="str">
        <f ca="1">IFERROR(__xludf.DUMMYFUNCTION("""COMPUTED_VALUE"""),"Phan Thị Thu Trang")</f>
        <v>Phan Thị Thu Trang</v>
      </c>
      <c r="J8906" s="3" t="str">
        <f ca="1">IFERROR(__xludf.DUMMYFUNCTION("""COMPUTED_VALUE"""),"0355892007")</f>
        <v>0355892007</v>
      </c>
      <c r="K8906" s="2"/>
    </row>
    <row r="8907" spans="1:11" ht="12.45">
      <c r="A8907" s="2" t="str">
        <f ca="1">IFERROR(__xludf.DUMMYFUNCTION("""COMPUTED_VALUE"""),"1752598596205")</f>
        <v>1752598596205</v>
      </c>
      <c r="C8907" s="2" t="str">
        <v>0</v>
      </c>
      <c r="F8907" s="2" t="str">
        <v>0</v>
      </c>
      <c r="I8907" s="3" t="str">
        <f ca="1">IFERROR(__xludf.DUMMYFUNCTION("""COMPUTED_VALUE"""),"Trương Phúc Hoàng Bảo")</f>
        <v>Trương Phúc Hoàng Bảo</v>
      </c>
      <c r="J8907" s="3" t="str">
        <f ca="1">IFERROR(__xludf.DUMMYFUNCTION("""COMPUTED_VALUE"""),"0349160913")</f>
        <v>0349160913</v>
      </c>
      <c r="K8907" s="2" t="str">
        <f ca="1">IFERROR(__xludf.DUMMYFUNCTION("""COMPUTED_VALUE"""),"1752598596205")</f>
        <v>1752598596205</v>
      </c>
    </row>
    <row r="8908" spans="1:11" ht="12.45">
      <c r="A8908" s="2" t="str">
        <f ca="1">IFERROR(__xludf.DUMMYFUNCTION("""COMPUTED_VALUE"""),"1752598624156")</f>
        <v>1752598624156</v>
      </c>
      <c r="C8908" s="2" t="str">
        <v>0</v>
      </c>
      <c r="F8908" s="2" t="str">
        <v>0</v>
      </c>
      <c r="I8908" s="3" t="str">
        <f ca="1">IFERROR(__xludf.DUMMYFUNCTION("""COMPUTED_VALUE"""),"Ngô Nguyễn Hà My")</f>
        <v>Ngô Nguyễn Hà My</v>
      </c>
      <c r="J8908" s="3" t="str">
        <f ca="1">IFERROR(__xludf.DUMMYFUNCTION("""COMPUTED_VALUE"""),"0343153884")</f>
        <v>0343153884</v>
      </c>
      <c r="K8908" s="2" t="str">
        <f ca="1">IFERROR(__xludf.DUMMYFUNCTION("""COMPUTED_VALUE"""),"1752598624156")</f>
        <v>1752598624156</v>
      </c>
    </row>
    <row r="8909" spans="1:11" ht="12.45">
      <c r="A8909" s="2" t="str">
        <f ca="1">IFERROR(__xludf.DUMMYFUNCTION("""COMPUTED_VALUE"""),"1752598672803")</f>
        <v>1752598672803</v>
      </c>
      <c r="C8909" s="2" t="str">
        <v>0</v>
      </c>
      <c r="F8909" s="2" t="str">
        <v>0</v>
      </c>
      <c r="I8909" s="3" t="str">
        <f ca="1">IFERROR(__xludf.DUMMYFUNCTION("""COMPUTED_VALUE"""),"Nguyễn Minh Phương")</f>
        <v>Nguyễn Minh Phương</v>
      </c>
      <c r="J8909" s="3" t="str">
        <f ca="1">IFERROR(__xludf.DUMMYFUNCTION("""COMPUTED_VALUE"""),"0904557102")</f>
        <v>0904557102</v>
      </c>
      <c r="K8909" s="2" t="str">
        <f ca="1">IFERROR(__xludf.DUMMYFUNCTION("""COMPUTED_VALUE"""),"1752598672803")</f>
        <v>1752598672803</v>
      </c>
    </row>
    <row r="8910" spans="1:11" ht="12.45">
      <c r="A8910" s="2" t="str">
        <f ca="1">IFERROR(__xludf.DUMMYFUNCTION("""COMPUTED_VALUE"""),"1752598708798")</f>
        <v>1752598708798</v>
      </c>
      <c r="C8910" s="2" t="str">
        <v>0</v>
      </c>
      <c r="F8910" s="2" t="str">
        <v>0</v>
      </c>
      <c r="I8910" s="3" t="str">
        <f ca="1">IFERROR(__xludf.DUMMYFUNCTION("""COMPUTED_VALUE"""),"Lê Nguyễn Kỳ Duyên ")</f>
        <v xml:space="preserve">Lê Nguyễn Kỳ Duyên </v>
      </c>
      <c r="J8910" s="3" t="str">
        <f ca="1">IFERROR(__xludf.DUMMYFUNCTION("""COMPUTED_VALUE"""),"8498761353")</f>
        <v>8498761353</v>
      </c>
      <c r="K8910" s="2" t="str">
        <f ca="1">IFERROR(__xludf.DUMMYFUNCTION("""COMPUTED_VALUE"""),"1752598708798")</f>
        <v>1752598708798</v>
      </c>
    </row>
    <row r="8911" spans="1:11" ht="12.45">
      <c r="A8911" s="2" t="str">
        <f ca="1">IFERROR(__xludf.DUMMYFUNCTION("""COMPUTED_VALUE"""),"1752598736545")</f>
        <v>1752598736545</v>
      </c>
      <c r="C8911" s="2" t="str">
        <v>0</v>
      </c>
      <c r="F8911" s="2" t="str">
        <v>0</v>
      </c>
      <c r="I8911" s="3" t="str">
        <f ca="1">IFERROR(__xludf.DUMMYFUNCTION("""COMPUTED_VALUE"""),"Phùng vũ trà giang")</f>
        <v>Phùng vũ trà giang</v>
      </c>
      <c r="J8911" s="3" t="str">
        <f ca="1">IFERROR(__xludf.DUMMYFUNCTION("""COMPUTED_VALUE"""),"0877352614")</f>
        <v>0877352614</v>
      </c>
      <c r="K8911" s="2" t="str">
        <f ca="1">IFERROR(__xludf.DUMMYFUNCTION("""COMPUTED_VALUE"""),"1752598736545")</f>
        <v>1752598736545</v>
      </c>
    </row>
    <row r="8912" spans="1:11" ht="12.45">
      <c r="A8912" s="2" t="str">
        <f ca="1">IFERROR(__xludf.DUMMYFUNCTION("""COMPUTED_VALUE"""),"1752598764458")</f>
        <v>1752598764458</v>
      </c>
      <c r="C8912" s="2" t="str">
        <v>0</v>
      </c>
      <c r="F8912" s="2" t="str">
        <v>0</v>
      </c>
      <c r="I8912" s="3" t="str">
        <f ca="1">IFERROR(__xludf.DUMMYFUNCTION("""COMPUTED_VALUE"""),"Nguyễn Quỳnh Chi")</f>
        <v>Nguyễn Quỳnh Chi</v>
      </c>
      <c r="J8912" s="3" t="str">
        <f ca="1">IFERROR(__xludf.DUMMYFUNCTION("""COMPUTED_VALUE"""),"0328656428")</f>
        <v>0328656428</v>
      </c>
      <c r="K8912" s="2" t="str">
        <f ca="1">IFERROR(__xludf.DUMMYFUNCTION("""COMPUTED_VALUE"""),"1752598764458")</f>
        <v>1752598764458</v>
      </c>
    </row>
    <row r="8913" spans="1:11" ht="12.45">
      <c r="A8913" s="2" t="str">
        <f ca="1">IFERROR(__xludf.DUMMYFUNCTION("""COMPUTED_VALUE"""),"1752598788726")</f>
        <v>1752598788726</v>
      </c>
      <c r="C8913" s="2" t="str">
        <v>0</v>
      </c>
      <c r="F8913" s="2" t="str">
        <v>0</v>
      </c>
      <c r="I8913" s="3" t="str">
        <f ca="1">IFERROR(__xludf.DUMMYFUNCTION("""COMPUTED_VALUE"""),"Nguyễn Trần Thục Quyên")</f>
        <v>Nguyễn Trần Thục Quyên</v>
      </c>
      <c r="J8913" s="3" t="str">
        <f ca="1">IFERROR(__xludf.DUMMYFUNCTION("""COMPUTED_VALUE"""),"0359779097")</f>
        <v>0359779097</v>
      </c>
      <c r="K8913" s="2" t="str">
        <f ca="1">IFERROR(__xludf.DUMMYFUNCTION("""COMPUTED_VALUE"""),"1752598788726")</f>
        <v>1752598788726</v>
      </c>
    </row>
    <row r="8914" spans="1:11" ht="12.45">
      <c r="A8914" s="2" t="str">
        <f ca="1">IFERROR(__xludf.DUMMYFUNCTION("""COMPUTED_VALUE"""),"1752598815397")</f>
        <v>1752598815397</v>
      </c>
      <c r="C8914" s="2" t="str">
        <v>0</v>
      </c>
      <c r="F8914" s="2" t="str">
        <v>0</v>
      </c>
      <c r="I8914" s="3" t="str">
        <f ca="1">IFERROR(__xludf.DUMMYFUNCTION("""COMPUTED_VALUE"""),"Võ Khánh Trang ")</f>
        <v xml:space="preserve">Võ Khánh Trang </v>
      </c>
      <c r="J8914" s="3" t="str">
        <f ca="1">IFERROR(__xludf.DUMMYFUNCTION("""COMPUTED_VALUE"""),"0905632979")</f>
        <v>0905632979</v>
      </c>
      <c r="K8914" s="2" t="str">
        <f ca="1">IFERROR(__xludf.DUMMYFUNCTION("""COMPUTED_VALUE"""),"1752598815397")</f>
        <v>1752598815397</v>
      </c>
    </row>
    <row r="8915" spans="1:11" ht="12.45">
      <c r="A8915" s="2" t="str">
        <f ca="1">IFERROR(__xludf.DUMMYFUNCTION("""COMPUTED_VALUE"""),"1752598867284")</f>
        <v>1752598867284</v>
      </c>
      <c r="C8915" s="2" t="str">
        <v>0</v>
      </c>
      <c r="F8915" s="2" t="str">
        <v>0</v>
      </c>
      <c r="I8915" s="3" t="str">
        <f ca="1">IFERROR(__xludf.DUMMYFUNCTION("""COMPUTED_VALUE"""),"Lê Phạm Hà Ny")</f>
        <v>Lê Phạm Hà Ny</v>
      </c>
      <c r="J8915" s="3" t="str">
        <f ca="1">IFERROR(__xludf.DUMMYFUNCTION("""COMPUTED_VALUE"""),"0935875558")</f>
        <v>0935875558</v>
      </c>
      <c r="K8915" s="2" t="str">
        <f ca="1">IFERROR(__xludf.DUMMYFUNCTION("""COMPUTED_VALUE"""),"1752598867284")</f>
        <v>1752598867284</v>
      </c>
    </row>
    <row r="8916" spans="1:11" ht="12.45">
      <c r="A8916" s="2"/>
      <c r="C8916" s="2" t="str">
        <v>0</v>
      </c>
      <c r="F8916" s="2" t="str">
        <v>0</v>
      </c>
      <c r="I8916" s="3" t="str">
        <f ca="1">IFERROR(__xludf.DUMMYFUNCTION("""COMPUTED_VALUE"""),"Lý Thị Thanh Trúc ")</f>
        <v xml:space="preserve">Lý Thị Thanh Trúc </v>
      </c>
      <c r="J8916" s="3" t="str">
        <f ca="1">IFERROR(__xludf.DUMMYFUNCTION("""COMPUTED_VALUE"""),"0385938291")</f>
        <v>0385938291</v>
      </c>
      <c r="K8916" s="2"/>
    </row>
    <row r="8917" spans="1:11" ht="12.45">
      <c r="A8917" s="2" t="str">
        <f ca="1">IFERROR(__xludf.DUMMYFUNCTION("""COMPUTED_VALUE"""),"1752598887634")</f>
        <v>1752598887634</v>
      </c>
      <c r="C8917" s="2" t="str">
        <v>0</v>
      </c>
      <c r="F8917" s="2" t="str">
        <v>0</v>
      </c>
      <c r="I8917" s="3" t="str">
        <f ca="1">IFERROR(__xludf.DUMMYFUNCTION("""COMPUTED_VALUE"""),"Trần Huyền Trang")</f>
        <v>Trần Huyền Trang</v>
      </c>
      <c r="J8917" s="3" t="str">
        <f ca="1">IFERROR(__xludf.DUMMYFUNCTION("""COMPUTED_VALUE"""),"0866419694")</f>
        <v>0866419694</v>
      </c>
      <c r="K8917" s="2" t="str">
        <f ca="1">IFERROR(__xludf.DUMMYFUNCTION("""COMPUTED_VALUE"""),"1752598887634")</f>
        <v>1752598887634</v>
      </c>
    </row>
    <row r="8918" spans="1:11" ht="12.45">
      <c r="A8918" s="2" t="str">
        <f ca="1">IFERROR(__xludf.DUMMYFUNCTION("""COMPUTED_VALUE"""),"1752598916090")</f>
        <v>1752598916090</v>
      </c>
      <c r="C8918" s="2" t="str">
        <v>0</v>
      </c>
      <c r="F8918" s="2" t="str">
        <v>0</v>
      </c>
      <c r="I8918" s="3" t="str">
        <f ca="1">IFERROR(__xludf.DUMMYFUNCTION("""COMPUTED_VALUE"""),"Mỹ Tâm")</f>
        <v>Mỹ Tâm</v>
      </c>
      <c r="J8918" s="3" t="str">
        <f ca="1">IFERROR(__xludf.DUMMYFUNCTION("""COMPUTED_VALUE"""),"0773920246")</f>
        <v>0773920246</v>
      </c>
      <c r="K8918" s="2" t="str">
        <f ca="1">IFERROR(__xludf.DUMMYFUNCTION("""COMPUTED_VALUE"""),"1752598916090")</f>
        <v>1752598916090</v>
      </c>
    </row>
    <row r="8919" spans="1:11" ht="12.45">
      <c r="A8919" s="2" t="str">
        <f ca="1">IFERROR(__xludf.DUMMYFUNCTION("""COMPUTED_VALUE"""),"1752598940874")</f>
        <v>1752598940874</v>
      </c>
      <c r="C8919" s="2" t="str">
        <v>0</v>
      </c>
      <c r="F8919" s="2" t="str">
        <v>0</v>
      </c>
      <c r="I8919" s="3" t="str">
        <f ca="1">IFERROR(__xludf.DUMMYFUNCTION("""COMPUTED_VALUE"""),"Nguyễn Hà Phương")</f>
        <v>Nguyễn Hà Phương</v>
      </c>
      <c r="J8919" s="3" t="str">
        <f ca="1">IFERROR(__xludf.DUMMYFUNCTION("""COMPUTED_VALUE"""),"0342800703")</f>
        <v>0342800703</v>
      </c>
      <c r="K8919" s="2" t="str">
        <f ca="1">IFERROR(__xludf.DUMMYFUNCTION("""COMPUTED_VALUE"""),"1752598940874")</f>
        <v>1752598940874</v>
      </c>
    </row>
    <row r="8920" spans="1:11" ht="12.45">
      <c r="A8920" s="2" t="str">
        <f ca="1">IFERROR(__xludf.DUMMYFUNCTION("""COMPUTED_VALUE"""),"1752598967314")</f>
        <v>1752598967314</v>
      </c>
      <c r="C8920" s="2" t="str">
        <v>0</v>
      </c>
      <c r="F8920" s="2" t="str">
        <v>0</v>
      </c>
      <c r="I8920" s="3" t="str">
        <f ca="1">IFERROR(__xludf.DUMMYFUNCTION("""COMPUTED_VALUE"""),"Trần Mai Phương")</f>
        <v>Trần Mai Phương</v>
      </c>
      <c r="J8920" s="3" t="str">
        <f ca="1">IFERROR(__xludf.DUMMYFUNCTION("""COMPUTED_VALUE"""),"0339326141")</f>
        <v>0339326141</v>
      </c>
      <c r="K8920" s="2" t="str">
        <f ca="1">IFERROR(__xludf.DUMMYFUNCTION("""COMPUTED_VALUE"""),"1752598967314")</f>
        <v>1752598967314</v>
      </c>
    </row>
    <row r="8921" spans="1:11" ht="12.45">
      <c r="A8921" s="2" t="str">
        <f ca="1">IFERROR(__xludf.DUMMYFUNCTION("""COMPUTED_VALUE"""),"1752598987773")</f>
        <v>1752598987773</v>
      </c>
      <c r="C8921" s="2" t="str">
        <v>0</v>
      </c>
      <c r="F8921" s="2" t="str">
        <v>0</v>
      </c>
      <c r="I8921" s="3" t="str">
        <f ca="1">IFERROR(__xludf.DUMMYFUNCTION("""COMPUTED_VALUE"""),"Lê Nguyễn Thanh Trúc ")</f>
        <v xml:space="preserve">Lê Nguyễn Thanh Trúc </v>
      </c>
      <c r="J8921" s="3" t="str">
        <f ca="1">IFERROR(__xludf.DUMMYFUNCTION("""COMPUTED_VALUE"""),"0987881599")</f>
        <v>0987881599</v>
      </c>
      <c r="K8921" s="2" t="str">
        <f ca="1">IFERROR(__xludf.DUMMYFUNCTION("""COMPUTED_VALUE"""),"1752598987773")</f>
        <v>1752598987773</v>
      </c>
    </row>
    <row r="8922" spans="1:11" ht="12.45">
      <c r="A8922" s="2" t="str">
        <f ca="1">IFERROR(__xludf.DUMMYFUNCTION("""COMPUTED_VALUE"""),"1752599018082")</f>
        <v>1752599018082</v>
      </c>
      <c r="C8922" s="2" t="str">
        <v>0</v>
      </c>
      <c r="F8922" s="2" t="str">
        <v>0</v>
      </c>
      <c r="I8922" s="3" t="str">
        <f ca="1">IFERROR(__xludf.DUMMYFUNCTION("""COMPUTED_VALUE"""),"Nguyễn Thị Như Quỳnh ")</f>
        <v xml:space="preserve">Nguyễn Thị Như Quỳnh </v>
      </c>
      <c r="J8922" s="3" t="str">
        <f ca="1">IFERROR(__xludf.DUMMYFUNCTION("""COMPUTED_VALUE"""),"0707609825")</f>
        <v>0707609825</v>
      </c>
      <c r="K8922" s="2" t="str">
        <f ca="1">IFERROR(__xludf.DUMMYFUNCTION("""COMPUTED_VALUE"""),"1752599018082")</f>
        <v>1752599018082</v>
      </c>
    </row>
    <row r="8923" spans="1:11" ht="12.45">
      <c r="A8923" s="2" t="str">
        <f ca="1">IFERROR(__xludf.DUMMYFUNCTION("""COMPUTED_VALUE"""),"1752599044867")</f>
        <v>1752599044867</v>
      </c>
      <c r="C8923" s="2" t="str">
        <v>0</v>
      </c>
      <c r="F8923" s="2" t="str">
        <v>0</v>
      </c>
      <c r="I8923" s="3" t="str">
        <f ca="1">IFERROR(__xludf.DUMMYFUNCTION("""COMPUTED_VALUE"""),"Tô Văn Hậu")</f>
        <v>Tô Văn Hậu</v>
      </c>
      <c r="J8923" s="3" t="str">
        <f ca="1">IFERROR(__xludf.DUMMYFUNCTION("""COMPUTED_VALUE"""),"0398409424")</f>
        <v>0398409424</v>
      </c>
      <c r="K8923" s="2" t="str">
        <f ca="1">IFERROR(__xludf.DUMMYFUNCTION("""COMPUTED_VALUE"""),"1752599044867")</f>
        <v>1752599044867</v>
      </c>
    </row>
    <row r="8924" spans="1:11" ht="12.45">
      <c r="A8924" s="2" t="str">
        <f ca="1">IFERROR(__xludf.DUMMYFUNCTION("""COMPUTED_VALUE"""),"1752599077891")</f>
        <v>1752599077891</v>
      </c>
      <c r="C8924" s="2" t="str">
        <v>0</v>
      </c>
      <c r="F8924" s="2" t="str">
        <v>0</v>
      </c>
      <c r="I8924" s="3" t="str">
        <f ca="1">IFERROR(__xludf.DUMMYFUNCTION("""COMPUTED_VALUE"""),"Phạm Tùng Lâm")</f>
        <v>Phạm Tùng Lâm</v>
      </c>
      <c r="J8924" s="3" t="str">
        <f ca="1">IFERROR(__xludf.DUMMYFUNCTION("""COMPUTED_VALUE"""),"0789012834")</f>
        <v>0789012834</v>
      </c>
      <c r="K8924" s="2" t="str">
        <f ca="1">IFERROR(__xludf.DUMMYFUNCTION("""COMPUTED_VALUE"""),"1752599077891")</f>
        <v>1752599077891</v>
      </c>
    </row>
    <row r="8925" spans="1:11" ht="12.45">
      <c r="A8925" s="2" t="str">
        <f ca="1">IFERROR(__xludf.DUMMYFUNCTION("""COMPUTED_VALUE"""),"1752599102738")</f>
        <v>1752599102738</v>
      </c>
      <c r="C8925" s="2" t="str">
        <v>0</v>
      </c>
      <c r="F8925" s="2" t="str">
        <v>0</v>
      </c>
      <c r="I8925" s="3" t="str">
        <f ca="1">IFERROR(__xludf.DUMMYFUNCTION("""COMPUTED_VALUE"""),"NGUYỄN THỊ QUỲNH NHƯ ")</f>
        <v xml:space="preserve">NGUYỄN THỊ QUỲNH NHƯ </v>
      </c>
      <c r="J8925" s="3" t="str">
        <f ca="1">IFERROR(__xludf.DUMMYFUNCTION("""COMPUTED_VALUE"""),"0924352507")</f>
        <v>0924352507</v>
      </c>
      <c r="K8925" s="2" t="str">
        <f ca="1">IFERROR(__xludf.DUMMYFUNCTION("""COMPUTED_VALUE"""),"1752599102738")</f>
        <v>1752599102738</v>
      </c>
    </row>
    <row r="8926" spans="1:11" ht="12.45">
      <c r="A8926" s="2" t="str">
        <f ca="1">IFERROR(__xludf.DUMMYFUNCTION("""COMPUTED_VALUE"""),"1752599127607")</f>
        <v>1752599127607</v>
      </c>
      <c r="C8926" s="2" t="str">
        <v>0</v>
      </c>
      <c r="F8926" s="2" t="str">
        <v>0</v>
      </c>
      <c r="I8926" s="3" t="str">
        <f ca="1">IFERROR(__xludf.DUMMYFUNCTION("""COMPUTED_VALUE"""),"Phương Hà")</f>
        <v>Phương Hà</v>
      </c>
      <c r="J8926" s="3" t="str">
        <f ca="1">IFERROR(__xludf.DUMMYFUNCTION("""COMPUTED_VALUE"""),"0965106969")</f>
        <v>0965106969</v>
      </c>
      <c r="K8926" s="2" t="str">
        <f ca="1">IFERROR(__xludf.DUMMYFUNCTION("""COMPUTED_VALUE"""),"1752599127607")</f>
        <v>1752599127607</v>
      </c>
    </row>
    <row r="8927" spans="1:11" ht="12.45">
      <c r="A8927" s="2" t="str">
        <f ca="1">IFERROR(__xludf.DUMMYFUNCTION("""COMPUTED_VALUE"""),"1752599150945")</f>
        <v>1752599150945</v>
      </c>
      <c r="C8927" s="2" t="str">
        <v>0</v>
      </c>
      <c r="F8927" s="2" t="str">
        <v>0</v>
      </c>
      <c r="I8927" s="3" t="str">
        <f ca="1">IFERROR(__xludf.DUMMYFUNCTION("""COMPUTED_VALUE"""),"Lương Thị Kim Lương ")</f>
        <v xml:space="preserve">Lương Thị Kim Lương </v>
      </c>
      <c r="J8927" s="3" t="str">
        <f ca="1">IFERROR(__xludf.DUMMYFUNCTION("""COMPUTED_VALUE"""),"0329850997")</f>
        <v>0329850997</v>
      </c>
      <c r="K8927" s="2" t="str">
        <f ca="1">IFERROR(__xludf.DUMMYFUNCTION("""COMPUTED_VALUE"""),"1752599150945")</f>
        <v>1752599150945</v>
      </c>
    </row>
    <row r="8928" spans="1:11" ht="12.45">
      <c r="A8928" s="2" t="str">
        <f ca="1">IFERROR(__xludf.DUMMYFUNCTION("""COMPUTED_VALUE"""),"1752599176594")</f>
        <v>1752599176594</v>
      </c>
      <c r="C8928" s="2" t="str">
        <v>0</v>
      </c>
      <c r="F8928" s="2" t="str">
        <v>0</v>
      </c>
      <c r="I8928" s="3" t="str">
        <f ca="1">IFERROR(__xludf.DUMMYFUNCTION("""COMPUTED_VALUE"""),"Nguyễn Vân Anh")</f>
        <v>Nguyễn Vân Anh</v>
      </c>
      <c r="J8928" s="3" t="str">
        <f ca="1">IFERROR(__xludf.DUMMYFUNCTION("""COMPUTED_VALUE"""),"0333899413")</f>
        <v>0333899413</v>
      </c>
      <c r="K8928" s="2" t="str">
        <f ca="1">IFERROR(__xludf.DUMMYFUNCTION("""COMPUTED_VALUE"""),"1752599176594")</f>
        <v>1752599176594</v>
      </c>
    </row>
    <row r="8929" spans="1:11" ht="12.45">
      <c r="A8929" s="2" t="str">
        <f ca="1">IFERROR(__xludf.DUMMYFUNCTION("""COMPUTED_VALUE"""),"1752599200888")</f>
        <v>1752599200888</v>
      </c>
      <c r="C8929" s="2" t="str">
        <v>0</v>
      </c>
      <c r="F8929" s="2" t="str">
        <v>0</v>
      </c>
      <c r="I8929" s="3" t="str">
        <f ca="1">IFERROR(__xludf.DUMMYFUNCTION("""COMPUTED_VALUE"""),"Nguyễn Lâm Tâm Ngân")</f>
        <v>Nguyễn Lâm Tâm Ngân</v>
      </c>
      <c r="J8929" s="3" t="str">
        <f ca="1">IFERROR(__xludf.DUMMYFUNCTION("""COMPUTED_VALUE"""),"0824520106")</f>
        <v>0824520106</v>
      </c>
      <c r="K8929" s="2" t="str">
        <f ca="1">IFERROR(__xludf.DUMMYFUNCTION("""COMPUTED_VALUE"""),"1752599200888")</f>
        <v>1752599200888</v>
      </c>
    </row>
    <row r="8930" spans="1:11" ht="12.45">
      <c r="A8930" s="2" t="str">
        <f ca="1">IFERROR(__xludf.DUMMYFUNCTION("""COMPUTED_VALUE"""),"1752599227621")</f>
        <v>1752599227621</v>
      </c>
      <c r="C8930" s="2" t="str">
        <v>0</v>
      </c>
      <c r="F8930" s="2" t="str">
        <v>0</v>
      </c>
      <c r="I8930" s="3" t="str">
        <f ca="1">IFERROR(__xludf.DUMMYFUNCTION("""COMPUTED_VALUE"""),"Hoàng Nguyễn Nguyên Anh ")</f>
        <v xml:space="preserve">Hoàng Nguyễn Nguyên Anh </v>
      </c>
      <c r="J8930" s="3" t="str">
        <f ca="1">IFERROR(__xludf.DUMMYFUNCTION("""COMPUTED_VALUE"""),"0947477358")</f>
        <v>0947477358</v>
      </c>
      <c r="K8930" s="2" t="str">
        <f ca="1">IFERROR(__xludf.DUMMYFUNCTION("""COMPUTED_VALUE"""),"1752599227621")</f>
        <v>1752599227621</v>
      </c>
    </row>
    <row r="8931" spans="1:11" ht="12.45">
      <c r="A8931" s="2" t="str">
        <f ca="1">IFERROR(__xludf.DUMMYFUNCTION("""COMPUTED_VALUE"""),"1752599250873")</f>
        <v>1752599250873</v>
      </c>
      <c r="C8931" s="2" t="str">
        <v>0</v>
      </c>
      <c r="F8931" s="2" t="str">
        <v>0</v>
      </c>
      <c r="I8931" s="3" t="str">
        <f ca="1">IFERROR(__xludf.DUMMYFUNCTION("""COMPUTED_VALUE"""),"Kiều Phương Linh")</f>
        <v>Kiều Phương Linh</v>
      </c>
      <c r="J8931" s="3" t="str">
        <f ca="1">IFERROR(__xludf.DUMMYFUNCTION("""COMPUTED_VALUE"""),"0368376248")</f>
        <v>0368376248</v>
      </c>
      <c r="K8931" s="2" t="str">
        <f ca="1">IFERROR(__xludf.DUMMYFUNCTION("""COMPUTED_VALUE"""),"1752599250873")</f>
        <v>1752599250873</v>
      </c>
    </row>
    <row r="8932" spans="1:11" ht="12.45">
      <c r="A8932" s="2" t="str">
        <f ca="1">IFERROR(__xludf.DUMMYFUNCTION("""COMPUTED_VALUE"""),"1752599278693")</f>
        <v>1752599278693</v>
      </c>
      <c r="C8932" s="2" t="str">
        <v>0</v>
      </c>
      <c r="F8932" s="2" t="str">
        <v>0</v>
      </c>
      <c r="I8932" s="3" t="str">
        <f ca="1">IFERROR(__xludf.DUMMYFUNCTION("""COMPUTED_VALUE"""),"Nguyễn Thị Hoa")</f>
        <v>Nguyễn Thị Hoa</v>
      </c>
      <c r="J8932" s="3" t="str">
        <f ca="1">IFERROR(__xludf.DUMMYFUNCTION("""COMPUTED_VALUE"""),"0944016028")</f>
        <v>0944016028</v>
      </c>
      <c r="K8932" s="2" t="str">
        <f ca="1">IFERROR(__xludf.DUMMYFUNCTION("""COMPUTED_VALUE"""),"1752599278693")</f>
        <v>1752599278693</v>
      </c>
    </row>
    <row r="8933" spans="1:11" ht="12.45">
      <c r="A8933" s="2" t="str">
        <f ca="1">IFERROR(__xludf.DUMMYFUNCTION("""COMPUTED_VALUE"""),"1752599296889")</f>
        <v>1752599296889</v>
      </c>
      <c r="C8933" s="2" t="str">
        <v>0</v>
      </c>
      <c r="F8933" s="2" t="str">
        <v>0</v>
      </c>
      <c r="I8933" s="3" t="str">
        <f ca="1">IFERROR(__xludf.DUMMYFUNCTION("""COMPUTED_VALUE"""),"Lưu Gia Linh")</f>
        <v>Lưu Gia Linh</v>
      </c>
      <c r="J8933" s="3" t="str">
        <f ca="1">IFERROR(__xludf.DUMMYFUNCTION("""COMPUTED_VALUE"""),"0984068013")</f>
        <v>0984068013</v>
      </c>
      <c r="K8933" s="2" t="str">
        <f ca="1">IFERROR(__xludf.DUMMYFUNCTION("""COMPUTED_VALUE"""),"1752599296889")</f>
        <v>1752599296889</v>
      </c>
    </row>
    <row r="8934" spans="1:11" ht="12.45">
      <c r="A8934" s="2" t="str">
        <f ca="1">IFERROR(__xludf.DUMMYFUNCTION("""COMPUTED_VALUE"""),"1752599312063")</f>
        <v>1752599312063</v>
      </c>
      <c r="C8934" s="2" t="str">
        <v>0</v>
      </c>
      <c r="F8934" s="2" t="str">
        <v>0</v>
      </c>
      <c r="I8934" s="3" t="str">
        <f ca="1">IFERROR(__xludf.DUMMYFUNCTION("""COMPUTED_VALUE"""),"Phạm Hoàng Quỳnh Chi")</f>
        <v>Phạm Hoàng Quỳnh Chi</v>
      </c>
      <c r="J8934" s="3" t="str">
        <f ca="1">IFERROR(__xludf.DUMMYFUNCTION("""COMPUTED_VALUE"""),"0969768952")</f>
        <v>0969768952</v>
      </c>
      <c r="K8934" s="2" t="str">
        <f ca="1">IFERROR(__xludf.DUMMYFUNCTION("""COMPUTED_VALUE"""),"1752599312063")</f>
        <v>1752599312063</v>
      </c>
    </row>
    <row r="8935" spans="1:11" ht="12.45">
      <c r="A8935" s="2" t="str">
        <f ca="1">IFERROR(__xludf.DUMMYFUNCTION("""COMPUTED_VALUE"""),"1760358508802")</f>
        <v>1760358508802</v>
      </c>
      <c r="C8935" s="2" t="str">
        <v>0</v>
      </c>
      <c r="F8935" s="2" t="str">
        <v>0</v>
      </c>
      <c r="I8935" s="3" t="str">
        <f ca="1">IFERROR(__xludf.DUMMYFUNCTION("""COMPUTED_VALUE"""),"La Ngọc Khuê")</f>
        <v>La Ngọc Khuê</v>
      </c>
      <c r="J8935" s="3" t="str">
        <f ca="1">IFERROR(__xludf.DUMMYFUNCTION("""COMPUTED_VALUE"""),"0384575742")</f>
        <v>0384575742</v>
      </c>
      <c r="K8935" s="2" t="str">
        <f ca="1">IFERROR(__xludf.DUMMYFUNCTION("""COMPUTED_VALUE"""),"1760358508802")</f>
        <v>1760358508802</v>
      </c>
    </row>
    <row r="8936" spans="1:11" ht="12.45">
      <c r="A8936" s="2" t="str">
        <f ca="1">IFERROR(__xludf.DUMMYFUNCTION("""COMPUTED_VALUE"""),"1760358552517")</f>
        <v>1760358552517</v>
      </c>
      <c r="C8936" s="2" t="str">
        <v>0</v>
      </c>
      <c r="F8936" s="2" t="str">
        <v>0</v>
      </c>
      <c r="I8936" s="3" t="str">
        <f ca="1">IFERROR(__xludf.DUMMYFUNCTION("""COMPUTED_VALUE"""),"Lê Thị Tú Mỹ")</f>
        <v>Lê Thị Tú Mỹ</v>
      </c>
      <c r="J8936" s="3" t="str">
        <f ca="1">IFERROR(__xludf.DUMMYFUNCTION("""COMPUTED_VALUE"""),"0919298142")</f>
        <v>0919298142</v>
      </c>
      <c r="K8936" s="2" t="str">
        <f ca="1">IFERROR(__xludf.DUMMYFUNCTION("""COMPUTED_VALUE"""),"1760358552517")</f>
        <v>1760358552517</v>
      </c>
    </row>
    <row r="8937" spans="1:11" ht="12.45">
      <c r="A8937" s="2" t="str">
        <f ca="1">IFERROR(__xludf.DUMMYFUNCTION("""COMPUTED_VALUE"""),"1760358579684")</f>
        <v>1760358579684</v>
      </c>
      <c r="C8937" s="2" t="str">
        <v>0</v>
      </c>
      <c r="F8937" s="2" t="str">
        <v>0</v>
      </c>
      <c r="I8937" s="3" t="str">
        <f ca="1">IFERROR(__xludf.DUMMYFUNCTION("""COMPUTED_VALUE"""),"Vũ Khánh Linh")</f>
        <v>Vũ Khánh Linh</v>
      </c>
      <c r="J8937" s="3" t="str">
        <f ca="1">IFERROR(__xludf.DUMMYFUNCTION("""COMPUTED_VALUE"""),"0982806231")</f>
        <v>0982806231</v>
      </c>
      <c r="K8937" s="2" t="str">
        <f ca="1">IFERROR(__xludf.DUMMYFUNCTION("""COMPUTED_VALUE"""),"1760358579684")</f>
        <v>1760358579684</v>
      </c>
    </row>
    <row r="8938" spans="1:11" ht="12.45">
      <c r="A8938" s="2" t="str">
        <f ca="1">IFERROR(__xludf.DUMMYFUNCTION("""COMPUTED_VALUE"""),"1760358622669")</f>
        <v>1760358622669</v>
      </c>
      <c r="C8938" s="2" t="str">
        <v>0</v>
      </c>
      <c r="F8938" s="2" t="str">
        <v>0</v>
      </c>
      <c r="I8938" s="3" t="str">
        <f ca="1">IFERROR(__xludf.DUMMYFUNCTION("""COMPUTED_VALUE"""),"Phạm Hoài Anh")</f>
        <v>Phạm Hoài Anh</v>
      </c>
      <c r="J8938" s="3" t="str">
        <f ca="1">IFERROR(__xludf.DUMMYFUNCTION("""COMPUTED_VALUE"""),"0824466985")</f>
        <v>0824466985</v>
      </c>
      <c r="K8938" s="2" t="str">
        <f ca="1">IFERROR(__xludf.DUMMYFUNCTION("""COMPUTED_VALUE"""),"1760358622669")</f>
        <v>1760358622669</v>
      </c>
    </row>
    <row r="8939" spans="1:11" ht="12.45">
      <c r="A8939" s="2" t="str">
        <f ca="1">IFERROR(__xludf.DUMMYFUNCTION("""COMPUTED_VALUE"""),"1760358654168")</f>
        <v>1760358654168</v>
      </c>
      <c r="C8939" s="2" t="str">
        <v>0</v>
      </c>
      <c r="F8939" s="2" t="str">
        <v>0</v>
      </c>
      <c r="I8939" s="3" t="str">
        <f ca="1">IFERROR(__xludf.DUMMYFUNCTION("""COMPUTED_VALUE"""),"Nguyễn Quỳnh An")</f>
        <v>Nguyễn Quỳnh An</v>
      </c>
      <c r="J8939" s="3" t="str">
        <f ca="1">IFERROR(__xludf.DUMMYFUNCTION("""COMPUTED_VALUE"""),"0981706071")</f>
        <v>0981706071</v>
      </c>
      <c r="K8939" s="2" t="str">
        <f ca="1">IFERROR(__xludf.DUMMYFUNCTION("""COMPUTED_VALUE"""),"1760358654168")</f>
        <v>1760358654168</v>
      </c>
    </row>
    <row r="8940" spans="1:11" ht="12.45">
      <c r="A8940" s="2" t="str">
        <f ca="1">IFERROR(__xludf.DUMMYFUNCTION("""COMPUTED_VALUE"""),"1760358704888")</f>
        <v>1760358704888</v>
      </c>
      <c r="C8940" s="2" t="str">
        <v>0</v>
      </c>
      <c r="F8940" s="2" t="str">
        <v>0</v>
      </c>
      <c r="I8940" s="3" t="str">
        <f ca="1">IFERROR(__xludf.DUMMYFUNCTION("""COMPUTED_VALUE"""),"Nguyễn Thị Ngọc Mai")</f>
        <v>Nguyễn Thị Ngọc Mai</v>
      </c>
      <c r="J8940" s="3" t="str">
        <f ca="1">IFERROR(__xludf.DUMMYFUNCTION("""COMPUTED_VALUE"""),"0986813857")</f>
        <v>0986813857</v>
      </c>
      <c r="K8940" s="2" t="str">
        <f ca="1">IFERROR(__xludf.DUMMYFUNCTION("""COMPUTED_VALUE"""),"1760358704888")</f>
        <v>1760358704888</v>
      </c>
    </row>
    <row r="8941" spans="1:11" ht="12.45">
      <c r="A8941" s="2" t="str">
        <f ca="1">IFERROR(__xludf.DUMMYFUNCTION("""COMPUTED_VALUE"""),"1760358745727")</f>
        <v>1760358745727</v>
      </c>
      <c r="C8941" s="2" t="str">
        <v>0</v>
      </c>
      <c r="F8941" s="2" t="str">
        <v>0</v>
      </c>
      <c r="I8941" s="3" t="str">
        <f ca="1">IFERROR(__xludf.DUMMYFUNCTION("""COMPUTED_VALUE"""),"Phan Thị Thanh Phúc ")</f>
        <v xml:space="preserve">Phan Thị Thanh Phúc </v>
      </c>
      <c r="J8941" s="3" t="str">
        <f ca="1">IFERROR(__xludf.DUMMYFUNCTION("""COMPUTED_VALUE"""),"0376635907")</f>
        <v>0376635907</v>
      </c>
      <c r="K8941" s="2" t="str">
        <f ca="1">IFERROR(__xludf.DUMMYFUNCTION("""COMPUTED_VALUE"""),"1760358745727")</f>
        <v>1760358745727</v>
      </c>
    </row>
    <row r="8942" spans="1:11" ht="12.45">
      <c r="A8942" s="2"/>
      <c r="C8942" s="2" t="str">
        <v>0</v>
      </c>
      <c r="F8942" s="2" t="str">
        <v>0</v>
      </c>
      <c r="I8942" s="3" t="str">
        <f ca="1">IFERROR(__xludf.DUMMYFUNCTION("""COMPUTED_VALUE"""),"Lê Thuỳ Linh")</f>
        <v>Lê Thuỳ Linh</v>
      </c>
      <c r="J8942" s="3" t="str">
        <f ca="1">IFERROR(__xludf.DUMMYFUNCTION("""COMPUTED_VALUE"""),"0332283547")</f>
        <v>0332283547</v>
      </c>
      <c r="K8942" s="2"/>
    </row>
    <row r="8943" spans="1:11" ht="12.45">
      <c r="A8943" s="2" t="str">
        <f ca="1">IFERROR(__xludf.DUMMYFUNCTION("""COMPUTED_VALUE"""),"1760358788822")</f>
        <v>1760358788822</v>
      </c>
      <c r="C8943" s="2" t="str">
        <v>0</v>
      </c>
      <c r="F8943" s="2" t="str">
        <v>0</v>
      </c>
      <c r="I8943" s="3" t="str">
        <f ca="1">IFERROR(__xludf.DUMMYFUNCTION("""COMPUTED_VALUE"""),"Đinh Phương Anh ")</f>
        <v xml:space="preserve">Đinh Phương Anh </v>
      </c>
      <c r="J8943" s="3" t="str">
        <f ca="1">IFERROR(__xludf.DUMMYFUNCTION("""COMPUTED_VALUE"""),"0868218718")</f>
        <v>0868218718</v>
      </c>
      <c r="K8943" s="2" t="str">
        <f ca="1">IFERROR(__xludf.DUMMYFUNCTION("""COMPUTED_VALUE"""),"1760358788822")</f>
        <v>1760358788822</v>
      </c>
    </row>
    <row r="8944" spans="1:11" ht="12.45">
      <c r="A8944" s="2" t="str">
        <f ca="1">IFERROR(__xludf.DUMMYFUNCTION("""COMPUTED_VALUE"""),"1760358815813")</f>
        <v>1760358815813</v>
      </c>
      <c r="C8944" s="2" t="str">
        <v>0</v>
      </c>
      <c r="F8944" s="2" t="str">
        <v>0</v>
      </c>
      <c r="I8944" s="3" t="str">
        <f ca="1">IFERROR(__xludf.DUMMYFUNCTION("""COMPUTED_VALUE"""),"Nguyễn Thị Hải Yến")</f>
        <v>Nguyễn Thị Hải Yến</v>
      </c>
      <c r="J8944" s="3" t="str">
        <f ca="1">IFERROR(__xludf.DUMMYFUNCTION("""COMPUTED_VALUE"""),"0356972915")</f>
        <v>0356972915</v>
      </c>
      <c r="K8944" s="2" t="str">
        <f ca="1">IFERROR(__xludf.DUMMYFUNCTION("""COMPUTED_VALUE"""),"1760358815813")</f>
        <v>1760358815813</v>
      </c>
    </row>
    <row r="8945" spans="1:11" ht="12.45">
      <c r="A8945" s="2" t="str">
        <f ca="1">IFERROR(__xludf.DUMMYFUNCTION("""COMPUTED_VALUE"""),"1760358850672")</f>
        <v>1760358850672</v>
      </c>
      <c r="C8945" s="2" t="str">
        <v>0</v>
      </c>
      <c r="F8945" s="2" t="str">
        <v>0</v>
      </c>
      <c r="I8945" s="3" t="str">
        <f ca="1">IFERROR(__xludf.DUMMYFUNCTION("""COMPUTED_VALUE"""),"Nguyễn Khánh Ngọc ")</f>
        <v xml:space="preserve">Nguyễn Khánh Ngọc </v>
      </c>
      <c r="J8945" s="3" t="str">
        <f ca="1">IFERROR(__xludf.DUMMYFUNCTION("""COMPUTED_VALUE"""),"0385391307")</f>
        <v>0385391307</v>
      </c>
      <c r="K8945" s="2" t="str">
        <f ca="1">IFERROR(__xludf.DUMMYFUNCTION("""COMPUTED_VALUE"""),"1760358850672")</f>
        <v>1760358850672</v>
      </c>
    </row>
    <row r="8946" spans="1:11" ht="12.45">
      <c r="A8946" s="2" t="str">
        <f ca="1">IFERROR(__xludf.DUMMYFUNCTION("""COMPUTED_VALUE"""),"1760358899010")</f>
        <v>1760358899010</v>
      </c>
      <c r="C8946" s="2" t="str">
        <v>0</v>
      </c>
      <c r="F8946" s="2" t="str">
        <v>0</v>
      </c>
      <c r="I8946" s="3" t="str">
        <f ca="1">IFERROR(__xludf.DUMMYFUNCTION("""COMPUTED_VALUE"""),"Trịnh Thị Hảo")</f>
        <v>Trịnh Thị Hảo</v>
      </c>
      <c r="J8946" s="3" t="str">
        <f ca="1">IFERROR(__xludf.DUMMYFUNCTION("""COMPUTED_VALUE"""),"0568393241")</f>
        <v>0568393241</v>
      </c>
      <c r="K8946" s="2" t="str">
        <f ca="1">IFERROR(__xludf.DUMMYFUNCTION("""COMPUTED_VALUE"""),"1760358899010")</f>
        <v>1760358899010</v>
      </c>
    </row>
    <row r="8947" spans="1:11" ht="12.45">
      <c r="A8947" s="2" t="str">
        <f ca="1">IFERROR(__xludf.DUMMYFUNCTION("""COMPUTED_VALUE"""),"1760358923193")</f>
        <v>1760358923193</v>
      </c>
      <c r="C8947" s="2" t="str">
        <v>0</v>
      </c>
      <c r="F8947" s="2" t="str">
        <v>0</v>
      </c>
      <c r="I8947" s="3" t="str">
        <f ca="1">IFERROR(__xludf.DUMMYFUNCTION("""COMPUTED_VALUE"""),"Hoàng Thị Thảo Quỳnh")</f>
        <v>Hoàng Thị Thảo Quỳnh</v>
      </c>
      <c r="J8947" s="3" t="str">
        <f ca="1">IFERROR(__xludf.DUMMYFUNCTION("""COMPUTED_VALUE"""),"0833925006")</f>
        <v>0833925006</v>
      </c>
      <c r="K8947" s="2" t="str">
        <f ca="1">IFERROR(__xludf.DUMMYFUNCTION("""COMPUTED_VALUE"""),"1760358923193")</f>
        <v>1760358923193</v>
      </c>
    </row>
    <row r="8948" spans="1:11" ht="12.45">
      <c r="A8948" s="2" t="str">
        <f ca="1">IFERROR(__xludf.DUMMYFUNCTION("""COMPUTED_VALUE"""),"1760358944473")</f>
        <v>1760358944473</v>
      </c>
      <c r="C8948" s="2" t="str">
        <v>0</v>
      </c>
      <c r="F8948" s="2" t="str">
        <v>0</v>
      </c>
      <c r="I8948" s="3" t="str">
        <f ca="1">IFERROR(__xludf.DUMMYFUNCTION("""COMPUTED_VALUE"""),"Đặng Thu Giang")</f>
        <v>Đặng Thu Giang</v>
      </c>
      <c r="J8948" s="3" t="str">
        <f ca="1">IFERROR(__xludf.DUMMYFUNCTION("""COMPUTED_VALUE"""),"0945549174")</f>
        <v>0945549174</v>
      </c>
      <c r="K8948" s="2" t="str">
        <f ca="1">IFERROR(__xludf.DUMMYFUNCTION("""COMPUTED_VALUE"""),"1760358944473")</f>
        <v>1760358944473</v>
      </c>
    </row>
    <row r="8949" spans="1:11" ht="12.45">
      <c r="A8949" s="2"/>
      <c r="C8949" s="2" t="str">
        <v>0</v>
      </c>
      <c r="F8949" s="2" t="str">
        <v>0</v>
      </c>
      <c r="I8949" s="3" t="str">
        <f ca="1">IFERROR(__xludf.DUMMYFUNCTION("""COMPUTED_VALUE"""),"Phạm Hoàng Nam")</f>
        <v>Phạm Hoàng Nam</v>
      </c>
      <c r="J8949" s="3" t="str">
        <f ca="1">IFERROR(__xludf.DUMMYFUNCTION("""COMPUTED_VALUE"""),"0397455121")</f>
        <v>0397455121</v>
      </c>
      <c r="K8949" s="2"/>
    </row>
    <row r="8950" spans="1:11" ht="12.45">
      <c r="A8950" s="2" t="str">
        <f ca="1">IFERROR(__xludf.DUMMYFUNCTION("""COMPUTED_VALUE"""),"1756307445191")</f>
        <v>1756307445191</v>
      </c>
      <c r="C8950" s="2" t="str">
        <v>0</v>
      </c>
      <c r="F8950" s="2" t="str">
        <v>0</v>
      </c>
      <c r="I8950" s="3" t="str">
        <f ca="1">IFERROR(__xludf.DUMMYFUNCTION("""COMPUTED_VALUE"""),"Hoàng Hữu Nhật Minh")</f>
        <v>Hoàng Hữu Nhật Minh</v>
      </c>
      <c r="J8950" s="3" t="str">
        <f ca="1">IFERROR(__xludf.DUMMYFUNCTION("""COMPUTED_VALUE"""),"0352777627")</f>
        <v>0352777627</v>
      </c>
      <c r="K8950" s="2" t="str">
        <f ca="1">IFERROR(__xludf.DUMMYFUNCTION("""COMPUTED_VALUE"""),"1756307445191")</f>
        <v>1756307445191</v>
      </c>
    </row>
    <row r="8951" spans="1:11" ht="12.45">
      <c r="A8951" s="2" t="str">
        <f ca="1">IFERROR(__xludf.DUMMYFUNCTION("""COMPUTED_VALUE"""),"1756307497965")</f>
        <v>1756307497965</v>
      </c>
      <c r="C8951" s="2" t="str">
        <v>0</v>
      </c>
      <c r="F8951" s="2" t="str">
        <v>0</v>
      </c>
      <c r="I8951" s="3" t="str">
        <f ca="1">IFERROR(__xludf.DUMMYFUNCTION("""COMPUTED_VALUE"""),"Lê Ngọc")</f>
        <v>Lê Ngọc</v>
      </c>
      <c r="J8951" s="3" t="str">
        <f ca="1">IFERROR(__xludf.DUMMYFUNCTION("""COMPUTED_VALUE"""),"0817469363")</f>
        <v>0817469363</v>
      </c>
      <c r="K8951" s="2" t="str">
        <f ca="1">IFERROR(__xludf.DUMMYFUNCTION("""COMPUTED_VALUE"""),"1756307497965")</f>
        <v>1756307497965</v>
      </c>
    </row>
    <row r="8952" spans="1:11" ht="12.45">
      <c r="A8952" s="2" t="str">
        <f ca="1">IFERROR(__xludf.DUMMYFUNCTION("""COMPUTED_VALUE"""),"1760358972144")</f>
        <v>1760358972144</v>
      </c>
      <c r="C8952" s="2" t="str">
        <v>0</v>
      </c>
      <c r="F8952" s="2" t="str">
        <v>0</v>
      </c>
      <c r="I8952" s="3" t="str">
        <f ca="1">IFERROR(__xludf.DUMMYFUNCTION("""COMPUTED_VALUE"""),"Hồ Khánh Linh")</f>
        <v>Hồ Khánh Linh</v>
      </c>
      <c r="J8952" s="3" t="str">
        <f ca="1">IFERROR(__xludf.DUMMYFUNCTION("""COMPUTED_VALUE"""),"0948370667")</f>
        <v>0948370667</v>
      </c>
      <c r="K8952" s="2" t="str">
        <f ca="1">IFERROR(__xludf.DUMMYFUNCTION("""COMPUTED_VALUE"""),"1760358972144")</f>
        <v>1760358972144</v>
      </c>
    </row>
    <row r="8953" spans="1:11" ht="12.45">
      <c r="A8953" s="2" t="str">
        <f ca="1">IFERROR(__xludf.DUMMYFUNCTION("""COMPUTED_VALUE"""),"1760359003921")</f>
        <v>1760359003921</v>
      </c>
      <c r="C8953" s="2" t="str">
        <v>0</v>
      </c>
      <c r="F8953" s="2" t="str">
        <v>0</v>
      </c>
      <c r="I8953" s="3" t="str">
        <f ca="1">IFERROR(__xludf.DUMMYFUNCTION("""COMPUTED_VALUE"""),"Phạm Yến")</f>
        <v>Phạm Yến</v>
      </c>
      <c r="J8953" s="3" t="str">
        <f ca="1">IFERROR(__xludf.DUMMYFUNCTION("""COMPUTED_VALUE"""),"0389405106")</f>
        <v>0389405106</v>
      </c>
      <c r="K8953" s="2" t="str">
        <f ca="1">IFERROR(__xludf.DUMMYFUNCTION("""COMPUTED_VALUE"""),"1760359003921")</f>
        <v>1760359003921</v>
      </c>
    </row>
    <row r="8954" spans="1:11" ht="12.45">
      <c r="A8954" s="2" t="str">
        <f ca="1">IFERROR(__xludf.DUMMYFUNCTION("""COMPUTED_VALUE"""),"1754852405520")</f>
        <v>1754852405520</v>
      </c>
      <c r="C8954" s="2" t="str">
        <v>0</v>
      </c>
      <c r="F8954" s="2" t="str">
        <v>0</v>
      </c>
      <c r="I8954" s="3" t="str">
        <f ca="1">IFERROR(__xludf.DUMMYFUNCTION("""COMPUTED_VALUE"""),"Phạm Yến Nhi")</f>
        <v>Phạm Yến Nhi</v>
      </c>
      <c r="J8954" s="3" t="str">
        <f ca="1">IFERROR(__xludf.DUMMYFUNCTION("""COMPUTED_VALUE"""),"0969696265")</f>
        <v>0969696265</v>
      </c>
      <c r="K8954" s="2" t="str">
        <f ca="1">IFERROR(__xludf.DUMMYFUNCTION("""COMPUTED_VALUE"""),"1754852405520")</f>
        <v>1754852405520</v>
      </c>
    </row>
    <row r="8955" spans="1:11" ht="12.45">
      <c r="A8955" s="2" t="str">
        <f ca="1">IFERROR(__xludf.DUMMYFUNCTION("""COMPUTED_VALUE"""),"1760359046855")</f>
        <v>1760359046855</v>
      </c>
      <c r="C8955" s="2" t="str">
        <v>0</v>
      </c>
      <c r="F8955" s="2" t="str">
        <v>0</v>
      </c>
      <c r="I8955" s="3" t="str">
        <f ca="1">IFERROR(__xludf.DUMMYFUNCTION("""COMPUTED_VALUE"""),"Nông Đức Quý")</f>
        <v>Nông Đức Quý</v>
      </c>
      <c r="J8955" s="3" t="str">
        <f ca="1">IFERROR(__xludf.DUMMYFUNCTION("""COMPUTED_VALUE"""),"0913885308")</f>
        <v>0913885308</v>
      </c>
      <c r="K8955" s="2" t="str">
        <f ca="1">IFERROR(__xludf.DUMMYFUNCTION("""COMPUTED_VALUE"""),"1760359046855")</f>
        <v>1760359046855</v>
      </c>
    </row>
    <row r="8956" spans="1:11" ht="12.45">
      <c r="A8956" s="2" t="str">
        <f ca="1">IFERROR(__xludf.DUMMYFUNCTION("""COMPUTED_VALUE"""),"1760359086128")</f>
        <v>1760359086128</v>
      </c>
      <c r="C8956" s="2" t="str">
        <v>0</v>
      </c>
      <c r="F8956" s="2" t="str">
        <v>0</v>
      </c>
      <c r="I8956" s="3" t="str">
        <f ca="1">IFERROR(__xludf.DUMMYFUNCTION("""COMPUTED_VALUE"""),"Nguyễn Trần Bảo Ngọc")</f>
        <v>Nguyễn Trần Bảo Ngọc</v>
      </c>
      <c r="J8956" s="3" t="str">
        <f ca="1">IFERROR(__xludf.DUMMYFUNCTION("""COMPUTED_VALUE"""),"0943352285")</f>
        <v>0943352285</v>
      </c>
      <c r="K8956" s="2" t="str">
        <f ca="1">IFERROR(__xludf.DUMMYFUNCTION("""COMPUTED_VALUE"""),"1760359086128")</f>
        <v>1760359086128</v>
      </c>
    </row>
    <row r="8957" spans="1:11" ht="12.45">
      <c r="A8957" s="2" t="str">
        <f ca="1">IFERROR(__xludf.DUMMYFUNCTION("""COMPUTED_VALUE"""),"1760359119329")</f>
        <v>1760359119329</v>
      </c>
      <c r="C8957" s="2" t="str">
        <v>0</v>
      </c>
      <c r="F8957" s="2" t="str">
        <v>0</v>
      </c>
      <c r="I8957" s="3" t="str">
        <f ca="1">IFERROR(__xludf.DUMMYFUNCTION("""COMPUTED_VALUE"""),"NÔNG THẾ PHONG")</f>
        <v>NÔNG THẾ PHONG</v>
      </c>
      <c r="J8957" s="3" t="str">
        <f ca="1">IFERROR(__xludf.DUMMYFUNCTION("""COMPUTED_VALUE"""),"0947570915")</f>
        <v>0947570915</v>
      </c>
      <c r="K8957" s="2" t="str">
        <f ca="1">IFERROR(__xludf.DUMMYFUNCTION("""COMPUTED_VALUE"""),"1760359119329")</f>
        <v>1760359119329</v>
      </c>
    </row>
    <row r="8958" spans="1:11" ht="12.45">
      <c r="A8958" s="2" t="str">
        <f ca="1">IFERROR(__xludf.DUMMYFUNCTION("""COMPUTED_VALUE"""),"1760359149522")</f>
        <v>1760359149522</v>
      </c>
      <c r="C8958" s="2" t="str">
        <v>0</v>
      </c>
      <c r="F8958" s="2" t="str">
        <v>0</v>
      </c>
      <c r="I8958" s="3" t="str">
        <f ca="1">IFERROR(__xludf.DUMMYFUNCTION("""COMPUTED_VALUE"""),"Nguyễn Việt Anh ")</f>
        <v xml:space="preserve">Nguyễn Việt Anh </v>
      </c>
      <c r="J8958" s="3" t="str">
        <f ca="1">IFERROR(__xludf.DUMMYFUNCTION("""COMPUTED_VALUE"""),"0352587736")</f>
        <v>0352587736</v>
      </c>
      <c r="K8958" s="2" t="str">
        <f ca="1">IFERROR(__xludf.DUMMYFUNCTION("""COMPUTED_VALUE"""),"1760359149522")</f>
        <v>1760359149522</v>
      </c>
    </row>
    <row r="8959" spans="1:11" ht="12.45">
      <c r="A8959" s="2" t="str">
        <f ca="1">IFERROR(__xludf.DUMMYFUNCTION("""COMPUTED_VALUE"""),"1760359196696")</f>
        <v>1760359196696</v>
      </c>
      <c r="C8959" s="2" t="str">
        <v>0</v>
      </c>
      <c r="F8959" s="2" t="str">
        <v>0</v>
      </c>
      <c r="I8959" s="3" t="str">
        <f ca="1">IFERROR(__xludf.DUMMYFUNCTION("""COMPUTED_VALUE"""),"Lê Trần Quỳnh Ngân")</f>
        <v>Lê Trần Quỳnh Ngân</v>
      </c>
      <c r="J8959" s="3" t="str">
        <f ca="1">IFERROR(__xludf.DUMMYFUNCTION("""COMPUTED_VALUE"""),"0392366948")</f>
        <v>0392366948</v>
      </c>
      <c r="K8959" s="2" t="str">
        <f ca="1">IFERROR(__xludf.DUMMYFUNCTION("""COMPUTED_VALUE"""),"1760359196696")</f>
        <v>1760359196696</v>
      </c>
    </row>
    <row r="8960" spans="1:11" ht="12.45">
      <c r="A8960" s="2" t="str">
        <f ca="1">IFERROR(__xludf.DUMMYFUNCTION("""COMPUTED_VALUE"""),"1760359223166")</f>
        <v>1760359223166</v>
      </c>
      <c r="C8960" s="2" t="str">
        <v>0</v>
      </c>
      <c r="F8960" s="2" t="str">
        <v>0</v>
      </c>
      <c r="I8960" s="3" t="str">
        <f ca="1">IFERROR(__xludf.DUMMYFUNCTION("""COMPUTED_VALUE"""),"Nguyễn Bảo Ngân ")</f>
        <v xml:space="preserve">Nguyễn Bảo Ngân </v>
      </c>
      <c r="J8960" s="3" t="str">
        <f ca="1">IFERROR(__xludf.DUMMYFUNCTION("""COMPUTED_VALUE"""),"0386748158")</f>
        <v>0386748158</v>
      </c>
      <c r="K8960" s="2" t="str">
        <f ca="1">IFERROR(__xludf.DUMMYFUNCTION("""COMPUTED_VALUE"""),"1760359223166")</f>
        <v>1760359223166</v>
      </c>
    </row>
    <row r="8961" spans="1:11" ht="12.45">
      <c r="A8961" s="2" t="str">
        <f ca="1">IFERROR(__xludf.DUMMYFUNCTION("""COMPUTED_VALUE"""),"1760359275349")</f>
        <v>1760359275349</v>
      </c>
      <c r="C8961" s="2" t="str">
        <v>0</v>
      </c>
      <c r="F8961" s="2" t="str">
        <v>0</v>
      </c>
      <c r="I8961" s="3" t="str">
        <f ca="1">IFERROR(__xludf.DUMMYFUNCTION("""COMPUTED_VALUE"""),"Đoàn Tuấn Anh")</f>
        <v>Đoàn Tuấn Anh</v>
      </c>
      <c r="J8961" s="3" t="str">
        <f ca="1">IFERROR(__xludf.DUMMYFUNCTION("""COMPUTED_VALUE"""),"0362881384")</f>
        <v>0362881384</v>
      </c>
      <c r="K8961" s="2" t="str">
        <f ca="1">IFERROR(__xludf.DUMMYFUNCTION("""COMPUTED_VALUE"""),"1760359275349")</f>
        <v>1760359275349</v>
      </c>
    </row>
    <row r="8962" spans="1:11" ht="12.45">
      <c r="A8962" s="2" t="str">
        <f ca="1">IFERROR(__xludf.DUMMYFUNCTION("""COMPUTED_VALUE"""),"1760359310113")</f>
        <v>1760359310113</v>
      </c>
      <c r="C8962" s="2" t="str">
        <v>0</v>
      </c>
      <c r="F8962" s="2" t="str">
        <v>0</v>
      </c>
      <c r="I8962" s="3" t="str">
        <f ca="1">IFERROR(__xludf.DUMMYFUNCTION("""COMPUTED_VALUE"""),"Trần Thanh Thảo Vân")</f>
        <v>Trần Thanh Thảo Vân</v>
      </c>
      <c r="J8962" s="3" t="str">
        <f ca="1">IFERROR(__xludf.DUMMYFUNCTION("""COMPUTED_VALUE"""),"0378630487")</f>
        <v>0378630487</v>
      </c>
      <c r="K8962" s="2" t="str">
        <f ca="1">IFERROR(__xludf.DUMMYFUNCTION("""COMPUTED_VALUE"""),"1760359310113")</f>
        <v>1760359310113</v>
      </c>
    </row>
    <row r="8963" spans="1:11" ht="12.45">
      <c r="A8963" s="2" t="str">
        <f ca="1">IFERROR(__xludf.DUMMYFUNCTION("""COMPUTED_VALUE"""),"1760359341261")</f>
        <v>1760359341261</v>
      </c>
      <c r="C8963" s="2" t="str">
        <v>0</v>
      </c>
      <c r="F8963" s="2" t="str">
        <v>0</v>
      </c>
      <c r="I8963" s="3" t="str">
        <f ca="1">IFERROR(__xludf.DUMMYFUNCTION("""COMPUTED_VALUE"""),"Phạm Nguyễn Khánh Trinh ")</f>
        <v xml:space="preserve">Phạm Nguyễn Khánh Trinh </v>
      </c>
      <c r="J8963" s="3" t="str">
        <f ca="1">IFERROR(__xludf.DUMMYFUNCTION("""COMPUTED_VALUE"""),"0912694110")</f>
        <v>0912694110</v>
      </c>
      <c r="K8963" s="2" t="str">
        <f ca="1">IFERROR(__xludf.DUMMYFUNCTION("""COMPUTED_VALUE"""),"1760359341261")</f>
        <v>1760359341261</v>
      </c>
    </row>
    <row r="8964" spans="1:11" ht="12.45">
      <c r="A8964" s="2" t="str">
        <f ca="1">IFERROR(__xludf.DUMMYFUNCTION("""COMPUTED_VALUE"""),"1756307538552")</f>
        <v>1756307538552</v>
      </c>
      <c r="C8964" s="2" t="str">
        <v>0</v>
      </c>
      <c r="F8964" s="2" t="str">
        <v>0</v>
      </c>
      <c r="I8964" s="3" t="str">
        <f ca="1">IFERROR(__xludf.DUMMYFUNCTION("""COMPUTED_VALUE"""),"Đỗ Thị Loan")</f>
        <v>Đỗ Thị Loan</v>
      </c>
      <c r="J8964" s="3" t="str">
        <f ca="1">IFERROR(__xludf.DUMMYFUNCTION("""COMPUTED_VALUE"""),"0357051662")</f>
        <v>0357051662</v>
      </c>
      <c r="K8964" s="2" t="str">
        <f ca="1">IFERROR(__xludf.DUMMYFUNCTION("""COMPUTED_VALUE"""),"1756307538552")</f>
        <v>1756307538552</v>
      </c>
    </row>
    <row r="8965" spans="1:11" ht="12.45">
      <c r="A8965" s="2" t="str">
        <f ca="1">IFERROR(__xludf.DUMMYFUNCTION("""COMPUTED_VALUE"""),"1756307590621")</f>
        <v>1756307590621</v>
      </c>
      <c r="C8965" s="2" t="str">
        <v>0</v>
      </c>
      <c r="F8965" s="2" t="str">
        <v>0</v>
      </c>
      <c r="I8965" s="3" t="str">
        <f ca="1">IFERROR(__xludf.DUMMYFUNCTION("""COMPUTED_VALUE"""),"Nguyễn Thị Thúy Hiền ")</f>
        <v xml:space="preserve">Nguyễn Thị Thúy Hiền </v>
      </c>
      <c r="J8965" s="3" t="str">
        <f ca="1">IFERROR(__xludf.DUMMYFUNCTION("""COMPUTED_VALUE"""),"0583557655")</f>
        <v>0583557655</v>
      </c>
      <c r="K8965" s="2" t="str">
        <f ca="1">IFERROR(__xludf.DUMMYFUNCTION("""COMPUTED_VALUE"""),"1756307590621")</f>
        <v>1756307590621</v>
      </c>
    </row>
    <row r="8966" spans="1:11" ht="12.45">
      <c r="A8966" s="2" t="str">
        <f ca="1">IFERROR(__xludf.DUMMYFUNCTION("""COMPUTED_VALUE"""),"1756307618552")</f>
        <v>1756307618552</v>
      </c>
      <c r="C8966" s="2" t="str">
        <v>0</v>
      </c>
      <c r="F8966" s="2" t="str">
        <v>0</v>
      </c>
      <c r="I8966" s="3" t="str">
        <f ca="1">IFERROR(__xludf.DUMMYFUNCTION("""COMPUTED_VALUE"""),"Nguyễn Khánh Ly")</f>
        <v>Nguyễn Khánh Ly</v>
      </c>
      <c r="J8966" s="3" t="str">
        <f ca="1">IFERROR(__xludf.DUMMYFUNCTION("""COMPUTED_VALUE"""),"0348131126")</f>
        <v>0348131126</v>
      </c>
      <c r="K8966" s="2" t="str">
        <f ca="1">IFERROR(__xludf.DUMMYFUNCTION("""COMPUTED_VALUE"""),"1756307618552")</f>
        <v>1756307618552</v>
      </c>
    </row>
    <row r="8967" spans="1:11" ht="12.45">
      <c r="A8967" s="2" t="str">
        <f ca="1">IFERROR(__xludf.DUMMYFUNCTION("""COMPUTED_VALUE"""),"1756307665524")</f>
        <v>1756307665524</v>
      </c>
      <c r="C8967" s="2" t="str">
        <v>0</v>
      </c>
      <c r="F8967" s="2" t="str">
        <v>0</v>
      </c>
      <c r="I8967" s="3" t="str">
        <f ca="1">IFERROR(__xludf.DUMMYFUNCTION("""COMPUTED_VALUE"""),"Nguyễn Ngọc Huyền Trân")</f>
        <v>Nguyễn Ngọc Huyền Trân</v>
      </c>
      <c r="J8967" s="3" t="str">
        <f ca="1">IFERROR(__xludf.DUMMYFUNCTION("""COMPUTED_VALUE"""),"0902021695")</f>
        <v>0902021695</v>
      </c>
      <c r="K8967" s="2" t="str">
        <f ca="1">IFERROR(__xludf.DUMMYFUNCTION("""COMPUTED_VALUE"""),"1756307665524")</f>
        <v>1756307665524</v>
      </c>
    </row>
    <row r="8968" spans="1:11" ht="12.45">
      <c r="A8968" s="2" t="str">
        <f ca="1">IFERROR(__xludf.DUMMYFUNCTION("""COMPUTED_VALUE"""),"1756307703559")</f>
        <v>1756307703559</v>
      </c>
      <c r="C8968" s="2" t="str">
        <v>0</v>
      </c>
      <c r="F8968" s="2" t="str">
        <v>0</v>
      </c>
      <c r="I8968" s="3" t="str">
        <f ca="1">IFERROR(__xludf.DUMMYFUNCTION("""COMPUTED_VALUE"""),"Võ Thị Tuyết Ngân ")</f>
        <v xml:space="preserve">Võ Thị Tuyết Ngân </v>
      </c>
      <c r="J8968" s="3" t="str">
        <f ca="1">IFERROR(__xludf.DUMMYFUNCTION("""COMPUTED_VALUE"""),"0328834798")</f>
        <v>0328834798</v>
      </c>
      <c r="K8968" s="2" t="str">
        <f ca="1">IFERROR(__xludf.DUMMYFUNCTION("""COMPUTED_VALUE"""),"1756307703559")</f>
        <v>1756307703559</v>
      </c>
    </row>
    <row r="8969" spans="1:11" ht="12.45">
      <c r="A8969" s="2" t="str">
        <f ca="1">IFERROR(__xludf.DUMMYFUNCTION("""COMPUTED_VALUE"""),"1756307725782")</f>
        <v>1756307725782</v>
      </c>
      <c r="C8969" s="2" t="str">
        <v>0</v>
      </c>
      <c r="F8969" s="2" t="str">
        <v>0</v>
      </c>
      <c r="I8969" s="3" t="str">
        <f ca="1">IFERROR(__xludf.DUMMYFUNCTION("""COMPUTED_VALUE"""),"Phạm Phương Thuý")</f>
        <v>Phạm Phương Thuý</v>
      </c>
      <c r="J8969" s="3" t="str">
        <f ca="1">IFERROR(__xludf.DUMMYFUNCTION("""COMPUTED_VALUE"""),"0877833336")</f>
        <v>0877833336</v>
      </c>
      <c r="K8969" s="2" t="str">
        <f ca="1">IFERROR(__xludf.DUMMYFUNCTION("""COMPUTED_VALUE"""),"1756307725782")</f>
        <v>1756307725782</v>
      </c>
    </row>
    <row r="8970" spans="1:11" ht="12.45">
      <c r="A8970" s="2" t="str">
        <f ca="1">IFERROR(__xludf.DUMMYFUNCTION("""COMPUTED_VALUE"""),"1756308490537")</f>
        <v>1756308490537</v>
      </c>
      <c r="C8970" s="2" t="str">
        <v>0</v>
      </c>
      <c r="F8970" s="2" t="str">
        <v>0</v>
      </c>
      <c r="I8970" s="3" t="str">
        <f ca="1">IFERROR(__xludf.DUMMYFUNCTION("""COMPUTED_VALUE"""),"Phạm Huỳnh Tú Quyên")</f>
        <v>Phạm Huỳnh Tú Quyên</v>
      </c>
      <c r="J8970" s="3" t="str">
        <f ca="1">IFERROR(__xludf.DUMMYFUNCTION("""COMPUTED_VALUE"""),"0817200607")</f>
        <v>0817200607</v>
      </c>
      <c r="K8970" s="2" t="str">
        <f ca="1">IFERROR(__xludf.DUMMYFUNCTION("""COMPUTED_VALUE"""),"1756308490537")</f>
        <v>1756308490537</v>
      </c>
    </row>
    <row r="8971" spans="1:11" ht="12.45">
      <c r="A8971" s="2" t="str">
        <f ca="1">IFERROR(__xludf.DUMMYFUNCTION("""COMPUTED_VALUE"""),"1756307779137")</f>
        <v>1756307779137</v>
      </c>
      <c r="C8971" s="2" t="str">
        <v>0</v>
      </c>
      <c r="F8971" s="2" t="str">
        <v>0</v>
      </c>
      <c r="I8971" s="3" t="str">
        <f ca="1">IFERROR(__xludf.DUMMYFUNCTION("""COMPUTED_VALUE"""),"Nguyễn Hải Dương")</f>
        <v>Nguyễn Hải Dương</v>
      </c>
      <c r="J8971" s="3" t="str">
        <f ca="1">IFERROR(__xludf.DUMMYFUNCTION("""COMPUTED_VALUE"""),"0382422187")</f>
        <v>0382422187</v>
      </c>
      <c r="K8971" s="2" t="str">
        <f ca="1">IFERROR(__xludf.DUMMYFUNCTION("""COMPUTED_VALUE"""),"1756307779137")</f>
        <v>1756307779137</v>
      </c>
    </row>
    <row r="8972" spans="1:11" ht="12.45">
      <c r="A8972" s="2" t="str">
        <f ca="1">IFERROR(__xludf.DUMMYFUNCTION("""COMPUTED_VALUE"""),"1756307810357")</f>
        <v>1756307810357</v>
      </c>
      <c r="C8972" s="2" t="str">
        <v>0</v>
      </c>
      <c r="F8972" s="2" t="str">
        <v>0</v>
      </c>
      <c r="I8972" s="3" t="str">
        <f ca="1">IFERROR(__xludf.DUMMYFUNCTION("""COMPUTED_VALUE"""),"Nguyễn văn an")</f>
        <v>Nguyễn văn an</v>
      </c>
      <c r="J8972" s="3" t="str">
        <f ca="1">IFERROR(__xludf.DUMMYFUNCTION("""COMPUTED_VALUE"""),"0344079290")</f>
        <v>0344079290</v>
      </c>
      <c r="K8972" s="2" t="str">
        <f ca="1">IFERROR(__xludf.DUMMYFUNCTION("""COMPUTED_VALUE"""),"1756307810357")</f>
        <v>1756307810357</v>
      </c>
    </row>
    <row r="8973" spans="1:11" ht="12.45">
      <c r="A8973" s="2" t="str">
        <f ca="1">IFERROR(__xludf.DUMMYFUNCTION("""COMPUTED_VALUE"""),"1756307830400")</f>
        <v>1756307830400</v>
      </c>
      <c r="C8973" s="2" t="str">
        <v>0</v>
      </c>
      <c r="F8973" s="2" t="str">
        <v>0</v>
      </c>
      <c r="I8973" s="3" t="str">
        <f ca="1">IFERROR(__xludf.DUMMYFUNCTION("""COMPUTED_VALUE"""),"Nguyễn Thị Ngọc Yến ")</f>
        <v xml:space="preserve">Nguyễn Thị Ngọc Yến </v>
      </c>
      <c r="J8973" s="3" t="str">
        <f ca="1">IFERROR(__xludf.DUMMYFUNCTION("""COMPUTED_VALUE"""),"0865785007")</f>
        <v>0865785007</v>
      </c>
      <c r="K8973" s="2" t="str">
        <f ca="1">IFERROR(__xludf.DUMMYFUNCTION("""COMPUTED_VALUE"""),"1756307830400")</f>
        <v>1756307830400</v>
      </c>
    </row>
    <row r="8974" spans="1:11" ht="12.45">
      <c r="A8974" s="2" t="str">
        <f ca="1">IFERROR(__xludf.DUMMYFUNCTION("""COMPUTED_VALUE"""),"1756307888596")</f>
        <v>1756307888596</v>
      </c>
      <c r="C8974" s="2" t="str">
        <v>0</v>
      </c>
      <c r="F8974" s="2" t="str">
        <v>0</v>
      </c>
      <c r="I8974" s="3" t="str">
        <f ca="1">IFERROR(__xludf.DUMMYFUNCTION("""COMPUTED_VALUE"""),"Đặng Thế Nhật Hào ")</f>
        <v xml:space="preserve">Đặng Thế Nhật Hào </v>
      </c>
      <c r="J8974" s="3" t="str">
        <f ca="1">IFERROR(__xludf.DUMMYFUNCTION("""COMPUTED_VALUE"""),"0834275500")</f>
        <v>0834275500</v>
      </c>
      <c r="K8974" s="2" t="str">
        <f ca="1">IFERROR(__xludf.DUMMYFUNCTION("""COMPUTED_VALUE"""),"1756307888596")</f>
        <v>1756307888596</v>
      </c>
    </row>
    <row r="8975" spans="1:11" ht="12.45">
      <c r="A8975" s="2" t="str">
        <f ca="1">IFERROR(__xludf.DUMMYFUNCTION("""COMPUTED_VALUE"""),"1756307931519")</f>
        <v>1756307931519</v>
      </c>
      <c r="C8975" s="2" t="str">
        <v>0</v>
      </c>
      <c r="F8975" s="2" t="str">
        <v>0</v>
      </c>
      <c r="I8975" s="3" t="str">
        <f ca="1">IFERROR(__xludf.DUMMYFUNCTION("""COMPUTED_VALUE"""),"Nguyễn Thị Thu Uyên")</f>
        <v>Nguyễn Thị Thu Uyên</v>
      </c>
      <c r="J8975" s="3" t="str">
        <f ca="1">IFERROR(__xludf.DUMMYFUNCTION("""COMPUTED_VALUE"""),"0336734551")</f>
        <v>0336734551</v>
      </c>
      <c r="K8975" s="2" t="str">
        <f ca="1">IFERROR(__xludf.DUMMYFUNCTION("""COMPUTED_VALUE"""),"1756307931519")</f>
        <v>1756307931519</v>
      </c>
    </row>
    <row r="8976" spans="1:11" ht="12.45">
      <c r="A8976" s="2" t="str">
        <f ca="1">IFERROR(__xludf.DUMMYFUNCTION("""COMPUTED_VALUE"""),"1756307962611")</f>
        <v>1756307962611</v>
      </c>
      <c r="C8976" s="2" t="str">
        <v>0</v>
      </c>
      <c r="F8976" s="2" t="str">
        <v>0</v>
      </c>
      <c r="I8976" s="3" t="str">
        <f ca="1">IFERROR(__xludf.DUMMYFUNCTION("""COMPUTED_VALUE"""),"Đỗ Phạm Uyên Nhi")</f>
        <v>Đỗ Phạm Uyên Nhi</v>
      </c>
      <c r="J8976" s="3" t="str">
        <f ca="1">IFERROR(__xludf.DUMMYFUNCTION("""COMPUTED_VALUE"""),"0358710771")</f>
        <v>0358710771</v>
      </c>
      <c r="K8976" s="2" t="str">
        <f ca="1">IFERROR(__xludf.DUMMYFUNCTION("""COMPUTED_VALUE"""),"1756307962611")</f>
        <v>1756307962611</v>
      </c>
    </row>
    <row r="8977" spans="1:11" ht="12.45">
      <c r="A8977" s="2" t="str">
        <f ca="1">IFERROR(__xludf.DUMMYFUNCTION("""COMPUTED_VALUE"""),"1756307987057")</f>
        <v>1756307987057</v>
      </c>
      <c r="C8977" s="2" t="str">
        <v>0</v>
      </c>
      <c r="F8977" s="2" t="str">
        <v>0</v>
      </c>
      <c r="I8977" s="3" t="str">
        <f ca="1">IFERROR(__xludf.DUMMYFUNCTION("""COMPUTED_VALUE"""),"Đặng Khánh Linh")</f>
        <v>Đặng Khánh Linh</v>
      </c>
      <c r="J8977" s="3" t="str">
        <f ca="1">IFERROR(__xludf.DUMMYFUNCTION("""COMPUTED_VALUE"""),"0819866615")</f>
        <v>0819866615</v>
      </c>
      <c r="K8977" s="2" t="str">
        <f ca="1">IFERROR(__xludf.DUMMYFUNCTION("""COMPUTED_VALUE"""),"1756307987057")</f>
        <v>1756307987057</v>
      </c>
    </row>
    <row r="8978" spans="1:11" ht="12.45">
      <c r="A8978" s="2" t="str">
        <f ca="1">IFERROR(__xludf.DUMMYFUNCTION("""COMPUTED_VALUE"""),"1756308013278")</f>
        <v>1756308013278</v>
      </c>
      <c r="C8978" s="2" t="str">
        <v>0</v>
      </c>
      <c r="F8978" s="2" t="str">
        <v>0</v>
      </c>
      <c r="I8978" s="3" t="str">
        <f ca="1">IFERROR(__xludf.DUMMYFUNCTION("""COMPUTED_VALUE"""),"Ngô Kim Oanh")</f>
        <v>Ngô Kim Oanh</v>
      </c>
      <c r="J8978" s="3" t="str">
        <f ca="1">IFERROR(__xludf.DUMMYFUNCTION("""COMPUTED_VALUE"""),"0918203018")</f>
        <v>0918203018</v>
      </c>
      <c r="K8978" s="2" t="str">
        <f ca="1">IFERROR(__xludf.DUMMYFUNCTION("""COMPUTED_VALUE"""),"1756308013278")</f>
        <v>1756308013278</v>
      </c>
    </row>
    <row r="8979" spans="1:11" ht="12.45">
      <c r="A8979" s="2" t="str">
        <f ca="1">IFERROR(__xludf.DUMMYFUNCTION("""COMPUTED_VALUE"""),"1756308041642")</f>
        <v>1756308041642</v>
      </c>
      <c r="C8979" s="2" t="str">
        <v>0</v>
      </c>
      <c r="F8979" s="2" t="str">
        <v>0</v>
      </c>
      <c r="I8979" s="3" t="str">
        <f ca="1">IFERROR(__xludf.DUMMYFUNCTION("""COMPUTED_VALUE"""),"Ngô Minh Khuê")</f>
        <v>Ngô Minh Khuê</v>
      </c>
      <c r="J8979" s="3" t="str">
        <f ca="1">IFERROR(__xludf.DUMMYFUNCTION("""COMPUTED_VALUE"""),"0794688295")</f>
        <v>0794688295</v>
      </c>
      <c r="K8979" s="2" t="str">
        <f ca="1">IFERROR(__xludf.DUMMYFUNCTION("""COMPUTED_VALUE"""),"1756308041642")</f>
        <v>1756308041642</v>
      </c>
    </row>
    <row r="8980" spans="1:11" ht="12.45">
      <c r="A8980" s="2" t="str">
        <f ca="1">IFERROR(__xludf.DUMMYFUNCTION("""COMPUTED_VALUE"""),"1758447374956")</f>
        <v>1758447374956</v>
      </c>
      <c r="C8980" s="2" t="str">
        <v>0</v>
      </c>
      <c r="F8980" s="2" t="str">
        <v>0</v>
      </c>
      <c r="I8980" s="3" t="str">
        <f ca="1">IFERROR(__xludf.DUMMYFUNCTION("""COMPUTED_VALUE"""),"Nguyễn Thị Quỳnh Như ")</f>
        <v xml:space="preserve">Nguyễn Thị Quỳnh Như </v>
      </c>
      <c r="J8980" s="3" t="str">
        <f ca="1">IFERROR(__xludf.DUMMYFUNCTION("""COMPUTED_VALUE"""),"0975561824")</f>
        <v>0975561824</v>
      </c>
      <c r="K8980" s="2" t="str">
        <f ca="1">IFERROR(__xludf.DUMMYFUNCTION("""COMPUTED_VALUE"""),"1758447374956")</f>
        <v>1758447374956</v>
      </c>
    </row>
    <row r="8981" spans="1:11" ht="12.45">
      <c r="A8981" s="2" t="str">
        <f ca="1">IFERROR(__xludf.DUMMYFUNCTION("""COMPUTED_VALUE"""),"1756308089849")</f>
        <v>1756308089849</v>
      </c>
      <c r="C8981" s="2" t="str">
        <v>0</v>
      </c>
      <c r="F8981" s="2" t="str">
        <v>0</v>
      </c>
      <c r="I8981" s="3" t="str">
        <f ca="1">IFERROR(__xludf.DUMMYFUNCTION("""COMPUTED_VALUE"""),"Bùi Thanh Hảo")</f>
        <v>Bùi Thanh Hảo</v>
      </c>
      <c r="J8981" s="3" t="str">
        <f ca="1">IFERROR(__xludf.DUMMYFUNCTION("""COMPUTED_VALUE"""),"0888001817")</f>
        <v>0888001817</v>
      </c>
      <c r="K8981" s="2" t="str">
        <f ca="1">IFERROR(__xludf.DUMMYFUNCTION("""COMPUTED_VALUE"""),"1756308089849")</f>
        <v>1756308089849</v>
      </c>
    </row>
    <row r="8982" spans="1:11" ht="12.45">
      <c r="A8982" s="2" t="str">
        <f ca="1">IFERROR(__xludf.DUMMYFUNCTION("""COMPUTED_VALUE"""),"1756308115778")</f>
        <v>1756308115778</v>
      </c>
      <c r="C8982" s="2" t="str">
        <v>0</v>
      </c>
      <c r="F8982" s="2" t="str">
        <v>0</v>
      </c>
      <c r="I8982" s="3" t="str">
        <f ca="1">IFERROR(__xludf.DUMMYFUNCTION("""COMPUTED_VALUE"""),"Nguyễn Đức Duy")</f>
        <v>Nguyễn Đức Duy</v>
      </c>
      <c r="J8982" s="3" t="str">
        <f ca="1">IFERROR(__xludf.DUMMYFUNCTION("""COMPUTED_VALUE"""),"0343739958")</f>
        <v>0343739958</v>
      </c>
      <c r="K8982" s="2" t="str">
        <f ca="1">IFERROR(__xludf.DUMMYFUNCTION("""COMPUTED_VALUE"""),"1756308115778")</f>
        <v>1756308115778</v>
      </c>
    </row>
    <row r="8983" spans="1:11" ht="12.45">
      <c r="A8983" s="2" t="str">
        <f ca="1">IFERROR(__xludf.DUMMYFUNCTION("""COMPUTED_VALUE"""),"1756308143348")</f>
        <v>1756308143348</v>
      </c>
      <c r="C8983" s="2" t="str">
        <v>0</v>
      </c>
      <c r="F8983" s="2" t="str">
        <v>0</v>
      </c>
      <c r="I8983" s="3" t="str">
        <f ca="1">IFERROR(__xludf.DUMMYFUNCTION("""COMPUTED_VALUE"""),"Hoàng Minh Thuý")</f>
        <v>Hoàng Minh Thuý</v>
      </c>
      <c r="J8983" s="3" t="str">
        <f ca="1">IFERROR(__xludf.DUMMYFUNCTION("""COMPUTED_VALUE"""),"0336719563")</f>
        <v>0336719563</v>
      </c>
      <c r="K8983" s="2" t="str">
        <f ca="1">IFERROR(__xludf.DUMMYFUNCTION("""COMPUTED_VALUE"""),"1756308143348")</f>
        <v>1756308143348</v>
      </c>
    </row>
    <row r="8984" spans="1:11" ht="12.45">
      <c r="A8984" s="2" t="str">
        <f ca="1">IFERROR(__xludf.DUMMYFUNCTION("""COMPUTED_VALUE"""),"1756308169691")</f>
        <v>1756308169691</v>
      </c>
      <c r="C8984" s="2" t="str">
        <v>0</v>
      </c>
      <c r="F8984" s="2" t="str">
        <v>0</v>
      </c>
      <c r="I8984" s="3" t="str">
        <f ca="1">IFERROR(__xludf.DUMMYFUNCTION("""COMPUTED_VALUE"""),"Kiều Trí Lực")</f>
        <v>Kiều Trí Lực</v>
      </c>
      <c r="J8984" s="3" t="str">
        <f ca="1">IFERROR(__xludf.DUMMYFUNCTION("""COMPUTED_VALUE"""),"0973512007")</f>
        <v>0973512007</v>
      </c>
      <c r="K8984" s="2" t="str">
        <f ca="1">IFERROR(__xludf.DUMMYFUNCTION("""COMPUTED_VALUE"""),"1756308169691")</f>
        <v>1756308169691</v>
      </c>
    </row>
    <row r="8985" spans="1:11" ht="12.45">
      <c r="A8985" s="2" t="str">
        <f ca="1">IFERROR(__xludf.DUMMYFUNCTION("""COMPUTED_VALUE"""),"1756308200899")</f>
        <v>1756308200899</v>
      </c>
      <c r="C8985" s="2" t="str">
        <v>0</v>
      </c>
      <c r="F8985" s="2" t="str">
        <v>0</v>
      </c>
      <c r="I8985" s="3" t="str">
        <f ca="1">IFERROR(__xludf.DUMMYFUNCTION("""COMPUTED_VALUE"""),"NGUYỄN THỊ NGỌC MỸ")</f>
        <v>NGUYỄN THỊ NGỌC MỸ</v>
      </c>
      <c r="J8985" s="3" t="str">
        <f ca="1">IFERROR(__xludf.DUMMYFUNCTION("""COMPUTED_VALUE"""),"0774021179")</f>
        <v>0774021179</v>
      </c>
      <c r="K8985" s="2" t="str">
        <f ca="1">IFERROR(__xludf.DUMMYFUNCTION("""COMPUTED_VALUE"""),"1756308200899")</f>
        <v>1756308200899</v>
      </c>
    </row>
    <row r="8986" spans="1:11" ht="12.45">
      <c r="A8986" s="2" t="str">
        <f ca="1">IFERROR(__xludf.DUMMYFUNCTION("""COMPUTED_VALUE"""),"1756308228908")</f>
        <v>1756308228908</v>
      </c>
      <c r="C8986" s="2" t="str">
        <v>0</v>
      </c>
      <c r="F8986" s="2" t="str">
        <v>0</v>
      </c>
      <c r="I8986" s="3" t="str">
        <f ca="1">IFERROR(__xludf.DUMMYFUNCTION("""COMPUTED_VALUE"""),"Trần Ngọc Bảo Châu")</f>
        <v>Trần Ngọc Bảo Châu</v>
      </c>
      <c r="J8986" s="3" t="str">
        <f ca="1">IFERROR(__xludf.DUMMYFUNCTION("""COMPUTED_VALUE"""),"0911649511")</f>
        <v>0911649511</v>
      </c>
      <c r="K8986" s="2" t="str">
        <f ca="1">IFERROR(__xludf.DUMMYFUNCTION("""COMPUTED_VALUE"""),"1756308228908")</f>
        <v>1756308228908</v>
      </c>
    </row>
    <row r="8987" spans="1:11" ht="12.45">
      <c r="A8987" s="2">
        <f ca="1">IFERROR(__xludf.DUMMYFUNCTION("""COMPUTED_VALUE"""),1750737010520)</f>
        <v>1750737010520</v>
      </c>
      <c r="C8987" s="2" t="str">
        <v>0</v>
      </c>
      <c r="F8987" s="2" t="str">
        <v>0</v>
      </c>
      <c r="I8987" s="3" t="str">
        <f ca="1">IFERROR(__xludf.DUMMYFUNCTION("""COMPUTED_VALUE"""),"Vũ Quang Huy")</f>
        <v>Vũ Quang Huy</v>
      </c>
      <c r="J8987" s="3" t="str">
        <f ca="1">IFERROR(__xludf.DUMMYFUNCTION("""COMPUTED_VALUE"""),"0968973284")</f>
        <v>0968973284</v>
      </c>
      <c r="K8987" s="2">
        <f ca="1">IFERROR(__xludf.DUMMYFUNCTION("""COMPUTED_VALUE"""),1750737010520)</f>
        <v>1750737010520</v>
      </c>
    </row>
    <row r="8988" spans="1:11" ht="12.45">
      <c r="A8988" s="2" t="str">
        <f ca="1">IFERROR(__xludf.DUMMYFUNCTION("""COMPUTED_VALUE"""),"1756308259882")</f>
        <v>1756308259882</v>
      </c>
      <c r="C8988" s="2" t="str">
        <v>0</v>
      </c>
      <c r="F8988" s="2" t="str">
        <v>0</v>
      </c>
      <c r="I8988" s="3" t="str">
        <f ca="1">IFERROR(__xludf.DUMMYFUNCTION("""COMPUTED_VALUE"""),"Phùng Ngọc Khánh Linh")</f>
        <v>Phùng Ngọc Khánh Linh</v>
      </c>
      <c r="J8988" s="3" t="str">
        <f ca="1">IFERROR(__xludf.DUMMYFUNCTION("""COMPUTED_VALUE"""),"0974864952")</f>
        <v>0974864952</v>
      </c>
      <c r="K8988" s="2" t="str">
        <f ca="1">IFERROR(__xludf.DUMMYFUNCTION("""COMPUTED_VALUE"""),"1756308259882")</f>
        <v>1756308259882</v>
      </c>
    </row>
    <row r="8989" spans="1:11" ht="12.45">
      <c r="A8989" s="2" t="str">
        <f ca="1">IFERROR(__xludf.DUMMYFUNCTION("""COMPUTED_VALUE"""),"1756308297683")</f>
        <v>1756308297683</v>
      </c>
      <c r="C8989" s="2" t="str">
        <v>0</v>
      </c>
      <c r="F8989" s="2" t="str">
        <v>0</v>
      </c>
      <c r="I8989" s="3" t="str">
        <f ca="1">IFERROR(__xludf.DUMMYFUNCTION("""COMPUTED_VALUE"""),"Trịnh Thủy Tiên ")</f>
        <v xml:space="preserve">Trịnh Thủy Tiên </v>
      </c>
      <c r="J8989" s="3" t="str">
        <f ca="1">IFERROR(__xludf.DUMMYFUNCTION("""COMPUTED_VALUE"""),"0908419173")</f>
        <v>0908419173</v>
      </c>
      <c r="K8989" s="2" t="str">
        <f ca="1">IFERROR(__xludf.DUMMYFUNCTION("""COMPUTED_VALUE"""),"1756308297683")</f>
        <v>1756308297683</v>
      </c>
    </row>
    <row r="8990" spans="1:11" ht="12.45">
      <c r="A8990" s="2" t="str">
        <f ca="1">IFERROR(__xludf.DUMMYFUNCTION("""COMPUTED_VALUE"""),"1756308333939")</f>
        <v>1756308333939</v>
      </c>
      <c r="C8990" s="2" t="str">
        <v>0</v>
      </c>
      <c r="F8990" s="2" t="str">
        <v>0</v>
      </c>
      <c r="I8990" s="3" t="str">
        <f ca="1">IFERROR(__xludf.DUMMYFUNCTION("""COMPUTED_VALUE"""),"Lê hồng phương trinh")</f>
        <v>Lê hồng phương trinh</v>
      </c>
      <c r="J8990" s="3" t="str">
        <f ca="1">IFERROR(__xludf.DUMMYFUNCTION("""COMPUTED_VALUE"""),"0343465255")</f>
        <v>0343465255</v>
      </c>
      <c r="K8990" s="2" t="str">
        <f ca="1">IFERROR(__xludf.DUMMYFUNCTION("""COMPUTED_VALUE"""),"1756308333939")</f>
        <v>1756308333939</v>
      </c>
    </row>
    <row r="8991" spans="1:11" ht="12.45">
      <c r="A8991" s="2" t="str">
        <f ca="1">IFERROR(__xludf.DUMMYFUNCTION("""COMPUTED_VALUE"""),"1756308369644")</f>
        <v>1756308369644</v>
      </c>
      <c r="C8991" s="2" t="str">
        <v>0</v>
      </c>
      <c r="F8991" s="2" t="str">
        <v>0</v>
      </c>
      <c r="I8991" s="3" t="str">
        <f ca="1">IFERROR(__xludf.DUMMYFUNCTION("""COMPUTED_VALUE"""),"Lại Nguyễn Khánh Ngọc")</f>
        <v>Lại Nguyễn Khánh Ngọc</v>
      </c>
      <c r="J8991" s="3" t="str">
        <f ca="1">IFERROR(__xludf.DUMMYFUNCTION("""COMPUTED_VALUE"""),"0798240107")</f>
        <v>0798240107</v>
      </c>
      <c r="K8991" s="2" t="str">
        <f ca="1">IFERROR(__xludf.DUMMYFUNCTION("""COMPUTED_VALUE"""),"1756308369644")</f>
        <v>1756308369644</v>
      </c>
    </row>
    <row r="8992" spans="1:11" ht="12.45">
      <c r="A8992" s="2" t="str">
        <f ca="1">IFERROR(__xludf.DUMMYFUNCTION("""COMPUTED_VALUE"""),"1756308396512")</f>
        <v>1756308396512</v>
      </c>
      <c r="C8992" s="2" t="str">
        <v>0</v>
      </c>
      <c r="F8992" s="2" t="str">
        <v>0</v>
      </c>
      <c r="I8992" s="3" t="str">
        <f ca="1">IFERROR(__xludf.DUMMYFUNCTION("""COMPUTED_VALUE"""),"Nguyễn Hoàng Bảo")</f>
        <v>Nguyễn Hoàng Bảo</v>
      </c>
      <c r="J8992" s="3" t="str">
        <f ca="1">IFERROR(__xludf.DUMMYFUNCTION("""COMPUTED_VALUE"""),"0842317116")</f>
        <v>0842317116</v>
      </c>
      <c r="K8992" s="2" t="str">
        <f ca="1">IFERROR(__xludf.DUMMYFUNCTION("""COMPUTED_VALUE"""),"1756308396512")</f>
        <v>1756308396512</v>
      </c>
    </row>
    <row r="8993" spans="1:11" ht="12.45">
      <c r="A8993" s="2" t="str">
        <f ca="1">IFERROR(__xludf.DUMMYFUNCTION("""COMPUTED_VALUE"""),"1756308427381")</f>
        <v>1756308427381</v>
      </c>
      <c r="C8993" s="2" t="str">
        <v>0</v>
      </c>
      <c r="F8993" s="2" t="str">
        <v>0</v>
      </c>
      <c r="I8993" s="3" t="str">
        <f ca="1">IFERROR(__xludf.DUMMYFUNCTION("""COMPUTED_VALUE"""),"Quàng Thị Thu Huệ")</f>
        <v>Quàng Thị Thu Huệ</v>
      </c>
      <c r="J8993" s="3" t="str">
        <f ca="1">IFERROR(__xludf.DUMMYFUNCTION("""COMPUTED_VALUE"""),"0835534366")</f>
        <v>0835534366</v>
      </c>
      <c r="K8993" s="2" t="str">
        <f ca="1">IFERROR(__xludf.DUMMYFUNCTION("""COMPUTED_VALUE"""),"1756308427381")</f>
        <v>1756308427381</v>
      </c>
    </row>
    <row r="8994" spans="1:11" ht="12.45">
      <c r="A8994" s="2" t="str">
        <f ca="1">IFERROR(__xludf.DUMMYFUNCTION("""COMPUTED_VALUE"""),"1756308463057")</f>
        <v>1756308463057</v>
      </c>
      <c r="C8994" s="2" t="str">
        <v>0</v>
      </c>
      <c r="F8994" s="2" t="str">
        <v>0</v>
      </c>
      <c r="I8994" s="3" t="str">
        <f ca="1">IFERROR(__xludf.DUMMYFUNCTION("""COMPUTED_VALUE"""),"Tô Lê Như Bình")</f>
        <v>Tô Lê Như Bình</v>
      </c>
      <c r="J8994" s="3" t="str">
        <f ca="1">IFERROR(__xludf.DUMMYFUNCTION("""COMPUTED_VALUE"""),"0367784538")</f>
        <v>0367784538</v>
      </c>
      <c r="K8994" s="2" t="str">
        <f ca="1">IFERROR(__xludf.DUMMYFUNCTION("""COMPUTED_VALUE"""),"1756308463057")</f>
        <v>1756308463057</v>
      </c>
    </row>
    <row r="8995" spans="1:11" ht="12.45">
      <c r="A8995" s="2" t="str">
        <f ca="1">IFERROR(__xludf.DUMMYFUNCTION("""COMPUTED_VALUE"""),"1756308490537")</f>
        <v>1756308490537</v>
      </c>
      <c r="C8995" s="2" t="str">
        <v>0</v>
      </c>
      <c r="F8995" s="2" t="str">
        <v>0</v>
      </c>
      <c r="I8995" s="3" t="str">
        <f ca="1">IFERROR(__xludf.DUMMYFUNCTION("""COMPUTED_VALUE"""),"Thái Thảo Vy")</f>
        <v>Thái Thảo Vy</v>
      </c>
      <c r="J8995" s="3" t="str">
        <f ca="1">IFERROR(__xludf.DUMMYFUNCTION("""COMPUTED_VALUE"""),"0917778623")</f>
        <v>0917778623</v>
      </c>
      <c r="K8995" s="2" t="str">
        <f ca="1">IFERROR(__xludf.DUMMYFUNCTION("""COMPUTED_VALUE"""),"1756308490537")</f>
        <v>1756308490537</v>
      </c>
    </row>
    <row r="8996" spans="1:11" ht="12.45">
      <c r="A8996" s="2" t="str">
        <f ca="1">IFERROR(__xludf.DUMMYFUNCTION("""COMPUTED_VALUE"""),"1756308518709")</f>
        <v>1756308518709</v>
      </c>
      <c r="C8996" s="2" t="str">
        <v>0</v>
      </c>
      <c r="F8996" s="2" t="str">
        <v>0</v>
      </c>
      <c r="I8996" s="3" t="str">
        <f ca="1">IFERROR(__xludf.DUMMYFUNCTION("""COMPUTED_VALUE"""),"Nguyễn Cẩm Tú")</f>
        <v>Nguyễn Cẩm Tú</v>
      </c>
      <c r="J8996" s="3" t="str">
        <f ca="1">IFERROR(__xludf.DUMMYFUNCTION("""COMPUTED_VALUE"""),"0987689037")</f>
        <v>0987689037</v>
      </c>
      <c r="K8996" s="2" t="str">
        <f ca="1">IFERROR(__xludf.DUMMYFUNCTION("""COMPUTED_VALUE"""),"1756308518709")</f>
        <v>1756308518709</v>
      </c>
    </row>
    <row r="8997" spans="1:11" ht="12.45">
      <c r="A8997" s="2" t="str">
        <f ca="1">IFERROR(__xludf.DUMMYFUNCTION("""COMPUTED_VALUE"""),"1756308563032")</f>
        <v>1756308563032</v>
      </c>
      <c r="C8997" s="2" t="str">
        <v>0</v>
      </c>
      <c r="F8997" s="2" t="str">
        <v>0</v>
      </c>
      <c r="I8997" s="3" t="str">
        <f ca="1">IFERROR(__xludf.DUMMYFUNCTION("""COMPUTED_VALUE"""),"Hồ Quỳnh Anh")</f>
        <v>Hồ Quỳnh Anh</v>
      </c>
      <c r="J8997" s="3" t="str">
        <f ca="1">IFERROR(__xludf.DUMMYFUNCTION("""COMPUTED_VALUE"""),"0794570420")</f>
        <v>0794570420</v>
      </c>
      <c r="K8997" s="2" t="str">
        <f ca="1">IFERROR(__xludf.DUMMYFUNCTION("""COMPUTED_VALUE"""),"1756308563032")</f>
        <v>1756308563032</v>
      </c>
    </row>
    <row r="8998" spans="1:11" ht="12.45">
      <c r="A8998" s="2" t="str">
        <f ca="1">IFERROR(__xludf.DUMMYFUNCTION("""COMPUTED_VALUE"""),"1756308591762")</f>
        <v>1756308591762</v>
      </c>
      <c r="C8998" s="2" t="str">
        <v>0</v>
      </c>
      <c r="F8998" s="2" t="str">
        <v>0</v>
      </c>
      <c r="I8998" s="3" t="str">
        <f ca="1">IFERROR(__xludf.DUMMYFUNCTION("""COMPUTED_VALUE"""),"Hoàng Thị Mỹ Duyên ")</f>
        <v xml:space="preserve">Hoàng Thị Mỹ Duyên </v>
      </c>
      <c r="J8998" s="3" t="str">
        <f ca="1">IFERROR(__xludf.DUMMYFUNCTION("""COMPUTED_VALUE"""),"0386849517")</f>
        <v>0386849517</v>
      </c>
      <c r="K8998" s="2" t="str">
        <f ca="1">IFERROR(__xludf.DUMMYFUNCTION("""COMPUTED_VALUE"""),"1756308591762")</f>
        <v>1756308591762</v>
      </c>
    </row>
    <row r="8999" spans="1:11" ht="12.45">
      <c r="A8999" s="2" t="str">
        <f ca="1">IFERROR(__xludf.DUMMYFUNCTION("""COMPUTED_VALUE"""),"1756308623266")</f>
        <v>1756308623266</v>
      </c>
      <c r="C8999" s="2" t="str">
        <v>0</v>
      </c>
      <c r="F8999" s="2" t="str">
        <v>0</v>
      </c>
      <c r="I8999" s="3" t="str">
        <f ca="1">IFERROR(__xludf.DUMMYFUNCTION("""COMPUTED_VALUE"""),"Dương Thu Phương ")</f>
        <v xml:space="preserve">Dương Thu Phương </v>
      </c>
      <c r="J8999" s="3" t="str">
        <f ca="1">IFERROR(__xludf.DUMMYFUNCTION("""COMPUTED_VALUE"""),"0825919996")</f>
        <v>0825919996</v>
      </c>
      <c r="K8999" s="2" t="str">
        <f ca="1">IFERROR(__xludf.DUMMYFUNCTION("""COMPUTED_VALUE"""),"1756308623266")</f>
        <v>1756308623266</v>
      </c>
    </row>
    <row r="9000" spans="1:11" ht="12.45">
      <c r="A9000" s="2" t="str">
        <f ca="1">IFERROR(__xludf.DUMMYFUNCTION("""COMPUTED_VALUE"""),"1756308653156")</f>
        <v>1756308653156</v>
      </c>
      <c r="C9000" s="2" t="str">
        <v>0</v>
      </c>
      <c r="F9000" s="2" t="str">
        <v>0</v>
      </c>
      <c r="I9000" s="3" t="str">
        <f ca="1">IFERROR(__xludf.DUMMYFUNCTION("""COMPUTED_VALUE"""),"Lê Ngọc Mai Huỳnh")</f>
        <v>Lê Ngọc Mai Huỳnh</v>
      </c>
      <c r="J9000" s="3" t="str">
        <f ca="1">IFERROR(__xludf.DUMMYFUNCTION("""COMPUTED_VALUE"""),"0369608340")</f>
        <v>0369608340</v>
      </c>
      <c r="K9000" s="2" t="str">
        <f ca="1">IFERROR(__xludf.DUMMYFUNCTION("""COMPUTED_VALUE"""),"1756308653156")</f>
        <v>1756308653156</v>
      </c>
    </row>
    <row r="9001" spans="1:11" ht="12.45">
      <c r="A9001" s="2" t="str">
        <f ca="1">IFERROR(__xludf.DUMMYFUNCTION("""COMPUTED_VALUE"""),"1756308697816")</f>
        <v>1756308697816</v>
      </c>
      <c r="C9001" s="2" t="str">
        <v>0</v>
      </c>
      <c r="F9001" s="2" t="str">
        <v>0</v>
      </c>
      <c r="I9001" s="3" t="str">
        <f ca="1">IFERROR(__xludf.DUMMYFUNCTION("""COMPUTED_VALUE"""),"Nguyễn Thảo")</f>
        <v>Nguyễn Thảo</v>
      </c>
      <c r="J9001" s="3" t="str">
        <f ca="1">IFERROR(__xludf.DUMMYFUNCTION("""COMPUTED_VALUE"""),"0787815547")</f>
        <v>0787815547</v>
      </c>
      <c r="K9001" s="2" t="str">
        <f ca="1">IFERROR(__xludf.DUMMYFUNCTION("""COMPUTED_VALUE"""),"1756308697816")</f>
        <v>1756308697816</v>
      </c>
    </row>
    <row r="9002" spans="1:11" ht="12.45">
      <c r="A9002" s="2" t="str">
        <f ca="1">IFERROR(__xludf.DUMMYFUNCTION("""COMPUTED_VALUE"""),"1756308792763")</f>
        <v>1756308792763</v>
      </c>
      <c r="C9002" s="2" t="str">
        <v>0</v>
      </c>
      <c r="F9002" s="2" t="str">
        <v>0</v>
      </c>
      <c r="I9002" s="3" t="str">
        <f ca="1">IFERROR(__xludf.DUMMYFUNCTION("""COMPUTED_VALUE"""),"Đỗ Thị Bảo Linh")</f>
        <v>Đỗ Thị Bảo Linh</v>
      </c>
      <c r="J9002" s="3" t="str">
        <f ca="1">IFERROR(__xludf.DUMMYFUNCTION("""COMPUTED_VALUE"""),"0963460571")</f>
        <v>0963460571</v>
      </c>
      <c r="K9002" s="2" t="str">
        <f ca="1">IFERROR(__xludf.DUMMYFUNCTION("""COMPUTED_VALUE"""),"1756308792763")</f>
        <v>1756308792763</v>
      </c>
    </row>
    <row r="9003" spans="1:11" ht="12.45">
      <c r="A9003" s="2" t="str">
        <f ca="1">IFERROR(__xludf.DUMMYFUNCTION("""COMPUTED_VALUE"""),"1756308843846")</f>
        <v>1756308843846</v>
      </c>
      <c r="C9003" s="2" t="str">
        <v>0</v>
      </c>
      <c r="F9003" s="2" t="str">
        <v>0</v>
      </c>
      <c r="I9003" s="3" t="str">
        <f ca="1">IFERROR(__xludf.DUMMYFUNCTION("""COMPUTED_VALUE"""),"Bùi Lâm Vi")</f>
        <v>Bùi Lâm Vi</v>
      </c>
      <c r="J9003" s="3" t="str">
        <f ca="1">IFERROR(__xludf.DUMMYFUNCTION("""COMPUTED_VALUE"""),"0814419708")</f>
        <v>0814419708</v>
      </c>
      <c r="K9003" s="2" t="str">
        <f ca="1">IFERROR(__xludf.DUMMYFUNCTION("""COMPUTED_VALUE"""),"1756308843846")</f>
        <v>1756308843846</v>
      </c>
    </row>
    <row r="9004" spans="1:11" ht="12.45">
      <c r="A9004" s="2" t="str">
        <f ca="1">IFERROR(__xludf.DUMMYFUNCTION("""COMPUTED_VALUE"""),"1756308897827")</f>
        <v>1756308897827</v>
      </c>
      <c r="C9004" s="2" t="str">
        <v>0</v>
      </c>
      <c r="F9004" s="2" t="str">
        <v>0</v>
      </c>
      <c r="I9004" s="3" t="str">
        <f ca="1">IFERROR(__xludf.DUMMYFUNCTION("""COMPUTED_VALUE"""),"Trương Vân Bình")</f>
        <v>Trương Vân Bình</v>
      </c>
      <c r="J9004" s="3" t="str">
        <f ca="1">IFERROR(__xludf.DUMMYFUNCTION("""COMPUTED_VALUE"""),"0356946819")</f>
        <v>0356946819</v>
      </c>
      <c r="K9004" s="2" t="str">
        <f ca="1">IFERROR(__xludf.DUMMYFUNCTION("""COMPUTED_VALUE"""),"1756308897827")</f>
        <v>1756308897827</v>
      </c>
    </row>
    <row r="9005" spans="1:11" ht="12.45">
      <c r="A9005" s="2" t="str">
        <f ca="1">IFERROR(__xludf.DUMMYFUNCTION("""COMPUTED_VALUE"""),"1756308926830")</f>
        <v>1756308926830</v>
      </c>
      <c r="C9005" s="2" t="str">
        <v>0</v>
      </c>
      <c r="F9005" s="2" t="str">
        <v>0</v>
      </c>
      <c r="I9005" s="3" t="str">
        <f ca="1">IFERROR(__xludf.DUMMYFUNCTION("""COMPUTED_VALUE"""),"Võ Huỳnh Thanh Ngân")</f>
        <v>Võ Huỳnh Thanh Ngân</v>
      </c>
      <c r="J9005" s="3" t="str">
        <f ca="1">IFERROR(__xludf.DUMMYFUNCTION("""COMPUTED_VALUE"""),"0909383643")</f>
        <v>0909383643</v>
      </c>
      <c r="K9005" s="2" t="str">
        <f ca="1">IFERROR(__xludf.DUMMYFUNCTION("""COMPUTED_VALUE"""),"1756308926830")</f>
        <v>1756308926830</v>
      </c>
    </row>
    <row r="9006" spans="1:11" ht="12.45">
      <c r="A9006" s="2" t="str">
        <f ca="1">IFERROR(__xludf.DUMMYFUNCTION("""COMPUTED_VALUE"""),"1756308967366")</f>
        <v>1756308967366</v>
      </c>
      <c r="C9006" s="2" t="str">
        <v>0</v>
      </c>
      <c r="F9006" s="2" t="str">
        <v>0</v>
      </c>
      <c r="I9006" s="3" t="str">
        <f ca="1">IFERROR(__xludf.DUMMYFUNCTION("""COMPUTED_VALUE"""),"BÙI ĐẶNG NHẬT LINH")</f>
        <v>BÙI ĐẶNG NHẬT LINH</v>
      </c>
      <c r="J9006" s="3" t="str">
        <f ca="1">IFERROR(__xludf.DUMMYFUNCTION("""COMPUTED_VALUE"""),"0788441122")</f>
        <v>0788441122</v>
      </c>
      <c r="K9006" s="2" t="str">
        <f ca="1">IFERROR(__xludf.DUMMYFUNCTION("""COMPUTED_VALUE"""),"1756308967366")</f>
        <v>1756308967366</v>
      </c>
    </row>
    <row r="9007" spans="1:11" ht="12.45">
      <c r="A9007" s="2" t="str">
        <f ca="1">IFERROR(__xludf.DUMMYFUNCTION("""COMPUTED_VALUE"""),"1756308997540")</f>
        <v>1756308997540</v>
      </c>
      <c r="C9007" s="2" t="str">
        <v>0</v>
      </c>
      <c r="F9007" s="2" t="str">
        <v>0</v>
      </c>
      <c r="I9007" s="3" t="str">
        <f ca="1">IFERROR(__xludf.DUMMYFUNCTION("""COMPUTED_VALUE"""),"LƯU THỊ KIM XUÂN")</f>
        <v>LƯU THỊ KIM XUÂN</v>
      </c>
      <c r="J9007" s="3" t="str">
        <f ca="1">IFERROR(__xludf.DUMMYFUNCTION("""COMPUTED_VALUE"""),"0968575980")</f>
        <v>0968575980</v>
      </c>
      <c r="K9007" s="2" t="str">
        <f ca="1">IFERROR(__xludf.DUMMYFUNCTION("""COMPUTED_VALUE"""),"1756308997540")</f>
        <v>1756308997540</v>
      </c>
    </row>
    <row r="9008" spans="1:11" ht="12.45">
      <c r="A9008" s="2" t="str">
        <f ca="1">IFERROR(__xludf.DUMMYFUNCTION("""COMPUTED_VALUE"""),"1756309041556")</f>
        <v>1756309041556</v>
      </c>
      <c r="C9008" s="2" t="str">
        <v>0</v>
      </c>
      <c r="F9008" s="2" t="str">
        <v>0</v>
      </c>
      <c r="I9008" s="3" t="str">
        <f ca="1">IFERROR(__xludf.DUMMYFUNCTION("""COMPUTED_VALUE"""),"Lê tuấn phong")</f>
        <v>Lê tuấn phong</v>
      </c>
      <c r="J9008" s="3" t="str">
        <f ca="1">IFERROR(__xludf.DUMMYFUNCTION("""COMPUTED_VALUE"""),"0357590693")</f>
        <v>0357590693</v>
      </c>
      <c r="K9008" s="2" t="str">
        <f ca="1">IFERROR(__xludf.DUMMYFUNCTION("""COMPUTED_VALUE"""),"1756309041556")</f>
        <v>1756309041556</v>
      </c>
    </row>
    <row r="9009" spans="1:11" ht="12.45">
      <c r="A9009" s="2" t="str">
        <f ca="1">IFERROR(__xludf.DUMMYFUNCTION("""COMPUTED_VALUE"""),"1756309067967")</f>
        <v>1756309067967</v>
      </c>
      <c r="C9009" s="2" t="str">
        <v>0</v>
      </c>
      <c r="F9009" s="2" t="str">
        <v>0</v>
      </c>
      <c r="I9009" s="3" t="str">
        <f ca="1">IFERROR(__xludf.DUMMYFUNCTION("""COMPUTED_VALUE"""),"Vũ Thu An")</f>
        <v>Vũ Thu An</v>
      </c>
      <c r="J9009" s="3" t="str">
        <f ca="1">IFERROR(__xludf.DUMMYFUNCTION("""COMPUTED_VALUE"""),"0559955962")</f>
        <v>0559955962</v>
      </c>
      <c r="K9009" s="2" t="str">
        <f ca="1">IFERROR(__xludf.DUMMYFUNCTION("""COMPUTED_VALUE"""),"1756309067967")</f>
        <v>1756309067967</v>
      </c>
    </row>
    <row r="9010" spans="1:11" ht="12.45">
      <c r="A9010" s="2" t="str">
        <f ca="1">IFERROR(__xludf.DUMMYFUNCTION("""COMPUTED_VALUE"""),"1756309104205")</f>
        <v>1756309104205</v>
      </c>
      <c r="C9010" s="2" t="str">
        <v>0</v>
      </c>
      <c r="F9010" s="2" t="str">
        <v>0</v>
      </c>
      <c r="I9010" s="3" t="str">
        <f ca="1">IFERROR(__xludf.DUMMYFUNCTION("""COMPUTED_VALUE"""),"Chu Tống Minh Anh")</f>
        <v>Chu Tống Minh Anh</v>
      </c>
      <c r="J9010" s="3" t="str">
        <f ca="1">IFERROR(__xludf.DUMMYFUNCTION("""COMPUTED_VALUE"""),"0888657806")</f>
        <v>0888657806</v>
      </c>
      <c r="K9010" s="2" t="str">
        <f ca="1">IFERROR(__xludf.DUMMYFUNCTION("""COMPUTED_VALUE"""),"1756309104205")</f>
        <v>1756309104205</v>
      </c>
    </row>
    <row r="9011" spans="1:11" ht="12.45">
      <c r="A9011" s="2" t="str">
        <f ca="1">IFERROR(__xludf.DUMMYFUNCTION("""COMPUTED_VALUE"""),"1756309129457")</f>
        <v>1756309129457</v>
      </c>
      <c r="C9011" s="2" t="str">
        <v>0</v>
      </c>
      <c r="F9011" s="2" t="str">
        <v>0</v>
      </c>
      <c r="I9011" s="3" t="str">
        <f ca="1">IFERROR(__xludf.DUMMYFUNCTION("""COMPUTED_VALUE"""),"Phạm Thị Trúc Diễm")</f>
        <v>Phạm Thị Trúc Diễm</v>
      </c>
      <c r="J9011" s="3" t="str">
        <f ca="1">IFERROR(__xludf.DUMMYFUNCTION("""COMPUTED_VALUE"""),"0329833207")</f>
        <v>0329833207</v>
      </c>
      <c r="K9011" s="2" t="str">
        <f ca="1">IFERROR(__xludf.DUMMYFUNCTION("""COMPUTED_VALUE"""),"1756309129457")</f>
        <v>1756309129457</v>
      </c>
    </row>
    <row r="9012" spans="1:11" ht="12.45">
      <c r="A9012" s="2" t="str">
        <f ca="1">IFERROR(__xludf.DUMMYFUNCTION("""COMPUTED_VALUE"""),"1756309157993")</f>
        <v>1756309157993</v>
      </c>
      <c r="C9012" s="2" t="str">
        <v>0</v>
      </c>
      <c r="F9012" s="2" t="str">
        <v>0</v>
      </c>
      <c r="I9012" s="3" t="str">
        <f ca="1">IFERROR(__xludf.DUMMYFUNCTION("""COMPUTED_VALUE"""),"Tô Hồng Ánh")</f>
        <v>Tô Hồng Ánh</v>
      </c>
      <c r="J9012" s="3" t="str">
        <f ca="1">IFERROR(__xludf.DUMMYFUNCTION("""COMPUTED_VALUE"""),"0981312707")</f>
        <v>0981312707</v>
      </c>
      <c r="K9012" s="2" t="str">
        <f ca="1">IFERROR(__xludf.DUMMYFUNCTION("""COMPUTED_VALUE"""),"1756309157993")</f>
        <v>1756309157993</v>
      </c>
    </row>
    <row r="9013" spans="1:11" ht="12.45">
      <c r="A9013" s="2" t="str">
        <f ca="1">IFERROR(__xludf.DUMMYFUNCTION("""COMPUTED_VALUE"""),"1756309187527")</f>
        <v>1756309187527</v>
      </c>
      <c r="C9013" s="2" t="str">
        <v>0</v>
      </c>
      <c r="F9013" s="2" t="str">
        <v>0</v>
      </c>
      <c r="I9013" s="3" t="str">
        <f ca="1">IFERROR(__xludf.DUMMYFUNCTION("""COMPUTED_VALUE"""),"Phan Thị Diệu Thảo")</f>
        <v>Phan Thị Diệu Thảo</v>
      </c>
      <c r="J9013" s="3" t="str">
        <f ca="1">IFERROR(__xludf.DUMMYFUNCTION("""COMPUTED_VALUE"""),"0369682277")</f>
        <v>0369682277</v>
      </c>
      <c r="K9013" s="2" t="str">
        <f ca="1">IFERROR(__xludf.DUMMYFUNCTION("""COMPUTED_VALUE"""),"1756309187527")</f>
        <v>1756309187527</v>
      </c>
    </row>
    <row r="9014" spans="1:11" ht="12.45">
      <c r="A9014" s="2" t="str">
        <f ca="1">IFERROR(__xludf.DUMMYFUNCTION("""COMPUTED_VALUE"""),"1756309227403")</f>
        <v>1756309227403</v>
      </c>
      <c r="C9014" s="2" t="str">
        <v>0</v>
      </c>
      <c r="F9014" s="2" t="str">
        <v>0</v>
      </c>
      <c r="I9014" s="3" t="str">
        <f ca="1">IFERROR(__xludf.DUMMYFUNCTION("""COMPUTED_VALUE"""),"Trần yến chi")</f>
        <v>Trần yến chi</v>
      </c>
      <c r="J9014" s="3" t="str">
        <f ca="1">IFERROR(__xludf.DUMMYFUNCTION("""COMPUTED_VALUE"""),"0343102566")</f>
        <v>0343102566</v>
      </c>
      <c r="K9014" s="2" t="str">
        <f ca="1">IFERROR(__xludf.DUMMYFUNCTION("""COMPUTED_VALUE"""),"1756309227403")</f>
        <v>1756309227403</v>
      </c>
    </row>
    <row r="9015" spans="1:11" ht="12.45">
      <c r="A9015" s="2" t="str">
        <f ca="1">IFERROR(__xludf.DUMMYFUNCTION("""COMPUTED_VALUE"""),"1756309259792")</f>
        <v>1756309259792</v>
      </c>
      <c r="C9015" s="2" t="str">
        <v>0</v>
      </c>
      <c r="F9015" s="2" t="str">
        <v>0</v>
      </c>
      <c r="I9015" s="3" t="str">
        <f ca="1">IFERROR(__xludf.DUMMYFUNCTION("""COMPUTED_VALUE"""),"Nguyễn Thị Khánh Linh")</f>
        <v>Nguyễn Thị Khánh Linh</v>
      </c>
      <c r="J9015" s="3" t="str">
        <f ca="1">IFERROR(__xludf.DUMMYFUNCTION("""COMPUTED_VALUE"""),"0915863197")</f>
        <v>0915863197</v>
      </c>
      <c r="K9015" s="2" t="str">
        <f ca="1">IFERROR(__xludf.DUMMYFUNCTION("""COMPUTED_VALUE"""),"1756309259792")</f>
        <v>1756309259792</v>
      </c>
    </row>
    <row r="9016" spans="1:11" ht="12.45">
      <c r="A9016" s="2" t="str">
        <f ca="1">IFERROR(__xludf.DUMMYFUNCTION("""COMPUTED_VALUE"""),"1756309299613")</f>
        <v>1756309299613</v>
      </c>
      <c r="C9016" s="2" t="str">
        <v>0</v>
      </c>
      <c r="F9016" s="2" t="str">
        <v>0</v>
      </c>
      <c r="I9016" s="3" t="str">
        <f ca="1">IFERROR(__xludf.DUMMYFUNCTION("""COMPUTED_VALUE"""),"Bùi Minh Tâm")</f>
        <v>Bùi Minh Tâm</v>
      </c>
      <c r="J9016" s="3" t="str">
        <f ca="1">IFERROR(__xludf.DUMMYFUNCTION("""COMPUTED_VALUE"""),"0327130376")</f>
        <v>0327130376</v>
      </c>
      <c r="K9016" s="2" t="str">
        <f ca="1">IFERROR(__xludf.DUMMYFUNCTION("""COMPUTED_VALUE"""),"1756309299613")</f>
        <v>1756309299613</v>
      </c>
    </row>
    <row r="9017" spans="1:11" ht="12.45">
      <c r="A9017" s="2" t="str">
        <f ca="1">IFERROR(__xludf.DUMMYFUNCTION("""COMPUTED_VALUE"""),"1756309346521")</f>
        <v>1756309346521</v>
      </c>
      <c r="C9017" s="2" t="str">
        <v>0</v>
      </c>
      <c r="F9017" s="2" t="str">
        <v>0</v>
      </c>
      <c r="I9017" s="3" t="str">
        <f ca="1">IFERROR(__xludf.DUMMYFUNCTION("""COMPUTED_VALUE"""),"Trương Gia Huân")</f>
        <v>Trương Gia Huân</v>
      </c>
      <c r="J9017" s="3" t="str">
        <f ca="1">IFERROR(__xludf.DUMMYFUNCTION("""COMPUTED_VALUE"""),"0902690207")</f>
        <v>0902690207</v>
      </c>
      <c r="K9017" s="2" t="str">
        <f ca="1">IFERROR(__xludf.DUMMYFUNCTION("""COMPUTED_VALUE"""),"1756309346521")</f>
        <v>1756309346521</v>
      </c>
    </row>
    <row r="9018" spans="1:11" ht="12.45">
      <c r="A9018" s="2"/>
      <c r="C9018" s="2" t="str">
        <v>0</v>
      </c>
      <c r="F9018" s="2" t="str">
        <v>0</v>
      </c>
      <c r="I9018" s="3" t="str">
        <f ca="1">IFERROR(__xludf.DUMMYFUNCTION("""COMPUTED_VALUE"""),"Trần Xuân Như")</f>
        <v>Trần Xuân Như</v>
      </c>
      <c r="J9018" s="3" t="str">
        <f ca="1">IFERROR(__xludf.DUMMYFUNCTION("""COMPUTED_VALUE"""),"0853727469")</f>
        <v>0853727469</v>
      </c>
      <c r="K9018" s="2"/>
    </row>
    <row r="9019" spans="1:11" ht="12.45">
      <c r="A9019" s="2" t="str">
        <f ca="1">IFERROR(__xludf.DUMMYFUNCTION("""COMPUTED_VALUE"""),"1756309394273")</f>
        <v>1756309394273</v>
      </c>
      <c r="C9019" s="2" t="str">
        <v>0</v>
      </c>
      <c r="F9019" s="2" t="str">
        <v>0</v>
      </c>
      <c r="I9019" s="3" t="str">
        <f ca="1">IFERROR(__xludf.DUMMYFUNCTION("""COMPUTED_VALUE"""),"Phan Thị Thanh Thủy ")</f>
        <v xml:space="preserve">Phan Thị Thanh Thủy </v>
      </c>
      <c r="J9019" s="3" t="str">
        <f ca="1">IFERROR(__xludf.DUMMYFUNCTION("""COMPUTED_VALUE"""),"0368079099")</f>
        <v>0368079099</v>
      </c>
      <c r="K9019" s="2" t="str">
        <f ca="1">IFERROR(__xludf.DUMMYFUNCTION("""COMPUTED_VALUE"""),"1756309394273")</f>
        <v>1756309394273</v>
      </c>
    </row>
    <row r="9020" spans="1:11" ht="12.45">
      <c r="A9020" s="2" t="str">
        <f ca="1">IFERROR(__xludf.DUMMYFUNCTION("""COMPUTED_VALUE"""),"1756309474402")</f>
        <v>1756309474402</v>
      </c>
      <c r="C9020" s="2" t="str">
        <v>0</v>
      </c>
      <c r="F9020" s="2" t="str">
        <v>0</v>
      </c>
      <c r="I9020" s="3" t="str">
        <f ca="1">IFERROR(__xludf.DUMMYFUNCTION("""COMPUTED_VALUE"""),"Trần Minh Ngọc")</f>
        <v>Trần Minh Ngọc</v>
      </c>
      <c r="J9020" s="3" t="str">
        <f ca="1">IFERROR(__xludf.DUMMYFUNCTION("""COMPUTED_VALUE"""),"0398609314")</f>
        <v>0398609314</v>
      </c>
      <c r="K9020" s="2" t="str">
        <f ca="1">IFERROR(__xludf.DUMMYFUNCTION("""COMPUTED_VALUE"""),"1756309474402")</f>
        <v>1756309474402</v>
      </c>
    </row>
    <row r="9021" spans="1:11" ht="12.45">
      <c r="A9021" s="2" t="str">
        <f ca="1">IFERROR(__xludf.DUMMYFUNCTION("""COMPUTED_VALUE"""),"1756309518512")</f>
        <v>1756309518512</v>
      </c>
      <c r="C9021" s="2" t="str">
        <v>0</v>
      </c>
      <c r="F9021" s="2" t="str">
        <v>0</v>
      </c>
      <c r="I9021" s="3" t="str">
        <f ca="1">IFERROR(__xludf.DUMMYFUNCTION("""COMPUTED_VALUE"""),"Nguyễn Ngọc Bảo Ngân")</f>
        <v>Nguyễn Ngọc Bảo Ngân</v>
      </c>
      <c r="J9021" s="3" t="str">
        <f ca="1">IFERROR(__xludf.DUMMYFUNCTION("""COMPUTED_VALUE"""),"0797794990")</f>
        <v>0797794990</v>
      </c>
      <c r="K9021" s="2" t="str">
        <f ca="1">IFERROR(__xludf.DUMMYFUNCTION("""COMPUTED_VALUE"""),"1756309518512")</f>
        <v>1756309518512</v>
      </c>
    </row>
    <row r="9022" spans="1:11" ht="12.45">
      <c r="A9022" s="2" t="str">
        <f ca="1">IFERROR(__xludf.DUMMYFUNCTION("""COMPUTED_VALUE"""),"1756309564176")</f>
        <v>1756309564176</v>
      </c>
      <c r="C9022" s="2" t="str">
        <v>0</v>
      </c>
      <c r="F9022" s="2" t="str">
        <v>0</v>
      </c>
      <c r="I9022" s="3" t="str">
        <f ca="1">IFERROR(__xludf.DUMMYFUNCTION("""COMPUTED_VALUE"""),"HỒ HẢI YẾN")</f>
        <v>HỒ HẢI YẾN</v>
      </c>
      <c r="J9022" s="3" t="str">
        <f ca="1">IFERROR(__xludf.DUMMYFUNCTION("""COMPUTED_VALUE"""),"0971608841")</f>
        <v>0971608841</v>
      </c>
      <c r="K9022" s="2" t="str">
        <f ca="1">IFERROR(__xludf.DUMMYFUNCTION("""COMPUTED_VALUE"""),"1756309564176")</f>
        <v>1756309564176</v>
      </c>
    </row>
    <row r="9023" spans="1:11" ht="12.45">
      <c r="A9023" s="2" t="str">
        <f ca="1">IFERROR(__xludf.DUMMYFUNCTION("""COMPUTED_VALUE"""),"1756309602378")</f>
        <v>1756309602378</v>
      </c>
      <c r="C9023" s="2" t="str">
        <v>0</v>
      </c>
      <c r="F9023" s="2" t="str">
        <v>0</v>
      </c>
      <c r="I9023" s="3" t="str">
        <f ca="1">IFERROR(__xludf.DUMMYFUNCTION("""COMPUTED_VALUE"""),"Nguyễn Thị Hoàng Dung ")</f>
        <v xml:space="preserve">Nguyễn Thị Hoàng Dung </v>
      </c>
      <c r="J9023" s="3" t="str">
        <f ca="1">IFERROR(__xludf.DUMMYFUNCTION("""COMPUTED_VALUE"""),"0388956342")</f>
        <v>0388956342</v>
      </c>
      <c r="K9023" s="2" t="str">
        <f ca="1">IFERROR(__xludf.DUMMYFUNCTION("""COMPUTED_VALUE"""),"1756309602378")</f>
        <v>1756309602378</v>
      </c>
    </row>
    <row r="9024" spans="1:11" ht="12.45">
      <c r="A9024" s="2" t="str">
        <f ca="1">IFERROR(__xludf.DUMMYFUNCTION("""COMPUTED_VALUE"""),"1756309633749")</f>
        <v>1756309633749</v>
      </c>
      <c r="C9024" s="2" t="str">
        <v>0</v>
      </c>
      <c r="F9024" s="2" t="str">
        <v>0</v>
      </c>
      <c r="I9024" s="3" t="str">
        <f ca="1">IFERROR(__xludf.DUMMYFUNCTION("""COMPUTED_VALUE"""),"Đỗ Thị Mỹ Tiên")</f>
        <v>Đỗ Thị Mỹ Tiên</v>
      </c>
      <c r="J9024" s="3" t="str">
        <f ca="1">IFERROR(__xludf.DUMMYFUNCTION("""COMPUTED_VALUE"""),"0816341313")</f>
        <v>0816341313</v>
      </c>
      <c r="K9024" s="2" t="str">
        <f ca="1">IFERROR(__xludf.DUMMYFUNCTION("""COMPUTED_VALUE"""),"1756309633749")</f>
        <v>1756309633749</v>
      </c>
    </row>
    <row r="9025" spans="1:11" ht="12.45">
      <c r="A9025" s="2" t="str">
        <f ca="1">IFERROR(__xludf.DUMMYFUNCTION("""COMPUTED_VALUE"""),"1756309662584")</f>
        <v>1756309662584</v>
      </c>
      <c r="C9025" s="2" t="str">
        <v>0</v>
      </c>
      <c r="F9025" s="2" t="str">
        <v>0</v>
      </c>
      <c r="I9025" s="3" t="str">
        <f ca="1">IFERROR(__xludf.DUMMYFUNCTION("""COMPUTED_VALUE"""),"Nguyễn Hoàng Diệu Châu")</f>
        <v>Nguyễn Hoàng Diệu Châu</v>
      </c>
      <c r="J9025" s="3" t="str">
        <f ca="1">IFERROR(__xludf.DUMMYFUNCTION("""COMPUTED_VALUE"""),"0384541301")</f>
        <v>0384541301</v>
      </c>
      <c r="K9025" s="2" t="str">
        <f ca="1">IFERROR(__xludf.DUMMYFUNCTION("""COMPUTED_VALUE"""),"1756309662584")</f>
        <v>1756309662584</v>
      </c>
    </row>
    <row r="9026" spans="1:11" ht="12.45">
      <c r="A9026" s="2" t="str">
        <f ca="1">IFERROR(__xludf.DUMMYFUNCTION("""COMPUTED_VALUE"""),"1756309710153")</f>
        <v>1756309710153</v>
      </c>
      <c r="C9026" s="2" t="str">
        <v>0</v>
      </c>
      <c r="F9026" s="2" t="str">
        <v>0</v>
      </c>
      <c r="I9026" s="3" t="str">
        <f ca="1">IFERROR(__xludf.DUMMYFUNCTION("""COMPUTED_VALUE"""),"Lê Thị Anh Thư ")</f>
        <v xml:space="preserve">Lê Thị Anh Thư </v>
      </c>
      <c r="J9026" s="3" t="str">
        <f ca="1">IFERROR(__xludf.DUMMYFUNCTION("""COMPUTED_VALUE"""),"0396277729")</f>
        <v>0396277729</v>
      </c>
      <c r="K9026" s="2" t="str">
        <f ca="1">IFERROR(__xludf.DUMMYFUNCTION("""COMPUTED_VALUE"""),"1756309710153")</f>
        <v>1756309710153</v>
      </c>
    </row>
    <row r="9027" spans="1:11" ht="12.45">
      <c r="A9027" s="2" t="str">
        <f ca="1">IFERROR(__xludf.DUMMYFUNCTION("""COMPUTED_VALUE"""),"1756309764410")</f>
        <v>1756309764410</v>
      </c>
      <c r="C9027" s="2" t="str">
        <v>0</v>
      </c>
      <c r="F9027" s="2" t="str">
        <v>0</v>
      </c>
      <c r="I9027" s="3" t="str">
        <f ca="1">IFERROR(__xludf.DUMMYFUNCTION("""COMPUTED_VALUE"""),"Hoàng Trọng Đạt")</f>
        <v>Hoàng Trọng Đạt</v>
      </c>
      <c r="J9027" s="3" t="str">
        <f ca="1">IFERROR(__xludf.DUMMYFUNCTION("""COMPUTED_VALUE"""),"0969562669")</f>
        <v>0969562669</v>
      </c>
      <c r="K9027" s="2" t="str">
        <f ca="1">IFERROR(__xludf.DUMMYFUNCTION("""COMPUTED_VALUE"""),"1756309764410")</f>
        <v>1756309764410</v>
      </c>
    </row>
    <row r="9028" spans="1:11" ht="12.45">
      <c r="A9028" s="2" t="str">
        <f ca="1">IFERROR(__xludf.DUMMYFUNCTION("""COMPUTED_VALUE"""),"1756309794642")</f>
        <v>1756309794642</v>
      </c>
      <c r="C9028" s="2" t="str">
        <v>0</v>
      </c>
      <c r="F9028" s="2" t="str">
        <v>0</v>
      </c>
      <c r="I9028" s="3" t="str">
        <f ca="1">IFERROR(__xludf.DUMMYFUNCTION("""COMPUTED_VALUE"""),"nguyễn phúc gia hưng")</f>
        <v>nguyễn phúc gia hưng</v>
      </c>
      <c r="J9028" s="3" t="str">
        <f ca="1">IFERROR(__xludf.DUMMYFUNCTION("""COMPUTED_VALUE"""),"0787562807")</f>
        <v>0787562807</v>
      </c>
      <c r="K9028" s="2" t="str">
        <f ca="1">IFERROR(__xludf.DUMMYFUNCTION("""COMPUTED_VALUE"""),"1756309794642")</f>
        <v>1756309794642</v>
      </c>
    </row>
    <row r="9029" spans="1:11" ht="12.45">
      <c r="A9029" s="2" t="str">
        <f ca="1">IFERROR(__xludf.DUMMYFUNCTION("""COMPUTED_VALUE"""),"1756309816920")</f>
        <v>1756309816920</v>
      </c>
      <c r="C9029" s="2" t="str">
        <v>0</v>
      </c>
      <c r="F9029" s="2" t="str">
        <v>0</v>
      </c>
      <c r="I9029" s="3" t="str">
        <f ca="1">IFERROR(__xludf.DUMMYFUNCTION("""COMPUTED_VALUE"""),"Bùi Thị Lan Phương")</f>
        <v>Bùi Thị Lan Phương</v>
      </c>
      <c r="J9029" s="3" t="str">
        <f ca="1">IFERROR(__xludf.DUMMYFUNCTION("""COMPUTED_VALUE"""),"0325994462")</f>
        <v>0325994462</v>
      </c>
      <c r="K9029" s="2" t="str">
        <f ca="1">IFERROR(__xludf.DUMMYFUNCTION("""COMPUTED_VALUE"""),"1756309816920")</f>
        <v>1756309816920</v>
      </c>
    </row>
    <row r="9030" spans="1:11" ht="12.45">
      <c r="A9030" s="2" t="str">
        <f ca="1">IFERROR(__xludf.DUMMYFUNCTION("""COMPUTED_VALUE"""),"1756309833526")</f>
        <v>1756309833526</v>
      </c>
      <c r="C9030" s="2" t="str">
        <v>0</v>
      </c>
      <c r="F9030" s="2" t="str">
        <v>0</v>
      </c>
      <c r="I9030" s="3" t="str">
        <f ca="1">IFERROR(__xludf.DUMMYFUNCTION("""COMPUTED_VALUE"""),"Lê Khánh Huyền")</f>
        <v>Lê Khánh Huyền</v>
      </c>
      <c r="J9030" s="3" t="str">
        <f ca="1">IFERROR(__xludf.DUMMYFUNCTION("""COMPUTED_VALUE"""),"0862603419")</f>
        <v>0862603419</v>
      </c>
      <c r="K9030" s="2" t="str">
        <f ca="1">IFERROR(__xludf.DUMMYFUNCTION("""COMPUTED_VALUE"""),"1756309833526")</f>
        <v>1756309833526</v>
      </c>
    </row>
    <row r="9031" spans="1:11" ht="12.45">
      <c r="A9031" s="2" t="str">
        <f ca="1">IFERROR(__xludf.DUMMYFUNCTION("""COMPUTED_VALUE"""),"1756309858693")</f>
        <v>1756309858693</v>
      </c>
      <c r="C9031" s="2" t="str">
        <v>0</v>
      </c>
      <c r="F9031" s="2" t="str">
        <v>0</v>
      </c>
      <c r="I9031" s="3" t="str">
        <f ca="1">IFERROR(__xludf.DUMMYFUNCTION("""COMPUTED_VALUE"""),"Nguyễn Thị Kim Vui")</f>
        <v>Nguyễn Thị Kim Vui</v>
      </c>
      <c r="J9031" s="3" t="str">
        <f ca="1">IFERROR(__xludf.DUMMYFUNCTION("""COMPUTED_VALUE"""),"0353883092")</f>
        <v>0353883092</v>
      </c>
      <c r="K9031" s="2" t="str">
        <f ca="1">IFERROR(__xludf.DUMMYFUNCTION("""COMPUTED_VALUE"""),"1756309858693")</f>
        <v>1756309858693</v>
      </c>
    </row>
    <row r="9032" spans="1:11" ht="12.45">
      <c r="A9032" s="2" t="str">
        <f ca="1">IFERROR(__xludf.DUMMYFUNCTION("""COMPUTED_VALUE"""),"1756309892860")</f>
        <v>1756309892860</v>
      </c>
      <c r="C9032" s="2" t="str">
        <v>0</v>
      </c>
      <c r="F9032" s="2" t="str">
        <v>0</v>
      </c>
      <c r="I9032" s="3" t="str">
        <f ca="1">IFERROR(__xludf.DUMMYFUNCTION("""COMPUTED_VALUE"""),"Lương Thị Uyên Nhi")</f>
        <v>Lương Thị Uyên Nhi</v>
      </c>
      <c r="J9032" s="3" t="str">
        <f ca="1">IFERROR(__xludf.DUMMYFUNCTION("""COMPUTED_VALUE"""),"0971127331")</f>
        <v>0971127331</v>
      </c>
      <c r="K9032" s="2" t="str">
        <f ca="1">IFERROR(__xludf.DUMMYFUNCTION("""COMPUTED_VALUE"""),"1756309892860")</f>
        <v>1756309892860</v>
      </c>
    </row>
    <row r="9033" spans="1:11" ht="12.45">
      <c r="A9033" s="2" t="str">
        <f ca="1">IFERROR(__xludf.DUMMYFUNCTION("""COMPUTED_VALUE"""),"1756309934034")</f>
        <v>1756309934034</v>
      </c>
      <c r="C9033" s="2" t="str">
        <v>0</v>
      </c>
      <c r="F9033" s="2" t="str">
        <v>0</v>
      </c>
      <c r="I9033" s="3" t="str">
        <f ca="1">IFERROR(__xludf.DUMMYFUNCTION("""COMPUTED_VALUE"""),"Nguyễn Thị Thảo Vân")</f>
        <v>Nguyễn Thị Thảo Vân</v>
      </c>
      <c r="J9033" s="3" t="str">
        <f ca="1">IFERROR(__xludf.DUMMYFUNCTION("""COMPUTED_VALUE"""),"0978655126")</f>
        <v>0978655126</v>
      </c>
      <c r="K9033" s="2" t="str">
        <f ca="1">IFERROR(__xludf.DUMMYFUNCTION("""COMPUTED_VALUE"""),"1756309934034")</f>
        <v>1756309934034</v>
      </c>
    </row>
    <row r="9034" spans="1:11" ht="12.45">
      <c r="A9034" s="2" t="str">
        <f ca="1">IFERROR(__xludf.DUMMYFUNCTION("""COMPUTED_VALUE"""),"1756309970763")</f>
        <v>1756309970763</v>
      </c>
      <c r="C9034" s="2" t="str">
        <v>0</v>
      </c>
      <c r="F9034" s="2" t="str">
        <v>0</v>
      </c>
      <c r="I9034" s="3" t="str">
        <f ca="1">IFERROR(__xludf.DUMMYFUNCTION("""COMPUTED_VALUE"""),"Nguyễn Ngọc Anh ")</f>
        <v xml:space="preserve">Nguyễn Ngọc Anh </v>
      </c>
      <c r="J9034" s="3" t="str">
        <f ca="1">IFERROR(__xludf.DUMMYFUNCTION("""COMPUTED_VALUE"""),"0936552124")</f>
        <v>0936552124</v>
      </c>
      <c r="K9034" s="2" t="str">
        <f ca="1">IFERROR(__xludf.DUMMYFUNCTION("""COMPUTED_VALUE"""),"1756309970763")</f>
        <v>1756309970763</v>
      </c>
    </row>
    <row r="9035" spans="1:11" ht="12.45">
      <c r="A9035" s="2" t="str">
        <f ca="1">IFERROR(__xludf.DUMMYFUNCTION("""COMPUTED_VALUE"""),"1756310003618")</f>
        <v>1756310003618</v>
      </c>
      <c r="C9035" s="2" t="str">
        <v>0</v>
      </c>
      <c r="F9035" s="2" t="str">
        <v>0</v>
      </c>
      <c r="I9035" s="3" t="str">
        <f ca="1">IFERROR(__xludf.DUMMYFUNCTION("""COMPUTED_VALUE"""),"Sằm Thị Thu Thuỷ")</f>
        <v>Sằm Thị Thu Thuỷ</v>
      </c>
      <c r="J9035" s="3" t="str">
        <f ca="1">IFERROR(__xludf.DUMMYFUNCTION("""COMPUTED_VALUE"""),"0975467026")</f>
        <v>0975467026</v>
      </c>
      <c r="K9035" s="2" t="str">
        <f ca="1">IFERROR(__xludf.DUMMYFUNCTION("""COMPUTED_VALUE"""),"1756310003618")</f>
        <v>1756310003618</v>
      </c>
    </row>
    <row r="9036" spans="1:11" ht="12.45">
      <c r="A9036" s="2" t="str">
        <f ca="1">IFERROR(__xludf.DUMMYFUNCTION("""COMPUTED_VALUE"""),"1756310034738")</f>
        <v>1756310034738</v>
      </c>
      <c r="C9036" s="2" t="str">
        <v>0</v>
      </c>
      <c r="F9036" s="2" t="str">
        <v>0</v>
      </c>
      <c r="I9036" s="3" t="str">
        <f ca="1">IFERROR(__xludf.DUMMYFUNCTION("""COMPUTED_VALUE"""),"Trần Thị Quỳnh Chi")</f>
        <v>Trần Thị Quỳnh Chi</v>
      </c>
      <c r="J9036" s="3" t="str">
        <f ca="1">IFERROR(__xludf.DUMMYFUNCTION("""COMPUTED_VALUE"""),"0348340240")</f>
        <v>0348340240</v>
      </c>
      <c r="K9036" s="2" t="str">
        <f ca="1">IFERROR(__xludf.DUMMYFUNCTION("""COMPUTED_VALUE"""),"1756310034738")</f>
        <v>1756310034738</v>
      </c>
    </row>
    <row r="9037" spans="1:11" ht="12.45">
      <c r="A9037" s="2" t="str">
        <f ca="1">IFERROR(__xludf.DUMMYFUNCTION("""COMPUTED_VALUE"""),"1756310060181")</f>
        <v>1756310060181</v>
      </c>
      <c r="C9037" s="2" t="str">
        <v>0</v>
      </c>
      <c r="F9037" s="2" t="str">
        <v>0</v>
      </c>
      <c r="I9037" s="3" t="str">
        <f ca="1">IFERROR(__xludf.DUMMYFUNCTION("""COMPUTED_VALUE"""),"LÊ TÚ ANH")</f>
        <v>LÊ TÚ ANH</v>
      </c>
      <c r="J9037" s="3" t="str">
        <f ca="1">IFERROR(__xludf.DUMMYFUNCTION("""COMPUTED_VALUE"""),"0762499174")</f>
        <v>0762499174</v>
      </c>
      <c r="K9037" s="2" t="str">
        <f ca="1">IFERROR(__xludf.DUMMYFUNCTION("""COMPUTED_VALUE"""),"1756310060181")</f>
        <v>1756310060181</v>
      </c>
    </row>
    <row r="9038" spans="1:11" ht="12.45">
      <c r="A9038" s="2" t="str">
        <f ca="1">IFERROR(__xludf.DUMMYFUNCTION("""COMPUTED_VALUE"""),"1756310092721")</f>
        <v>1756310092721</v>
      </c>
      <c r="C9038" s="2" t="str">
        <v>0</v>
      </c>
      <c r="F9038" s="2" t="str">
        <v>0</v>
      </c>
      <c r="I9038" s="3" t="str">
        <f ca="1">IFERROR(__xludf.DUMMYFUNCTION("""COMPUTED_VALUE"""),"Trần Nguyễn Thanh Thương")</f>
        <v>Trần Nguyễn Thanh Thương</v>
      </c>
      <c r="J9038" s="3" t="str">
        <f ca="1">IFERROR(__xludf.DUMMYFUNCTION("""COMPUTED_VALUE"""),"0773226779")</f>
        <v>0773226779</v>
      </c>
      <c r="K9038" s="2" t="str">
        <f ca="1">IFERROR(__xludf.DUMMYFUNCTION("""COMPUTED_VALUE"""),"1756310092721")</f>
        <v>1756310092721</v>
      </c>
    </row>
    <row r="9039" spans="1:11" ht="12.45">
      <c r="A9039" s="2" t="str">
        <f ca="1">IFERROR(__xludf.DUMMYFUNCTION("""COMPUTED_VALUE"""),"1756310140423")</f>
        <v>1756310140423</v>
      </c>
      <c r="C9039" s="2" t="str">
        <v>0</v>
      </c>
      <c r="F9039" s="2" t="str">
        <v>0</v>
      </c>
      <c r="I9039" s="3" t="str">
        <f ca="1">IFERROR(__xludf.DUMMYFUNCTION("""COMPUTED_VALUE"""),"Phạm Ngọc Hà")</f>
        <v>Phạm Ngọc Hà</v>
      </c>
      <c r="J9039" s="3" t="str">
        <f ca="1">IFERROR(__xludf.DUMMYFUNCTION("""COMPUTED_VALUE"""),"0985948206")</f>
        <v>0985948206</v>
      </c>
      <c r="K9039" s="2" t="str">
        <f ca="1">IFERROR(__xludf.DUMMYFUNCTION("""COMPUTED_VALUE"""),"1756310140423")</f>
        <v>1756310140423</v>
      </c>
    </row>
    <row r="9040" spans="1:11" ht="12.45">
      <c r="A9040" s="2" t="str">
        <f ca="1">IFERROR(__xludf.DUMMYFUNCTION("""COMPUTED_VALUE"""),"1756310216498")</f>
        <v>1756310216498</v>
      </c>
      <c r="C9040" s="2" t="str">
        <v>0</v>
      </c>
      <c r="F9040" s="2" t="str">
        <v>0</v>
      </c>
      <c r="I9040" s="3" t="str">
        <f ca="1">IFERROR(__xludf.DUMMYFUNCTION("""COMPUTED_VALUE"""),"Hoàng Thị Kim Chi")</f>
        <v>Hoàng Thị Kim Chi</v>
      </c>
      <c r="J9040" s="3" t="str">
        <f ca="1">IFERROR(__xludf.DUMMYFUNCTION("""COMPUTED_VALUE"""),"0393482693")</f>
        <v>0393482693</v>
      </c>
      <c r="K9040" s="2" t="str">
        <f ca="1">IFERROR(__xludf.DUMMYFUNCTION("""COMPUTED_VALUE"""),"1756310216498")</f>
        <v>1756310216498</v>
      </c>
    </row>
    <row r="9041" spans="1:11" ht="12.45">
      <c r="A9041" s="2" t="str">
        <f ca="1">IFERROR(__xludf.DUMMYFUNCTION("""COMPUTED_VALUE"""),"1756310283821")</f>
        <v>1756310283821</v>
      </c>
      <c r="C9041" s="2" t="str">
        <v>0</v>
      </c>
      <c r="F9041" s="2" t="str">
        <v>0</v>
      </c>
      <c r="I9041" s="3" t="str">
        <f ca="1">IFERROR(__xludf.DUMMYFUNCTION("""COMPUTED_VALUE"""),"Nguyễn Thị Lan Anh")</f>
        <v>Nguyễn Thị Lan Anh</v>
      </c>
      <c r="J9041" s="3" t="str">
        <f ca="1">IFERROR(__xludf.DUMMYFUNCTION("""COMPUTED_VALUE"""),"0906595216")</f>
        <v>0906595216</v>
      </c>
      <c r="K9041" s="2" t="str">
        <f ca="1">IFERROR(__xludf.DUMMYFUNCTION("""COMPUTED_VALUE"""),"1756310283821")</f>
        <v>1756310283821</v>
      </c>
    </row>
    <row r="9042" spans="1:11" ht="12.45">
      <c r="A9042" s="2" t="str">
        <f ca="1">IFERROR(__xludf.DUMMYFUNCTION("""COMPUTED_VALUE"""),"1756310316345")</f>
        <v>1756310316345</v>
      </c>
      <c r="C9042" s="2" t="str">
        <v>0</v>
      </c>
      <c r="F9042" s="2" t="str">
        <v>0</v>
      </c>
      <c r="I9042" s="3" t="str">
        <f ca="1">IFERROR(__xludf.DUMMYFUNCTION("""COMPUTED_VALUE"""),"Võ Thị Như Quỳnh")</f>
        <v>Võ Thị Như Quỳnh</v>
      </c>
      <c r="J9042" s="3" t="str">
        <f ca="1">IFERROR(__xludf.DUMMYFUNCTION("""COMPUTED_VALUE"""),"0356436577")</f>
        <v>0356436577</v>
      </c>
      <c r="K9042" s="2" t="str">
        <f ca="1">IFERROR(__xludf.DUMMYFUNCTION("""COMPUTED_VALUE"""),"1756310316345")</f>
        <v>1756310316345</v>
      </c>
    </row>
    <row r="9043" spans="1:11" ht="12.45">
      <c r="A9043" s="2">
        <f ca="1">IFERROR(__xludf.DUMMYFUNCTION("""COMPUTED_VALUE"""),1750737057599)</f>
        <v>1750737057599</v>
      </c>
      <c r="C9043" s="2" t="str">
        <v>0</v>
      </c>
      <c r="F9043" s="2" t="str">
        <v>0</v>
      </c>
      <c r="I9043" s="3" t="str">
        <f ca="1">IFERROR(__xludf.DUMMYFUNCTION("""COMPUTED_VALUE"""),"Hoàng Thị Phương Thanh")</f>
        <v>Hoàng Thị Phương Thanh</v>
      </c>
      <c r="J9043" s="3" t="str">
        <f ca="1">IFERROR(__xludf.DUMMYFUNCTION("""COMPUTED_VALUE"""),"0988724845")</f>
        <v>0988724845</v>
      </c>
      <c r="K9043" s="2">
        <f ca="1">IFERROR(__xludf.DUMMYFUNCTION("""COMPUTED_VALUE"""),1750737057599)</f>
        <v>1750737057599</v>
      </c>
    </row>
    <row r="9044" spans="1:11" ht="12.45">
      <c r="A9044" s="2" t="str">
        <f ca="1">IFERROR(__xludf.DUMMYFUNCTION("""COMPUTED_VALUE"""),"1756310358593")</f>
        <v>1756310358593</v>
      </c>
      <c r="C9044" s="2" t="str">
        <v>0</v>
      </c>
      <c r="F9044" s="2" t="str">
        <v>0</v>
      </c>
      <c r="I9044" s="3" t="str">
        <f ca="1">IFERROR(__xludf.DUMMYFUNCTION("""COMPUTED_VALUE"""),"Phạm Thị Hồng Như")</f>
        <v>Phạm Thị Hồng Như</v>
      </c>
      <c r="J9044" s="3" t="str">
        <f ca="1">IFERROR(__xludf.DUMMYFUNCTION("""COMPUTED_VALUE"""),"0388841273")</f>
        <v>0388841273</v>
      </c>
      <c r="K9044" s="2" t="str">
        <f ca="1">IFERROR(__xludf.DUMMYFUNCTION("""COMPUTED_VALUE"""),"1756310358593")</f>
        <v>1756310358593</v>
      </c>
    </row>
    <row r="9045" spans="1:11" ht="12.45">
      <c r="A9045" s="2" t="str">
        <f ca="1">IFERROR(__xludf.DUMMYFUNCTION("""COMPUTED_VALUE"""),"1754852441378")</f>
        <v>1754852441378</v>
      </c>
      <c r="C9045" s="2" t="str">
        <v>0</v>
      </c>
      <c r="F9045" s="2" t="str">
        <v>0</v>
      </c>
      <c r="I9045" s="3" t="str">
        <f ca="1">IFERROR(__xludf.DUMMYFUNCTION("""COMPUTED_VALUE"""),"Dương Minh Ngọc")</f>
        <v>Dương Minh Ngọc</v>
      </c>
      <c r="J9045" s="3" t="str">
        <f ca="1">IFERROR(__xludf.DUMMYFUNCTION("""COMPUTED_VALUE"""),"0948912056")</f>
        <v>0948912056</v>
      </c>
      <c r="K9045" s="2" t="str">
        <f ca="1">IFERROR(__xludf.DUMMYFUNCTION("""COMPUTED_VALUE"""),"1754852441378")</f>
        <v>1754852441378</v>
      </c>
    </row>
    <row r="9046" spans="1:11" ht="12.45">
      <c r="A9046" s="2" t="str">
        <f ca="1">IFERROR(__xludf.DUMMYFUNCTION("""COMPUTED_VALUE"""),"1756310411960")</f>
        <v>1756310411960</v>
      </c>
      <c r="C9046" s="2" t="str">
        <v>0</v>
      </c>
      <c r="F9046" s="2" t="str">
        <v>0</v>
      </c>
      <c r="I9046" s="3" t="str">
        <f ca="1">IFERROR(__xludf.DUMMYFUNCTION("""COMPUTED_VALUE"""),"Nguyễn Phương Linh")</f>
        <v>Nguyễn Phương Linh</v>
      </c>
      <c r="J9046" s="3" t="str">
        <f ca="1">IFERROR(__xludf.DUMMYFUNCTION("""COMPUTED_VALUE"""),"0971333367")</f>
        <v>0971333367</v>
      </c>
      <c r="K9046" s="2" t="str">
        <f ca="1">IFERROR(__xludf.DUMMYFUNCTION("""COMPUTED_VALUE"""),"1756310411960")</f>
        <v>1756310411960</v>
      </c>
    </row>
    <row r="9047" spans="1:11" ht="12.45">
      <c r="A9047" s="2" t="str">
        <f ca="1">IFERROR(__xludf.DUMMYFUNCTION("""COMPUTED_VALUE"""),"1756310440277")</f>
        <v>1756310440277</v>
      </c>
      <c r="C9047" s="2" t="str">
        <v>0</v>
      </c>
      <c r="F9047" s="2" t="str">
        <v>0</v>
      </c>
      <c r="I9047" s="3" t="str">
        <f ca="1">IFERROR(__xludf.DUMMYFUNCTION("""COMPUTED_VALUE"""),"Đỗ Ngọc Bảo Châu ")</f>
        <v xml:space="preserve">Đỗ Ngọc Bảo Châu </v>
      </c>
      <c r="J9047" s="3" t="str">
        <f ca="1">IFERROR(__xludf.DUMMYFUNCTION("""COMPUTED_VALUE"""),"0901369471")</f>
        <v>0901369471</v>
      </c>
      <c r="K9047" s="2" t="str">
        <f ca="1">IFERROR(__xludf.DUMMYFUNCTION("""COMPUTED_VALUE"""),"1756310440277")</f>
        <v>1756310440277</v>
      </c>
    </row>
    <row r="9048" spans="1:11" ht="12.45">
      <c r="A9048" s="2" t="str">
        <f ca="1">IFERROR(__xludf.DUMMYFUNCTION("""COMPUTED_VALUE"""),"1756310476026")</f>
        <v>1756310476026</v>
      </c>
      <c r="C9048" s="2" t="str">
        <v>0</v>
      </c>
      <c r="F9048" s="2" t="str">
        <v>0</v>
      </c>
      <c r="I9048" s="3" t="str">
        <f ca="1">IFERROR(__xludf.DUMMYFUNCTION("""COMPUTED_VALUE"""),"Lò Thị Hương Giang")</f>
        <v>Lò Thị Hương Giang</v>
      </c>
      <c r="J9048" s="3" t="str">
        <f ca="1">IFERROR(__xludf.DUMMYFUNCTION("""COMPUTED_VALUE"""),"0332946162")</f>
        <v>0332946162</v>
      </c>
      <c r="K9048" s="2" t="str">
        <f ca="1">IFERROR(__xludf.DUMMYFUNCTION("""COMPUTED_VALUE"""),"1756310476026")</f>
        <v>1756310476026</v>
      </c>
    </row>
    <row r="9049" spans="1:11" ht="12.45">
      <c r="A9049" s="2" t="str">
        <f ca="1">IFERROR(__xludf.DUMMYFUNCTION("""COMPUTED_VALUE"""),"1756310523865")</f>
        <v>1756310523865</v>
      </c>
      <c r="C9049" s="2" t="str">
        <v>0</v>
      </c>
      <c r="F9049" s="2" t="str">
        <v>0</v>
      </c>
      <c r="I9049" s="3" t="str">
        <f ca="1">IFERROR(__xludf.DUMMYFUNCTION("""COMPUTED_VALUE"""),"Vũ Đặng Quế Đan ")</f>
        <v xml:space="preserve">Vũ Đặng Quế Đan </v>
      </c>
      <c r="J9049" s="3" t="str">
        <f ca="1">IFERROR(__xludf.DUMMYFUNCTION("""COMPUTED_VALUE"""),"0817310807")</f>
        <v>0817310807</v>
      </c>
      <c r="K9049" s="2" t="str">
        <f ca="1">IFERROR(__xludf.DUMMYFUNCTION("""COMPUTED_VALUE"""),"1756310523865")</f>
        <v>1756310523865</v>
      </c>
    </row>
    <row r="9050" spans="1:11" ht="12.45">
      <c r="A9050" s="2" t="str">
        <f ca="1">IFERROR(__xludf.DUMMYFUNCTION("""COMPUTED_VALUE"""),"1756310565003")</f>
        <v>1756310565003</v>
      </c>
      <c r="C9050" s="2" t="str">
        <v>0</v>
      </c>
      <c r="F9050" s="2" t="str">
        <v>0</v>
      </c>
      <c r="I9050" s="3" t="str">
        <f ca="1">IFERROR(__xludf.DUMMYFUNCTION("""COMPUTED_VALUE"""),"Nguyễn mai khanh ")</f>
        <v xml:space="preserve">Nguyễn mai khanh </v>
      </c>
      <c r="J9050" s="3" t="str">
        <f ca="1">IFERROR(__xludf.DUMMYFUNCTION("""COMPUTED_VALUE"""),"0562923939")</f>
        <v>0562923939</v>
      </c>
      <c r="K9050" s="2" t="str">
        <f ca="1">IFERROR(__xludf.DUMMYFUNCTION("""COMPUTED_VALUE"""),"1756310565003")</f>
        <v>1756310565003</v>
      </c>
    </row>
    <row r="9051" spans="1:11" ht="12.45">
      <c r="A9051" s="2" t="str">
        <f ca="1">IFERROR(__xludf.DUMMYFUNCTION("""COMPUTED_VALUE"""),"1756310590075")</f>
        <v>1756310590075</v>
      </c>
      <c r="C9051" s="2" t="str">
        <v>0</v>
      </c>
      <c r="F9051" s="2" t="str">
        <v>0</v>
      </c>
      <c r="I9051" s="3" t="str">
        <f ca="1">IFERROR(__xludf.DUMMYFUNCTION("""COMPUTED_VALUE"""),"Nguyễn Ngọc Trâm ")</f>
        <v xml:space="preserve">Nguyễn Ngọc Trâm </v>
      </c>
      <c r="J9051" s="3" t="str">
        <f ca="1">IFERROR(__xludf.DUMMYFUNCTION("""COMPUTED_VALUE"""),"0979709519")</f>
        <v>0979709519</v>
      </c>
      <c r="K9051" s="2" t="str">
        <f ca="1">IFERROR(__xludf.DUMMYFUNCTION("""COMPUTED_VALUE"""),"1756310590075")</f>
        <v>1756310590075</v>
      </c>
    </row>
    <row r="9052" spans="1:11" ht="12.45">
      <c r="A9052" s="2">
        <f ca="1">IFERROR(__xludf.DUMMYFUNCTION("""COMPUTED_VALUE"""),1750737094202)</f>
        <v>1750737094202</v>
      </c>
      <c r="C9052" s="2" t="str">
        <v>0</v>
      </c>
      <c r="F9052" s="2" t="str">
        <v>0</v>
      </c>
      <c r="I9052" s="3" t="str">
        <f ca="1">IFERROR(__xludf.DUMMYFUNCTION("""COMPUTED_VALUE"""),"Nguyễn Thị Khánh Linh")</f>
        <v>Nguyễn Thị Khánh Linh</v>
      </c>
      <c r="J9052" s="3" t="str">
        <f ca="1">IFERROR(__xludf.DUMMYFUNCTION("""COMPUTED_VALUE"""),"0965110350")</f>
        <v>0965110350</v>
      </c>
      <c r="K9052" s="2">
        <f ca="1">IFERROR(__xludf.DUMMYFUNCTION("""COMPUTED_VALUE"""),1750737094202)</f>
        <v>1750737094202</v>
      </c>
    </row>
    <row r="9053" spans="1:11" ht="12.45">
      <c r="A9053" s="2" t="str">
        <f ca="1">IFERROR(__xludf.DUMMYFUNCTION("""COMPUTED_VALUE"""),"1756310614379")</f>
        <v>1756310614379</v>
      </c>
      <c r="C9053" s="2" t="str">
        <v>0</v>
      </c>
      <c r="F9053" s="2" t="str">
        <v>0</v>
      </c>
      <c r="I9053" s="3" t="str">
        <f ca="1">IFERROR(__xludf.DUMMYFUNCTION("""COMPUTED_VALUE"""),"Nguyễn Thị Hằng")</f>
        <v>Nguyễn Thị Hằng</v>
      </c>
      <c r="J9053" s="3" t="str">
        <f ca="1">IFERROR(__xludf.DUMMYFUNCTION("""COMPUTED_VALUE"""),"0379982510")</f>
        <v>0379982510</v>
      </c>
      <c r="K9053" s="2" t="str">
        <f ca="1">IFERROR(__xludf.DUMMYFUNCTION("""COMPUTED_VALUE"""),"1756310614379")</f>
        <v>1756310614379</v>
      </c>
    </row>
    <row r="9054" spans="1:11" ht="12.45">
      <c r="A9054" s="2"/>
      <c r="C9054" s="2" t="str">
        <v>0</v>
      </c>
      <c r="F9054" s="2" t="str">
        <v>0</v>
      </c>
      <c r="I9054" s="3" t="str">
        <f ca="1">IFERROR(__xludf.DUMMYFUNCTION("""COMPUTED_VALUE"""),"Trần Thị Kim Huệ")</f>
        <v>Trần Thị Kim Huệ</v>
      </c>
      <c r="J9054" s="3" t="str">
        <f ca="1">IFERROR(__xludf.DUMMYFUNCTION("""COMPUTED_VALUE"""),"0984979208")</f>
        <v>0984979208</v>
      </c>
      <c r="K9054" s="2"/>
    </row>
    <row r="9055" spans="1:11" ht="12.45">
      <c r="A9055" s="2"/>
      <c r="C9055" s="2" t="str">
        <v>0</v>
      </c>
      <c r="F9055" s="2" t="str">
        <v>0</v>
      </c>
      <c r="I9055" s="3" t="str">
        <f ca="1">IFERROR(__xludf.DUMMYFUNCTION("""COMPUTED_VALUE"""),"Phạm Anh ")</f>
        <v xml:space="preserve">Phạm Anh </v>
      </c>
      <c r="J9055" s="3" t="str">
        <f ca="1">IFERROR(__xludf.DUMMYFUNCTION("""COMPUTED_VALUE"""),"0348930889")</f>
        <v>0348930889</v>
      </c>
      <c r="K9055" s="2"/>
    </row>
    <row r="9056" spans="1:11" ht="12.45">
      <c r="A9056" s="2" t="str">
        <f ca="1">IFERROR(__xludf.DUMMYFUNCTION("""COMPUTED_VALUE"""),"1756310647331")</f>
        <v>1756310647331</v>
      </c>
      <c r="C9056" s="2" t="str">
        <v>0</v>
      </c>
      <c r="F9056" s="2" t="str">
        <v>0</v>
      </c>
      <c r="I9056" s="3" t="str">
        <f ca="1">IFERROR(__xludf.DUMMYFUNCTION("""COMPUTED_VALUE"""),"Kpa H Don")</f>
        <v>Kpa H Don</v>
      </c>
      <c r="J9056" s="3" t="str">
        <f ca="1">IFERROR(__xludf.DUMMYFUNCTION("""COMPUTED_VALUE"""),"0329439464")</f>
        <v>0329439464</v>
      </c>
      <c r="K9056" s="2" t="str">
        <f ca="1">IFERROR(__xludf.DUMMYFUNCTION("""COMPUTED_VALUE"""),"1756310647331")</f>
        <v>1756310647331</v>
      </c>
    </row>
    <row r="9057" spans="1:11" ht="12.45">
      <c r="A9057" s="2" t="str">
        <f ca="1">IFERROR(__xludf.DUMMYFUNCTION("""COMPUTED_VALUE"""),"1756310679623")</f>
        <v>1756310679623</v>
      </c>
      <c r="C9057" s="2" t="str">
        <v>0</v>
      </c>
      <c r="F9057" s="2" t="str">
        <v>0</v>
      </c>
      <c r="I9057" s="3" t="str">
        <f ca="1">IFERROR(__xludf.DUMMYFUNCTION("""COMPUTED_VALUE"""),"Vũ Hoàng Mai ")</f>
        <v xml:space="preserve">Vũ Hoàng Mai </v>
      </c>
      <c r="J9057" s="3" t="str">
        <f ca="1">IFERROR(__xludf.DUMMYFUNCTION("""COMPUTED_VALUE"""),"0395581128")</f>
        <v>0395581128</v>
      </c>
      <c r="K9057" s="2" t="str">
        <f ca="1">IFERROR(__xludf.DUMMYFUNCTION("""COMPUTED_VALUE"""),"1756310679623")</f>
        <v>1756310679623</v>
      </c>
    </row>
    <row r="9058" spans="1:11" ht="12.45">
      <c r="A9058" s="2">
        <f ca="1">IFERROR(__xludf.DUMMYFUNCTION("""COMPUTED_VALUE"""),1750737138843)</f>
        <v>1750737138843</v>
      </c>
      <c r="C9058" s="2" t="str">
        <v>0</v>
      </c>
      <c r="F9058" s="2" t="str">
        <v>0</v>
      </c>
      <c r="I9058" s="3" t="str">
        <f ca="1">IFERROR(__xludf.DUMMYFUNCTION("""COMPUTED_VALUE"""),"Đinh Thị Khánh Linh ")</f>
        <v xml:space="preserve">Đinh Thị Khánh Linh </v>
      </c>
      <c r="J9058" s="3" t="str">
        <f ca="1">IFERROR(__xludf.DUMMYFUNCTION("""COMPUTED_VALUE"""),"0946168986")</f>
        <v>0946168986</v>
      </c>
      <c r="K9058" s="2">
        <f ca="1">IFERROR(__xludf.DUMMYFUNCTION("""COMPUTED_VALUE"""),1750737138843)</f>
        <v>1750737138843</v>
      </c>
    </row>
    <row r="9059" spans="1:11" ht="12.45">
      <c r="A9059" s="2" t="str">
        <f ca="1">IFERROR(__xludf.DUMMYFUNCTION("""COMPUTED_VALUE"""),"1756310708066")</f>
        <v>1756310708066</v>
      </c>
      <c r="C9059" s="2" t="str">
        <v>0</v>
      </c>
      <c r="F9059" s="2" t="str">
        <v>0</v>
      </c>
      <c r="I9059" s="3" t="str">
        <f ca="1">IFERROR(__xludf.DUMMYFUNCTION("""COMPUTED_VALUE"""),"Phạm Vũ Mai Uyên ")</f>
        <v xml:space="preserve">Phạm Vũ Mai Uyên </v>
      </c>
      <c r="J9059" s="3" t="str">
        <f ca="1">IFERROR(__xludf.DUMMYFUNCTION("""COMPUTED_VALUE"""),"0933367344")</f>
        <v>0933367344</v>
      </c>
      <c r="K9059" s="2" t="str">
        <f ca="1">IFERROR(__xludf.DUMMYFUNCTION("""COMPUTED_VALUE"""),"1756310708066")</f>
        <v>1756310708066</v>
      </c>
    </row>
    <row r="9060" spans="1:11" ht="12.45">
      <c r="A9060" s="2" t="str">
        <f ca="1">IFERROR(__xludf.DUMMYFUNCTION("""COMPUTED_VALUE"""),"1756310739360")</f>
        <v>1756310739360</v>
      </c>
      <c r="C9060" s="2" t="str">
        <v>0</v>
      </c>
      <c r="F9060" s="2" t="str">
        <v>0</v>
      </c>
      <c r="I9060" s="3" t="str">
        <f ca="1">IFERROR(__xludf.DUMMYFUNCTION("""COMPUTED_VALUE"""),"Nguyễn Thị Thái Hoà")</f>
        <v>Nguyễn Thị Thái Hoà</v>
      </c>
      <c r="J9060" s="3" t="str">
        <f ca="1">IFERROR(__xludf.DUMMYFUNCTION("""COMPUTED_VALUE"""),"0392459198")</f>
        <v>0392459198</v>
      </c>
      <c r="K9060" s="2" t="str">
        <f ca="1">IFERROR(__xludf.DUMMYFUNCTION("""COMPUTED_VALUE"""),"1756310739360")</f>
        <v>1756310739360</v>
      </c>
    </row>
    <row r="9061" spans="1:11" ht="12.45">
      <c r="A9061" s="2" t="str">
        <f ca="1">IFERROR(__xludf.DUMMYFUNCTION("""COMPUTED_VALUE"""),"1756310788031")</f>
        <v>1756310788031</v>
      </c>
      <c r="C9061" s="2" t="str">
        <v>0</v>
      </c>
      <c r="F9061" s="2" t="str">
        <v>0</v>
      </c>
      <c r="I9061" s="3" t="str">
        <f ca="1">IFERROR(__xludf.DUMMYFUNCTION("""COMPUTED_VALUE"""),"Nguyễn Phan Thảo Linh")</f>
        <v>Nguyễn Phan Thảo Linh</v>
      </c>
      <c r="J9061" s="3" t="str">
        <f ca="1">IFERROR(__xludf.DUMMYFUNCTION("""COMPUTED_VALUE"""),"0911892622")</f>
        <v>0911892622</v>
      </c>
      <c r="K9061" s="2" t="str">
        <f ca="1">IFERROR(__xludf.DUMMYFUNCTION("""COMPUTED_VALUE"""),"1756310788031")</f>
        <v>1756310788031</v>
      </c>
    </row>
    <row r="9062" spans="1:11" ht="12.45">
      <c r="A9062" s="2" t="str">
        <f ca="1">IFERROR(__xludf.DUMMYFUNCTION("""COMPUTED_VALUE"""),"1756310831892")</f>
        <v>1756310831892</v>
      </c>
      <c r="C9062" s="2" t="str">
        <v>0</v>
      </c>
      <c r="F9062" s="2" t="str">
        <v>0</v>
      </c>
      <c r="I9062" s="3" t="str">
        <f ca="1">IFERROR(__xludf.DUMMYFUNCTION("""COMPUTED_VALUE"""),"Nguyễn Hoa Yến")</f>
        <v>Nguyễn Hoa Yến</v>
      </c>
      <c r="J9062" s="3" t="str">
        <f ca="1">IFERROR(__xludf.DUMMYFUNCTION("""COMPUTED_VALUE"""),"0966901481")</f>
        <v>0966901481</v>
      </c>
      <c r="K9062" s="2" t="str">
        <f ca="1">IFERROR(__xludf.DUMMYFUNCTION("""COMPUTED_VALUE"""),"1756310831892")</f>
        <v>1756310831892</v>
      </c>
    </row>
    <row r="9063" spans="1:11" ht="12.45">
      <c r="A9063" s="2" t="str">
        <f ca="1">IFERROR(__xludf.DUMMYFUNCTION("""COMPUTED_VALUE"""),"1756310869804")</f>
        <v>1756310869804</v>
      </c>
      <c r="C9063" s="2" t="str">
        <v>0</v>
      </c>
      <c r="F9063" s="2" t="str">
        <v>0</v>
      </c>
      <c r="I9063" s="3" t="str">
        <f ca="1">IFERROR(__xludf.DUMMYFUNCTION("""COMPUTED_VALUE"""),"Vũ Thị Thu Hoài ")</f>
        <v xml:space="preserve">Vũ Thị Thu Hoài </v>
      </c>
      <c r="J9063" s="3" t="str">
        <f ca="1">IFERROR(__xludf.DUMMYFUNCTION("""COMPUTED_VALUE"""),"0974901806")</f>
        <v>0974901806</v>
      </c>
      <c r="K9063" s="2" t="str">
        <f ca="1">IFERROR(__xludf.DUMMYFUNCTION("""COMPUTED_VALUE"""),"1756310869804")</f>
        <v>1756310869804</v>
      </c>
    </row>
    <row r="9064" spans="1:11" ht="12.45">
      <c r="A9064" s="2" t="str">
        <f ca="1">IFERROR(__xludf.DUMMYFUNCTION("""COMPUTED_VALUE"""),"1756310917245")</f>
        <v>1756310917245</v>
      </c>
      <c r="C9064" s="2" t="str">
        <v>0</v>
      </c>
      <c r="F9064" s="2" t="str">
        <v>0</v>
      </c>
      <c r="I9064" s="3" t="str">
        <f ca="1">IFERROR(__xludf.DUMMYFUNCTION("""COMPUTED_VALUE"""),"Lê Huỳnh Duy Tân")</f>
        <v>Lê Huỳnh Duy Tân</v>
      </c>
      <c r="J9064" s="3" t="str">
        <f ca="1">IFERROR(__xludf.DUMMYFUNCTION("""COMPUTED_VALUE"""),"0342743738")</f>
        <v>0342743738</v>
      </c>
      <c r="K9064" s="2" t="str">
        <f ca="1">IFERROR(__xludf.DUMMYFUNCTION("""COMPUTED_VALUE"""),"1756310917245")</f>
        <v>1756310917245</v>
      </c>
    </row>
    <row r="9065" spans="1:11" ht="12.45">
      <c r="A9065" s="2" t="str">
        <f ca="1">IFERROR(__xludf.DUMMYFUNCTION("""COMPUTED_VALUE"""),"1756310952560")</f>
        <v>1756310952560</v>
      </c>
      <c r="C9065" s="2" t="str">
        <v>0</v>
      </c>
      <c r="F9065" s="2" t="str">
        <v>0</v>
      </c>
      <c r="I9065" s="3" t="str">
        <f ca="1">IFERROR(__xludf.DUMMYFUNCTION("""COMPUTED_VALUE"""),"Nguyễn Linh Nga")</f>
        <v>Nguyễn Linh Nga</v>
      </c>
      <c r="J9065" s="3" t="str">
        <f ca="1">IFERROR(__xludf.DUMMYFUNCTION("""COMPUTED_VALUE"""),"0911905855")</f>
        <v>0911905855</v>
      </c>
      <c r="K9065" s="2" t="str">
        <f ca="1">IFERROR(__xludf.DUMMYFUNCTION("""COMPUTED_VALUE"""),"1756310952560")</f>
        <v>1756310952560</v>
      </c>
    </row>
    <row r="9066" spans="1:11" ht="12.45">
      <c r="A9066" s="2">
        <f ca="1">IFERROR(__xludf.DUMMYFUNCTION("""COMPUTED_VALUE"""),1750737174353)</f>
        <v>1750737174353</v>
      </c>
      <c r="C9066" s="2" t="str">
        <v>0</v>
      </c>
      <c r="F9066" s="2" t="str">
        <v>0</v>
      </c>
      <c r="I9066" s="3" t="str">
        <f ca="1">IFERROR(__xludf.DUMMYFUNCTION("""COMPUTED_VALUE"""),"Đinh Thị Thanh Huyền")</f>
        <v>Đinh Thị Thanh Huyền</v>
      </c>
      <c r="J9066" s="3" t="str">
        <f ca="1">IFERROR(__xludf.DUMMYFUNCTION("""COMPUTED_VALUE"""),"0334039905")</f>
        <v>0334039905</v>
      </c>
      <c r="K9066" s="2">
        <f ca="1">IFERROR(__xludf.DUMMYFUNCTION("""COMPUTED_VALUE"""),1750737174353)</f>
        <v>1750737174353</v>
      </c>
    </row>
    <row r="9067" spans="1:11" ht="12.45">
      <c r="A9067" s="2" t="str">
        <f ca="1">IFERROR(__xludf.DUMMYFUNCTION("""COMPUTED_VALUE"""),"1756310999705")</f>
        <v>1756310999705</v>
      </c>
      <c r="C9067" s="2" t="str">
        <v>0</v>
      </c>
      <c r="F9067" s="2" t="str">
        <v>0</v>
      </c>
      <c r="I9067" s="3" t="str">
        <f ca="1">IFERROR(__xludf.DUMMYFUNCTION("""COMPUTED_VALUE"""),"Nguyễn Khánh Huyền")</f>
        <v>Nguyễn Khánh Huyền</v>
      </c>
      <c r="J9067" s="3" t="str">
        <f ca="1">IFERROR(__xludf.DUMMYFUNCTION("""COMPUTED_VALUE"""),"0392935004")</f>
        <v>0392935004</v>
      </c>
      <c r="K9067" s="2" t="str">
        <f ca="1">IFERROR(__xludf.DUMMYFUNCTION("""COMPUTED_VALUE"""),"1756310999705")</f>
        <v>1756310999705</v>
      </c>
    </row>
    <row r="9068" spans="1:11" ht="12.45">
      <c r="A9068" s="2" t="str">
        <f ca="1">IFERROR(__xludf.DUMMYFUNCTION("""COMPUTED_VALUE"""),"1756311050453")</f>
        <v>1756311050453</v>
      </c>
      <c r="C9068" s="2" t="str">
        <v>0</v>
      </c>
      <c r="F9068" s="2" t="str">
        <v>0</v>
      </c>
      <c r="I9068" s="3" t="str">
        <f ca="1">IFERROR(__xludf.DUMMYFUNCTION("""COMPUTED_VALUE"""),"Trần Phương Anh ")</f>
        <v xml:space="preserve">Trần Phương Anh </v>
      </c>
      <c r="J9068" s="3" t="str">
        <f ca="1">IFERROR(__xludf.DUMMYFUNCTION("""COMPUTED_VALUE"""),"0367960411")</f>
        <v>0367960411</v>
      </c>
      <c r="K9068" s="2" t="str">
        <f ca="1">IFERROR(__xludf.DUMMYFUNCTION("""COMPUTED_VALUE"""),"1756311050453")</f>
        <v>1756311050453</v>
      </c>
    </row>
    <row r="9069" spans="1:11" ht="12.45">
      <c r="A9069" s="2" t="str">
        <f ca="1">IFERROR(__xludf.DUMMYFUNCTION("""COMPUTED_VALUE"""),"1756311092121")</f>
        <v>1756311092121</v>
      </c>
      <c r="C9069" s="2" t="str">
        <v>0</v>
      </c>
      <c r="F9069" s="2" t="str">
        <v>0</v>
      </c>
      <c r="I9069" s="3" t="str">
        <f ca="1">IFERROR(__xludf.DUMMYFUNCTION("""COMPUTED_VALUE"""),"Phạm Trà My ")</f>
        <v xml:space="preserve">Phạm Trà My </v>
      </c>
      <c r="J9069" s="3" t="str">
        <f ca="1">IFERROR(__xludf.DUMMYFUNCTION("""COMPUTED_VALUE"""),"0968882198")</f>
        <v>0968882198</v>
      </c>
      <c r="K9069" s="2" t="str">
        <f ca="1">IFERROR(__xludf.DUMMYFUNCTION("""COMPUTED_VALUE"""),"1756311092121")</f>
        <v>1756311092121</v>
      </c>
    </row>
    <row r="9070" spans="1:11" ht="12.45">
      <c r="A9070" s="2" t="str">
        <f ca="1">IFERROR(__xludf.DUMMYFUNCTION("""COMPUTED_VALUE"""),"1756311140598")</f>
        <v>1756311140598</v>
      </c>
      <c r="C9070" s="2" t="str">
        <v>0</v>
      </c>
      <c r="F9070" s="2" t="str">
        <v>0</v>
      </c>
      <c r="I9070" s="3" t="str">
        <f ca="1">IFERROR(__xludf.DUMMYFUNCTION("""COMPUTED_VALUE"""),"Đinh Thị Thùy Linh")</f>
        <v>Đinh Thị Thùy Linh</v>
      </c>
      <c r="J9070" s="3" t="str">
        <f ca="1">IFERROR(__xludf.DUMMYFUNCTION("""COMPUTED_VALUE"""),"0359073382")</f>
        <v>0359073382</v>
      </c>
      <c r="K9070" s="2" t="str">
        <f ca="1">IFERROR(__xludf.DUMMYFUNCTION("""COMPUTED_VALUE"""),"1756311140598")</f>
        <v>1756311140598</v>
      </c>
    </row>
    <row r="9071" spans="1:11" ht="12.45">
      <c r="A9071" s="2">
        <f ca="1">IFERROR(__xludf.DUMMYFUNCTION("""COMPUTED_VALUE"""),1750737232801)</f>
        <v>1750737232801</v>
      </c>
      <c r="C9071" s="2" t="str">
        <v>0</v>
      </c>
      <c r="F9071" s="2" t="str">
        <v>0</v>
      </c>
      <c r="I9071" s="3" t="str">
        <f ca="1">IFERROR(__xludf.DUMMYFUNCTION("""COMPUTED_VALUE"""),"Trần Thị Như Ý ")</f>
        <v xml:space="preserve">Trần Thị Như Ý </v>
      </c>
      <c r="J9071" s="3" t="str">
        <f ca="1">IFERROR(__xludf.DUMMYFUNCTION("""COMPUTED_VALUE"""),"0356806430")</f>
        <v>0356806430</v>
      </c>
      <c r="K9071" s="2">
        <f ca="1">IFERROR(__xludf.DUMMYFUNCTION("""COMPUTED_VALUE"""),1750737232801)</f>
        <v>1750737232801</v>
      </c>
    </row>
    <row r="9072" spans="1:11" ht="12.45">
      <c r="A9072" s="2"/>
      <c r="C9072" s="2" t="str">
        <v>0</v>
      </c>
      <c r="F9072" s="2" t="str">
        <v>0</v>
      </c>
      <c r="I9072" s="3" t="str">
        <f ca="1">IFERROR(__xludf.DUMMYFUNCTION("""COMPUTED_VALUE"""),"TÒNG BẢO NHẬT ")</f>
        <v xml:space="preserve">TÒNG BẢO NHẬT </v>
      </c>
      <c r="J9072" s="3" t="str">
        <f ca="1">IFERROR(__xludf.DUMMYFUNCTION("""COMPUTED_VALUE"""),"0865350090")</f>
        <v>0865350090</v>
      </c>
      <c r="K9072" s="2"/>
    </row>
    <row r="9073" spans="1:11" ht="12.45">
      <c r="A9073" s="2">
        <f ca="1">IFERROR(__xludf.DUMMYFUNCTION("""COMPUTED_VALUE"""),1748494239212)</f>
        <v>1748494239212</v>
      </c>
      <c r="C9073" s="2" t="str">
        <v>0</v>
      </c>
      <c r="F9073" s="2" t="str">
        <v>0</v>
      </c>
      <c r="I9073" s="3" t="str">
        <f ca="1">IFERROR(__xludf.DUMMYFUNCTION("""COMPUTED_VALUE"""),"đặng kiều trang")</f>
        <v>đặng kiều trang</v>
      </c>
      <c r="J9073" s="3" t="str">
        <f ca="1">IFERROR(__xludf.DUMMYFUNCTION("""COMPUTED_VALUE"""),"8486907189")</f>
        <v>8486907189</v>
      </c>
      <c r="K9073" s="2">
        <f ca="1">IFERROR(__xludf.DUMMYFUNCTION("""COMPUTED_VALUE"""),1748494239212)</f>
        <v>1748494239212</v>
      </c>
    </row>
    <row r="9074" spans="1:11" ht="12.45">
      <c r="A9074" s="2">
        <f ca="1">IFERROR(__xludf.DUMMYFUNCTION("""COMPUTED_VALUE"""),1748494307576)</f>
        <v>1748494307576</v>
      </c>
      <c r="C9074" s="2" t="str">
        <v>0</v>
      </c>
      <c r="F9074" s="2" t="str">
        <v>0</v>
      </c>
      <c r="I9074" s="3" t="str">
        <f ca="1">IFERROR(__xludf.DUMMYFUNCTION("""COMPUTED_VALUE"""),"Trần Anh Trọng ")</f>
        <v xml:space="preserve">Trần Anh Trọng </v>
      </c>
      <c r="J9074" s="3" t="str">
        <f ca="1">IFERROR(__xludf.DUMMYFUNCTION("""COMPUTED_VALUE"""),"0913134950")</f>
        <v>0913134950</v>
      </c>
      <c r="K9074" s="2">
        <f ca="1">IFERROR(__xludf.DUMMYFUNCTION("""COMPUTED_VALUE"""),1748494307576)</f>
        <v>1748494307576</v>
      </c>
    </row>
    <row r="9075" spans="1:11" ht="12.45">
      <c r="A9075" s="2"/>
      <c r="C9075" s="2" t="str">
        <v>0</v>
      </c>
      <c r="F9075" s="2" t="str">
        <v>0</v>
      </c>
      <c r="I9075" s="3" t="str">
        <f ca="1">IFERROR(__xludf.DUMMYFUNCTION("""COMPUTED_VALUE"""),"Hoàng Thị Hồng Thắm ")</f>
        <v xml:space="preserve">Hoàng Thị Hồng Thắm </v>
      </c>
      <c r="J9075" s="3" t="str">
        <f ca="1">IFERROR(__xludf.DUMMYFUNCTION("""COMPUTED_VALUE"""),"0379714345")</f>
        <v>0379714345</v>
      </c>
      <c r="K9075" s="2"/>
    </row>
    <row r="9076" spans="1:11" ht="12.45">
      <c r="A9076" s="2">
        <f ca="1">IFERROR(__xludf.DUMMYFUNCTION("""COMPUTED_VALUE"""),1748494379469)</f>
        <v>1748494379469</v>
      </c>
      <c r="C9076" s="2" t="str">
        <v>0</v>
      </c>
      <c r="F9076" s="2" t="str">
        <v>0</v>
      </c>
      <c r="I9076" s="3" t="str">
        <f ca="1">IFERROR(__xludf.DUMMYFUNCTION("""COMPUTED_VALUE"""),"Triệu Phát Tài ")</f>
        <v xml:space="preserve">Triệu Phát Tài </v>
      </c>
      <c r="J9076" s="3" t="str">
        <f ca="1">IFERROR(__xludf.DUMMYFUNCTION("""COMPUTED_VALUE"""),"0353295409")</f>
        <v>0353295409</v>
      </c>
      <c r="K9076" s="2">
        <f ca="1">IFERROR(__xludf.DUMMYFUNCTION("""COMPUTED_VALUE"""),1748494379469)</f>
        <v>1748494379469</v>
      </c>
    </row>
    <row r="9077" spans="1:11" ht="12.45">
      <c r="A9077" s="2">
        <f ca="1">IFERROR(__xludf.DUMMYFUNCTION("""COMPUTED_VALUE"""),1748494444983)</f>
        <v>1748494444983</v>
      </c>
      <c r="C9077" s="2" t="str">
        <v>0</v>
      </c>
      <c r="F9077" s="2" t="str">
        <v>0</v>
      </c>
      <c r="I9077" s="3" t="str">
        <f ca="1">IFERROR(__xludf.DUMMYFUNCTION("""COMPUTED_VALUE"""),"Hà Bích Huệ")</f>
        <v>Hà Bích Huệ</v>
      </c>
      <c r="J9077" s="3" t="str">
        <f ca="1">IFERROR(__xludf.DUMMYFUNCTION("""COMPUTED_VALUE"""),"0865166372")</f>
        <v>0865166372</v>
      </c>
      <c r="K9077" s="2">
        <f ca="1">IFERROR(__xludf.DUMMYFUNCTION("""COMPUTED_VALUE"""),1748494444983)</f>
        <v>1748494444983</v>
      </c>
    </row>
    <row r="9078" spans="1:11" ht="12.45">
      <c r="A9078" s="2">
        <f ca="1">IFERROR(__xludf.DUMMYFUNCTION("""COMPUTED_VALUE"""),1748494526905)</f>
        <v>1748494526905</v>
      </c>
      <c r="C9078" s="2" t="str">
        <v>0</v>
      </c>
      <c r="F9078" s="2" t="str">
        <v>0</v>
      </c>
      <c r="I9078" s="3" t="str">
        <f ca="1">IFERROR(__xludf.DUMMYFUNCTION("""COMPUTED_VALUE"""),"Lê Nguyễn Đức Hiệu ")</f>
        <v xml:space="preserve">Lê Nguyễn Đức Hiệu </v>
      </c>
      <c r="J9078" s="3" t="str">
        <f ca="1">IFERROR(__xludf.DUMMYFUNCTION("""COMPUTED_VALUE"""),"0346005750")</f>
        <v>0346005750</v>
      </c>
      <c r="K9078" s="2">
        <f ca="1">IFERROR(__xludf.DUMMYFUNCTION("""COMPUTED_VALUE"""),1748494526905)</f>
        <v>1748494526905</v>
      </c>
    </row>
    <row r="9079" spans="1:11" ht="12.45">
      <c r="A9079" s="2">
        <f ca="1">IFERROR(__xludf.DUMMYFUNCTION("""COMPUTED_VALUE"""),1748494574333)</f>
        <v>1748494574333</v>
      </c>
      <c r="C9079" s="2" t="str">
        <v>0</v>
      </c>
      <c r="F9079" s="2" t="str">
        <v>0</v>
      </c>
      <c r="I9079" s="3" t="str">
        <f ca="1">IFERROR(__xludf.DUMMYFUNCTION("""COMPUTED_VALUE"""),"Trương Hạnh Nguyên")</f>
        <v>Trương Hạnh Nguyên</v>
      </c>
      <c r="J9079" s="3" t="str">
        <f ca="1">IFERROR(__xludf.DUMMYFUNCTION("""COMPUTED_VALUE"""),"0917666246")</f>
        <v>0917666246</v>
      </c>
      <c r="K9079" s="2">
        <f ca="1">IFERROR(__xludf.DUMMYFUNCTION("""COMPUTED_VALUE"""),1748494574333)</f>
        <v>1748494574333</v>
      </c>
    </row>
    <row r="9080" spans="1:11" ht="12.45">
      <c r="A9080" s="2">
        <f ca="1">IFERROR(__xludf.DUMMYFUNCTION("""COMPUTED_VALUE"""),1748494616626)</f>
        <v>1748494616626</v>
      </c>
      <c r="C9080" s="2" t="str">
        <v>0</v>
      </c>
      <c r="F9080" s="2" t="str">
        <v>0</v>
      </c>
      <c r="I9080" s="3" t="str">
        <f ca="1">IFERROR(__xludf.DUMMYFUNCTION("""COMPUTED_VALUE"""),"Nguyễn Phạm Xuân Phương ")</f>
        <v xml:space="preserve">Nguyễn Phạm Xuân Phương </v>
      </c>
      <c r="J9080" s="3" t="str">
        <f ca="1">IFERROR(__xludf.DUMMYFUNCTION("""COMPUTED_VALUE"""),"0931245553")</f>
        <v>0931245553</v>
      </c>
      <c r="K9080" s="2">
        <f ca="1">IFERROR(__xludf.DUMMYFUNCTION("""COMPUTED_VALUE"""),1748494616626)</f>
        <v>1748494616626</v>
      </c>
    </row>
    <row r="9081" spans="1:11" ht="12.45">
      <c r="A9081" s="2">
        <f ca="1">IFERROR(__xludf.DUMMYFUNCTION("""COMPUTED_VALUE"""),1748494653465)</f>
        <v>1748494653465</v>
      </c>
      <c r="C9081" s="2" t="str">
        <v>0</v>
      </c>
      <c r="F9081" s="2" t="str">
        <v>0</v>
      </c>
      <c r="I9081" s="3" t="str">
        <f ca="1">IFERROR(__xludf.DUMMYFUNCTION("""COMPUTED_VALUE"""),"Phạm Thanh Huyền")</f>
        <v>Phạm Thanh Huyền</v>
      </c>
      <c r="J9081" s="3" t="str">
        <f ca="1">IFERROR(__xludf.DUMMYFUNCTION("""COMPUTED_VALUE"""),"0332366732")</f>
        <v>0332366732</v>
      </c>
      <c r="K9081" s="2">
        <f ca="1">IFERROR(__xludf.DUMMYFUNCTION("""COMPUTED_VALUE"""),1748494653465)</f>
        <v>1748494653465</v>
      </c>
    </row>
    <row r="9082" spans="1:11" ht="12.45">
      <c r="A9082" s="2">
        <f ca="1">IFERROR(__xludf.DUMMYFUNCTION("""COMPUTED_VALUE"""),1749069891937)</f>
        <v>1749069891937</v>
      </c>
      <c r="C9082" s="2" t="str">
        <v>0</v>
      </c>
      <c r="F9082" s="2" t="str">
        <v>0</v>
      </c>
      <c r="I9082" s="3" t="str">
        <f ca="1">IFERROR(__xludf.DUMMYFUNCTION("""COMPUTED_VALUE"""),"Nguyễn Minh Châu")</f>
        <v>Nguyễn Minh Châu</v>
      </c>
      <c r="J9082" s="3" t="str">
        <f ca="1">IFERROR(__xludf.DUMMYFUNCTION("""COMPUTED_VALUE"""),"0363347072")</f>
        <v>0363347072</v>
      </c>
      <c r="K9082" s="2">
        <f ca="1">IFERROR(__xludf.DUMMYFUNCTION("""COMPUTED_VALUE"""),1749069891937)</f>
        <v>1749069891937</v>
      </c>
    </row>
    <row r="9083" spans="1:11" ht="12.45">
      <c r="A9083" s="2">
        <f ca="1">IFERROR(__xludf.DUMMYFUNCTION("""COMPUTED_VALUE"""),1749069940009)</f>
        <v>1749069940009</v>
      </c>
      <c r="C9083" s="2" t="str">
        <v>0</v>
      </c>
      <c r="F9083" s="2" t="str">
        <v>0</v>
      </c>
      <c r="I9083" s="3" t="str">
        <f ca="1">IFERROR(__xludf.DUMMYFUNCTION("""COMPUTED_VALUE"""),"Đỗ Thị Anh Đào ")</f>
        <v xml:space="preserve">Đỗ Thị Anh Đào </v>
      </c>
      <c r="J9083" s="3" t="str">
        <f ca="1">IFERROR(__xludf.DUMMYFUNCTION("""COMPUTED_VALUE"""),"0868793971")</f>
        <v>0868793971</v>
      </c>
      <c r="K9083" s="2">
        <f ca="1">IFERROR(__xludf.DUMMYFUNCTION("""COMPUTED_VALUE"""),1749069940009)</f>
        <v>1749069940009</v>
      </c>
    </row>
    <row r="9084" spans="1:11" ht="12.45">
      <c r="A9084" s="2">
        <f ca="1">IFERROR(__xludf.DUMMYFUNCTION("""COMPUTED_VALUE"""),1749069978108)</f>
        <v>1749069978108</v>
      </c>
      <c r="C9084" s="2" t="str">
        <v>0</v>
      </c>
      <c r="F9084" s="2" t="str">
        <v>0</v>
      </c>
      <c r="I9084" s="3" t="str">
        <f ca="1">IFERROR(__xludf.DUMMYFUNCTION("""COMPUTED_VALUE"""),"Lưu Bảo Trâm")</f>
        <v>Lưu Bảo Trâm</v>
      </c>
      <c r="J9084" s="3" t="str">
        <f ca="1">IFERROR(__xludf.DUMMYFUNCTION("""COMPUTED_VALUE"""),"0387989980")</f>
        <v>0387989980</v>
      </c>
      <c r="K9084" s="2">
        <f ca="1">IFERROR(__xludf.DUMMYFUNCTION("""COMPUTED_VALUE"""),1749069978108)</f>
        <v>1749069978108</v>
      </c>
    </row>
    <row r="9085" spans="1:11" ht="12.45">
      <c r="A9085" s="2">
        <f ca="1">IFERROR(__xludf.DUMMYFUNCTION("""COMPUTED_VALUE"""),1749070016435)</f>
        <v>1749070016435</v>
      </c>
      <c r="C9085" s="2" t="str">
        <v>0</v>
      </c>
      <c r="F9085" s="2" t="str">
        <v>0</v>
      </c>
      <c r="I9085" s="3" t="str">
        <f ca="1">IFERROR(__xludf.DUMMYFUNCTION("""COMPUTED_VALUE"""),"Trần Quang Phúc")</f>
        <v>Trần Quang Phúc</v>
      </c>
      <c r="J9085" s="3" t="str">
        <f ca="1">IFERROR(__xludf.DUMMYFUNCTION("""COMPUTED_VALUE"""),"0889085588")</f>
        <v>0889085588</v>
      </c>
      <c r="K9085" s="2">
        <f ca="1">IFERROR(__xludf.DUMMYFUNCTION("""COMPUTED_VALUE"""),1749070016435)</f>
        <v>1749070016435</v>
      </c>
    </row>
    <row r="9086" spans="1:11" ht="12.45">
      <c r="A9086" s="2">
        <f ca="1">IFERROR(__xludf.DUMMYFUNCTION("""COMPUTED_VALUE"""),1749070046311)</f>
        <v>1749070046311</v>
      </c>
      <c r="C9086" s="2" t="str">
        <v>0</v>
      </c>
      <c r="F9086" s="2" t="str">
        <v>0</v>
      </c>
      <c r="I9086" s="3" t="str">
        <f ca="1">IFERROR(__xludf.DUMMYFUNCTION("""COMPUTED_VALUE"""),"Oanh")</f>
        <v>Oanh</v>
      </c>
      <c r="J9086" s="3" t="str">
        <f ca="1">IFERROR(__xludf.DUMMYFUNCTION("""COMPUTED_VALUE"""),"0348385630")</f>
        <v>0348385630</v>
      </c>
      <c r="K9086" s="2">
        <f ca="1">IFERROR(__xludf.DUMMYFUNCTION("""COMPUTED_VALUE"""),1749070046311)</f>
        <v>1749070046311</v>
      </c>
    </row>
    <row r="9087" spans="1:11" ht="12.45">
      <c r="A9087" s="2">
        <f ca="1">IFERROR(__xludf.DUMMYFUNCTION("""COMPUTED_VALUE"""),1749070077565)</f>
        <v>1749070077565</v>
      </c>
      <c r="C9087" s="2" t="str">
        <v>0</v>
      </c>
      <c r="F9087" s="2" t="str">
        <v>0</v>
      </c>
      <c r="I9087" s="3" t="str">
        <f ca="1">IFERROR(__xludf.DUMMYFUNCTION("""COMPUTED_VALUE"""),"So Hương Anh Xuân")</f>
        <v>So Hương Anh Xuân</v>
      </c>
      <c r="J9087" s="3" t="str">
        <f ca="1">IFERROR(__xludf.DUMMYFUNCTION("""COMPUTED_VALUE"""),"0898144209")</f>
        <v>0898144209</v>
      </c>
      <c r="K9087" s="2">
        <f ca="1">IFERROR(__xludf.DUMMYFUNCTION("""COMPUTED_VALUE"""),1749070077565)</f>
        <v>1749070077565</v>
      </c>
    </row>
    <row r="9088" spans="1:11" ht="12.45">
      <c r="A9088" s="2" t="str">
        <f ca="1">IFERROR(__xludf.DUMMYFUNCTION("""COMPUTED_VALUE"""),"1754852468539")</f>
        <v>1754852468539</v>
      </c>
      <c r="C9088" s="2" t="str">
        <v>0</v>
      </c>
      <c r="F9088" s="2" t="str">
        <v>0</v>
      </c>
      <c r="I9088" s="3" t="str">
        <f ca="1">IFERROR(__xludf.DUMMYFUNCTION("""COMPUTED_VALUE"""),"Tạ Bảo Châu")</f>
        <v>Tạ Bảo Châu</v>
      </c>
      <c r="J9088" s="3" t="str">
        <f ca="1">IFERROR(__xludf.DUMMYFUNCTION("""COMPUTED_VALUE"""),"0912222538")</f>
        <v>0912222538</v>
      </c>
      <c r="K9088" s="2" t="str">
        <f ca="1">IFERROR(__xludf.DUMMYFUNCTION("""COMPUTED_VALUE"""),"1754852468539")</f>
        <v>1754852468539</v>
      </c>
    </row>
    <row r="9089" spans="1:11" ht="12.45">
      <c r="A9089" s="2">
        <f ca="1">IFERROR(__xludf.DUMMYFUNCTION("""COMPUTED_VALUE"""),1749070108589)</f>
        <v>1749070108589</v>
      </c>
      <c r="C9089" s="2" t="str">
        <v>0</v>
      </c>
      <c r="F9089" s="2" t="str">
        <v>0</v>
      </c>
      <c r="I9089" s="3" t="str">
        <f ca="1">IFERROR(__xludf.DUMMYFUNCTION("""COMPUTED_VALUE"""),"Đoàn Nguyên Thảo")</f>
        <v>Đoàn Nguyên Thảo</v>
      </c>
      <c r="J9089" s="3" t="str">
        <f ca="1">IFERROR(__xludf.DUMMYFUNCTION("""COMPUTED_VALUE"""),"0818121142")</f>
        <v>0818121142</v>
      </c>
      <c r="K9089" s="2">
        <f ca="1">IFERROR(__xludf.DUMMYFUNCTION("""COMPUTED_VALUE"""),1749070108589)</f>
        <v>1749070108589</v>
      </c>
    </row>
    <row r="9090" spans="1:11" ht="12.45">
      <c r="A9090" s="2" t="str">
        <f ca="1">IFERROR(__xludf.DUMMYFUNCTION("""COMPUTED_VALUE"""),"1754852496086")</f>
        <v>1754852496086</v>
      </c>
      <c r="C9090" s="2" t="str">
        <v>0</v>
      </c>
      <c r="F9090" s="2" t="str">
        <v>0</v>
      </c>
      <c r="I9090" s="3" t="str">
        <f ca="1">IFERROR(__xludf.DUMMYFUNCTION("""COMPUTED_VALUE"""),"Lê Khánh Ngân")</f>
        <v>Lê Khánh Ngân</v>
      </c>
      <c r="J9090" s="3" t="str">
        <f ca="1">IFERROR(__xludf.DUMMYFUNCTION("""COMPUTED_VALUE"""),"0813218018")</f>
        <v>0813218018</v>
      </c>
      <c r="K9090" s="2" t="str">
        <f ca="1">IFERROR(__xludf.DUMMYFUNCTION("""COMPUTED_VALUE"""),"1754852496086")</f>
        <v>1754852496086</v>
      </c>
    </row>
    <row r="9091" spans="1:11" ht="12.45">
      <c r="A9091" s="2" t="str">
        <f ca="1">IFERROR(__xludf.DUMMYFUNCTION("""COMPUTED_VALUE"""),"1754852541567")</f>
        <v>1754852541567</v>
      </c>
      <c r="C9091" s="2" t="str">
        <v>0</v>
      </c>
      <c r="F9091" s="2" t="str">
        <v>0</v>
      </c>
      <c r="I9091" s="3" t="str">
        <f ca="1">IFERROR(__xludf.DUMMYFUNCTION("""COMPUTED_VALUE"""),"Trần Nhật Minh Thư")</f>
        <v>Trần Nhật Minh Thư</v>
      </c>
      <c r="J9091" s="3" t="str">
        <f ca="1">IFERROR(__xludf.DUMMYFUNCTION("""COMPUTED_VALUE"""),"0569043020")</f>
        <v>0569043020</v>
      </c>
      <c r="K9091" s="2" t="str">
        <f ca="1">IFERROR(__xludf.DUMMYFUNCTION("""COMPUTED_VALUE"""),"1754852541567")</f>
        <v>1754852541567</v>
      </c>
    </row>
    <row r="9092" spans="1:11" ht="12.45">
      <c r="A9092" s="2" t="str">
        <f ca="1">IFERROR(__xludf.DUMMYFUNCTION("""COMPUTED_VALUE"""),"1754852595467")</f>
        <v>1754852595467</v>
      </c>
      <c r="C9092" s="2" t="str">
        <v>0</v>
      </c>
      <c r="F9092" s="2" t="str">
        <v>0</v>
      </c>
      <c r="I9092" s="3" t="str">
        <f ca="1">IFERROR(__xludf.DUMMYFUNCTION("""COMPUTED_VALUE"""),"Trần Minh Thuận ")</f>
        <v xml:space="preserve">Trần Minh Thuận </v>
      </c>
      <c r="J9092" s="3" t="str">
        <f ca="1">IFERROR(__xludf.DUMMYFUNCTION("""COMPUTED_VALUE"""),"0374717221")</f>
        <v>0374717221</v>
      </c>
      <c r="K9092" s="2" t="str">
        <f ca="1">IFERROR(__xludf.DUMMYFUNCTION("""COMPUTED_VALUE"""),"1754852595467")</f>
        <v>1754852595467</v>
      </c>
    </row>
    <row r="9093" spans="1:11" ht="12.45">
      <c r="A9093" s="2" t="str">
        <f ca="1">IFERROR(__xludf.DUMMYFUNCTION("""COMPUTED_VALUE"""),"1754852644511")</f>
        <v>1754852644511</v>
      </c>
      <c r="C9093" s="2" t="str">
        <v>0</v>
      </c>
      <c r="F9093" s="2" t="str">
        <v>0</v>
      </c>
      <c r="I9093" s="3" t="str">
        <f ca="1">IFERROR(__xludf.DUMMYFUNCTION("""COMPUTED_VALUE"""),"Võ Tuấn Khanh")</f>
        <v>Võ Tuấn Khanh</v>
      </c>
      <c r="J9093" s="3" t="str">
        <f ca="1">IFERROR(__xludf.DUMMYFUNCTION("""COMPUTED_VALUE"""),"0832450917")</f>
        <v>0832450917</v>
      </c>
      <c r="K9093" s="2" t="str">
        <f ca="1">IFERROR(__xludf.DUMMYFUNCTION("""COMPUTED_VALUE"""),"1754852644511")</f>
        <v>1754852644511</v>
      </c>
    </row>
    <row r="9094" spans="1:11" ht="12.45">
      <c r="A9094" s="2" t="str">
        <f ca="1">IFERROR(__xludf.DUMMYFUNCTION("""COMPUTED_VALUE"""),"1754852701757")</f>
        <v>1754852701757</v>
      </c>
      <c r="C9094" s="2" t="str">
        <v>0</v>
      </c>
      <c r="F9094" s="2" t="str">
        <v>0</v>
      </c>
      <c r="I9094" s="3" t="str">
        <f ca="1">IFERROR(__xludf.DUMMYFUNCTION("""COMPUTED_VALUE"""),"Nguyễn Trần Ý Thiên")</f>
        <v>Nguyễn Trần Ý Thiên</v>
      </c>
      <c r="J9094" s="3" t="str">
        <f ca="1">IFERROR(__xludf.DUMMYFUNCTION("""COMPUTED_VALUE"""),"0387569021")</f>
        <v>0387569021</v>
      </c>
      <c r="K9094" s="2" t="str">
        <f ca="1">IFERROR(__xludf.DUMMYFUNCTION("""COMPUTED_VALUE"""),"1754852701757")</f>
        <v>1754852701757</v>
      </c>
    </row>
    <row r="9095" spans="1:11" ht="12.45">
      <c r="A9095" s="2" t="str">
        <f ca="1">IFERROR(__xludf.DUMMYFUNCTION("""COMPUTED_VALUE"""),"1754852747127")</f>
        <v>1754852747127</v>
      </c>
      <c r="C9095" s="2" t="str">
        <v>0</v>
      </c>
      <c r="F9095" s="2" t="str">
        <v>0</v>
      </c>
      <c r="I9095" s="3" t="str">
        <f ca="1">IFERROR(__xludf.DUMMYFUNCTION("""COMPUTED_VALUE"""),"Nguyễn Diễm Quỳnh")</f>
        <v>Nguyễn Diễm Quỳnh</v>
      </c>
      <c r="J9095" s="3" t="str">
        <f ca="1">IFERROR(__xludf.DUMMYFUNCTION("""COMPUTED_VALUE"""),"0397868566")</f>
        <v>0397868566</v>
      </c>
      <c r="K9095" s="2" t="str">
        <f ca="1">IFERROR(__xludf.DUMMYFUNCTION("""COMPUTED_VALUE"""),"1754852747127")</f>
        <v>1754852747127</v>
      </c>
    </row>
    <row r="9096" spans="1:11" ht="12.45">
      <c r="A9096" s="2"/>
      <c r="C9096" s="2" t="str">
        <v>0</v>
      </c>
      <c r="F9096" s="2" t="str">
        <v>0</v>
      </c>
      <c r="I9096" s="3" t="str">
        <f ca="1">IFERROR(__xludf.DUMMYFUNCTION("""COMPUTED_VALUE"""),"Huỳnh Văn Để ")</f>
        <v xml:space="preserve">Huỳnh Văn Để </v>
      </c>
      <c r="J9096" s="3" t="str">
        <f ca="1">IFERROR(__xludf.DUMMYFUNCTION("""COMPUTED_VALUE"""),"0332799943")</f>
        <v>0332799943</v>
      </c>
      <c r="K9096" s="2"/>
    </row>
    <row r="9097" spans="1:11" ht="12.45">
      <c r="A9097" s="2" t="str">
        <f ca="1">IFERROR(__xludf.DUMMYFUNCTION("""COMPUTED_VALUE"""),"1754852802566")</f>
        <v>1754852802566</v>
      </c>
      <c r="C9097" s="2" t="str">
        <v>0</v>
      </c>
      <c r="F9097" s="2" t="str">
        <v>0</v>
      </c>
      <c r="I9097" s="3" t="str">
        <f ca="1">IFERROR(__xludf.DUMMYFUNCTION("""COMPUTED_VALUE"""),"Trần Thị Thu Hà")</f>
        <v>Trần Thị Thu Hà</v>
      </c>
      <c r="J9097" s="3" t="str">
        <f ca="1">IFERROR(__xludf.DUMMYFUNCTION("""COMPUTED_VALUE"""),"0901903622")</f>
        <v>0901903622</v>
      </c>
      <c r="K9097" s="2" t="str">
        <f ca="1">IFERROR(__xludf.DUMMYFUNCTION("""COMPUTED_VALUE"""),"1754852802566")</f>
        <v>1754852802566</v>
      </c>
    </row>
    <row r="9098" spans="1:11" ht="12.45">
      <c r="A9098" s="2" t="str">
        <f ca="1">IFERROR(__xludf.DUMMYFUNCTION("""COMPUTED_VALUE"""),"1754852850948")</f>
        <v>1754852850948</v>
      </c>
      <c r="C9098" s="2" t="str">
        <v>0</v>
      </c>
      <c r="F9098" s="2" t="str">
        <v>0</v>
      </c>
      <c r="I9098" s="3" t="str">
        <f ca="1">IFERROR(__xludf.DUMMYFUNCTION("""COMPUTED_VALUE"""),"Nguyễn Thị Minh Nghĩa ")</f>
        <v xml:space="preserve">Nguyễn Thị Minh Nghĩa </v>
      </c>
      <c r="J9098" s="3" t="str">
        <f ca="1">IFERROR(__xludf.DUMMYFUNCTION("""COMPUTED_VALUE"""),"0357942207")</f>
        <v>0357942207</v>
      </c>
      <c r="K9098" s="2" t="str">
        <f ca="1">IFERROR(__xludf.DUMMYFUNCTION("""COMPUTED_VALUE"""),"1754852850948")</f>
        <v>1754852850948</v>
      </c>
    </row>
    <row r="9099" spans="1:11" ht="12.45">
      <c r="A9099" s="2" t="str">
        <f ca="1">IFERROR(__xludf.DUMMYFUNCTION("""COMPUTED_VALUE"""),"1754852891566")</f>
        <v>1754852891566</v>
      </c>
      <c r="C9099" s="2" t="str">
        <v>0</v>
      </c>
      <c r="F9099" s="2" t="str">
        <v>0</v>
      </c>
      <c r="I9099" s="3" t="str">
        <f ca="1">IFERROR(__xludf.DUMMYFUNCTION("""COMPUTED_VALUE"""),"Nguyễn Thanh Chúc ")</f>
        <v xml:space="preserve">Nguyễn Thanh Chúc </v>
      </c>
      <c r="J9099" s="3" t="str">
        <f ca="1">IFERROR(__xludf.DUMMYFUNCTION("""COMPUTED_VALUE"""),"0355599598")</f>
        <v>0355599598</v>
      </c>
      <c r="K9099" s="2" t="str">
        <f ca="1">IFERROR(__xludf.DUMMYFUNCTION("""COMPUTED_VALUE"""),"1754852891566")</f>
        <v>1754852891566</v>
      </c>
    </row>
    <row r="9100" spans="1:11" ht="12.45">
      <c r="A9100" s="2" t="str">
        <f ca="1">IFERROR(__xludf.DUMMYFUNCTION("""COMPUTED_VALUE"""),"1754852935892")</f>
        <v>1754852935892</v>
      </c>
      <c r="C9100" s="2" t="str">
        <v>0</v>
      </c>
      <c r="F9100" s="2" t="str">
        <v>0</v>
      </c>
      <c r="I9100" s="3" t="str">
        <f ca="1">IFERROR(__xludf.DUMMYFUNCTION("""COMPUTED_VALUE"""),"Bùi Thu Trang")</f>
        <v>Bùi Thu Trang</v>
      </c>
      <c r="J9100" s="3" t="str">
        <f ca="1">IFERROR(__xludf.DUMMYFUNCTION("""COMPUTED_VALUE"""),"0703403387")</f>
        <v>0703403387</v>
      </c>
      <c r="K9100" s="2" t="str">
        <f ca="1">IFERROR(__xludf.DUMMYFUNCTION("""COMPUTED_VALUE"""),"1754852935892")</f>
        <v>1754852935892</v>
      </c>
    </row>
    <row r="9101" spans="1:11" ht="12.45">
      <c r="A9101" s="2" t="str">
        <f ca="1">IFERROR(__xludf.DUMMYFUNCTION("""COMPUTED_VALUE"""),"1754852971719")</f>
        <v>1754852971719</v>
      </c>
      <c r="C9101" s="2" t="str">
        <v>0</v>
      </c>
      <c r="F9101" s="2" t="str">
        <v>0</v>
      </c>
      <c r="I9101" s="3" t="str">
        <f ca="1">IFERROR(__xludf.DUMMYFUNCTION("""COMPUTED_VALUE"""),"Vũ Phan Đạt Khoa")</f>
        <v>Vũ Phan Đạt Khoa</v>
      </c>
      <c r="J9101" s="3" t="str">
        <f ca="1">IFERROR(__xludf.DUMMYFUNCTION("""COMPUTED_VALUE"""),"0946379056")</f>
        <v>0946379056</v>
      </c>
      <c r="K9101" s="2" t="str">
        <f ca="1">IFERROR(__xludf.DUMMYFUNCTION("""COMPUTED_VALUE"""),"1754852971719")</f>
        <v>1754852971719</v>
      </c>
    </row>
    <row r="9102" spans="1:11" ht="12.45">
      <c r="A9102" s="2" t="str">
        <f ca="1">IFERROR(__xludf.DUMMYFUNCTION("""COMPUTED_VALUE"""),"1754853015203")</f>
        <v>1754853015203</v>
      </c>
      <c r="C9102" s="2" t="str">
        <v>0</v>
      </c>
      <c r="F9102" s="2" t="str">
        <v>0</v>
      </c>
      <c r="I9102" s="3" t="str">
        <f ca="1">IFERROR(__xludf.DUMMYFUNCTION("""COMPUTED_VALUE"""),"Lương Minh Ngọc ")</f>
        <v xml:space="preserve">Lương Minh Ngọc </v>
      </c>
      <c r="J9102" s="3" t="str">
        <f ca="1">IFERROR(__xludf.DUMMYFUNCTION("""COMPUTED_VALUE"""),"0837578366")</f>
        <v>0837578366</v>
      </c>
      <c r="K9102" s="2" t="str">
        <f ca="1">IFERROR(__xludf.DUMMYFUNCTION("""COMPUTED_VALUE"""),"1754853015203")</f>
        <v>1754853015203</v>
      </c>
    </row>
    <row r="9103" spans="1:11" ht="12.45">
      <c r="A9103" s="2" t="str">
        <f ca="1">IFERROR(__xludf.DUMMYFUNCTION("""COMPUTED_VALUE"""),"1754864115654")</f>
        <v>1754864115654</v>
      </c>
      <c r="C9103" s="2" t="str">
        <v>0</v>
      </c>
      <c r="F9103" s="2" t="str">
        <v>0</v>
      </c>
      <c r="I9103" s="3" t="str">
        <f ca="1">IFERROR(__xludf.DUMMYFUNCTION("""COMPUTED_VALUE"""),"Trương Văn Linh")</f>
        <v>Trương Văn Linh</v>
      </c>
      <c r="J9103" s="3" t="str">
        <f ca="1">IFERROR(__xludf.DUMMYFUNCTION("""COMPUTED_VALUE"""),"0862249728")</f>
        <v>0862249728</v>
      </c>
      <c r="K9103" s="2" t="str">
        <f ca="1">IFERROR(__xludf.DUMMYFUNCTION("""COMPUTED_VALUE"""),"1754864115654")</f>
        <v>1754864115654</v>
      </c>
    </row>
    <row r="9104" spans="1:11" ht="12.45">
      <c r="A9104" s="2" t="str">
        <f ca="1">IFERROR(__xludf.DUMMYFUNCTION("""COMPUTED_VALUE"""),"1754853080553")</f>
        <v>1754853080553</v>
      </c>
      <c r="C9104" s="2" t="str">
        <v>0</v>
      </c>
      <c r="F9104" s="2" t="str">
        <v>0</v>
      </c>
      <c r="I9104" s="3" t="str">
        <f ca="1">IFERROR(__xludf.DUMMYFUNCTION("""COMPUTED_VALUE"""),"Nguyễn Thanh Trúc")</f>
        <v>Nguyễn Thanh Trúc</v>
      </c>
      <c r="J9104" s="3" t="str">
        <f ca="1">IFERROR(__xludf.DUMMYFUNCTION("""COMPUTED_VALUE"""),"0337752718")</f>
        <v>0337752718</v>
      </c>
      <c r="K9104" s="2" t="str">
        <f ca="1">IFERROR(__xludf.DUMMYFUNCTION("""COMPUTED_VALUE"""),"1754853080553")</f>
        <v>1754853080553</v>
      </c>
    </row>
    <row r="9105" spans="1:11" ht="12.45">
      <c r="A9105" s="2" t="str">
        <f ca="1">IFERROR(__xludf.DUMMYFUNCTION("""COMPUTED_VALUE"""),"1754853131594")</f>
        <v>1754853131594</v>
      </c>
      <c r="C9105" s="2" t="str">
        <v>0</v>
      </c>
      <c r="F9105" s="2" t="str">
        <v>0</v>
      </c>
      <c r="I9105" s="3" t="str">
        <f ca="1">IFERROR(__xludf.DUMMYFUNCTION("""COMPUTED_VALUE"""),"Trần Nguyễn huỳnh như ")</f>
        <v xml:space="preserve">Trần Nguyễn huỳnh như </v>
      </c>
      <c r="J9105" s="3" t="str">
        <f ca="1">IFERROR(__xludf.DUMMYFUNCTION("""COMPUTED_VALUE"""),"0375810673")</f>
        <v>0375810673</v>
      </c>
      <c r="K9105" s="2" t="str">
        <f ca="1">IFERROR(__xludf.DUMMYFUNCTION("""COMPUTED_VALUE"""),"1754853131594")</f>
        <v>1754853131594</v>
      </c>
    </row>
    <row r="9106" spans="1:11" ht="12.45">
      <c r="A9106" s="2" t="str">
        <f ca="1">IFERROR(__xludf.DUMMYFUNCTION("""COMPUTED_VALUE"""),"1754853178545")</f>
        <v>1754853178545</v>
      </c>
      <c r="C9106" s="2" t="str">
        <v>0</v>
      </c>
      <c r="F9106" s="2" t="str">
        <v>0</v>
      </c>
      <c r="I9106" s="3" t="str">
        <f ca="1">IFERROR(__xludf.DUMMYFUNCTION("""COMPUTED_VALUE"""),"Nguyễn Hoàng Kỳ Anh")</f>
        <v>Nguyễn Hoàng Kỳ Anh</v>
      </c>
      <c r="J9106" s="3" t="str">
        <f ca="1">IFERROR(__xludf.DUMMYFUNCTION("""COMPUTED_VALUE"""),"0931462426")</f>
        <v>0931462426</v>
      </c>
      <c r="K9106" s="2" t="str">
        <f ca="1">IFERROR(__xludf.DUMMYFUNCTION("""COMPUTED_VALUE"""),"1754853178545")</f>
        <v>1754853178545</v>
      </c>
    </row>
    <row r="9107" spans="1:11" ht="12.45">
      <c r="A9107" s="2" t="str">
        <f ca="1">IFERROR(__xludf.DUMMYFUNCTION("""COMPUTED_VALUE"""),"1754853225138")</f>
        <v>1754853225138</v>
      </c>
      <c r="C9107" s="2" t="str">
        <v>0</v>
      </c>
      <c r="F9107" s="2" t="str">
        <v>0</v>
      </c>
      <c r="I9107" s="3" t="str">
        <f ca="1">IFERROR(__xludf.DUMMYFUNCTION("""COMPUTED_VALUE"""),"Nguyễn Lê Duy Thảo")</f>
        <v>Nguyễn Lê Duy Thảo</v>
      </c>
      <c r="J9107" s="3" t="str">
        <f ca="1">IFERROR(__xludf.DUMMYFUNCTION("""COMPUTED_VALUE"""),"0339901687")</f>
        <v>0339901687</v>
      </c>
      <c r="K9107" s="2" t="str">
        <f ca="1">IFERROR(__xludf.DUMMYFUNCTION("""COMPUTED_VALUE"""),"1754853225138")</f>
        <v>1754853225138</v>
      </c>
    </row>
    <row r="9108" spans="1:11" ht="12.45">
      <c r="A9108" s="2" t="str">
        <f ca="1">IFERROR(__xludf.DUMMYFUNCTION("""COMPUTED_VALUE"""),"1754853267829")</f>
        <v>1754853267829</v>
      </c>
      <c r="C9108" s="2" t="str">
        <v>0</v>
      </c>
      <c r="F9108" s="2" t="str">
        <v>0</v>
      </c>
      <c r="I9108" s="3" t="str">
        <f ca="1">IFERROR(__xludf.DUMMYFUNCTION("""COMPUTED_VALUE"""),"Võ Gia Khiêm")</f>
        <v>Võ Gia Khiêm</v>
      </c>
      <c r="J9108" s="3" t="str">
        <f ca="1">IFERROR(__xludf.DUMMYFUNCTION("""COMPUTED_VALUE"""),"0343671146")</f>
        <v>0343671146</v>
      </c>
      <c r="K9108" s="2" t="str">
        <f ca="1">IFERROR(__xludf.DUMMYFUNCTION("""COMPUTED_VALUE"""),"1754853267829")</f>
        <v>1754853267829</v>
      </c>
    </row>
    <row r="9109" spans="1:11" ht="12.45">
      <c r="A9109" s="2" t="str">
        <f ca="1">IFERROR(__xludf.DUMMYFUNCTION("""COMPUTED_VALUE"""),"1754853310889")</f>
        <v>1754853310889</v>
      </c>
      <c r="C9109" s="2" t="str">
        <v>0</v>
      </c>
      <c r="F9109" s="2" t="str">
        <v>0</v>
      </c>
      <c r="I9109" s="3" t="str">
        <f ca="1">IFERROR(__xludf.DUMMYFUNCTION("""COMPUTED_VALUE"""),"Huỳnh Hạ My")</f>
        <v>Huỳnh Hạ My</v>
      </c>
      <c r="J9109" s="3" t="str">
        <f ca="1">IFERROR(__xludf.DUMMYFUNCTION("""COMPUTED_VALUE"""),"0968125711")</f>
        <v>0968125711</v>
      </c>
      <c r="K9109" s="2" t="str">
        <f ca="1">IFERROR(__xludf.DUMMYFUNCTION("""COMPUTED_VALUE"""),"1754853310889")</f>
        <v>1754853310889</v>
      </c>
    </row>
    <row r="9110" spans="1:11" ht="12.45">
      <c r="A9110" s="2" t="str">
        <f ca="1">IFERROR(__xludf.DUMMYFUNCTION("""COMPUTED_VALUE"""),"1754853339742")</f>
        <v>1754853339742</v>
      </c>
      <c r="C9110" s="2" t="str">
        <v>0</v>
      </c>
      <c r="F9110" s="2" t="str">
        <v>0</v>
      </c>
      <c r="I9110" s="3" t="str">
        <f ca="1">IFERROR(__xludf.DUMMYFUNCTION("""COMPUTED_VALUE"""),"Nguyễn Thu Hương")</f>
        <v>Nguyễn Thu Hương</v>
      </c>
      <c r="J9110" s="3" t="str">
        <f ca="1">IFERROR(__xludf.DUMMYFUNCTION("""COMPUTED_VALUE"""),"0983031218")</f>
        <v>0983031218</v>
      </c>
      <c r="K9110" s="2" t="str">
        <f ca="1">IFERROR(__xludf.DUMMYFUNCTION("""COMPUTED_VALUE"""),"1754853339742")</f>
        <v>1754853339742</v>
      </c>
    </row>
    <row r="9111" spans="1:11" ht="12.45">
      <c r="A9111" s="2" t="str">
        <f ca="1">IFERROR(__xludf.DUMMYFUNCTION("""COMPUTED_VALUE"""),"1754853380851")</f>
        <v>1754853380851</v>
      </c>
      <c r="C9111" s="2" t="str">
        <v>0</v>
      </c>
      <c r="F9111" s="2" t="str">
        <v>0</v>
      </c>
      <c r="I9111" s="3" t="str">
        <f ca="1">IFERROR(__xludf.DUMMYFUNCTION("""COMPUTED_VALUE"""),"Hoàng Thị Ngọc Anh")</f>
        <v>Hoàng Thị Ngọc Anh</v>
      </c>
      <c r="J9111" s="3" t="str">
        <f ca="1">IFERROR(__xludf.DUMMYFUNCTION("""COMPUTED_VALUE"""),"0379135291")</f>
        <v>0379135291</v>
      </c>
      <c r="K9111" s="2" t="str">
        <f ca="1">IFERROR(__xludf.DUMMYFUNCTION("""COMPUTED_VALUE"""),"1754853380851")</f>
        <v>1754853380851</v>
      </c>
    </row>
    <row r="9112" spans="1:11" ht="12.45">
      <c r="A9112" s="2" t="str">
        <f ca="1">IFERROR(__xludf.DUMMYFUNCTION("""COMPUTED_VALUE"""),"1754853418796")</f>
        <v>1754853418796</v>
      </c>
      <c r="C9112" s="2" t="str">
        <v>0</v>
      </c>
      <c r="F9112" s="2" t="str">
        <v>0</v>
      </c>
      <c r="I9112" s="3" t="str">
        <f ca="1">IFERROR(__xludf.DUMMYFUNCTION("""COMPUTED_VALUE"""),"Vũ Nguyễn Ngọc trang")</f>
        <v>Vũ Nguyễn Ngọc trang</v>
      </c>
      <c r="J9112" s="3" t="str">
        <f ca="1">IFERROR(__xludf.DUMMYFUNCTION("""COMPUTED_VALUE"""),"0397072196")</f>
        <v>0397072196</v>
      </c>
      <c r="K9112" s="2" t="str">
        <f ca="1">IFERROR(__xludf.DUMMYFUNCTION("""COMPUTED_VALUE"""),"1754853418796")</f>
        <v>1754853418796</v>
      </c>
    </row>
    <row r="9113" spans="1:11" ht="12.45">
      <c r="A9113" s="2" t="str">
        <f ca="1">IFERROR(__xludf.DUMMYFUNCTION("""COMPUTED_VALUE"""),"1754853466837")</f>
        <v>1754853466837</v>
      </c>
      <c r="C9113" s="2" t="str">
        <v>0</v>
      </c>
      <c r="F9113" s="2" t="str">
        <v>0</v>
      </c>
      <c r="I9113" s="3" t="str">
        <f ca="1">IFERROR(__xludf.DUMMYFUNCTION("""COMPUTED_VALUE"""),"Hà Tiến Thành")</f>
        <v>Hà Tiến Thành</v>
      </c>
      <c r="J9113" s="3" t="str">
        <f ca="1">IFERROR(__xludf.DUMMYFUNCTION("""COMPUTED_VALUE"""),"0349464388")</f>
        <v>0349464388</v>
      </c>
      <c r="K9113" s="2" t="str">
        <f ca="1">IFERROR(__xludf.DUMMYFUNCTION("""COMPUTED_VALUE"""),"1754853466837")</f>
        <v>1754853466837</v>
      </c>
    </row>
    <row r="9114" spans="1:11" ht="12.45">
      <c r="A9114" s="2" t="str">
        <f ca="1">IFERROR(__xludf.DUMMYFUNCTION("""COMPUTED_VALUE"""),"1754853508093")</f>
        <v>1754853508093</v>
      </c>
      <c r="C9114" s="2" t="str">
        <v>0</v>
      </c>
      <c r="F9114" s="2" t="str">
        <v>0</v>
      </c>
      <c r="I9114" s="3" t="str">
        <f ca="1">IFERROR(__xludf.DUMMYFUNCTION("""COMPUTED_VALUE"""),"La huỳnh chi")</f>
        <v>La huỳnh chi</v>
      </c>
      <c r="J9114" s="3" t="str">
        <f ca="1">IFERROR(__xludf.DUMMYFUNCTION("""COMPUTED_VALUE"""),"0981257407")</f>
        <v>0981257407</v>
      </c>
      <c r="K9114" s="2" t="str">
        <f ca="1">IFERROR(__xludf.DUMMYFUNCTION("""COMPUTED_VALUE"""),"1754853508093")</f>
        <v>1754853508093</v>
      </c>
    </row>
    <row r="9115" spans="1:11" ht="12.45">
      <c r="A9115" s="2" t="str">
        <f ca="1">IFERROR(__xludf.DUMMYFUNCTION("""COMPUTED_VALUE"""),"1754853557255")</f>
        <v>1754853557255</v>
      </c>
      <c r="C9115" s="2" t="str">
        <v>0</v>
      </c>
      <c r="F9115" s="2" t="str">
        <v>0</v>
      </c>
      <c r="I9115" s="3" t="str">
        <f ca="1">IFERROR(__xludf.DUMMYFUNCTION("""COMPUTED_VALUE"""),"Trần Ngọc Diễm Quỳnh ")</f>
        <v xml:space="preserve">Trần Ngọc Diễm Quỳnh </v>
      </c>
      <c r="J9115" s="3" t="str">
        <f ca="1">IFERROR(__xludf.DUMMYFUNCTION("""COMPUTED_VALUE"""),"0389742839")</f>
        <v>0389742839</v>
      </c>
      <c r="K9115" s="2" t="str">
        <f ca="1">IFERROR(__xludf.DUMMYFUNCTION("""COMPUTED_VALUE"""),"1754853557255")</f>
        <v>1754853557255</v>
      </c>
    </row>
    <row r="9116" spans="1:11" ht="12.45">
      <c r="A9116" s="2" t="str">
        <f ca="1">IFERROR(__xludf.DUMMYFUNCTION("""COMPUTED_VALUE"""),"1754853598268")</f>
        <v>1754853598268</v>
      </c>
      <c r="C9116" s="2" t="str">
        <v>0</v>
      </c>
      <c r="F9116" s="2" t="str">
        <v>0</v>
      </c>
      <c r="I9116" s="3" t="str">
        <f ca="1">IFERROR(__xludf.DUMMYFUNCTION("""COMPUTED_VALUE"""),"Nguyễn Nhật Quế Anh ")</f>
        <v xml:space="preserve">Nguyễn Nhật Quế Anh </v>
      </c>
      <c r="J9116" s="3" t="str">
        <f ca="1">IFERROR(__xludf.DUMMYFUNCTION("""COMPUTED_VALUE"""),"0965548967")</f>
        <v>0965548967</v>
      </c>
      <c r="K9116" s="2" t="str">
        <f ca="1">IFERROR(__xludf.DUMMYFUNCTION("""COMPUTED_VALUE"""),"1754853598268")</f>
        <v>1754853598268</v>
      </c>
    </row>
    <row r="9117" spans="1:11" ht="12.45">
      <c r="A9117" s="2" t="str">
        <f ca="1">IFERROR(__xludf.DUMMYFUNCTION("""COMPUTED_VALUE"""),"1754853639111")</f>
        <v>1754853639111</v>
      </c>
      <c r="C9117" s="2" t="str">
        <v>0</v>
      </c>
      <c r="F9117" s="2" t="str">
        <v>0</v>
      </c>
      <c r="I9117" s="3" t="str">
        <f ca="1">IFERROR(__xludf.DUMMYFUNCTION("""COMPUTED_VALUE"""),"Vũ Thị Lan Anh ")</f>
        <v xml:space="preserve">Vũ Thị Lan Anh </v>
      </c>
      <c r="J9117" s="3" t="str">
        <f ca="1">IFERROR(__xludf.DUMMYFUNCTION("""COMPUTED_VALUE"""),"0358720102")</f>
        <v>0358720102</v>
      </c>
      <c r="K9117" s="2" t="str">
        <f ca="1">IFERROR(__xludf.DUMMYFUNCTION("""COMPUTED_VALUE"""),"1754853639111")</f>
        <v>1754853639111</v>
      </c>
    </row>
    <row r="9118" spans="1:11" ht="12.45">
      <c r="A9118" s="2"/>
      <c r="C9118" s="2" t="str">
        <v>0</v>
      </c>
      <c r="F9118" s="2" t="str">
        <v>0</v>
      </c>
      <c r="I9118" s="3" t="str">
        <f ca="1">IFERROR(__xludf.DUMMYFUNCTION("""COMPUTED_VALUE"""),"Cao thị mỹ linh")</f>
        <v>Cao thị mỹ linh</v>
      </c>
      <c r="J9118" s="3" t="str">
        <f ca="1">IFERROR(__xludf.DUMMYFUNCTION("""COMPUTED_VALUE"""),"0359239632")</f>
        <v>0359239632</v>
      </c>
      <c r="K9118" s="2"/>
    </row>
    <row r="9119" spans="1:11" ht="12.45">
      <c r="A9119" s="2" t="str">
        <f ca="1">IFERROR(__xludf.DUMMYFUNCTION("""COMPUTED_VALUE"""),"1754853691919")</f>
        <v>1754853691919</v>
      </c>
      <c r="C9119" s="2" t="str">
        <v>0</v>
      </c>
      <c r="F9119" s="2" t="str">
        <v>0</v>
      </c>
      <c r="I9119" s="3" t="str">
        <f ca="1">IFERROR(__xludf.DUMMYFUNCTION("""COMPUTED_VALUE"""),"Trương Thị Anh Thơ")</f>
        <v>Trương Thị Anh Thơ</v>
      </c>
      <c r="J9119" s="3" t="str">
        <f ca="1">IFERROR(__xludf.DUMMYFUNCTION("""COMPUTED_VALUE"""),"0974192529")</f>
        <v>0974192529</v>
      </c>
      <c r="K9119" s="2" t="str">
        <f ca="1">IFERROR(__xludf.DUMMYFUNCTION("""COMPUTED_VALUE"""),"1754853691919")</f>
        <v>1754853691919</v>
      </c>
    </row>
    <row r="9120" spans="1:11" ht="12.45">
      <c r="A9120" s="2" t="str">
        <f ca="1">IFERROR(__xludf.DUMMYFUNCTION("""COMPUTED_VALUE"""),"1754853728119")</f>
        <v>1754853728119</v>
      </c>
      <c r="C9120" s="2" t="str">
        <v>0</v>
      </c>
      <c r="F9120" s="2" t="str">
        <v>0</v>
      </c>
      <c r="I9120" s="3" t="str">
        <f ca="1">IFERROR(__xludf.DUMMYFUNCTION("""COMPUTED_VALUE"""),"NGUYỄN THỊ KHÁNH HÒ")</f>
        <v>NGUYỄN THỊ KHÁNH HÒ</v>
      </c>
      <c r="J9120" s="3" t="str">
        <f ca="1">IFERROR(__xludf.DUMMYFUNCTION("""COMPUTED_VALUE"""),"0336790854")</f>
        <v>0336790854</v>
      </c>
      <c r="K9120" s="2" t="str">
        <f ca="1">IFERROR(__xludf.DUMMYFUNCTION("""COMPUTED_VALUE"""),"1754853728119")</f>
        <v>1754853728119</v>
      </c>
    </row>
    <row r="9121" spans="1:11" ht="12.45">
      <c r="A9121" s="2" t="str">
        <f ca="1">IFERROR(__xludf.DUMMYFUNCTION("""COMPUTED_VALUE"""),"1754853755596")</f>
        <v>1754853755596</v>
      </c>
      <c r="C9121" s="2" t="str">
        <v>0</v>
      </c>
      <c r="F9121" s="2" t="str">
        <v>0</v>
      </c>
      <c r="I9121" s="3" t="str">
        <f ca="1">IFERROR(__xludf.DUMMYFUNCTION("""COMPUTED_VALUE"""),"Ngô thị Thùy dinh")</f>
        <v>Ngô thị Thùy dinh</v>
      </c>
      <c r="J9121" s="3" t="str">
        <f ca="1">IFERROR(__xludf.DUMMYFUNCTION("""COMPUTED_VALUE"""),"0983451360")</f>
        <v>0983451360</v>
      </c>
      <c r="K9121" s="2" t="str">
        <f ca="1">IFERROR(__xludf.DUMMYFUNCTION("""COMPUTED_VALUE"""),"1754853755596")</f>
        <v>1754853755596</v>
      </c>
    </row>
    <row r="9122" spans="1:11" ht="12.45">
      <c r="A9122" s="2" t="str">
        <f ca="1">IFERROR(__xludf.DUMMYFUNCTION("""COMPUTED_VALUE"""),"1754853799825")</f>
        <v>1754853799825</v>
      </c>
      <c r="C9122" s="2" t="str">
        <v>0</v>
      </c>
      <c r="F9122" s="2" t="str">
        <v>0</v>
      </c>
      <c r="I9122" s="3" t="str">
        <f ca="1">IFERROR(__xludf.DUMMYFUNCTION("""COMPUTED_VALUE"""),"Đặng Minh Thư ")</f>
        <v xml:space="preserve">Đặng Minh Thư </v>
      </c>
      <c r="J9122" s="3" t="str">
        <f ca="1">IFERROR(__xludf.DUMMYFUNCTION("""COMPUTED_VALUE"""),"0929597441")</f>
        <v>0929597441</v>
      </c>
      <c r="K9122" s="2" t="str">
        <f ca="1">IFERROR(__xludf.DUMMYFUNCTION("""COMPUTED_VALUE"""),"1754853799825")</f>
        <v>1754853799825</v>
      </c>
    </row>
    <row r="9123" spans="1:11" ht="12.45">
      <c r="A9123" s="2" t="str">
        <f ca="1">IFERROR(__xludf.DUMMYFUNCTION("""COMPUTED_VALUE"""),"1754853840015")</f>
        <v>1754853840015</v>
      </c>
      <c r="C9123" s="2" t="str">
        <v>0</v>
      </c>
      <c r="F9123" s="2" t="str">
        <v>0</v>
      </c>
      <c r="I9123" s="3" t="str">
        <f ca="1">IFERROR(__xludf.DUMMYFUNCTION("""COMPUTED_VALUE"""),"Đồng Triệu Hiếu")</f>
        <v>Đồng Triệu Hiếu</v>
      </c>
      <c r="J9123" s="3" t="str">
        <f ca="1">IFERROR(__xludf.DUMMYFUNCTION("""COMPUTED_VALUE"""),"0327805240")</f>
        <v>0327805240</v>
      </c>
      <c r="K9123" s="2" t="str">
        <f ca="1">IFERROR(__xludf.DUMMYFUNCTION("""COMPUTED_VALUE"""),"1754853840015")</f>
        <v>1754853840015</v>
      </c>
    </row>
    <row r="9124" spans="1:11" ht="12.45">
      <c r="A9124" s="2" t="str">
        <f ca="1">IFERROR(__xludf.DUMMYFUNCTION("""COMPUTED_VALUE"""),"1754853881926")</f>
        <v>1754853881926</v>
      </c>
      <c r="C9124" s="2" t="str">
        <v>0</v>
      </c>
      <c r="F9124" s="2" t="str">
        <v>0</v>
      </c>
      <c r="I9124" s="3" t="str">
        <f ca="1">IFERROR(__xludf.DUMMYFUNCTION("""COMPUTED_VALUE"""),"Phạm Lê Khánh Vân")</f>
        <v>Phạm Lê Khánh Vân</v>
      </c>
      <c r="J9124" s="3" t="str">
        <f ca="1">IFERROR(__xludf.DUMMYFUNCTION("""COMPUTED_VALUE"""),"0932568870")</f>
        <v>0932568870</v>
      </c>
      <c r="K9124" s="2" t="str">
        <f ca="1">IFERROR(__xludf.DUMMYFUNCTION("""COMPUTED_VALUE"""),"1754853881926")</f>
        <v>1754853881926</v>
      </c>
    </row>
    <row r="9125" spans="1:11" ht="12.45">
      <c r="A9125" s="2" t="str">
        <f ca="1">IFERROR(__xludf.DUMMYFUNCTION("""COMPUTED_VALUE"""),"1754853949936")</f>
        <v>1754853949936</v>
      </c>
      <c r="C9125" s="2" t="str">
        <v>0</v>
      </c>
      <c r="F9125" s="2" t="str">
        <v>0</v>
      </c>
      <c r="I9125" s="3" t="str">
        <f ca="1">IFERROR(__xludf.DUMMYFUNCTION("""COMPUTED_VALUE"""),"Lê Thanh Trúc")</f>
        <v>Lê Thanh Trúc</v>
      </c>
      <c r="J9125" s="3" t="str">
        <f ca="1">IFERROR(__xludf.DUMMYFUNCTION("""COMPUTED_VALUE"""),"0357627502")</f>
        <v>0357627502</v>
      </c>
      <c r="K9125" s="2" t="str">
        <f ca="1">IFERROR(__xludf.DUMMYFUNCTION("""COMPUTED_VALUE"""),"1754853949936")</f>
        <v>1754853949936</v>
      </c>
    </row>
    <row r="9126" spans="1:11" ht="12.45">
      <c r="A9126" s="2" t="str">
        <f ca="1">IFERROR(__xludf.DUMMYFUNCTION("""COMPUTED_VALUE"""),"1754853995323")</f>
        <v>1754853995323</v>
      </c>
      <c r="C9126" s="2" t="str">
        <v>0</v>
      </c>
      <c r="F9126" s="2" t="str">
        <v>0</v>
      </c>
      <c r="I9126" s="3" t="str">
        <f ca="1">IFERROR(__xludf.DUMMYFUNCTION("""COMPUTED_VALUE"""),"Dương Thị Thu Hoài ")</f>
        <v xml:space="preserve">Dương Thị Thu Hoài </v>
      </c>
      <c r="J9126" s="3" t="str">
        <f ca="1">IFERROR(__xludf.DUMMYFUNCTION("""COMPUTED_VALUE"""),"0358194800")</f>
        <v>0358194800</v>
      </c>
      <c r="K9126" s="2" t="str">
        <f ca="1">IFERROR(__xludf.DUMMYFUNCTION("""COMPUTED_VALUE"""),"1754853995323")</f>
        <v>1754853995323</v>
      </c>
    </row>
    <row r="9127" spans="1:11" ht="12.45">
      <c r="A9127" s="2" t="str">
        <f ca="1">IFERROR(__xludf.DUMMYFUNCTION("""COMPUTED_VALUE"""),"1754854030168")</f>
        <v>1754854030168</v>
      </c>
      <c r="C9127" s="2" t="str">
        <v>0</v>
      </c>
      <c r="F9127" s="2" t="str">
        <v>0</v>
      </c>
      <c r="I9127" s="3" t="str">
        <f ca="1">IFERROR(__xludf.DUMMYFUNCTION("""COMPUTED_VALUE"""),"Nguyễn bảo minh")</f>
        <v>Nguyễn bảo minh</v>
      </c>
      <c r="J9127" s="3" t="str">
        <f ca="1">IFERROR(__xludf.DUMMYFUNCTION("""COMPUTED_VALUE"""),"0867079209")</f>
        <v>0867079209</v>
      </c>
      <c r="K9127" s="2" t="str">
        <f ca="1">IFERROR(__xludf.DUMMYFUNCTION("""COMPUTED_VALUE"""),"1754854030168")</f>
        <v>1754854030168</v>
      </c>
    </row>
    <row r="9128" spans="1:11" ht="12.45">
      <c r="A9128" s="2" t="str">
        <f ca="1">IFERROR(__xludf.DUMMYFUNCTION("""COMPUTED_VALUE"""),"1754854060606")</f>
        <v>1754854060606</v>
      </c>
      <c r="C9128" s="2" t="str">
        <v>0</v>
      </c>
      <c r="F9128" s="2" t="str">
        <v>0</v>
      </c>
      <c r="I9128" s="3" t="str">
        <f ca="1">IFERROR(__xludf.DUMMYFUNCTION("""COMPUTED_VALUE"""),"Nguyễn Nhật Linh")</f>
        <v>Nguyễn Nhật Linh</v>
      </c>
      <c r="J9128" s="3" t="str">
        <f ca="1">IFERROR(__xludf.DUMMYFUNCTION("""COMPUTED_VALUE"""),"0356319552")</f>
        <v>0356319552</v>
      </c>
      <c r="K9128" s="2" t="str">
        <f ca="1">IFERROR(__xludf.DUMMYFUNCTION("""COMPUTED_VALUE"""),"1754854060606")</f>
        <v>1754854060606</v>
      </c>
    </row>
    <row r="9129" spans="1:11" ht="12.45">
      <c r="A9129" s="2" t="str">
        <f ca="1">IFERROR(__xludf.DUMMYFUNCTION("""COMPUTED_VALUE"""),"1754854155429")</f>
        <v>1754854155429</v>
      </c>
      <c r="C9129" s="2" t="str">
        <v>0</v>
      </c>
      <c r="F9129" s="2" t="str">
        <v>0</v>
      </c>
      <c r="I9129" s="3" t="str">
        <f ca="1">IFERROR(__xludf.DUMMYFUNCTION("""COMPUTED_VALUE"""),"Hoàng khánh Linh")</f>
        <v>Hoàng khánh Linh</v>
      </c>
      <c r="J9129" s="3" t="str">
        <f ca="1">IFERROR(__xludf.DUMMYFUNCTION("""COMPUTED_VALUE"""),"0846878910")</f>
        <v>0846878910</v>
      </c>
      <c r="K9129" s="2" t="str">
        <f ca="1">IFERROR(__xludf.DUMMYFUNCTION("""COMPUTED_VALUE"""),"1754854155429")</f>
        <v>1754854155429</v>
      </c>
    </row>
    <row r="9130" spans="1:11" ht="12.45">
      <c r="A9130" s="2" t="str">
        <f ca="1">IFERROR(__xludf.DUMMYFUNCTION("""COMPUTED_VALUE"""),"1754854212233")</f>
        <v>1754854212233</v>
      </c>
      <c r="C9130" s="2" t="str">
        <v>0</v>
      </c>
      <c r="F9130" s="2" t="str">
        <v>0</v>
      </c>
      <c r="I9130" s="3" t="str">
        <f ca="1">IFERROR(__xludf.DUMMYFUNCTION("""COMPUTED_VALUE"""),"Đặng thị liều")</f>
        <v>Đặng thị liều</v>
      </c>
      <c r="J9130" s="3" t="str">
        <f ca="1">IFERROR(__xludf.DUMMYFUNCTION("""COMPUTED_VALUE"""),"0974806937")</f>
        <v>0974806937</v>
      </c>
      <c r="K9130" s="2" t="str">
        <f ca="1">IFERROR(__xludf.DUMMYFUNCTION("""COMPUTED_VALUE"""),"1754854212233")</f>
        <v>1754854212233</v>
      </c>
    </row>
    <row r="9131" spans="1:11" ht="12.45">
      <c r="A9131" s="2" t="str">
        <f ca="1">IFERROR(__xludf.DUMMYFUNCTION("""COMPUTED_VALUE"""),"1754854253550")</f>
        <v>1754854253550</v>
      </c>
      <c r="C9131" s="2" t="str">
        <v>0</v>
      </c>
      <c r="F9131" s="2" t="str">
        <v>0</v>
      </c>
      <c r="I9131" s="3" t="str">
        <f ca="1">IFERROR(__xludf.DUMMYFUNCTION("""COMPUTED_VALUE"""),"Đặng Hồng Ánh ")</f>
        <v xml:space="preserve">Đặng Hồng Ánh </v>
      </c>
      <c r="J9131" s="3" t="str">
        <f ca="1">IFERROR(__xludf.DUMMYFUNCTION("""COMPUTED_VALUE"""),"0966086805")</f>
        <v>0966086805</v>
      </c>
      <c r="K9131" s="2" t="str">
        <f ca="1">IFERROR(__xludf.DUMMYFUNCTION("""COMPUTED_VALUE"""),"1754854253550")</f>
        <v>1754854253550</v>
      </c>
    </row>
    <row r="9132" spans="1:11" ht="12.45">
      <c r="A9132" s="2" t="str">
        <f ca="1">IFERROR(__xludf.DUMMYFUNCTION("""COMPUTED_VALUE"""),"1754854299430")</f>
        <v>1754854299430</v>
      </c>
      <c r="C9132" s="2" t="str">
        <v>0</v>
      </c>
      <c r="F9132" s="2" t="str">
        <v>0</v>
      </c>
      <c r="I9132" s="3" t="str">
        <f ca="1">IFERROR(__xludf.DUMMYFUNCTION("""COMPUTED_VALUE"""),"Lê Thu Hằng")</f>
        <v>Lê Thu Hằng</v>
      </c>
      <c r="J9132" s="3" t="str">
        <f ca="1">IFERROR(__xludf.DUMMYFUNCTION("""COMPUTED_VALUE"""),"0854700574")</f>
        <v>0854700574</v>
      </c>
      <c r="K9132" s="2" t="str">
        <f ca="1">IFERROR(__xludf.DUMMYFUNCTION("""COMPUTED_VALUE"""),"1754854299430")</f>
        <v>1754854299430</v>
      </c>
    </row>
    <row r="9133" spans="1:11" ht="12.45">
      <c r="A9133" s="2" t="str">
        <f ca="1">IFERROR(__xludf.DUMMYFUNCTION("""COMPUTED_VALUE"""),"1754854345999")</f>
        <v>1754854345999</v>
      </c>
      <c r="C9133" s="2" t="str">
        <v>0</v>
      </c>
      <c r="F9133" s="2" t="str">
        <v>0</v>
      </c>
      <c r="I9133" s="3" t="str">
        <f ca="1">IFERROR(__xludf.DUMMYFUNCTION("""COMPUTED_VALUE"""),"Bùi Kim Chi")</f>
        <v>Bùi Kim Chi</v>
      </c>
      <c r="J9133" s="3" t="str">
        <f ca="1">IFERROR(__xludf.DUMMYFUNCTION("""COMPUTED_VALUE"""),"0356103855")</f>
        <v>0356103855</v>
      </c>
      <c r="K9133" s="2" t="str">
        <f ca="1">IFERROR(__xludf.DUMMYFUNCTION("""COMPUTED_VALUE"""),"1754854345999")</f>
        <v>1754854345999</v>
      </c>
    </row>
    <row r="9134" spans="1:11" ht="12.45">
      <c r="A9134" s="2" t="str">
        <f ca="1">IFERROR(__xludf.DUMMYFUNCTION("""COMPUTED_VALUE"""),"1754854417713")</f>
        <v>1754854417713</v>
      </c>
      <c r="C9134" s="2" t="str">
        <v>0</v>
      </c>
      <c r="F9134" s="2" t="str">
        <v>0</v>
      </c>
      <c r="I9134" s="3" t="str">
        <f ca="1">IFERROR(__xludf.DUMMYFUNCTION("""COMPUTED_VALUE"""),"Đặng Thị Ngọc Ánh")</f>
        <v>Đặng Thị Ngọc Ánh</v>
      </c>
      <c r="J9134" s="3" t="str">
        <f ca="1">IFERROR(__xludf.DUMMYFUNCTION("""COMPUTED_VALUE"""),"0398944064")</f>
        <v>0398944064</v>
      </c>
      <c r="K9134" s="2" t="str">
        <f ca="1">IFERROR(__xludf.DUMMYFUNCTION("""COMPUTED_VALUE"""),"1754854417713")</f>
        <v>1754854417713</v>
      </c>
    </row>
    <row r="9135" spans="1:11" ht="12.45">
      <c r="A9135" s="2" t="str">
        <f ca="1">IFERROR(__xludf.DUMMYFUNCTION("""COMPUTED_VALUE"""),"1754854472754")</f>
        <v>1754854472754</v>
      </c>
      <c r="C9135" s="2" t="str">
        <v>0</v>
      </c>
      <c r="F9135" s="2" t="str">
        <v>0</v>
      </c>
      <c r="I9135" s="3" t="str">
        <f ca="1">IFERROR(__xludf.DUMMYFUNCTION("""COMPUTED_VALUE"""),"Lê Thị Mơ ")</f>
        <v xml:space="preserve">Lê Thị Mơ </v>
      </c>
      <c r="J9135" s="3" t="str">
        <f ca="1">IFERROR(__xludf.DUMMYFUNCTION("""COMPUTED_VALUE"""),"0969546477")</f>
        <v>0969546477</v>
      </c>
      <c r="K9135" s="2" t="str">
        <f ca="1">IFERROR(__xludf.DUMMYFUNCTION("""COMPUTED_VALUE"""),"1754854472754")</f>
        <v>1754854472754</v>
      </c>
    </row>
    <row r="9136" spans="1:11" ht="12.45">
      <c r="A9136" s="2" t="str">
        <f ca="1">IFERROR(__xludf.DUMMYFUNCTION("""COMPUTED_VALUE"""),"1754854510551")</f>
        <v>1754854510551</v>
      </c>
      <c r="C9136" s="2" t="str">
        <v>0</v>
      </c>
      <c r="F9136" s="2" t="str">
        <v>0</v>
      </c>
      <c r="I9136" s="3" t="str">
        <f ca="1">IFERROR(__xludf.DUMMYFUNCTION("""COMPUTED_VALUE"""),"Nguyễn Thanh Trà")</f>
        <v>Nguyễn Thanh Trà</v>
      </c>
      <c r="J9136" s="3" t="str">
        <f ca="1">IFERROR(__xludf.DUMMYFUNCTION("""COMPUTED_VALUE"""),"0339028469")</f>
        <v>0339028469</v>
      </c>
      <c r="K9136" s="2" t="str">
        <f ca="1">IFERROR(__xludf.DUMMYFUNCTION("""COMPUTED_VALUE"""),"1754854510551")</f>
        <v>1754854510551</v>
      </c>
    </row>
    <row r="9137" spans="1:11" ht="12.45">
      <c r="A9137" s="2" t="str">
        <f ca="1">IFERROR(__xludf.DUMMYFUNCTION("""COMPUTED_VALUE"""),"1754854549229")</f>
        <v>1754854549229</v>
      </c>
      <c r="C9137" s="2" t="str">
        <v>0</v>
      </c>
      <c r="F9137" s="2" t="str">
        <v>0</v>
      </c>
      <c r="I9137" s="3" t="str">
        <f ca="1">IFERROR(__xludf.DUMMYFUNCTION("""COMPUTED_VALUE"""),"Đặng Huyền")</f>
        <v>Đặng Huyền</v>
      </c>
      <c r="J9137" s="3" t="str">
        <f ca="1">IFERROR(__xludf.DUMMYFUNCTION("""COMPUTED_VALUE"""),"0915462802")</f>
        <v>0915462802</v>
      </c>
      <c r="K9137" s="2" t="str">
        <f ca="1">IFERROR(__xludf.DUMMYFUNCTION("""COMPUTED_VALUE"""),"1754854549229")</f>
        <v>1754854549229</v>
      </c>
    </row>
    <row r="9138" spans="1:11" ht="12.45">
      <c r="A9138" s="2" t="str">
        <f ca="1">IFERROR(__xludf.DUMMYFUNCTION("""COMPUTED_VALUE"""),"1755480952843")</f>
        <v>1755480952843</v>
      </c>
      <c r="C9138" s="2" t="str">
        <v>0</v>
      </c>
      <c r="F9138" s="2" t="str">
        <v>0</v>
      </c>
      <c r="I9138" s="3" t="str">
        <f ca="1">IFERROR(__xludf.DUMMYFUNCTION("""COMPUTED_VALUE"""),"Nguyễn Minh Hồng ")</f>
        <v xml:space="preserve">Nguyễn Minh Hồng </v>
      </c>
      <c r="J9138" s="3" t="str">
        <f ca="1">IFERROR(__xludf.DUMMYFUNCTION("""COMPUTED_VALUE"""),"0982742928")</f>
        <v>0982742928</v>
      </c>
      <c r="K9138" s="2" t="str">
        <f ca="1">IFERROR(__xludf.DUMMYFUNCTION("""COMPUTED_VALUE"""),"1755480952843")</f>
        <v>1755480952843</v>
      </c>
    </row>
    <row r="9139" spans="1:11" ht="12.45">
      <c r="A9139" s="2"/>
      <c r="C9139" s="2" t="str">
        <v>0</v>
      </c>
      <c r="F9139" s="2" t="str">
        <v>0</v>
      </c>
      <c r="I9139" s="3" t="str">
        <f ca="1">IFERROR(__xludf.DUMMYFUNCTION("""COMPUTED_VALUE"""),"Nguyễn Trần Thuỳ Dương")</f>
        <v>Nguyễn Trần Thuỳ Dương</v>
      </c>
      <c r="J9139" s="3" t="str">
        <f ca="1">IFERROR(__xludf.DUMMYFUNCTION("""COMPUTED_VALUE"""),"0326105898")</f>
        <v>0326105898</v>
      </c>
      <c r="K9139" s="2"/>
    </row>
    <row r="9140" spans="1:11" ht="12.45">
      <c r="A9140" s="2" t="str">
        <f ca="1">IFERROR(__xludf.DUMMYFUNCTION("""COMPUTED_VALUE"""),"1755481024018")</f>
        <v>1755481024018</v>
      </c>
      <c r="C9140" s="2" t="str">
        <v>0</v>
      </c>
      <c r="F9140" s="2" t="str">
        <v>0</v>
      </c>
      <c r="I9140" s="3" t="str">
        <f ca="1">IFERROR(__xludf.DUMMYFUNCTION("""COMPUTED_VALUE"""),"Trần Bảo Quỳnh")</f>
        <v>Trần Bảo Quỳnh</v>
      </c>
      <c r="J9140" s="3" t="str">
        <f ca="1">IFERROR(__xludf.DUMMYFUNCTION("""COMPUTED_VALUE"""),"0379296657")</f>
        <v>0379296657</v>
      </c>
      <c r="K9140" s="2" t="str">
        <f ca="1">IFERROR(__xludf.DUMMYFUNCTION("""COMPUTED_VALUE"""),"1755481024018")</f>
        <v>1755481024018</v>
      </c>
    </row>
    <row r="9141" spans="1:11" ht="12.45">
      <c r="A9141" s="2" t="str">
        <f ca="1">IFERROR(__xludf.DUMMYFUNCTION("""COMPUTED_VALUE"""),"1755481070892")</f>
        <v>1755481070892</v>
      </c>
      <c r="C9141" s="2" t="str">
        <v>0</v>
      </c>
      <c r="F9141" s="2" t="str">
        <v>0</v>
      </c>
      <c r="I9141" s="3" t="str">
        <f ca="1">IFERROR(__xludf.DUMMYFUNCTION("""COMPUTED_VALUE"""),"Trương Ngọc Minh Thư")</f>
        <v>Trương Ngọc Minh Thư</v>
      </c>
      <c r="J9141" s="3" t="str">
        <f ca="1">IFERROR(__xludf.DUMMYFUNCTION("""COMPUTED_VALUE"""),"0707390957")</f>
        <v>0707390957</v>
      </c>
      <c r="K9141" s="2" t="str">
        <f ca="1">IFERROR(__xludf.DUMMYFUNCTION("""COMPUTED_VALUE"""),"1755481070892")</f>
        <v>1755481070892</v>
      </c>
    </row>
    <row r="9142" spans="1:11" ht="12.45">
      <c r="A9142" s="2" t="str">
        <f ca="1">IFERROR(__xludf.DUMMYFUNCTION("""COMPUTED_VALUE"""),"1755481112124")</f>
        <v>1755481112124</v>
      </c>
      <c r="C9142" s="2" t="str">
        <v>0</v>
      </c>
      <c r="F9142" s="2" t="str">
        <v>0</v>
      </c>
      <c r="I9142" s="3" t="str">
        <f ca="1">IFERROR(__xludf.DUMMYFUNCTION("""COMPUTED_VALUE"""),"Dương Bảo Như Ngọc ")</f>
        <v xml:space="preserve">Dương Bảo Như Ngọc </v>
      </c>
      <c r="J9142" s="3" t="str">
        <f ca="1">IFERROR(__xludf.DUMMYFUNCTION("""COMPUTED_VALUE"""),"0982275565")</f>
        <v>0982275565</v>
      </c>
      <c r="K9142" s="2" t="str">
        <f ca="1">IFERROR(__xludf.DUMMYFUNCTION("""COMPUTED_VALUE"""),"1755481112124")</f>
        <v>1755481112124</v>
      </c>
    </row>
    <row r="9143" spans="1:11" ht="12.45">
      <c r="A9143" s="2" t="str">
        <f ca="1">IFERROR(__xludf.DUMMYFUNCTION("""COMPUTED_VALUE"""),"1755481150291")</f>
        <v>1755481150291</v>
      </c>
      <c r="C9143" s="2" t="str">
        <v>0</v>
      </c>
      <c r="F9143" s="2" t="str">
        <v>0</v>
      </c>
      <c r="I9143" s="3" t="str">
        <f ca="1">IFERROR(__xludf.DUMMYFUNCTION("""COMPUTED_VALUE"""),"Vy thị hiền ")</f>
        <v xml:space="preserve">Vy thị hiền </v>
      </c>
      <c r="J9143" s="3" t="str">
        <f ca="1">IFERROR(__xludf.DUMMYFUNCTION("""COMPUTED_VALUE"""),"0965489282")</f>
        <v>0965489282</v>
      </c>
      <c r="K9143" s="2" t="str">
        <f ca="1">IFERROR(__xludf.DUMMYFUNCTION("""COMPUTED_VALUE"""),"1755481150291")</f>
        <v>1755481150291</v>
      </c>
    </row>
    <row r="9144" spans="1:11" ht="12.45">
      <c r="A9144" s="2" t="str">
        <f ca="1">IFERROR(__xludf.DUMMYFUNCTION("""COMPUTED_VALUE"""),"1755481175922")</f>
        <v>1755481175922</v>
      </c>
      <c r="C9144" s="2" t="str">
        <v>0</v>
      </c>
      <c r="F9144" s="2" t="str">
        <v>0</v>
      </c>
      <c r="I9144" s="3" t="str">
        <f ca="1">IFERROR(__xludf.DUMMYFUNCTION("""COMPUTED_VALUE"""),"Trần Hoài Anh")</f>
        <v>Trần Hoài Anh</v>
      </c>
      <c r="J9144" s="3" t="str">
        <f ca="1">IFERROR(__xludf.DUMMYFUNCTION("""COMPUTED_VALUE"""),"0981289945")</f>
        <v>0981289945</v>
      </c>
      <c r="K9144" s="2" t="str">
        <f ca="1">IFERROR(__xludf.DUMMYFUNCTION("""COMPUTED_VALUE"""),"1755481175922")</f>
        <v>1755481175922</v>
      </c>
    </row>
    <row r="9145" spans="1:11" ht="12.45">
      <c r="A9145" s="2" t="str">
        <f ca="1">IFERROR(__xludf.DUMMYFUNCTION("""COMPUTED_VALUE"""),"1755481203726")</f>
        <v>1755481203726</v>
      </c>
      <c r="C9145" s="2" t="str">
        <v>0</v>
      </c>
      <c r="F9145" s="2" t="str">
        <v>0</v>
      </c>
      <c r="I9145" s="3" t="str">
        <f ca="1">IFERROR(__xludf.DUMMYFUNCTION("""COMPUTED_VALUE"""),"Ngọc Anh")</f>
        <v>Ngọc Anh</v>
      </c>
      <c r="J9145" s="3" t="str">
        <f ca="1">IFERROR(__xludf.DUMMYFUNCTION("""COMPUTED_VALUE"""),"0912636156")</f>
        <v>0912636156</v>
      </c>
      <c r="K9145" s="2" t="str">
        <f ca="1">IFERROR(__xludf.DUMMYFUNCTION("""COMPUTED_VALUE"""),"1755481203726")</f>
        <v>1755481203726</v>
      </c>
    </row>
    <row r="9146" spans="1:11" ht="12.45">
      <c r="A9146" s="2" t="str">
        <f ca="1">IFERROR(__xludf.DUMMYFUNCTION("""COMPUTED_VALUE"""),"1755481234588")</f>
        <v>1755481234588</v>
      </c>
      <c r="C9146" s="2" t="str">
        <v>0</v>
      </c>
      <c r="F9146" s="2" t="str">
        <v>0</v>
      </c>
      <c r="I9146" s="3" t="str">
        <f ca="1">IFERROR(__xludf.DUMMYFUNCTION("""COMPUTED_VALUE"""),"Hoàng Tiến Đạt")</f>
        <v>Hoàng Tiến Đạt</v>
      </c>
      <c r="J9146" s="3" t="str">
        <f ca="1">IFERROR(__xludf.DUMMYFUNCTION("""COMPUTED_VALUE"""),"0948377865")</f>
        <v>0948377865</v>
      </c>
      <c r="K9146" s="2" t="str">
        <f ca="1">IFERROR(__xludf.DUMMYFUNCTION("""COMPUTED_VALUE"""),"1755481234588")</f>
        <v>1755481234588</v>
      </c>
    </row>
    <row r="9147" spans="1:11" ht="12.45">
      <c r="A9147" s="2" t="str">
        <f ca="1">IFERROR(__xludf.DUMMYFUNCTION("""COMPUTED_VALUE"""),"1755481270424")</f>
        <v>1755481270424</v>
      </c>
      <c r="C9147" s="2" t="str">
        <v>0</v>
      </c>
      <c r="F9147" s="2" t="str">
        <v>0</v>
      </c>
      <c r="I9147" s="3" t="str">
        <f ca="1">IFERROR(__xludf.DUMMYFUNCTION("""COMPUTED_VALUE"""),"Dương Thị Thảo Hiền")</f>
        <v>Dương Thị Thảo Hiền</v>
      </c>
      <c r="J9147" s="3" t="str">
        <f ca="1">IFERROR(__xludf.DUMMYFUNCTION("""COMPUTED_VALUE"""),"0362354266")</f>
        <v>0362354266</v>
      </c>
      <c r="K9147" s="2" t="str">
        <f ca="1">IFERROR(__xludf.DUMMYFUNCTION("""COMPUTED_VALUE"""),"1755481270424")</f>
        <v>1755481270424</v>
      </c>
    </row>
    <row r="9148" spans="1:11" ht="12.45">
      <c r="A9148" s="2" t="str">
        <f ca="1">IFERROR(__xludf.DUMMYFUNCTION("""COMPUTED_VALUE"""),"1755481300024")</f>
        <v>1755481300024</v>
      </c>
      <c r="C9148" s="2" t="str">
        <v>0</v>
      </c>
      <c r="F9148" s="2" t="str">
        <v>0</v>
      </c>
      <c r="I9148" s="3" t="str">
        <f ca="1">IFERROR(__xludf.DUMMYFUNCTION("""COMPUTED_VALUE"""),"Nguyễn Võ Anh Thư")</f>
        <v>Nguyễn Võ Anh Thư</v>
      </c>
      <c r="J9148" s="3" t="str">
        <f ca="1">IFERROR(__xludf.DUMMYFUNCTION("""COMPUTED_VALUE"""),"0398420724")</f>
        <v>0398420724</v>
      </c>
      <c r="K9148" s="2" t="str">
        <f ca="1">IFERROR(__xludf.DUMMYFUNCTION("""COMPUTED_VALUE"""),"1755481300024")</f>
        <v>1755481300024</v>
      </c>
    </row>
    <row r="9149" spans="1:11" ht="12.45">
      <c r="A9149" s="2" t="str">
        <f ca="1">IFERROR(__xludf.DUMMYFUNCTION("""COMPUTED_VALUE"""),"1755481327903")</f>
        <v>1755481327903</v>
      </c>
      <c r="C9149" s="2" t="str">
        <v>0</v>
      </c>
      <c r="F9149" s="2" t="str">
        <v>0</v>
      </c>
      <c r="I9149" s="3" t="str">
        <f ca="1">IFERROR(__xludf.DUMMYFUNCTION("""COMPUTED_VALUE"""),"Lê Thị Yến Nhi")</f>
        <v>Lê Thị Yến Nhi</v>
      </c>
      <c r="J9149" s="3" t="str">
        <f ca="1">IFERROR(__xludf.DUMMYFUNCTION("""COMPUTED_VALUE"""),"0357454542")</f>
        <v>0357454542</v>
      </c>
      <c r="K9149" s="2" t="str">
        <f ca="1">IFERROR(__xludf.DUMMYFUNCTION("""COMPUTED_VALUE"""),"1755481327903")</f>
        <v>1755481327903</v>
      </c>
    </row>
    <row r="9150" spans="1:11" ht="12.45">
      <c r="A9150" s="2" t="str">
        <f ca="1">IFERROR(__xludf.DUMMYFUNCTION("""COMPUTED_VALUE"""),"1755481368677")</f>
        <v>1755481368677</v>
      </c>
      <c r="C9150" s="2" t="str">
        <v>0</v>
      </c>
      <c r="F9150" s="2" t="str">
        <v>0</v>
      </c>
      <c r="I9150" s="3" t="str">
        <f ca="1">IFERROR(__xludf.DUMMYFUNCTION("""COMPUTED_VALUE"""),"Mông Kiều Trinh")</f>
        <v>Mông Kiều Trinh</v>
      </c>
      <c r="J9150" s="3" t="str">
        <f ca="1">IFERROR(__xludf.DUMMYFUNCTION("""COMPUTED_VALUE"""),"0378025956")</f>
        <v>0378025956</v>
      </c>
      <c r="K9150" s="2" t="str">
        <f ca="1">IFERROR(__xludf.DUMMYFUNCTION("""COMPUTED_VALUE"""),"1755481368677")</f>
        <v>1755481368677</v>
      </c>
    </row>
    <row r="9151" spans="1:11" ht="12.45">
      <c r="A9151" s="2" t="str">
        <f ca="1">IFERROR(__xludf.DUMMYFUNCTION("""COMPUTED_VALUE"""),"1755481397196")</f>
        <v>1755481397196</v>
      </c>
      <c r="C9151" s="2" t="str">
        <v>0</v>
      </c>
      <c r="F9151" s="2" t="str">
        <v>0</v>
      </c>
      <c r="I9151" s="3" t="str">
        <f ca="1">IFERROR(__xludf.DUMMYFUNCTION("""COMPUTED_VALUE"""),"Nguyễn Thị Trang Nhung")</f>
        <v>Nguyễn Thị Trang Nhung</v>
      </c>
      <c r="J9151" s="3" t="str">
        <f ca="1">IFERROR(__xludf.DUMMYFUNCTION("""COMPUTED_VALUE"""),"0984075678")</f>
        <v>0984075678</v>
      </c>
      <c r="K9151" s="2" t="str">
        <f ca="1">IFERROR(__xludf.DUMMYFUNCTION("""COMPUTED_VALUE"""),"1755481397196")</f>
        <v>1755481397196</v>
      </c>
    </row>
    <row r="9152" spans="1:11" ht="12.45">
      <c r="A9152" s="2" t="str">
        <f ca="1">IFERROR(__xludf.DUMMYFUNCTION("""COMPUTED_VALUE"""),"1755481423338")</f>
        <v>1755481423338</v>
      </c>
      <c r="C9152" s="2" t="str">
        <v>0</v>
      </c>
      <c r="F9152" s="2" t="str">
        <v>0</v>
      </c>
      <c r="I9152" s="3" t="str">
        <f ca="1">IFERROR(__xludf.DUMMYFUNCTION("""COMPUTED_VALUE"""),"Nguyễn Duy Anh ")</f>
        <v xml:space="preserve">Nguyễn Duy Anh </v>
      </c>
      <c r="J9152" s="3" t="str">
        <f ca="1">IFERROR(__xludf.DUMMYFUNCTION("""COMPUTED_VALUE"""),"0377575934")</f>
        <v>0377575934</v>
      </c>
      <c r="K9152" s="2" t="str">
        <f ca="1">IFERROR(__xludf.DUMMYFUNCTION("""COMPUTED_VALUE"""),"1755481423338")</f>
        <v>1755481423338</v>
      </c>
    </row>
    <row r="9153" spans="1:11" ht="12.45">
      <c r="A9153" s="2" t="str">
        <f ca="1">IFERROR(__xludf.DUMMYFUNCTION("""COMPUTED_VALUE"""),"1755481449217")</f>
        <v>1755481449217</v>
      </c>
      <c r="C9153" s="2" t="str">
        <v>0</v>
      </c>
      <c r="F9153" s="2" t="str">
        <v>0</v>
      </c>
      <c r="I9153" s="3" t="str">
        <f ca="1">IFERROR(__xludf.DUMMYFUNCTION("""COMPUTED_VALUE"""),"Nguyễn Thị Kiều Trang")</f>
        <v>Nguyễn Thị Kiều Trang</v>
      </c>
      <c r="J9153" s="3" t="str">
        <f ca="1">IFERROR(__xludf.DUMMYFUNCTION("""COMPUTED_VALUE"""),"0353166350")</f>
        <v>0353166350</v>
      </c>
      <c r="K9153" s="2" t="str">
        <f ca="1">IFERROR(__xludf.DUMMYFUNCTION("""COMPUTED_VALUE"""),"1755481449217")</f>
        <v>1755481449217</v>
      </c>
    </row>
    <row r="9154" spans="1:11" ht="12.45">
      <c r="A9154" s="2" t="str">
        <f ca="1">IFERROR(__xludf.DUMMYFUNCTION("""COMPUTED_VALUE"""),"1755481500622")</f>
        <v>1755481500622</v>
      </c>
      <c r="C9154" s="2" t="str">
        <v>0</v>
      </c>
      <c r="F9154" s="2" t="str">
        <v>0</v>
      </c>
      <c r="I9154" s="3" t="str">
        <f ca="1">IFERROR(__xludf.DUMMYFUNCTION("""COMPUTED_VALUE"""),"Hồ Huyền Trang")</f>
        <v>Hồ Huyền Trang</v>
      </c>
      <c r="J9154" s="3" t="str">
        <f ca="1">IFERROR(__xludf.DUMMYFUNCTION("""COMPUTED_VALUE"""),"0773390730")</f>
        <v>0773390730</v>
      </c>
      <c r="K9154" s="2" t="str">
        <f ca="1">IFERROR(__xludf.DUMMYFUNCTION("""COMPUTED_VALUE"""),"1755481500622")</f>
        <v>1755481500622</v>
      </c>
    </row>
    <row r="9155" spans="1:11" ht="12.45">
      <c r="A9155" s="2" t="str">
        <f ca="1">IFERROR(__xludf.DUMMYFUNCTION("""COMPUTED_VALUE"""),"1755481529375")</f>
        <v>1755481529375</v>
      </c>
      <c r="C9155" s="2" t="str">
        <v>0</v>
      </c>
      <c r="F9155" s="2" t="str">
        <v>0</v>
      </c>
      <c r="I9155" s="3" t="str">
        <f ca="1">IFERROR(__xludf.DUMMYFUNCTION("""COMPUTED_VALUE"""),"Nguyễn Ngọc Bích Thảo ")</f>
        <v xml:space="preserve">Nguyễn Ngọc Bích Thảo </v>
      </c>
      <c r="J9155" s="3" t="str">
        <f ca="1">IFERROR(__xludf.DUMMYFUNCTION("""COMPUTED_VALUE"""),"0375066838")</f>
        <v>0375066838</v>
      </c>
      <c r="K9155" s="2" t="str">
        <f ca="1">IFERROR(__xludf.DUMMYFUNCTION("""COMPUTED_VALUE"""),"1755481529375")</f>
        <v>1755481529375</v>
      </c>
    </row>
    <row r="9156" spans="1:11" ht="12.45">
      <c r="A9156" s="2" t="str">
        <f ca="1">IFERROR(__xludf.DUMMYFUNCTION("""COMPUTED_VALUE"""),"1755774949264")</f>
        <v>1755774949264</v>
      </c>
      <c r="C9156" s="2" t="str">
        <v>0</v>
      </c>
      <c r="F9156" s="2" t="str">
        <v>0</v>
      </c>
      <c r="I9156" s="3" t="str">
        <f ca="1">IFERROR(__xludf.DUMMYFUNCTION("""COMPUTED_VALUE"""),"Bùi Thị Vân Anh")</f>
        <v>Bùi Thị Vân Anh</v>
      </c>
      <c r="J9156" s="3" t="str">
        <f ca="1">IFERROR(__xludf.DUMMYFUNCTION("""COMPUTED_VALUE"""),"0813214903")</f>
        <v>0813214903</v>
      </c>
      <c r="K9156" s="2" t="str">
        <f ca="1">IFERROR(__xludf.DUMMYFUNCTION("""COMPUTED_VALUE"""),"1755774949264")</f>
        <v>1755774949264</v>
      </c>
    </row>
    <row r="9157" spans="1:11" ht="12.45">
      <c r="A9157" s="2" t="str">
        <f ca="1">IFERROR(__xludf.DUMMYFUNCTION("""COMPUTED_VALUE"""),"1755481561069")</f>
        <v>1755481561069</v>
      </c>
      <c r="C9157" s="2" t="str">
        <v>0</v>
      </c>
      <c r="F9157" s="2" t="str">
        <v>0</v>
      </c>
      <c r="I9157" s="3" t="str">
        <f ca="1">IFERROR(__xludf.DUMMYFUNCTION("""COMPUTED_VALUE"""),"Vũ Huyền My")</f>
        <v>Vũ Huyền My</v>
      </c>
      <c r="J9157" s="3" t="str">
        <f ca="1">IFERROR(__xludf.DUMMYFUNCTION("""COMPUTED_VALUE"""),"0989672398")</f>
        <v>0989672398</v>
      </c>
      <c r="K9157" s="2" t="str">
        <f ca="1">IFERROR(__xludf.DUMMYFUNCTION("""COMPUTED_VALUE"""),"1755481561069")</f>
        <v>1755481561069</v>
      </c>
    </row>
    <row r="9158" spans="1:11" ht="12.45">
      <c r="A9158" s="2" t="str">
        <f ca="1">IFERROR(__xludf.DUMMYFUNCTION("""COMPUTED_VALUE"""),"1755481586365")</f>
        <v>1755481586365</v>
      </c>
      <c r="C9158" s="2" t="str">
        <v>0</v>
      </c>
      <c r="F9158" s="2" t="str">
        <v>0</v>
      </c>
      <c r="I9158" s="3" t="str">
        <f ca="1">IFERROR(__xludf.DUMMYFUNCTION("""COMPUTED_VALUE"""),"Trần Nguyễn Gia Hưng")</f>
        <v>Trần Nguyễn Gia Hưng</v>
      </c>
      <c r="J9158" s="3" t="str">
        <f ca="1">IFERROR(__xludf.DUMMYFUNCTION("""COMPUTED_VALUE"""),"0379627616")</f>
        <v>0379627616</v>
      </c>
      <c r="K9158" s="2" t="str">
        <f ca="1">IFERROR(__xludf.DUMMYFUNCTION("""COMPUTED_VALUE"""),"1755481586365")</f>
        <v>1755481586365</v>
      </c>
    </row>
    <row r="9159" spans="1:11" ht="12.45">
      <c r="A9159" s="2" t="str">
        <f ca="1">IFERROR(__xludf.DUMMYFUNCTION("""COMPUTED_VALUE"""),"1755481623809")</f>
        <v>1755481623809</v>
      </c>
      <c r="C9159" s="2" t="str">
        <v>0</v>
      </c>
      <c r="F9159" s="2" t="str">
        <v>0</v>
      </c>
      <c r="I9159" s="3" t="str">
        <f ca="1">IFERROR(__xludf.DUMMYFUNCTION("""COMPUTED_VALUE"""),"Lê Nguyên Bách")</f>
        <v>Lê Nguyên Bách</v>
      </c>
      <c r="J9159" s="3" t="str">
        <f ca="1">IFERROR(__xludf.DUMMYFUNCTION("""COMPUTED_VALUE"""),"0918510858")</f>
        <v>0918510858</v>
      </c>
      <c r="K9159" s="2" t="str">
        <f ca="1">IFERROR(__xludf.DUMMYFUNCTION("""COMPUTED_VALUE"""),"1755481623809")</f>
        <v>1755481623809</v>
      </c>
    </row>
    <row r="9160" spans="1:11" ht="12.45">
      <c r="A9160" s="2" t="str">
        <f ca="1">IFERROR(__xludf.DUMMYFUNCTION("""COMPUTED_VALUE"""),"1755481656720")</f>
        <v>1755481656720</v>
      </c>
      <c r="C9160" s="2" t="str">
        <v>0</v>
      </c>
      <c r="F9160" s="2" t="str">
        <v>0</v>
      </c>
      <c r="I9160" s="3" t="str">
        <f ca="1">IFERROR(__xludf.DUMMYFUNCTION("""COMPUTED_VALUE"""),"Nguyễn Anh Minh Phương")</f>
        <v>Nguyễn Anh Minh Phương</v>
      </c>
      <c r="J9160" s="3" t="str">
        <f ca="1">IFERROR(__xludf.DUMMYFUNCTION("""COMPUTED_VALUE"""),"0336215548")</f>
        <v>0336215548</v>
      </c>
      <c r="K9160" s="2" t="str">
        <f ca="1">IFERROR(__xludf.DUMMYFUNCTION("""COMPUTED_VALUE"""),"1755481656720")</f>
        <v>1755481656720</v>
      </c>
    </row>
    <row r="9161" spans="1:11" ht="12.45">
      <c r="A9161" s="2" t="str">
        <f ca="1">IFERROR(__xludf.DUMMYFUNCTION("""COMPUTED_VALUE"""),"1755481681796")</f>
        <v>1755481681796</v>
      </c>
      <c r="C9161" s="2" t="str">
        <v>0</v>
      </c>
      <c r="F9161" s="2" t="str">
        <v>0</v>
      </c>
      <c r="I9161" s="3" t="str">
        <f ca="1">IFERROR(__xludf.DUMMYFUNCTION("""COMPUTED_VALUE"""),"Phạm Thị Thu Trà ")</f>
        <v xml:space="preserve">Phạm Thị Thu Trà </v>
      </c>
      <c r="J9161" s="3" t="str">
        <f ca="1">IFERROR(__xludf.DUMMYFUNCTION("""COMPUTED_VALUE"""),"0374516684")</f>
        <v>0374516684</v>
      </c>
      <c r="K9161" s="2" t="str">
        <f ca="1">IFERROR(__xludf.DUMMYFUNCTION("""COMPUTED_VALUE"""),"1755481681796")</f>
        <v>1755481681796</v>
      </c>
    </row>
    <row r="9162" spans="1:11" ht="12.45">
      <c r="A9162" s="2"/>
      <c r="C9162" s="2" t="str">
        <v>0</v>
      </c>
      <c r="F9162" s="2" t="str">
        <v>0</v>
      </c>
      <c r="I9162" s="3" t="str">
        <f ca="1">IFERROR(__xludf.DUMMYFUNCTION("""COMPUTED_VALUE"""),"Lý Phương Quyên")</f>
        <v>Lý Phương Quyên</v>
      </c>
      <c r="J9162" s="3" t="str">
        <f ca="1">IFERROR(__xludf.DUMMYFUNCTION("""COMPUTED_VALUE"""),"0941500454")</f>
        <v>0941500454</v>
      </c>
      <c r="K9162" s="2"/>
    </row>
    <row r="9163" spans="1:11" ht="12.45">
      <c r="A9163" s="2" t="str">
        <f ca="1">IFERROR(__xludf.DUMMYFUNCTION("""COMPUTED_VALUE"""),"1755481709424")</f>
        <v>1755481709424</v>
      </c>
      <c r="C9163" s="2" t="str">
        <v>0</v>
      </c>
      <c r="F9163" s="2" t="str">
        <v>0</v>
      </c>
      <c r="I9163" s="3" t="str">
        <f ca="1">IFERROR(__xludf.DUMMYFUNCTION("""COMPUTED_VALUE"""),"Nguyễn Thị Ngọc Tuyền ")</f>
        <v xml:space="preserve">Nguyễn Thị Ngọc Tuyền </v>
      </c>
      <c r="J9163" s="3" t="str">
        <f ca="1">IFERROR(__xludf.DUMMYFUNCTION("""COMPUTED_VALUE"""),"0926204418")</f>
        <v>0926204418</v>
      </c>
      <c r="K9163" s="2" t="str">
        <f ca="1">IFERROR(__xludf.DUMMYFUNCTION("""COMPUTED_VALUE"""),"1755481709424")</f>
        <v>1755481709424</v>
      </c>
    </row>
    <row r="9164" spans="1:11" ht="12.45">
      <c r="A9164" s="2" t="str">
        <f ca="1">IFERROR(__xludf.DUMMYFUNCTION("""COMPUTED_VALUE"""),"1755481741364")</f>
        <v>1755481741364</v>
      </c>
      <c r="C9164" s="2" t="str">
        <v>0</v>
      </c>
      <c r="F9164" s="2" t="str">
        <v>0</v>
      </c>
      <c r="I9164" s="3" t="str">
        <f ca="1">IFERROR(__xludf.DUMMYFUNCTION("""COMPUTED_VALUE"""),"Lê Ngọc Linh")</f>
        <v>Lê Ngọc Linh</v>
      </c>
      <c r="J9164" s="3" t="str">
        <f ca="1">IFERROR(__xludf.DUMMYFUNCTION("""COMPUTED_VALUE"""),"0327955193")</f>
        <v>0327955193</v>
      </c>
      <c r="K9164" s="2" t="str">
        <f ca="1">IFERROR(__xludf.DUMMYFUNCTION("""COMPUTED_VALUE"""),"1755481741364")</f>
        <v>1755481741364</v>
      </c>
    </row>
    <row r="9165" spans="1:11" ht="12.45">
      <c r="A9165" s="2" t="str">
        <f ca="1">IFERROR(__xludf.DUMMYFUNCTION("""COMPUTED_VALUE"""),"1755481769835")</f>
        <v>1755481769835</v>
      </c>
      <c r="C9165" s="2" t="str">
        <v>0</v>
      </c>
      <c r="F9165" s="2" t="str">
        <v>0</v>
      </c>
      <c r="I9165" s="3" t="str">
        <f ca="1">IFERROR(__xludf.DUMMYFUNCTION("""COMPUTED_VALUE"""),"Nguyễn Vũ Thanh Thư")</f>
        <v>Nguyễn Vũ Thanh Thư</v>
      </c>
      <c r="J9165" s="3" t="str">
        <f ca="1">IFERROR(__xludf.DUMMYFUNCTION("""COMPUTED_VALUE"""),"0913415853")</f>
        <v>0913415853</v>
      </c>
      <c r="K9165" s="2" t="str">
        <f ca="1">IFERROR(__xludf.DUMMYFUNCTION("""COMPUTED_VALUE"""),"1755481769835")</f>
        <v>1755481769835</v>
      </c>
    </row>
    <row r="9166" spans="1:11" ht="12.45">
      <c r="A9166" s="2" t="str">
        <f ca="1">IFERROR(__xludf.DUMMYFUNCTION("""COMPUTED_VALUE"""),"1755481808166")</f>
        <v>1755481808166</v>
      </c>
      <c r="C9166" s="2" t="str">
        <v>0</v>
      </c>
      <c r="F9166" s="2" t="str">
        <v>0</v>
      </c>
      <c r="I9166" s="3" t="str">
        <f ca="1">IFERROR(__xludf.DUMMYFUNCTION("""COMPUTED_VALUE"""),"Đào Thị Ngọc Trăm ")</f>
        <v xml:space="preserve">Đào Thị Ngọc Trăm </v>
      </c>
      <c r="J9166" s="3" t="str">
        <f ca="1">IFERROR(__xludf.DUMMYFUNCTION("""COMPUTED_VALUE"""),"0945587975")</f>
        <v>0945587975</v>
      </c>
      <c r="K9166" s="2" t="str">
        <f ca="1">IFERROR(__xludf.DUMMYFUNCTION("""COMPUTED_VALUE"""),"1755481808166")</f>
        <v>1755481808166</v>
      </c>
    </row>
    <row r="9167" spans="1:11" ht="12.45">
      <c r="A9167" s="2" t="str">
        <f ca="1">IFERROR(__xludf.DUMMYFUNCTION("""COMPUTED_VALUE"""),"1755481837531")</f>
        <v>1755481837531</v>
      </c>
      <c r="C9167" s="2" t="str">
        <v>0</v>
      </c>
      <c r="F9167" s="2" t="str">
        <v>0</v>
      </c>
      <c r="I9167" s="3" t="str">
        <f ca="1">IFERROR(__xludf.DUMMYFUNCTION("""COMPUTED_VALUE"""),"Lê Hoàng Hà")</f>
        <v>Lê Hoàng Hà</v>
      </c>
      <c r="J9167" s="3" t="str">
        <f ca="1">IFERROR(__xludf.DUMMYFUNCTION("""COMPUTED_VALUE"""),"0972994781")</f>
        <v>0972994781</v>
      </c>
      <c r="K9167" s="2" t="str">
        <f ca="1">IFERROR(__xludf.DUMMYFUNCTION("""COMPUTED_VALUE"""),"1755481837531")</f>
        <v>1755481837531</v>
      </c>
    </row>
    <row r="9168" spans="1:11" ht="12.45">
      <c r="A9168" s="2" t="str">
        <f ca="1">IFERROR(__xludf.DUMMYFUNCTION("""COMPUTED_VALUE"""),"1755481864018")</f>
        <v>1755481864018</v>
      </c>
      <c r="C9168" s="2" t="str">
        <v>0</v>
      </c>
      <c r="F9168" s="2" t="str">
        <v>0</v>
      </c>
      <c r="I9168" s="3" t="str">
        <f ca="1">IFERROR(__xludf.DUMMYFUNCTION("""COMPUTED_VALUE"""),"Nguyễn Thị Ngọc Phận")</f>
        <v>Nguyễn Thị Ngọc Phận</v>
      </c>
      <c r="J9168" s="3" t="str">
        <f ca="1">IFERROR(__xludf.DUMMYFUNCTION("""COMPUTED_VALUE"""),"0901102361")</f>
        <v>0901102361</v>
      </c>
      <c r="K9168" s="2" t="str">
        <f ca="1">IFERROR(__xludf.DUMMYFUNCTION("""COMPUTED_VALUE"""),"1755481864018")</f>
        <v>1755481864018</v>
      </c>
    </row>
    <row r="9169" spans="1:11" ht="12.45">
      <c r="A9169" s="2" t="str">
        <f ca="1">IFERROR(__xludf.DUMMYFUNCTION("""COMPUTED_VALUE"""),"1755481890931")</f>
        <v>1755481890931</v>
      </c>
      <c r="C9169" s="2" t="str">
        <v>0</v>
      </c>
      <c r="F9169" s="2" t="str">
        <v>0</v>
      </c>
      <c r="I9169" s="3" t="str">
        <f ca="1">IFERROR(__xludf.DUMMYFUNCTION("""COMPUTED_VALUE"""),"Nguyễn Yến Nương")</f>
        <v>Nguyễn Yến Nương</v>
      </c>
      <c r="J9169" s="3" t="str">
        <f ca="1">IFERROR(__xludf.DUMMYFUNCTION("""COMPUTED_VALUE"""),"0945025591")</f>
        <v>0945025591</v>
      </c>
      <c r="K9169" s="2" t="str">
        <f ca="1">IFERROR(__xludf.DUMMYFUNCTION("""COMPUTED_VALUE"""),"1755481890931")</f>
        <v>1755481890931</v>
      </c>
    </row>
    <row r="9170" spans="1:11" ht="12.45">
      <c r="A9170" s="2" t="str">
        <f ca="1">IFERROR(__xludf.DUMMYFUNCTION("""COMPUTED_VALUE"""),"1755481918087")</f>
        <v>1755481918087</v>
      </c>
      <c r="C9170" s="2" t="str">
        <v>0</v>
      </c>
      <c r="F9170" s="2" t="str">
        <v>0</v>
      </c>
      <c r="I9170" s="3" t="str">
        <f ca="1">IFERROR(__xludf.DUMMYFUNCTION("""COMPUTED_VALUE"""),"Nguyễn Phương Đan")</f>
        <v>Nguyễn Phương Đan</v>
      </c>
      <c r="J9170" s="3" t="str">
        <f ca="1">IFERROR(__xludf.DUMMYFUNCTION("""COMPUTED_VALUE"""),"0868436503")</f>
        <v>0868436503</v>
      </c>
      <c r="K9170" s="2" t="str">
        <f ca="1">IFERROR(__xludf.DUMMYFUNCTION("""COMPUTED_VALUE"""),"1755481918087")</f>
        <v>1755481918087</v>
      </c>
    </row>
    <row r="9171" spans="1:11" ht="12.45">
      <c r="A9171" s="2" t="str">
        <f ca="1">IFERROR(__xludf.DUMMYFUNCTION("""COMPUTED_VALUE"""),"1755481948639")</f>
        <v>1755481948639</v>
      </c>
      <c r="C9171" s="2" t="str">
        <v>0</v>
      </c>
      <c r="F9171" s="2" t="str">
        <v>0</v>
      </c>
      <c r="I9171" s="3" t="str">
        <f ca="1">IFERROR(__xludf.DUMMYFUNCTION("""COMPUTED_VALUE"""),"Lê kiều Oanh")</f>
        <v>Lê kiều Oanh</v>
      </c>
      <c r="J9171" s="3" t="str">
        <f ca="1">IFERROR(__xludf.DUMMYFUNCTION("""COMPUTED_VALUE"""),"0862649103")</f>
        <v>0862649103</v>
      </c>
      <c r="K9171" s="2" t="str">
        <f ca="1">IFERROR(__xludf.DUMMYFUNCTION("""COMPUTED_VALUE"""),"1755481948639")</f>
        <v>1755481948639</v>
      </c>
    </row>
    <row r="9172" spans="1:11" ht="12.45">
      <c r="A9172" s="2" t="str">
        <f ca="1">IFERROR(__xludf.DUMMYFUNCTION("""COMPUTED_VALUE"""),"1755481972528")</f>
        <v>1755481972528</v>
      </c>
      <c r="C9172" s="2" t="str">
        <v>0</v>
      </c>
      <c r="F9172" s="2" t="str">
        <v>0</v>
      </c>
      <c r="I9172" s="3" t="str">
        <f ca="1">IFERROR(__xludf.DUMMYFUNCTION("""COMPUTED_VALUE"""),"Vũ Thị Huyền ")</f>
        <v xml:space="preserve">Vũ Thị Huyền </v>
      </c>
      <c r="J9172" s="3" t="str">
        <f ca="1">IFERROR(__xludf.DUMMYFUNCTION("""COMPUTED_VALUE"""),"0966821713")</f>
        <v>0966821713</v>
      </c>
      <c r="K9172" s="2" t="str">
        <f ca="1">IFERROR(__xludf.DUMMYFUNCTION("""COMPUTED_VALUE"""),"1755481972528")</f>
        <v>1755481972528</v>
      </c>
    </row>
    <row r="9173" spans="1:11" ht="12.45">
      <c r="A9173" s="2" t="str">
        <f ca="1">IFERROR(__xludf.DUMMYFUNCTION("""COMPUTED_VALUE"""),"1755482005608")</f>
        <v>1755482005608</v>
      </c>
      <c r="C9173" s="2" t="str">
        <v>0</v>
      </c>
      <c r="F9173" s="2" t="str">
        <v>0</v>
      </c>
      <c r="I9173" s="3" t="str">
        <f ca="1">IFERROR(__xludf.DUMMYFUNCTION("""COMPUTED_VALUE"""),"Phan Thùy Linh")</f>
        <v>Phan Thùy Linh</v>
      </c>
      <c r="J9173" s="3" t="str">
        <f ca="1">IFERROR(__xludf.DUMMYFUNCTION("""COMPUTED_VALUE"""),"0969685006")</f>
        <v>0969685006</v>
      </c>
      <c r="K9173" s="2" t="str">
        <f ca="1">IFERROR(__xludf.DUMMYFUNCTION("""COMPUTED_VALUE"""),"1755482005608")</f>
        <v>1755482005608</v>
      </c>
    </row>
    <row r="9174" spans="1:11" ht="12.45">
      <c r="A9174" s="2" t="str">
        <f ca="1">IFERROR(__xludf.DUMMYFUNCTION("""COMPUTED_VALUE"""),"1755482035937")</f>
        <v>1755482035937</v>
      </c>
      <c r="C9174" s="2" t="str">
        <v>0</v>
      </c>
      <c r="F9174" s="2" t="str">
        <v>0</v>
      </c>
      <c r="I9174" s="3" t="str">
        <f ca="1">IFERROR(__xludf.DUMMYFUNCTION("""COMPUTED_VALUE"""),"Lý Tố Uyên ")</f>
        <v xml:space="preserve">Lý Tố Uyên </v>
      </c>
      <c r="J9174" s="3" t="str">
        <f ca="1">IFERROR(__xludf.DUMMYFUNCTION("""COMPUTED_VALUE"""),"0787136886")</f>
        <v>0787136886</v>
      </c>
      <c r="K9174" s="2" t="str">
        <f ca="1">IFERROR(__xludf.DUMMYFUNCTION("""COMPUTED_VALUE"""),"1755482035937")</f>
        <v>1755482035937</v>
      </c>
    </row>
    <row r="9175" spans="1:11" ht="12.45">
      <c r="A9175" s="2" t="str">
        <f ca="1">IFERROR(__xludf.DUMMYFUNCTION("""COMPUTED_VALUE"""),"1755482070545")</f>
        <v>1755482070545</v>
      </c>
      <c r="C9175" s="2" t="str">
        <v>0</v>
      </c>
      <c r="F9175" s="2" t="str">
        <v>0</v>
      </c>
      <c r="I9175" s="3" t="str">
        <f ca="1">IFERROR(__xludf.DUMMYFUNCTION("""COMPUTED_VALUE"""),"Lê Trang")</f>
        <v>Lê Trang</v>
      </c>
      <c r="J9175" s="3" t="str">
        <f ca="1">IFERROR(__xludf.DUMMYFUNCTION("""COMPUTED_VALUE"""),"0325046672")</f>
        <v>0325046672</v>
      </c>
      <c r="K9175" s="2" t="str">
        <f ca="1">IFERROR(__xludf.DUMMYFUNCTION("""COMPUTED_VALUE"""),"1755482070545")</f>
        <v>1755482070545</v>
      </c>
    </row>
    <row r="9176" spans="1:11" ht="12.45">
      <c r="A9176" s="2" t="str">
        <f ca="1">IFERROR(__xludf.DUMMYFUNCTION("""COMPUTED_VALUE"""),"1755482104853")</f>
        <v>1755482104853</v>
      </c>
      <c r="C9176" s="2" t="str">
        <v>0</v>
      </c>
      <c r="F9176" s="2" t="str">
        <v>0</v>
      </c>
      <c r="I9176" s="3" t="str">
        <f ca="1">IFERROR(__xludf.DUMMYFUNCTION("""COMPUTED_VALUE"""),"NGUYỄN TUẤN HƯNG")</f>
        <v>NGUYỄN TUẤN HƯNG</v>
      </c>
      <c r="J9176" s="3" t="str">
        <f ca="1">IFERROR(__xludf.DUMMYFUNCTION("""COMPUTED_VALUE"""),"0823010468")</f>
        <v>0823010468</v>
      </c>
      <c r="K9176" s="2" t="str">
        <f ca="1">IFERROR(__xludf.DUMMYFUNCTION("""COMPUTED_VALUE"""),"1755482104853")</f>
        <v>1755482104853</v>
      </c>
    </row>
    <row r="9177" spans="1:11" ht="12.45">
      <c r="A9177" s="2" t="str">
        <f ca="1">IFERROR(__xludf.DUMMYFUNCTION("""COMPUTED_VALUE"""),"1755482136069")</f>
        <v>1755482136069</v>
      </c>
      <c r="C9177" s="2" t="str">
        <v>0</v>
      </c>
      <c r="F9177" s="2" t="str">
        <v>0</v>
      </c>
      <c r="I9177" s="3" t="str">
        <f ca="1">IFERROR(__xludf.DUMMYFUNCTION("""COMPUTED_VALUE"""),"Phạm Minh Anh")</f>
        <v>Phạm Minh Anh</v>
      </c>
      <c r="J9177" s="3" t="str">
        <f ca="1">IFERROR(__xludf.DUMMYFUNCTION("""COMPUTED_VALUE"""),"0384420275")</f>
        <v>0384420275</v>
      </c>
      <c r="K9177" s="2" t="str">
        <f ca="1">IFERROR(__xludf.DUMMYFUNCTION("""COMPUTED_VALUE"""),"1755482136069")</f>
        <v>1755482136069</v>
      </c>
    </row>
    <row r="9178" spans="1:11" ht="12.45">
      <c r="A9178" s="2" t="str">
        <f ca="1">IFERROR(__xludf.DUMMYFUNCTION("""COMPUTED_VALUE"""),"1755482157241")</f>
        <v>1755482157241</v>
      </c>
      <c r="C9178" s="2" t="str">
        <v>0</v>
      </c>
      <c r="F9178" s="2" t="str">
        <v>0</v>
      </c>
      <c r="I9178" s="3" t="str">
        <f ca="1">IFERROR(__xludf.DUMMYFUNCTION("""COMPUTED_VALUE"""),"Nguyễn Hồng Ngọc ")</f>
        <v xml:space="preserve">Nguyễn Hồng Ngọc </v>
      </c>
      <c r="J9178" s="3" t="str">
        <f ca="1">IFERROR(__xludf.DUMMYFUNCTION("""COMPUTED_VALUE"""),"0987869731")</f>
        <v>0987869731</v>
      </c>
      <c r="K9178" s="2" t="str">
        <f ca="1">IFERROR(__xludf.DUMMYFUNCTION("""COMPUTED_VALUE"""),"1755482157241")</f>
        <v>1755482157241</v>
      </c>
    </row>
    <row r="9179" spans="1:11" ht="12.45">
      <c r="A9179" s="2" t="str">
        <f ca="1">IFERROR(__xludf.DUMMYFUNCTION("""COMPUTED_VALUE"""),"1755482207119")</f>
        <v>1755482207119</v>
      </c>
      <c r="C9179" s="2" t="str">
        <v>0</v>
      </c>
      <c r="F9179" s="2" t="str">
        <v>0</v>
      </c>
      <c r="I9179" s="3" t="str">
        <f ca="1">IFERROR(__xludf.DUMMYFUNCTION("""COMPUTED_VALUE"""),"Lương Đình Tùng ")</f>
        <v xml:space="preserve">Lương Đình Tùng </v>
      </c>
      <c r="J9179" s="3" t="str">
        <f ca="1">IFERROR(__xludf.DUMMYFUNCTION("""COMPUTED_VALUE"""),"0349222403")</f>
        <v>0349222403</v>
      </c>
      <c r="K9179" s="2" t="str">
        <f ca="1">IFERROR(__xludf.DUMMYFUNCTION("""COMPUTED_VALUE"""),"1755482207119")</f>
        <v>1755482207119</v>
      </c>
    </row>
    <row r="9180" spans="1:11" ht="12.45">
      <c r="A9180" s="2" t="str">
        <f ca="1">IFERROR(__xludf.DUMMYFUNCTION("""COMPUTED_VALUE"""),"1755482233970")</f>
        <v>1755482233970</v>
      </c>
      <c r="C9180" s="2" t="str">
        <v>0</v>
      </c>
      <c r="F9180" s="2" t="str">
        <v>0</v>
      </c>
      <c r="I9180" s="3" t="str">
        <f ca="1">IFERROR(__xludf.DUMMYFUNCTION("""COMPUTED_VALUE"""),"Trần kim Thảo Nguyên ")</f>
        <v xml:space="preserve">Trần kim Thảo Nguyên </v>
      </c>
      <c r="J9180" s="3" t="str">
        <f ca="1">IFERROR(__xludf.DUMMYFUNCTION("""COMPUTED_VALUE"""),"0908545091")</f>
        <v>0908545091</v>
      </c>
      <c r="K9180" s="2" t="str">
        <f ca="1">IFERROR(__xludf.DUMMYFUNCTION("""COMPUTED_VALUE"""),"1755482233970")</f>
        <v>1755482233970</v>
      </c>
    </row>
    <row r="9181" spans="1:11" ht="12.45">
      <c r="A9181" s="2" t="str">
        <f ca="1">IFERROR(__xludf.DUMMYFUNCTION("""COMPUTED_VALUE"""),"1755482261312")</f>
        <v>1755482261312</v>
      </c>
      <c r="C9181" s="2" t="str">
        <v>0</v>
      </c>
      <c r="F9181" s="2" t="str">
        <v>0</v>
      </c>
      <c r="I9181" s="3" t="str">
        <f ca="1">IFERROR(__xludf.DUMMYFUNCTION("""COMPUTED_VALUE"""),"Vũ Thùy Trang ")</f>
        <v xml:space="preserve">Vũ Thùy Trang </v>
      </c>
      <c r="J9181" s="3" t="str">
        <f ca="1">IFERROR(__xludf.DUMMYFUNCTION("""COMPUTED_VALUE"""),"0344308048")</f>
        <v>0344308048</v>
      </c>
      <c r="K9181" s="2" t="str">
        <f ca="1">IFERROR(__xludf.DUMMYFUNCTION("""COMPUTED_VALUE"""),"1755482261312")</f>
        <v>1755482261312</v>
      </c>
    </row>
    <row r="9182" spans="1:11" ht="12.45">
      <c r="A9182" s="2">
        <f ca="1">IFERROR(__xludf.DUMMYFUNCTION("""COMPUTED_VALUE"""),1757541482855)</f>
        <v>1757541482855</v>
      </c>
      <c r="C9182" s="2" t="str">
        <v>0</v>
      </c>
      <c r="F9182" s="2" t="str">
        <v>0</v>
      </c>
      <c r="I9182" s="3" t="str">
        <f ca="1">IFERROR(__xludf.DUMMYFUNCTION("""COMPUTED_VALUE"""),"Phạm Văn Khoa")</f>
        <v>Phạm Văn Khoa</v>
      </c>
      <c r="J9182" s="3" t="str">
        <f ca="1">IFERROR(__xludf.DUMMYFUNCTION("""COMPUTED_VALUE"""),"0865215437")</f>
        <v>0865215437</v>
      </c>
      <c r="K9182" s="2">
        <f ca="1">IFERROR(__xludf.DUMMYFUNCTION("""COMPUTED_VALUE"""),1757541482855)</f>
        <v>1757541482855</v>
      </c>
    </row>
    <row r="9183" spans="1:11" ht="12.45">
      <c r="A9183" s="2">
        <f ca="1">IFERROR(__xludf.DUMMYFUNCTION("""COMPUTED_VALUE"""),1758637755641)</f>
        <v>1758637755641</v>
      </c>
      <c r="C9183" s="2" t="str">
        <v>0</v>
      </c>
      <c r="F9183" s="2" t="str">
        <v>0</v>
      </c>
      <c r="I9183" s="3" t="str">
        <f ca="1">IFERROR(__xludf.DUMMYFUNCTION("""COMPUTED_VALUE"""),"ĐỒNG THỊ HUYỀN TRÚC ")</f>
        <v xml:space="preserve">ĐỒNG THỊ HUYỀN TRÚC </v>
      </c>
      <c r="J9183" s="3" t="str">
        <f ca="1">IFERROR(__xludf.DUMMYFUNCTION("""COMPUTED_VALUE"""),"0936634226")</f>
        <v>0936634226</v>
      </c>
      <c r="K9183" s="2">
        <f ca="1">IFERROR(__xludf.DUMMYFUNCTION("""COMPUTED_VALUE"""),1758637755641)</f>
        <v>1758637755641</v>
      </c>
    </row>
    <row r="9184" spans="1:11" ht="12.45">
      <c r="A9184" s="2">
        <f ca="1">IFERROR(__xludf.DUMMYFUNCTION("""COMPUTED_VALUE"""),1758990972718)</f>
        <v>1758990972718</v>
      </c>
      <c r="C9184" s="2" t="str">
        <v>0</v>
      </c>
      <c r="F9184" s="2" t="str">
        <v>0</v>
      </c>
      <c r="I9184" s="3" t="str">
        <f ca="1">IFERROR(__xludf.DUMMYFUNCTION("""COMPUTED_VALUE"""),"Nguyễn Bảo Lộc Huyền")</f>
        <v>Nguyễn Bảo Lộc Huyền</v>
      </c>
      <c r="J9184" s="3" t="str">
        <f ca="1">IFERROR(__xludf.DUMMYFUNCTION("""COMPUTED_VALUE"""),"0979821193")</f>
        <v>0979821193</v>
      </c>
      <c r="K9184" s="2">
        <f ca="1">IFERROR(__xludf.DUMMYFUNCTION("""COMPUTED_VALUE"""),1758990972718)</f>
        <v>1758990972718</v>
      </c>
    </row>
    <row r="9185" spans="1:11" ht="12.45">
      <c r="A9185" s="2">
        <f ca="1">IFERROR(__xludf.DUMMYFUNCTION("""COMPUTED_VALUE"""),1758498543022)</f>
        <v>1758498543022</v>
      </c>
      <c r="C9185" s="2" t="str">
        <v>0</v>
      </c>
      <c r="F9185" s="2" t="str">
        <v>0</v>
      </c>
      <c r="I9185" s="3" t="str">
        <f ca="1">IFERROR(__xludf.DUMMYFUNCTION("""COMPUTED_VALUE"""),"Hoàng Dương Sơn")</f>
        <v>Hoàng Dương Sơn</v>
      </c>
      <c r="J9185" s="3" t="str">
        <f ca="1">IFERROR(__xludf.DUMMYFUNCTION("""COMPUTED_VALUE"""),"0942676006")</f>
        <v>0942676006</v>
      </c>
      <c r="K9185" s="2">
        <f ca="1">IFERROR(__xludf.DUMMYFUNCTION("""COMPUTED_VALUE"""),1758498543022)</f>
        <v>1758498543022</v>
      </c>
    </row>
    <row r="9186" spans="1:11" ht="12.45">
      <c r="A9186" s="2" t="str">
        <f ca="1">IFERROR(__xludf.DUMMYFUNCTION("""COMPUTED_VALUE"""),"1762402612094/1763246871840")</f>
        <v>1762402612094/1763246871840</v>
      </c>
      <c r="C9186" s="2" t="str">
        <v>0</v>
      </c>
      <c r="F9186" s="2" t="str">
        <v>0</v>
      </c>
      <c r="I9186" s="3" t="str">
        <f ca="1">IFERROR(__xludf.DUMMYFUNCTION("""COMPUTED_VALUE"""),"Lò Thị Anh Thơ ")</f>
        <v xml:space="preserve">Lò Thị Anh Thơ </v>
      </c>
      <c r="J9186" s="3" t="str">
        <f ca="1">IFERROR(__xludf.DUMMYFUNCTION("""COMPUTED_VALUE"""),"0366357928")</f>
        <v>0366357928</v>
      </c>
      <c r="K9186" s="2" t="str">
        <f ca="1">IFERROR(__xludf.DUMMYFUNCTION("""COMPUTED_VALUE"""),"1762402612094/1763246871840")</f>
        <v>1762402612094/1763246871840</v>
      </c>
    </row>
    <row r="9187" spans="1:11" ht="12.45">
      <c r="A9187" s="2">
        <f ca="1">IFERROR(__xludf.DUMMYFUNCTION("""COMPUTED_VALUE"""),1757541530870)</f>
        <v>1757541530870</v>
      </c>
      <c r="C9187" s="2" t="str">
        <v>0</v>
      </c>
      <c r="F9187" s="2" t="str">
        <v>0</v>
      </c>
      <c r="I9187" s="3" t="str">
        <f ca="1">IFERROR(__xludf.DUMMYFUNCTION("""COMPUTED_VALUE"""),"Nguyễn Hà Chi ")</f>
        <v xml:space="preserve">Nguyễn Hà Chi </v>
      </c>
      <c r="J9187" s="3" t="str">
        <f ca="1">IFERROR(__xludf.DUMMYFUNCTION("""COMPUTED_VALUE"""),"0328480474")</f>
        <v>0328480474</v>
      </c>
      <c r="K9187" s="2">
        <f ca="1">IFERROR(__xludf.DUMMYFUNCTION("""COMPUTED_VALUE"""),1757541530870)</f>
        <v>1757541530870</v>
      </c>
    </row>
    <row r="9188" spans="1:11" ht="12.45">
      <c r="A9188" s="2">
        <f ca="1">IFERROR(__xludf.DUMMYFUNCTION("""COMPUTED_VALUE"""),1758498577962)</f>
        <v>1758498577962</v>
      </c>
      <c r="C9188" s="2" t="str">
        <v>0</v>
      </c>
      <c r="F9188" s="2" t="str">
        <v>0</v>
      </c>
      <c r="I9188" s="3" t="str">
        <f ca="1">IFERROR(__xludf.DUMMYFUNCTION("""COMPUTED_VALUE"""),"Nguyễn Hoàng Gia Bảo")</f>
        <v>Nguyễn Hoàng Gia Bảo</v>
      </c>
      <c r="J9188" s="3" t="str">
        <f ca="1">IFERROR(__xludf.DUMMYFUNCTION("""COMPUTED_VALUE"""),"0777892007")</f>
        <v>0777892007</v>
      </c>
      <c r="K9188" s="2">
        <f ca="1">IFERROR(__xludf.DUMMYFUNCTION("""COMPUTED_VALUE"""),1758498577962)</f>
        <v>1758498577962</v>
      </c>
    </row>
    <row r="9189" spans="1:11" ht="12.45">
      <c r="A9189" s="2">
        <f ca="1">IFERROR(__xludf.DUMMYFUNCTION("""COMPUTED_VALUE"""),1757925105268)</f>
        <v>1757925105268</v>
      </c>
      <c r="C9189" s="2" t="str">
        <v>0</v>
      </c>
      <c r="F9189" s="2" t="str">
        <v>0</v>
      </c>
      <c r="I9189" s="3" t="str">
        <f ca="1">IFERROR(__xludf.DUMMYFUNCTION("""COMPUTED_VALUE"""),"Nguyễn Hồng Nhung")</f>
        <v>Nguyễn Hồng Nhung</v>
      </c>
      <c r="J9189" s="3" t="str">
        <f ca="1">IFERROR(__xludf.DUMMYFUNCTION("""COMPUTED_VALUE"""),"0364090822")</f>
        <v>0364090822</v>
      </c>
      <c r="K9189" s="2">
        <f ca="1">IFERROR(__xludf.DUMMYFUNCTION("""COMPUTED_VALUE"""),1757925105268)</f>
        <v>1757925105268</v>
      </c>
    </row>
    <row r="9190" spans="1:11" ht="12.45">
      <c r="A9190" s="2">
        <f ca="1">IFERROR(__xludf.DUMMYFUNCTION("""COMPUTED_VALUE"""),1758991010662)</f>
        <v>1758991010662</v>
      </c>
      <c r="C9190" s="2" t="str">
        <v>0</v>
      </c>
      <c r="F9190" s="2" t="str">
        <v>0</v>
      </c>
      <c r="I9190" s="3" t="str">
        <f ca="1">IFERROR(__xludf.DUMMYFUNCTION("""COMPUTED_VALUE"""),"Nguyễn Thị Duyên ")</f>
        <v xml:space="preserve">Nguyễn Thị Duyên </v>
      </c>
      <c r="J9190" s="3" t="str">
        <f ca="1">IFERROR(__xludf.DUMMYFUNCTION("""COMPUTED_VALUE"""),"0357078015")</f>
        <v>0357078015</v>
      </c>
      <c r="K9190" s="2">
        <f ca="1">IFERROR(__xludf.DUMMYFUNCTION("""COMPUTED_VALUE"""),1758991010662)</f>
        <v>1758991010662</v>
      </c>
    </row>
    <row r="9191" spans="1:11" ht="12.45">
      <c r="A9191" s="2">
        <f ca="1">IFERROR(__xludf.DUMMYFUNCTION("""COMPUTED_VALUE"""),1758991042318)</f>
        <v>1758991042318</v>
      </c>
      <c r="C9191" s="2" t="str">
        <v>0</v>
      </c>
      <c r="F9191" s="2" t="str">
        <v>0</v>
      </c>
      <c r="I9191" s="3" t="str">
        <f ca="1">IFERROR(__xludf.DUMMYFUNCTION("""COMPUTED_VALUE"""),"Hồ Thu Anh Thảo")</f>
        <v>Hồ Thu Anh Thảo</v>
      </c>
      <c r="J9191" s="3" t="str">
        <f ca="1">IFERROR(__xludf.DUMMYFUNCTION("""COMPUTED_VALUE"""),"0336347011")</f>
        <v>0336347011</v>
      </c>
      <c r="K9191" s="2">
        <f ca="1">IFERROR(__xludf.DUMMYFUNCTION("""COMPUTED_VALUE"""),1758991042318)</f>
        <v>1758991042318</v>
      </c>
    </row>
    <row r="9192" spans="1:11" ht="12.45">
      <c r="A9192" s="2">
        <f ca="1">IFERROR(__xludf.DUMMYFUNCTION("""COMPUTED_VALUE"""),1758991068018)</f>
        <v>1758991068018</v>
      </c>
      <c r="C9192" s="2" t="str">
        <v>0</v>
      </c>
      <c r="F9192" s="2" t="str">
        <v>0</v>
      </c>
      <c r="I9192" s="3" t="str">
        <f ca="1">IFERROR(__xludf.DUMMYFUNCTION("""COMPUTED_VALUE"""),"Nguyễn Minh Anh")</f>
        <v>Nguyễn Minh Anh</v>
      </c>
      <c r="J9192" s="3" t="str">
        <f ca="1">IFERROR(__xludf.DUMMYFUNCTION("""COMPUTED_VALUE"""),"0707703579")</f>
        <v>0707703579</v>
      </c>
      <c r="K9192" s="2">
        <f ca="1">IFERROR(__xludf.DUMMYFUNCTION("""COMPUTED_VALUE"""),1758991068018)</f>
        <v>1758991068018</v>
      </c>
    </row>
    <row r="9193" spans="1:11" ht="12.45">
      <c r="A9193" s="2">
        <f ca="1">IFERROR(__xludf.DUMMYFUNCTION("""COMPUTED_VALUE"""),1757925137682)</f>
        <v>1757925137682</v>
      </c>
      <c r="C9193" s="2" t="str">
        <v>0</v>
      </c>
      <c r="F9193" s="2" t="str">
        <v>0</v>
      </c>
      <c r="I9193" s="3" t="str">
        <f ca="1">IFERROR(__xludf.DUMMYFUNCTION("""COMPUTED_VALUE"""),"Lữ Thị Kim Quyên ")</f>
        <v xml:space="preserve">Lữ Thị Kim Quyên </v>
      </c>
      <c r="J9193" s="3" t="str">
        <f ca="1">IFERROR(__xludf.DUMMYFUNCTION("""COMPUTED_VALUE"""),"0377726757")</f>
        <v>0377726757</v>
      </c>
      <c r="K9193" s="2">
        <f ca="1">IFERROR(__xludf.DUMMYFUNCTION("""COMPUTED_VALUE"""),1757925137682)</f>
        <v>1757925137682</v>
      </c>
    </row>
    <row r="9194" spans="1:11" ht="12.45">
      <c r="A9194" s="2">
        <f ca="1">IFERROR(__xludf.DUMMYFUNCTION("""COMPUTED_VALUE"""),1758991108430)</f>
        <v>1758991108430</v>
      </c>
      <c r="C9194" s="2" t="str">
        <v>0</v>
      </c>
      <c r="F9194" s="2" t="str">
        <v>0</v>
      </c>
      <c r="I9194" s="3" t="str">
        <f ca="1">IFERROR(__xludf.DUMMYFUNCTION("""COMPUTED_VALUE"""),"Nguyễn Huệ Hương")</f>
        <v>Nguyễn Huệ Hương</v>
      </c>
      <c r="J9194" s="3" t="str">
        <f ca="1">IFERROR(__xludf.DUMMYFUNCTION("""COMPUTED_VALUE"""),"0947382367")</f>
        <v>0947382367</v>
      </c>
      <c r="K9194" s="2">
        <f ca="1">IFERROR(__xludf.DUMMYFUNCTION("""COMPUTED_VALUE"""),1758991108430)</f>
        <v>1758991108430</v>
      </c>
    </row>
    <row r="9195" spans="1:11" ht="12.45">
      <c r="A9195" s="2">
        <f ca="1">IFERROR(__xludf.DUMMYFUNCTION("""COMPUTED_VALUE"""),1757541574211)</f>
        <v>1757541574211</v>
      </c>
      <c r="C9195" s="2" t="str">
        <v>0</v>
      </c>
      <c r="F9195" s="2" t="str">
        <v>0</v>
      </c>
      <c r="I9195" s="3" t="str">
        <f ca="1">IFERROR(__xludf.DUMMYFUNCTION("""COMPUTED_VALUE"""),"Nguyễn Hoàng Yến")</f>
        <v>Nguyễn Hoàng Yến</v>
      </c>
      <c r="J9195" s="3" t="str">
        <f ca="1">IFERROR(__xludf.DUMMYFUNCTION("""COMPUTED_VALUE"""),"0932624321")</f>
        <v>0932624321</v>
      </c>
      <c r="K9195" s="2">
        <f ca="1">IFERROR(__xludf.DUMMYFUNCTION("""COMPUTED_VALUE"""),1757541574211)</f>
        <v>1757541574211</v>
      </c>
    </row>
    <row r="9196" spans="1:11" ht="12.45">
      <c r="A9196" s="2">
        <f ca="1">IFERROR(__xludf.DUMMYFUNCTION("""COMPUTED_VALUE"""),1758991145878)</f>
        <v>1758991145878</v>
      </c>
      <c r="C9196" s="2" t="str">
        <v>0</v>
      </c>
      <c r="F9196" s="2" t="str">
        <v>0</v>
      </c>
      <c r="I9196" s="3" t="str">
        <f ca="1">IFERROR(__xludf.DUMMYFUNCTION("""COMPUTED_VALUE"""),"Lê Ngọc Thanh Thuỷ")</f>
        <v>Lê Ngọc Thanh Thuỷ</v>
      </c>
      <c r="J9196" s="3" t="str">
        <f ca="1">IFERROR(__xludf.DUMMYFUNCTION("""COMPUTED_VALUE"""),"0949450071")</f>
        <v>0949450071</v>
      </c>
      <c r="K9196" s="2">
        <f ca="1">IFERROR(__xludf.DUMMYFUNCTION("""COMPUTED_VALUE"""),1758991145878)</f>
        <v>1758991145878</v>
      </c>
    </row>
    <row r="9197" spans="1:11" ht="12.45">
      <c r="A9197" s="2">
        <f ca="1">IFERROR(__xludf.DUMMYFUNCTION("""COMPUTED_VALUE"""),1758991172319)</f>
        <v>1758991172319</v>
      </c>
      <c r="C9197" s="2" t="str">
        <v>0</v>
      </c>
      <c r="F9197" s="2" t="str">
        <v>0</v>
      </c>
      <c r="I9197" s="3" t="str">
        <f ca="1">IFERROR(__xludf.DUMMYFUNCTION("""COMPUTED_VALUE"""),"THẾ QUYẾT ")</f>
        <v xml:space="preserve">THẾ QUYẾT </v>
      </c>
      <c r="J9197" s="3" t="str">
        <f ca="1">IFERROR(__xludf.DUMMYFUNCTION("""COMPUTED_VALUE"""),"0337171830")</f>
        <v>0337171830</v>
      </c>
      <c r="K9197" s="2">
        <f ca="1">IFERROR(__xludf.DUMMYFUNCTION("""COMPUTED_VALUE"""),1758991172319)</f>
        <v>1758991172319</v>
      </c>
    </row>
    <row r="9198" spans="1:11" ht="12.45">
      <c r="A9198" s="2">
        <f ca="1">IFERROR(__xludf.DUMMYFUNCTION("""COMPUTED_VALUE"""),1758637807037)</f>
        <v>1758637807037</v>
      </c>
      <c r="C9198" s="2" t="str">
        <v>0</v>
      </c>
      <c r="F9198" s="2" t="str">
        <v>0</v>
      </c>
      <c r="I9198" s="3" t="str">
        <f ca="1">IFERROR(__xludf.DUMMYFUNCTION("""COMPUTED_VALUE"""),"Nguyễn Phúc Lộc")</f>
        <v>Nguyễn Phúc Lộc</v>
      </c>
      <c r="J9198" s="3" t="str">
        <f ca="1">IFERROR(__xludf.DUMMYFUNCTION("""COMPUTED_VALUE"""),"0366762006")</f>
        <v>0366762006</v>
      </c>
      <c r="K9198" s="2">
        <f ca="1">IFERROR(__xludf.DUMMYFUNCTION("""COMPUTED_VALUE"""),1758637807037)</f>
        <v>1758637807037</v>
      </c>
    </row>
    <row r="9199" spans="1:11" ht="12.45">
      <c r="A9199" s="2">
        <f ca="1">IFERROR(__xludf.DUMMYFUNCTION("""COMPUTED_VALUE"""),1757925328755)</f>
        <v>1757925328755</v>
      </c>
      <c r="C9199" s="2" t="str">
        <v>0</v>
      </c>
      <c r="F9199" s="2" t="str">
        <v>0</v>
      </c>
      <c r="I9199" s="3" t="str">
        <f ca="1">IFERROR(__xludf.DUMMYFUNCTION("""COMPUTED_VALUE"""),"Nguyễn Thùy Dương")</f>
        <v>Nguyễn Thùy Dương</v>
      </c>
      <c r="J9199" s="3" t="str">
        <f ca="1">IFERROR(__xludf.DUMMYFUNCTION("""COMPUTED_VALUE"""),"0911442889")</f>
        <v>0911442889</v>
      </c>
      <c r="K9199" s="2">
        <f ca="1">IFERROR(__xludf.DUMMYFUNCTION("""COMPUTED_VALUE"""),1757925328755)</f>
        <v>1757925328755</v>
      </c>
    </row>
    <row r="9200" spans="1:11" ht="12.45">
      <c r="A9200" s="2">
        <f ca="1">IFERROR(__xludf.DUMMYFUNCTION("""COMPUTED_VALUE"""),1757541608960)</f>
        <v>1757541608960</v>
      </c>
      <c r="C9200" s="2" t="str">
        <v>0</v>
      </c>
      <c r="F9200" s="2" t="str">
        <v>0</v>
      </c>
      <c r="I9200" s="3" t="str">
        <f ca="1">IFERROR(__xludf.DUMMYFUNCTION("""COMPUTED_VALUE"""),"Lê Thị Thuỳ Trang ")</f>
        <v xml:space="preserve">Lê Thị Thuỳ Trang </v>
      </c>
      <c r="J9200" s="3" t="str">
        <f ca="1">IFERROR(__xludf.DUMMYFUNCTION("""COMPUTED_VALUE"""),"0387469049")</f>
        <v>0387469049</v>
      </c>
      <c r="K9200" s="2">
        <f ca="1">IFERROR(__xludf.DUMMYFUNCTION("""COMPUTED_VALUE"""),1757541608960)</f>
        <v>1757541608960</v>
      </c>
    </row>
    <row r="9201" spans="1:11" ht="12.45">
      <c r="A9201" s="2">
        <f ca="1">IFERROR(__xludf.DUMMYFUNCTION("""COMPUTED_VALUE"""),1757925357781)</f>
        <v>1757925357781</v>
      </c>
      <c r="C9201" s="2" t="str">
        <v>0</v>
      </c>
      <c r="F9201" s="2" t="str">
        <v>0</v>
      </c>
      <c r="I9201" s="3" t="str">
        <f ca="1">IFERROR(__xludf.DUMMYFUNCTION("""COMPUTED_VALUE"""),"Hà Thu An.")</f>
        <v>Hà Thu An.</v>
      </c>
      <c r="J9201" s="3" t="str">
        <f ca="1">IFERROR(__xludf.DUMMYFUNCTION("""COMPUTED_VALUE"""),"0949636669")</f>
        <v>0949636669</v>
      </c>
      <c r="K9201" s="2">
        <f ca="1">IFERROR(__xludf.DUMMYFUNCTION("""COMPUTED_VALUE"""),1757925357781)</f>
        <v>1757925357781</v>
      </c>
    </row>
    <row r="9202" spans="1:11" ht="12.45">
      <c r="A9202" s="2">
        <f ca="1">IFERROR(__xludf.DUMMYFUNCTION("""COMPUTED_VALUE"""),1758991204811)</f>
        <v>1758991204811</v>
      </c>
      <c r="C9202" s="2" t="str">
        <v>0</v>
      </c>
      <c r="F9202" s="2" t="str">
        <v>0</v>
      </c>
      <c r="I9202" s="3" t="str">
        <f ca="1">IFERROR(__xludf.DUMMYFUNCTION("""COMPUTED_VALUE"""),"Lý Hải")</f>
        <v>Lý Hải</v>
      </c>
      <c r="J9202" s="3" t="str">
        <f ca="1">IFERROR(__xludf.DUMMYFUNCTION("""COMPUTED_VALUE"""),"0971003651")</f>
        <v>0971003651</v>
      </c>
      <c r="K9202" s="2">
        <f ca="1">IFERROR(__xludf.DUMMYFUNCTION("""COMPUTED_VALUE"""),1758991204811)</f>
        <v>1758991204811</v>
      </c>
    </row>
    <row r="9203" spans="1:11" ht="12.45">
      <c r="A9203" s="2">
        <f ca="1">IFERROR(__xludf.DUMMYFUNCTION("""COMPUTED_VALUE"""),1757925380402)</f>
        <v>1757925380402</v>
      </c>
      <c r="C9203" s="2" t="str">
        <v>0</v>
      </c>
      <c r="F9203" s="2" t="str">
        <v>0</v>
      </c>
      <c r="I9203" s="3" t="str">
        <f ca="1">IFERROR(__xludf.DUMMYFUNCTION("""COMPUTED_VALUE"""),"Nguyễn Đắc Hạnh Lê")</f>
        <v>Nguyễn Đắc Hạnh Lê</v>
      </c>
      <c r="J9203" s="3" t="str">
        <f ca="1">IFERROR(__xludf.DUMMYFUNCTION("""COMPUTED_VALUE"""),"0329812315")</f>
        <v>0329812315</v>
      </c>
      <c r="K9203" s="2">
        <f ca="1">IFERROR(__xludf.DUMMYFUNCTION("""COMPUTED_VALUE"""),1757925380402)</f>
        <v>1757925380402</v>
      </c>
    </row>
    <row r="9204" spans="1:11" ht="12.45">
      <c r="A9204" s="2">
        <f ca="1">IFERROR(__xludf.DUMMYFUNCTION("""COMPUTED_VALUE"""),1758637844234)</f>
        <v>1758637844234</v>
      </c>
      <c r="C9204" s="2" t="str">
        <v>0</v>
      </c>
      <c r="F9204" s="2" t="str">
        <v>0</v>
      </c>
      <c r="I9204" s="3" t="str">
        <f ca="1">IFERROR(__xludf.DUMMYFUNCTION("""COMPUTED_VALUE"""),"Nguyễn Bùi Hải An")</f>
        <v>Nguyễn Bùi Hải An</v>
      </c>
      <c r="J9204" s="3" t="str">
        <f ca="1">IFERROR(__xludf.DUMMYFUNCTION("""COMPUTED_VALUE"""),"0359225833")</f>
        <v>0359225833</v>
      </c>
      <c r="K9204" s="2">
        <f ca="1">IFERROR(__xludf.DUMMYFUNCTION("""COMPUTED_VALUE"""),1758637844234)</f>
        <v>1758637844234</v>
      </c>
    </row>
    <row r="9205" spans="1:11" ht="12.45">
      <c r="A9205" s="2">
        <f ca="1">IFERROR(__xludf.DUMMYFUNCTION("""COMPUTED_VALUE"""),1758637884332)</f>
        <v>1758637884332</v>
      </c>
      <c r="C9205" s="2" t="str">
        <v>0</v>
      </c>
      <c r="F9205" s="2" t="str">
        <v>0</v>
      </c>
      <c r="I9205" s="3" t="str">
        <f ca="1">IFERROR(__xludf.DUMMYFUNCTION("""COMPUTED_VALUE"""),"Đào Thu Mai")</f>
        <v>Đào Thu Mai</v>
      </c>
      <c r="J9205" s="3" t="str">
        <f ca="1">IFERROR(__xludf.DUMMYFUNCTION("""COMPUTED_VALUE"""),"0928569211")</f>
        <v>0928569211</v>
      </c>
      <c r="K9205" s="2">
        <f ca="1">IFERROR(__xludf.DUMMYFUNCTION("""COMPUTED_VALUE"""),1758637884332)</f>
        <v>1758637884332</v>
      </c>
    </row>
    <row r="9206" spans="1:11" ht="12.45">
      <c r="A9206" s="2">
        <f ca="1">IFERROR(__xludf.DUMMYFUNCTION("""COMPUTED_VALUE"""),1757541642183)</f>
        <v>1757541642183</v>
      </c>
      <c r="C9206" s="2" t="str">
        <v>0</v>
      </c>
      <c r="F9206" s="2" t="str">
        <v>0</v>
      </c>
      <c r="I9206" s="3" t="str">
        <f ca="1">IFERROR(__xludf.DUMMYFUNCTION("""COMPUTED_VALUE"""),"Văn Bảo Ngân")</f>
        <v>Văn Bảo Ngân</v>
      </c>
      <c r="J9206" s="3" t="str">
        <f ca="1">IFERROR(__xludf.DUMMYFUNCTION("""COMPUTED_VALUE"""),"0776110812")</f>
        <v>0776110812</v>
      </c>
      <c r="K9206" s="2">
        <f ca="1">IFERROR(__xludf.DUMMYFUNCTION("""COMPUTED_VALUE"""),1757541642183)</f>
        <v>1757541642183</v>
      </c>
    </row>
    <row r="9207" spans="1:11" ht="12.45">
      <c r="A9207" s="2">
        <f ca="1">IFERROR(__xludf.DUMMYFUNCTION("""COMPUTED_VALUE"""),1757541670504)</f>
        <v>1757541670504</v>
      </c>
      <c r="C9207" s="2" t="str">
        <v>0</v>
      </c>
      <c r="F9207" s="2" t="str">
        <v>0</v>
      </c>
      <c r="I9207" s="3" t="str">
        <f ca="1">IFERROR(__xludf.DUMMYFUNCTION("""COMPUTED_VALUE"""),"Nguyễn Phạm Gia Hân ")</f>
        <v xml:space="preserve">Nguyễn Phạm Gia Hân </v>
      </c>
      <c r="J9207" s="3" t="str">
        <f ca="1">IFERROR(__xludf.DUMMYFUNCTION("""COMPUTED_VALUE"""),"0827218287")</f>
        <v>0827218287</v>
      </c>
      <c r="K9207" s="2">
        <f ca="1">IFERROR(__xludf.DUMMYFUNCTION("""COMPUTED_VALUE"""),1757541670504)</f>
        <v>1757541670504</v>
      </c>
    </row>
    <row r="9208" spans="1:11" ht="12.45">
      <c r="A9208" s="2">
        <f ca="1">IFERROR(__xludf.DUMMYFUNCTION("""COMPUTED_VALUE"""),1757541703972)</f>
        <v>1757541703972</v>
      </c>
      <c r="C9208" s="2" t="str">
        <v>0</v>
      </c>
      <c r="F9208" s="2" t="str">
        <v>0</v>
      </c>
      <c r="I9208" s="3" t="str">
        <f ca="1">IFERROR(__xludf.DUMMYFUNCTION("""COMPUTED_VALUE"""),"Tống Quỳnh Thư")</f>
        <v>Tống Quỳnh Thư</v>
      </c>
      <c r="J9208" s="3" t="str">
        <f ca="1">IFERROR(__xludf.DUMMYFUNCTION("""COMPUTED_VALUE"""),"0816735616")</f>
        <v>0816735616</v>
      </c>
      <c r="K9208" s="2">
        <f ca="1">IFERROR(__xludf.DUMMYFUNCTION("""COMPUTED_VALUE"""),1757541703972)</f>
        <v>1757541703972</v>
      </c>
    </row>
    <row r="9209" spans="1:11" ht="12.45">
      <c r="A9209" s="2">
        <f ca="1">IFERROR(__xludf.DUMMYFUNCTION("""COMPUTED_VALUE"""),1757925160260)</f>
        <v>1757925160260</v>
      </c>
      <c r="C9209" s="2" t="str">
        <v>0</v>
      </c>
      <c r="F9209" s="2" t="str">
        <v>0</v>
      </c>
      <c r="I9209" s="3" t="str">
        <f ca="1">IFERROR(__xludf.DUMMYFUNCTION("""COMPUTED_VALUE"""),"Nguyễn Bảo Trâm")</f>
        <v>Nguyễn Bảo Trâm</v>
      </c>
      <c r="J9209" s="3" t="str">
        <f ca="1">IFERROR(__xludf.DUMMYFUNCTION("""COMPUTED_VALUE"""),"0867427526")</f>
        <v>0867427526</v>
      </c>
      <c r="K9209" s="2">
        <f ca="1">IFERROR(__xludf.DUMMYFUNCTION("""COMPUTED_VALUE"""),1757925160260)</f>
        <v>1757925160260</v>
      </c>
    </row>
    <row r="9210" spans="1:11" ht="12.45">
      <c r="A9210" s="2">
        <f ca="1">IFERROR(__xludf.DUMMYFUNCTION("""COMPUTED_VALUE"""),1758991242502)</f>
        <v>1758991242502</v>
      </c>
      <c r="C9210" s="2" t="str">
        <v>0</v>
      </c>
      <c r="F9210" s="2" t="str">
        <v>0</v>
      </c>
      <c r="I9210" s="3" t="str">
        <f ca="1">IFERROR(__xludf.DUMMYFUNCTION("""COMPUTED_VALUE"""),"Trần Việt Hiếu")</f>
        <v>Trần Việt Hiếu</v>
      </c>
      <c r="J9210" s="3" t="str">
        <f ca="1">IFERROR(__xludf.DUMMYFUNCTION("""COMPUTED_VALUE"""),"0839623938")</f>
        <v>0839623938</v>
      </c>
      <c r="K9210" s="2">
        <f ca="1">IFERROR(__xludf.DUMMYFUNCTION("""COMPUTED_VALUE"""),1758991242502)</f>
        <v>1758991242502</v>
      </c>
    </row>
    <row r="9211" spans="1:11" ht="12.45">
      <c r="A9211" s="2">
        <f ca="1">IFERROR(__xludf.DUMMYFUNCTION("""COMPUTED_VALUE"""),1757925181929)</f>
        <v>1757925181929</v>
      </c>
      <c r="C9211" s="2" t="str">
        <v>0</v>
      </c>
      <c r="F9211" s="2" t="str">
        <v>0</v>
      </c>
      <c r="I9211" s="3" t="str">
        <f ca="1">IFERROR(__xludf.DUMMYFUNCTION("""COMPUTED_VALUE"""),"Bùi Việt Cường ")</f>
        <v xml:space="preserve">Bùi Việt Cường </v>
      </c>
      <c r="J9211" s="3" t="str">
        <f ca="1">IFERROR(__xludf.DUMMYFUNCTION("""COMPUTED_VALUE"""),"0948556906")</f>
        <v>0948556906</v>
      </c>
      <c r="K9211" s="2">
        <f ca="1">IFERROR(__xludf.DUMMYFUNCTION("""COMPUTED_VALUE"""),1757925181929)</f>
        <v>1757925181929</v>
      </c>
    </row>
    <row r="9212" spans="1:11" ht="12.45">
      <c r="A9212" s="2">
        <f ca="1">IFERROR(__xludf.DUMMYFUNCTION("""COMPUTED_VALUE"""),1758991272977)</f>
        <v>1758991272977</v>
      </c>
      <c r="C9212" s="2" t="str">
        <v>0</v>
      </c>
      <c r="F9212" s="2" t="str">
        <v>0</v>
      </c>
      <c r="I9212" s="3" t="str">
        <f ca="1">IFERROR(__xludf.DUMMYFUNCTION("""COMPUTED_VALUE"""),"Bùi Dung Nhi ")</f>
        <v xml:space="preserve">Bùi Dung Nhi </v>
      </c>
      <c r="J9212" s="3" t="str">
        <f ca="1">IFERROR(__xludf.DUMMYFUNCTION("""COMPUTED_VALUE"""),"0362664078")</f>
        <v>0362664078</v>
      </c>
      <c r="K9212" s="2">
        <f ca="1">IFERROR(__xludf.DUMMYFUNCTION("""COMPUTED_VALUE"""),1758991272977)</f>
        <v>1758991272977</v>
      </c>
    </row>
    <row r="9213" spans="1:11" ht="12.45">
      <c r="A9213" s="2">
        <f ca="1">IFERROR(__xludf.DUMMYFUNCTION("""COMPUTED_VALUE"""),1758637922533)</f>
        <v>1758637922533</v>
      </c>
      <c r="C9213" s="2" t="str">
        <v>0</v>
      </c>
      <c r="F9213" s="2" t="str">
        <v>0</v>
      </c>
      <c r="I9213" s="3" t="str">
        <f ca="1">IFERROR(__xludf.DUMMYFUNCTION("""COMPUTED_VALUE"""),"Nguyễn Danh Hưng")</f>
        <v>Nguyễn Danh Hưng</v>
      </c>
      <c r="J9213" s="3" t="str">
        <f ca="1">IFERROR(__xludf.DUMMYFUNCTION("""COMPUTED_VALUE"""),"0358988244")</f>
        <v>0358988244</v>
      </c>
      <c r="K9213" s="2">
        <f ca="1">IFERROR(__xludf.DUMMYFUNCTION("""COMPUTED_VALUE"""),1758637922533)</f>
        <v>1758637922533</v>
      </c>
    </row>
    <row r="9214" spans="1:11" ht="12.45">
      <c r="A9214" s="2">
        <f ca="1">IFERROR(__xludf.DUMMYFUNCTION("""COMPUTED_VALUE"""),1757541736643)</f>
        <v>1757541736643</v>
      </c>
      <c r="C9214" s="2" t="str">
        <v>0</v>
      </c>
      <c r="F9214" s="2" t="str">
        <v>0</v>
      </c>
      <c r="I9214" s="3" t="str">
        <f ca="1">IFERROR(__xludf.DUMMYFUNCTION("""COMPUTED_VALUE"""),"Phạm Thị Tường Vi ")</f>
        <v xml:space="preserve">Phạm Thị Tường Vi </v>
      </c>
      <c r="J9214" s="3" t="str">
        <f ca="1">IFERROR(__xludf.DUMMYFUNCTION("""COMPUTED_VALUE"""),"0855457840")</f>
        <v>0855457840</v>
      </c>
      <c r="K9214" s="2">
        <f ca="1">IFERROR(__xludf.DUMMYFUNCTION("""COMPUTED_VALUE"""),1757541736643)</f>
        <v>1757541736643</v>
      </c>
    </row>
    <row r="9215" spans="1:11" ht="12.45">
      <c r="A9215" s="2">
        <f ca="1">IFERROR(__xludf.DUMMYFUNCTION("""COMPUTED_VALUE"""),1758637960613)</f>
        <v>1758637960613</v>
      </c>
      <c r="C9215" s="2" t="str">
        <v>0</v>
      </c>
      <c r="F9215" s="2" t="str">
        <v>0</v>
      </c>
      <c r="I9215" s="3" t="str">
        <f ca="1">IFERROR(__xludf.DUMMYFUNCTION("""COMPUTED_VALUE"""),"Nguyễn Ái Trực")</f>
        <v>Nguyễn Ái Trực</v>
      </c>
      <c r="J9215" s="3" t="str">
        <f ca="1">IFERROR(__xludf.DUMMYFUNCTION("""COMPUTED_VALUE"""),"0704951524")</f>
        <v>0704951524</v>
      </c>
      <c r="K9215" s="2">
        <f ca="1">IFERROR(__xludf.DUMMYFUNCTION("""COMPUTED_VALUE"""),1758637960613)</f>
        <v>1758637960613</v>
      </c>
    </row>
    <row r="9216" spans="1:11" ht="12.45">
      <c r="A9216" s="2">
        <f ca="1">IFERROR(__xludf.DUMMYFUNCTION("""COMPUTED_VALUE"""),1758991304847)</f>
        <v>1758991304847</v>
      </c>
      <c r="C9216" s="2" t="str">
        <v>0</v>
      </c>
      <c r="F9216" s="2" t="str">
        <v>0</v>
      </c>
      <c r="I9216" s="3" t="str">
        <f ca="1">IFERROR(__xludf.DUMMYFUNCTION("""COMPUTED_VALUE"""),"Trần Thị Lan Anh ")</f>
        <v xml:space="preserve">Trần Thị Lan Anh </v>
      </c>
      <c r="J9216" s="3" t="str">
        <f ca="1">IFERROR(__xludf.DUMMYFUNCTION("""COMPUTED_VALUE"""),"0368661013")</f>
        <v>0368661013</v>
      </c>
      <c r="K9216" s="2">
        <f ca="1">IFERROR(__xludf.DUMMYFUNCTION("""COMPUTED_VALUE"""),1758991304847)</f>
        <v>1758991304847</v>
      </c>
    </row>
    <row r="9217" spans="1:11" ht="12.45">
      <c r="A9217" s="2">
        <f ca="1">IFERROR(__xludf.DUMMYFUNCTION("""COMPUTED_VALUE"""),1758991340052)</f>
        <v>1758991340052</v>
      </c>
      <c r="C9217" s="2" t="str">
        <v>0</v>
      </c>
      <c r="F9217" s="2" t="str">
        <v>0</v>
      </c>
      <c r="I9217" s="3" t="str">
        <f ca="1">IFERROR(__xludf.DUMMYFUNCTION("""COMPUTED_VALUE"""),"Nguyễn Vương Diệu Hiền ")</f>
        <v xml:space="preserve">Nguyễn Vương Diệu Hiền </v>
      </c>
      <c r="J9217" s="3" t="str">
        <f ca="1">IFERROR(__xludf.DUMMYFUNCTION("""COMPUTED_VALUE"""),"0382282632")</f>
        <v>0382282632</v>
      </c>
      <c r="K9217" s="2">
        <f ca="1">IFERROR(__xludf.DUMMYFUNCTION("""COMPUTED_VALUE"""),1758991340052)</f>
        <v>1758991340052</v>
      </c>
    </row>
    <row r="9218" spans="1:11" ht="12.45">
      <c r="A9218" s="2">
        <f ca="1">IFERROR(__xludf.DUMMYFUNCTION("""COMPUTED_VALUE"""),1757925408699)</f>
        <v>1757925408699</v>
      </c>
      <c r="C9218" s="2" t="str">
        <v>0</v>
      </c>
      <c r="F9218" s="2" t="str">
        <v>0</v>
      </c>
      <c r="I9218" s="3" t="str">
        <f ca="1">IFERROR(__xludf.DUMMYFUNCTION("""COMPUTED_VALUE"""),"Vũ Thu Ngân")</f>
        <v>Vũ Thu Ngân</v>
      </c>
      <c r="J9218" s="3" t="str">
        <f ca="1">IFERROR(__xludf.DUMMYFUNCTION("""COMPUTED_VALUE"""),"0928523585")</f>
        <v>0928523585</v>
      </c>
      <c r="K9218" s="2">
        <f ca="1">IFERROR(__xludf.DUMMYFUNCTION("""COMPUTED_VALUE"""),1757925408699)</f>
        <v>1757925408699</v>
      </c>
    </row>
    <row r="9219" spans="1:11" ht="12.45">
      <c r="A9219" s="2">
        <f ca="1">IFERROR(__xludf.DUMMYFUNCTION("""COMPUTED_VALUE"""),1757541768460)</f>
        <v>1757541768460</v>
      </c>
      <c r="C9219" s="2" t="str">
        <v>0</v>
      </c>
      <c r="F9219" s="2" t="str">
        <v>0</v>
      </c>
      <c r="I9219" s="3" t="str">
        <f ca="1">IFERROR(__xludf.DUMMYFUNCTION("""COMPUTED_VALUE"""),"Nguyễn Nguyễn Phương Nghi")</f>
        <v>Nguyễn Nguyễn Phương Nghi</v>
      </c>
      <c r="J9219" s="3" t="str">
        <f ca="1">IFERROR(__xludf.DUMMYFUNCTION("""COMPUTED_VALUE"""),"0355738813")</f>
        <v>0355738813</v>
      </c>
      <c r="K9219" s="2">
        <f ca="1">IFERROR(__xludf.DUMMYFUNCTION("""COMPUTED_VALUE"""),1757541768460)</f>
        <v>1757541768460</v>
      </c>
    </row>
    <row r="9220" spans="1:11" ht="12.45">
      <c r="A9220" s="2">
        <f ca="1">IFERROR(__xludf.DUMMYFUNCTION("""COMPUTED_VALUE"""),1757925209535)</f>
        <v>1757925209535</v>
      </c>
      <c r="C9220" s="2" t="str">
        <v>0</v>
      </c>
      <c r="F9220" s="2" t="str">
        <v>0</v>
      </c>
      <c r="I9220" s="3" t="str">
        <f ca="1">IFERROR(__xludf.DUMMYFUNCTION("""COMPUTED_VALUE"""),"Nguyễn Thị Diễm Kiều")</f>
        <v>Nguyễn Thị Diễm Kiều</v>
      </c>
      <c r="J9220" s="3" t="str">
        <f ca="1">IFERROR(__xludf.DUMMYFUNCTION("""COMPUTED_VALUE"""),"0345948350")</f>
        <v>0345948350</v>
      </c>
      <c r="K9220" s="2">
        <f ca="1">IFERROR(__xludf.DUMMYFUNCTION("""COMPUTED_VALUE"""),1757925209535)</f>
        <v>1757925209535</v>
      </c>
    </row>
    <row r="9221" spans="1:11" ht="12.45">
      <c r="A9221" s="2">
        <f ca="1">IFERROR(__xludf.DUMMYFUNCTION("""COMPUTED_VALUE"""),1758637990706)</f>
        <v>1758637990706</v>
      </c>
      <c r="C9221" s="2" t="str">
        <v>0</v>
      </c>
      <c r="F9221" s="2" t="str">
        <v>0</v>
      </c>
      <c r="I9221" s="3" t="str">
        <f ca="1">IFERROR(__xludf.DUMMYFUNCTION("""COMPUTED_VALUE"""),"Nguyễn Viết Hoàng Dương")</f>
        <v>Nguyễn Viết Hoàng Dương</v>
      </c>
      <c r="J9221" s="3" t="str">
        <f ca="1">IFERROR(__xludf.DUMMYFUNCTION("""COMPUTED_VALUE"""),"0984899619")</f>
        <v>0984899619</v>
      </c>
      <c r="K9221" s="2">
        <f ca="1">IFERROR(__xludf.DUMMYFUNCTION("""COMPUTED_VALUE"""),1758637990706)</f>
        <v>1758637990706</v>
      </c>
    </row>
    <row r="9222" spans="1:11" ht="12.45">
      <c r="A9222" s="2">
        <f ca="1">IFERROR(__xludf.DUMMYFUNCTION("""COMPUTED_VALUE"""),1757541792149)</f>
        <v>1757541792149</v>
      </c>
      <c r="C9222" s="2" t="str">
        <v>0</v>
      </c>
      <c r="F9222" s="2" t="str">
        <v>0</v>
      </c>
      <c r="I9222" s="3" t="str">
        <f ca="1">IFERROR(__xludf.DUMMYFUNCTION("""COMPUTED_VALUE"""),"Trần Vũ Ngọc Trâm")</f>
        <v>Trần Vũ Ngọc Trâm</v>
      </c>
      <c r="J9222" s="3" t="str">
        <f ca="1">IFERROR(__xludf.DUMMYFUNCTION("""COMPUTED_VALUE"""),"0385422443")</f>
        <v>0385422443</v>
      </c>
      <c r="K9222" s="2">
        <f ca="1">IFERROR(__xludf.DUMMYFUNCTION("""COMPUTED_VALUE"""),1757541792149)</f>
        <v>1757541792149</v>
      </c>
    </row>
    <row r="9223" spans="1:11" ht="12.45">
      <c r="A9223" s="2">
        <f ca="1">IFERROR(__xludf.DUMMYFUNCTION("""COMPUTED_VALUE"""),1757925242800)</f>
        <v>1757925242800</v>
      </c>
      <c r="C9223" s="2" t="str">
        <v>0</v>
      </c>
      <c r="F9223" s="2" t="str">
        <v>0</v>
      </c>
      <c r="I9223" s="3" t="str">
        <f ca="1">IFERROR(__xludf.DUMMYFUNCTION("""COMPUTED_VALUE"""),"Trần Hoàng Quỳnh Hương")</f>
        <v>Trần Hoàng Quỳnh Hương</v>
      </c>
      <c r="J9223" s="3" t="str">
        <f ca="1">IFERROR(__xludf.DUMMYFUNCTION("""COMPUTED_VALUE"""),"0934754450")</f>
        <v>0934754450</v>
      </c>
      <c r="K9223" s="2">
        <f ca="1">IFERROR(__xludf.DUMMYFUNCTION("""COMPUTED_VALUE"""),1757925242800)</f>
        <v>1757925242800</v>
      </c>
    </row>
    <row r="9224" spans="1:11" ht="12.45">
      <c r="A9224" s="2">
        <f ca="1">IFERROR(__xludf.DUMMYFUNCTION("""COMPUTED_VALUE"""),1758638030362)</f>
        <v>1758638030362</v>
      </c>
      <c r="C9224" s="2" t="str">
        <v>0</v>
      </c>
      <c r="F9224" s="2" t="str">
        <v>0</v>
      </c>
      <c r="I9224" s="3" t="str">
        <f ca="1">IFERROR(__xludf.DUMMYFUNCTION("""COMPUTED_VALUE"""),"Nguyễn Khánh Ly")</f>
        <v>Nguyễn Khánh Ly</v>
      </c>
      <c r="J9224" s="3" t="str">
        <f ca="1">IFERROR(__xludf.DUMMYFUNCTION("""COMPUTED_VALUE"""),"0984050639")</f>
        <v>0984050639</v>
      </c>
      <c r="K9224" s="2">
        <f ca="1">IFERROR(__xludf.DUMMYFUNCTION("""COMPUTED_VALUE"""),1758638030362)</f>
        <v>1758638030362</v>
      </c>
    </row>
    <row r="9225" spans="1:11" ht="12.45">
      <c r="A9225" s="2">
        <f ca="1">IFERROR(__xludf.DUMMYFUNCTION("""COMPUTED_VALUE"""),1758638070646)</f>
        <v>1758638070646</v>
      </c>
      <c r="C9225" s="2" t="str">
        <v>0</v>
      </c>
      <c r="F9225" s="2" t="str">
        <v>0</v>
      </c>
      <c r="I9225" s="3" t="str">
        <f ca="1">IFERROR(__xludf.DUMMYFUNCTION("""COMPUTED_VALUE"""),"Phan Nguyễn Khánh Huyền")</f>
        <v>Phan Nguyễn Khánh Huyền</v>
      </c>
      <c r="J9225" s="3" t="str">
        <f ca="1">IFERROR(__xludf.DUMMYFUNCTION("""COMPUTED_VALUE"""),"0799128599")</f>
        <v>0799128599</v>
      </c>
      <c r="K9225" s="2">
        <f ca="1">IFERROR(__xludf.DUMMYFUNCTION("""COMPUTED_VALUE"""),1758638070646)</f>
        <v>1758638070646</v>
      </c>
    </row>
    <row r="9226" spans="1:11" ht="12.45">
      <c r="A9226" s="2">
        <f ca="1">IFERROR(__xludf.DUMMYFUNCTION("""COMPUTED_VALUE"""),1757925271118)</f>
        <v>1757925271118</v>
      </c>
      <c r="C9226" s="2" t="str">
        <v>0</v>
      </c>
      <c r="F9226" s="2" t="str">
        <v>0</v>
      </c>
      <c r="I9226" s="3" t="str">
        <f ca="1">IFERROR(__xludf.DUMMYFUNCTION("""COMPUTED_VALUE"""),"Nguyễn Thảo Như")</f>
        <v>Nguyễn Thảo Như</v>
      </c>
      <c r="J9226" s="3" t="str">
        <f ca="1">IFERROR(__xludf.DUMMYFUNCTION("""COMPUTED_VALUE"""),"0979467248")</f>
        <v>0979467248</v>
      </c>
      <c r="K9226" s="2">
        <f ca="1">IFERROR(__xludf.DUMMYFUNCTION("""COMPUTED_VALUE"""),1757925271118)</f>
        <v>1757925271118</v>
      </c>
    </row>
    <row r="9227" spans="1:11" ht="12.45">
      <c r="A9227" s="2">
        <f ca="1">IFERROR(__xludf.DUMMYFUNCTION("""COMPUTED_VALUE"""),1757541824888)</f>
        <v>1757541824888</v>
      </c>
      <c r="C9227" s="2" t="str">
        <v>0</v>
      </c>
      <c r="F9227" s="2" t="str">
        <v>0</v>
      </c>
      <c r="I9227" s="3" t="str">
        <f ca="1">IFERROR(__xludf.DUMMYFUNCTION("""COMPUTED_VALUE"""),"Thái Thị Phương Nhi ")</f>
        <v xml:space="preserve">Thái Thị Phương Nhi </v>
      </c>
      <c r="J9227" s="3" t="str">
        <f ca="1">IFERROR(__xludf.DUMMYFUNCTION("""COMPUTED_VALUE"""),"0362204117")</f>
        <v>0362204117</v>
      </c>
      <c r="K9227" s="2">
        <f ca="1">IFERROR(__xludf.DUMMYFUNCTION("""COMPUTED_VALUE"""),1757541824888)</f>
        <v>1757541824888</v>
      </c>
    </row>
    <row r="9228" spans="1:11" ht="12.45">
      <c r="A9228" s="2">
        <f ca="1">IFERROR(__xludf.DUMMYFUNCTION("""COMPUTED_VALUE"""),1757925296556)</f>
        <v>1757925296556</v>
      </c>
      <c r="C9228" s="2" t="str">
        <v>0</v>
      </c>
      <c r="F9228" s="2" t="str">
        <v>0</v>
      </c>
      <c r="I9228" s="3" t="str">
        <f ca="1">IFERROR(__xludf.DUMMYFUNCTION("""COMPUTED_VALUE"""),"Nguyễn Thị Hương Giang ")</f>
        <v xml:space="preserve">Nguyễn Thị Hương Giang </v>
      </c>
      <c r="J9228" s="3" t="str">
        <f ca="1">IFERROR(__xludf.DUMMYFUNCTION("""COMPUTED_VALUE"""),"0797411513")</f>
        <v>0797411513</v>
      </c>
      <c r="K9228" s="2">
        <f ca="1">IFERROR(__xludf.DUMMYFUNCTION("""COMPUTED_VALUE"""),1757925296556)</f>
        <v>1757925296556</v>
      </c>
    </row>
    <row r="9229" spans="1:11" ht="12.45">
      <c r="A9229" s="2">
        <f ca="1">IFERROR(__xludf.DUMMYFUNCTION("""COMPUTED_VALUE"""),1757541857098)</f>
        <v>1757541857098</v>
      </c>
      <c r="C9229" s="2" t="str">
        <v>0</v>
      </c>
      <c r="F9229" s="2" t="str">
        <v>0</v>
      </c>
      <c r="I9229" s="3" t="str">
        <f ca="1">IFERROR(__xludf.DUMMYFUNCTION("""COMPUTED_VALUE"""),"Hoàng Thị Khánh Linh ")</f>
        <v xml:space="preserve">Hoàng Thị Khánh Linh </v>
      </c>
      <c r="J9229" s="3" t="str">
        <f ca="1">IFERROR(__xludf.DUMMYFUNCTION("""COMPUTED_VALUE"""),"0383704443")</f>
        <v>0383704443</v>
      </c>
      <c r="K9229" s="2">
        <f ca="1">IFERROR(__xludf.DUMMYFUNCTION("""COMPUTED_VALUE"""),1757541857098)</f>
        <v>1757541857098</v>
      </c>
    </row>
    <row r="9230" spans="1:11" ht="12.45">
      <c r="A9230" s="2">
        <f ca="1">IFERROR(__xludf.DUMMYFUNCTION("""COMPUTED_VALUE"""),1757541890701)</f>
        <v>1757541890701</v>
      </c>
      <c r="C9230" s="2" t="str">
        <v>0</v>
      </c>
      <c r="F9230" s="2" t="str">
        <v>0</v>
      </c>
      <c r="I9230" s="3" t="str">
        <f ca="1">IFERROR(__xludf.DUMMYFUNCTION("""COMPUTED_VALUE"""),"Lê Hương Giang")</f>
        <v>Lê Hương Giang</v>
      </c>
      <c r="J9230" s="3" t="str">
        <f ca="1">IFERROR(__xludf.DUMMYFUNCTION("""COMPUTED_VALUE"""),"0369232768")</f>
        <v>0369232768</v>
      </c>
      <c r="K9230" s="2">
        <f ca="1">IFERROR(__xludf.DUMMYFUNCTION("""COMPUTED_VALUE"""),1757541890701)</f>
        <v>1757541890701</v>
      </c>
    </row>
    <row r="9231" spans="1:11" ht="12.45">
      <c r="A9231" s="2">
        <f ca="1">IFERROR(__xludf.DUMMYFUNCTION("""COMPUTED_VALUE"""),1758638106132)</f>
        <v>1758638106132</v>
      </c>
      <c r="C9231" s="2" t="str">
        <v>0</v>
      </c>
      <c r="F9231" s="2" t="str">
        <v>0</v>
      </c>
      <c r="I9231" s="3" t="str">
        <f ca="1">IFERROR(__xludf.DUMMYFUNCTION("""COMPUTED_VALUE"""),"Nguyễn Thu Phương")</f>
        <v>Nguyễn Thu Phương</v>
      </c>
      <c r="J9231" s="3" t="str">
        <f ca="1">IFERROR(__xludf.DUMMYFUNCTION("""COMPUTED_VALUE"""),"0397952940")</f>
        <v>0397952940</v>
      </c>
      <c r="K9231" s="2">
        <f ca="1">IFERROR(__xludf.DUMMYFUNCTION("""COMPUTED_VALUE"""),1758638106132)</f>
        <v>1758638106132</v>
      </c>
    </row>
    <row r="9232" spans="1:11" ht="12.45">
      <c r="A9232" s="2">
        <f ca="1">IFERROR(__xludf.DUMMYFUNCTION("""COMPUTED_VALUE"""),1758638142620)</f>
        <v>1758638142620</v>
      </c>
      <c r="C9232" s="2" t="str">
        <v>0</v>
      </c>
      <c r="F9232" s="2" t="str">
        <v>0</v>
      </c>
      <c r="I9232" s="3" t="str">
        <f ca="1">IFERROR(__xludf.DUMMYFUNCTION("""COMPUTED_VALUE"""),"Ninh Thị Mai Hằng")</f>
        <v>Ninh Thị Mai Hằng</v>
      </c>
      <c r="J9232" s="3" t="str">
        <f ca="1">IFERROR(__xludf.DUMMYFUNCTION("""COMPUTED_VALUE"""),"0373556512")</f>
        <v>0373556512</v>
      </c>
      <c r="K9232" s="2">
        <f ca="1">IFERROR(__xludf.DUMMYFUNCTION("""COMPUTED_VALUE"""),1758638142620)</f>
        <v>1758638142620</v>
      </c>
    </row>
    <row r="9233" spans="1:11" ht="12.45">
      <c r="A9233" s="2" t="str">
        <f ca="1">IFERROR(__xludf.DUMMYFUNCTION("""COMPUTED_VALUE"""),"1762769221338/1763245321168")</f>
        <v>1762769221338/1763245321168</v>
      </c>
      <c r="C9233" s="2" t="str">
        <v>0</v>
      </c>
      <c r="F9233" s="2" t="str">
        <v>0</v>
      </c>
      <c r="I9233" s="3" t="str">
        <f ca="1">IFERROR(__xludf.DUMMYFUNCTION("""COMPUTED_VALUE"""),"Đỗ Vạn Thành")</f>
        <v>Đỗ Vạn Thành</v>
      </c>
      <c r="J9233" s="3" t="str">
        <f ca="1">IFERROR(__xludf.DUMMYFUNCTION("""COMPUTED_VALUE"""),"0967606126")</f>
        <v>0967606126</v>
      </c>
      <c r="K9233" s="2" t="str">
        <f ca="1">IFERROR(__xludf.DUMMYFUNCTION("""COMPUTED_VALUE"""),"1762769221338/1763245321168")</f>
        <v>1762769221338/1763245321168</v>
      </c>
    </row>
    <row r="9234" spans="1:11" ht="12.45">
      <c r="A9234" s="2" t="str">
        <f ca="1">IFERROR(__xludf.DUMMYFUNCTION("""COMPUTED_VALUE"""),"1762402656626/1763245414657")</f>
        <v>1762402656626/1763245414657</v>
      </c>
      <c r="C9234" s="2" t="str">
        <v>0</v>
      </c>
      <c r="F9234" s="2" t="str">
        <v>0</v>
      </c>
      <c r="I9234" s="3" t="str">
        <f ca="1">IFERROR(__xludf.DUMMYFUNCTION("""COMPUTED_VALUE"""),"Tạ thị hồng mai")</f>
        <v>Tạ thị hồng mai</v>
      </c>
      <c r="J9234" s="3" t="str">
        <f ca="1">IFERROR(__xludf.DUMMYFUNCTION("""COMPUTED_VALUE"""),"0326525108")</f>
        <v>0326525108</v>
      </c>
      <c r="K9234" s="2" t="str">
        <f ca="1">IFERROR(__xludf.DUMMYFUNCTION("""COMPUTED_VALUE"""),"1762402656626/1763245414657")</f>
        <v>1762402656626/1763245414657</v>
      </c>
    </row>
    <row r="9235" spans="1:11" ht="12.45">
      <c r="A9235" s="2" t="str">
        <f ca="1">IFERROR(__xludf.DUMMYFUNCTION("""COMPUTED_VALUE"""),"1762942219906/1763246341112")</f>
        <v>1762942219906/1763246341112</v>
      </c>
      <c r="C9235" s="2" t="str">
        <v>0</v>
      </c>
      <c r="F9235" s="2" t="str">
        <v>0</v>
      </c>
      <c r="I9235" s="3" t="str">
        <f ca="1">IFERROR(__xludf.DUMMYFUNCTION("""COMPUTED_VALUE"""),"Nguyễn Xuân Như Loan")</f>
        <v>Nguyễn Xuân Như Loan</v>
      </c>
      <c r="J9235" s="3" t="str">
        <f ca="1">IFERROR(__xludf.DUMMYFUNCTION("""COMPUTED_VALUE"""),"0337870016")</f>
        <v>0337870016</v>
      </c>
      <c r="K9235" s="2" t="str">
        <f ca="1">IFERROR(__xludf.DUMMYFUNCTION("""COMPUTED_VALUE"""),"1762942219906/1763246341112")</f>
        <v>1762942219906/1763246341112</v>
      </c>
    </row>
    <row r="9236" spans="1:11" ht="12.45">
      <c r="A9236" s="2" t="str">
        <f ca="1">IFERROR(__xludf.DUMMYFUNCTION("""COMPUTED_VALUE"""),"1762769267891/1763246055889")</f>
        <v>1762769267891/1763246055889</v>
      </c>
      <c r="C9236" s="2" t="str">
        <v>0</v>
      </c>
      <c r="F9236" s="2" t="str">
        <v>0</v>
      </c>
      <c r="I9236" s="3" t="str">
        <f ca="1">IFERROR(__xludf.DUMMYFUNCTION("""COMPUTED_VALUE"""),"Đinh Đức Anh")</f>
        <v>Đinh Đức Anh</v>
      </c>
      <c r="J9236" s="3" t="str">
        <f ca="1">IFERROR(__xludf.DUMMYFUNCTION("""COMPUTED_VALUE"""),"0901502782")</f>
        <v>0901502782</v>
      </c>
      <c r="K9236" s="2" t="str">
        <f ca="1">IFERROR(__xludf.DUMMYFUNCTION("""COMPUTED_VALUE"""),"1762769267891/1763246055889")</f>
        <v>1762769267891/1763246055889</v>
      </c>
    </row>
    <row r="9237" spans="1:11" ht="12.45">
      <c r="A9237" s="2" t="str">
        <f ca="1">IFERROR(__xludf.DUMMYFUNCTION("""COMPUTED_VALUE"""),"1762769314909/1763245369706")</f>
        <v>1762769314909/1763245369706</v>
      </c>
      <c r="C9237" s="2" t="str">
        <v>0</v>
      </c>
      <c r="F9237" s="2" t="str">
        <v>0</v>
      </c>
      <c r="I9237" s="3" t="str">
        <f ca="1">IFERROR(__xludf.DUMMYFUNCTION("""COMPUTED_VALUE"""),"Trần Văn Tự")</f>
        <v>Trần Văn Tự</v>
      </c>
      <c r="J9237" s="3" t="str">
        <f ca="1">IFERROR(__xludf.DUMMYFUNCTION("""COMPUTED_VALUE"""),"0947269133")</f>
        <v>0947269133</v>
      </c>
      <c r="K9237" s="2" t="str">
        <f ca="1">IFERROR(__xludf.DUMMYFUNCTION("""COMPUTED_VALUE"""),"1762769314909/1763245369706")</f>
        <v>1762769314909/1763245369706</v>
      </c>
    </row>
    <row r="9238" spans="1:11" ht="12.45">
      <c r="A9238" s="2" t="str">
        <f ca="1">IFERROR(__xludf.DUMMYFUNCTION("""COMPUTED_VALUE"""),"1762942267235/1763246408031")</f>
        <v>1762942267235/1763246408031</v>
      </c>
      <c r="C9238" s="2" t="str">
        <v>0</v>
      </c>
      <c r="F9238" s="2" t="str">
        <v>0</v>
      </c>
      <c r="I9238" s="3" t="str">
        <f ca="1">IFERROR(__xludf.DUMMYFUNCTION("""COMPUTED_VALUE"""),"Lê Thị Hiền ")</f>
        <v xml:space="preserve">Lê Thị Hiền </v>
      </c>
      <c r="J9238" s="3" t="str">
        <f ca="1">IFERROR(__xludf.DUMMYFUNCTION("""COMPUTED_VALUE"""),"0327063328")</f>
        <v>0327063328</v>
      </c>
      <c r="K9238" s="2" t="str">
        <f ca="1">IFERROR(__xludf.DUMMYFUNCTION("""COMPUTED_VALUE"""),"1762942267235/1763246408031")</f>
        <v>1762942267235/1763246408031</v>
      </c>
    </row>
    <row r="9239" spans="1:11" ht="12.45">
      <c r="A9239" s="2" t="str">
        <f ca="1">IFERROR(__xludf.DUMMYFUNCTION("""COMPUTED_VALUE"""),"1762402691624/1763245460548")</f>
        <v>1762402691624/1763245460548</v>
      </c>
      <c r="C9239" s="2" t="str">
        <v>0</v>
      </c>
      <c r="F9239" s="2" t="str">
        <v>0</v>
      </c>
      <c r="I9239" s="3" t="str">
        <f ca="1">IFERROR(__xludf.DUMMYFUNCTION("""COMPUTED_VALUE"""),"Bùi Thị Hà Thơ ")</f>
        <v xml:space="preserve">Bùi Thị Hà Thơ </v>
      </c>
      <c r="J9239" s="3" t="str">
        <f ca="1">IFERROR(__xludf.DUMMYFUNCTION("""COMPUTED_VALUE"""),"0989209046")</f>
        <v>0989209046</v>
      </c>
      <c r="K9239" s="2" t="str">
        <f ca="1">IFERROR(__xludf.DUMMYFUNCTION("""COMPUTED_VALUE"""),"1762402691624/1763245460548")</f>
        <v>1762402691624/1763245460548</v>
      </c>
    </row>
    <row r="9240" spans="1:11" ht="12.45">
      <c r="A9240" s="2" t="str">
        <f ca="1">IFERROR(__xludf.DUMMYFUNCTION("""COMPUTED_VALUE"""),"1762402741467/1763245511283")</f>
        <v>1762402741467/1763245511283</v>
      </c>
      <c r="C9240" s="2" t="str">
        <v>0</v>
      </c>
      <c r="F9240" s="2" t="str">
        <v>0</v>
      </c>
      <c r="I9240" s="3" t="str">
        <f ca="1">IFERROR(__xludf.DUMMYFUNCTION("""COMPUTED_VALUE"""),"Đỗ Thị Thanh Hoa")</f>
        <v>Đỗ Thị Thanh Hoa</v>
      </c>
      <c r="J9240" s="3" t="str">
        <f ca="1">IFERROR(__xludf.DUMMYFUNCTION("""COMPUTED_VALUE"""),"0387543506")</f>
        <v>0387543506</v>
      </c>
      <c r="K9240" s="2" t="str">
        <f ca="1">IFERROR(__xludf.DUMMYFUNCTION("""COMPUTED_VALUE"""),"1762402741467/1763245511283")</f>
        <v>1762402741467/1763245511283</v>
      </c>
    </row>
    <row r="9241" spans="1:11" ht="12.45">
      <c r="A9241" s="2" t="str">
        <f ca="1">IFERROR(__xludf.DUMMYFUNCTION("""COMPUTED_VALUE"""),"1762402778573/1763245561034")</f>
        <v>1762402778573/1763245561034</v>
      </c>
      <c r="C9241" s="2" t="str">
        <v>0</v>
      </c>
      <c r="F9241" s="2" t="str">
        <v>0</v>
      </c>
      <c r="I9241" s="3" t="str">
        <f ca="1">IFERROR(__xludf.DUMMYFUNCTION("""COMPUTED_VALUE"""),"Lê Thị Kiều Vy")</f>
        <v>Lê Thị Kiều Vy</v>
      </c>
      <c r="J9241" s="3" t="str">
        <f ca="1">IFERROR(__xludf.DUMMYFUNCTION("""COMPUTED_VALUE"""),"0333567093")</f>
        <v>0333567093</v>
      </c>
      <c r="K9241" s="2" t="str">
        <f ca="1">IFERROR(__xludf.DUMMYFUNCTION("""COMPUTED_VALUE"""),"1762402778573/1763245561034")</f>
        <v>1762402778573/1763245561034</v>
      </c>
    </row>
    <row r="9242" spans="1:11" ht="12.45">
      <c r="A9242" s="2" t="str">
        <f ca="1">IFERROR(__xludf.DUMMYFUNCTION("""COMPUTED_VALUE"""),"1762942301863/1763246473788")</f>
        <v>1762942301863/1763246473788</v>
      </c>
      <c r="C9242" s="2" t="str">
        <v>0</v>
      </c>
      <c r="F9242" s="2" t="str">
        <v>0</v>
      </c>
      <c r="I9242" s="3" t="str">
        <f ca="1">IFERROR(__xludf.DUMMYFUNCTION("""COMPUTED_VALUE"""),"Nguyễn Thị Phương Yên ")</f>
        <v xml:space="preserve">Nguyễn Thị Phương Yên </v>
      </c>
      <c r="J9242" s="3" t="str">
        <f ca="1">IFERROR(__xludf.DUMMYFUNCTION("""COMPUTED_VALUE"""),"0917960340")</f>
        <v>0917960340</v>
      </c>
      <c r="K9242" s="2" t="str">
        <f ca="1">IFERROR(__xludf.DUMMYFUNCTION("""COMPUTED_VALUE"""),"1762942301863/1763246473788")</f>
        <v>1762942301863/1763246473788</v>
      </c>
    </row>
    <row r="9243" spans="1:11" ht="12.45">
      <c r="A9243" s="2" t="str">
        <f ca="1">IFERROR(__xludf.DUMMYFUNCTION("""COMPUTED_VALUE"""),"1762942330762/1763246539537")</f>
        <v>1762942330762/1763246539537</v>
      </c>
      <c r="C9243" s="2" t="str">
        <v>0</v>
      </c>
      <c r="F9243" s="2" t="str">
        <v>0</v>
      </c>
      <c r="I9243" s="3" t="str">
        <f ca="1">IFERROR(__xludf.DUMMYFUNCTION("""COMPUTED_VALUE"""),"Vi Anh Thư")</f>
        <v>Vi Anh Thư</v>
      </c>
      <c r="J9243" s="3" t="str">
        <f ca="1">IFERROR(__xludf.DUMMYFUNCTION("""COMPUTED_VALUE"""),"0836573820")</f>
        <v>0836573820</v>
      </c>
      <c r="K9243" s="2" t="str">
        <f ca="1">IFERROR(__xludf.DUMMYFUNCTION("""COMPUTED_VALUE"""),"1762942330762/1763246539537")</f>
        <v>1762942330762/1763246539537</v>
      </c>
    </row>
    <row r="9244" spans="1:11" ht="12.45">
      <c r="A9244" s="2" t="str">
        <f ca="1">IFERROR(__xludf.DUMMYFUNCTION("""COMPUTED_VALUE"""),"1762402810503/1763245597302")</f>
        <v>1762402810503/1763245597302</v>
      </c>
      <c r="C9244" s="2" t="str">
        <v>0</v>
      </c>
      <c r="F9244" s="2" t="str">
        <v>0</v>
      </c>
      <c r="I9244" s="3" t="str">
        <f ca="1">IFERROR(__xludf.DUMMYFUNCTION("""COMPUTED_VALUE"""),"Lê Hương Giang ")</f>
        <v xml:space="preserve">Lê Hương Giang </v>
      </c>
      <c r="J9244" s="3" t="str">
        <f ca="1">IFERROR(__xludf.DUMMYFUNCTION("""COMPUTED_VALUE"""),"0395131598")</f>
        <v>0395131598</v>
      </c>
      <c r="K9244" s="2" t="str">
        <f ca="1">IFERROR(__xludf.DUMMYFUNCTION("""COMPUTED_VALUE"""),"1762402810503/1763245597302")</f>
        <v>1762402810503/1763245597302</v>
      </c>
    </row>
    <row r="9245" spans="1:11" ht="12.45">
      <c r="A9245" s="2" t="str">
        <f ca="1">IFERROR(__xludf.DUMMYFUNCTION("""COMPUTED_VALUE"""),"1762402847421/1763245640232")</f>
        <v>1762402847421/1763245640232</v>
      </c>
      <c r="C9245" s="2" t="str">
        <v>0</v>
      </c>
      <c r="F9245" s="2" t="str">
        <v>0</v>
      </c>
      <c r="I9245" s="3" t="str">
        <f ca="1">IFERROR(__xludf.DUMMYFUNCTION("""COMPUTED_VALUE"""),"Phạm Thị Yến Nhi ")</f>
        <v xml:space="preserve">Phạm Thị Yến Nhi </v>
      </c>
      <c r="J9245" s="3" t="str">
        <f ca="1">IFERROR(__xludf.DUMMYFUNCTION("""COMPUTED_VALUE"""),"0981112701")</f>
        <v>0981112701</v>
      </c>
      <c r="K9245" s="2" t="str">
        <f ca="1">IFERROR(__xludf.DUMMYFUNCTION("""COMPUTED_VALUE"""),"1762402847421/1763245640232")</f>
        <v>1762402847421/1763245640232</v>
      </c>
    </row>
    <row r="9246" spans="1:11" ht="12.45">
      <c r="A9246" s="2" t="str">
        <f ca="1">IFERROR(__xludf.DUMMYFUNCTION("""COMPUTED_VALUE"""),"1762942364192/1763246609672")</f>
        <v>1762942364192/1763246609672</v>
      </c>
      <c r="C9246" s="2" t="str">
        <v>0</v>
      </c>
      <c r="F9246" s="2" t="str">
        <v>0</v>
      </c>
      <c r="I9246" s="3" t="str">
        <f ca="1">IFERROR(__xludf.DUMMYFUNCTION("""COMPUTED_VALUE"""),"Bùi Đức Đạt")</f>
        <v>Bùi Đức Đạt</v>
      </c>
      <c r="J9246" s="3" t="str">
        <f ca="1">IFERROR(__xludf.DUMMYFUNCTION("""COMPUTED_VALUE"""),"0832769369")</f>
        <v>0832769369</v>
      </c>
      <c r="K9246" s="2" t="str">
        <f ca="1">IFERROR(__xludf.DUMMYFUNCTION("""COMPUTED_VALUE"""),"1762942364192/1763246609672")</f>
        <v>1762942364192/1763246609672</v>
      </c>
    </row>
    <row r="9247" spans="1:11" ht="12.45">
      <c r="A9247" s="2" t="str">
        <f ca="1">IFERROR(__xludf.DUMMYFUNCTION("""COMPUTED_VALUE"""),"1762769352394/1763246098397")</f>
        <v>1762769352394/1763246098397</v>
      </c>
      <c r="C9247" s="2" t="str">
        <v>0</v>
      </c>
      <c r="F9247" s="2" t="str">
        <v>0</v>
      </c>
      <c r="I9247" s="3" t="str">
        <f ca="1">IFERROR(__xludf.DUMMYFUNCTION("""COMPUTED_VALUE"""),"Nguyễn Đức Duy ")</f>
        <v xml:space="preserve">Nguyễn Đức Duy </v>
      </c>
      <c r="J9247" s="3" t="str">
        <f ca="1">IFERROR(__xludf.DUMMYFUNCTION("""COMPUTED_VALUE"""),"0354769598")</f>
        <v>0354769598</v>
      </c>
      <c r="K9247" s="2" t="str">
        <f ca="1">IFERROR(__xludf.DUMMYFUNCTION("""COMPUTED_VALUE"""),"1762769352394/1763246098397")</f>
        <v>1762769352394/1763246098397</v>
      </c>
    </row>
    <row r="9248" spans="1:11" ht="12.45">
      <c r="A9248" s="2" t="str">
        <f ca="1">IFERROR(__xludf.DUMMYFUNCTION("""COMPUTED_VALUE"""),"1762402880862/1763245678804")</f>
        <v>1762402880862/1763245678804</v>
      </c>
      <c r="C9248" s="2" t="str">
        <v>0</v>
      </c>
      <c r="F9248" s="2" t="str">
        <v>0</v>
      </c>
      <c r="I9248" s="3" t="str">
        <f ca="1">IFERROR(__xludf.DUMMYFUNCTION("""COMPUTED_VALUE"""),"Nguyễn Nhật Vy")</f>
        <v>Nguyễn Nhật Vy</v>
      </c>
      <c r="J9248" s="3" t="str">
        <f ca="1">IFERROR(__xludf.DUMMYFUNCTION("""COMPUTED_VALUE"""),"0587160439")</f>
        <v>0587160439</v>
      </c>
      <c r="K9248" s="2" t="str">
        <f ca="1">IFERROR(__xludf.DUMMYFUNCTION("""COMPUTED_VALUE"""),"1762402880862/1763245678804")</f>
        <v>1762402880862/1763245678804</v>
      </c>
    </row>
    <row r="9249" spans="1:11" ht="12.45">
      <c r="A9249" s="2"/>
      <c r="C9249" s="2" t="str">
        <v>0</v>
      </c>
      <c r="F9249" s="2" t="str">
        <v>0</v>
      </c>
      <c r="I9249" s="3" t="str">
        <f ca="1">IFERROR(__xludf.DUMMYFUNCTION("""COMPUTED_VALUE"""),"Bùi Thanh Thảo")</f>
        <v>Bùi Thanh Thảo</v>
      </c>
      <c r="J9249" s="3" t="str">
        <f ca="1">IFERROR(__xludf.DUMMYFUNCTION("""COMPUTED_VALUE"""),"0982765931")</f>
        <v>0982765931</v>
      </c>
      <c r="K9249" s="2"/>
    </row>
    <row r="9250" spans="1:11" ht="12.45">
      <c r="A9250" s="2" t="str">
        <f ca="1">IFERROR(__xludf.DUMMYFUNCTION("""COMPUTED_VALUE"""),"1762402914687/1763245718640")</f>
        <v>1762402914687/1763245718640</v>
      </c>
      <c r="C9250" s="2" t="str">
        <v>0</v>
      </c>
      <c r="F9250" s="2" t="str">
        <v>0</v>
      </c>
      <c r="I9250" s="3" t="str">
        <f ca="1">IFERROR(__xludf.DUMMYFUNCTION("""COMPUTED_VALUE"""),"Hồ Thị Mỹ Linh")</f>
        <v>Hồ Thị Mỹ Linh</v>
      </c>
      <c r="J9250" s="3" t="str">
        <f ca="1">IFERROR(__xludf.DUMMYFUNCTION("""COMPUTED_VALUE"""),"0365844616")</f>
        <v>0365844616</v>
      </c>
      <c r="K9250" s="2" t="str">
        <f ca="1">IFERROR(__xludf.DUMMYFUNCTION("""COMPUTED_VALUE"""),"1762402914687/1763245718640")</f>
        <v>1762402914687/1763245718640</v>
      </c>
    </row>
    <row r="9251" spans="1:11" ht="12.45">
      <c r="A9251" s="2">
        <f ca="1">IFERROR(__xludf.DUMMYFUNCTION("""COMPUTED_VALUE"""),1762402964241)</f>
        <v>1762402964241</v>
      </c>
      <c r="C9251" s="2" t="str">
        <v>0</v>
      </c>
      <c r="F9251" s="2" t="str">
        <v>0</v>
      </c>
      <c r="I9251" s="3" t="str">
        <f ca="1">IFERROR(__xludf.DUMMYFUNCTION("""COMPUTED_VALUE"""),"Đàm Trường An")</f>
        <v>Đàm Trường An</v>
      </c>
      <c r="J9251" s="3" t="str">
        <f ca="1">IFERROR(__xludf.DUMMYFUNCTION("""COMPUTED_VALUE"""),"0865387559")</f>
        <v>0865387559</v>
      </c>
      <c r="K9251" s="2">
        <f ca="1">IFERROR(__xludf.DUMMYFUNCTION("""COMPUTED_VALUE"""),1762402964241)</f>
        <v>1762402964241</v>
      </c>
    </row>
    <row r="9252" spans="1:11" ht="12.45">
      <c r="A9252" s="2" t="str">
        <f ca="1">IFERROR(__xludf.DUMMYFUNCTION("""COMPUTED_VALUE"""),"1762942395790/1763246682371")</f>
        <v>1762942395790/1763246682371</v>
      </c>
      <c r="C9252" s="2" t="str">
        <v>0</v>
      </c>
      <c r="F9252" s="2" t="str">
        <v>0</v>
      </c>
      <c r="I9252" s="3" t="str">
        <f ca="1">IFERROR(__xludf.DUMMYFUNCTION("""COMPUTED_VALUE"""),"Huỳnh Minh Diệu Hiền")</f>
        <v>Huỳnh Minh Diệu Hiền</v>
      </c>
      <c r="J9252" s="3" t="str">
        <f ca="1">IFERROR(__xludf.DUMMYFUNCTION("""COMPUTED_VALUE"""),"0359220537")</f>
        <v>0359220537</v>
      </c>
      <c r="K9252" s="2" t="str">
        <f ca="1">IFERROR(__xludf.DUMMYFUNCTION("""COMPUTED_VALUE"""),"1762942395790/1763246682371")</f>
        <v>1762942395790/1763246682371</v>
      </c>
    </row>
    <row r="9253" spans="1:11" ht="12.45">
      <c r="A9253" s="2" t="str">
        <f ca="1">IFERROR(__xludf.DUMMYFUNCTION("""COMPUTED_VALUE"""),"1762403007331/ 1763245766417")</f>
        <v>1762403007331/ 1763245766417</v>
      </c>
      <c r="C9253" s="2" t="str">
        <v>0</v>
      </c>
      <c r="F9253" s="2" t="str">
        <v>0</v>
      </c>
      <c r="I9253" s="3" t="str">
        <f ca="1">IFERROR(__xludf.DUMMYFUNCTION("""COMPUTED_VALUE"""),"Đỗ Mỹ Duyên")</f>
        <v>Đỗ Mỹ Duyên</v>
      </c>
      <c r="J9253" s="3" t="str">
        <f ca="1">IFERROR(__xludf.DUMMYFUNCTION("""COMPUTED_VALUE"""),"0766399253")</f>
        <v>0766399253</v>
      </c>
      <c r="K9253" s="2" t="str">
        <f ca="1">IFERROR(__xludf.DUMMYFUNCTION("""COMPUTED_VALUE"""),"1762403007331/ 1763245766417")</f>
        <v>1762403007331/ 1763245766417</v>
      </c>
    </row>
    <row r="9254" spans="1:11" ht="12.45">
      <c r="A9254" s="2" t="str">
        <f ca="1">IFERROR(__xludf.DUMMYFUNCTION("""COMPUTED_VALUE"""),"1762403042333/1763245808002")</f>
        <v>1762403042333/1763245808002</v>
      </c>
      <c r="C9254" s="2" t="str">
        <v>0</v>
      </c>
      <c r="F9254" s="2" t="str">
        <v>0</v>
      </c>
      <c r="I9254" s="3" t="str">
        <f ca="1">IFERROR(__xludf.DUMMYFUNCTION("""COMPUTED_VALUE"""),"Lê Thị Phương Anh ")</f>
        <v xml:space="preserve">Lê Thị Phương Anh </v>
      </c>
      <c r="J9254" s="3" t="str">
        <f ca="1">IFERROR(__xludf.DUMMYFUNCTION("""COMPUTED_VALUE"""),"0942751173")</f>
        <v>0942751173</v>
      </c>
      <c r="K9254" s="2" t="str">
        <f ca="1">IFERROR(__xludf.DUMMYFUNCTION("""COMPUTED_VALUE"""),"1762403042333/1763245808002")</f>
        <v>1762403042333/1763245808002</v>
      </c>
    </row>
    <row r="9255" spans="1:11" ht="12.45">
      <c r="A9255" s="2" t="str">
        <f ca="1">IFERROR(__xludf.DUMMYFUNCTION("""COMPUTED_VALUE"""),"1762769384164/1763246149981")</f>
        <v>1762769384164/1763246149981</v>
      </c>
      <c r="C9255" s="2" t="str">
        <v>0</v>
      </c>
      <c r="F9255" s="2" t="str">
        <v>0</v>
      </c>
      <c r="I9255" s="3" t="str">
        <f ca="1">IFERROR(__xludf.DUMMYFUNCTION("""COMPUTED_VALUE"""),"Lê Thuỳ Linh")</f>
        <v>Lê Thuỳ Linh</v>
      </c>
      <c r="J9255" s="3" t="str">
        <f ca="1">IFERROR(__xludf.DUMMYFUNCTION("""COMPUTED_VALUE"""),"0944641005")</f>
        <v>0944641005</v>
      </c>
      <c r="K9255" s="2" t="str">
        <f ca="1">IFERROR(__xludf.DUMMYFUNCTION("""COMPUTED_VALUE"""),"1762769384164/1763246149981")</f>
        <v>1762769384164/1763246149981</v>
      </c>
    </row>
    <row r="9256" spans="1:11" ht="12.45">
      <c r="A9256" s="2" t="str">
        <f ca="1">IFERROR(__xludf.DUMMYFUNCTION("""COMPUTED_VALUE"""),"1762942435278/ 1763246730806")</f>
        <v>1762942435278/ 1763246730806</v>
      </c>
      <c r="C9256" s="2" t="str">
        <v>0</v>
      </c>
      <c r="F9256" s="2" t="str">
        <v>0</v>
      </c>
      <c r="I9256" s="3" t="str">
        <f ca="1">IFERROR(__xludf.DUMMYFUNCTION("""COMPUTED_VALUE"""),"Lương Đức Dũng ")</f>
        <v xml:space="preserve">Lương Đức Dũng </v>
      </c>
      <c r="J9256" s="3" t="str">
        <f ca="1">IFERROR(__xludf.DUMMYFUNCTION("""COMPUTED_VALUE"""),"0355233254")</f>
        <v>0355233254</v>
      </c>
      <c r="K9256" s="2" t="str">
        <f ca="1">IFERROR(__xludf.DUMMYFUNCTION("""COMPUTED_VALUE"""),"1762942435278/ 1763246730806")</f>
        <v>1762942435278/ 1763246730806</v>
      </c>
    </row>
    <row r="9257" spans="1:11" ht="12.45">
      <c r="A9257" s="2" t="str">
        <f ca="1">IFERROR(__xludf.DUMMYFUNCTION("""COMPUTED_VALUE"""),"1762403076023/1763245849717")</f>
        <v>1762403076023/1763245849717</v>
      </c>
      <c r="C9257" s="2" t="str">
        <v>0</v>
      </c>
      <c r="F9257" s="2" t="str">
        <v>0</v>
      </c>
      <c r="I9257" s="3" t="str">
        <f ca="1">IFERROR(__xludf.DUMMYFUNCTION("""COMPUTED_VALUE"""),"Nguyễn Phương Anh ")</f>
        <v xml:space="preserve">Nguyễn Phương Anh </v>
      </c>
      <c r="J9257" s="3" t="str">
        <f ca="1">IFERROR(__xludf.DUMMYFUNCTION("""COMPUTED_VALUE"""),"0965968228")</f>
        <v>0965968228</v>
      </c>
      <c r="K9257" s="2" t="str">
        <f ca="1">IFERROR(__xludf.DUMMYFUNCTION("""COMPUTED_VALUE"""),"1762403076023/1763245849717")</f>
        <v>1762403076023/1763245849717</v>
      </c>
    </row>
    <row r="9258" spans="1:11" ht="12.45">
      <c r="A9258" s="2">
        <f ca="1">IFERROR(__xludf.DUMMYFUNCTION("""COMPUTED_VALUE"""),1762403115938)</f>
        <v>1762403115938</v>
      </c>
      <c r="C9258" s="2" t="str">
        <v>0</v>
      </c>
      <c r="F9258" s="2" t="str">
        <v>0</v>
      </c>
      <c r="I9258" s="3" t="str">
        <f ca="1">IFERROR(__xludf.DUMMYFUNCTION("""COMPUTED_VALUE"""),"Nguyễn Xuân Hương")</f>
        <v>Nguyễn Xuân Hương</v>
      </c>
      <c r="J9258" s="3" t="str">
        <f ca="1">IFERROR(__xludf.DUMMYFUNCTION("""COMPUTED_VALUE"""),"0325753147")</f>
        <v>0325753147</v>
      </c>
      <c r="K9258" s="2">
        <f ca="1">IFERROR(__xludf.DUMMYFUNCTION("""COMPUTED_VALUE"""),1762403115938)</f>
        <v>1762403115938</v>
      </c>
    </row>
    <row r="9259" spans="1:11" ht="12.45">
      <c r="A9259" s="2" t="str">
        <f ca="1">IFERROR(__xludf.DUMMYFUNCTION("""COMPUTED_VALUE"""),"1762942462456/1763246784253")</f>
        <v>1762942462456/1763246784253</v>
      </c>
      <c r="C9259" s="2" t="str">
        <v>0</v>
      </c>
      <c r="F9259" s="2" t="str">
        <v>0</v>
      </c>
      <c r="I9259" s="3" t="str">
        <f ca="1">IFERROR(__xludf.DUMMYFUNCTION("""COMPUTED_VALUE"""),"Lê Thảo Nguyên")</f>
        <v>Lê Thảo Nguyên</v>
      </c>
      <c r="J9259" s="3" t="str">
        <f ca="1">IFERROR(__xludf.DUMMYFUNCTION("""COMPUTED_VALUE"""),"0918149049")</f>
        <v>0918149049</v>
      </c>
      <c r="K9259" s="2" t="str">
        <f ca="1">IFERROR(__xludf.DUMMYFUNCTION("""COMPUTED_VALUE"""),"1762942462456/1763246784253")</f>
        <v>1762942462456/1763246784253</v>
      </c>
    </row>
    <row r="9260" spans="1:11" ht="12.45">
      <c r="A9260" s="2" t="str">
        <f ca="1">IFERROR(__xludf.DUMMYFUNCTION("""COMPUTED_VALUE"""),"1762769421975/1763246190168")</f>
        <v>1762769421975/1763246190168</v>
      </c>
      <c r="C9260" s="2" t="str">
        <v>0</v>
      </c>
      <c r="F9260" s="2" t="str">
        <v>0</v>
      </c>
      <c r="I9260" s="3" t="str">
        <f ca="1">IFERROR(__xludf.DUMMYFUNCTION("""COMPUTED_VALUE"""),"Nguyễn Mai Anh")</f>
        <v>Nguyễn Mai Anh</v>
      </c>
      <c r="J9260" s="3" t="str">
        <f ca="1">IFERROR(__xludf.DUMMYFUNCTION("""COMPUTED_VALUE"""),"0979640508")</f>
        <v>0979640508</v>
      </c>
      <c r="K9260" s="2" t="str">
        <f ca="1">IFERROR(__xludf.DUMMYFUNCTION("""COMPUTED_VALUE"""),"1762769421975/1763246190168")</f>
        <v>1762769421975/1763246190168</v>
      </c>
    </row>
    <row r="9261" spans="1:11" ht="12.45">
      <c r="A9261" s="2" t="str">
        <f ca="1">IFERROR(__xludf.DUMMYFUNCTION("""COMPUTED_VALUE"""),"1762403153693/1763245885809")</f>
        <v>1762403153693/1763245885809</v>
      </c>
      <c r="C9261" s="2" t="str">
        <v>0</v>
      </c>
      <c r="F9261" s="2" t="str">
        <v>0</v>
      </c>
      <c r="I9261" s="3" t="str">
        <f ca="1">IFERROR(__xludf.DUMMYFUNCTION("""COMPUTED_VALUE"""),"Nguyễn Hoàng Thị Thu Thủy ")</f>
        <v xml:space="preserve">Nguyễn Hoàng Thị Thu Thủy </v>
      </c>
      <c r="J9261" s="3" t="str">
        <f ca="1">IFERROR(__xludf.DUMMYFUNCTION("""COMPUTED_VALUE"""),"0981321829")</f>
        <v>0981321829</v>
      </c>
      <c r="K9261" s="2" t="str">
        <f ca="1">IFERROR(__xludf.DUMMYFUNCTION("""COMPUTED_VALUE"""),"1762403153693/1763245885809")</f>
        <v>1762403153693/1763245885809</v>
      </c>
    </row>
    <row r="9262" spans="1:11" ht="12.45">
      <c r="A9262" s="2" t="str">
        <f ca="1">IFERROR(__xludf.DUMMYFUNCTION("""COMPUTED_VALUE"""),"1762403195406/1763245222033")</f>
        <v>1762403195406/1763245222033</v>
      </c>
      <c r="C9262" s="2" t="str">
        <v>0</v>
      </c>
      <c r="F9262" s="2" t="str">
        <v>0</v>
      </c>
      <c r="I9262" s="3" t="str">
        <f ca="1">IFERROR(__xludf.DUMMYFUNCTION("""COMPUTED_VALUE"""),"Nguyễn Thị Phương Thảo")</f>
        <v>Nguyễn Thị Phương Thảo</v>
      </c>
      <c r="J9262" s="3" t="str">
        <f ca="1">IFERROR(__xludf.DUMMYFUNCTION("""COMPUTED_VALUE"""),"0399970863")</f>
        <v>0399970863</v>
      </c>
      <c r="K9262" s="2" t="str">
        <f ca="1">IFERROR(__xludf.DUMMYFUNCTION("""COMPUTED_VALUE"""),"1762403195406/1763245222033")</f>
        <v>1762403195406/1763245222033</v>
      </c>
    </row>
    <row r="9263" spans="1:11" ht="12.45">
      <c r="A9263" s="2" t="str">
        <f ca="1">IFERROR(__xludf.DUMMYFUNCTION("""COMPUTED_VALUE"""),"1762403239837/1763245927502")</f>
        <v>1762403239837/1763245927502</v>
      </c>
      <c r="C9263" s="2" t="str">
        <v>0</v>
      </c>
      <c r="F9263" s="2" t="str">
        <v>0</v>
      </c>
      <c r="I9263" s="3" t="str">
        <f ca="1">IFERROR(__xludf.DUMMYFUNCTION("""COMPUTED_VALUE"""),"Nguyễn Quỳnh Trang ")</f>
        <v xml:space="preserve">Nguyễn Quỳnh Trang </v>
      </c>
      <c r="J9263" s="3" t="str">
        <f ca="1">IFERROR(__xludf.DUMMYFUNCTION("""COMPUTED_VALUE"""),"0975569848")</f>
        <v>0975569848</v>
      </c>
      <c r="K9263" s="2" t="str">
        <f ca="1">IFERROR(__xludf.DUMMYFUNCTION("""COMPUTED_VALUE"""),"1762403239837/1763245927502")</f>
        <v>1762403239837/1763245927502</v>
      </c>
    </row>
    <row r="9264" spans="1:11" ht="12.45">
      <c r="A9264" s="2" t="str">
        <f ca="1">IFERROR(__xludf.DUMMYFUNCTION("""COMPUTED_VALUE"""),"1762769462093/1763246240576")</f>
        <v>1762769462093/1763246240576</v>
      </c>
      <c r="C9264" s="2" t="str">
        <v>0</v>
      </c>
      <c r="F9264" s="2" t="str">
        <v>0</v>
      </c>
      <c r="I9264" s="3" t="str">
        <f ca="1">IFERROR(__xludf.DUMMYFUNCTION("""COMPUTED_VALUE"""),"Võ Minh Tiến ")</f>
        <v xml:space="preserve">Võ Minh Tiến </v>
      </c>
      <c r="J9264" s="3" t="str">
        <f ca="1">IFERROR(__xludf.DUMMYFUNCTION("""COMPUTED_VALUE"""),"0344410615")</f>
        <v>0344410615</v>
      </c>
      <c r="K9264" s="2" t="str">
        <f ca="1">IFERROR(__xludf.DUMMYFUNCTION("""COMPUTED_VALUE"""),"1762769462093/1763246240576")</f>
        <v>1762769462093/1763246240576</v>
      </c>
    </row>
    <row r="9265" spans="1:11" ht="12.45">
      <c r="A9265" s="2" t="str">
        <f ca="1">IFERROR(__xludf.DUMMYFUNCTION("""COMPUTED_VALUE"""),"1755482302531")</f>
        <v>1755482302531</v>
      </c>
      <c r="C9265" s="2" t="str">
        <v>0</v>
      </c>
      <c r="F9265" s="2" t="str">
        <v>0</v>
      </c>
      <c r="I9265" s="3" t="str">
        <f ca="1">IFERROR(__xludf.DUMMYFUNCTION("""COMPUTED_VALUE"""),"Nguyễn Thị Mai Hoa")</f>
        <v>Nguyễn Thị Mai Hoa</v>
      </c>
      <c r="J9265" s="3" t="str">
        <f ca="1">IFERROR(__xludf.DUMMYFUNCTION("""COMPUTED_VALUE"""),"0373162926")</f>
        <v>0373162926</v>
      </c>
      <c r="K9265" s="2" t="str">
        <f ca="1">IFERROR(__xludf.DUMMYFUNCTION("""COMPUTED_VALUE"""),"1755482302531")</f>
        <v>1755482302531</v>
      </c>
    </row>
    <row r="9266" spans="1:11" ht="12.45">
      <c r="A9266" s="2" t="str">
        <f ca="1">IFERROR(__xludf.DUMMYFUNCTION("""COMPUTED_VALUE"""),"1762403274357/1763245963241")</f>
        <v>1762403274357/1763245963241</v>
      </c>
      <c r="C9266" s="2" t="str">
        <v>0</v>
      </c>
      <c r="F9266" s="2" t="str">
        <v>0</v>
      </c>
      <c r="I9266" s="3" t="str">
        <f ca="1">IFERROR(__xludf.DUMMYFUNCTION("""COMPUTED_VALUE"""),"Nguyễn Thị Ngọc Ánh ")</f>
        <v xml:space="preserve">Nguyễn Thị Ngọc Ánh </v>
      </c>
      <c r="J9266" s="3" t="str">
        <f ca="1">IFERROR(__xludf.DUMMYFUNCTION("""COMPUTED_VALUE"""),"0965262806")</f>
        <v>0965262806</v>
      </c>
      <c r="K9266" s="2" t="str">
        <f ca="1">IFERROR(__xludf.DUMMYFUNCTION("""COMPUTED_VALUE"""),"1762403274357/1763245963241")</f>
        <v>1762403274357/1763245963241</v>
      </c>
    </row>
    <row r="9267" spans="1:11" ht="12.45">
      <c r="A9267" s="2" t="str">
        <f ca="1">IFERROR(__xludf.DUMMYFUNCTION("""COMPUTED_VALUE"""),"1755482336934")</f>
        <v>1755482336934</v>
      </c>
      <c r="C9267" s="2" t="str">
        <v>0</v>
      </c>
      <c r="F9267" s="2" t="str">
        <v>0</v>
      </c>
      <c r="I9267" s="3" t="str">
        <f ca="1">IFERROR(__xludf.DUMMYFUNCTION("""COMPUTED_VALUE"""),"ĐẶNG THỊ TÚ UYÊN")</f>
        <v>ĐẶNG THỊ TÚ UYÊN</v>
      </c>
      <c r="J9267" s="3" t="str">
        <f ca="1">IFERROR(__xludf.DUMMYFUNCTION("""COMPUTED_VALUE"""),"0349992257")</f>
        <v>0349992257</v>
      </c>
      <c r="K9267" s="2" t="str">
        <f ca="1">IFERROR(__xludf.DUMMYFUNCTION("""COMPUTED_VALUE"""),"1755482336934")</f>
        <v>1755482336934</v>
      </c>
    </row>
    <row r="9268" spans="1:11" ht="12.45">
      <c r="A9268" s="2" t="str">
        <f ca="1">IFERROR(__xludf.DUMMYFUNCTION("""COMPUTED_VALUE"""),"1762403318038/1763246010970")</f>
        <v>1762403318038/1763246010970</v>
      </c>
      <c r="C9268" s="2" t="str">
        <v>0</v>
      </c>
      <c r="F9268" s="2" t="str">
        <v>0</v>
      </c>
      <c r="I9268" s="3" t="str">
        <f ca="1">IFERROR(__xludf.DUMMYFUNCTION("""COMPUTED_VALUE"""),"Vũ Thị Thu Thủy")</f>
        <v>Vũ Thị Thu Thủy</v>
      </c>
      <c r="J9268" s="3" t="str">
        <f ca="1">IFERROR(__xludf.DUMMYFUNCTION("""COMPUTED_VALUE"""),"0372514458")</f>
        <v>0372514458</v>
      </c>
      <c r="K9268" s="2" t="str">
        <f ca="1">IFERROR(__xludf.DUMMYFUNCTION("""COMPUTED_VALUE"""),"1762403318038/1763246010970")</f>
        <v>1762403318038/1763246010970</v>
      </c>
    </row>
    <row r="9269" spans="1:11" ht="12.45">
      <c r="A9269" s="2" t="str">
        <f ca="1">IFERROR(__xludf.DUMMYFUNCTION("""COMPUTED_VALUE"""),"1762942492674/ 1763246820142")</f>
        <v>1762942492674/ 1763246820142</v>
      </c>
      <c r="C9269" s="2" t="str">
        <v>0</v>
      </c>
      <c r="F9269" s="2" t="str">
        <v>0</v>
      </c>
      <c r="I9269" s="3" t="str">
        <f ca="1">IFERROR(__xludf.DUMMYFUNCTION("""COMPUTED_VALUE"""),"Ngô Thị Thanh Thảo")</f>
        <v>Ngô Thị Thanh Thảo</v>
      </c>
      <c r="J9269" s="3" t="str">
        <f ca="1">IFERROR(__xludf.DUMMYFUNCTION("""COMPUTED_VALUE"""),"0947042878")</f>
        <v>0947042878</v>
      </c>
      <c r="K9269" s="2" t="str">
        <f ca="1">IFERROR(__xludf.DUMMYFUNCTION("""COMPUTED_VALUE"""),"1762942492674/ 1763246820142")</f>
        <v>1762942492674/ 1763246820142</v>
      </c>
    </row>
    <row r="9270" spans="1:11" ht="12.45">
      <c r="A9270" s="2" t="str">
        <f ca="1">IFERROR(__xludf.DUMMYFUNCTION("""COMPUTED_VALUE"""),"1762403353193/1763245277648")</f>
        <v>1762403353193/1763245277648</v>
      </c>
      <c r="C9270" s="2" t="str">
        <v>0</v>
      </c>
      <c r="F9270" s="2" t="str">
        <v>0</v>
      </c>
      <c r="I9270" s="3" t="str">
        <f ca="1">IFERROR(__xludf.DUMMYFUNCTION("""COMPUTED_VALUE"""),"Nguyễn Minh Thư ")</f>
        <v xml:space="preserve">Nguyễn Minh Thư </v>
      </c>
      <c r="J9270" s="3" t="str">
        <f ca="1">IFERROR(__xludf.DUMMYFUNCTION("""COMPUTED_VALUE"""),"0982103127")</f>
        <v>0982103127</v>
      </c>
      <c r="K9270" s="2" t="str">
        <f ca="1">IFERROR(__xludf.DUMMYFUNCTION("""COMPUTED_VALUE"""),"1762403353193/1763245277648")</f>
        <v>1762403353193/1763245277648</v>
      </c>
    </row>
    <row r="9271" spans="1:11" ht="12.45">
      <c r="A9271" s="2" t="str">
        <f ca="1">IFERROR(__xludf.DUMMYFUNCTION("""COMPUTED_VALUE"""),"1755482379362")</f>
        <v>1755482379362</v>
      </c>
      <c r="C9271" s="2" t="str">
        <v>0</v>
      </c>
      <c r="F9271" s="2" t="str">
        <v>0</v>
      </c>
      <c r="I9271" s="3" t="str">
        <f ca="1">IFERROR(__xludf.DUMMYFUNCTION("""COMPUTED_VALUE"""),"Lường Tuấn Anh")</f>
        <v>Lường Tuấn Anh</v>
      </c>
      <c r="J9271" s="3" t="str">
        <f ca="1">IFERROR(__xludf.DUMMYFUNCTION("""COMPUTED_VALUE"""),"0326765983")</f>
        <v>0326765983</v>
      </c>
      <c r="K9271" s="2" t="str">
        <f ca="1">IFERROR(__xludf.DUMMYFUNCTION("""COMPUTED_VALUE"""),"1755482379362")</f>
        <v>1755482379362</v>
      </c>
    </row>
    <row r="9272" spans="1:11" ht="12.45">
      <c r="A9272" s="2" t="str">
        <f ca="1">IFERROR(__xludf.DUMMYFUNCTION("""COMPUTED_VALUE"""),"1755482407809")</f>
        <v>1755482407809</v>
      </c>
      <c r="C9272" s="2" t="str">
        <v>0</v>
      </c>
      <c r="F9272" s="2" t="str">
        <v>0</v>
      </c>
      <c r="I9272" s="3" t="str">
        <f ca="1">IFERROR(__xludf.DUMMYFUNCTION("""COMPUTED_VALUE"""),"Vũ Ngọc Mai Linh")</f>
        <v>Vũ Ngọc Mai Linh</v>
      </c>
      <c r="J9272" s="3" t="str">
        <f ca="1">IFERROR(__xludf.DUMMYFUNCTION("""COMPUTED_VALUE"""),"0395036639")</f>
        <v>0395036639</v>
      </c>
      <c r="K9272" s="2" t="str">
        <f ca="1">IFERROR(__xludf.DUMMYFUNCTION("""COMPUTED_VALUE"""),"1755482407809")</f>
        <v>1755482407809</v>
      </c>
    </row>
    <row r="9273" spans="1:11" ht="12.45">
      <c r="A9273" s="2" t="str">
        <f ca="1">IFERROR(__xludf.DUMMYFUNCTION("""COMPUTED_VALUE"""),"1755482459605")</f>
        <v>1755482459605</v>
      </c>
      <c r="C9273" s="2" t="str">
        <v>0</v>
      </c>
      <c r="F9273" s="2" t="str">
        <v>0</v>
      </c>
      <c r="I9273" s="3" t="str">
        <f ca="1">IFERROR(__xludf.DUMMYFUNCTION("""COMPUTED_VALUE"""),"Nguyễn Hồng Sơn")</f>
        <v>Nguyễn Hồng Sơn</v>
      </c>
      <c r="J9273" s="3" t="str">
        <f ca="1">IFERROR(__xludf.DUMMYFUNCTION("""COMPUTED_VALUE"""),"0369604264")</f>
        <v>0369604264</v>
      </c>
      <c r="K9273" s="2" t="str">
        <f ca="1">IFERROR(__xludf.DUMMYFUNCTION("""COMPUTED_VALUE"""),"1755482459605")</f>
        <v>1755482459605</v>
      </c>
    </row>
    <row r="9274" spans="1:11" ht="12.45">
      <c r="A9274" s="2" t="str">
        <f ca="1">IFERROR(__xludf.DUMMYFUNCTION("""COMPUTED_VALUE"""),"1755482513024")</f>
        <v>1755482513024</v>
      </c>
      <c r="C9274" s="2" t="str">
        <v>0</v>
      </c>
      <c r="F9274" s="2" t="str">
        <v>0</v>
      </c>
      <c r="I9274" s="3" t="str">
        <f ca="1">IFERROR(__xludf.DUMMYFUNCTION("""COMPUTED_VALUE"""),"Võ Kiều Oanh ")</f>
        <v xml:space="preserve">Võ Kiều Oanh </v>
      </c>
      <c r="J9274" s="3" t="str">
        <f ca="1">IFERROR(__xludf.DUMMYFUNCTION("""COMPUTED_VALUE"""),"0876380885")</f>
        <v>0876380885</v>
      </c>
      <c r="K9274" s="2" t="str">
        <f ca="1">IFERROR(__xludf.DUMMYFUNCTION("""COMPUTED_VALUE"""),"1755482513024")</f>
        <v>1755482513024</v>
      </c>
    </row>
    <row r="9275" spans="1:11" ht="12.45">
      <c r="A9275" s="2" t="str">
        <f ca="1">IFERROR(__xludf.DUMMYFUNCTION("""COMPUTED_VALUE"""),"1755482545959")</f>
        <v>1755482545959</v>
      </c>
      <c r="C9275" s="2" t="str">
        <v>0</v>
      </c>
      <c r="F9275" s="2" t="str">
        <v>0</v>
      </c>
      <c r="I9275" s="3" t="str">
        <f ca="1">IFERROR(__xludf.DUMMYFUNCTION("""COMPUTED_VALUE"""),"Tạ Văn Nam")</f>
        <v>Tạ Văn Nam</v>
      </c>
      <c r="J9275" s="3" t="str">
        <f ca="1">IFERROR(__xludf.DUMMYFUNCTION("""COMPUTED_VALUE"""),"0333905845")</f>
        <v>0333905845</v>
      </c>
      <c r="K9275" s="2" t="str">
        <f ca="1">IFERROR(__xludf.DUMMYFUNCTION("""COMPUTED_VALUE"""),"1755482545959")</f>
        <v>1755482545959</v>
      </c>
    </row>
    <row r="9276" spans="1:11" ht="12.45">
      <c r="A9276" s="2" t="str">
        <f ca="1">IFERROR(__xludf.DUMMYFUNCTION("""COMPUTED_VALUE"""),"1755482573870")</f>
        <v>1755482573870</v>
      </c>
      <c r="C9276" s="2" t="str">
        <v>0</v>
      </c>
      <c r="F9276" s="2" t="str">
        <v>0</v>
      </c>
      <c r="I9276" s="3" t="str">
        <f ca="1">IFERROR(__xludf.DUMMYFUNCTION("""COMPUTED_VALUE"""),"Nguyễn Minh Ngọc")</f>
        <v>Nguyễn Minh Ngọc</v>
      </c>
      <c r="J9276" s="3" t="str">
        <f ca="1">IFERROR(__xludf.DUMMYFUNCTION("""COMPUTED_VALUE"""),"0365298602")</f>
        <v>0365298602</v>
      </c>
      <c r="K9276" s="2" t="str">
        <f ca="1">IFERROR(__xludf.DUMMYFUNCTION("""COMPUTED_VALUE"""),"1755482573870")</f>
        <v>1755482573870</v>
      </c>
    </row>
    <row r="9277" spans="1:11" ht="12.45">
      <c r="A9277" s="2" t="str">
        <f ca="1">IFERROR(__xludf.DUMMYFUNCTION("""COMPUTED_VALUE"""),"1755482614198")</f>
        <v>1755482614198</v>
      </c>
      <c r="C9277" s="2" t="str">
        <v>0</v>
      </c>
      <c r="F9277" s="2" t="str">
        <v>0</v>
      </c>
      <c r="I9277" s="3" t="str">
        <f ca="1">IFERROR(__xludf.DUMMYFUNCTION("""COMPUTED_VALUE"""),"Hoàng Thị Minh Khuyên ")</f>
        <v xml:space="preserve">Hoàng Thị Minh Khuyên </v>
      </c>
      <c r="J9277" s="3" t="str">
        <f ca="1">IFERROR(__xludf.DUMMYFUNCTION("""COMPUTED_VALUE"""),"0834059380")</f>
        <v>0834059380</v>
      </c>
      <c r="K9277" s="2" t="str">
        <f ca="1">IFERROR(__xludf.DUMMYFUNCTION("""COMPUTED_VALUE"""),"1755482614198")</f>
        <v>1755482614198</v>
      </c>
    </row>
    <row r="9278" spans="1:11" ht="12.45">
      <c r="A9278" s="2" t="str">
        <f ca="1">IFERROR(__xludf.DUMMYFUNCTION("""COMPUTED_VALUE"""),"1755482640439")</f>
        <v>1755482640439</v>
      </c>
      <c r="C9278" s="2" t="str">
        <v>0</v>
      </c>
      <c r="F9278" s="2" t="str">
        <v>0</v>
      </c>
      <c r="I9278" s="3" t="str">
        <f ca="1">IFERROR(__xludf.DUMMYFUNCTION("""COMPUTED_VALUE"""),"Hà Mạnh Long")</f>
        <v>Hà Mạnh Long</v>
      </c>
      <c r="J9278" s="3" t="str">
        <f ca="1">IFERROR(__xludf.DUMMYFUNCTION("""COMPUTED_VALUE"""),"0373891154")</f>
        <v>0373891154</v>
      </c>
      <c r="K9278" s="2" t="str">
        <f ca="1">IFERROR(__xludf.DUMMYFUNCTION("""COMPUTED_VALUE"""),"1755482640439")</f>
        <v>1755482640439</v>
      </c>
    </row>
    <row r="9279" spans="1:11" ht="12.45">
      <c r="A9279" s="2" t="str">
        <f ca="1">IFERROR(__xludf.DUMMYFUNCTION("""COMPUTED_VALUE"""),"1755482666826")</f>
        <v>1755482666826</v>
      </c>
      <c r="C9279" s="2" t="str">
        <v>0</v>
      </c>
      <c r="F9279" s="2" t="str">
        <v>0</v>
      </c>
      <c r="I9279" s="3" t="str">
        <f ca="1">IFERROR(__xludf.DUMMYFUNCTION("""COMPUTED_VALUE"""),"Nguyễn Thị Hương Thảo")</f>
        <v>Nguyễn Thị Hương Thảo</v>
      </c>
      <c r="J9279" s="3" t="str">
        <f ca="1">IFERROR(__xludf.DUMMYFUNCTION("""COMPUTED_VALUE"""),"0822624773")</f>
        <v>0822624773</v>
      </c>
      <c r="K9279" s="2" t="str">
        <f ca="1">IFERROR(__xludf.DUMMYFUNCTION("""COMPUTED_VALUE"""),"1755482666826")</f>
        <v>1755482666826</v>
      </c>
    </row>
    <row r="9280" spans="1:11" ht="12.45">
      <c r="A9280" s="2" t="str">
        <f ca="1">IFERROR(__xludf.DUMMYFUNCTION("""COMPUTED_VALUE"""),"1755482690382")</f>
        <v>1755482690382</v>
      </c>
      <c r="C9280" s="2" t="str">
        <v>0</v>
      </c>
      <c r="F9280" s="2" t="str">
        <v>0</v>
      </c>
      <c r="I9280" s="3" t="str">
        <f ca="1">IFERROR(__xludf.DUMMYFUNCTION("""COMPUTED_VALUE"""),"Phạm Văn Cường")</f>
        <v>Phạm Văn Cường</v>
      </c>
      <c r="J9280" s="3" t="str">
        <f ca="1">IFERROR(__xludf.DUMMYFUNCTION("""COMPUTED_VALUE"""),"0389872854")</f>
        <v>0389872854</v>
      </c>
      <c r="K9280" s="2" t="str">
        <f ca="1">IFERROR(__xludf.DUMMYFUNCTION("""COMPUTED_VALUE"""),"1755482690382")</f>
        <v>1755482690382</v>
      </c>
    </row>
    <row r="9281" spans="1:11" ht="12.45">
      <c r="A9281" s="2" t="str">
        <f ca="1">IFERROR(__xludf.DUMMYFUNCTION("""COMPUTED_VALUE"""),"1755482719177")</f>
        <v>1755482719177</v>
      </c>
      <c r="C9281" s="2" t="str">
        <v>0</v>
      </c>
      <c r="F9281" s="2" t="str">
        <v>0</v>
      </c>
      <c r="I9281" s="3" t="str">
        <f ca="1">IFERROR(__xludf.DUMMYFUNCTION("""COMPUTED_VALUE"""),"Trương Minh Nguyệt")</f>
        <v>Trương Minh Nguyệt</v>
      </c>
      <c r="J9281" s="3" t="str">
        <f ca="1">IFERROR(__xludf.DUMMYFUNCTION("""COMPUTED_VALUE"""),"0334486496")</f>
        <v>0334486496</v>
      </c>
      <c r="K9281" s="2" t="str">
        <f ca="1">IFERROR(__xludf.DUMMYFUNCTION("""COMPUTED_VALUE"""),"1755482719177")</f>
        <v>1755482719177</v>
      </c>
    </row>
    <row r="9282" spans="1:11" ht="12.45">
      <c r="A9282" s="2" t="str">
        <f ca="1">IFERROR(__xludf.DUMMYFUNCTION("""COMPUTED_VALUE"""),"1755482744933")</f>
        <v>1755482744933</v>
      </c>
      <c r="C9282" s="2" t="str">
        <v>0</v>
      </c>
      <c r="F9282" s="2" t="str">
        <v>0</v>
      </c>
      <c r="I9282" s="3" t="str">
        <f ca="1">IFERROR(__xludf.DUMMYFUNCTION("""COMPUTED_VALUE"""),"Nguyễn Hoàng Linh")</f>
        <v>Nguyễn Hoàng Linh</v>
      </c>
      <c r="J9282" s="3" t="str">
        <f ca="1">IFERROR(__xludf.DUMMYFUNCTION("""COMPUTED_VALUE"""),"0826407309")</f>
        <v>0826407309</v>
      </c>
      <c r="K9282" s="2" t="str">
        <f ca="1">IFERROR(__xludf.DUMMYFUNCTION("""COMPUTED_VALUE"""),"1755482744933")</f>
        <v>1755482744933</v>
      </c>
    </row>
    <row r="9283" spans="1:11" ht="12.45">
      <c r="A9283" s="2" t="str">
        <f ca="1">IFERROR(__xludf.DUMMYFUNCTION("""COMPUTED_VALUE"""),"1755482769510")</f>
        <v>1755482769510</v>
      </c>
      <c r="C9283" s="2" t="str">
        <v>0</v>
      </c>
      <c r="F9283" s="2" t="str">
        <v>0</v>
      </c>
      <c r="I9283" s="3" t="str">
        <f ca="1">IFERROR(__xludf.DUMMYFUNCTION("""COMPUTED_VALUE"""),"Bùi Thị Thuý Nga")</f>
        <v>Bùi Thị Thuý Nga</v>
      </c>
      <c r="J9283" s="3" t="str">
        <f ca="1">IFERROR(__xludf.DUMMYFUNCTION("""COMPUTED_VALUE"""),"0382836139")</f>
        <v>0382836139</v>
      </c>
      <c r="K9283" s="2" t="str">
        <f ca="1">IFERROR(__xludf.DUMMYFUNCTION("""COMPUTED_VALUE"""),"1755482769510")</f>
        <v>1755482769510</v>
      </c>
    </row>
    <row r="9284" spans="1:11" ht="12.45">
      <c r="A9284" s="2" t="str">
        <f ca="1">IFERROR(__xludf.DUMMYFUNCTION("""COMPUTED_VALUE"""),"1755482794249")</f>
        <v>1755482794249</v>
      </c>
      <c r="C9284" s="2" t="str">
        <v>0</v>
      </c>
      <c r="F9284" s="2" t="str">
        <v>0</v>
      </c>
      <c r="I9284" s="3" t="str">
        <f ca="1">IFERROR(__xludf.DUMMYFUNCTION("""COMPUTED_VALUE"""),"Trần Thị Thùy Linh")</f>
        <v>Trần Thị Thùy Linh</v>
      </c>
      <c r="J9284" s="3" t="str">
        <f ca="1">IFERROR(__xludf.DUMMYFUNCTION("""COMPUTED_VALUE"""),"0357246638")</f>
        <v>0357246638</v>
      </c>
      <c r="K9284" s="2" t="str">
        <f ca="1">IFERROR(__xludf.DUMMYFUNCTION("""COMPUTED_VALUE"""),"1755482794249")</f>
        <v>1755482794249</v>
      </c>
    </row>
    <row r="9285" spans="1:11" ht="12.45">
      <c r="A9285" s="2" t="str">
        <f ca="1">IFERROR(__xludf.DUMMYFUNCTION("""COMPUTED_VALUE"""),"1755482821147")</f>
        <v>1755482821147</v>
      </c>
      <c r="C9285" s="2" t="str">
        <v>0</v>
      </c>
      <c r="F9285" s="2" t="str">
        <v>0</v>
      </c>
      <c r="I9285" s="3" t="str">
        <f ca="1">IFERROR(__xludf.DUMMYFUNCTION("""COMPUTED_VALUE"""),"Võ Nguyễn Gia Linh ")</f>
        <v xml:space="preserve">Võ Nguyễn Gia Linh </v>
      </c>
      <c r="J9285" s="3" t="str">
        <f ca="1">IFERROR(__xludf.DUMMYFUNCTION("""COMPUTED_VALUE"""),"0966893257")</f>
        <v>0966893257</v>
      </c>
      <c r="K9285" s="2" t="str">
        <f ca="1">IFERROR(__xludf.DUMMYFUNCTION("""COMPUTED_VALUE"""),"1755482821147")</f>
        <v>1755482821147</v>
      </c>
    </row>
    <row r="9286" spans="1:11" ht="12.45">
      <c r="A9286" s="2" t="str">
        <f ca="1">IFERROR(__xludf.DUMMYFUNCTION("""COMPUTED_VALUE"""),"1755482845741")</f>
        <v>1755482845741</v>
      </c>
      <c r="C9286" s="2" t="str">
        <v>0</v>
      </c>
      <c r="F9286" s="2" t="str">
        <v>0</v>
      </c>
      <c r="I9286" s="3" t="str">
        <f ca="1">IFERROR(__xludf.DUMMYFUNCTION("""COMPUTED_VALUE"""),"Nguyễn Đức Lượng")</f>
        <v>Nguyễn Đức Lượng</v>
      </c>
      <c r="J9286" s="3" t="str">
        <f ca="1">IFERROR(__xludf.DUMMYFUNCTION("""COMPUTED_VALUE"""),"0869950393")</f>
        <v>0869950393</v>
      </c>
      <c r="K9286" s="2" t="str">
        <f ca="1">IFERROR(__xludf.DUMMYFUNCTION("""COMPUTED_VALUE"""),"1755482845741")</f>
        <v>1755482845741</v>
      </c>
    </row>
    <row r="9287" spans="1:11" ht="12.45">
      <c r="A9287" s="2" t="str">
        <f ca="1">IFERROR(__xludf.DUMMYFUNCTION("""COMPUTED_VALUE"""),"1755482873348")</f>
        <v>1755482873348</v>
      </c>
      <c r="C9287" s="2" t="str">
        <v>0</v>
      </c>
      <c r="F9287" s="2" t="str">
        <v>0</v>
      </c>
      <c r="I9287" s="3" t="str">
        <f ca="1">IFERROR(__xludf.DUMMYFUNCTION("""COMPUTED_VALUE"""),"Thạch Hồng Băng")</f>
        <v>Thạch Hồng Băng</v>
      </c>
      <c r="J9287" s="3" t="str">
        <f ca="1">IFERROR(__xludf.DUMMYFUNCTION("""COMPUTED_VALUE"""),"0369219784")</f>
        <v>0369219784</v>
      </c>
      <c r="K9287" s="2" t="str">
        <f ca="1">IFERROR(__xludf.DUMMYFUNCTION("""COMPUTED_VALUE"""),"1755482873348")</f>
        <v>1755482873348</v>
      </c>
    </row>
    <row r="9288" spans="1:11" ht="12.45">
      <c r="A9288" s="2" t="str">
        <f ca="1">IFERROR(__xludf.DUMMYFUNCTION("""COMPUTED_VALUE"""),"1755482900252")</f>
        <v>1755482900252</v>
      </c>
      <c r="C9288" s="2" t="str">
        <v>0</v>
      </c>
      <c r="F9288" s="2" t="str">
        <v>0</v>
      </c>
      <c r="I9288" s="3" t="str">
        <f ca="1">IFERROR(__xludf.DUMMYFUNCTION("""COMPUTED_VALUE"""),"Đoàn Trần Minh Trí")</f>
        <v>Đoàn Trần Minh Trí</v>
      </c>
      <c r="J9288" s="3" t="str">
        <f ca="1">IFERROR(__xludf.DUMMYFUNCTION("""COMPUTED_VALUE"""),"0386383037")</f>
        <v>0386383037</v>
      </c>
      <c r="K9288" s="2" t="str">
        <f ca="1">IFERROR(__xludf.DUMMYFUNCTION("""COMPUTED_VALUE"""),"1755482900252")</f>
        <v>1755482900252</v>
      </c>
    </row>
    <row r="9289" spans="1:11" ht="12.45">
      <c r="A9289" s="2" t="str">
        <f ca="1">IFERROR(__xludf.DUMMYFUNCTION("""COMPUTED_VALUE"""),"1755482924878")</f>
        <v>1755482924878</v>
      </c>
      <c r="C9289" s="2" t="str">
        <v>0</v>
      </c>
      <c r="F9289" s="2" t="str">
        <v>0</v>
      </c>
      <c r="I9289" s="3" t="str">
        <f ca="1">IFERROR(__xludf.DUMMYFUNCTION("""COMPUTED_VALUE"""),"Nguyễn Anh Thư")</f>
        <v>Nguyễn Anh Thư</v>
      </c>
      <c r="J9289" s="3" t="str">
        <f ca="1">IFERROR(__xludf.DUMMYFUNCTION("""COMPUTED_VALUE"""),"0904116960")</f>
        <v>0904116960</v>
      </c>
      <c r="K9289" s="2" t="str">
        <f ca="1">IFERROR(__xludf.DUMMYFUNCTION("""COMPUTED_VALUE"""),"1755482924878")</f>
        <v>1755482924878</v>
      </c>
    </row>
    <row r="9290" spans="1:11" ht="12.45">
      <c r="A9290" s="2" t="str">
        <f ca="1">IFERROR(__xludf.DUMMYFUNCTION("""COMPUTED_VALUE"""),"1755482952581")</f>
        <v>1755482952581</v>
      </c>
      <c r="C9290" s="2" t="str">
        <v>0</v>
      </c>
      <c r="F9290" s="2" t="str">
        <v>0</v>
      </c>
      <c r="I9290" s="3" t="str">
        <f ca="1">IFERROR(__xludf.DUMMYFUNCTION("""COMPUTED_VALUE"""),"Trần Thiện Khiêm")</f>
        <v>Trần Thiện Khiêm</v>
      </c>
      <c r="J9290" s="3" t="str">
        <f ca="1">IFERROR(__xludf.DUMMYFUNCTION("""COMPUTED_VALUE"""),"0376797561")</f>
        <v>0376797561</v>
      </c>
      <c r="K9290" s="2" t="str">
        <f ca="1">IFERROR(__xludf.DUMMYFUNCTION("""COMPUTED_VALUE"""),"1755482952581")</f>
        <v>1755482952581</v>
      </c>
    </row>
    <row r="9291" spans="1:11" ht="12.45">
      <c r="A9291" s="2"/>
      <c r="C9291" s="2" t="str">
        <v>0</v>
      </c>
      <c r="F9291" s="2" t="str">
        <v>0</v>
      </c>
      <c r="I9291" s="3" t="str">
        <f ca="1">IFERROR(__xludf.DUMMYFUNCTION("""COMPUTED_VALUE"""),"Nguyễn Thanh Tính ")</f>
        <v xml:space="preserve">Nguyễn Thanh Tính </v>
      </c>
      <c r="J9291" s="3" t="str">
        <f ca="1">IFERROR(__xludf.DUMMYFUNCTION("""COMPUTED_VALUE"""),"0339894484")</f>
        <v>0339894484</v>
      </c>
      <c r="K9291" s="2"/>
    </row>
    <row r="9292" spans="1:11" ht="12.45">
      <c r="A9292" s="2" t="str">
        <f ca="1">IFERROR(__xludf.DUMMYFUNCTION("""COMPUTED_VALUE"""),"1755482980241")</f>
        <v>1755482980241</v>
      </c>
      <c r="C9292" s="2" t="str">
        <v>0</v>
      </c>
      <c r="F9292" s="2" t="str">
        <v>0</v>
      </c>
      <c r="I9292" s="3" t="str">
        <f ca="1">IFERROR(__xludf.DUMMYFUNCTION("""COMPUTED_VALUE"""),"Vũ Thị Thanh Huyền")</f>
        <v>Vũ Thị Thanh Huyền</v>
      </c>
      <c r="J9292" s="3" t="str">
        <f ca="1">IFERROR(__xludf.DUMMYFUNCTION("""COMPUTED_VALUE"""),"0333592725")</f>
        <v>0333592725</v>
      </c>
      <c r="K9292" s="2" t="str">
        <f ca="1">IFERROR(__xludf.DUMMYFUNCTION("""COMPUTED_VALUE"""),"1755482980241")</f>
        <v>1755482980241</v>
      </c>
    </row>
    <row r="9293" spans="1:11" ht="12.45">
      <c r="A9293" s="2" t="str">
        <f ca="1">IFERROR(__xludf.DUMMYFUNCTION("""COMPUTED_VALUE"""),"1755483003921")</f>
        <v>1755483003921</v>
      </c>
      <c r="C9293" s="2" t="str">
        <v>0</v>
      </c>
      <c r="F9293" s="2" t="str">
        <v>0</v>
      </c>
      <c r="I9293" s="3" t="str">
        <f ca="1">IFERROR(__xludf.DUMMYFUNCTION("""COMPUTED_VALUE"""),"Vũ Ngọc Huyền")</f>
        <v>Vũ Ngọc Huyền</v>
      </c>
      <c r="J9293" s="3" t="str">
        <f ca="1">IFERROR(__xludf.DUMMYFUNCTION("""COMPUTED_VALUE"""),"0944258395")</f>
        <v>0944258395</v>
      </c>
      <c r="K9293" s="2" t="str">
        <f ca="1">IFERROR(__xludf.DUMMYFUNCTION("""COMPUTED_VALUE"""),"1755483003921")</f>
        <v>1755483003921</v>
      </c>
    </row>
    <row r="9294" spans="1:11" ht="12.45">
      <c r="A9294" s="2" t="str">
        <f ca="1">IFERROR(__xludf.DUMMYFUNCTION("""COMPUTED_VALUE"""),"1755483039142")</f>
        <v>1755483039142</v>
      </c>
      <c r="C9294" s="2" t="str">
        <v>0</v>
      </c>
      <c r="F9294" s="2" t="str">
        <v>0</v>
      </c>
      <c r="I9294" s="3" t="str">
        <f ca="1">IFERROR(__xludf.DUMMYFUNCTION("""COMPUTED_VALUE"""),"Nguyễn Phan Anh")</f>
        <v>Nguyễn Phan Anh</v>
      </c>
      <c r="J9294" s="3" t="str">
        <f ca="1">IFERROR(__xludf.DUMMYFUNCTION("""COMPUTED_VALUE"""),"0904621667")</f>
        <v>0904621667</v>
      </c>
      <c r="K9294" s="2" t="str">
        <f ca="1">IFERROR(__xludf.DUMMYFUNCTION("""COMPUTED_VALUE"""),"1755483039142")</f>
        <v>1755483039142</v>
      </c>
    </row>
    <row r="9295" spans="1:11" ht="12.45">
      <c r="A9295" s="2" t="str">
        <f ca="1">IFERROR(__xludf.DUMMYFUNCTION("""COMPUTED_VALUE"""),"1755483065691")</f>
        <v>1755483065691</v>
      </c>
      <c r="C9295" s="2" t="str">
        <v>0</v>
      </c>
      <c r="F9295" s="2" t="str">
        <v>0</v>
      </c>
      <c r="I9295" s="3" t="str">
        <f ca="1">IFERROR(__xludf.DUMMYFUNCTION("""COMPUTED_VALUE"""),"Hoàng Anh")</f>
        <v>Hoàng Anh</v>
      </c>
      <c r="J9295" s="3" t="str">
        <f ca="1">IFERROR(__xludf.DUMMYFUNCTION("""COMPUTED_VALUE"""),"0931381005")</f>
        <v>0931381005</v>
      </c>
      <c r="K9295" s="2" t="str">
        <f ca="1">IFERROR(__xludf.DUMMYFUNCTION("""COMPUTED_VALUE"""),"1755483065691")</f>
        <v>1755483065691</v>
      </c>
    </row>
    <row r="9296" spans="1:11" ht="12.45">
      <c r="A9296" s="2" t="str">
        <f ca="1">IFERROR(__xludf.DUMMYFUNCTION("""COMPUTED_VALUE"""),"1755483099198")</f>
        <v>1755483099198</v>
      </c>
      <c r="C9296" s="2" t="str">
        <v>0</v>
      </c>
      <c r="F9296" s="2" t="str">
        <v>0</v>
      </c>
      <c r="I9296" s="3" t="str">
        <f ca="1">IFERROR(__xludf.DUMMYFUNCTION("""COMPUTED_VALUE"""),"Sộng A Bó")</f>
        <v>Sộng A Bó</v>
      </c>
      <c r="J9296" s="3" t="str">
        <f ca="1">IFERROR(__xludf.DUMMYFUNCTION("""COMPUTED_VALUE"""),"0385716664")</f>
        <v>0385716664</v>
      </c>
      <c r="K9296" s="2" t="str">
        <f ca="1">IFERROR(__xludf.DUMMYFUNCTION("""COMPUTED_VALUE"""),"1755483099198")</f>
        <v>1755483099198</v>
      </c>
    </row>
    <row r="9297" spans="1:11" ht="12.45">
      <c r="A9297" s="2" t="str">
        <f ca="1">IFERROR(__xludf.DUMMYFUNCTION("""COMPUTED_VALUE"""),"1762769501331/1763246288027")</f>
        <v>1762769501331/1763246288027</v>
      </c>
      <c r="C9297" s="2" t="str">
        <v>0</v>
      </c>
      <c r="F9297" s="2" t="str">
        <v>0</v>
      </c>
      <c r="I9297" s="3" t="str">
        <f ca="1">IFERROR(__xludf.DUMMYFUNCTION("""COMPUTED_VALUE"""),"Trần Vân Anh")</f>
        <v>Trần Vân Anh</v>
      </c>
      <c r="J9297" s="3" t="str">
        <f ca="1">IFERROR(__xludf.DUMMYFUNCTION("""COMPUTED_VALUE"""),"0826291207")</f>
        <v>0826291207</v>
      </c>
      <c r="K9297" s="2" t="str">
        <f ca="1">IFERROR(__xludf.DUMMYFUNCTION("""COMPUTED_VALUE"""),"1762769501331/1763246288027")</f>
        <v>1762769501331/1763246288027</v>
      </c>
    </row>
    <row r="9298" spans="1:11" ht="12.45">
      <c r="A9298" s="2" t="str">
        <f ca="1">IFERROR(__xludf.DUMMYFUNCTION("""COMPUTED_VALUE"""),"1755483130236")</f>
        <v>1755483130236</v>
      </c>
      <c r="C9298" s="2" t="str">
        <v>0</v>
      </c>
      <c r="F9298" s="2" t="str">
        <v>0</v>
      </c>
      <c r="I9298" s="3" t="str">
        <f ca="1">IFERROR(__xludf.DUMMYFUNCTION("""COMPUTED_VALUE"""),"Ngọc Nhi ")</f>
        <v xml:space="preserve">Ngọc Nhi </v>
      </c>
      <c r="J9298" s="3" t="str">
        <f ca="1">IFERROR(__xludf.DUMMYFUNCTION("""COMPUTED_VALUE"""),"0787686726")</f>
        <v>0787686726</v>
      </c>
      <c r="K9298" s="2" t="str">
        <f ca="1">IFERROR(__xludf.DUMMYFUNCTION("""COMPUTED_VALUE"""),"1755483130236")</f>
        <v>1755483130236</v>
      </c>
    </row>
    <row r="9299" spans="1:11" ht="12.45">
      <c r="A9299" s="2" t="str">
        <f ca="1">IFERROR(__xludf.DUMMYFUNCTION("""COMPUTED_VALUE"""),"1755483164162")</f>
        <v>1755483164162</v>
      </c>
      <c r="C9299" s="2" t="str">
        <v>0</v>
      </c>
      <c r="F9299" s="2" t="str">
        <v>0</v>
      </c>
      <c r="I9299" s="3" t="str">
        <f ca="1">IFERROR(__xludf.DUMMYFUNCTION("""COMPUTED_VALUE"""),"Phạm Thị Thu Trang")</f>
        <v>Phạm Thị Thu Trang</v>
      </c>
      <c r="J9299" s="3" t="str">
        <f ca="1">IFERROR(__xludf.DUMMYFUNCTION("""COMPUTED_VALUE"""),"0842522007")</f>
        <v>0842522007</v>
      </c>
      <c r="K9299" s="2" t="str">
        <f ca="1">IFERROR(__xludf.DUMMYFUNCTION("""COMPUTED_VALUE"""),"1755483164162")</f>
        <v>1755483164162</v>
      </c>
    </row>
    <row r="9300" spans="1:11" ht="12.45">
      <c r="A9300" s="2"/>
      <c r="C9300" s="2" t="str">
        <v>0</v>
      </c>
      <c r="F9300" s="2" t="str">
        <v>0</v>
      </c>
      <c r="I9300" s="2"/>
      <c r="J9300" s="2"/>
      <c r="K9300" s="2"/>
    </row>
    <row r="9301" spans="1:11" ht="12.45">
      <c r="A9301" s="2" t="str">
        <f ca="1">IFERROR(__xludf.DUMMYFUNCTION("""COMPUTED_VALUE"""),"1755483193153")</f>
        <v>1755483193153</v>
      </c>
      <c r="C9301" s="2" t="str">
        <v>0</v>
      </c>
      <c r="F9301" s="2" t="str">
        <v>0</v>
      </c>
      <c r="I9301" s="3" t="str">
        <f ca="1">IFERROR(__xludf.DUMMYFUNCTION("""COMPUTED_VALUE"""),"Nguyễn Diệu Chi")</f>
        <v>Nguyễn Diệu Chi</v>
      </c>
      <c r="J9301" s="3" t="str">
        <f ca="1">IFERROR(__xludf.DUMMYFUNCTION("""COMPUTED_VALUE"""),"0886812050")</f>
        <v>0886812050</v>
      </c>
      <c r="K9301" s="2" t="str">
        <f ca="1">IFERROR(__xludf.DUMMYFUNCTION("""COMPUTED_VALUE"""),"1755483193153")</f>
        <v>1755483193153</v>
      </c>
    </row>
    <row r="9302" spans="1:11" ht="12.45">
      <c r="A9302" s="2" t="str">
        <f ca="1">IFERROR(__xludf.DUMMYFUNCTION("""COMPUTED_VALUE"""),"1755483219231")</f>
        <v>1755483219231</v>
      </c>
      <c r="C9302" s="2" t="str">
        <v>0</v>
      </c>
      <c r="F9302" s="2" t="str">
        <v>0</v>
      </c>
      <c r="I9302" s="3" t="str">
        <f ca="1">IFERROR(__xludf.DUMMYFUNCTION("""COMPUTED_VALUE"""),"Nguyễn Thị Huyền Vi")</f>
        <v>Nguyễn Thị Huyền Vi</v>
      </c>
      <c r="J9302" s="3" t="str">
        <f ca="1">IFERROR(__xludf.DUMMYFUNCTION("""COMPUTED_VALUE"""),"0923417218")</f>
        <v>0923417218</v>
      </c>
      <c r="K9302" s="2" t="str">
        <f ca="1">IFERROR(__xludf.DUMMYFUNCTION("""COMPUTED_VALUE"""),"1755483219231")</f>
        <v>1755483219231</v>
      </c>
    </row>
    <row r="9303" spans="1:11" ht="12.45">
      <c r="A9303" s="2" t="str">
        <f ca="1">IFERROR(__xludf.DUMMYFUNCTION("""COMPUTED_VALUE"""),"1755483247757")</f>
        <v>1755483247757</v>
      </c>
      <c r="C9303" s="2" t="str">
        <v>0</v>
      </c>
      <c r="F9303" s="2" t="str">
        <v>0</v>
      </c>
      <c r="I9303" s="3" t="str">
        <f ca="1">IFERROR(__xludf.DUMMYFUNCTION("""COMPUTED_VALUE"""),"Trần Mỹ Duyên ")</f>
        <v xml:space="preserve">Trần Mỹ Duyên </v>
      </c>
      <c r="J9303" s="3" t="str">
        <f ca="1">IFERROR(__xludf.DUMMYFUNCTION("""COMPUTED_VALUE"""),"0962186919")</f>
        <v>0962186919</v>
      </c>
      <c r="K9303" s="2" t="str">
        <f ca="1">IFERROR(__xludf.DUMMYFUNCTION("""COMPUTED_VALUE"""),"1755483247757")</f>
        <v>1755483247757</v>
      </c>
    </row>
    <row r="9304" spans="1:11" ht="12.45">
      <c r="A9304" s="2" t="str">
        <f ca="1">IFERROR(__xludf.DUMMYFUNCTION("""COMPUTED_VALUE"""),"1755483285031")</f>
        <v>1755483285031</v>
      </c>
      <c r="C9304" s="2" t="str">
        <v>0</v>
      </c>
      <c r="F9304" s="2" t="str">
        <v>0</v>
      </c>
      <c r="I9304" s="3" t="str">
        <f ca="1">IFERROR(__xludf.DUMMYFUNCTION("""COMPUTED_VALUE"""),"Đoàn Thị Anh Thư ")</f>
        <v xml:space="preserve">Đoàn Thị Anh Thư </v>
      </c>
      <c r="J9304" s="3" t="str">
        <f ca="1">IFERROR(__xludf.DUMMYFUNCTION("""COMPUTED_VALUE"""),"0336637953")</f>
        <v>0336637953</v>
      </c>
      <c r="K9304" s="2" t="str">
        <f ca="1">IFERROR(__xludf.DUMMYFUNCTION("""COMPUTED_VALUE"""),"1755483285031")</f>
        <v>1755483285031</v>
      </c>
    </row>
    <row r="9305" spans="1:11" ht="12.45">
      <c r="A9305" s="2" t="str">
        <f ca="1">IFERROR(__xludf.DUMMYFUNCTION("""COMPUTED_VALUE"""),"1755483320364")</f>
        <v>1755483320364</v>
      </c>
      <c r="C9305" s="2" t="str">
        <v>0</v>
      </c>
      <c r="F9305" s="2" t="str">
        <v>0</v>
      </c>
      <c r="I9305" s="3" t="str">
        <f ca="1">IFERROR(__xludf.DUMMYFUNCTION("""COMPUTED_VALUE"""),"Nguyễn Bùi Thanh Bình ")</f>
        <v xml:space="preserve">Nguyễn Bùi Thanh Bình </v>
      </c>
      <c r="J9305" s="3" t="str">
        <f ca="1">IFERROR(__xludf.DUMMYFUNCTION("""COMPUTED_VALUE"""),"0834834245")</f>
        <v>0834834245</v>
      </c>
      <c r="K9305" s="2" t="str">
        <f ca="1">IFERROR(__xludf.DUMMYFUNCTION("""COMPUTED_VALUE"""),"1755483320364")</f>
        <v>1755483320364</v>
      </c>
    </row>
    <row r="9306" spans="1:11" ht="12.45">
      <c r="A9306" s="2" t="str">
        <f ca="1">IFERROR(__xludf.DUMMYFUNCTION("""COMPUTED_VALUE"""),"1755483350452")</f>
        <v>1755483350452</v>
      </c>
      <c r="C9306" s="2" t="str">
        <v>0</v>
      </c>
      <c r="F9306" s="2" t="str">
        <v>0</v>
      </c>
      <c r="I9306" s="3" t="str">
        <f ca="1">IFERROR(__xludf.DUMMYFUNCTION("""COMPUTED_VALUE"""),"Lê Trần Ái Vi")</f>
        <v>Lê Trần Ái Vi</v>
      </c>
      <c r="J9306" s="3" t="str">
        <f ca="1">IFERROR(__xludf.DUMMYFUNCTION("""COMPUTED_VALUE"""),"0329089209")</f>
        <v>0329089209</v>
      </c>
      <c r="K9306" s="2" t="str">
        <f ca="1">IFERROR(__xludf.DUMMYFUNCTION("""COMPUTED_VALUE"""),"1755483350452")</f>
        <v>1755483350452</v>
      </c>
    </row>
    <row r="9307" spans="1:11" ht="12.45">
      <c r="A9307" s="2" t="str">
        <f ca="1">IFERROR(__xludf.DUMMYFUNCTION("""COMPUTED_VALUE"""),"1755483375997")</f>
        <v>1755483375997</v>
      </c>
      <c r="C9307" s="2" t="str">
        <v>0</v>
      </c>
      <c r="F9307" s="2" t="str">
        <v>0</v>
      </c>
      <c r="I9307" s="3" t="str">
        <f ca="1">IFERROR(__xludf.DUMMYFUNCTION("""COMPUTED_VALUE"""),"Nguyễn Yến Nhi")</f>
        <v>Nguyễn Yến Nhi</v>
      </c>
      <c r="J9307" s="3" t="str">
        <f ca="1">IFERROR(__xludf.DUMMYFUNCTION("""COMPUTED_VALUE"""),"0398164295")</f>
        <v>0398164295</v>
      </c>
      <c r="K9307" s="2" t="str">
        <f ca="1">IFERROR(__xludf.DUMMYFUNCTION("""COMPUTED_VALUE"""),"1755483375997")</f>
        <v>1755483375997</v>
      </c>
    </row>
    <row r="9308" spans="1:11" ht="12.45">
      <c r="A9308" s="2" t="str">
        <f ca="1">IFERROR(__xludf.DUMMYFUNCTION("""COMPUTED_VALUE"""),"1755483405933")</f>
        <v>1755483405933</v>
      </c>
      <c r="C9308" s="2" t="str">
        <v>0</v>
      </c>
      <c r="F9308" s="2" t="str">
        <v>0</v>
      </c>
      <c r="I9308" s="3" t="str">
        <f ca="1">IFERROR(__xludf.DUMMYFUNCTION("""COMPUTED_VALUE"""),"Nguyễn Thị Hải Yến")</f>
        <v>Nguyễn Thị Hải Yến</v>
      </c>
      <c r="J9308" s="3" t="str">
        <f ca="1">IFERROR(__xludf.DUMMYFUNCTION("""COMPUTED_VALUE"""),"0363409048")</f>
        <v>0363409048</v>
      </c>
      <c r="K9308" s="2" t="str">
        <f ca="1">IFERROR(__xludf.DUMMYFUNCTION("""COMPUTED_VALUE"""),"1755483405933")</f>
        <v>1755483405933</v>
      </c>
    </row>
    <row r="9309" spans="1:11" ht="12.45">
      <c r="A9309" s="2" t="str">
        <f ca="1">IFERROR(__xludf.DUMMYFUNCTION("""COMPUTED_VALUE"""),"1755483432578")</f>
        <v>1755483432578</v>
      </c>
      <c r="C9309" s="2" t="str">
        <v>0</v>
      </c>
      <c r="F9309" s="2" t="str">
        <v>0</v>
      </c>
      <c r="I9309" s="3" t="str">
        <f ca="1">IFERROR(__xludf.DUMMYFUNCTION("""COMPUTED_VALUE"""),"Lê Nguyễn Thuỳ Linh")</f>
        <v>Lê Nguyễn Thuỳ Linh</v>
      </c>
      <c r="J9309" s="3" t="str">
        <f ca="1">IFERROR(__xludf.DUMMYFUNCTION("""COMPUTED_VALUE"""),"0865844752")</f>
        <v>0865844752</v>
      </c>
      <c r="K9309" s="2" t="str">
        <f ca="1">IFERROR(__xludf.DUMMYFUNCTION("""COMPUTED_VALUE"""),"1755483432578")</f>
        <v>1755483432578</v>
      </c>
    </row>
    <row r="9310" spans="1:11" ht="12.45">
      <c r="A9310" s="2" t="str">
        <f ca="1">IFERROR(__xludf.DUMMYFUNCTION("""COMPUTED_VALUE"""),"1755483459881")</f>
        <v>1755483459881</v>
      </c>
      <c r="C9310" s="2" t="str">
        <v>0</v>
      </c>
      <c r="F9310" s="2" t="str">
        <v>0</v>
      </c>
      <c r="I9310" s="3" t="str">
        <f ca="1">IFERROR(__xludf.DUMMYFUNCTION("""COMPUTED_VALUE"""),"Huỳnh Trần Nhật Thư")</f>
        <v>Huỳnh Trần Nhật Thư</v>
      </c>
      <c r="J9310" s="3" t="str">
        <f ca="1">IFERROR(__xludf.DUMMYFUNCTION("""COMPUTED_VALUE"""),"0481608577")</f>
        <v>0481608577</v>
      </c>
      <c r="K9310" s="2" t="str">
        <f ca="1">IFERROR(__xludf.DUMMYFUNCTION("""COMPUTED_VALUE"""),"1755483459881")</f>
        <v>1755483459881</v>
      </c>
    </row>
    <row r="9311" spans="1:11" ht="12.45">
      <c r="A9311" s="2" t="str">
        <f ca="1">IFERROR(__xludf.DUMMYFUNCTION("""COMPUTED_VALUE"""),"1755483482291")</f>
        <v>1755483482291</v>
      </c>
      <c r="C9311" s="2" t="str">
        <v>0</v>
      </c>
      <c r="F9311" s="2" t="str">
        <v>0</v>
      </c>
      <c r="I9311" s="3" t="str">
        <f ca="1">IFERROR(__xludf.DUMMYFUNCTION("""COMPUTED_VALUE"""),"Vũ văn trường")</f>
        <v>Vũ văn trường</v>
      </c>
      <c r="J9311" s="3" t="str">
        <f ca="1">IFERROR(__xludf.DUMMYFUNCTION("""COMPUTED_VALUE"""),"8437837382")</f>
        <v>8437837382</v>
      </c>
      <c r="K9311" s="2" t="str">
        <f ca="1">IFERROR(__xludf.DUMMYFUNCTION("""COMPUTED_VALUE"""),"1755483482291")</f>
        <v>1755483482291</v>
      </c>
    </row>
    <row r="9312" spans="1:11" ht="12.45">
      <c r="A9312" s="2" t="str">
        <f ca="1">IFERROR(__xludf.DUMMYFUNCTION("""COMPUTED_VALUE"""),"1755483520739")</f>
        <v>1755483520739</v>
      </c>
      <c r="C9312" s="2" t="str">
        <v>0</v>
      </c>
      <c r="F9312" s="2" t="str">
        <v>0</v>
      </c>
      <c r="I9312" s="3" t="str">
        <f ca="1">IFERROR(__xludf.DUMMYFUNCTION("""COMPUTED_VALUE"""),"Hoàng Mạnh Dũng ")</f>
        <v xml:space="preserve">Hoàng Mạnh Dũng </v>
      </c>
      <c r="J9312" s="3" t="str">
        <f ca="1">IFERROR(__xludf.DUMMYFUNCTION("""COMPUTED_VALUE"""),"0363786664")</f>
        <v>0363786664</v>
      </c>
      <c r="K9312" s="2" t="str">
        <f ca="1">IFERROR(__xludf.DUMMYFUNCTION("""COMPUTED_VALUE"""),"1755483520739")</f>
        <v>1755483520739</v>
      </c>
    </row>
    <row r="9313" spans="1:11" ht="12.45">
      <c r="A9313" s="2" t="str">
        <f ca="1">IFERROR(__xludf.DUMMYFUNCTION("""COMPUTED_VALUE"""),"1755483548155")</f>
        <v>1755483548155</v>
      </c>
      <c r="C9313" s="2" t="str">
        <v>0</v>
      </c>
      <c r="F9313" s="2" t="str">
        <v>0</v>
      </c>
      <c r="I9313" s="3" t="str">
        <f ca="1">IFERROR(__xludf.DUMMYFUNCTION("""COMPUTED_VALUE"""),"Nguyễn Thị Huyền Giang ")</f>
        <v xml:space="preserve">Nguyễn Thị Huyền Giang </v>
      </c>
      <c r="J9313" s="3" t="str">
        <f ca="1">IFERROR(__xludf.DUMMYFUNCTION("""COMPUTED_VALUE"""),"0987061530")</f>
        <v>0987061530</v>
      </c>
      <c r="K9313" s="2" t="str">
        <f ca="1">IFERROR(__xludf.DUMMYFUNCTION("""COMPUTED_VALUE"""),"1755483548155")</f>
        <v>1755483548155</v>
      </c>
    </row>
    <row r="9314" spans="1:11" ht="12.45">
      <c r="A9314" s="2" t="str">
        <f ca="1">IFERROR(__xludf.DUMMYFUNCTION("""COMPUTED_VALUE"""),"1755483578597")</f>
        <v>1755483578597</v>
      </c>
      <c r="C9314" s="2" t="str">
        <v>0</v>
      </c>
      <c r="F9314" s="2" t="str">
        <v>0</v>
      </c>
      <c r="I9314" s="3" t="str">
        <f ca="1">IFERROR(__xludf.DUMMYFUNCTION("""COMPUTED_VALUE"""),"Hoàng Ngọc Bảo Trâm ")</f>
        <v xml:space="preserve">Hoàng Ngọc Bảo Trâm </v>
      </c>
      <c r="J9314" s="3" t="str">
        <f ca="1">IFERROR(__xludf.DUMMYFUNCTION("""COMPUTED_VALUE"""),"0358826881")</f>
        <v>0358826881</v>
      </c>
      <c r="K9314" s="2" t="str">
        <f ca="1">IFERROR(__xludf.DUMMYFUNCTION("""COMPUTED_VALUE"""),"1755483578597")</f>
        <v>1755483578597</v>
      </c>
    </row>
    <row r="9315" spans="1:11" ht="12.45">
      <c r="A9315" s="2" t="str">
        <f ca="1">IFERROR(__xludf.DUMMYFUNCTION("""COMPUTED_VALUE"""),"1755483613295")</f>
        <v>1755483613295</v>
      </c>
      <c r="C9315" s="2" t="str">
        <v>0</v>
      </c>
      <c r="F9315" s="2" t="str">
        <v>0</v>
      </c>
      <c r="I9315" s="3" t="str">
        <f ca="1">IFERROR(__xludf.DUMMYFUNCTION("""COMPUTED_VALUE"""),"Cao Châu Tuấn")</f>
        <v>Cao Châu Tuấn</v>
      </c>
      <c r="J9315" s="3" t="str">
        <f ca="1">IFERROR(__xludf.DUMMYFUNCTION("""COMPUTED_VALUE"""),"0837909333")</f>
        <v>0837909333</v>
      </c>
      <c r="K9315" s="2" t="str">
        <f ca="1">IFERROR(__xludf.DUMMYFUNCTION("""COMPUTED_VALUE"""),"1755483613295")</f>
        <v>1755483613295</v>
      </c>
    </row>
    <row r="9316" spans="1:11" ht="12.45">
      <c r="A9316" s="2" t="str">
        <f ca="1">IFERROR(__xludf.DUMMYFUNCTION("""COMPUTED_VALUE"""),"1765062274925")</f>
        <v>1765062274925</v>
      </c>
      <c r="C9316" s="2" t="str">
        <v>0</v>
      </c>
      <c r="F9316" s="2" t="str">
        <v>0</v>
      </c>
      <c r="I9316" s="3" t="str">
        <f ca="1">IFERROR(__xludf.DUMMYFUNCTION("""COMPUTED_VALUE"""),"Trần Nguyễn Vân Linh ")</f>
        <v xml:space="preserve">Trần Nguyễn Vân Linh </v>
      </c>
      <c r="J9316" s="3" t="str">
        <f ca="1">IFERROR(__xludf.DUMMYFUNCTION("""COMPUTED_VALUE"""),"0962812196")</f>
        <v>0962812196</v>
      </c>
      <c r="K9316" s="2" t="str">
        <f ca="1">IFERROR(__xludf.DUMMYFUNCTION("""COMPUTED_VALUE"""),"1765062274925")</f>
        <v>1765062274925</v>
      </c>
    </row>
    <row r="9317" spans="1:11" ht="12.45">
      <c r="A9317" s="2" t="str">
        <f ca="1">IFERROR(__xludf.DUMMYFUNCTION("""COMPUTED_VALUE"""),"1755483648695")</f>
        <v>1755483648695</v>
      </c>
      <c r="C9317" s="2" t="str">
        <v>0</v>
      </c>
      <c r="F9317" s="2" t="str">
        <v>0</v>
      </c>
      <c r="I9317" s="3" t="str">
        <f ca="1">IFERROR(__xludf.DUMMYFUNCTION("""COMPUTED_VALUE"""),"nguyễn văn hưng")</f>
        <v>nguyễn văn hưng</v>
      </c>
      <c r="J9317" s="3" t="str">
        <f ca="1">IFERROR(__xludf.DUMMYFUNCTION("""COMPUTED_VALUE"""),"0336582151")</f>
        <v>0336582151</v>
      </c>
      <c r="K9317" s="2" t="str">
        <f ca="1">IFERROR(__xludf.DUMMYFUNCTION("""COMPUTED_VALUE"""),"1755483648695")</f>
        <v>1755483648695</v>
      </c>
    </row>
    <row r="9318" spans="1:11" ht="12.45">
      <c r="A9318" s="2" t="str">
        <f ca="1">IFERROR(__xludf.DUMMYFUNCTION("""COMPUTED_VALUE"""),"1755483680755")</f>
        <v>1755483680755</v>
      </c>
      <c r="C9318" s="2" t="str">
        <v>0</v>
      </c>
      <c r="F9318" s="2" t="str">
        <v>0</v>
      </c>
      <c r="I9318" s="3" t="str">
        <f ca="1">IFERROR(__xludf.DUMMYFUNCTION("""COMPUTED_VALUE"""),"Nguyễn Đông Dương ")</f>
        <v xml:space="preserve">Nguyễn Đông Dương </v>
      </c>
      <c r="J9318" s="3" t="str">
        <f ca="1">IFERROR(__xludf.DUMMYFUNCTION("""COMPUTED_VALUE"""),"0768577458")</f>
        <v>0768577458</v>
      </c>
      <c r="K9318" s="2" t="str">
        <f ca="1">IFERROR(__xludf.DUMMYFUNCTION("""COMPUTED_VALUE"""),"1755483680755")</f>
        <v>1755483680755</v>
      </c>
    </row>
    <row r="9319" spans="1:11" ht="12.45">
      <c r="A9319" s="2" t="str">
        <f ca="1">IFERROR(__xludf.DUMMYFUNCTION("""COMPUTED_VALUE"""),"1755483704857")</f>
        <v>1755483704857</v>
      </c>
      <c r="C9319" s="2" t="str">
        <v>0</v>
      </c>
      <c r="F9319" s="2" t="str">
        <v>0</v>
      </c>
      <c r="I9319" s="3" t="str">
        <f ca="1">IFERROR(__xludf.DUMMYFUNCTION("""COMPUTED_VALUE"""),"Ngô Nhật Minh")</f>
        <v>Ngô Nhật Minh</v>
      </c>
      <c r="J9319" s="3" t="str">
        <f ca="1">IFERROR(__xludf.DUMMYFUNCTION("""COMPUTED_VALUE"""),"0862128358")</f>
        <v>0862128358</v>
      </c>
      <c r="K9319" s="2" t="str">
        <f ca="1">IFERROR(__xludf.DUMMYFUNCTION("""COMPUTED_VALUE"""),"1755483704857")</f>
        <v>1755483704857</v>
      </c>
    </row>
    <row r="9320" spans="1:11" ht="12.45">
      <c r="A9320" s="2" t="str">
        <f ca="1">IFERROR(__xludf.DUMMYFUNCTION("""COMPUTED_VALUE"""),"1755483740903")</f>
        <v>1755483740903</v>
      </c>
      <c r="C9320" s="2" t="str">
        <v>0</v>
      </c>
      <c r="F9320" s="2" t="str">
        <v>0</v>
      </c>
      <c r="I9320" s="3" t="str">
        <f ca="1">IFERROR(__xludf.DUMMYFUNCTION("""COMPUTED_VALUE"""),"Đặng Quang Sang")</f>
        <v>Đặng Quang Sang</v>
      </c>
      <c r="J9320" s="3" t="str">
        <f ca="1">IFERROR(__xludf.DUMMYFUNCTION("""COMPUTED_VALUE"""),"0898824418")</f>
        <v>0898824418</v>
      </c>
      <c r="K9320" s="2" t="str">
        <f ca="1">IFERROR(__xludf.DUMMYFUNCTION("""COMPUTED_VALUE"""),"1755483740903")</f>
        <v>1755483740903</v>
      </c>
    </row>
    <row r="9321" spans="1:11" ht="12.45">
      <c r="A9321" s="2" t="str">
        <f ca="1">IFERROR(__xludf.DUMMYFUNCTION("""COMPUTED_VALUE"""),"1755483774830")</f>
        <v>1755483774830</v>
      </c>
      <c r="C9321" s="2" t="str">
        <v>0</v>
      </c>
      <c r="F9321" s="2" t="str">
        <v>0</v>
      </c>
      <c r="I9321" s="3" t="str">
        <f ca="1">IFERROR(__xludf.DUMMYFUNCTION("""COMPUTED_VALUE"""),"Nguyễn Văn Long")</f>
        <v>Nguyễn Văn Long</v>
      </c>
      <c r="J9321" s="3" t="str">
        <f ca="1">IFERROR(__xludf.DUMMYFUNCTION("""COMPUTED_VALUE"""),"0353058450")</f>
        <v>0353058450</v>
      </c>
      <c r="K9321" s="2" t="str">
        <f ca="1">IFERROR(__xludf.DUMMYFUNCTION("""COMPUTED_VALUE"""),"1755483774830")</f>
        <v>1755483774830</v>
      </c>
    </row>
    <row r="9322" spans="1:11" ht="12.45">
      <c r="A9322" s="2" t="str">
        <f ca="1">IFERROR(__xludf.DUMMYFUNCTION("""COMPUTED_VALUE"""),"1755483808529")</f>
        <v>1755483808529</v>
      </c>
      <c r="C9322" s="2" t="str">
        <v>0</v>
      </c>
      <c r="F9322" s="2" t="str">
        <v>0</v>
      </c>
      <c r="I9322" s="3" t="str">
        <f ca="1">IFERROR(__xludf.DUMMYFUNCTION("""COMPUTED_VALUE"""),"Nguyễn Trúc Uyên ")</f>
        <v xml:space="preserve">Nguyễn Trúc Uyên </v>
      </c>
      <c r="J9322" s="3" t="str">
        <f ca="1">IFERROR(__xludf.DUMMYFUNCTION("""COMPUTED_VALUE"""),"0869582406")</f>
        <v>0869582406</v>
      </c>
      <c r="K9322" s="2" t="str">
        <f ca="1">IFERROR(__xludf.DUMMYFUNCTION("""COMPUTED_VALUE"""),"1755483808529")</f>
        <v>1755483808529</v>
      </c>
    </row>
    <row r="9323" spans="1:11" ht="12.45">
      <c r="A9323" s="2" t="str">
        <f ca="1">IFERROR(__xludf.DUMMYFUNCTION("""COMPUTED_VALUE"""),"1755483850324")</f>
        <v>1755483850324</v>
      </c>
      <c r="C9323" s="2" t="str">
        <v>0</v>
      </c>
      <c r="F9323" s="2" t="str">
        <v>0</v>
      </c>
      <c r="I9323" s="3" t="str">
        <f ca="1">IFERROR(__xludf.DUMMYFUNCTION("""COMPUTED_VALUE"""),"Đường An Trung")</f>
        <v>Đường An Trung</v>
      </c>
      <c r="J9323" s="3" t="str">
        <f ca="1">IFERROR(__xludf.DUMMYFUNCTION("""COMPUTED_VALUE"""),"0948627258")</f>
        <v>0948627258</v>
      </c>
      <c r="K9323" s="2" t="str">
        <f ca="1">IFERROR(__xludf.DUMMYFUNCTION("""COMPUTED_VALUE"""),"1755483850324")</f>
        <v>1755483850324</v>
      </c>
    </row>
    <row r="9324" spans="1:11" ht="12.45">
      <c r="A9324" s="2" t="str">
        <f ca="1">IFERROR(__xludf.DUMMYFUNCTION("""COMPUTED_VALUE"""),"1755483880531")</f>
        <v>1755483880531</v>
      </c>
      <c r="C9324" s="2" t="str">
        <v>0</v>
      </c>
      <c r="F9324" s="2" t="str">
        <v>0</v>
      </c>
      <c r="I9324" s="3" t="str">
        <f ca="1">IFERROR(__xludf.DUMMYFUNCTION("""COMPUTED_VALUE"""),"Lai Mỹ Nga ")</f>
        <v xml:space="preserve">Lai Mỹ Nga </v>
      </c>
      <c r="J9324" s="3" t="str">
        <f ca="1">IFERROR(__xludf.DUMMYFUNCTION("""COMPUTED_VALUE"""),"0846989800")</f>
        <v>0846989800</v>
      </c>
      <c r="K9324" s="2" t="str">
        <f ca="1">IFERROR(__xludf.DUMMYFUNCTION("""COMPUTED_VALUE"""),"1755483880531")</f>
        <v>1755483880531</v>
      </c>
    </row>
    <row r="9325" spans="1:11" ht="12.45">
      <c r="A9325" s="2" t="str">
        <f ca="1">IFERROR(__xludf.DUMMYFUNCTION("""COMPUTED_VALUE"""),"1755483907572")</f>
        <v>1755483907572</v>
      </c>
      <c r="C9325" s="2" t="str">
        <v>0</v>
      </c>
      <c r="F9325" s="2" t="str">
        <v>0</v>
      </c>
      <c r="I9325" s="3" t="str">
        <f ca="1">IFERROR(__xludf.DUMMYFUNCTION("""COMPUTED_VALUE"""),"Trương Thành Nhân ")</f>
        <v xml:space="preserve">Trương Thành Nhân </v>
      </c>
      <c r="J9325" s="3" t="str">
        <f ca="1">IFERROR(__xludf.DUMMYFUNCTION("""COMPUTED_VALUE"""),"0342003655")</f>
        <v>0342003655</v>
      </c>
      <c r="K9325" s="2" t="str">
        <f ca="1">IFERROR(__xludf.DUMMYFUNCTION("""COMPUTED_VALUE"""),"1755483907572")</f>
        <v>1755483907572</v>
      </c>
    </row>
    <row r="9326" spans="1:11" ht="12.45">
      <c r="A9326" s="2" t="str">
        <f ca="1">IFERROR(__xludf.DUMMYFUNCTION("""COMPUTED_VALUE"""),"1755483936090")</f>
        <v>1755483936090</v>
      </c>
      <c r="C9326" s="2" t="str">
        <v>0</v>
      </c>
      <c r="F9326" s="2" t="str">
        <v>0</v>
      </c>
      <c r="I9326" s="3" t="str">
        <f ca="1">IFERROR(__xludf.DUMMYFUNCTION("""COMPUTED_VALUE"""),"Nguyễn Xuân Thanh")</f>
        <v>Nguyễn Xuân Thanh</v>
      </c>
      <c r="J9326" s="3" t="str">
        <f ca="1">IFERROR(__xludf.DUMMYFUNCTION("""COMPUTED_VALUE"""),"0383364724")</f>
        <v>0383364724</v>
      </c>
      <c r="K9326" s="2" t="str">
        <f ca="1">IFERROR(__xludf.DUMMYFUNCTION("""COMPUTED_VALUE"""),"1755483936090")</f>
        <v>1755483936090</v>
      </c>
    </row>
    <row r="9327" spans="1:11" ht="12.45">
      <c r="A9327" s="2" t="str">
        <f ca="1">IFERROR(__xludf.DUMMYFUNCTION("""COMPUTED_VALUE"""),"1755483963220")</f>
        <v>1755483963220</v>
      </c>
      <c r="C9327" s="2" t="str">
        <v>0</v>
      </c>
      <c r="F9327" s="2" t="str">
        <v>0</v>
      </c>
      <c r="I9327" s="3" t="str">
        <f ca="1">IFERROR(__xludf.DUMMYFUNCTION("""COMPUTED_VALUE"""),"Nguyễn Trọng Nhân")</f>
        <v>Nguyễn Trọng Nhân</v>
      </c>
      <c r="J9327" s="3" t="str">
        <f ca="1">IFERROR(__xludf.DUMMYFUNCTION("""COMPUTED_VALUE"""),"0358562189")</f>
        <v>0358562189</v>
      </c>
      <c r="K9327" s="2" t="str">
        <f ca="1">IFERROR(__xludf.DUMMYFUNCTION("""COMPUTED_VALUE"""),"1755483963220")</f>
        <v>1755483963220</v>
      </c>
    </row>
    <row r="9328" spans="1:11" ht="12.45">
      <c r="A9328" s="2" t="str">
        <f ca="1">IFERROR(__xludf.DUMMYFUNCTION("""COMPUTED_VALUE"""),"1755483988443")</f>
        <v>1755483988443</v>
      </c>
      <c r="C9328" s="2" t="str">
        <v>0</v>
      </c>
      <c r="F9328" s="2" t="str">
        <v>0</v>
      </c>
      <c r="I9328" s="3" t="str">
        <f ca="1">IFERROR(__xludf.DUMMYFUNCTION("""COMPUTED_VALUE"""),"Lường Duy Quảng")</f>
        <v>Lường Duy Quảng</v>
      </c>
      <c r="J9328" s="3" t="str">
        <f ca="1">IFERROR(__xludf.DUMMYFUNCTION("""COMPUTED_VALUE"""),"0333988935")</f>
        <v>0333988935</v>
      </c>
      <c r="K9328" s="2" t="str">
        <f ca="1">IFERROR(__xludf.DUMMYFUNCTION("""COMPUTED_VALUE"""),"1755483988443")</f>
        <v>1755483988443</v>
      </c>
    </row>
    <row r="9329" spans="1:11" ht="12.45">
      <c r="A9329" s="2" t="str">
        <f ca="1">IFERROR(__xludf.DUMMYFUNCTION("""COMPUTED_VALUE"""),"1755484015751")</f>
        <v>1755484015751</v>
      </c>
      <c r="C9329" s="2" t="str">
        <v>0</v>
      </c>
      <c r="F9329" s="2" t="str">
        <v>0</v>
      </c>
      <c r="I9329" s="3" t="str">
        <f ca="1">IFERROR(__xludf.DUMMYFUNCTION("""COMPUTED_VALUE"""),"Thái Diệu Linh ")</f>
        <v xml:space="preserve">Thái Diệu Linh </v>
      </c>
      <c r="J9329" s="3" t="str">
        <f ca="1">IFERROR(__xludf.DUMMYFUNCTION("""COMPUTED_VALUE"""),"0842639877")</f>
        <v>0842639877</v>
      </c>
      <c r="K9329" s="2" t="str">
        <f ca="1">IFERROR(__xludf.DUMMYFUNCTION("""COMPUTED_VALUE"""),"1755484015751")</f>
        <v>1755484015751</v>
      </c>
    </row>
    <row r="9330" spans="1:11" ht="12.45">
      <c r="A9330" s="2"/>
      <c r="C9330" s="2" t="str">
        <v>0</v>
      </c>
      <c r="F9330" s="2" t="str">
        <v>0</v>
      </c>
      <c r="I9330" s="3" t="str">
        <f ca="1">IFERROR(__xludf.DUMMYFUNCTION("""COMPUTED_VALUE"""),"Bùi Thị Hà Vy")</f>
        <v>Bùi Thị Hà Vy</v>
      </c>
      <c r="J9330" s="3" t="str">
        <f ca="1">IFERROR(__xludf.DUMMYFUNCTION("""COMPUTED_VALUE"""),"0354360530")</f>
        <v>0354360530</v>
      </c>
      <c r="K9330" s="2"/>
    </row>
    <row r="9331" spans="1:11" ht="12.45">
      <c r="A9331" s="2" t="str">
        <f ca="1">IFERROR(__xludf.DUMMYFUNCTION("""COMPUTED_VALUE"""),"1755484041462")</f>
        <v>1755484041462</v>
      </c>
      <c r="C9331" s="2" t="str">
        <v>0</v>
      </c>
      <c r="F9331" s="2" t="str">
        <v>0</v>
      </c>
      <c r="I9331" s="3" t="str">
        <f ca="1">IFERROR(__xludf.DUMMYFUNCTION("""COMPUTED_VALUE"""),"Nguyễn Phương Huyền ")</f>
        <v xml:space="preserve">Nguyễn Phương Huyền </v>
      </c>
      <c r="J9331" s="3" t="str">
        <f ca="1">IFERROR(__xludf.DUMMYFUNCTION("""COMPUTED_VALUE"""),"0389136099")</f>
        <v>0389136099</v>
      </c>
      <c r="K9331" s="2" t="str">
        <f ca="1">IFERROR(__xludf.DUMMYFUNCTION("""COMPUTED_VALUE"""),"1755484041462")</f>
        <v>1755484041462</v>
      </c>
    </row>
    <row r="9332" spans="1:11" ht="12.45">
      <c r="A9332" s="2" t="str">
        <f ca="1">IFERROR(__xludf.DUMMYFUNCTION("""COMPUTED_VALUE"""),"1755902125753")</f>
        <v>1755902125753</v>
      </c>
      <c r="C9332" s="2" t="str">
        <v>0</v>
      </c>
      <c r="F9332" s="2" t="str">
        <v>0</v>
      </c>
      <c r="I9332" s="3" t="str">
        <f ca="1">IFERROR(__xludf.DUMMYFUNCTION("""COMPUTED_VALUE"""),"Phạm thúc chung")</f>
        <v>Phạm thúc chung</v>
      </c>
      <c r="J9332" s="3" t="str">
        <f ca="1">IFERROR(__xludf.DUMMYFUNCTION("""COMPUTED_VALUE"""),"0345900751")</f>
        <v>0345900751</v>
      </c>
      <c r="K9332" s="2" t="str">
        <f ca="1">IFERROR(__xludf.DUMMYFUNCTION("""COMPUTED_VALUE"""),"1755902125753")</f>
        <v>1755902125753</v>
      </c>
    </row>
    <row r="9333" spans="1:11" ht="12.45">
      <c r="A9333" s="2" t="str">
        <f ca="1">IFERROR(__xludf.DUMMYFUNCTION("""COMPUTED_VALUE"""),"1755902161750")</f>
        <v>1755902161750</v>
      </c>
      <c r="C9333" s="2" t="str">
        <v>0</v>
      </c>
      <c r="F9333" s="2" t="str">
        <v>0</v>
      </c>
      <c r="I9333" s="3" t="str">
        <f ca="1">IFERROR(__xludf.DUMMYFUNCTION("""COMPUTED_VALUE"""),"Nguyễn Thị Thuỳ Ngọc")</f>
        <v>Nguyễn Thị Thuỳ Ngọc</v>
      </c>
      <c r="J9333" s="3" t="str">
        <f ca="1">IFERROR(__xludf.DUMMYFUNCTION("""COMPUTED_VALUE"""),"0565850480")</f>
        <v>0565850480</v>
      </c>
      <c r="K9333" s="2" t="str">
        <f ca="1">IFERROR(__xludf.DUMMYFUNCTION("""COMPUTED_VALUE"""),"1755902161750")</f>
        <v>1755902161750</v>
      </c>
    </row>
    <row r="9334" spans="1:11" ht="12.45">
      <c r="A9334" s="2" t="str">
        <f ca="1">IFERROR(__xludf.DUMMYFUNCTION("""COMPUTED_VALUE"""),"1755902193642")</f>
        <v>1755902193642</v>
      </c>
      <c r="C9334" s="2" t="str">
        <v>0</v>
      </c>
      <c r="F9334" s="2" t="str">
        <v>0</v>
      </c>
      <c r="I9334" s="3" t="str">
        <f ca="1">IFERROR(__xludf.DUMMYFUNCTION("""COMPUTED_VALUE"""),"Trần Thị Hải Yến")</f>
        <v>Trần Thị Hải Yến</v>
      </c>
      <c r="J9334" s="3" t="str">
        <f ca="1">IFERROR(__xludf.DUMMYFUNCTION("""COMPUTED_VALUE"""),"0357395317")</f>
        <v>0357395317</v>
      </c>
      <c r="K9334" s="2" t="str">
        <f ca="1">IFERROR(__xludf.DUMMYFUNCTION("""COMPUTED_VALUE"""),"1755902193642")</f>
        <v>1755902193642</v>
      </c>
    </row>
    <row r="9335" spans="1:11" ht="12.45">
      <c r="A9335" s="2" t="str">
        <f ca="1">IFERROR(__xludf.DUMMYFUNCTION("""COMPUTED_VALUE"""),"1765062308776")</f>
        <v>1765062308776</v>
      </c>
      <c r="C9335" s="2" t="str">
        <v>0</v>
      </c>
      <c r="F9335" s="2" t="str">
        <v>0</v>
      </c>
      <c r="I9335" s="3" t="str">
        <f ca="1">IFERROR(__xludf.DUMMYFUNCTION("""COMPUTED_VALUE"""),"Phan Thị Thu Trang")</f>
        <v>Phan Thị Thu Trang</v>
      </c>
      <c r="J9335" s="3" t="str">
        <f ca="1">IFERROR(__xludf.DUMMYFUNCTION("""COMPUTED_VALUE"""),"0327818561")</f>
        <v>0327818561</v>
      </c>
      <c r="K9335" s="2" t="str">
        <f ca="1">IFERROR(__xludf.DUMMYFUNCTION("""COMPUTED_VALUE"""),"1765062308776")</f>
        <v>1765062308776</v>
      </c>
    </row>
    <row r="9336" spans="1:11" ht="12.45">
      <c r="A9336" s="2" t="str">
        <f ca="1">IFERROR(__xludf.DUMMYFUNCTION("""COMPUTED_VALUE"""),"1765062339853")</f>
        <v>1765062339853</v>
      </c>
      <c r="C9336" s="2" t="str">
        <v>0</v>
      </c>
      <c r="F9336" s="2" t="str">
        <v>0</v>
      </c>
      <c r="I9336" s="3" t="str">
        <f ca="1">IFERROR(__xludf.DUMMYFUNCTION("""COMPUTED_VALUE"""),"Nguyễn Bảo Ngọc")</f>
        <v>Nguyễn Bảo Ngọc</v>
      </c>
      <c r="J9336" s="3" t="str">
        <f ca="1">IFERROR(__xludf.DUMMYFUNCTION("""COMPUTED_VALUE"""),"0862267177")</f>
        <v>0862267177</v>
      </c>
      <c r="K9336" s="2" t="str">
        <f ca="1">IFERROR(__xludf.DUMMYFUNCTION("""COMPUTED_VALUE"""),"1765062339853")</f>
        <v>1765062339853</v>
      </c>
    </row>
    <row r="9337" spans="1:11" ht="12.45">
      <c r="A9337" s="2" t="str">
        <f ca="1">IFERROR(__xludf.DUMMYFUNCTION("""COMPUTED_VALUE"""),"1765062373436")</f>
        <v>1765062373436</v>
      </c>
      <c r="C9337" s="2" t="str">
        <v>0</v>
      </c>
      <c r="F9337" s="2" t="str">
        <v>0</v>
      </c>
      <c r="I9337" s="3" t="str">
        <f ca="1">IFERROR(__xludf.DUMMYFUNCTION("""COMPUTED_VALUE"""),"Nguyễn Đặng Thùy Trang ")</f>
        <v xml:space="preserve">Nguyễn Đặng Thùy Trang </v>
      </c>
      <c r="J9337" s="3" t="str">
        <f ca="1">IFERROR(__xludf.DUMMYFUNCTION("""COMPUTED_VALUE"""),"0935952878")</f>
        <v>0935952878</v>
      </c>
      <c r="K9337" s="2" t="str">
        <f ca="1">IFERROR(__xludf.DUMMYFUNCTION("""COMPUTED_VALUE"""),"1765062373436")</f>
        <v>1765062373436</v>
      </c>
    </row>
    <row r="9338" spans="1:11" ht="12.45">
      <c r="A9338" s="2" t="str">
        <f ca="1">IFERROR(__xludf.DUMMYFUNCTION("""COMPUTED_VALUE"""),"1765062404287")</f>
        <v>1765062404287</v>
      </c>
      <c r="C9338" s="2" t="str">
        <v>0</v>
      </c>
      <c r="F9338" s="2" t="str">
        <v>0</v>
      </c>
      <c r="I9338" s="3" t="str">
        <f ca="1">IFERROR(__xludf.DUMMYFUNCTION("""COMPUTED_VALUE"""),"Phùng Thị Hiền Anh")</f>
        <v>Phùng Thị Hiền Anh</v>
      </c>
      <c r="J9338" s="3" t="str">
        <f ca="1">IFERROR(__xludf.DUMMYFUNCTION("""COMPUTED_VALUE"""),"0346121359")</f>
        <v>0346121359</v>
      </c>
      <c r="K9338" s="2" t="str">
        <f ca="1">IFERROR(__xludf.DUMMYFUNCTION("""COMPUTED_VALUE"""),"1765062404287")</f>
        <v>1765062404287</v>
      </c>
    </row>
    <row r="9339" spans="1:11" ht="12.45">
      <c r="A9339" s="2" t="str">
        <f ca="1">IFERROR(__xludf.DUMMYFUNCTION("""COMPUTED_VALUE"""),"1765235678350")</f>
        <v>1765235678350</v>
      </c>
      <c r="C9339" s="2" t="str">
        <v>0</v>
      </c>
      <c r="F9339" s="2" t="str">
        <v>0</v>
      </c>
      <c r="I9339" s="3" t="str">
        <f ca="1">IFERROR(__xludf.DUMMYFUNCTION("""COMPUTED_VALUE"""),"HOÀNG HẢI HÀ")</f>
        <v>HOÀNG HẢI HÀ</v>
      </c>
      <c r="J9339" s="3" t="str">
        <f ca="1">IFERROR(__xludf.DUMMYFUNCTION("""COMPUTED_VALUE"""),"0379285240")</f>
        <v>0379285240</v>
      </c>
      <c r="K9339" s="2" t="str">
        <f ca="1">IFERROR(__xludf.DUMMYFUNCTION("""COMPUTED_VALUE"""),"1765235678350")</f>
        <v>1765235678350</v>
      </c>
    </row>
    <row r="9340" spans="1:11" ht="12.45">
      <c r="A9340" s="2" t="str">
        <f ca="1">IFERROR(__xludf.DUMMYFUNCTION("""COMPUTED_VALUE"""),"1765062438931")</f>
        <v>1765062438931</v>
      </c>
      <c r="C9340" s="2" t="str">
        <v>0</v>
      </c>
      <c r="F9340" s="2" t="str">
        <v>0</v>
      </c>
      <c r="I9340" s="3" t="str">
        <f ca="1">IFERROR(__xludf.DUMMYFUNCTION("""COMPUTED_VALUE"""),"Phạm Bảo Ngọc")</f>
        <v>Phạm Bảo Ngọc</v>
      </c>
      <c r="J9340" s="3" t="str">
        <f ca="1">IFERROR(__xludf.DUMMYFUNCTION("""COMPUTED_VALUE"""),"0972181543")</f>
        <v>0972181543</v>
      </c>
      <c r="K9340" s="2" t="str">
        <f ca="1">IFERROR(__xludf.DUMMYFUNCTION("""COMPUTED_VALUE"""),"1765062438931")</f>
        <v>1765062438931</v>
      </c>
    </row>
    <row r="9341" spans="1:11" ht="12.45">
      <c r="A9341" s="2" t="str">
        <f ca="1">IFERROR(__xludf.DUMMYFUNCTION("""COMPUTED_VALUE"""),"1765062469865")</f>
        <v>1765062469865</v>
      </c>
      <c r="C9341" s="2" t="str">
        <v>0</v>
      </c>
      <c r="F9341" s="2" t="str">
        <v>0</v>
      </c>
      <c r="I9341" s="3" t="str">
        <f ca="1">IFERROR(__xludf.DUMMYFUNCTION("""COMPUTED_VALUE"""),"Mai Huỳnh Nhân")</f>
        <v>Mai Huỳnh Nhân</v>
      </c>
      <c r="J9341" s="3" t="str">
        <f ca="1">IFERROR(__xludf.DUMMYFUNCTION("""COMPUTED_VALUE"""),"0938014491")</f>
        <v>0938014491</v>
      </c>
      <c r="K9341" s="2" t="str">
        <f ca="1">IFERROR(__xludf.DUMMYFUNCTION("""COMPUTED_VALUE"""),"1765062469865")</f>
        <v>1765062469865</v>
      </c>
    </row>
    <row r="9342" spans="1:11" ht="12.45">
      <c r="A9342" s="2" t="str">
        <f ca="1">IFERROR(__xludf.DUMMYFUNCTION("""COMPUTED_VALUE"""),"1765062507943")</f>
        <v>1765062507943</v>
      </c>
      <c r="C9342" s="2" t="str">
        <v>0</v>
      </c>
      <c r="F9342" s="2" t="str">
        <v>0</v>
      </c>
      <c r="I9342" s="3" t="str">
        <f ca="1">IFERROR(__xludf.DUMMYFUNCTION("""COMPUTED_VALUE"""),"Diệp Thị Hậu")</f>
        <v>Diệp Thị Hậu</v>
      </c>
      <c r="J9342" s="3" t="str">
        <f ca="1">IFERROR(__xludf.DUMMYFUNCTION("""COMPUTED_VALUE"""),"0977172616")</f>
        <v>0977172616</v>
      </c>
      <c r="K9342" s="2" t="str">
        <f ca="1">IFERROR(__xludf.DUMMYFUNCTION("""COMPUTED_VALUE"""),"1765062507943")</f>
        <v>1765062507943</v>
      </c>
    </row>
    <row r="9343" spans="1:11" ht="12.45">
      <c r="A9343" s="2" t="str">
        <f ca="1">IFERROR(__xludf.DUMMYFUNCTION("""COMPUTED_VALUE"""),"1765062534392")</f>
        <v>1765062534392</v>
      </c>
      <c r="C9343" s="2" t="str">
        <v>0</v>
      </c>
      <c r="F9343" s="2" t="str">
        <v>0</v>
      </c>
      <c r="I9343" s="3" t="str">
        <f ca="1">IFERROR(__xludf.DUMMYFUNCTION("""COMPUTED_VALUE"""),"Đoàn Thị Thúy")</f>
        <v>Đoàn Thị Thúy</v>
      </c>
      <c r="J9343" s="3" t="str">
        <f ca="1">IFERROR(__xludf.DUMMYFUNCTION("""COMPUTED_VALUE"""),"0356151953")</f>
        <v>0356151953</v>
      </c>
      <c r="K9343" s="2" t="str">
        <f ca="1">IFERROR(__xludf.DUMMYFUNCTION("""COMPUTED_VALUE"""),"1765062534392")</f>
        <v>1765062534392</v>
      </c>
    </row>
    <row r="9344" spans="1:11" ht="12.45">
      <c r="A9344" s="2" t="str">
        <f ca="1">IFERROR(__xludf.DUMMYFUNCTION("""COMPUTED_VALUE"""),"1765062571647")</f>
        <v>1765062571647</v>
      </c>
      <c r="C9344" s="2" t="str">
        <v>0</v>
      </c>
      <c r="F9344" s="2" t="str">
        <v>0</v>
      </c>
      <c r="I9344" s="3" t="str">
        <f ca="1">IFERROR(__xludf.DUMMYFUNCTION("""COMPUTED_VALUE"""),"Nông Thị Phương Ly")</f>
        <v>Nông Thị Phương Ly</v>
      </c>
      <c r="J9344" s="3" t="str">
        <f ca="1">IFERROR(__xludf.DUMMYFUNCTION("""COMPUTED_VALUE"""),"0384391106")</f>
        <v>0384391106</v>
      </c>
      <c r="K9344" s="2" t="str">
        <f ca="1">IFERROR(__xludf.DUMMYFUNCTION("""COMPUTED_VALUE"""),"1765062571647")</f>
        <v>1765062571647</v>
      </c>
    </row>
    <row r="9345" spans="1:11" ht="12.45">
      <c r="A9345" s="2" t="str">
        <f ca="1">IFERROR(__xludf.DUMMYFUNCTION("""COMPUTED_VALUE"""),"1765062609514")</f>
        <v>1765062609514</v>
      </c>
      <c r="C9345" s="2" t="str">
        <v>0</v>
      </c>
      <c r="F9345" s="2" t="str">
        <v>0</v>
      </c>
      <c r="I9345" s="3" t="str">
        <f ca="1">IFERROR(__xludf.DUMMYFUNCTION("""COMPUTED_VALUE"""),"Nguyễn Ngọc Nhung")</f>
        <v>Nguyễn Ngọc Nhung</v>
      </c>
      <c r="J9345" s="3" t="str">
        <f ca="1">IFERROR(__xludf.DUMMYFUNCTION("""COMPUTED_VALUE"""),"0916580710")</f>
        <v>0916580710</v>
      </c>
      <c r="K9345" s="2" t="str">
        <f ca="1">IFERROR(__xludf.DUMMYFUNCTION("""COMPUTED_VALUE"""),"1765062609514")</f>
        <v>1765062609514</v>
      </c>
    </row>
    <row r="9346" spans="1:11" ht="12.45">
      <c r="A9346" s="2" t="str">
        <f ca="1">IFERROR(__xludf.DUMMYFUNCTION("""COMPUTED_VALUE"""),"1765062646344")</f>
        <v>1765062646344</v>
      </c>
      <c r="C9346" s="2" t="str">
        <v>0</v>
      </c>
      <c r="F9346" s="2" t="str">
        <v>0</v>
      </c>
      <c r="I9346" s="3" t="str">
        <f ca="1">IFERROR(__xludf.DUMMYFUNCTION("""COMPUTED_VALUE"""),"Phùng Quang Huy")</f>
        <v>Phùng Quang Huy</v>
      </c>
      <c r="J9346" s="3" t="str">
        <f ca="1">IFERROR(__xludf.DUMMYFUNCTION("""COMPUTED_VALUE"""),"0335523230")</f>
        <v>0335523230</v>
      </c>
      <c r="K9346" s="2" t="str">
        <f ca="1">IFERROR(__xludf.DUMMYFUNCTION("""COMPUTED_VALUE"""),"1765062646344")</f>
        <v>1765062646344</v>
      </c>
    </row>
    <row r="9347" spans="1:11" ht="12.45">
      <c r="A9347" s="2" t="str">
        <f ca="1">IFERROR(__xludf.DUMMYFUNCTION("""COMPUTED_VALUE"""),"1765062680928")</f>
        <v>1765062680928</v>
      </c>
      <c r="C9347" s="2" t="str">
        <v>0</v>
      </c>
      <c r="F9347" s="2" t="str">
        <v>0</v>
      </c>
      <c r="I9347" s="3" t="str">
        <f ca="1">IFERROR(__xludf.DUMMYFUNCTION("""COMPUTED_VALUE"""),"Nguyễn Thị Ngọc Yến")</f>
        <v>Nguyễn Thị Ngọc Yến</v>
      </c>
      <c r="J9347" s="3" t="str">
        <f ca="1">IFERROR(__xludf.DUMMYFUNCTION("""COMPUTED_VALUE"""),"0869722688")</f>
        <v>0869722688</v>
      </c>
      <c r="K9347" s="2" t="str">
        <f ca="1">IFERROR(__xludf.DUMMYFUNCTION("""COMPUTED_VALUE"""),"1765062680928")</f>
        <v>1765062680928</v>
      </c>
    </row>
    <row r="9348" spans="1:11" ht="12.45">
      <c r="A9348" s="2" t="str">
        <f ca="1">IFERROR(__xludf.DUMMYFUNCTION("""COMPUTED_VALUE"""),"1765062712221")</f>
        <v>1765062712221</v>
      </c>
      <c r="C9348" s="2" t="str">
        <v>0</v>
      </c>
      <c r="F9348" s="2" t="str">
        <v>0</v>
      </c>
      <c r="I9348" s="3" t="str">
        <f ca="1">IFERROR(__xludf.DUMMYFUNCTION("""COMPUTED_VALUE"""),"Đường An Hiếu")</f>
        <v>Đường An Hiếu</v>
      </c>
      <c r="J9348" s="3" t="str">
        <f ca="1">IFERROR(__xludf.DUMMYFUNCTION("""COMPUTED_VALUE"""),"0987413792")</f>
        <v>0987413792</v>
      </c>
      <c r="K9348" s="2" t="str">
        <f ca="1">IFERROR(__xludf.DUMMYFUNCTION("""COMPUTED_VALUE"""),"1765062712221")</f>
        <v>1765062712221</v>
      </c>
    </row>
    <row r="9349" spans="1:11" ht="12.45">
      <c r="A9349" s="2" t="str">
        <f ca="1">IFERROR(__xludf.DUMMYFUNCTION("""COMPUTED_VALUE"""),"1765062749266")</f>
        <v>1765062749266</v>
      </c>
      <c r="C9349" s="2" t="str">
        <v>0</v>
      </c>
      <c r="F9349" s="2" t="str">
        <v>0</v>
      </c>
      <c r="I9349" s="3" t="str">
        <f ca="1">IFERROR(__xludf.DUMMYFUNCTION("""COMPUTED_VALUE"""),"Ngô Ngọc Anh Thư")</f>
        <v>Ngô Ngọc Anh Thư</v>
      </c>
      <c r="J9349" s="3" t="str">
        <f ca="1">IFERROR(__xludf.DUMMYFUNCTION("""COMPUTED_VALUE"""),"0906415255")</f>
        <v>0906415255</v>
      </c>
      <c r="K9349" s="2" t="str">
        <f ca="1">IFERROR(__xludf.DUMMYFUNCTION("""COMPUTED_VALUE"""),"1765062749266")</f>
        <v>1765062749266</v>
      </c>
    </row>
    <row r="9350" spans="1:11" ht="12.45">
      <c r="A9350" s="2" t="str">
        <f ca="1">IFERROR(__xludf.DUMMYFUNCTION("""COMPUTED_VALUE"""),"1765062784021")</f>
        <v>1765062784021</v>
      </c>
      <c r="C9350" s="2" t="str">
        <v>0</v>
      </c>
      <c r="F9350" s="2" t="str">
        <v>0</v>
      </c>
      <c r="I9350" s="3" t="str">
        <f ca="1">IFERROR(__xludf.DUMMYFUNCTION("""COMPUTED_VALUE"""),"Trần Thị Anh Thư ")</f>
        <v xml:space="preserve">Trần Thị Anh Thư </v>
      </c>
      <c r="J9350" s="3" t="str">
        <f ca="1">IFERROR(__xludf.DUMMYFUNCTION("""COMPUTED_VALUE"""),"0366885729")</f>
        <v>0366885729</v>
      </c>
      <c r="K9350" s="2" t="str">
        <f ca="1">IFERROR(__xludf.DUMMYFUNCTION("""COMPUTED_VALUE"""),"1765062784021")</f>
        <v>1765062784021</v>
      </c>
    </row>
    <row r="9351" spans="1:11" ht="12.45">
      <c r="A9351" s="2" t="str">
        <f ca="1">IFERROR(__xludf.DUMMYFUNCTION("""COMPUTED_VALUE"""),"1765062830819")</f>
        <v>1765062830819</v>
      </c>
      <c r="C9351" s="2" t="str">
        <v>0</v>
      </c>
      <c r="F9351" s="2" t="str">
        <v>0</v>
      </c>
      <c r="I9351" s="3" t="str">
        <f ca="1">IFERROR(__xludf.DUMMYFUNCTION("""COMPUTED_VALUE"""),"Bạch  Ngọc Phương Thi")</f>
        <v>Bạch  Ngọc Phương Thi</v>
      </c>
      <c r="J9351" s="3" t="str">
        <f ca="1">IFERROR(__xludf.DUMMYFUNCTION("""COMPUTED_VALUE"""),"0889692868")</f>
        <v>0889692868</v>
      </c>
      <c r="K9351" s="2" t="str">
        <f ca="1">IFERROR(__xludf.DUMMYFUNCTION("""COMPUTED_VALUE"""),"1765062830819")</f>
        <v>1765062830819</v>
      </c>
    </row>
    <row r="9352" spans="1:11" ht="12.45">
      <c r="A9352" s="2" t="str">
        <f ca="1">IFERROR(__xludf.DUMMYFUNCTION("""COMPUTED_VALUE"""),"1765062860212")</f>
        <v>1765062860212</v>
      </c>
      <c r="C9352" s="2" t="str">
        <v>0</v>
      </c>
      <c r="F9352" s="2" t="str">
        <v>0</v>
      </c>
      <c r="I9352" s="3" t="str">
        <f ca="1">IFERROR(__xludf.DUMMYFUNCTION("""COMPUTED_VALUE"""),"Lê Hà Vy")</f>
        <v>Lê Hà Vy</v>
      </c>
      <c r="J9352" s="3" t="str">
        <f ca="1">IFERROR(__xludf.DUMMYFUNCTION("""COMPUTED_VALUE"""),"0906062007")</f>
        <v>0906062007</v>
      </c>
      <c r="K9352" s="2" t="str">
        <f ca="1">IFERROR(__xludf.DUMMYFUNCTION("""COMPUTED_VALUE"""),"1765062860212")</f>
        <v>1765062860212</v>
      </c>
    </row>
    <row r="9353" spans="1:11" ht="12.45">
      <c r="A9353" s="2" t="str">
        <f ca="1">IFERROR(__xludf.DUMMYFUNCTION("""COMPUTED_VALUE"""),"1765062898386")</f>
        <v>1765062898386</v>
      </c>
      <c r="C9353" s="2" t="str">
        <v>0</v>
      </c>
      <c r="F9353" s="2" t="str">
        <v>0</v>
      </c>
      <c r="I9353" s="3" t="str">
        <f ca="1">IFERROR(__xludf.DUMMYFUNCTION("""COMPUTED_VALUE"""),"Lê Nguyễn Anh Khôi ")</f>
        <v xml:space="preserve">Lê Nguyễn Anh Khôi </v>
      </c>
      <c r="J9353" s="3" t="str">
        <f ca="1">IFERROR(__xludf.DUMMYFUNCTION("""COMPUTED_VALUE"""),"0915346956")</f>
        <v>0915346956</v>
      </c>
      <c r="K9353" s="2" t="str">
        <f ca="1">IFERROR(__xludf.DUMMYFUNCTION("""COMPUTED_VALUE"""),"1765062898386")</f>
        <v>1765062898386</v>
      </c>
    </row>
    <row r="9354" spans="1:11" ht="12.45">
      <c r="A9354" s="2" t="str">
        <f ca="1">IFERROR(__xludf.DUMMYFUNCTION("""COMPUTED_VALUE"""),"1765062924927")</f>
        <v>1765062924927</v>
      </c>
      <c r="C9354" s="2" t="str">
        <v>0</v>
      </c>
      <c r="F9354" s="2" t="str">
        <v>0</v>
      </c>
      <c r="I9354" s="3" t="str">
        <f ca="1">IFERROR(__xludf.DUMMYFUNCTION("""COMPUTED_VALUE"""),"Phạm Ngân Hà")</f>
        <v>Phạm Ngân Hà</v>
      </c>
      <c r="J9354" s="3" t="str">
        <f ca="1">IFERROR(__xludf.DUMMYFUNCTION("""COMPUTED_VALUE"""),"0394578490")</f>
        <v>0394578490</v>
      </c>
      <c r="K9354" s="2" t="str">
        <f ca="1">IFERROR(__xludf.DUMMYFUNCTION("""COMPUTED_VALUE"""),"1765062924927")</f>
        <v>1765062924927</v>
      </c>
    </row>
    <row r="9355" spans="1:11" ht="12.45">
      <c r="A9355" s="2"/>
      <c r="C9355" s="2" t="str">
        <v>0</v>
      </c>
      <c r="F9355" s="2" t="str">
        <v>0</v>
      </c>
      <c r="I9355" s="3" t="str">
        <f ca="1">IFERROR(__xludf.DUMMYFUNCTION("""COMPUTED_VALUE"""),"Phan Ánh Dương")</f>
        <v>Phan Ánh Dương</v>
      </c>
      <c r="J9355" s="3" t="str">
        <f ca="1">IFERROR(__xludf.DUMMYFUNCTION("""COMPUTED_VALUE"""),"0886612949")</f>
        <v>0886612949</v>
      </c>
      <c r="K9355" s="2"/>
    </row>
    <row r="9356" spans="1:11" ht="12.45">
      <c r="A9356" s="2" t="str">
        <f ca="1">IFERROR(__xludf.DUMMYFUNCTION("""COMPUTED_VALUE"""),"1765062964765")</f>
        <v>1765062964765</v>
      </c>
      <c r="C9356" s="2" t="str">
        <v>0</v>
      </c>
      <c r="F9356" s="2" t="str">
        <v>0</v>
      </c>
      <c r="I9356" s="3" t="str">
        <f ca="1">IFERROR(__xludf.DUMMYFUNCTION("""COMPUTED_VALUE"""),"Hồ thị hải yến")</f>
        <v>Hồ thị hải yến</v>
      </c>
      <c r="J9356" s="3" t="str">
        <f ca="1">IFERROR(__xludf.DUMMYFUNCTION("""COMPUTED_VALUE"""),"0968845421")</f>
        <v>0968845421</v>
      </c>
      <c r="K9356" s="2" t="str">
        <f ca="1">IFERROR(__xludf.DUMMYFUNCTION("""COMPUTED_VALUE"""),"1765062964765")</f>
        <v>1765062964765</v>
      </c>
    </row>
    <row r="9357" spans="1:11" ht="12.45">
      <c r="A9357" s="2" t="str">
        <f ca="1">IFERROR(__xludf.DUMMYFUNCTION("""COMPUTED_VALUE"""),"1765063015268")</f>
        <v>1765063015268</v>
      </c>
      <c r="C9357" s="2" t="str">
        <v>0</v>
      </c>
      <c r="F9357" s="2" t="str">
        <v>0</v>
      </c>
      <c r="I9357" s="3" t="str">
        <f ca="1">IFERROR(__xludf.DUMMYFUNCTION("""COMPUTED_VALUE"""),"Nguyễn Phương Anh")</f>
        <v>Nguyễn Phương Anh</v>
      </c>
      <c r="J9357" s="3" t="str">
        <f ca="1">IFERROR(__xludf.DUMMYFUNCTION("""COMPUTED_VALUE"""),"0369754626")</f>
        <v>0369754626</v>
      </c>
      <c r="K9357" s="2" t="str">
        <f ca="1">IFERROR(__xludf.DUMMYFUNCTION("""COMPUTED_VALUE"""),"1765063015268")</f>
        <v>1765063015268</v>
      </c>
    </row>
    <row r="9358" spans="1:11" ht="12.45">
      <c r="A9358" s="2" t="str">
        <f ca="1">IFERROR(__xludf.DUMMYFUNCTION("""COMPUTED_VALUE"""),"1765063055438")</f>
        <v>1765063055438</v>
      </c>
      <c r="C9358" s="2" t="str">
        <v>0</v>
      </c>
      <c r="F9358" s="2" t="str">
        <v>0</v>
      </c>
      <c r="I9358" s="3" t="str">
        <f ca="1">IFERROR(__xludf.DUMMYFUNCTION("""COMPUTED_VALUE"""),"Nguyễn Minh Diệu")</f>
        <v>Nguyễn Minh Diệu</v>
      </c>
      <c r="J9358" s="3" t="str">
        <f ca="1">IFERROR(__xludf.DUMMYFUNCTION("""COMPUTED_VALUE"""),"0343262709")</f>
        <v>0343262709</v>
      </c>
      <c r="K9358" s="2" t="str">
        <f ca="1">IFERROR(__xludf.DUMMYFUNCTION("""COMPUTED_VALUE"""),"1765063055438")</f>
        <v>1765063055438</v>
      </c>
    </row>
    <row r="9359" spans="1:11" ht="12.45">
      <c r="A9359" s="2" t="str">
        <f ca="1">IFERROR(__xludf.DUMMYFUNCTION("""COMPUTED_VALUE"""),"1765063085823")</f>
        <v>1765063085823</v>
      </c>
      <c r="C9359" s="2" t="str">
        <v>0</v>
      </c>
      <c r="F9359" s="2" t="str">
        <v>0</v>
      </c>
      <c r="I9359" s="3" t="str">
        <f ca="1">IFERROR(__xludf.DUMMYFUNCTION("""COMPUTED_VALUE"""),"Lương Ngọc Thanh")</f>
        <v>Lương Ngọc Thanh</v>
      </c>
      <c r="J9359" s="3" t="str">
        <f ca="1">IFERROR(__xludf.DUMMYFUNCTION("""COMPUTED_VALUE"""),"0877301969")</f>
        <v>0877301969</v>
      </c>
      <c r="K9359" s="2" t="str">
        <f ca="1">IFERROR(__xludf.DUMMYFUNCTION("""COMPUTED_VALUE"""),"1765063085823")</f>
        <v>1765063085823</v>
      </c>
    </row>
    <row r="9360" spans="1:11" ht="12.45">
      <c r="A9360" s="2" t="str">
        <f ca="1">IFERROR(__xludf.DUMMYFUNCTION("""COMPUTED_VALUE"""),"1765063122857")</f>
        <v>1765063122857</v>
      </c>
      <c r="C9360" s="2" t="str">
        <v>0</v>
      </c>
      <c r="F9360" s="2" t="str">
        <v>0</v>
      </c>
      <c r="I9360" s="3" t="str">
        <f ca="1">IFERROR(__xludf.DUMMYFUNCTION("""COMPUTED_VALUE"""),"Nguyễn Vân Anh")</f>
        <v>Nguyễn Vân Anh</v>
      </c>
      <c r="J9360" s="3" t="str">
        <f ca="1">IFERROR(__xludf.DUMMYFUNCTION("""COMPUTED_VALUE"""),"0367189850")</f>
        <v>0367189850</v>
      </c>
      <c r="K9360" s="2" t="str">
        <f ca="1">IFERROR(__xludf.DUMMYFUNCTION("""COMPUTED_VALUE"""),"1765063122857")</f>
        <v>1765063122857</v>
      </c>
    </row>
    <row r="9361" spans="1:11" ht="12.45">
      <c r="A9361" s="2" t="str">
        <f ca="1">IFERROR(__xludf.DUMMYFUNCTION("""COMPUTED_VALUE"""),"1765063154993")</f>
        <v>1765063154993</v>
      </c>
      <c r="C9361" s="2" t="str">
        <v>0</v>
      </c>
      <c r="F9361" s="2" t="str">
        <v>0</v>
      </c>
      <c r="I9361" s="3" t="str">
        <f ca="1">IFERROR(__xludf.DUMMYFUNCTION("""COMPUTED_VALUE"""),"Trần Ngọc Nhật")</f>
        <v>Trần Ngọc Nhật</v>
      </c>
      <c r="J9361" s="3" t="str">
        <f ca="1">IFERROR(__xludf.DUMMYFUNCTION("""COMPUTED_VALUE"""),"0867988156")</f>
        <v>0867988156</v>
      </c>
      <c r="K9361" s="2" t="str">
        <f ca="1">IFERROR(__xludf.DUMMYFUNCTION("""COMPUTED_VALUE"""),"1765063154993")</f>
        <v>1765063154993</v>
      </c>
    </row>
    <row r="9362" spans="1:11" ht="12.45">
      <c r="A9362" s="2"/>
      <c r="C9362" s="2" t="str">
        <v>0</v>
      </c>
      <c r="F9362" s="2" t="str">
        <v>0</v>
      </c>
      <c r="I9362" s="3" t="str">
        <f ca="1">IFERROR(__xludf.DUMMYFUNCTION("""COMPUTED_VALUE"""),"Trần Nguyễn Khả Ái")</f>
        <v>Trần Nguyễn Khả Ái</v>
      </c>
      <c r="J9362" s="3" t="str">
        <f ca="1">IFERROR(__xludf.DUMMYFUNCTION("""COMPUTED_VALUE"""),"0896682034")</f>
        <v>0896682034</v>
      </c>
      <c r="K9362" s="2"/>
    </row>
    <row r="9363" spans="1:11" ht="12.45">
      <c r="A9363" s="2" t="str">
        <f ca="1">IFERROR(__xludf.DUMMYFUNCTION("""COMPUTED_VALUE"""),"1765063212906")</f>
        <v>1765063212906</v>
      </c>
      <c r="C9363" s="2" t="str">
        <v>0</v>
      </c>
      <c r="F9363" s="2" t="str">
        <v>0</v>
      </c>
      <c r="I9363" s="3" t="str">
        <f ca="1">IFERROR(__xludf.DUMMYFUNCTION("""COMPUTED_VALUE"""),"Nguyễn Phương Linh")</f>
        <v>Nguyễn Phương Linh</v>
      </c>
      <c r="J9363" s="3" t="str">
        <f ca="1">IFERROR(__xludf.DUMMYFUNCTION("""COMPUTED_VALUE"""),"0854775586")</f>
        <v>0854775586</v>
      </c>
      <c r="K9363" s="2" t="str">
        <f ca="1">IFERROR(__xludf.DUMMYFUNCTION("""COMPUTED_VALUE"""),"1765063212906")</f>
        <v>1765063212906</v>
      </c>
    </row>
    <row r="9364" spans="1:11" ht="12.45">
      <c r="A9364" s="2" t="str">
        <f ca="1">IFERROR(__xludf.DUMMYFUNCTION("""COMPUTED_VALUE"""),"1765063262171")</f>
        <v>1765063262171</v>
      </c>
      <c r="C9364" s="2" t="str">
        <v>0</v>
      </c>
      <c r="F9364" s="2" t="str">
        <v>0</v>
      </c>
      <c r="I9364" s="3" t="str">
        <f ca="1">IFERROR(__xludf.DUMMYFUNCTION("""COMPUTED_VALUE"""),"Đặng Thị Tuyết Băng")</f>
        <v>Đặng Thị Tuyết Băng</v>
      </c>
      <c r="J9364" s="3" t="str">
        <f ca="1">IFERROR(__xludf.DUMMYFUNCTION("""COMPUTED_VALUE"""),"0813944085")</f>
        <v>0813944085</v>
      </c>
      <c r="K9364" s="2" t="str">
        <f ca="1">IFERROR(__xludf.DUMMYFUNCTION("""COMPUTED_VALUE"""),"1765063262171")</f>
        <v>1765063262171</v>
      </c>
    </row>
    <row r="9365" spans="1:11" ht="12.45">
      <c r="A9365" s="2" t="str">
        <f ca="1">IFERROR(__xludf.DUMMYFUNCTION("""COMPUTED_VALUE"""),"1765063298986")</f>
        <v>1765063298986</v>
      </c>
      <c r="C9365" s="2" t="str">
        <v>0</v>
      </c>
      <c r="F9365" s="2" t="str">
        <v>0</v>
      </c>
      <c r="I9365" s="3" t="str">
        <f ca="1">IFERROR(__xludf.DUMMYFUNCTION("""COMPUTED_VALUE"""),"Phạm Băng Băng")</f>
        <v>Phạm Băng Băng</v>
      </c>
      <c r="J9365" s="3" t="str">
        <f ca="1">IFERROR(__xludf.DUMMYFUNCTION("""COMPUTED_VALUE"""),"0839412612")</f>
        <v>0839412612</v>
      </c>
      <c r="K9365" s="2" t="str">
        <f ca="1">IFERROR(__xludf.DUMMYFUNCTION("""COMPUTED_VALUE"""),"1765063298986")</f>
        <v>1765063298986</v>
      </c>
    </row>
    <row r="9366" spans="1:11" ht="12.45">
      <c r="A9366" s="2" t="str">
        <f ca="1">IFERROR(__xludf.DUMMYFUNCTION("""COMPUTED_VALUE"""),"1765063332939")</f>
        <v>1765063332939</v>
      </c>
      <c r="C9366" s="2" t="str">
        <v>0</v>
      </c>
      <c r="F9366" s="2" t="str">
        <v>0</v>
      </c>
      <c r="I9366" s="3" t="str">
        <f ca="1">IFERROR(__xludf.DUMMYFUNCTION("""COMPUTED_VALUE"""),"Trần Thanh Bình")</f>
        <v>Trần Thanh Bình</v>
      </c>
      <c r="J9366" s="3" t="str">
        <f ca="1">IFERROR(__xludf.DUMMYFUNCTION("""COMPUTED_VALUE"""),"0336424644")</f>
        <v>0336424644</v>
      </c>
      <c r="K9366" s="2" t="str">
        <f ca="1">IFERROR(__xludf.DUMMYFUNCTION("""COMPUTED_VALUE"""),"1765063332939")</f>
        <v>1765063332939</v>
      </c>
    </row>
    <row r="9367" spans="1:11" ht="12.45">
      <c r="A9367" s="2" t="str">
        <f ca="1">IFERROR(__xludf.DUMMYFUNCTION("""COMPUTED_VALUE"""),"1765063369171")</f>
        <v>1765063369171</v>
      </c>
      <c r="C9367" s="2" t="str">
        <v>0</v>
      </c>
      <c r="F9367" s="2" t="str">
        <v>0</v>
      </c>
      <c r="I9367" s="3" t="str">
        <f ca="1">IFERROR(__xludf.DUMMYFUNCTION("""COMPUTED_VALUE"""),"Nguyễn Triều Tuấn")</f>
        <v>Nguyễn Triều Tuấn</v>
      </c>
      <c r="J9367" s="3" t="str">
        <f ca="1">IFERROR(__xludf.DUMMYFUNCTION("""COMPUTED_VALUE"""),"0394977542")</f>
        <v>0394977542</v>
      </c>
      <c r="K9367" s="2" t="str">
        <f ca="1">IFERROR(__xludf.DUMMYFUNCTION("""COMPUTED_VALUE"""),"1765063369171")</f>
        <v>1765063369171</v>
      </c>
    </row>
    <row r="9368" spans="1:11" ht="12.45">
      <c r="A9368" s="2" t="str">
        <f ca="1">IFERROR(__xludf.DUMMYFUNCTION("""COMPUTED_VALUE"""),"1765063412521")</f>
        <v>1765063412521</v>
      </c>
      <c r="C9368" s="2" t="str">
        <v>0</v>
      </c>
      <c r="F9368" s="2" t="str">
        <v>0</v>
      </c>
      <c r="I9368" s="3" t="str">
        <f ca="1">IFERROR(__xludf.DUMMYFUNCTION("""COMPUTED_VALUE"""),"Đinh Thị Hồng Quyên ")</f>
        <v xml:space="preserve">Đinh Thị Hồng Quyên </v>
      </c>
      <c r="J9368" s="3" t="str">
        <f ca="1">IFERROR(__xludf.DUMMYFUNCTION("""COMPUTED_VALUE"""),"0817285639")</f>
        <v>0817285639</v>
      </c>
      <c r="K9368" s="2" t="str">
        <f ca="1">IFERROR(__xludf.DUMMYFUNCTION("""COMPUTED_VALUE"""),"1765063412521")</f>
        <v>1765063412521</v>
      </c>
    </row>
    <row r="9369" spans="1:11" ht="12.45">
      <c r="A9369" s="2" t="str">
        <f ca="1">IFERROR(__xludf.DUMMYFUNCTION("""COMPUTED_VALUE"""),"1765063439845")</f>
        <v>1765063439845</v>
      </c>
      <c r="C9369" s="2" t="str">
        <v>0</v>
      </c>
      <c r="F9369" s="2" t="str">
        <v>0</v>
      </c>
      <c r="I9369" s="2" t="str">
        <f ca="1">IFERROR(__xludf.DUMMYFUNCTION("""COMPUTED_VALUE"""),"Hoàng Thị Yến Nhi")</f>
        <v>Hoàng Thị Yến Nhi</v>
      </c>
      <c r="J9369" s="3" t="str">
        <f ca="1">IFERROR(__xludf.DUMMYFUNCTION("""COMPUTED_VALUE"""),"0385405101")</f>
        <v>0385405101</v>
      </c>
      <c r="K9369" s="2" t="str">
        <f ca="1">IFERROR(__xludf.DUMMYFUNCTION("""COMPUTED_VALUE"""),"1765063439845")</f>
        <v>1765063439845</v>
      </c>
    </row>
    <row r="9370" spans="1:11" ht="12.45">
      <c r="A9370" s="2" t="str">
        <f ca="1">IFERROR(__xludf.DUMMYFUNCTION("""COMPUTED_VALUE"""),"1765063478076")</f>
        <v>1765063478076</v>
      </c>
      <c r="C9370" s="2" t="str">
        <v>0</v>
      </c>
      <c r="F9370" s="2" t="str">
        <v>0</v>
      </c>
      <c r="I9370" s="3" t="str">
        <f ca="1">IFERROR(__xludf.DUMMYFUNCTION("""COMPUTED_VALUE"""),"Đoàn Thị Minh Châu")</f>
        <v>Đoàn Thị Minh Châu</v>
      </c>
      <c r="J9370" s="3" t="str">
        <f ca="1">IFERROR(__xludf.DUMMYFUNCTION("""COMPUTED_VALUE"""),"0971362798")</f>
        <v>0971362798</v>
      </c>
      <c r="K9370" s="2" t="str">
        <f ca="1">IFERROR(__xludf.DUMMYFUNCTION("""COMPUTED_VALUE"""),"1765063478076")</f>
        <v>1765063478076</v>
      </c>
    </row>
    <row r="9371" spans="1:11" ht="12.45">
      <c r="A9371" s="2" t="str">
        <f ca="1">IFERROR(__xludf.DUMMYFUNCTION("""COMPUTED_VALUE"""),"1765063519099")</f>
        <v>1765063519099</v>
      </c>
      <c r="C9371" s="2" t="str">
        <v>0</v>
      </c>
      <c r="F9371" s="2" t="str">
        <v>0</v>
      </c>
      <c r="I9371" s="3" t="str">
        <f ca="1">IFERROR(__xludf.DUMMYFUNCTION("""COMPUTED_VALUE"""),"Nguyễn Ngọc Phương Nguyên")</f>
        <v>Nguyễn Ngọc Phương Nguyên</v>
      </c>
      <c r="J9371" s="3" t="str">
        <f ca="1">IFERROR(__xludf.DUMMYFUNCTION("""COMPUTED_VALUE"""),"0934947491")</f>
        <v>0934947491</v>
      </c>
      <c r="K9371" s="2" t="str">
        <f ca="1">IFERROR(__xludf.DUMMYFUNCTION("""COMPUTED_VALUE"""),"1765063519099")</f>
        <v>1765063519099</v>
      </c>
    </row>
    <row r="9372" spans="1:11" ht="12.45">
      <c r="A9372" s="2"/>
      <c r="C9372" s="2" t="str">
        <v>0</v>
      </c>
      <c r="F9372" s="2" t="str">
        <v>0</v>
      </c>
      <c r="I9372" s="3" t="str">
        <f ca="1">IFERROR(__xludf.DUMMYFUNCTION("""COMPUTED_VALUE"""),"Bùi Ngọc Khiết Minh")</f>
        <v>Bùi Ngọc Khiết Minh</v>
      </c>
      <c r="J9372" s="3" t="str">
        <f ca="1">IFERROR(__xludf.DUMMYFUNCTION("""COMPUTED_VALUE"""),"0914118216")</f>
        <v>0914118216</v>
      </c>
      <c r="K9372" s="2"/>
    </row>
    <row r="9373" spans="1:11" ht="12.45">
      <c r="A9373" s="2" t="str">
        <f ca="1">IFERROR(__xludf.DUMMYFUNCTION("""COMPUTED_VALUE"""),"1765063552747")</f>
        <v>1765063552747</v>
      </c>
      <c r="C9373" s="2" t="str">
        <v>0</v>
      </c>
      <c r="F9373" s="2" t="str">
        <v>0</v>
      </c>
      <c r="I9373" s="3" t="str">
        <f ca="1">IFERROR(__xludf.DUMMYFUNCTION("""COMPUTED_VALUE"""),"Nguyễn Trọng Sơn")</f>
        <v>Nguyễn Trọng Sơn</v>
      </c>
      <c r="J9373" s="3" t="str">
        <f ca="1">IFERROR(__xludf.DUMMYFUNCTION("""COMPUTED_VALUE"""),"0348200222")</f>
        <v>0348200222</v>
      </c>
      <c r="K9373" s="2" t="str">
        <f ca="1">IFERROR(__xludf.DUMMYFUNCTION("""COMPUTED_VALUE"""),"1765063552747")</f>
        <v>1765063552747</v>
      </c>
    </row>
    <row r="9374" spans="1:11" ht="12.45">
      <c r="A9374" s="2" t="str">
        <f ca="1">IFERROR(__xludf.DUMMYFUNCTION("""COMPUTED_VALUE"""),"1765063588279")</f>
        <v>1765063588279</v>
      </c>
      <c r="C9374" s="2" t="str">
        <v>0</v>
      </c>
      <c r="F9374" s="2" t="str">
        <v>0</v>
      </c>
      <c r="I9374" s="3" t="str">
        <f ca="1">IFERROR(__xludf.DUMMYFUNCTION("""COMPUTED_VALUE"""),"Dương Thị Ngọc Dung ")</f>
        <v xml:space="preserve">Dương Thị Ngọc Dung </v>
      </c>
      <c r="J9374" s="3" t="str">
        <f ca="1">IFERROR(__xludf.DUMMYFUNCTION("""COMPUTED_VALUE"""),"0336470757")</f>
        <v>0336470757</v>
      </c>
      <c r="K9374" s="2" t="str">
        <f ca="1">IFERROR(__xludf.DUMMYFUNCTION("""COMPUTED_VALUE"""),"1765063588279")</f>
        <v>1765063588279</v>
      </c>
    </row>
    <row r="9375" spans="1:11" ht="12.45">
      <c r="A9375" s="2" t="str">
        <f ca="1">IFERROR(__xludf.DUMMYFUNCTION("""COMPUTED_VALUE"""),"1765063618000")</f>
        <v>1765063618000</v>
      </c>
      <c r="C9375" s="2" t="str">
        <v>0</v>
      </c>
      <c r="F9375" s="2" t="str">
        <v>0</v>
      </c>
      <c r="I9375" s="3" t="str">
        <f ca="1">IFERROR(__xludf.DUMMYFUNCTION("""COMPUTED_VALUE"""),"Phạm Gia Linh")</f>
        <v>Phạm Gia Linh</v>
      </c>
      <c r="J9375" s="3" t="str">
        <f ca="1">IFERROR(__xludf.DUMMYFUNCTION("""COMPUTED_VALUE"""),"0963172850")</f>
        <v>0963172850</v>
      </c>
      <c r="K9375" s="2" t="str">
        <f ca="1">IFERROR(__xludf.DUMMYFUNCTION("""COMPUTED_VALUE"""),"1765063618000")</f>
        <v>1765063618000</v>
      </c>
    </row>
    <row r="9376" spans="1:11" ht="12.45">
      <c r="A9376" s="2" t="str">
        <f ca="1">IFERROR(__xludf.DUMMYFUNCTION("""COMPUTED_VALUE"""),"1765063659037")</f>
        <v>1765063659037</v>
      </c>
      <c r="C9376" s="2" t="str">
        <v>0</v>
      </c>
      <c r="F9376" s="2" t="str">
        <v>0</v>
      </c>
      <c r="I9376" s="3" t="str">
        <f ca="1">IFERROR(__xludf.DUMMYFUNCTION("""COMPUTED_VALUE"""),"Bùi trung trực ")</f>
        <v xml:space="preserve">Bùi trung trực </v>
      </c>
      <c r="J9376" s="3" t="str">
        <f ca="1">IFERROR(__xludf.DUMMYFUNCTION("""COMPUTED_VALUE"""),"0798025708")</f>
        <v>0798025708</v>
      </c>
      <c r="K9376" s="2" t="str">
        <f ca="1">IFERROR(__xludf.DUMMYFUNCTION("""COMPUTED_VALUE"""),"1765063659037")</f>
        <v>1765063659037</v>
      </c>
    </row>
    <row r="9377" spans="1:11" ht="12.45">
      <c r="A9377" s="2" t="str">
        <f ca="1">IFERROR(__xludf.DUMMYFUNCTION("""COMPUTED_VALUE"""),"1765063695515")</f>
        <v>1765063695515</v>
      </c>
      <c r="C9377" s="2" t="str">
        <v>0</v>
      </c>
      <c r="F9377" s="2" t="str">
        <v>0</v>
      </c>
      <c r="I9377" s="3" t="str">
        <f ca="1">IFERROR(__xludf.DUMMYFUNCTION("""COMPUTED_VALUE"""),"Huỳnh Văn Thông")</f>
        <v>Huỳnh Văn Thông</v>
      </c>
      <c r="J9377" s="3" t="str">
        <f ca="1">IFERROR(__xludf.DUMMYFUNCTION("""COMPUTED_VALUE"""),"0327201258")</f>
        <v>0327201258</v>
      </c>
      <c r="K9377" s="2" t="str">
        <f ca="1">IFERROR(__xludf.DUMMYFUNCTION("""COMPUTED_VALUE"""),"1765063695515")</f>
        <v>1765063695515</v>
      </c>
    </row>
    <row r="9378" spans="1:11" ht="12.45">
      <c r="A9378" s="2" t="str">
        <f ca="1">IFERROR(__xludf.DUMMYFUNCTION("""COMPUTED_VALUE"""),"1765063718379")</f>
        <v>1765063718379</v>
      </c>
      <c r="C9378" s="2" t="str">
        <v>0</v>
      </c>
      <c r="F9378" s="2" t="str">
        <v>0</v>
      </c>
      <c r="I9378" s="3" t="str">
        <f ca="1">IFERROR(__xludf.DUMMYFUNCTION("""COMPUTED_VALUE"""),"Nguyễn Quốc Huy")</f>
        <v>Nguyễn Quốc Huy</v>
      </c>
      <c r="J9378" s="3" t="str">
        <f ca="1">IFERROR(__xludf.DUMMYFUNCTION("""COMPUTED_VALUE"""),"0978658220")</f>
        <v>0978658220</v>
      </c>
      <c r="K9378" s="2" t="str">
        <f ca="1">IFERROR(__xludf.DUMMYFUNCTION("""COMPUTED_VALUE"""),"1765063718379")</f>
        <v>1765063718379</v>
      </c>
    </row>
    <row r="9379" spans="1:11" ht="12.45">
      <c r="A9379" s="2" t="str">
        <f ca="1">IFERROR(__xludf.DUMMYFUNCTION("""COMPUTED_VALUE"""),"1765063745307")</f>
        <v>1765063745307</v>
      </c>
      <c r="C9379" s="2" t="str">
        <v>0</v>
      </c>
      <c r="F9379" s="2" t="str">
        <v>0</v>
      </c>
      <c r="I9379" s="3" t="str">
        <f ca="1">IFERROR(__xludf.DUMMYFUNCTION("""COMPUTED_VALUE"""),"Hoàng Thị Thu Trang")</f>
        <v>Hoàng Thị Thu Trang</v>
      </c>
      <c r="J9379" s="3" t="str">
        <f ca="1">IFERROR(__xludf.DUMMYFUNCTION("""COMPUTED_VALUE"""),"0394278933")</f>
        <v>0394278933</v>
      </c>
      <c r="K9379" s="2" t="str">
        <f ca="1">IFERROR(__xludf.DUMMYFUNCTION("""COMPUTED_VALUE"""),"1765063745307")</f>
        <v>1765063745307</v>
      </c>
    </row>
    <row r="9380" spans="1:11" ht="12.45">
      <c r="A9380" s="2" t="str">
        <f ca="1">IFERROR(__xludf.DUMMYFUNCTION("""COMPUTED_VALUE"""),"1765063777995")</f>
        <v>1765063777995</v>
      </c>
      <c r="C9380" s="2" t="str">
        <v>0</v>
      </c>
      <c r="F9380" s="2" t="str">
        <v>0</v>
      </c>
      <c r="I9380" s="3" t="str">
        <f ca="1">IFERROR(__xludf.DUMMYFUNCTION("""COMPUTED_VALUE"""),"Chí Nguyên")</f>
        <v>Chí Nguyên</v>
      </c>
      <c r="J9380" s="3" t="str">
        <f ca="1">IFERROR(__xludf.DUMMYFUNCTION("""COMPUTED_VALUE"""),"0962259616")</f>
        <v>0962259616</v>
      </c>
      <c r="K9380" s="2" t="str">
        <f ca="1">IFERROR(__xludf.DUMMYFUNCTION("""COMPUTED_VALUE"""),"1765063777995")</f>
        <v>1765063777995</v>
      </c>
    </row>
    <row r="9381" spans="1:11" ht="12.45">
      <c r="A9381" s="2" t="str">
        <f ca="1">IFERROR(__xludf.DUMMYFUNCTION("""COMPUTED_VALUE"""),"1765063840917")</f>
        <v>1765063840917</v>
      </c>
      <c r="C9381" s="2" t="str">
        <v>0</v>
      </c>
      <c r="F9381" s="2" t="str">
        <v>0</v>
      </c>
      <c r="I9381" s="3" t="str">
        <f ca="1">IFERROR(__xludf.DUMMYFUNCTION("""COMPUTED_VALUE"""),"NGUYỄN THÀNH LUÂN")</f>
        <v>NGUYỄN THÀNH LUÂN</v>
      </c>
      <c r="J9381" s="3" t="str">
        <f ca="1">IFERROR(__xludf.DUMMYFUNCTION("""COMPUTED_VALUE"""),"0946584284")</f>
        <v>0946584284</v>
      </c>
      <c r="K9381" s="2" t="str">
        <f ca="1">IFERROR(__xludf.DUMMYFUNCTION("""COMPUTED_VALUE"""),"1765063840917")</f>
        <v>1765063840917</v>
      </c>
    </row>
    <row r="9382" spans="1:11" ht="12.45">
      <c r="A9382" s="2" t="str">
        <f ca="1">IFERROR(__xludf.DUMMYFUNCTION("""COMPUTED_VALUE"""),"1765063876384")</f>
        <v>1765063876384</v>
      </c>
      <c r="C9382" s="2" t="str">
        <v>0</v>
      </c>
      <c r="F9382" s="2" t="str">
        <v>0</v>
      </c>
      <c r="I9382" s="3" t="str">
        <f ca="1">IFERROR(__xludf.DUMMYFUNCTION("""COMPUTED_VALUE"""),"Lê Tâm Đan")</f>
        <v>Lê Tâm Đan</v>
      </c>
      <c r="J9382" s="3" t="str">
        <f ca="1">IFERROR(__xludf.DUMMYFUNCTION("""COMPUTED_VALUE"""),"0356223047")</f>
        <v>0356223047</v>
      </c>
      <c r="K9382" s="2" t="str">
        <f ca="1">IFERROR(__xludf.DUMMYFUNCTION("""COMPUTED_VALUE"""),"1765063876384")</f>
        <v>1765063876384</v>
      </c>
    </row>
    <row r="9383" spans="1:11" ht="12.45">
      <c r="A9383" s="2" t="str">
        <f ca="1">IFERROR(__xludf.DUMMYFUNCTION("""COMPUTED_VALUE"""),"1765063912690")</f>
        <v>1765063912690</v>
      </c>
      <c r="C9383" s="2" t="str">
        <v>0</v>
      </c>
      <c r="F9383" s="2" t="str">
        <v>0</v>
      </c>
      <c r="I9383" s="3" t="str">
        <f ca="1">IFERROR(__xludf.DUMMYFUNCTION("""COMPUTED_VALUE"""),"Ngô Cẩm Nhung")</f>
        <v>Ngô Cẩm Nhung</v>
      </c>
      <c r="J9383" s="3" t="str">
        <f ca="1">IFERROR(__xludf.DUMMYFUNCTION("""COMPUTED_VALUE"""),"0968081136")</f>
        <v>0968081136</v>
      </c>
      <c r="K9383" s="2" t="str">
        <f ca="1">IFERROR(__xludf.DUMMYFUNCTION("""COMPUTED_VALUE"""),"1765063912690")</f>
        <v>1765063912690</v>
      </c>
    </row>
    <row r="9384" spans="1:11" ht="12.45">
      <c r="A9384" s="2"/>
      <c r="C9384" s="2" t="str">
        <v>0</v>
      </c>
      <c r="F9384" s="2" t="str">
        <v>0</v>
      </c>
      <c r="I9384" s="3" t="str">
        <f ca="1">IFERROR(__xludf.DUMMYFUNCTION("""COMPUTED_VALUE"""),"Nguyễn Thị Duyên")</f>
        <v>Nguyễn Thị Duyên</v>
      </c>
      <c r="J9384" s="3" t="str">
        <f ca="1">IFERROR(__xludf.DUMMYFUNCTION("""COMPUTED_VALUE"""),"0346278084")</f>
        <v>0346278084</v>
      </c>
      <c r="K9384" s="2"/>
    </row>
    <row r="9385" spans="1:11" ht="12.45">
      <c r="A9385" s="2" t="str">
        <f ca="1">IFERROR(__xludf.DUMMYFUNCTION("""COMPUTED_VALUE"""),"1765063943865")</f>
        <v>1765063943865</v>
      </c>
      <c r="C9385" s="2" t="str">
        <v>0</v>
      </c>
      <c r="F9385" s="2" t="str">
        <v>0</v>
      </c>
      <c r="I9385" s="3" t="str">
        <f ca="1">IFERROR(__xludf.DUMMYFUNCTION("""COMPUTED_VALUE"""),"Huỳnh Mai Ngọc Châu")</f>
        <v>Huỳnh Mai Ngọc Châu</v>
      </c>
      <c r="J9385" s="3" t="str">
        <f ca="1">IFERROR(__xludf.DUMMYFUNCTION("""COMPUTED_VALUE"""),"0932411559")</f>
        <v>0932411559</v>
      </c>
      <c r="K9385" s="2" t="str">
        <f ca="1">IFERROR(__xludf.DUMMYFUNCTION("""COMPUTED_VALUE"""),"1765063943865")</f>
        <v>1765063943865</v>
      </c>
    </row>
    <row r="9386" spans="1:11" ht="12.45">
      <c r="A9386" s="2" t="str">
        <f ca="1">IFERROR(__xludf.DUMMYFUNCTION("""COMPUTED_VALUE"""),"1765063975709")</f>
        <v>1765063975709</v>
      </c>
      <c r="C9386" s="2" t="str">
        <v>0</v>
      </c>
      <c r="F9386" s="2" t="str">
        <v>0</v>
      </c>
      <c r="I9386" s="3" t="str">
        <f ca="1">IFERROR(__xludf.DUMMYFUNCTION("""COMPUTED_VALUE"""),"Nguyễn Ngọc Xuân Mai")</f>
        <v>Nguyễn Ngọc Xuân Mai</v>
      </c>
      <c r="J9386" s="3" t="str">
        <f ca="1">IFERROR(__xludf.DUMMYFUNCTION("""COMPUTED_VALUE"""),"0379192647")</f>
        <v>0379192647</v>
      </c>
      <c r="K9386" s="2" t="str">
        <f ca="1">IFERROR(__xludf.DUMMYFUNCTION("""COMPUTED_VALUE"""),"1765063975709")</f>
        <v>1765063975709</v>
      </c>
    </row>
    <row r="9387" spans="1:11" ht="12.45">
      <c r="A9387" s="2" t="str">
        <f ca="1">IFERROR(__xludf.DUMMYFUNCTION("""COMPUTED_VALUE"""),"1765064011797")</f>
        <v>1765064011797</v>
      </c>
      <c r="C9387" s="2" t="str">
        <v>0</v>
      </c>
      <c r="F9387" s="2" t="str">
        <v>0</v>
      </c>
      <c r="I9387" s="3" t="str">
        <f ca="1">IFERROR(__xludf.DUMMYFUNCTION("""COMPUTED_VALUE"""),"Nguyễn Ánh Nhi")</f>
        <v>Nguyễn Ánh Nhi</v>
      </c>
      <c r="J9387" s="3" t="str">
        <f ca="1">IFERROR(__xludf.DUMMYFUNCTION("""COMPUTED_VALUE"""),"0338472607")</f>
        <v>0338472607</v>
      </c>
      <c r="K9387" s="2" t="str">
        <f ca="1">IFERROR(__xludf.DUMMYFUNCTION("""COMPUTED_VALUE"""),"1765064011797")</f>
        <v>1765064011797</v>
      </c>
    </row>
    <row r="9388" spans="1:11" ht="12.45">
      <c r="A9388" s="2" t="str">
        <f ca="1">IFERROR(__xludf.DUMMYFUNCTION("""COMPUTED_VALUE"""),"1765064039980")</f>
        <v>1765064039980</v>
      </c>
      <c r="C9388" s="2" t="str">
        <v>0</v>
      </c>
      <c r="F9388" s="2" t="str">
        <v>0</v>
      </c>
      <c r="I9388" s="3" t="str">
        <f ca="1">IFERROR(__xludf.DUMMYFUNCTION("""COMPUTED_VALUE"""),"Huỳnh Minh Tín")</f>
        <v>Huỳnh Minh Tín</v>
      </c>
      <c r="J9388" s="3" t="str">
        <f ca="1">IFERROR(__xludf.DUMMYFUNCTION("""COMPUTED_VALUE"""),"0366375177")</f>
        <v>0366375177</v>
      </c>
      <c r="K9388" s="2" t="str">
        <f ca="1">IFERROR(__xludf.DUMMYFUNCTION("""COMPUTED_VALUE"""),"1765064039980")</f>
        <v>1765064039980</v>
      </c>
    </row>
    <row r="9389" spans="1:11" ht="12.45">
      <c r="A9389" s="2" t="str">
        <f ca="1">IFERROR(__xludf.DUMMYFUNCTION("""COMPUTED_VALUE"""),"1765064078262")</f>
        <v>1765064078262</v>
      </c>
      <c r="C9389" s="2" t="str">
        <v>0</v>
      </c>
      <c r="F9389" s="2" t="str">
        <v>0</v>
      </c>
      <c r="I9389" s="3" t="str">
        <f ca="1">IFERROR(__xludf.DUMMYFUNCTION("""COMPUTED_VALUE"""),"Trần Khánh Ngọc")</f>
        <v>Trần Khánh Ngọc</v>
      </c>
      <c r="J9389" s="3" t="str">
        <f ca="1">IFERROR(__xludf.DUMMYFUNCTION("""COMPUTED_VALUE"""),"0822343870")</f>
        <v>0822343870</v>
      </c>
      <c r="K9389" s="2" t="str">
        <f ca="1">IFERROR(__xludf.DUMMYFUNCTION("""COMPUTED_VALUE"""),"1765064078262")</f>
        <v>1765064078262</v>
      </c>
    </row>
    <row r="9390" spans="1:11" ht="12.45">
      <c r="A9390" s="2" t="str">
        <f ca="1">IFERROR(__xludf.DUMMYFUNCTION("""COMPUTED_VALUE"""),"1765064103311")</f>
        <v>1765064103311</v>
      </c>
      <c r="C9390" s="2" t="str">
        <v>0</v>
      </c>
      <c r="F9390" s="2" t="str">
        <v>0</v>
      </c>
      <c r="I9390" s="3" t="str">
        <f ca="1">IFERROR(__xludf.DUMMYFUNCTION("""COMPUTED_VALUE"""),"Vũ Thị An")</f>
        <v>Vũ Thị An</v>
      </c>
      <c r="J9390" s="3" t="str">
        <f ca="1">IFERROR(__xludf.DUMMYFUNCTION("""COMPUTED_VALUE"""),"0365621205")</f>
        <v>0365621205</v>
      </c>
      <c r="K9390" s="2" t="str">
        <f ca="1">IFERROR(__xludf.DUMMYFUNCTION("""COMPUTED_VALUE"""),"1765064103311")</f>
        <v>1765064103311</v>
      </c>
    </row>
    <row r="9391" spans="1:11" ht="12.45">
      <c r="A9391" s="2" t="str">
        <f ca="1">IFERROR(__xludf.DUMMYFUNCTION("""COMPUTED_VALUE"""),"1765064133940")</f>
        <v>1765064133940</v>
      </c>
      <c r="C9391" s="2" t="str">
        <v>0</v>
      </c>
      <c r="F9391" s="2" t="str">
        <v>0</v>
      </c>
      <c r="I9391" s="3" t="str">
        <f ca="1">IFERROR(__xludf.DUMMYFUNCTION("""COMPUTED_VALUE"""),"Trần Khánh Ly")</f>
        <v>Trần Khánh Ly</v>
      </c>
      <c r="J9391" s="3" t="str">
        <f ca="1">IFERROR(__xludf.DUMMYFUNCTION("""COMPUTED_VALUE"""),"0377557207")</f>
        <v>0377557207</v>
      </c>
      <c r="K9391" s="2" t="str">
        <f ca="1">IFERROR(__xludf.DUMMYFUNCTION("""COMPUTED_VALUE"""),"1765064133940")</f>
        <v>1765064133940</v>
      </c>
    </row>
    <row r="9392" spans="1:11" ht="12.45">
      <c r="A9392" s="2" t="str">
        <f ca="1">IFERROR(__xludf.DUMMYFUNCTION("""COMPUTED_VALUE"""),"1765064163469")</f>
        <v>1765064163469</v>
      </c>
      <c r="C9392" s="2" t="str">
        <v>0</v>
      </c>
      <c r="F9392" s="2" t="str">
        <v>0</v>
      </c>
      <c r="I9392" s="3" t="str">
        <f ca="1">IFERROR(__xludf.DUMMYFUNCTION("""COMPUTED_VALUE"""),"Trần Ngọc Thảo Nhi")</f>
        <v>Trần Ngọc Thảo Nhi</v>
      </c>
      <c r="J9392" s="3" t="str">
        <f ca="1">IFERROR(__xludf.DUMMYFUNCTION("""COMPUTED_VALUE"""),"0934975325")</f>
        <v>0934975325</v>
      </c>
      <c r="K9392" s="2" t="str">
        <f ca="1">IFERROR(__xludf.DUMMYFUNCTION("""COMPUTED_VALUE"""),"1765064163469")</f>
        <v>1765064163469</v>
      </c>
    </row>
    <row r="9393" spans="1:11" ht="12.45">
      <c r="A9393" s="2" t="str">
        <f ca="1">IFERROR(__xludf.DUMMYFUNCTION("""COMPUTED_VALUE"""),"1765064195129")</f>
        <v>1765064195129</v>
      </c>
      <c r="C9393" s="2" t="str">
        <v>0</v>
      </c>
      <c r="F9393" s="2" t="str">
        <v>0</v>
      </c>
      <c r="I9393" s="3" t="str">
        <f ca="1">IFERROR(__xludf.DUMMYFUNCTION("""COMPUTED_VALUE"""),"Đặng Phương Thảo ")</f>
        <v xml:space="preserve">Đặng Phương Thảo </v>
      </c>
      <c r="J9393" s="3" t="str">
        <f ca="1">IFERROR(__xludf.DUMMYFUNCTION("""COMPUTED_VALUE"""),"0974788897")</f>
        <v>0974788897</v>
      </c>
      <c r="K9393" s="2" t="str">
        <f ca="1">IFERROR(__xludf.DUMMYFUNCTION("""COMPUTED_VALUE"""),"1765064195129")</f>
        <v>1765064195129</v>
      </c>
    </row>
    <row r="9394" spans="1:11" ht="12.45">
      <c r="A9394" s="2" t="str">
        <f ca="1">IFERROR(__xludf.DUMMYFUNCTION("""COMPUTED_VALUE"""),"1765064218296")</f>
        <v>1765064218296</v>
      </c>
      <c r="C9394" s="2" t="str">
        <v>0</v>
      </c>
      <c r="F9394" s="2" t="str">
        <v>0</v>
      </c>
      <c r="I9394" s="3" t="str">
        <f ca="1">IFERROR(__xludf.DUMMYFUNCTION("""COMPUTED_VALUE"""),"Nguyễn Đan Lê")</f>
        <v>Nguyễn Đan Lê</v>
      </c>
      <c r="J9394" s="3" t="str">
        <f ca="1">IFERROR(__xludf.DUMMYFUNCTION("""COMPUTED_VALUE"""),"0869968336")</f>
        <v>0869968336</v>
      </c>
      <c r="K9394" s="2" t="str">
        <f ca="1">IFERROR(__xludf.DUMMYFUNCTION("""COMPUTED_VALUE"""),"1765064218296")</f>
        <v>1765064218296</v>
      </c>
    </row>
    <row r="9395" spans="1:11" ht="12.45">
      <c r="A9395" s="2" t="str">
        <f ca="1">IFERROR(__xludf.DUMMYFUNCTION("""COMPUTED_VALUE"""),"1765064263533")</f>
        <v>1765064263533</v>
      </c>
      <c r="C9395" s="2" t="str">
        <v>0</v>
      </c>
      <c r="F9395" s="2" t="str">
        <v>0</v>
      </c>
      <c r="I9395" s="3" t="str">
        <f ca="1">IFERROR(__xludf.DUMMYFUNCTION("""COMPUTED_VALUE"""),"Võ Thị Ngọc Anh ")</f>
        <v xml:space="preserve">Võ Thị Ngọc Anh </v>
      </c>
      <c r="J9395" s="3" t="str">
        <f ca="1">IFERROR(__xludf.DUMMYFUNCTION("""COMPUTED_VALUE"""),"0333530598")</f>
        <v>0333530598</v>
      </c>
      <c r="K9395" s="2" t="str">
        <f ca="1">IFERROR(__xludf.DUMMYFUNCTION("""COMPUTED_VALUE"""),"1765064263533")</f>
        <v>1765064263533</v>
      </c>
    </row>
    <row r="9396" spans="1:11" ht="12.45">
      <c r="A9396" s="2" t="str">
        <f ca="1">IFERROR(__xludf.DUMMYFUNCTION("""COMPUTED_VALUE"""),"1765064293208")</f>
        <v>1765064293208</v>
      </c>
      <c r="C9396" s="2" t="str">
        <v>0</v>
      </c>
      <c r="F9396" s="2" t="str">
        <v>0</v>
      </c>
      <c r="I9396" s="3" t="str">
        <f ca="1">IFERROR(__xludf.DUMMYFUNCTION("""COMPUTED_VALUE"""),"Nguyễn thị minh vương")</f>
        <v>Nguyễn thị minh vương</v>
      </c>
      <c r="J9396" s="3" t="str">
        <f ca="1">IFERROR(__xludf.DUMMYFUNCTION("""COMPUTED_VALUE"""),"0772419325")</f>
        <v>0772419325</v>
      </c>
      <c r="K9396" s="2" t="str">
        <f ca="1">IFERROR(__xludf.DUMMYFUNCTION("""COMPUTED_VALUE"""),"1765064293208")</f>
        <v>1765064293208</v>
      </c>
    </row>
    <row r="9397" spans="1:11" ht="12.45">
      <c r="A9397" s="2" t="str">
        <f ca="1">IFERROR(__xludf.DUMMYFUNCTION("""COMPUTED_VALUE"""),"1765064323559")</f>
        <v>1765064323559</v>
      </c>
      <c r="C9397" s="2" t="str">
        <v>0</v>
      </c>
      <c r="F9397" s="2" t="str">
        <v>0</v>
      </c>
      <c r="I9397" s="3" t="str">
        <f ca="1">IFERROR(__xludf.DUMMYFUNCTION("""COMPUTED_VALUE"""),"Cao Thanh Mai")</f>
        <v>Cao Thanh Mai</v>
      </c>
      <c r="J9397" s="3" t="str">
        <f ca="1">IFERROR(__xludf.DUMMYFUNCTION("""COMPUTED_VALUE"""),"0983172854")</f>
        <v>0983172854</v>
      </c>
      <c r="K9397" s="2" t="str">
        <f ca="1">IFERROR(__xludf.DUMMYFUNCTION("""COMPUTED_VALUE"""),"1765064323559")</f>
        <v>1765064323559</v>
      </c>
    </row>
    <row r="9398" spans="1:11" ht="12.45">
      <c r="A9398" s="2" t="str">
        <f ca="1">IFERROR(__xludf.DUMMYFUNCTION("""COMPUTED_VALUE"""),"1765064355952")</f>
        <v>1765064355952</v>
      </c>
      <c r="C9398" s="2" t="str">
        <v>0</v>
      </c>
      <c r="F9398" s="2" t="str">
        <v>0</v>
      </c>
      <c r="I9398" s="3" t="str">
        <f ca="1">IFERROR(__xludf.DUMMYFUNCTION("""COMPUTED_VALUE"""),"Nguyễn Nhật Yên Đan ")</f>
        <v xml:space="preserve">Nguyễn Nhật Yên Đan </v>
      </c>
      <c r="J9398" s="3" t="str">
        <f ca="1">IFERROR(__xludf.DUMMYFUNCTION("""COMPUTED_VALUE"""),"0395403216")</f>
        <v>0395403216</v>
      </c>
      <c r="K9398" s="2" t="str">
        <f ca="1">IFERROR(__xludf.DUMMYFUNCTION("""COMPUTED_VALUE"""),"1765064355952")</f>
        <v>1765064355952</v>
      </c>
    </row>
    <row r="9399" spans="1:11" ht="12.45">
      <c r="A9399" s="2" t="str">
        <f ca="1">IFERROR(__xludf.DUMMYFUNCTION("""COMPUTED_VALUE"""),"1765064389036")</f>
        <v>1765064389036</v>
      </c>
      <c r="C9399" s="2" t="str">
        <v>0</v>
      </c>
      <c r="F9399" s="2" t="str">
        <v>0</v>
      </c>
      <c r="I9399" s="3" t="str">
        <f ca="1">IFERROR(__xludf.DUMMYFUNCTION("""COMPUTED_VALUE"""),"Bùi Thị Thanh Hà")</f>
        <v>Bùi Thị Thanh Hà</v>
      </c>
      <c r="J9399" s="3" t="str">
        <f ca="1">IFERROR(__xludf.DUMMYFUNCTION("""COMPUTED_VALUE"""),"0839973066")</f>
        <v>0839973066</v>
      </c>
      <c r="K9399" s="2" t="str">
        <f ca="1">IFERROR(__xludf.DUMMYFUNCTION("""COMPUTED_VALUE"""),"1765064389036")</f>
        <v>1765064389036</v>
      </c>
    </row>
    <row r="9400" spans="1:11" ht="12.45">
      <c r="A9400" s="2" t="str">
        <f ca="1">IFERROR(__xludf.DUMMYFUNCTION("""COMPUTED_VALUE"""),"1765064419943")</f>
        <v>1765064419943</v>
      </c>
      <c r="C9400" s="2" t="str">
        <v>0</v>
      </c>
      <c r="F9400" s="2" t="str">
        <v>0</v>
      </c>
      <c r="I9400" s="3" t="str">
        <f ca="1">IFERROR(__xludf.DUMMYFUNCTION("""COMPUTED_VALUE"""),"Hoàng Hải Yến")</f>
        <v>Hoàng Hải Yến</v>
      </c>
      <c r="J9400" s="3" t="str">
        <f ca="1">IFERROR(__xludf.DUMMYFUNCTION("""COMPUTED_VALUE"""),"0964156137")</f>
        <v>0964156137</v>
      </c>
      <c r="K9400" s="2" t="str">
        <f ca="1">IFERROR(__xludf.DUMMYFUNCTION("""COMPUTED_VALUE"""),"1765064419943")</f>
        <v>1765064419943</v>
      </c>
    </row>
    <row r="9401" spans="1:11" ht="12.45">
      <c r="A9401" s="2" t="str">
        <f ca="1">IFERROR(__xludf.DUMMYFUNCTION("""COMPUTED_VALUE"""),"1765064449464")</f>
        <v>1765064449464</v>
      </c>
      <c r="C9401" s="2" t="str">
        <v>0</v>
      </c>
      <c r="F9401" s="2" t="str">
        <v>0</v>
      </c>
      <c r="I9401" s="3" t="str">
        <f ca="1">IFERROR(__xludf.DUMMYFUNCTION("""COMPUTED_VALUE"""),"Phan Ngọc Thảo Vy ")</f>
        <v xml:space="preserve">Phan Ngọc Thảo Vy </v>
      </c>
      <c r="J9401" s="3" t="str">
        <f ca="1">IFERROR(__xludf.DUMMYFUNCTION("""COMPUTED_VALUE"""),"0816076390")</f>
        <v>0816076390</v>
      </c>
      <c r="K9401" s="2" t="str">
        <f ca="1">IFERROR(__xludf.DUMMYFUNCTION("""COMPUTED_VALUE"""),"1765064449464")</f>
        <v>1765064449464</v>
      </c>
    </row>
    <row r="9402" spans="1:11" ht="12.45">
      <c r="A9402" s="2" t="str">
        <f ca="1">IFERROR(__xludf.DUMMYFUNCTION("""COMPUTED_VALUE"""),"1765064478994")</f>
        <v>1765064478994</v>
      </c>
      <c r="C9402" s="2" t="str">
        <v>0</v>
      </c>
      <c r="F9402" s="2" t="str">
        <v>0</v>
      </c>
      <c r="I9402" s="3" t="str">
        <f ca="1">IFERROR(__xludf.DUMMYFUNCTION("""COMPUTED_VALUE"""),"Đinh Tuấn Huy")</f>
        <v>Đinh Tuấn Huy</v>
      </c>
      <c r="J9402" s="3" t="str">
        <f ca="1">IFERROR(__xludf.DUMMYFUNCTION("""COMPUTED_VALUE"""),"0349291016")</f>
        <v>0349291016</v>
      </c>
      <c r="K9402" s="2" t="str">
        <f ca="1">IFERROR(__xludf.DUMMYFUNCTION("""COMPUTED_VALUE"""),"1765064478994")</f>
        <v>1765064478994</v>
      </c>
    </row>
    <row r="9403" spans="1:11" ht="12.45">
      <c r="A9403" s="2" t="str">
        <f ca="1">IFERROR(__xludf.DUMMYFUNCTION("""COMPUTED_VALUE"""),"1765064510127")</f>
        <v>1765064510127</v>
      </c>
      <c r="C9403" s="2" t="str">
        <v>0</v>
      </c>
      <c r="F9403" s="2" t="str">
        <v>0</v>
      </c>
      <c r="I9403" s="3" t="str">
        <f ca="1">IFERROR(__xludf.DUMMYFUNCTION("""COMPUTED_VALUE"""),"Đặng Hiền Thảo ")</f>
        <v xml:space="preserve">Đặng Hiền Thảo </v>
      </c>
      <c r="J9403" s="3" t="str">
        <f ca="1">IFERROR(__xludf.DUMMYFUNCTION("""COMPUTED_VALUE"""),"0352351185")</f>
        <v>0352351185</v>
      </c>
      <c r="K9403" s="2" t="str">
        <f ca="1">IFERROR(__xludf.DUMMYFUNCTION("""COMPUTED_VALUE"""),"1765064510127")</f>
        <v>1765064510127</v>
      </c>
    </row>
    <row r="9404" spans="1:11" ht="12.45">
      <c r="A9404" s="2" t="str">
        <f ca="1">IFERROR(__xludf.DUMMYFUNCTION("""COMPUTED_VALUE"""),"1765064536819")</f>
        <v>1765064536819</v>
      </c>
      <c r="C9404" s="2" t="str">
        <v>0</v>
      </c>
      <c r="F9404" s="2" t="str">
        <v>0</v>
      </c>
      <c r="I9404" s="3" t="str">
        <f ca="1">IFERROR(__xludf.DUMMYFUNCTION("""COMPUTED_VALUE"""),"Vũ Huyền Tâm Anh")</f>
        <v>Vũ Huyền Tâm Anh</v>
      </c>
      <c r="J9404" s="3" t="str">
        <f ca="1">IFERROR(__xludf.DUMMYFUNCTION("""COMPUTED_VALUE"""),"0837356458")</f>
        <v>0837356458</v>
      </c>
      <c r="K9404" s="2" t="str">
        <f ca="1">IFERROR(__xludf.DUMMYFUNCTION("""COMPUTED_VALUE"""),"1765064536819")</f>
        <v>1765064536819</v>
      </c>
    </row>
    <row r="9405" spans="1:11" ht="12.45">
      <c r="A9405" s="2" t="str">
        <f ca="1">IFERROR(__xludf.DUMMYFUNCTION("""COMPUTED_VALUE"""),"1765064568610")</f>
        <v>1765064568610</v>
      </c>
      <c r="C9405" s="2" t="str">
        <v>0</v>
      </c>
      <c r="F9405" s="2" t="str">
        <v>0</v>
      </c>
      <c r="I9405" s="3" t="str">
        <f ca="1">IFERROR(__xludf.DUMMYFUNCTION("""COMPUTED_VALUE"""),"Ngô Kiều Trinh")</f>
        <v>Ngô Kiều Trinh</v>
      </c>
      <c r="J9405" s="3" t="str">
        <f ca="1">IFERROR(__xludf.DUMMYFUNCTION("""COMPUTED_VALUE"""),"0879504129")</f>
        <v>0879504129</v>
      </c>
      <c r="K9405" s="2" t="str">
        <f ca="1">IFERROR(__xludf.DUMMYFUNCTION("""COMPUTED_VALUE"""),"1765064568610")</f>
        <v>1765064568610</v>
      </c>
    </row>
    <row r="9406" spans="1:11" ht="12.45">
      <c r="A9406" s="2" t="str">
        <f ca="1">IFERROR(__xludf.DUMMYFUNCTION("""COMPUTED_VALUE"""),"1765064606294")</f>
        <v>1765064606294</v>
      </c>
      <c r="C9406" s="2" t="str">
        <v>0</v>
      </c>
      <c r="F9406" s="2" t="str">
        <v>0</v>
      </c>
      <c r="I9406" s="3" t="str">
        <f ca="1">IFERROR(__xludf.DUMMYFUNCTION("""COMPUTED_VALUE"""),"Nguyễn Vũ Duy")</f>
        <v>Nguyễn Vũ Duy</v>
      </c>
      <c r="J9406" s="3" t="str">
        <f ca="1">IFERROR(__xludf.DUMMYFUNCTION("""COMPUTED_VALUE"""),"0788537175")</f>
        <v>0788537175</v>
      </c>
      <c r="K9406" s="2" t="str">
        <f ca="1">IFERROR(__xludf.DUMMYFUNCTION("""COMPUTED_VALUE"""),"1765064606294")</f>
        <v>1765064606294</v>
      </c>
    </row>
    <row r="9407" spans="1:11" ht="12.45">
      <c r="A9407" s="2" t="str">
        <f ca="1">IFERROR(__xludf.DUMMYFUNCTION("""COMPUTED_VALUE"""),"1765064650331")</f>
        <v>1765064650331</v>
      </c>
      <c r="C9407" s="2" t="str">
        <v>0</v>
      </c>
      <c r="F9407" s="2" t="str">
        <v>0</v>
      </c>
      <c r="I9407" s="3" t="str">
        <f ca="1">IFERROR(__xludf.DUMMYFUNCTION("""COMPUTED_VALUE"""),"Nguyễn Hoàng Ân")</f>
        <v>Nguyễn Hoàng Ân</v>
      </c>
      <c r="J9407" s="3" t="str">
        <f ca="1">IFERROR(__xludf.DUMMYFUNCTION("""COMPUTED_VALUE"""),"0868364575")</f>
        <v>0868364575</v>
      </c>
      <c r="K9407" s="2" t="str">
        <f ca="1">IFERROR(__xludf.DUMMYFUNCTION("""COMPUTED_VALUE"""),"1765064650331")</f>
        <v>1765064650331</v>
      </c>
    </row>
    <row r="9408" spans="1:11" ht="12.45">
      <c r="A9408" s="2" t="str">
        <f ca="1">IFERROR(__xludf.DUMMYFUNCTION("""COMPUTED_VALUE"""),"1765064691448")</f>
        <v>1765064691448</v>
      </c>
      <c r="C9408" s="2" t="str">
        <v>0</v>
      </c>
      <c r="F9408" s="2" t="str">
        <v>0</v>
      </c>
      <c r="I9408" s="3" t="str">
        <f ca="1">IFERROR(__xludf.DUMMYFUNCTION("""COMPUTED_VALUE"""),"Võ Ngọc Thảo Uyên ")</f>
        <v xml:space="preserve">Võ Ngọc Thảo Uyên </v>
      </c>
      <c r="J9408" s="3" t="str">
        <f ca="1">IFERROR(__xludf.DUMMYFUNCTION("""COMPUTED_VALUE"""),"0905600202")</f>
        <v>0905600202</v>
      </c>
      <c r="K9408" s="2" t="str">
        <f ca="1">IFERROR(__xludf.DUMMYFUNCTION("""COMPUTED_VALUE"""),"1765064691448")</f>
        <v>1765064691448</v>
      </c>
    </row>
    <row r="9409" spans="1:11" ht="12.45">
      <c r="A9409" s="2" t="str">
        <f ca="1">IFERROR(__xludf.DUMMYFUNCTION("""COMPUTED_VALUE"""),"1765064726146")</f>
        <v>1765064726146</v>
      </c>
      <c r="C9409" s="2" t="str">
        <v>0</v>
      </c>
      <c r="F9409" s="2" t="str">
        <v>0</v>
      </c>
      <c r="I9409" s="3" t="str">
        <f ca="1">IFERROR(__xludf.DUMMYFUNCTION("""COMPUTED_VALUE"""),"Nguyễn Lê Khánh Huyền")</f>
        <v>Nguyễn Lê Khánh Huyền</v>
      </c>
      <c r="J9409" s="3" t="str">
        <f ca="1">IFERROR(__xludf.DUMMYFUNCTION("""COMPUTED_VALUE"""),"0352598005")</f>
        <v>0352598005</v>
      </c>
      <c r="K9409" s="2" t="str">
        <f ca="1">IFERROR(__xludf.DUMMYFUNCTION("""COMPUTED_VALUE"""),"1765064726146")</f>
        <v>1765064726146</v>
      </c>
    </row>
    <row r="9410" spans="1:11" ht="12.45">
      <c r="A9410" s="2" t="str">
        <f ca="1">IFERROR(__xludf.DUMMYFUNCTION("""COMPUTED_VALUE"""),"1765064764984")</f>
        <v>1765064764984</v>
      </c>
      <c r="C9410" s="2" t="str">
        <v>0</v>
      </c>
      <c r="F9410" s="2" t="str">
        <v>0</v>
      </c>
      <c r="I9410" s="3" t="str">
        <f ca="1">IFERROR(__xludf.DUMMYFUNCTION("""COMPUTED_VALUE"""),"Lâm Ngọc Kiều Hân")</f>
        <v>Lâm Ngọc Kiều Hân</v>
      </c>
      <c r="J9410" s="3" t="str">
        <f ca="1">IFERROR(__xludf.DUMMYFUNCTION("""COMPUTED_VALUE"""),"0776504335")</f>
        <v>0776504335</v>
      </c>
      <c r="K9410" s="2" t="str">
        <f ca="1">IFERROR(__xludf.DUMMYFUNCTION("""COMPUTED_VALUE"""),"1765064764984")</f>
        <v>1765064764984</v>
      </c>
    </row>
    <row r="9411" spans="1:11" ht="12.45">
      <c r="A9411" s="2" t="str">
        <f ca="1">IFERROR(__xludf.DUMMYFUNCTION("""COMPUTED_VALUE"""),"1765064801000")</f>
        <v>1765064801000</v>
      </c>
      <c r="C9411" s="2" t="str">
        <v>0</v>
      </c>
      <c r="F9411" s="2" t="str">
        <v>0</v>
      </c>
      <c r="I9411" s="3" t="str">
        <f ca="1">IFERROR(__xludf.DUMMYFUNCTION("""COMPUTED_VALUE"""),"Rô Đăm Phạm Vũ Sơn")</f>
        <v>Rô Đăm Phạm Vũ Sơn</v>
      </c>
      <c r="J9411" s="3" t="str">
        <f ca="1">IFERROR(__xludf.DUMMYFUNCTION("""COMPUTED_VALUE"""),"0817240407")</f>
        <v>0817240407</v>
      </c>
      <c r="K9411" s="2" t="str">
        <f ca="1">IFERROR(__xludf.DUMMYFUNCTION("""COMPUTED_VALUE"""),"1765064801000")</f>
        <v>1765064801000</v>
      </c>
    </row>
    <row r="9412" spans="1:11" ht="12.45">
      <c r="A9412" s="2" t="str">
        <f ca="1">IFERROR(__xludf.DUMMYFUNCTION("""COMPUTED_VALUE"""),"1765064831810")</f>
        <v>1765064831810</v>
      </c>
      <c r="C9412" s="2" t="str">
        <v>0</v>
      </c>
      <c r="F9412" s="2" t="str">
        <v>0</v>
      </c>
      <c r="I9412" s="3" t="str">
        <f ca="1">IFERROR(__xludf.DUMMYFUNCTION("""COMPUTED_VALUE"""),"Trần Phương Thảo")</f>
        <v>Trần Phương Thảo</v>
      </c>
      <c r="J9412" s="3" t="str">
        <f ca="1">IFERROR(__xludf.DUMMYFUNCTION("""COMPUTED_VALUE"""),"0913019285")</f>
        <v>0913019285</v>
      </c>
      <c r="K9412" s="2" t="str">
        <f ca="1">IFERROR(__xludf.DUMMYFUNCTION("""COMPUTED_VALUE"""),"1765064831810")</f>
        <v>1765064831810</v>
      </c>
    </row>
    <row r="9413" spans="1:11" ht="12.45">
      <c r="A9413" s="2" t="str">
        <f ca="1">IFERROR(__xludf.DUMMYFUNCTION("""COMPUTED_VALUE"""),"1765064871220")</f>
        <v>1765064871220</v>
      </c>
      <c r="C9413" s="2" t="str">
        <v>0</v>
      </c>
      <c r="F9413" s="2" t="str">
        <v>0</v>
      </c>
      <c r="I9413" s="3" t="str">
        <f ca="1">IFERROR(__xludf.DUMMYFUNCTION("""COMPUTED_VALUE"""),"Trần Thị Thanh Huyền ")</f>
        <v xml:space="preserve">Trần Thị Thanh Huyền </v>
      </c>
      <c r="J9413" s="3" t="str">
        <f ca="1">IFERROR(__xludf.DUMMYFUNCTION("""COMPUTED_VALUE"""),"0843807668")</f>
        <v>0843807668</v>
      </c>
      <c r="K9413" s="2" t="str">
        <f ca="1">IFERROR(__xludf.DUMMYFUNCTION("""COMPUTED_VALUE"""),"1765064871220")</f>
        <v>1765064871220</v>
      </c>
    </row>
    <row r="9414" spans="1:11" ht="12.45">
      <c r="A9414" s="2" t="str">
        <f ca="1">IFERROR(__xludf.DUMMYFUNCTION("""COMPUTED_VALUE"""),"1765064904136")</f>
        <v>1765064904136</v>
      </c>
      <c r="C9414" s="2" t="str">
        <v>0</v>
      </c>
      <c r="F9414" s="2" t="str">
        <v>0</v>
      </c>
      <c r="I9414" s="3" t="str">
        <f ca="1">IFERROR(__xludf.DUMMYFUNCTION("""COMPUTED_VALUE"""),"Trương Trâm Anh ")</f>
        <v xml:space="preserve">Trương Trâm Anh </v>
      </c>
      <c r="J9414" s="3" t="str">
        <f ca="1">IFERROR(__xludf.DUMMYFUNCTION("""COMPUTED_VALUE"""),"0914748264")</f>
        <v>0914748264</v>
      </c>
      <c r="K9414" s="2" t="str">
        <f ca="1">IFERROR(__xludf.DUMMYFUNCTION("""COMPUTED_VALUE"""),"1765064904136")</f>
        <v>1765064904136</v>
      </c>
    </row>
    <row r="9415" spans="1:11" ht="12.45">
      <c r="A9415" s="2" t="str">
        <f ca="1">IFERROR(__xludf.DUMMYFUNCTION("""COMPUTED_VALUE"""),"1765064946223")</f>
        <v>1765064946223</v>
      </c>
      <c r="C9415" s="2" t="str">
        <v>0</v>
      </c>
      <c r="F9415" s="2" t="str">
        <v>0</v>
      </c>
      <c r="I9415" s="3" t="str">
        <f ca="1">IFERROR(__xludf.DUMMYFUNCTION("""COMPUTED_VALUE"""),"Vũ Thu Thuỷ")</f>
        <v>Vũ Thu Thuỷ</v>
      </c>
      <c r="J9415" s="3" t="str">
        <f ca="1">IFERROR(__xludf.DUMMYFUNCTION("""COMPUTED_VALUE"""),"0325400660")</f>
        <v>0325400660</v>
      </c>
      <c r="K9415" s="2" t="str">
        <f ca="1">IFERROR(__xludf.DUMMYFUNCTION("""COMPUTED_VALUE"""),"1765064946223")</f>
        <v>1765064946223</v>
      </c>
    </row>
    <row r="9416" spans="1:11" ht="12.45">
      <c r="A9416" s="2" t="str">
        <f ca="1">IFERROR(__xludf.DUMMYFUNCTION("""COMPUTED_VALUE"""),"1765064980130")</f>
        <v>1765064980130</v>
      </c>
      <c r="C9416" s="2" t="str">
        <v>0</v>
      </c>
      <c r="F9416" s="2" t="str">
        <v>0</v>
      </c>
      <c r="I9416" s="3" t="str">
        <f ca="1">IFERROR(__xludf.DUMMYFUNCTION("""COMPUTED_VALUE"""),"Bảo Ngọc")</f>
        <v>Bảo Ngọc</v>
      </c>
      <c r="J9416" s="3" t="str">
        <f ca="1">IFERROR(__xludf.DUMMYFUNCTION("""COMPUTED_VALUE"""),"0357508936")</f>
        <v>0357508936</v>
      </c>
      <c r="K9416" s="2" t="str">
        <f ca="1">IFERROR(__xludf.DUMMYFUNCTION("""COMPUTED_VALUE"""),"1765064980130")</f>
        <v>1765064980130</v>
      </c>
    </row>
    <row r="9417" spans="1:11" ht="12.45">
      <c r="A9417" s="2" t="str">
        <f ca="1">IFERROR(__xludf.DUMMYFUNCTION("""COMPUTED_VALUE"""),"1765065011055")</f>
        <v>1765065011055</v>
      </c>
      <c r="C9417" s="2" t="str">
        <v>0</v>
      </c>
      <c r="F9417" s="2" t="str">
        <v>0</v>
      </c>
      <c r="I9417" s="3" t="str">
        <f ca="1">IFERROR(__xludf.DUMMYFUNCTION("""COMPUTED_VALUE"""),"Ngô Thị Minh Trang")</f>
        <v>Ngô Thị Minh Trang</v>
      </c>
      <c r="J9417" s="3" t="str">
        <f ca="1">IFERROR(__xludf.DUMMYFUNCTION("""COMPUTED_VALUE"""),"0865746265")</f>
        <v>0865746265</v>
      </c>
      <c r="K9417" s="2" t="str">
        <f ca="1">IFERROR(__xludf.DUMMYFUNCTION("""COMPUTED_VALUE"""),"1765065011055")</f>
        <v>1765065011055</v>
      </c>
    </row>
    <row r="9418" spans="1:11" ht="12.45">
      <c r="A9418" s="2" t="str">
        <f ca="1">IFERROR(__xludf.DUMMYFUNCTION("""COMPUTED_VALUE"""),"1765065053898")</f>
        <v>1765065053898</v>
      </c>
      <c r="C9418" s="2" t="str">
        <v>0</v>
      </c>
      <c r="F9418" s="2" t="str">
        <v>0</v>
      </c>
      <c r="I9418" s="3" t="str">
        <f ca="1">IFERROR(__xludf.DUMMYFUNCTION("""COMPUTED_VALUE"""),"Trịnh Quang Thắng")</f>
        <v>Trịnh Quang Thắng</v>
      </c>
      <c r="J9418" s="3" t="str">
        <f ca="1">IFERROR(__xludf.DUMMYFUNCTION("""COMPUTED_VALUE"""),"0878093358")</f>
        <v>0878093358</v>
      </c>
      <c r="K9418" s="2" t="str">
        <f ca="1">IFERROR(__xludf.DUMMYFUNCTION("""COMPUTED_VALUE"""),"1765065053898")</f>
        <v>1765065053898</v>
      </c>
    </row>
    <row r="9419" spans="1:11" ht="12.45">
      <c r="A9419" s="2" t="str">
        <f ca="1">IFERROR(__xludf.DUMMYFUNCTION("""COMPUTED_VALUE"""),"1765065099044")</f>
        <v>1765065099044</v>
      </c>
      <c r="C9419" s="2" t="str">
        <v>0</v>
      </c>
      <c r="F9419" s="2" t="str">
        <v>0</v>
      </c>
      <c r="I9419" s="3" t="str">
        <f ca="1">IFERROR(__xludf.DUMMYFUNCTION("""COMPUTED_VALUE"""),"Nguyễn Thúy Phương ")</f>
        <v xml:space="preserve">Nguyễn Thúy Phương </v>
      </c>
      <c r="J9419" s="3" t="str">
        <f ca="1">IFERROR(__xludf.DUMMYFUNCTION("""COMPUTED_VALUE"""),"0917614828")</f>
        <v>0917614828</v>
      </c>
      <c r="K9419" s="2" t="str">
        <f ca="1">IFERROR(__xludf.DUMMYFUNCTION("""COMPUTED_VALUE"""),"1765065099044")</f>
        <v>1765065099044</v>
      </c>
    </row>
    <row r="9420" spans="1:11" ht="12.45">
      <c r="A9420" s="2" t="str">
        <f ca="1">IFERROR(__xludf.DUMMYFUNCTION("""COMPUTED_VALUE"""),"1765065137656")</f>
        <v>1765065137656</v>
      </c>
      <c r="C9420" s="2" t="str">
        <v>0</v>
      </c>
      <c r="F9420" s="2" t="str">
        <v>0</v>
      </c>
      <c r="I9420" s="3" t="str">
        <f ca="1">IFERROR(__xludf.DUMMYFUNCTION("""COMPUTED_VALUE"""),"NGUYỄN QUỲNH CHI")</f>
        <v>NGUYỄN QUỲNH CHI</v>
      </c>
      <c r="J9420" s="3" t="str">
        <f ca="1">IFERROR(__xludf.DUMMYFUNCTION("""COMPUTED_VALUE"""),"0829263299")</f>
        <v>0829263299</v>
      </c>
      <c r="K9420" s="2" t="str">
        <f ca="1">IFERROR(__xludf.DUMMYFUNCTION("""COMPUTED_VALUE"""),"1765065137656")</f>
        <v>1765065137656</v>
      </c>
    </row>
    <row r="9421" spans="1:11" ht="12.45">
      <c r="A9421" s="2" t="str">
        <f ca="1">IFERROR(__xludf.DUMMYFUNCTION("""COMPUTED_VALUE"""),"1765065173769")</f>
        <v>1765065173769</v>
      </c>
      <c r="C9421" s="2" t="str">
        <v>0</v>
      </c>
      <c r="F9421" s="2" t="str">
        <v>0</v>
      </c>
      <c r="I9421" s="3" t="str">
        <f ca="1">IFERROR(__xludf.DUMMYFUNCTION("""COMPUTED_VALUE"""),"Nguyễn Mỹ Duyên")</f>
        <v>Nguyễn Mỹ Duyên</v>
      </c>
      <c r="J9421" s="3" t="str">
        <f ca="1">IFERROR(__xludf.DUMMYFUNCTION("""COMPUTED_VALUE"""),"0835499129")</f>
        <v>0835499129</v>
      </c>
      <c r="K9421" s="2" t="str">
        <f ca="1">IFERROR(__xludf.DUMMYFUNCTION("""COMPUTED_VALUE"""),"1765065173769")</f>
        <v>1765065173769</v>
      </c>
    </row>
    <row r="9422" spans="1:11" ht="12.45">
      <c r="A9422" s="2" t="str">
        <f ca="1">IFERROR(__xludf.DUMMYFUNCTION("""COMPUTED_VALUE"""),"1765065218241")</f>
        <v>1765065218241</v>
      </c>
      <c r="C9422" s="2" t="str">
        <v>0</v>
      </c>
      <c r="F9422" s="2" t="str">
        <v>0</v>
      </c>
      <c r="I9422" s="3" t="str">
        <f ca="1">IFERROR(__xludf.DUMMYFUNCTION("""COMPUTED_VALUE"""),"Nguyễn Đàm Minh Phúc")</f>
        <v>Nguyễn Đàm Minh Phúc</v>
      </c>
      <c r="J9422" s="3" t="str">
        <f ca="1">IFERROR(__xludf.DUMMYFUNCTION("""COMPUTED_VALUE"""),"0982266034")</f>
        <v>0982266034</v>
      </c>
      <c r="K9422" s="2" t="str">
        <f ca="1">IFERROR(__xludf.DUMMYFUNCTION("""COMPUTED_VALUE"""),"1765065218241")</f>
        <v>1765065218241</v>
      </c>
    </row>
    <row r="9423" spans="1:11" ht="12.45">
      <c r="A9423" s="2" t="str">
        <f ca="1">IFERROR(__xludf.DUMMYFUNCTION("""COMPUTED_VALUE"""),"1765065252729")</f>
        <v>1765065252729</v>
      </c>
      <c r="C9423" s="2" t="str">
        <v>0</v>
      </c>
      <c r="F9423" s="2" t="str">
        <v>0</v>
      </c>
      <c r="I9423" s="3" t="str">
        <f ca="1">IFERROR(__xludf.DUMMYFUNCTION("""COMPUTED_VALUE"""),"Trần Ngọc Yến")</f>
        <v>Trần Ngọc Yến</v>
      </c>
      <c r="J9423" s="3" t="str">
        <f ca="1">IFERROR(__xludf.DUMMYFUNCTION("""COMPUTED_VALUE"""),"0859992757")</f>
        <v>0859992757</v>
      </c>
      <c r="K9423" s="2" t="str">
        <f ca="1">IFERROR(__xludf.DUMMYFUNCTION("""COMPUTED_VALUE"""),"1765065252729")</f>
        <v>1765065252729</v>
      </c>
    </row>
    <row r="9424" spans="1:11" ht="12.45">
      <c r="A9424" s="2" t="str">
        <f ca="1">IFERROR(__xludf.DUMMYFUNCTION("""COMPUTED_VALUE"""),"1765065292056")</f>
        <v>1765065292056</v>
      </c>
      <c r="C9424" s="2" t="str">
        <v>0</v>
      </c>
      <c r="F9424" s="2" t="str">
        <v>0</v>
      </c>
      <c r="I9424" s="3" t="str">
        <f ca="1">IFERROR(__xludf.DUMMYFUNCTION("""COMPUTED_VALUE"""),"Đặng Bảo Trâm")</f>
        <v>Đặng Bảo Trâm</v>
      </c>
      <c r="J9424" s="3" t="str">
        <f ca="1">IFERROR(__xludf.DUMMYFUNCTION("""COMPUTED_VALUE"""),"0967749826")</f>
        <v>0967749826</v>
      </c>
      <c r="K9424" s="2" t="str">
        <f ca="1">IFERROR(__xludf.DUMMYFUNCTION("""COMPUTED_VALUE"""),"1765065292056")</f>
        <v>1765065292056</v>
      </c>
    </row>
    <row r="9425" spans="1:11" ht="12.45">
      <c r="A9425" s="2" t="str">
        <f ca="1">IFERROR(__xludf.DUMMYFUNCTION("""COMPUTED_VALUE"""),"1765065324754")</f>
        <v>1765065324754</v>
      </c>
      <c r="C9425" s="2" t="str">
        <v>0</v>
      </c>
      <c r="F9425" s="2" t="str">
        <v>0</v>
      </c>
      <c r="I9425" s="3" t="str">
        <f ca="1">IFERROR(__xludf.DUMMYFUNCTION("""COMPUTED_VALUE"""),"Nguyễn Thị Ánh Dương")</f>
        <v>Nguyễn Thị Ánh Dương</v>
      </c>
      <c r="J9425" s="3" t="str">
        <f ca="1">IFERROR(__xludf.DUMMYFUNCTION("""COMPUTED_VALUE"""),"0343340350")</f>
        <v>0343340350</v>
      </c>
      <c r="K9425" s="2" t="str">
        <f ca="1">IFERROR(__xludf.DUMMYFUNCTION("""COMPUTED_VALUE"""),"1765065324754")</f>
        <v>1765065324754</v>
      </c>
    </row>
    <row r="9426" spans="1:11" ht="12.45">
      <c r="A9426" s="2" t="str">
        <f ca="1">IFERROR(__xludf.DUMMYFUNCTION("""COMPUTED_VALUE"""),"1765065357318")</f>
        <v>1765065357318</v>
      </c>
      <c r="C9426" s="2" t="str">
        <v>0</v>
      </c>
      <c r="F9426" s="2" t="str">
        <v>0</v>
      </c>
      <c r="I9426" s="3" t="str">
        <f ca="1">IFERROR(__xludf.DUMMYFUNCTION("""COMPUTED_VALUE"""),"Nguyễn Võ Hồng Loan")</f>
        <v>Nguyễn Võ Hồng Loan</v>
      </c>
      <c r="J9426" s="3" t="str">
        <f ca="1">IFERROR(__xludf.DUMMYFUNCTION("""COMPUTED_VALUE"""),"0867346744")</f>
        <v>0867346744</v>
      </c>
      <c r="K9426" s="2" t="str">
        <f ca="1">IFERROR(__xludf.DUMMYFUNCTION("""COMPUTED_VALUE"""),"1765065357318")</f>
        <v>1765065357318</v>
      </c>
    </row>
    <row r="9427" spans="1:11" ht="12.45">
      <c r="A9427" s="2"/>
      <c r="C9427" s="2" t="str">
        <v>0</v>
      </c>
      <c r="F9427" s="2" t="str">
        <v>0</v>
      </c>
      <c r="I9427" s="3" t="str">
        <f ca="1">IFERROR(__xludf.DUMMYFUNCTION("""COMPUTED_VALUE"""),"Trần Duy Lộc")</f>
        <v>Trần Duy Lộc</v>
      </c>
      <c r="J9427" s="3" t="str">
        <f ca="1">IFERROR(__xludf.DUMMYFUNCTION("""COMPUTED_VALUE"""),"0352348623")</f>
        <v>0352348623</v>
      </c>
      <c r="K9427" s="2"/>
    </row>
    <row r="9428" spans="1:11" ht="12.45">
      <c r="A9428" s="2" t="str">
        <f ca="1">IFERROR(__xludf.DUMMYFUNCTION("""COMPUTED_VALUE"""),"1765065385611")</f>
        <v>1765065385611</v>
      </c>
      <c r="C9428" s="2" t="str">
        <v>0</v>
      </c>
      <c r="F9428" s="2" t="str">
        <v>0</v>
      </c>
      <c r="I9428" s="3" t="str">
        <f ca="1">IFERROR(__xludf.DUMMYFUNCTION("""COMPUTED_VALUE"""),"Đỗ Mỹ Quyên")</f>
        <v>Đỗ Mỹ Quyên</v>
      </c>
      <c r="J9428" s="3" t="str">
        <f ca="1">IFERROR(__xludf.DUMMYFUNCTION("""COMPUTED_VALUE"""),"0922288831")</f>
        <v>0922288831</v>
      </c>
      <c r="K9428" s="2" t="str">
        <f ca="1">IFERROR(__xludf.DUMMYFUNCTION("""COMPUTED_VALUE"""),"1765065385611")</f>
        <v>1765065385611</v>
      </c>
    </row>
    <row r="9429" spans="1:11" ht="12.45">
      <c r="A9429" s="2" t="str">
        <f ca="1">IFERROR(__xludf.DUMMYFUNCTION("""COMPUTED_VALUE"""),"1765065423352")</f>
        <v>1765065423352</v>
      </c>
      <c r="C9429" s="2" t="str">
        <v>0</v>
      </c>
      <c r="F9429" s="2" t="str">
        <v>0</v>
      </c>
      <c r="I9429" s="3" t="str">
        <f ca="1">IFERROR(__xludf.DUMMYFUNCTION("""COMPUTED_VALUE"""),"Nguyễn Vũ Đăng Khôi")</f>
        <v>Nguyễn Vũ Đăng Khôi</v>
      </c>
      <c r="J9429" s="3" t="str">
        <f ca="1">IFERROR(__xludf.DUMMYFUNCTION("""COMPUTED_VALUE"""),"0773256313")</f>
        <v>0773256313</v>
      </c>
      <c r="K9429" s="2" t="str">
        <f ca="1">IFERROR(__xludf.DUMMYFUNCTION("""COMPUTED_VALUE"""),"1765065423352")</f>
        <v>1765065423352</v>
      </c>
    </row>
    <row r="9430" spans="1:11" ht="12.45">
      <c r="A9430" s="2" t="str">
        <f ca="1">IFERROR(__xludf.DUMMYFUNCTION("""COMPUTED_VALUE"""),"1765065451872")</f>
        <v>1765065451872</v>
      </c>
      <c r="C9430" s="2" t="str">
        <v>0</v>
      </c>
      <c r="F9430" s="2" t="str">
        <v>0</v>
      </c>
      <c r="I9430" s="3" t="str">
        <f ca="1">IFERROR(__xludf.DUMMYFUNCTION("""COMPUTED_VALUE"""),"Châu Thị Thu Lệ ")</f>
        <v xml:space="preserve">Châu Thị Thu Lệ </v>
      </c>
      <c r="J9430" s="3" t="str">
        <f ca="1">IFERROR(__xludf.DUMMYFUNCTION("""COMPUTED_VALUE"""),"0852845039")</f>
        <v>0852845039</v>
      </c>
      <c r="K9430" s="2" t="str">
        <f ca="1">IFERROR(__xludf.DUMMYFUNCTION("""COMPUTED_VALUE"""),"1765065451872")</f>
        <v>1765065451872</v>
      </c>
    </row>
    <row r="9431" spans="1:11" ht="12.45">
      <c r="A9431" s="2" t="str">
        <f ca="1">IFERROR(__xludf.DUMMYFUNCTION("""COMPUTED_VALUE"""),"1765065485251")</f>
        <v>1765065485251</v>
      </c>
      <c r="C9431" s="2" t="str">
        <v>0</v>
      </c>
      <c r="F9431" s="2" t="str">
        <v>0</v>
      </c>
      <c r="I9431" s="3" t="str">
        <f ca="1">IFERROR(__xludf.DUMMYFUNCTION("""COMPUTED_VALUE"""),"Nguyễn Gia Linh")</f>
        <v>Nguyễn Gia Linh</v>
      </c>
      <c r="J9431" s="3" t="str">
        <f ca="1">IFERROR(__xludf.DUMMYFUNCTION("""COMPUTED_VALUE"""),"0338091844")</f>
        <v>0338091844</v>
      </c>
      <c r="K9431" s="2" t="str">
        <f ca="1">IFERROR(__xludf.DUMMYFUNCTION("""COMPUTED_VALUE"""),"1765065485251")</f>
        <v>1765065485251</v>
      </c>
    </row>
    <row r="9432" spans="1:11" ht="12.45">
      <c r="A9432" s="2" t="str">
        <f ca="1">IFERROR(__xludf.DUMMYFUNCTION("""COMPUTED_VALUE"""),"1765065518540")</f>
        <v>1765065518540</v>
      </c>
      <c r="C9432" s="2" t="str">
        <v>0</v>
      </c>
      <c r="F9432" s="2" t="str">
        <v>0</v>
      </c>
      <c r="I9432" s="3" t="str">
        <f ca="1">IFERROR(__xludf.DUMMYFUNCTION("""COMPUTED_VALUE"""),"Nguyễn Ngọc Minh Thuỳ")</f>
        <v>Nguyễn Ngọc Minh Thuỳ</v>
      </c>
      <c r="J9432" s="3" t="str">
        <f ca="1">IFERROR(__xludf.DUMMYFUNCTION("""COMPUTED_VALUE"""),"0964238628")</f>
        <v>0964238628</v>
      </c>
      <c r="K9432" s="2" t="str">
        <f ca="1">IFERROR(__xludf.DUMMYFUNCTION("""COMPUTED_VALUE"""),"1765065518540")</f>
        <v>1765065518540</v>
      </c>
    </row>
    <row r="9433" spans="1:11" ht="12.45">
      <c r="A9433" s="2" t="str">
        <f ca="1">IFERROR(__xludf.DUMMYFUNCTION("""COMPUTED_VALUE"""),"1765065562142")</f>
        <v>1765065562142</v>
      </c>
      <c r="C9433" s="2" t="str">
        <v>0</v>
      </c>
      <c r="F9433" s="2" t="str">
        <v>0</v>
      </c>
      <c r="I9433" s="3" t="str">
        <f ca="1">IFERROR(__xludf.DUMMYFUNCTION("""COMPUTED_VALUE"""),"Lê Hoa")</f>
        <v>Lê Hoa</v>
      </c>
      <c r="J9433" s="3" t="str">
        <f ca="1">IFERROR(__xludf.DUMMYFUNCTION("""COMPUTED_VALUE"""),"0984744531")</f>
        <v>0984744531</v>
      </c>
      <c r="K9433" s="2" t="str">
        <f ca="1">IFERROR(__xludf.DUMMYFUNCTION("""COMPUTED_VALUE"""),"1765065562142")</f>
        <v>1765065562142</v>
      </c>
    </row>
    <row r="9434" spans="1:11" ht="12.45">
      <c r="A9434" s="2" t="str">
        <f ca="1">IFERROR(__xludf.DUMMYFUNCTION("""COMPUTED_VALUE"""),"1765065596794")</f>
        <v>1765065596794</v>
      </c>
      <c r="C9434" s="2" t="str">
        <v>0</v>
      </c>
      <c r="F9434" s="2" t="str">
        <v>0</v>
      </c>
      <c r="I9434" s="3" t="str">
        <f ca="1">IFERROR(__xludf.DUMMYFUNCTION("""COMPUTED_VALUE"""),"ĐỖ THỊ NHÀI ")</f>
        <v xml:space="preserve">ĐỖ THỊ NHÀI </v>
      </c>
      <c r="J9434" s="3" t="str">
        <f ca="1">IFERROR(__xludf.DUMMYFUNCTION("""COMPUTED_VALUE"""),"0941315977")</f>
        <v>0941315977</v>
      </c>
      <c r="K9434" s="2" t="str">
        <f ca="1">IFERROR(__xludf.DUMMYFUNCTION("""COMPUTED_VALUE"""),"1765065596794")</f>
        <v>1765065596794</v>
      </c>
    </row>
    <row r="9435" spans="1:11" ht="12.45">
      <c r="A9435" s="2" t="str">
        <f ca="1">IFERROR(__xludf.DUMMYFUNCTION("""COMPUTED_VALUE"""),"1765065639896")</f>
        <v>1765065639896</v>
      </c>
      <c r="C9435" s="2" t="str">
        <v>0</v>
      </c>
      <c r="F9435" s="2" t="str">
        <v>0</v>
      </c>
      <c r="I9435" s="3" t="str">
        <f ca="1">IFERROR(__xludf.DUMMYFUNCTION("""COMPUTED_VALUE"""),"A Rất Thủy")</f>
        <v>A Rất Thủy</v>
      </c>
      <c r="J9435" s="3" t="str">
        <f ca="1">IFERROR(__xludf.DUMMYFUNCTION("""COMPUTED_VALUE"""),"0345371205")</f>
        <v>0345371205</v>
      </c>
      <c r="K9435" s="2" t="str">
        <f ca="1">IFERROR(__xludf.DUMMYFUNCTION("""COMPUTED_VALUE"""),"1765065639896")</f>
        <v>1765065639896</v>
      </c>
    </row>
    <row r="9436" spans="1:11" ht="12.45">
      <c r="A9436" s="2" t="str">
        <f ca="1">IFERROR(__xludf.DUMMYFUNCTION("""COMPUTED_VALUE"""),"1765065699616")</f>
        <v>1765065699616</v>
      </c>
      <c r="C9436" s="2" t="str">
        <v>0</v>
      </c>
      <c r="F9436" s="2" t="str">
        <v>0</v>
      </c>
      <c r="I9436" s="3" t="str">
        <f ca="1">IFERROR(__xludf.DUMMYFUNCTION("""COMPUTED_VALUE"""),"Phạm Ngọc Huyền ")</f>
        <v xml:space="preserve">Phạm Ngọc Huyền </v>
      </c>
      <c r="J9436" s="3" t="str">
        <f ca="1">IFERROR(__xludf.DUMMYFUNCTION("""COMPUTED_VALUE"""),"0332314182")</f>
        <v>0332314182</v>
      </c>
      <c r="K9436" s="2" t="str">
        <f ca="1">IFERROR(__xludf.DUMMYFUNCTION("""COMPUTED_VALUE"""),"1765065699616")</f>
        <v>1765065699616</v>
      </c>
    </row>
    <row r="9437" spans="1:11" ht="12.45">
      <c r="A9437" s="2"/>
      <c r="C9437" s="2" t="str">
        <v>0</v>
      </c>
      <c r="F9437" s="2" t="str">
        <v>0</v>
      </c>
      <c r="I9437" s="3" t="str">
        <f ca="1">IFERROR(__xludf.DUMMYFUNCTION("""COMPUTED_VALUE"""),"Nguyễn Hồng Quân")</f>
        <v>Nguyễn Hồng Quân</v>
      </c>
      <c r="J9437" s="3" t="str">
        <f ca="1">IFERROR(__xludf.DUMMYFUNCTION("""COMPUTED_VALUE"""),"0358370321")</f>
        <v>0358370321</v>
      </c>
      <c r="K9437" s="2"/>
    </row>
    <row r="9438" spans="1:11" ht="12.45">
      <c r="A9438" s="2" t="str">
        <f ca="1">IFERROR(__xludf.DUMMYFUNCTION("""COMPUTED_VALUE"""),"1765065736953")</f>
        <v>1765065736953</v>
      </c>
      <c r="C9438" s="2" t="str">
        <v>0</v>
      </c>
      <c r="F9438" s="2" t="str">
        <v>0</v>
      </c>
      <c r="I9438" s="3" t="str">
        <f ca="1">IFERROR(__xludf.DUMMYFUNCTION("""COMPUTED_VALUE"""),"Hồ Kim Định")</f>
        <v>Hồ Kim Định</v>
      </c>
      <c r="J9438" s="3" t="str">
        <f ca="1">IFERROR(__xludf.DUMMYFUNCTION("""COMPUTED_VALUE"""),"0967212007")</f>
        <v>0967212007</v>
      </c>
      <c r="K9438" s="2" t="str">
        <f ca="1">IFERROR(__xludf.DUMMYFUNCTION("""COMPUTED_VALUE"""),"1765065736953")</f>
        <v>1765065736953</v>
      </c>
    </row>
    <row r="9439" spans="1:11" ht="12.45">
      <c r="A9439" s="2" t="str">
        <f ca="1">IFERROR(__xludf.DUMMYFUNCTION("""COMPUTED_VALUE"""),"1765065778020")</f>
        <v>1765065778020</v>
      </c>
      <c r="C9439" s="2" t="str">
        <v>0</v>
      </c>
      <c r="F9439" s="2" t="str">
        <v>0</v>
      </c>
      <c r="I9439" s="3" t="str">
        <f ca="1">IFERROR(__xludf.DUMMYFUNCTION("""COMPUTED_VALUE"""),"Lê Thanh Ngọc ")</f>
        <v xml:space="preserve">Lê Thanh Ngọc </v>
      </c>
      <c r="J9439" s="3" t="str">
        <f ca="1">IFERROR(__xludf.DUMMYFUNCTION("""COMPUTED_VALUE"""),"0819284478")</f>
        <v>0819284478</v>
      </c>
      <c r="K9439" s="2" t="str">
        <f ca="1">IFERROR(__xludf.DUMMYFUNCTION("""COMPUTED_VALUE"""),"1765065778020")</f>
        <v>1765065778020</v>
      </c>
    </row>
    <row r="9440" spans="1:11" ht="12.45">
      <c r="A9440" s="2" t="str">
        <f ca="1">IFERROR(__xludf.DUMMYFUNCTION("""COMPUTED_VALUE"""),"1765250384405")</f>
        <v>1765250384405</v>
      </c>
      <c r="C9440" s="2" t="str">
        <v>0</v>
      </c>
      <c r="F9440" s="2" t="str">
        <v>0</v>
      </c>
      <c r="I9440" s="3" t="str">
        <f ca="1">IFERROR(__xludf.DUMMYFUNCTION("""COMPUTED_VALUE"""),"Ngô Diệu Linh ")</f>
        <v xml:space="preserve">Ngô Diệu Linh </v>
      </c>
      <c r="J9440" s="3" t="str">
        <f ca="1">IFERROR(__xludf.DUMMYFUNCTION("""COMPUTED_VALUE"""),"0974937491")</f>
        <v>0974937491</v>
      </c>
      <c r="K9440" s="2" t="str">
        <f ca="1">IFERROR(__xludf.DUMMYFUNCTION("""COMPUTED_VALUE"""),"1765250384405")</f>
        <v>1765250384405</v>
      </c>
    </row>
    <row r="9441" spans="1:11" ht="12.45">
      <c r="A9441" s="2" t="str">
        <f ca="1">IFERROR(__xludf.DUMMYFUNCTION("""COMPUTED_VALUE"""),"1765250418564")</f>
        <v>1765250418564</v>
      </c>
      <c r="C9441" s="2" t="str">
        <v>0</v>
      </c>
      <c r="F9441" s="2" t="str">
        <v>0</v>
      </c>
      <c r="I9441" s="3" t="str">
        <f ca="1">IFERROR(__xludf.DUMMYFUNCTION("""COMPUTED_VALUE"""),"Phạm Bảo Trân")</f>
        <v>Phạm Bảo Trân</v>
      </c>
      <c r="J9441" s="3" t="str">
        <f ca="1">IFERROR(__xludf.DUMMYFUNCTION("""COMPUTED_VALUE"""),"0762592818")</f>
        <v>0762592818</v>
      </c>
      <c r="K9441" s="2" t="str">
        <f ca="1">IFERROR(__xludf.DUMMYFUNCTION("""COMPUTED_VALUE"""),"1765250418564")</f>
        <v>1765250418564</v>
      </c>
    </row>
    <row r="9442" spans="1:11" ht="12.45">
      <c r="A9442" s="2" t="str">
        <f ca="1">IFERROR(__xludf.DUMMYFUNCTION("""COMPUTED_VALUE"""),"1765250457312")</f>
        <v>1765250457312</v>
      </c>
      <c r="C9442" s="2" t="str">
        <v>0</v>
      </c>
      <c r="F9442" s="2" t="str">
        <v>0</v>
      </c>
      <c r="I9442" s="3" t="str">
        <f ca="1">IFERROR(__xludf.DUMMYFUNCTION("""COMPUTED_VALUE"""),"Nguyễn Ngọc Anh")</f>
        <v>Nguyễn Ngọc Anh</v>
      </c>
      <c r="J9442" s="3" t="str">
        <f ca="1">IFERROR(__xludf.DUMMYFUNCTION("""COMPUTED_VALUE"""),"0343403828")</f>
        <v>0343403828</v>
      </c>
      <c r="K9442" s="2" t="str">
        <f ca="1">IFERROR(__xludf.DUMMYFUNCTION("""COMPUTED_VALUE"""),"1765250457312")</f>
        <v>1765250457312</v>
      </c>
    </row>
    <row r="9443" spans="1:11" ht="12.45">
      <c r="A9443" s="2">
        <f ca="1">IFERROR(__xludf.DUMMYFUNCTION("""COMPUTED_VALUE"""),1757041705996)</f>
        <v>1757041705996</v>
      </c>
      <c r="C9443" s="2" t="str">
        <v>0</v>
      </c>
      <c r="F9443" s="2" t="str">
        <v>0</v>
      </c>
      <c r="I9443" s="3" t="str">
        <f ca="1">IFERROR(__xludf.DUMMYFUNCTION("""COMPUTED_VALUE"""),"Nguyễn Ngọc Anh")</f>
        <v>Nguyễn Ngọc Anh</v>
      </c>
      <c r="J9443" s="3" t="str">
        <f ca="1">IFERROR(__xludf.DUMMYFUNCTION("""COMPUTED_VALUE"""),"0868040422")</f>
        <v>0868040422</v>
      </c>
      <c r="K9443" s="2">
        <f ca="1">IFERROR(__xludf.DUMMYFUNCTION("""COMPUTED_VALUE"""),1757041705996)</f>
        <v>1757041705996</v>
      </c>
    </row>
    <row r="9444" spans="1:11" ht="12.45">
      <c r="A9444" s="2">
        <f ca="1">IFERROR(__xludf.DUMMYFUNCTION("""COMPUTED_VALUE"""),1757041705996)</f>
        <v>1757041705996</v>
      </c>
      <c r="C9444" s="2" t="str">
        <v>0</v>
      </c>
      <c r="F9444" s="2" t="str">
        <v>0</v>
      </c>
      <c r="I9444" s="3" t="str">
        <f ca="1">IFERROR(__xludf.DUMMYFUNCTION("""COMPUTED_VALUE"""),"Hoàng Thành Nam")</f>
        <v>Hoàng Thành Nam</v>
      </c>
      <c r="J9444" s="3" t="str">
        <f ca="1">IFERROR(__xludf.DUMMYFUNCTION("""COMPUTED_VALUE"""),"0915888828")</f>
        <v>0915888828</v>
      </c>
      <c r="K9444" s="2">
        <f ca="1">IFERROR(__xludf.DUMMYFUNCTION("""COMPUTED_VALUE"""),1757041705996)</f>
        <v>1757041705996</v>
      </c>
    </row>
    <row r="9445" spans="1:11" ht="12.45">
      <c r="A9445" s="2" t="str">
        <f ca="1">IFERROR(__xludf.DUMMYFUNCTION("""COMPUTED_VALUE"""),"1765250489548")</f>
        <v>1765250489548</v>
      </c>
      <c r="C9445" s="2" t="str">
        <v>0</v>
      </c>
      <c r="F9445" s="2" t="str">
        <v>0</v>
      </c>
      <c r="I9445" s="3" t="str">
        <f ca="1">IFERROR(__xludf.DUMMYFUNCTION("""COMPUTED_VALUE"""),"Nguyễn Bảo Ngọc")</f>
        <v>Nguyễn Bảo Ngọc</v>
      </c>
      <c r="J9445" s="3" t="str">
        <f ca="1">IFERROR(__xludf.DUMMYFUNCTION("""COMPUTED_VALUE"""),"0338479740")</f>
        <v>0338479740</v>
      </c>
      <c r="K9445" s="2" t="str">
        <f ca="1">IFERROR(__xludf.DUMMYFUNCTION("""COMPUTED_VALUE"""),"1765250489548")</f>
        <v>1765250489548</v>
      </c>
    </row>
    <row r="9446" spans="1:11" ht="12.45">
      <c r="A9446" s="2" t="str">
        <f ca="1">IFERROR(__xludf.DUMMYFUNCTION("""COMPUTED_VALUE"""),"1765250517617")</f>
        <v>1765250517617</v>
      </c>
      <c r="C9446" s="2" t="str">
        <v>0</v>
      </c>
      <c r="F9446" s="2" t="str">
        <v>0</v>
      </c>
      <c r="I9446" s="3" t="str">
        <f ca="1">IFERROR(__xludf.DUMMYFUNCTION("""COMPUTED_VALUE"""),"Lê Văn  Hoàng Anh ")</f>
        <v xml:space="preserve">Lê Văn  Hoàng Anh </v>
      </c>
      <c r="J9446" s="3" t="str">
        <f ca="1">IFERROR(__xludf.DUMMYFUNCTION("""COMPUTED_VALUE"""),"0332334039")</f>
        <v>0332334039</v>
      </c>
      <c r="K9446" s="2" t="str">
        <f ca="1">IFERROR(__xludf.DUMMYFUNCTION("""COMPUTED_VALUE"""),"1765250517617")</f>
        <v>1765250517617</v>
      </c>
    </row>
    <row r="9447" spans="1:11" ht="12.45">
      <c r="A9447" s="2" t="str">
        <f ca="1">IFERROR(__xludf.DUMMYFUNCTION("""COMPUTED_VALUE"""),"1765250543524")</f>
        <v>1765250543524</v>
      </c>
      <c r="C9447" s="2" t="str">
        <v>0</v>
      </c>
      <c r="F9447" s="2" t="str">
        <v>0</v>
      </c>
      <c r="I9447" s="3" t="str">
        <f ca="1">IFERROR(__xludf.DUMMYFUNCTION("""COMPUTED_VALUE"""),"Lê Thu Ngân")</f>
        <v>Lê Thu Ngân</v>
      </c>
      <c r="J9447" s="3" t="str">
        <f ca="1">IFERROR(__xludf.DUMMYFUNCTION("""COMPUTED_VALUE"""),"0904458512")</f>
        <v>0904458512</v>
      </c>
      <c r="K9447" s="2" t="str">
        <f ca="1">IFERROR(__xludf.DUMMYFUNCTION("""COMPUTED_VALUE"""),"1765250543524")</f>
        <v>1765250543524</v>
      </c>
    </row>
    <row r="9448" spans="1:11" ht="12.45">
      <c r="A9448" s="2" t="str">
        <f ca="1">IFERROR(__xludf.DUMMYFUNCTION("""COMPUTED_VALUE"""),"1765250576335")</f>
        <v>1765250576335</v>
      </c>
      <c r="C9448" s="2" t="str">
        <v>0</v>
      </c>
      <c r="F9448" s="2" t="str">
        <v>0</v>
      </c>
      <c r="I9448" s="3" t="str">
        <f ca="1">IFERROR(__xludf.DUMMYFUNCTION("""COMPUTED_VALUE"""),"Phạm Kim Huệ")</f>
        <v>Phạm Kim Huệ</v>
      </c>
      <c r="J9448" s="3" t="str">
        <f ca="1">IFERROR(__xludf.DUMMYFUNCTION("""COMPUTED_VALUE"""),"0334389478")</f>
        <v>0334389478</v>
      </c>
      <c r="K9448" s="2" t="str">
        <f ca="1">IFERROR(__xludf.DUMMYFUNCTION("""COMPUTED_VALUE"""),"1765250576335")</f>
        <v>1765250576335</v>
      </c>
    </row>
    <row r="9449" spans="1:11" ht="12.45">
      <c r="A9449" s="2" t="str">
        <f ca="1">IFERROR(__xludf.DUMMYFUNCTION("""COMPUTED_VALUE"""),"1765250611213")</f>
        <v>1765250611213</v>
      </c>
      <c r="C9449" s="2" t="str">
        <v>0</v>
      </c>
      <c r="F9449" s="2" t="str">
        <v>0</v>
      </c>
      <c r="I9449" s="3" t="str">
        <f ca="1">IFERROR(__xludf.DUMMYFUNCTION("""COMPUTED_VALUE"""),"Phan Lê Quỳnh Anh")</f>
        <v>Phan Lê Quỳnh Anh</v>
      </c>
      <c r="J9449" s="3" t="str">
        <f ca="1">IFERROR(__xludf.DUMMYFUNCTION("""COMPUTED_VALUE"""),"8486833651")</f>
        <v>8486833651</v>
      </c>
      <c r="K9449" s="2" t="str">
        <f ca="1">IFERROR(__xludf.DUMMYFUNCTION("""COMPUTED_VALUE"""),"1765250611213")</f>
        <v>1765250611213</v>
      </c>
    </row>
    <row r="9450" spans="1:11" ht="12.45">
      <c r="A9450" s="2" t="str">
        <f ca="1">IFERROR(__xludf.DUMMYFUNCTION("""COMPUTED_VALUE"""),"1765250643856")</f>
        <v>1765250643856</v>
      </c>
      <c r="C9450" s="2" t="str">
        <v>0</v>
      </c>
      <c r="F9450" s="2" t="str">
        <v>0</v>
      </c>
      <c r="I9450" s="3" t="str">
        <f ca="1">IFERROR(__xludf.DUMMYFUNCTION("""COMPUTED_VALUE"""),"Thái Lưu Phúc Thịnh")</f>
        <v>Thái Lưu Phúc Thịnh</v>
      </c>
      <c r="J9450" s="3" t="str">
        <f ca="1">IFERROR(__xludf.DUMMYFUNCTION("""COMPUTED_VALUE"""),"0907575762")</f>
        <v>0907575762</v>
      </c>
      <c r="K9450" s="2" t="str">
        <f ca="1">IFERROR(__xludf.DUMMYFUNCTION("""COMPUTED_VALUE"""),"1765250643856")</f>
        <v>1765250643856</v>
      </c>
    </row>
    <row r="9451" spans="1:11" ht="12.45">
      <c r="A9451" s="2" t="str">
        <f ca="1">IFERROR(__xludf.DUMMYFUNCTION("""COMPUTED_VALUE"""),"1765250670371")</f>
        <v>1765250670371</v>
      </c>
      <c r="C9451" s="2" t="str">
        <v>0</v>
      </c>
      <c r="F9451" s="2" t="str">
        <v>0</v>
      </c>
      <c r="I9451" s="3" t="str">
        <f ca="1">IFERROR(__xludf.DUMMYFUNCTION("""COMPUTED_VALUE"""),"Lò Thị Trà My")</f>
        <v>Lò Thị Trà My</v>
      </c>
      <c r="J9451" s="3" t="str">
        <f ca="1">IFERROR(__xludf.DUMMYFUNCTION("""COMPUTED_VALUE"""),"0346641159")</f>
        <v>0346641159</v>
      </c>
      <c r="K9451" s="2" t="str">
        <f ca="1">IFERROR(__xludf.DUMMYFUNCTION("""COMPUTED_VALUE"""),"1765250670371")</f>
        <v>1765250670371</v>
      </c>
    </row>
    <row r="9452" spans="1:11" ht="12.45">
      <c r="A9452" s="2" t="str">
        <f ca="1">IFERROR(__xludf.DUMMYFUNCTION("""COMPUTED_VALUE"""),"1765250703646")</f>
        <v>1765250703646</v>
      </c>
      <c r="C9452" s="2" t="str">
        <v>0</v>
      </c>
      <c r="F9452" s="2" t="str">
        <v>0</v>
      </c>
      <c r="I9452" s="3" t="str">
        <f ca="1">IFERROR(__xludf.DUMMYFUNCTION("""COMPUTED_VALUE"""),"Phạm Phú Hoàng")</f>
        <v>Phạm Phú Hoàng</v>
      </c>
      <c r="J9452" s="3" t="str">
        <f ca="1">IFERROR(__xludf.DUMMYFUNCTION("""COMPUTED_VALUE"""),"0703965994")</f>
        <v>0703965994</v>
      </c>
      <c r="K9452" s="2" t="str">
        <f ca="1">IFERROR(__xludf.DUMMYFUNCTION("""COMPUTED_VALUE"""),"1765250703646")</f>
        <v>1765250703646</v>
      </c>
    </row>
    <row r="9453" spans="1:11" ht="12.45">
      <c r="A9453" s="2" t="str">
        <f ca="1">IFERROR(__xludf.DUMMYFUNCTION("""COMPUTED_VALUE"""),"1765250734764")</f>
        <v>1765250734764</v>
      </c>
      <c r="C9453" s="2" t="str">
        <v>0</v>
      </c>
      <c r="F9453" s="2" t="str">
        <v>0</v>
      </c>
      <c r="I9453" s="3" t="str">
        <f ca="1">IFERROR(__xludf.DUMMYFUNCTION("""COMPUTED_VALUE"""),"Phan Trần Khánh Nam")</f>
        <v>Phan Trần Khánh Nam</v>
      </c>
      <c r="J9453" s="3" t="str">
        <f ca="1">IFERROR(__xludf.DUMMYFUNCTION("""COMPUTED_VALUE"""),"0797183636")</f>
        <v>0797183636</v>
      </c>
      <c r="K9453" s="2" t="str">
        <f ca="1">IFERROR(__xludf.DUMMYFUNCTION("""COMPUTED_VALUE"""),"1765250734764")</f>
        <v>1765250734764</v>
      </c>
    </row>
    <row r="9454" spans="1:11" ht="12.45">
      <c r="A9454" s="2" t="str">
        <f ca="1">IFERROR(__xludf.DUMMYFUNCTION("""COMPUTED_VALUE"""),"1765250769553")</f>
        <v>1765250769553</v>
      </c>
      <c r="C9454" s="2" t="str">
        <v>0</v>
      </c>
      <c r="F9454" s="2" t="str">
        <v>0</v>
      </c>
      <c r="I9454" s="3" t="str">
        <f ca="1">IFERROR(__xludf.DUMMYFUNCTION("""COMPUTED_VALUE"""),"Trần Lê Ngọc Thi ")</f>
        <v xml:space="preserve">Trần Lê Ngọc Thi </v>
      </c>
      <c r="J9454" s="3" t="str">
        <f ca="1">IFERROR(__xludf.DUMMYFUNCTION("""COMPUTED_VALUE"""),"0338506562")</f>
        <v>0338506562</v>
      </c>
      <c r="K9454" s="2" t="str">
        <f ca="1">IFERROR(__xludf.DUMMYFUNCTION("""COMPUTED_VALUE"""),"1765250769553")</f>
        <v>1765250769553</v>
      </c>
    </row>
    <row r="9455" spans="1:11" ht="12.45">
      <c r="A9455" s="2"/>
      <c r="C9455" s="2" t="str">
        <v>0</v>
      </c>
      <c r="F9455" s="2" t="str">
        <v>0</v>
      </c>
      <c r="I9455" s="3" t="str">
        <f ca="1">IFERROR(__xludf.DUMMYFUNCTION("""COMPUTED_VALUE"""),"Vũ Trần Thanh Hằng")</f>
        <v>Vũ Trần Thanh Hằng</v>
      </c>
      <c r="J9455" s="3" t="str">
        <f ca="1">IFERROR(__xludf.DUMMYFUNCTION("""COMPUTED_VALUE"""),"0345962506")</f>
        <v>0345962506</v>
      </c>
      <c r="K9455" s="2"/>
    </row>
    <row r="9456" spans="1:11" ht="12.45">
      <c r="A9456" s="2" t="str">
        <f ca="1">IFERROR(__xludf.DUMMYFUNCTION("""COMPUTED_VALUE"""),"1765250807763")</f>
        <v>1765250807763</v>
      </c>
      <c r="C9456" s="2" t="str">
        <v>0</v>
      </c>
      <c r="F9456" s="2" t="str">
        <v>0</v>
      </c>
      <c r="I9456" s="3" t="str">
        <f ca="1">IFERROR(__xludf.DUMMYFUNCTION("""COMPUTED_VALUE"""),"Hoàng Thị Cành")</f>
        <v>Hoàng Thị Cành</v>
      </c>
      <c r="J9456" s="3" t="str">
        <f ca="1">IFERROR(__xludf.DUMMYFUNCTION("""COMPUTED_VALUE"""),"0942293203")</f>
        <v>0942293203</v>
      </c>
      <c r="K9456" s="2" t="str">
        <f ca="1">IFERROR(__xludf.DUMMYFUNCTION("""COMPUTED_VALUE"""),"1765250807763")</f>
        <v>1765250807763</v>
      </c>
    </row>
    <row r="9457" spans="1:11" ht="12.45">
      <c r="A9457" s="2" t="str">
        <f ca="1">IFERROR(__xludf.DUMMYFUNCTION("""COMPUTED_VALUE"""),"1765250839871")</f>
        <v>1765250839871</v>
      </c>
      <c r="C9457" s="2" t="str">
        <v>0</v>
      </c>
      <c r="F9457" s="2" t="str">
        <v>0</v>
      </c>
      <c r="I9457" s="3" t="str">
        <f ca="1">IFERROR(__xludf.DUMMYFUNCTION("""COMPUTED_VALUE"""),"Nguyễn Minh Hằng")</f>
        <v>Nguyễn Minh Hằng</v>
      </c>
      <c r="J9457" s="3" t="str">
        <f ca="1">IFERROR(__xludf.DUMMYFUNCTION("""COMPUTED_VALUE"""),"0766679572")</f>
        <v>0766679572</v>
      </c>
      <c r="K9457" s="2" t="str">
        <f ca="1">IFERROR(__xludf.DUMMYFUNCTION("""COMPUTED_VALUE"""),"1765250839871")</f>
        <v>1765250839871</v>
      </c>
    </row>
    <row r="9458" spans="1:11" ht="12.45">
      <c r="A9458" s="2" t="str">
        <f ca="1">IFERROR(__xludf.DUMMYFUNCTION("""COMPUTED_VALUE"""),"1765250870225")</f>
        <v>1765250870225</v>
      </c>
      <c r="C9458" s="2" t="str">
        <v>0</v>
      </c>
      <c r="F9458" s="2" t="str">
        <v>0</v>
      </c>
      <c r="I9458" s="3" t="str">
        <f ca="1">IFERROR(__xludf.DUMMYFUNCTION("""COMPUTED_VALUE"""),"Vũ Đình Trọng")</f>
        <v>Vũ Đình Trọng</v>
      </c>
      <c r="J9458" s="3" t="str">
        <f ca="1">IFERROR(__xludf.DUMMYFUNCTION("""COMPUTED_VALUE"""),"0978475359")</f>
        <v>0978475359</v>
      </c>
      <c r="K9458" s="2" t="str">
        <f ca="1">IFERROR(__xludf.DUMMYFUNCTION("""COMPUTED_VALUE"""),"1765250870225")</f>
        <v>1765250870225</v>
      </c>
    </row>
    <row r="9459" spans="1:11" ht="12.45">
      <c r="A9459" s="2" t="str">
        <f ca="1">IFERROR(__xludf.DUMMYFUNCTION("""COMPUTED_VALUE"""),"1765250893398")</f>
        <v>1765250893398</v>
      </c>
      <c r="C9459" s="2" t="str">
        <v>0</v>
      </c>
      <c r="F9459" s="2" t="str">
        <v>0</v>
      </c>
      <c r="I9459" s="3" t="str">
        <f ca="1">IFERROR(__xludf.DUMMYFUNCTION("""COMPUTED_VALUE"""),"Nguyễn Ngọc Bảo Trân")</f>
        <v>Nguyễn Ngọc Bảo Trân</v>
      </c>
      <c r="J9459" s="3" t="str">
        <f ca="1">IFERROR(__xludf.DUMMYFUNCTION("""COMPUTED_VALUE"""),"0918626736")</f>
        <v>0918626736</v>
      </c>
      <c r="K9459" s="2" t="str">
        <f ca="1">IFERROR(__xludf.DUMMYFUNCTION("""COMPUTED_VALUE"""),"1765250893398")</f>
        <v>1765250893398</v>
      </c>
    </row>
    <row r="9460" spans="1:11" ht="12.45">
      <c r="A9460" s="2" t="str">
        <f ca="1">IFERROR(__xludf.DUMMYFUNCTION("""COMPUTED_VALUE"""),"1765250926132")</f>
        <v>1765250926132</v>
      </c>
      <c r="C9460" s="2" t="str">
        <v>0</v>
      </c>
      <c r="F9460" s="2" t="str">
        <v>0</v>
      </c>
      <c r="I9460" s="3" t="str">
        <f ca="1">IFERROR(__xludf.DUMMYFUNCTION("""COMPUTED_VALUE"""),"Lèng Thị Hoài")</f>
        <v>Lèng Thị Hoài</v>
      </c>
      <c r="J9460" s="3" t="str">
        <f ca="1">IFERROR(__xludf.DUMMYFUNCTION("""COMPUTED_VALUE"""),"0347293652")</f>
        <v>0347293652</v>
      </c>
      <c r="K9460" s="2" t="str">
        <f ca="1">IFERROR(__xludf.DUMMYFUNCTION("""COMPUTED_VALUE"""),"1765250926132")</f>
        <v>1765250926132</v>
      </c>
    </row>
    <row r="9461" spans="1:11" ht="12.45">
      <c r="A9461" s="2" t="str">
        <f ca="1">IFERROR(__xludf.DUMMYFUNCTION("""COMPUTED_VALUE"""),"1765250962935")</f>
        <v>1765250962935</v>
      </c>
      <c r="C9461" s="2" t="str">
        <v>0</v>
      </c>
      <c r="F9461" s="2" t="str">
        <v>0</v>
      </c>
      <c r="I9461" s="3" t="str">
        <f ca="1">IFERROR(__xludf.DUMMYFUNCTION("""COMPUTED_VALUE"""),"Phạm Nguyễn Tường Vy")</f>
        <v>Phạm Nguyễn Tường Vy</v>
      </c>
      <c r="J9461" s="3" t="str">
        <f ca="1">IFERROR(__xludf.DUMMYFUNCTION("""COMPUTED_VALUE"""),"0916490941")</f>
        <v>0916490941</v>
      </c>
      <c r="K9461" s="2" t="str">
        <f ca="1">IFERROR(__xludf.DUMMYFUNCTION("""COMPUTED_VALUE"""),"1765250962935")</f>
        <v>1765250962935</v>
      </c>
    </row>
    <row r="9462" spans="1:11" ht="12.45">
      <c r="A9462" s="2" t="str">
        <f ca="1">IFERROR(__xludf.DUMMYFUNCTION("""COMPUTED_VALUE"""),"1765250996123")</f>
        <v>1765250996123</v>
      </c>
      <c r="C9462" s="2" t="str">
        <v>0</v>
      </c>
      <c r="F9462" s="2" t="str">
        <v>0</v>
      </c>
      <c r="I9462" s="3" t="str">
        <f ca="1">IFERROR(__xludf.DUMMYFUNCTION("""COMPUTED_VALUE"""),"Tôn Nữ Tâm Anh")</f>
        <v>Tôn Nữ Tâm Anh</v>
      </c>
      <c r="J9462" s="3" t="str">
        <f ca="1">IFERROR(__xludf.DUMMYFUNCTION("""COMPUTED_VALUE"""),"0788643630")</f>
        <v>0788643630</v>
      </c>
      <c r="K9462" s="2" t="str">
        <f ca="1">IFERROR(__xludf.DUMMYFUNCTION("""COMPUTED_VALUE"""),"1765250996123")</f>
        <v>1765250996123</v>
      </c>
    </row>
    <row r="9463" spans="1:11" ht="12.45">
      <c r="A9463" s="2" t="str">
        <f ca="1">IFERROR(__xludf.DUMMYFUNCTION("""COMPUTED_VALUE"""),"1765251030635")</f>
        <v>1765251030635</v>
      </c>
      <c r="C9463" s="2" t="str">
        <v>0</v>
      </c>
      <c r="F9463" s="2" t="str">
        <v>0</v>
      </c>
      <c r="I9463" s="3" t="str">
        <f ca="1">IFERROR(__xludf.DUMMYFUNCTION("""COMPUTED_VALUE"""),"Đinh Thị Mỹ Khuê ")</f>
        <v xml:space="preserve">Đinh Thị Mỹ Khuê </v>
      </c>
      <c r="J9463" s="3" t="str">
        <f ca="1">IFERROR(__xludf.DUMMYFUNCTION("""COMPUTED_VALUE"""),"0797005237")</f>
        <v>0797005237</v>
      </c>
      <c r="K9463" s="2" t="str">
        <f ca="1">IFERROR(__xludf.DUMMYFUNCTION("""COMPUTED_VALUE"""),"1765251030635")</f>
        <v>1765251030635</v>
      </c>
    </row>
    <row r="9464" spans="1:11" ht="12.45">
      <c r="A9464" s="2" t="str">
        <f ca="1">IFERROR(__xludf.DUMMYFUNCTION("""COMPUTED_VALUE"""),"1765251058113")</f>
        <v>1765251058113</v>
      </c>
      <c r="C9464" s="2" t="str">
        <v>0</v>
      </c>
      <c r="F9464" s="2" t="str">
        <v>0</v>
      </c>
      <c r="I9464" s="3" t="str">
        <f ca="1">IFERROR(__xludf.DUMMYFUNCTION("""COMPUTED_VALUE"""),"Trần Thu Hà")</f>
        <v>Trần Thu Hà</v>
      </c>
      <c r="J9464" s="3" t="str">
        <f ca="1">IFERROR(__xludf.DUMMYFUNCTION("""COMPUTED_VALUE"""),"0911196151")</f>
        <v>0911196151</v>
      </c>
      <c r="K9464" s="2" t="str">
        <f ca="1">IFERROR(__xludf.DUMMYFUNCTION("""COMPUTED_VALUE"""),"1765251058113")</f>
        <v>1765251058113</v>
      </c>
    </row>
    <row r="9465" spans="1:11" ht="12.45">
      <c r="A9465" s="2" t="str">
        <f ca="1">IFERROR(__xludf.DUMMYFUNCTION("""COMPUTED_VALUE"""),"1765251082100")</f>
        <v>1765251082100</v>
      </c>
      <c r="C9465" s="2" t="str">
        <v>0</v>
      </c>
      <c r="F9465" s="2" t="str">
        <v>0</v>
      </c>
      <c r="I9465" s="3" t="str">
        <f ca="1">IFERROR(__xludf.DUMMYFUNCTION("""COMPUTED_VALUE"""),"Phạm Mai Dung")</f>
        <v>Phạm Mai Dung</v>
      </c>
      <c r="J9465" s="3" t="str">
        <f ca="1">IFERROR(__xludf.DUMMYFUNCTION("""COMPUTED_VALUE"""),"0336077907")</f>
        <v>0336077907</v>
      </c>
      <c r="K9465" s="2" t="str">
        <f ca="1">IFERROR(__xludf.DUMMYFUNCTION("""COMPUTED_VALUE"""),"1765251082100")</f>
        <v>1765251082100</v>
      </c>
    </row>
    <row r="9466" spans="1:11" ht="12.45">
      <c r="A9466" s="2" t="str">
        <f ca="1">IFERROR(__xludf.DUMMYFUNCTION("""COMPUTED_VALUE"""),"1765251103934")</f>
        <v>1765251103934</v>
      </c>
      <c r="C9466" s="2" t="str">
        <v>0</v>
      </c>
      <c r="F9466" s="2" t="str">
        <v>0</v>
      </c>
      <c r="I9466" s="3" t="str">
        <f ca="1">IFERROR(__xludf.DUMMYFUNCTION("""COMPUTED_VALUE"""),"ĐẶNG THUỲ DƯƠNG ")</f>
        <v xml:space="preserve">ĐẶNG THUỲ DƯƠNG </v>
      </c>
      <c r="J9466" s="3" t="str">
        <f ca="1">IFERROR(__xludf.DUMMYFUNCTION("""COMPUTED_VALUE"""),"0399054984")</f>
        <v>0399054984</v>
      </c>
      <c r="K9466" s="2" t="str">
        <f ca="1">IFERROR(__xludf.DUMMYFUNCTION("""COMPUTED_VALUE"""),"1765251103934")</f>
        <v>1765251103934</v>
      </c>
    </row>
    <row r="9467" spans="1:11" ht="12.45">
      <c r="A9467" s="2" t="str">
        <f ca="1">IFERROR(__xludf.DUMMYFUNCTION("""COMPUTED_VALUE"""),"1765251129199")</f>
        <v>1765251129199</v>
      </c>
      <c r="C9467" s="2" t="str">
        <v>0</v>
      </c>
      <c r="F9467" s="2" t="str">
        <v>0</v>
      </c>
      <c r="I9467" s="3" t="str">
        <f ca="1">IFERROR(__xludf.DUMMYFUNCTION("""COMPUTED_VALUE"""),"Lý thị minh nguyệt")</f>
        <v>Lý thị minh nguyệt</v>
      </c>
      <c r="J9467" s="3" t="str">
        <f ca="1">IFERROR(__xludf.DUMMYFUNCTION("""COMPUTED_VALUE"""),"0335079450")</f>
        <v>0335079450</v>
      </c>
      <c r="K9467" s="2" t="str">
        <f ca="1">IFERROR(__xludf.DUMMYFUNCTION("""COMPUTED_VALUE"""),"1765251129199")</f>
        <v>1765251129199</v>
      </c>
    </row>
    <row r="9468" spans="1:11" ht="12.45">
      <c r="A9468" s="2" t="str">
        <f ca="1">IFERROR(__xludf.DUMMYFUNCTION("""COMPUTED_VALUE"""),"1765251160849")</f>
        <v>1765251160849</v>
      </c>
      <c r="C9468" s="2" t="str">
        <v>0</v>
      </c>
      <c r="F9468" s="2" t="str">
        <v>0</v>
      </c>
      <c r="I9468" s="3" t="str">
        <f ca="1">IFERROR(__xludf.DUMMYFUNCTION("""COMPUTED_VALUE"""),"Võ Thị Thu Trang")</f>
        <v>Võ Thị Thu Trang</v>
      </c>
      <c r="J9468" s="3" t="str">
        <f ca="1">IFERROR(__xludf.DUMMYFUNCTION("""COMPUTED_VALUE"""),"0357503982")</f>
        <v>0357503982</v>
      </c>
      <c r="K9468" s="2" t="str">
        <f ca="1">IFERROR(__xludf.DUMMYFUNCTION("""COMPUTED_VALUE"""),"1765251160849")</f>
        <v>1765251160849</v>
      </c>
    </row>
    <row r="9469" spans="1:11" ht="12.45">
      <c r="A9469" s="2" t="str">
        <f ca="1">IFERROR(__xludf.DUMMYFUNCTION("""COMPUTED_VALUE"""),"1765251189818")</f>
        <v>1765251189818</v>
      </c>
      <c r="C9469" s="2" t="str">
        <v>0</v>
      </c>
      <c r="F9469" s="2" t="str">
        <v>0</v>
      </c>
      <c r="I9469" s="3" t="str">
        <f ca="1">IFERROR(__xludf.DUMMYFUNCTION("""COMPUTED_VALUE"""),"Phạm Đoàn Yến Nhi")</f>
        <v>Phạm Đoàn Yến Nhi</v>
      </c>
      <c r="J9469" s="3" t="str">
        <f ca="1">IFERROR(__xludf.DUMMYFUNCTION("""COMPUTED_VALUE"""),"0355010907")</f>
        <v>0355010907</v>
      </c>
      <c r="K9469" s="2" t="str">
        <f ca="1">IFERROR(__xludf.DUMMYFUNCTION("""COMPUTED_VALUE"""),"1765251189818")</f>
        <v>1765251189818</v>
      </c>
    </row>
    <row r="9470" spans="1:11" ht="12.45">
      <c r="A9470" s="2" t="str">
        <f ca="1">IFERROR(__xludf.DUMMYFUNCTION("""COMPUTED_VALUE"""),"1765251224030")</f>
        <v>1765251224030</v>
      </c>
      <c r="C9470" s="2" t="str">
        <v>0</v>
      </c>
      <c r="F9470" s="2" t="str">
        <v>0</v>
      </c>
      <c r="I9470" s="3" t="str">
        <f ca="1">IFERROR(__xludf.DUMMYFUNCTION("""COMPUTED_VALUE"""),"Lê Thị Anh Dung")</f>
        <v>Lê Thị Anh Dung</v>
      </c>
      <c r="J9470" s="3" t="str">
        <f ca="1">IFERROR(__xludf.DUMMYFUNCTION("""COMPUTED_VALUE"""),"0768422952")</f>
        <v>0768422952</v>
      </c>
      <c r="K9470" s="2" t="str">
        <f ca="1">IFERROR(__xludf.DUMMYFUNCTION("""COMPUTED_VALUE"""),"1765251224030")</f>
        <v>1765251224030</v>
      </c>
    </row>
    <row r="9471" spans="1:11" ht="12.45">
      <c r="A9471" s="2"/>
      <c r="C9471" s="2" t="str">
        <v>0</v>
      </c>
      <c r="F9471" s="2" t="str">
        <v>0</v>
      </c>
      <c r="I9471" s="3" t="str">
        <f ca="1">IFERROR(__xludf.DUMMYFUNCTION("""COMPUTED_VALUE"""),"Trần Gia Linh")</f>
        <v>Trần Gia Linh</v>
      </c>
      <c r="J9471" s="3" t="str">
        <f ca="1">IFERROR(__xludf.DUMMYFUNCTION("""COMPUTED_VALUE"""),"0907845566")</f>
        <v>0907845566</v>
      </c>
      <c r="K9471" s="2"/>
    </row>
    <row r="9472" spans="1:11" ht="12.45">
      <c r="A9472" s="2" t="str">
        <f ca="1">IFERROR(__xludf.DUMMYFUNCTION("""COMPUTED_VALUE"""),"1765251257658")</f>
        <v>1765251257658</v>
      </c>
      <c r="C9472" s="2" t="str">
        <v>0</v>
      </c>
      <c r="F9472" s="2" t="str">
        <v>0</v>
      </c>
      <c r="I9472" s="3" t="str">
        <f ca="1">IFERROR(__xludf.DUMMYFUNCTION("""COMPUTED_VALUE"""),"Nguyễn Tiêu Đoan")</f>
        <v>Nguyễn Tiêu Đoan</v>
      </c>
      <c r="J9472" s="3" t="str">
        <f ca="1">IFERROR(__xludf.DUMMYFUNCTION("""COMPUTED_VALUE"""),"0889171106")</f>
        <v>0889171106</v>
      </c>
      <c r="K9472" s="2" t="str">
        <f ca="1">IFERROR(__xludf.DUMMYFUNCTION("""COMPUTED_VALUE"""),"1765251257658")</f>
        <v>1765251257658</v>
      </c>
    </row>
    <row r="9473" spans="1:11" ht="12.45">
      <c r="A9473" s="2" t="str">
        <f ca="1">IFERROR(__xludf.DUMMYFUNCTION("""COMPUTED_VALUE"""),"1765251284825")</f>
        <v>1765251284825</v>
      </c>
      <c r="C9473" s="2" t="str">
        <v>0</v>
      </c>
      <c r="F9473" s="2" t="str">
        <v>0</v>
      </c>
      <c r="I9473" s="3" t="str">
        <f ca="1">IFERROR(__xludf.DUMMYFUNCTION("""COMPUTED_VALUE"""),"Nguyễn Phan Bảo Như ")</f>
        <v xml:space="preserve">Nguyễn Phan Bảo Như </v>
      </c>
      <c r="J9473" s="3" t="str">
        <f ca="1">IFERROR(__xludf.DUMMYFUNCTION("""COMPUTED_VALUE"""),"0817771106")</f>
        <v>0817771106</v>
      </c>
      <c r="K9473" s="2" t="str">
        <f ca="1">IFERROR(__xludf.DUMMYFUNCTION("""COMPUTED_VALUE"""),"1765251284825")</f>
        <v>1765251284825</v>
      </c>
    </row>
    <row r="9474" spans="1:11" ht="12.45">
      <c r="A9474" s="2" t="str">
        <f ca="1">IFERROR(__xludf.DUMMYFUNCTION("""COMPUTED_VALUE"""),"1765251315835")</f>
        <v>1765251315835</v>
      </c>
      <c r="C9474" s="2" t="str">
        <v>0</v>
      </c>
      <c r="F9474" s="2" t="str">
        <v>0</v>
      </c>
      <c r="I9474" s="3" t="str">
        <f ca="1">IFERROR(__xludf.DUMMYFUNCTION("""COMPUTED_VALUE"""),"DƯƠNG THỊ MINH ÁNH")</f>
        <v>DƯƠNG THỊ MINH ÁNH</v>
      </c>
      <c r="J9474" s="3" t="str">
        <f ca="1">IFERROR(__xludf.DUMMYFUNCTION("""COMPUTED_VALUE"""),"0355358601")</f>
        <v>0355358601</v>
      </c>
      <c r="K9474" s="2" t="str">
        <f ca="1">IFERROR(__xludf.DUMMYFUNCTION("""COMPUTED_VALUE"""),"1765251315835")</f>
        <v>1765251315835</v>
      </c>
    </row>
    <row r="9475" spans="1:11" ht="12.45">
      <c r="A9475" s="2"/>
      <c r="C9475" s="2" t="str">
        <v>0</v>
      </c>
      <c r="F9475" s="2" t="str">
        <v>0</v>
      </c>
      <c r="I9475" s="3" t="str">
        <f ca="1">IFERROR(__xludf.DUMMYFUNCTION("""COMPUTED_VALUE"""),"Nguyễn Thị Quỳnh Chi")</f>
        <v>Nguyễn Thị Quỳnh Chi</v>
      </c>
      <c r="J9475" s="3" t="str">
        <f ca="1">IFERROR(__xludf.DUMMYFUNCTION("""COMPUTED_VALUE"""),"0344072486")</f>
        <v>0344072486</v>
      </c>
      <c r="K9475" s="2"/>
    </row>
    <row r="9476" spans="1:11" ht="12.45">
      <c r="A9476" s="2" t="str">
        <f ca="1">IFERROR(__xludf.DUMMYFUNCTION("""COMPUTED_VALUE"""),"1765251343053")</f>
        <v>1765251343053</v>
      </c>
      <c r="C9476" s="2" t="str">
        <v>0</v>
      </c>
      <c r="F9476" s="2" t="str">
        <v>0</v>
      </c>
      <c r="I9476" s="3" t="str">
        <f ca="1">IFERROR(__xludf.DUMMYFUNCTION("""COMPUTED_VALUE"""),"Nguyễn Mai Anh Đào ")</f>
        <v xml:space="preserve">Nguyễn Mai Anh Đào </v>
      </c>
      <c r="J9476" s="3" t="str">
        <f ca="1">IFERROR(__xludf.DUMMYFUNCTION("""COMPUTED_VALUE"""),"0888552455")</f>
        <v>0888552455</v>
      </c>
      <c r="K9476" s="2" t="str">
        <f ca="1">IFERROR(__xludf.DUMMYFUNCTION("""COMPUTED_VALUE"""),"1765251343053")</f>
        <v>1765251343053</v>
      </c>
    </row>
    <row r="9477" spans="1:11" ht="12.45">
      <c r="A9477" s="2" t="str">
        <f ca="1">IFERROR(__xludf.DUMMYFUNCTION("""COMPUTED_VALUE"""),"1765251371740")</f>
        <v>1765251371740</v>
      </c>
      <c r="C9477" s="2" t="str">
        <v>0</v>
      </c>
      <c r="F9477" s="2" t="str">
        <v>0</v>
      </c>
      <c r="I9477" s="3" t="str">
        <f ca="1">IFERROR(__xludf.DUMMYFUNCTION("""COMPUTED_VALUE"""),"Nguyễn Minh Thảo")</f>
        <v>Nguyễn Minh Thảo</v>
      </c>
      <c r="J9477" s="3" t="str">
        <f ca="1">IFERROR(__xludf.DUMMYFUNCTION("""COMPUTED_VALUE"""),"0899353889")</f>
        <v>0899353889</v>
      </c>
      <c r="K9477" s="2" t="str">
        <f ca="1">IFERROR(__xludf.DUMMYFUNCTION("""COMPUTED_VALUE"""),"1765251371740")</f>
        <v>1765251371740</v>
      </c>
    </row>
    <row r="9478" spans="1:11" ht="12.45">
      <c r="A9478" s="2" t="str">
        <f ca="1">IFERROR(__xludf.DUMMYFUNCTION("""COMPUTED_VALUE"""),"1765251404874")</f>
        <v>1765251404874</v>
      </c>
      <c r="C9478" s="2" t="str">
        <v>0</v>
      </c>
      <c r="F9478" s="2" t="str">
        <v>0</v>
      </c>
      <c r="I9478" s="3" t="str">
        <f ca="1">IFERROR(__xludf.DUMMYFUNCTION("""COMPUTED_VALUE"""),"Vũ Thị Thùy Linh")</f>
        <v>Vũ Thị Thùy Linh</v>
      </c>
      <c r="J9478" s="3" t="str">
        <f ca="1">IFERROR(__xludf.DUMMYFUNCTION("""COMPUTED_VALUE"""),"0352239091")</f>
        <v>0352239091</v>
      </c>
      <c r="K9478" s="2" t="str">
        <f ca="1">IFERROR(__xludf.DUMMYFUNCTION("""COMPUTED_VALUE"""),"1765251404874")</f>
        <v>1765251404874</v>
      </c>
    </row>
    <row r="9479" spans="1:11" ht="12.45">
      <c r="A9479" s="2" t="str">
        <f ca="1">IFERROR(__xludf.DUMMYFUNCTION("""COMPUTED_VALUE"""),"1765251452962")</f>
        <v>1765251452962</v>
      </c>
      <c r="C9479" s="2" t="str">
        <v>0</v>
      </c>
      <c r="F9479" s="2" t="str">
        <v>0</v>
      </c>
      <c r="I9479" s="3" t="str">
        <f ca="1">IFERROR(__xludf.DUMMYFUNCTION("""COMPUTED_VALUE"""),"Nguyễn Huyền Linh")</f>
        <v>Nguyễn Huyền Linh</v>
      </c>
      <c r="J9479" s="3" t="str">
        <f ca="1">IFERROR(__xludf.DUMMYFUNCTION("""COMPUTED_VALUE"""),"0357457290")</f>
        <v>0357457290</v>
      </c>
      <c r="K9479" s="2" t="str">
        <f ca="1">IFERROR(__xludf.DUMMYFUNCTION("""COMPUTED_VALUE"""),"1765251452962")</f>
        <v>1765251452962</v>
      </c>
    </row>
    <row r="9480" spans="1:11" ht="12.45">
      <c r="A9480" s="2" t="str">
        <f ca="1">IFERROR(__xludf.DUMMYFUNCTION("""COMPUTED_VALUE"""),"1765251490973")</f>
        <v>1765251490973</v>
      </c>
      <c r="C9480" s="2" t="str">
        <v>0</v>
      </c>
      <c r="F9480" s="2" t="str">
        <v>0</v>
      </c>
      <c r="I9480" s="3" t="str">
        <f ca="1">IFERROR(__xludf.DUMMYFUNCTION("""COMPUTED_VALUE"""),"Nguyễn Thùy Linh")</f>
        <v>Nguyễn Thùy Linh</v>
      </c>
      <c r="J9480" s="3" t="str">
        <f ca="1">IFERROR(__xludf.DUMMYFUNCTION("""COMPUTED_VALUE"""),"0888599626")</f>
        <v>0888599626</v>
      </c>
      <c r="K9480" s="2" t="str">
        <f ca="1">IFERROR(__xludf.DUMMYFUNCTION("""COMPUTED_VALUE"""),"1765251490973")</f>
        <v>1765251490973</v>
      </c>
    </row>
    <row r="9481" spans="1:11" ht="12.45">
      <c r="A9481" s="2" t="str">
        <f ca="1">IFERROR(__xludf.DUMMYFUNCTION("""COMPUTED_VALUE"""),"1765251536943")</f>
        <v>1765251536943</v>
      </c>
      <c r="C9481" s="2" t="str">
        <v>0</v>
      </c>
      <c r="F9481" s="2" t="str">
        <v>0</v>
      </c>
      <c r="I9481" s="3" t="str">
        <f ca="1">IFERROR(__xludf.DUMMYFUNCTION("""COMPUTED_VALUE"""),"Lê Ngọc Yến Nhi")</f>
        <v>Lê Ngọc Yến Nhi</v>
      </c>
      <c r="J9481" s="3" t="str">
        <f ca="1">IFERROR(__xludf.DUMMYFUNCTION("""COMPUTED_VALUE"""),"0823638162")</f>
        <v>0823638162</v>
      </c>
      <c r="K9481" s="2" t="str">
        <f ca="1">IFERROR(__xludf.DUMMYFUNCTION("""COMPUTED_VALUE"""),"1765251536943")</f>
        <v>1765251536943</v>
      </c>
    </row>
    <row r="9482" spans="1:11" ht="12.45">
      <c r="A9482" s="2" t="str">
        <f ca="1">IFERROR(__xludf.DUMMYFUNCTION("""COMPUTED_VALUE"""),"1765251574785")</f>
        <v>1765251574785</v>
      </c>
      <c r="C9482" s="2" t="str">
        <v>0</v>
      </c>
      <c r="F9482" s="2" t="str">
        <v>0</v>
      </c>
      <c r="I9482" s="3" t="str">
        <f ca="1">IFERROR(__xludf.DUMMYFUNCTION("""COMPUTED_VALUE"""),"Lê Nguyễn Nguyệt Nga")</f>
        <v>Lê Nguyễn Nguyệt Nga</v>
      </c>
      <c r="J9482" s="3" t="str">
        <f ca="1">IFERROR(__xludf.DUMMYFUNCTION("""COMPUTED_VALUE"""),"0345741872")</f>
        <v>0345741872</v>
      </c>
      <c r="K9482" s="2" t="str">
        <f ca="1">IFERROR(__xludf.DUMMYFUNCTION("""COMPUTED_VALUE"""),"1765251574785")</f>
        <v>1765251574785</v>
      </c>
    </row>
    <row r="9483" spans="1:11" ht="12.45">
      <c r="A9483" s="2" t="str">
        <f ca="1">IFERROR(__xludf.DUMMYFUNCTION("""COMPUTED_VALUE"""),"1765251613223")</f>
        <v>1765251613223</v>
      </c>
      <c r="C9483" s="2" t="str">
        <v>0</v>
      </c>
      <c r="F9483" s="2" t="str">
        <v>0</v>
      </c>
      <c r="I9483" s="3" t="str">
        <f ca="1">IFERROR(__xludf.DUMMYFUNCTION("""COMPUTED_VALUE"""),"Phan Quốc Vinh")</f>
        <v>Phan Quốc Vinh</v>
      </c>
      <c r="J9483" s="3" t="str">
        <f ca="1">IFERROR(__xludf.DUMMYFUNCTION("""COMPUTED_VALUE"""),"0987349008")</f>
        <v>0987349008</v>
      </c>
      <c r="K9483" s="2" t="str">
        <f ca="1">IFERROR(__xludf.DUMMYFUNCTION("""COMPUTED_VALUE"""),"1765251613223")</f>
        <v>1765251613223</v>
      </c>
    </row>
    <row r="9484" spans="1:11" ht="12.45">
      <c r="A9484" s="2" t="str">
        <f ca="1">IFERROR(__xludf.DUMMYFUNCTION("""COMPUTED_VALUE"""),"1765251650330")</f>
        <v>1765251650330</v>
      </c>
      <c r="C9484" s="2" t="str">
        <v>0</v>
      </c>
      <c r="F9484" s="2" t="str">
        <v>0</v>
      </c>
      <c r="I9484" s="3" t="str">
        <f ca="1">IFERROR(__xludf.DUMMYFUNCTION("""COMPUTED_VALUE"""),"Phạm Vân Anh")</f>
        <v>Phạm Vân Anh</v>
      </c>
      <c r="J9484" s="3" t="str">
        <f ca="1">IFERROR(__xludf.DUMMYFUNCTION("""COMPUTED_VALUE"""),"0394809370")</f>
        <v>0394809370</v>
      </c>
      <c r="K9484" s="2" t="str">
        <f ca="1">IFERROR(__xludf.DUMMYFUNCTION("""COMPUTED_VALUE"""),"1765251650330")</f>
        <v>1765251650330</v>
      </c>
    </row>
    <row r="9485" spans="1:11" ht="12.45">
      <c r="A9485" s="2" t="str">
        <f ca="1">IFERROR(__xludf.DUMMYFUNCTION("""COMPUTED_VALUE"""),"1765251681222")</f>
        <v>1765251681222</v>
      </c>
      <c r="C9485" s="2" t="str">
        <v>0</v>
      </c>
      <c r="F9485" s="2" t="str">
        <v>0</v>
      </c>
      <c r="I9485" s="3" t="str">
        <f ca="1">IFERROR(__xludf.DUMMYFUNCTION("""COMPUTED_VALUE"""),"Nguyễn Hoàng Anh Mỹ")</f>
        <v>Nguyễn Hoàng Anh Mỹ</v>
      </c>
      <c r="J9485" s="3" t="str">
        <f ca="1">IFERROR(__xludf.DUMMYFUNCTION("""COMPUTED_VALUE"""),"0842010547")</f>
        <v>0842010547</v>
      </c>
      <c r="K9485" s="2" t="str">
        <f ca="1">IFERROR(__xludf.DUMMYFUNCTION("""COMPUTED_VALUE"""),"1765251681222")</f>
        <v>1765251681222</v>
      </c>
    </row>
    <row r="9486" spans="1:11" ht="12.45">
      <c r="A9486" s="2" t="str">
        <f ca="1">IFERROR(__xludf.DUMMYFUNCTION("""COMPUTED_VALUE"""),"1765251714343")</f>
        <v>1765251714343</v>
      </c>
      <c r="C9486" s="2" t="str">
        <v>0</v>
      </c>
      <c r="F9486" s="2" t="str">
        <v>0</v>
      </c>
      <c r="I9486" s="3" t="str">
        <f ca="1">IFERROR(__xludf.DUMMYFUNCTION("""COMPUTED_VALUE"""),"Vũ Thị Yến Nhi")</f>
        <v>Vũ Thị Yến Nhi</v>
      </c>
      <c r="J9486" s="3" t="str">
        <f ca="1">IFERROR(__xludf.DUMMYFUNCTION("""COMPUTED_VALUE"""),"0865162587")</f>
        <v>0865162587</v>
      </c>
      <c r="K9486" s="2" t="str">
        <f ca="1">IFERROR(__xludf.DUMMYFUNCTION("""COMPUTED_VALUE"""),"1765251714343")</f>
        <v>1765251714343</v>
      </c>
    </row>
    <row r="9487" spans="1:11" ht="12.45">
      <c r="A9487" s="2" t="str">
        <f ca="1">IFERROR(__xludf.DUMMYFUNCTION("""COMPUTED_VALUE"""),"105584137154")</f>
        <v>105584137154</v>
      </c>
      <c r="C9487" s="2" t="str">
        <v>0</v>
      </c>
      <c r="F9487" s="2" t="str">
        <v>0</v>
      </c>
      <c r="I9487" s="3" t="str">
        <f ca="1">IFERROR(__xludf.DUMMYFUNCTION("""COMPUTED_VALUE"""),"Huỳnh Tuyết Nhi")</f>
        <v>Huỳnh Tuyết Nhi</v>
      </c>
      <c r="J9487" s="3" t="str">
        <f ca="1">IFERROR(__xludf.DUMMYFUNCTION("""COMPUTED_VALUE"""),"0944221126")</f>
        <v>0944221126</v>
      </c>
      <c r="K9487" s="2" t="str">
        <f ca="1">IFERROR(__xludf.DUMMYFUNCTION("""COMPUTED_VALUE"""),"105584137154")</f>
        <v>105584137154</v>
      </c>
    </row>
    <row r="9488" spans="1:11" ht="12.45">
      <c r="A9488" s="2" t="str">
        <f ca="1">IFERROR(__xludf.DUMMYFUNCTION("""COMPUTED_VALUE"""),"1765251748186")</f>
        <v>1765251748186</v>
      </c>
      <c r="C9488" s="2" t="str">
        <v>0</v>
      </c>
      <c r="F9488" s="2" t="str">
        <v>0</v>
      </c>
      <c r="I9488" s="3" t="str">
        <f ca="1">IFERROR(__xludf.DUMMYFUNCTION("""COMPUTED_VALUE"""),"Trần Thị Thanh Thuỷ")</f>
        <v>Trần Thị Thanh Thuỷ</v>
      </c>
      <c r="J9488" s="3" t="str">
        <f ca="1">IFERROR(__xludf.DUMMYFUNCTION("""COMPUTED_VALUE"""),"0978562251")</f>
        <v>0978562251</v>
      </c>
      <c r="K9488" s="2" t="str">
        <f ca="1">IFERROR(__xludf.DUMMYFUNCTION("""COMPUTED_VALUE"""),"1765251748186")</f>
        <v>1765251748186</v>
      </c>
    </row>
    <row r="9489" spans="1:11" ht="12.45">
      <c r="A9489" s="2" t="str">
        <f ca="1">IFERROR(__xludf.DUMMYFUNCTION("""COMPUTED_VALUE"""),"1765251779039")</f>
        <v>1765251779039</v>
      </c>
      <c r="C9489" s="2" t="str">
        <v>0</v>
      </c>
      <c r="F9489" s="2" t="str">
        <v>0</v>
      </c>
      <c r="I9489" s="3" t="str">
        <f ca="1">IFERROR(__xludf.DUMMYFUNCTION("""COMPUTED_VALUE"""),"Lê Thị Mai Linh")</f>
        <v>Lê Thị Mai Linh</v>
      </c>
      <c r="J9489" s="3" t="str">
        <f ca="1">IFERROR(__xludf.DUMMYFUNCTION("""COMPUTED_VALUE"""),"0974917383")</f>
        <v>0974917383</v>
      </c>
      <c r="K9489" s="2" t="str">
        <f ca="1">IFERROR(__xludf.DUMMYFUNCTION("""COMPUTED_VALUE"""),"1765251779039")</f>
        <v>1765251779039</v>
      </c>
    </row>
    <row r="9490" spans="1:11" ht="12.45">
      <c r="A9490" s="2" t="str">
        <f ca="1">IFERROR(__xludf.DUMMYFUNCTION("""COMPUTED_VALUE"""),"1765251806699")</f>
        <v>1765251806699</v>
      </c>
      <c r="C9490" s="2" t="str">
        <v>0</v>
      </c>
      <c r="F9490" s="2" t="str">
        <v>0</v>
      </c>
      <c r="I9490" s="3" t="str">
        <f ca="1">IFERROR(__xludf.DUMMYFUNCTION("""COMPUTED_VALUE"""),"Nguyễn Thị Yến Nhi")</f>
        <v>Nguyễn Thị Yến Nhi</v>
      </c>
      <c r="J9490" s="3" t="str">
        <f ca="1">IFERROR(__xludf.DUMMYFUNCTION("""COMPUTED_VALUE"""),"0379763881")</f>
        <v>0379763881</v>
      </c>
      <c r="K9490" s="2" t="str">
        <f ca="1">IFERROR(__xludf.DUMMYFUNCTION("""COMPUTED_VALUE"""),"1765251806699")</f>
        <v>1765251806699</v>
      </c>
    </row>
    <row r="9491" spans="1:11" ht="12.45">
      <c r="A9491" s="2" t="str">
        <f ca="1">IFERROR(__xludf.DUMMYFUNCTION("""COMPUTED_VALUE"""),"1765251841794")</f>
        <v>1765251841794</v>
      </c>
      <c r="C9491" s="2" t="str">
        <v>0</v>
      </c>
      <c r="F9491" s="2" t="str">
        <v>0</v>
      </c>
      <c r="I9491" s="3" t="str">
        <f ca="1">IFERROR(__xludf.DUMMYFUNCTION("""COMPUTED_VALUE"""),"Ngô Trần Minh Thảo")</f>
        <v>Ngô Trần Minh Thảo</v>
      </c>
      <c r="J9491" s="3" t="str">
        <f ca="1">IFERROR(__xludf.DUMMYFUNCTION("""COMPUTED_VALUE"""),"0916356171")</f>
        <v>0916356171</v>
      </c>
      <c r="K9491" s="2" t="str">
        <f ca="1">IFERROR(__xludf.DUMMYFUNCTION("""COMPUTED_VALUE"""),"1765251841794")</f>
        <v>1765251841794</v>
      </c>
    </row>
    <row r="9492" spans="1:11" ht="12.45">
      <c r="A9492" s="2" t="str">
        <f ca="1">IFERROR(__xludf.DUMMYFUNCTION("""COMPUTED_VALUE"""),"1765251874769")</f>
        <v>1765251874769</v>
      </c>
      <c r="C9492" s="2" t="str">
        <v>0</v>
      </c>
      <c r="F9492" s="2" t="str">
        <v>0</v>
      </c>
      <c r="I9492" s="3" t="str">
        <f ca="1">IFERROR(__xludf.DUMMYFUNCTION("""COMPUTED_VALUE"""),"Nguyễn Việt Linh")</f>
        <v>Nguyễn Việt Linh</v>
      </c>
      <c r="J9492" s="3" t="str">
        <f ca="1">IFERROR(__xludf.DUMMYFUNCTION("""COMPUTED_VALUE"""),"0918899780")</f>
        <v>0918899780</v>
      </c>
      <c r="K9492" s="2" t="str">
        <f ca="1">IFERROR(__xludf.DUMMYFUNCTION("""COMPUTED_VALUE"""),"1765251874769")</f>
        <v>1765251874769</v>
      </c>
    </row>
    <row r="9493" spans="1:11" ht="12.45">
      <c r="A9493" s="2" t="str">
        <f ca="1">IFERROR(__xludf.DUMMYFUNCTION("""COMPUTED_VALUE"""),"1765251909445")</f>
        <v>1765251909445</v>
      </c>
      <c r="C9493" s="2" t="str">
        <v>0</v>
      </c>
      <c r="F9493" s="2" t="str">
        <v>0</v>
      </c>
      <c r="I9493" s="3" t="str">
        <f ca="1">IFERROR(__xludf.DUMMYFUNCTION("""COMPUTED_VALUE"""),"Phạm Thị Kim Oanh ")</f>
        <v xml:space="preserve">Phạm Thị Kim Oanh </v>
      </c>
      <c r="J9493" s="3" t="str">
        <f ca="1">IFERROR(__xludf.DUMMYFUNCTION("""COMPUTED_VALUE"""),"0933876613")</f>
        <v>0933876613</v>
      </c>
      <c r="K9493" s="2" t="str">
        <f ca="1">IFERROR(__xludf.DUMMYFUNCTION("""COMPUTED_VALUE"""),"1765251909445")</f>
        <v>1765251909445</v>
      </c>
    </row>
    <row r="9494" spans="1:11" ht="12.45">
      <c r="A9494" s="2"/>
      <c r="C9494" s="2" t="str">
        <v>0</v>
      </c>
      <c r="F9494" s="2" t="str">
        <v>0</v>
      </c>
      <c r="I9494" s="3" t="str">
        <f ca="1">IFERROR(__xludf.DUMMYFUNCTION("""COMPUTED_VALUE"""),"Phan Nguyễn Kiều My")</f>
        <v>Phan Nguyễn Kiều My</v>
      </c>
      <c r="J9494" s="3" t="str">
        <f ca="1">IFERROR(__xludf.DUMMYFUNCTION("""COMPUTED_VALUE"""),"0868012568")</f>
        <v>0868012568</v>
      </c>
      <c r="K9494" s="2"/>
    </row>
    <row r="9495" spans="1:11" ht="12.45">
      <c r="A9495" s="2"/>
      <c r="C9495" s="2" t="str">
        <v>0</v>
      </c>
      <c r="F9495" s="2" t="str">
        <v>0</v>
      </c>
      <c r="I9495" s="3" t="str">
        <f ca="1">IFERROR(__xludf.DUMMYFUNCTION("""COMPUTED_VALUE"""),"Hồng Phước Công ")</f>
        <v xml:space="preserve">Hồng Phước Công </v>
      </c>
      <c r="J9495" s="3" t="str">
        <f ca="1">IFERROR(__xludf.DUMMYFUNCTION("""COMPUTED_VALUE"""),"0906383617")</f>
        <v>0906383617</v>
      </c>
      <c r="K9495" s="2"/>
    </row>
    <row r="9496" spans="1:11" ht="12.45">
      <c r="A9496" s="2" t="str">
        <f ca="1">IFERROR(__xludf.DUMMYFUNCTION("""COMPUTED_VALUE"""),"1765251941421")</f>
        <v>1765251941421</v>
      </c>
      <c r="C9496" s="2" t="str">
        <v>0</v>
      </c>
      <c r="F9496" s="2" t="str">
        <v>0</v>
      </c>
      <c r="I9496" s="3" t="str">
        <f ca="1">IFERROR(__xludf.DUMMYFUNCTION("""COMPUTED_VALUE"""),"Nguyễn Ngọc Hiển")</f>
        <v>Nguyễn Ngọc Hiển</v>
      </c>
      <c r="J9496" s="3" t="str">
        <f ca="1">IFERROR(__xludf.DUMMYFUNCTION("""COMPUTED_VALUE"""),"0374747159")</f>
        <v>0374747159</v>
      </c>
      <c r="K9496" s="2" t="str">
        <f ca="1">IFERROR(__xludf.DUMMYFUNCTION("""COMPUTED_VALUE"""),"1765251941421")</f>
        <v>1765251941421</v>
      </c>
    </row>
    <row r="9497" spans="1:11" ht="12.45">
      <c r="A9497" s="2" t="str">
        <f ca="1">IFERROR(__xludf.DUMMYFUNCTION("""COMPUTED_VALUE"""),"1765251979260")</f>
        <v>1765251979260</v>
      </c>
      <c r="C9497" s="2" t="str">
        <v>0</v>
      </c>
      <c r="F9497" s="2" t="str">
        <v>0</v>
      </c>
      <c r="I9497" s="3" t="str">
        <f ca="1">IFERROR(__xludf.DUMMYFUNCTION("""COMPUTED_VALUE"""),"Đỗ Vũ Chi Mai ")</f>
        <v xml:space="preserve">Đỗ Vũ Chi Mai </v>
      </c>
      <c r="J9497" s="3" t="str">
        <f ca="1">IFERROR(__xludf.DUMMYFUNCTION("""COMPUTED_VALUE"""),"0376998889")</f>
        <v>0376998889</v>
      </c>
      <c r="K9497" s="2" t="str">
        <f ca="1">IFERROR(__xludf.DUMMYFUNCTION("""COMPUTED_VALUE"""),"1765251979260")</f>
        <v>1765251979260</v>
      </c>
    </row>
    <row r="9498" spans="1:11" ht="12.45">
      <c r="A9498" s="2" t="str">
        <f ca="1">IFERROR(__xludf.DUMMYFUNCTION("""COMPUTED_VALUE"""),"1765252007064")</f>
        <v>1765252007064</v>
      </c>
      <c r="C9498" s="2" t="str">
        <v>0</v>
      </c>
      <c r="F9498" s="2" t="str">
        <v>0</v>
      </c>
      <c r="I9498" s="3" t="str">
        <f ca="1">IFERROR(__xludf.DUMMYFUNCTION("""COMPUTED_VALUE"""),"Huỳnh Lương Mai Quỳnh")</f>
        <v>Huỳnh Lương Mai Quỳnh</v>
      </c>
      <c r="J9498" s="3" t="str">
        <f ca="1">IFERROR(__xludf.DUMMYFUNCTION("""COMPUTED_VALUE"""),"0937100201")</f>
        <v>0937100201</v>
      </c>
      <c r="K9498" s="2" t="str">
        <f ca="1">IFERROR(__xludf.DUMMYFUNCTION("""COMPUTED_VALUE"""),"1765252007064")</f>
        <v>1765252007064</v>
      </c>
    </row>
    <row r="9499" spans="1:11" ht="12.45">
      <c r="A9499" s="2" t="str">
        <f ca="1">IFERROR(__xludf.DUMMYFUNCTION("""COMPUTED_VALUE"""),"1765252033635")</f>
        <v>1765252033635</v>
      </c>
      <c r="C9499" s="2" t="str">
        <v>0</v>
      </c>
      <c r="F9499" s="2" t="str">
        <v>0</v>
      </c>
      <c r="I9499" s="3" t="str">
        <f ca="1">IFERROR(__xludf.DUMMYFUNCTION("""COMPUTED_VALUE"""),"Nguyễn Ngọc Gia Khánh")</f>
        <v>Nguyễn Ngọc Gia Khánh</v>
      </c>
      <c r="J9499" s="3" t="str">
        <f ca="1">IFERROR(__xludf.DUMMYFUNCTION("""COMPUTED_VALUE"""),"0977366155")</f>
        <v>0977366155</v>
      </c>
      <c r="K9499" s="2" t="str">
        <f ca="1">IFERROR(__xludf.DUMMYFUNCTION("""COMPUTED_VALUE"""),"1765252033635")</f>
        <v>1765252033635</v>
      </c>
    </row>
    <row r="9500" spans="1:11" ht="12.45">
      <c r="A9500" s="2" t="str">
        <f ca="1">IFERROR(__xludf.DUMMYFUNCTION("""COMPUTED_VALUE"""),"1765252063432")</f>
        <v>1765252063432</v>
      </c>
      <c r="C9500" s="2" t="str">
        <v>0</v>
      </c>
      <c r="F9500" s="2" t="str">
        <v>0</v>
      </c>
      <c r="I9500" s="3" t="str">
        <f ca="1">IFERROR(__xludf.DUMMYFUNCTION("""COMPUTED_VALUE"""),"Vũ Đỗ Ngọc Bình ")</f>
        <v xml:space="preserve">Vũ Đỗ Ngọc Bình </v>
      </c>
      <c r="J9500" s="3" t="str">
        <f ca="1">IFERROR(__xludf.DUMMYFUNCTION("""COMPUTED_VALUE"""),"0374880200")</f>
        <v>0374880200</v>
      </c>
      <c r="K9500" s="2" t="str">
        <f ca="1">IFERROR(__xludf.DUMMYFUNCTION("""COMPUTED_VALUE"""),"1765252063432")</f>
        <v>1765252063432</v>
      </c>
    </row>
    <row r="9501" spans="1:11" ht="12.45">
      <c r="A9501" s="2" t="str">
        <f ca="1">IFERROR(__xludf.DUMMYFUNCTION("""COMPUTED_VALUE"""),"1765252094585")</f>
        <v>1765252094585</v>
      </c>
      <c r="C9501" s="2" t="str">
        <v>0</v>
      </c>
      <c r="F9501" s="2" t="str">
        <v>0</v>
      </c>
      <c r="I9501" s="3" t="str">
        <f ca="1">IFERROR(__xludf.DUMMYFUNCTION("""COMPUTED_VALUE"""),"Phan Đình Giáp")</f>
        <v>Phan Đình Giáp</v>
      </c>
      <c r="J9501" s="3" t="str">
        <f ca="1">IFERROR(__xludf.DUMMYFUNCTION("""COMPUTED_VALUE"""),"0984101661")</f>
        <v>0984101661</v>
      </c>
      <c r="K9501" s="2" t="str">
        <f ca="1">IFERROR(__xludf.DUMMYFUNCTION("""COMPUTED_VALUE"""),"1765252094585")</f>
        <v>1765252094585</v>
      </c>
    </row>
    <row r="9502" spans="1:11" ht="12.45">
      <c r="A9502" s="2" t="str">
        <f ca="1">IFERROR(__xludf.DUMMYFUNCTION("""COMPUTED_VALUE"""),"1765252122267")</f>
        <v>1765252122267</v>
      </c>
      <c r="C9502" s="2" t="str">
        <v>0</v>
      </c>
      <c r="F9502" s="2" t="str">
        <v>0</v>
      </c>
      <c r="I9502" s="3" t="str">
        <f ca="1">IFERROR(__xludf.DUMMYFUNCTION("""COMPUTED_VALUE"""),"Đỗ Hoàng Thùy Dương")</f>
        <v>Đỗ Hoàng Thùy Dương</v>
      </c>
      <c r="J9502" s="3" t="str">
        <f ca="1">IFERROR(__xludf.DUMMYFUNCTION("""COMPUTED_VALUE"""),"0767681004")</f>
        <v>0767681004</v>
      </c>
      <c r="K9502" s="2" t="str">
        <f ca="1">IFERROR(__xludf.DUMMYFUNCTION("""COMPUTED_VALUE"""),"1765252122267")</f>
        <v>1765252122267</v>
      </c>
    </row>
    <row r="9503" spans="1:11" ht="12.45">
      <c r="A9503" s="2" t="str">
        <f ca="1">IFERROR(__xludf.DUMMYFUNCTION("""COMPUTED_VALUE"""),"1765252143718")</f>
        <v>1765252143718</v>
      </c>
      <c r="C9503" s="2" t="str">
        <v>0</v>
      </c>
      <c r="F9503" s="2" t="str">
        <v>0</v>
      </c>
      <c r="I9503" s="3" t="str">
        <f ca="1">IFERROR(__xludf.DUMMYFUNCTION("""COMPUTED_VALUE"""),"Vũ Khánh Ly")</f>
        <v>Vũ Khánh Ly</v>
      </c>
      <c r="J9503" s="3" t="str">
        <f ca="1">IFERROR(__xludf.DUMMYFUNCTION("""COMPUTED_VALUE"""),"0974025105")</f>
        <v>0974025105</v>
      </c>
      <c r="K9503" s="2" t="str">
        <f ca="1">IFERROR(__xludf.DUMMYFUNCTION("""COMPUTED_VALUE"""),"1765252143718")</f>
        <v>1765252143718</v>
      </c>
    </row>
    <row r="9504" spans="1:11" ht="12.45">
      <c r="A9504" s="2" t="str">
        <f ca="1">IFERROR(__xludf.DUMMYFUNCTION("""COMPUTED_VALUE"""),"1765252169602")</f>
        <v>1765252169602</v>
      </c>
      <c r="C9504" s="2" t="str">
        <v>0</v>
      </c>
      <c r="F9504" s="2" t="str">
        <v>0</v>
      </c>
      <c r="I9504" s="3" t="str">
        <f ca="1">IFERROR(__xludf.DUMMYFUNCTION("""COMPUTED_VALUE"""),"nguyễn thị minh thư")</f>
        <v>nguyễn thị minh thư</v>
      </c>
      <c r="J9504" s="3" t="str">
        <f ca="1">IFERROR(__xludf.DUMMYFUNCTION("""COMPUTED_VALUE"""),"0345284815")</f>
        <v>0345284815</v>
      </c>
      <c r="K9504" s="2" t="str">
        <f ca="1">IFERROR(__xludf.DUMMYFUNCTION("""COMPUTED_VALUE"""),"1765252169602")</f>
        <v>1765252169602</v>
      </c>
    </row>
    <row r="9505" spans="1:11" ht="12.45">
      <c r="A9505" s="2" t="str">
        <f ca="1">IFERROR(__xludf.DUMMYFUNCTION("""COMPUTED_VALUE"""),"1765252205357")</f>
        <v>1765252205357</v>
      </c>
      <c r="C9505" s="2" t="str">
        <v>0</v>
      </c>
      <c r="F9505" s="2" t="str">
        <v>0</v>
      </c>
      <c r="I9505" s="3" t="str">
        <f ca="1">IFERROR(__xludf.DUMMYFUNCTION("""COMPUTED_VALUE"""),"Nguyễn Ngọc Minh Tuệ ")</f>
        <v xml:space="preserve">Nguyễn Ngọc Minh Tuệ </v>
      </c>
      <c r="J9505" s="3" t="str">
        <f ca="1">IFERROR(__xludf.DUMMYFUNCTION("""COMPUTED_VALUE"""),"0336250828")</f>
        <v>0336250828</v>
      </c>
      <c r="K9505" s="2" t="str">
        <f ca="1">IFERROR(__xludf.DUMMYFUNCTION("""COMPUTED_VALUE"""),"1765252205357")</f>
        <v>1765252205357</v>
      </c>
    </row>
    <row r="9506" spans="1:11" ht="12.45">
      <c r="A9506" s="2" t="str">
        <f ca="1">IFERROR(__xludf.DUMMYFUNCTION("""COMPUTED_VALUE"""),"105584137277")</f>
        <v>105584137277</v>
      </c>
      <c r="C9506" s="2" t="str">
        <v>0</v>
      </c>
      <c r="F9506" s="2" t="str">
        <v>0</v>
      </c>
      <c r="I9506" s="3" t="str">
        <f ca="1">IFERROR(__xludf.DUMMYFUNCTION("""COMPUTED_VALUE"""),"Trần Quốc Đạt ")</f>
        <v xml:space="preserve">Trần Quốc Đạt </v>
      </c>
      <c r="J9506" s="3" t="str">
        <f ca="1">IFERROR(__xludf.DUMMYFUNCTION("""COMPUTED_VALUE"""),"0862913749")</f>
        <v>0862913749</v>
      </c>
      <c r="K9506" s="2" t="str">
        <f ca="1">IFERROR(__xludf.DUMMYFUNCTION("""COMPUTED_VALUE"""),"105584137277")</f>
        <v>105584137277</v>
      </c>
    </row>
    <row r="9507" spans="1:11" ht="12.45">
      <c r="A9507" s="2" t="str">
        <f ca="1">IFERROR(__xludf.DUMMYFUNCTION("""COMPUTED_VALUE"""),"1765252257896")</f>
        <v>1765252257896</v>
      </c>
      <c r="C9507" s="2" t="str">
        <v>0</v>
      </c>
      <c r="F9507" s="2" t="str">
        <v>0</v>
      </c>
      <c r="I9507" s="3" t="str">
        <f ca="1">IFERROR(__xludf.DUMMYFUNCTION("""COMPUTED_VALUE"""),"Bùi Minh Tiến")</f>
        <v>Bùi Minh Tiến</v>
      </c>
      <c r="J9507" s="3" t="str">
        <f ca="1">IFERROR(__xludf.DUMMYFUNCTION("""COMPUTED_VALUE"""),"0332587145")</f>
        <v>0332587145</v>
      </c>
      <c r="K9507" s="2" t="str">
        <f ca="1">IFERROR(__xludf.DUMMYFUNCTION("""COMPUTED_VALUE"""),"1765252257896")</f>
        <v>1765252257896</v>
      </c>
    </row>
    <row r="9508" spans="1:11" ht="12.45">
      <c r="A9508" s="2" t="str">
        <f ca="1">IFERROR(__xludf.DUMMYFUNCTION("""COMPUTED_VALUE"""),"1765252292009")</f>
        <v>1765252292009</v>
      </c>
      <c r="C9508" s="2" t="str">
        <v>0</v>
      </c>
      <c r="F9508" s="2" t="str">
        <v>0</v>
      </c>
      <c r="I9508" s="3" t="str">
        <f ca="1">IFERROR(__xludf.DUMMYFUNCTION("""COMPUTED_VALUE"""),"Nguyễn Dương")</f>
        <v>Nguyễn Dương</v>
      </c>
      <c r="J9508" s="3" t="str">
        <f ca="1">IFERROR(__xludf.DUMMYFUNCTION("""COMPUTED_VALUE"""),"0369698090")</f>
        <v>0369698090</v>
      </c>
      <c r="K9508" s="2" t="str">
        <f ca="1">IFERROR(__xludf.DUMMYFUNCTION("""COMPUTED_VALUE"""),"1765252292009")</f>
        <v>1765252292009</v>
      </c>
    </row>
    <row r="9509" spans="1:11" ht="12.45">
      <c r="A9509" s="2" t="str">
        <f ca="1">IFERROR(__xludf.DUMMYFUNCTION("""COMPUTED_VALUE"""),"1765252318283")</f>
        <v>1765252318283</v>
      </c>
      <c r="C9509" s="2" t="str">
        <v>0</v>
      </c>
      <c r="F9509" s="2" t="str">
        <v>0</v>
      </c>
      <c r="I9509" s="3" t="str">
        <f ca="1">IFERROR(__xludf.DUMMYFUNCTION("""COMPUTED_VALUE"""),"Lê Ngọc Dung")</f>
        <v>Lê Ngọc Dung</v>
      </c>
      <c r="J9509" s="3" t="str">
        <f ca="1">IFERROR(__xludf.DUMMYFUNCTION("""COMPUTED_VALUE"""),"0865835930")</f>
        <v>0865835930</v>
      </c>
      <c r="K9509" s="2" t="str">
        <f ca="1">IFERROR(__xludf.DUMMYFUNCTION("""COMPUTED_VALUE"""),"1765252318283")</f>
        <v>1765252318283</v>
      </c>
    </row>
    <row r="9510" spans="1:11" ht="12.45">
      <c r="A9510" s="2" t="str">
        <f ca="1">IFERROR(__xludf.DUMMYFUNCTION("""COMPUTED_VALUE"""),"1765252347295")</f>
        <v>1765252347295</v>
      </c>
      <c r="C9510" s="2" t="str">
        <v>0</v>
      </c>
      <c r="F9510" s="2" t="str">
        <v>0</v>
      </c>
      <c r="I9510" s="3" t="str">
        <f ca="1">IFERROR(__xludf.DUMMYFUNCTION("""COMPUTED_VALUE"""),"Trịnh Nguyễn Bảo Hoàng")</f>
        <v>Trịnh Nguyễn Bảo Hoàng</v>
      </c>
      <c r="J9510" s="3" t="str">
        <f ca="1">IFERROR(__xludf.DUMMYFUNCTION("""COMPUTED_VALUE"""),"0917434910")</f>
        <v>0917434910</v>
      </c>
      <c r="K9510" s="2" t="str">
        <f ca="1">IFERROR(__xludf.DUMMYFUNCTION("""COMPUTED_VALUE"""),"1765252347295")</f>
        <v>1765252347295</v>
      </c>
    </row>
    <row r="9511" spans="1:11" ht="12.45">
      <c r="A9511" s="2" t="str">
        <f ca="1">IFERROR(__xludf.DUMMYFUNCTION("""COMPUTED_VALUE"""),"1765252374613")</f>
        <v>1765252374613</v>
      </c>
      <c r="C9511" s="2" t="str">
        <v>0</v>
      </c>
      <c r="F9511" s="2" t="str">
        <v>0</v>
      </c>
      <c r="I9511" s="3" t="str">
        <f ca="1">IFERROR(__xludf.DUMMYFUNCTION("""COMPUTED_VALUE"""),"Đào Thị Phương Hoài")</f>
        <v>Đào Thị Phương Hoài</v>
      </c>
      <c r="J9511" s="3" t="str">
        <f ca="1">IFERROR(__xludf.DUMMYFUNCTION("""COMPUTED_VALUE"""),"0339357681")</f>
        <v>0339357681</v>
      </c>
      <c r="K9511" s="2" t="str">
        <f ca="1">IFERROR(__xludf.DUMMYFUNCTION("""COMPUTED_VALUE"""),"1765252374613")</f>
        <v>1765252374613</v>
      </c>
    </row>
    <row r="9512" spans="1:11" ht="12.45">
      <c r="A9512" s="2" t="str">
        <f ca="1">IFERROR(__xludf.DUMMYFUNCTION("""COMPUTED_VALUE"""),"1765252403209")</f>
        <v>1765252403209</v>
      </c>
      <c r="C9512" s="2" t="str">
        <v>0</v>
      </c>
      <c r="F9512" s="2" t="str">
        <v>0</v>
      </c>
      <c r="I9512" s="3" t="str">
        <f ca="1">IFERROR(__xludf.DUMMYFUNCTION("""COMPUTED_VALUE"""),"Lê Văn Vĩnh")</f>
        <v>Lê Văn Vĩnh</v>
      </c>
      <c r="J9512" s="3" t="str">
        <f ca="1">IFERROR(__xludf.DUMMYFUNCTION("""COMPUTED_VALUE"""),"0354423925")</f>
        <v>0354423925</v>
      </c>
      <c r="K9512" s="2" t="str">
        <f ca="1">IFERROR(__xludf.DUMMYFUNCTION("""COMPUTED_VALUE"""),"1765252403209")</f>
        <v>1765252403209</v>
      </c>
    </row>
    <row r="9513" spans="1:11" ht="12.45">
      <c r="A9513" s="2" t="str">
        <f ca="1">IFERROR(__xludf.DUMMYFUNCTION("""COMPUTED_VALUE"""),"1765252441523")</f>
        <v>1765252441523</v>
      </c>
      <c r="C9513" s="2" t="str">
        <v>0</v>
      </c>
      <c r="F9513" s="2" t="str">
        <v>0</v>
      </c>
      <c r="I9513" s="3" t="str">
        <f ca="1">IFERROR(__xludf.DUMMYFUNCTION("""COMPUTED_VALUE"""),"Nguyễn Minh Ngọc")</f>
        <v>Nguyễn Minh Ngọc</v>
      </c>
      <c r="J9513" s="3" t="str">
        <f ca="1">IFERROR(__xludf.DUMMYFUNCTION("""COMPUTED_VALUE"""),"0834797572")</f>
        <v>0834797572</v>
      </c>
      <c r="K9513" s="2" t="str">
        <f ca="1">IFERROR(__xludf.DUMMYFUNCTION("""COMPUTED_VALUE"""),"1765252441523")</f>
        <v>1765252441523</v>
      </c>
    </row>
    <row r="9514" spans="1:11" ht="12.45">
      <c r="A9514" s="2" t="str">
        <f ca="1">IFERROR(__xludf.DUMMYFUNCTION("""COMPUTED_VALUE"""),"1765252472465")</f>
        <v>1765252472465</v>
      </c>
      <c r="C9514" s="2" t="str">
        <v>0</v>
      </c>
      <c r="F9514" s="2" t="str">
        <v>0</v>
      </c>
      <c r="I9514" s="3" t="str">
        <f ca="1">IFERROR(__xludf.DUMMYFUNCTION("""COMPUTED_VALUE"""),"Nguyễn Tuệ Minh")</f>
        <v>Nguyễn Tuệ Minh</v>
      </c>
      <c r="J9514" s="3" t="str">
        <f ca="1">IFERROR(__xludf.DUMMYFUNCTION("""COMPUTED_VALUE"""),"0826681107")</f>
        <v>0826681107</v>
      </c>
      <c r="K9514" s="2" t="str">
        <f ca="1">IFERROR(__xludf.DUMMYFUNCTION("""COMPUTED_VALUE"""),"1765252472465")</f>
        <v>1765252472465</v>
      </c>
    </row>
    <row r="9515" spans="1:11" ht="12.45">
      <c r="A9515" s="2" t="str">
        <f ca="1">IFERROR(__xludf.DUMMYFUNCTION("""COMPUTED_VALUE"""),"105584137374")</f>
        <v>105584137374</v>
      </c>
      <c r="C9515" s="2" t="str">
        <v>0</v>
      </c>
      <c r="F9515" s="2" t="str">
        <v>0</v>
      </c>
      <c r="I9515" s="3" t="str">
        <f ca="1">IFERROR(__xludf.DUMMYFUNCTION("""COMPUTED_VALUE"""),"Nguyễn Ngọc Minh Anh")</f>
        <v>Nguyễn Ngọc Minh Anh</v>
      </c>
      <c r="J9515" s="3" t="str">
        <f ca="1">IFERROR(__xludf.DUMMYFUNCTION("""COMPUTED_VALUE"""),"0776924897")</f>
        <v>0776924897</v>
      </c>
      <c r="K9515" s="2" t="str">
        <f ca="1">IFERROR(__xludf.DUMMYFUNCTION("""COMPUTED_VALUE"""),"105584137374")</f>
        <v>105584137374</v>
      </c>
    </row>
    <row r="9516" spans="1:11" ht="12.45">
      <c r="A9516" s="2" t="str">
        <f ca="1">IFERROR(__xludf.DUMMYFUNCTION("""COMPUTED_VALUE"""),"1765252501202")</f>
        <v>1765252501202</v>
      </c>
      <c r="C9516" s="2" t="str">
        <v>0</v>
      </c>
      <c r="F9516" s="2" t="str">
        <v>0</v>
      </c>
      <c r="I9516" s="3" t="str">
        <f ca="1">IFERROR(__xludf.DUMMYFUNCTION("""COMPUTED_VALUE"""),"Lê Linh Anh")</f>
        <v>Lê Linh Anh</v>
      </c>
      <c r="J9516" s="3" t="str">
        <f ca="1">IFERROR(__xludf.DUMMYFUNCTION("""COMPUTED_VALUE"""),"0839002304")</f>
        <v>0839002304</v>
      </c>
      <c r="K9516" s="2" t="str">
        <f ca="1">IFERROR(__xludf.DUMMYFUNCTION("""COMPUTED_VALUE"""),"1765252501202")</f>
        <v>1765252501202</v>
      </c>
    </row>
    <row r="9517" spans="1:11" ht="12.45">
      <c r="A9517" s="2" t="str">
        <f ca="1">IFERROR(__xludf.DUMMYFUNCTION("""COMPUTED_VALUE"""),"1765252532507")</f>
        <v>1765252532507</v>
      </c>
      <c r="C9517" s="2" t="str">
        <v>0</v>
      </c>
      <c r="F9517" s="2" t="str">
        <v>0</v>
      </c>
      <c r="I9517" s="3" t="str">
        <f ca="1">IFERROR(__xludf.DUMMYFUNCTION("""COMPUTED_VALUE"""),"Nguyễn Thị Mỹ Huyền")</f>
        <v>Nguyễn Thị Mỹ Huyền</v>
      </c>
      <c r="J9517" s="3" t="str">
        <f ca="1">IFERROR(__xludf.DUMMYFUNCTION("""COMPUTED_VALUE"""),"0397687625")</f>
        <v>0397687625</v>
      </c>
      <c r="K9517" s="2" t="str">
        <f ca="1">IFERROR(__xludf.DUMMYFUNCTION("""COMPUTED_VALUE"""),"1765252532507")</f>
        <v>1765252532507</v>
      </c>
    </row>
    <row r="9518" spans="1:11" ht="12.45">
      <c r="A9518" s="2" t="str">
        <f ca="1">IFERROR(__xludf.DUMMYFUNCTION("""COMPUTED_VALUE"""),"1765252556561")</f>
        <v>1765252556561</v>
      </c>
      <c r="C9518" s="2" t="str">
        <v>0</v>
      </c>
      <c r="F9518" s="2" t="str">
        <v>0</v>
      </c>
      <c r="I9518" s="3" t="str">
        <f ca="1">IFERROR(__xludf.DUMMYFUNCTION("""COMPUTED_VALUE"""),"Trần Phương Linh")</f>
        <v>Trần Phương Linh</v>
      </c>
      <c r="J9518" s="3" t="str">
        <f ca="1">IFERROR(__xludf.DUMMYFUNCTION("""COMPUTED_VALUE"""),"0396631036")</f>
        <v>0396631036</v>
      </c>
      <c r="K9518" s="2" t="str">
        <f ca="1">IFERROR(__xludf.DUMMYFUNCTION("""COMPUTED_VALUE"""),"1765252556561")</f>
        <v>1765252556561</v>
      </c>
    </row>
    <row r="9519" spans="1:11" ht="12.45">
      <c r="A9519" s="2" t="str">
        <f ca="1">IFERROR(__xludf.DUMMYFUNCTION("""COMPUTED_VALUE"""),"1765252588286")</f>
        <v>1765252588286</v>
      </c>
      <c r="C9519" s="2" t="str">
        <v>0</v>
      </c>
      <c r="F9519" s="2" t="str">
        <v>0</v>
      </c>
      <c r="I9519" s="3" t="str">
        <f ca="1">IFERROR(__xludf.DUMMYFUNCTION("""COMPUTED_VALUE"""),"Phi hùng ")</f>
        <v xml:space="preserve">Phi hùng </v>
      </c>
      <c r="J9519" s="3" t="str">
        <f ca="1">IFERROR(__xludf.DUMMYFUNCTION("""COMPUTED_VALUE"""),"0384294102")</f>
        <v>0384294102</v>
      </c>
      <c r="K9519" s="2" t="str">
        <f ca="1">IFERROR(__xludf.DUMMYFUNCTION("""COMPUTED_VALUE"""),"1765252588286")</f>
        <v>1765252588286</v>
      </c>
    </row>
    <row r="9520" spans="1:11" ht="12.45">
      <c r="A9520" s="2" t="str">
        <f ca="1">IFERROR(__xludf.DUMMYFUNCTION("""COMPUTED_VALUE"""),"1765252618372")</f>
        <v>1765252618372</v>
      </c>
      <c r="C9520" s="2" t="str">
        <v>0</v>
      </c>
      <c r="F9520" s="2" t="str">
        <v>0</v>
      </c>
      <c r="I9520" s="3" t="str">
        <f ca="1">IFERROR(__xludf.DUMMYFUNCTION("""COMPUTED_VALUE"""),"Cẩm Ly")</f>
        <v>Cẩm Ly</v>
      </c>
      <c r="J9520" s="3" t="str">
        <f ca="1">IFERROR(__xludf.DUMMYFUNCTION("""COMPUTED_VALUE"""),"0931563155")</f>
        <v>0931563155</v>
      </c>
      <c r="K9520" s="2" t="str">
        <f ca="1">IFERROR(__xludf.DUMMYFUNCTION("""COMPUTED_VALUE"""),"1765252618372")</f>
        <v>1765252618372</v>
      </c>
    </row>
    <row r="9521" spans="1:11" ht="12.45">
      <c r="A9521" s="2" t="str">
        <f ca="1">IFERROR(__xludf.DUMMYFUNCTION("""COMPUTED_VALUE"""),"1765252644772")</f>
        <v>1765252644772</v>
      </c>
      <c r="C9521" s="2" t="str">
        <v>0</v>
      </c>
      <c r="F9521" s="2" t="str">
        <v>0</v>
      </c>
      <c r="I9521" s="3" t="str">
        <f ca="1">IFERROR(__xludf.DUMMYFUNCTION("""COMPUTED_VALUE"""),"Nguyễn Minh Chi ")</f>
        <v xml:space="preserve">Nguyễn Minh Chi </v>
      </c>
      <c r="J9521" s="3" t="str">
        <f ca="1">IFERROR(__xludf.DUMMYFUNCTION("""COMPUTED_VALUE"""),"0392479340")</f>
        <v>0392479340</v>
      </c>
      <c r="K9521" s="2" t="str">
        <f ca="1">IFERROR(__xludf.DUMMYFUNCTION("""COMPUTED_VALUE"""),"1765252644772")</f>
        <v>1765252644772</v>
      </c>
    </row>
    <row r="9522" spans="1:11" ht="12.45">
      <c r="A9522" s="2" t="str">
        <f ca="1">IFERROR(__xludf.DUMMYFUNCTION("""COMPUTED_VALUE"""),"1765252677234")</f>
        <v>1765252677234</v>
      </c>
      <c r="C9522" s="2" t="str">
        <v>0</v>
      </c>
      <c r="F9522" s="2" t="str">
        <v>0</v>
      </c>
      <c r="I9522" s="3" t="str">
        <f ca="1">IFERROR(__xludf.DUMMYFUNCTION("""COMPUTED_VALUE"""),"Phan Nguyễn Minh Thư")</f>
        <v>Phan Nguyễn Minh Thư</v>
      </c>
      <c r="J9522" s="3" t="str">
        <f ca="1">IFERROR(__xludf.DUMMYFUNCTION("""COMPUTED_VALUE"""),"0965409389")</f>
        <v>0965409389</v>
      </c>
      <c r="K9522" s="2" t="str">
        <f ca="1">IFERROR(__xludf.DUMMYFUNCTION("""COMPUTED_VALUE"""),"1765252677234")</f>
        <v>1765252677234</v>
      </c>
    </row>
    <row r="9523" spans="1:11" ht="12.45">
      <c r="A9523" s="2" t="str">
        <f ca="1">IFERROR(__xludf.DUMMYFUNCTION("""COMPUTED_VALUE"""),"1765252703464")</f>
        <v>1765252703464</v>
      </c>
      <c r="C9523" s="2" t="str">
        <v>0</v>
      </c>
      <c r="F9523" s="2" t="str">
        <v>0</v>
      </c>
      <c r="I9523" s="3" t="str">
        <f ca="1">IFERROR(__xludf.DUMMYFUNCTION("""COMPUTED_VALUE"""),"Nguyễn Lê An Nhiên")</f>
        <v>Nguyễn Lê An Nhiên</v>
      </c>
      <c r="J9523" s="3" t="str">
        <f ca="1">IFERROR(__xludf.DUMMYFUNCTION("""COMPUTED_VALUE"""),"0866444300")</f>
        <v>0866444300</v>
      </c>
      <c r="K9523" s="2" t="str">
        <f ca="1">IFERROR(__xludf.DUMMYFUNCTION("""COMPUTED_VALUE"""),"1765252703464")</f>
        <v>1765252703464</v>
      </c>
    </row>
    <row r="9524" spans="1:11" ht="12.45">
      <c r="A9524" s="2" t="str">
        <f ca="1">IFERROR(__xludf.DUMMYFUNCTION("""COMPUTED_VALUE"""),"1765252728400")</f>
        <v>1765252728400</v>
      </c>
      <c r="C9524" s="2" t="str">
        <v>0</v>
      </c>
      <c r="F9524" s="2" t="str">
        <v>0</v>
      </c>
      <c r="I9524" s="3" t="str">
        <f ca="1">IFERROR(__xludf.DUMMYFUNCTION("""COMPUTED_VALUE"""),"Nguyễn Thị Ngọc Tú ")</f>
        <v xml:space="preserve">Nguyễn Thị Ngọc Tú </v>
      </c>
      <c r="J9524" s="3" t="str">
        <f ca="1">IFERROR(__xludf.DUMMYFUNCTION("""COMPUTED_VALUE"""),"0984466378")</f>
        <v>0984466378</v>
      </c>
      <c r="K9524" s="2" t="str">
        <f ca="1">IFERROR(__xludf.DUMMYFUNCTION("""COMPUTED_VALUE"""),"1765252728400")</f>
        <v>1765252728400</v>
      </c>
    </row>
    <row r="9525" spans="1:11" ht="12.45">
      <c r="A9525" s="2" t="str">
        <f ca="1">IFERROR(__xludf.DUMMYFUNCTION("""COMPUTED_VALUE"""),"1765252750237")</f>
        <v>1765252750237</v>
      </c>
      <c r="C9525" s="2" t="str">
        <v>0</v>
      </c>
      <c r="F9525" s="2" t="str">
        <v>0</v>
      </c>
      <c r="I9525" s="3" t="str">
        <f ca="1">IFERROR(__xludf.DUMMYFUNCTION("""COMPUTED_VALUE"""),"Nguyễn Phương Thuỳ")</f>
        <v>Nguyễn Phương Thuỳ</v>
      </c>
      <c r="J9525" s="3" t="str">
        <f ca="1">IFERROR(__xludf.DUMMYFUNCTION("""COMPUTED_VALUE"""),"0965972235")</f>
        <v>0965972235</v>
      </c>
      <c r="K9525" s="2" t="str">
        <f ca="1">IFERROR(__xludf.DUMMYFUNCTION("""COMPUTED_VALUE"""),"1765252750237")</f>
        <v>1765252750237</v>
      </c>
    </row>
    <row r="9526" spans="1:11" ht="12.45">
      <c r="A9526" s="2" t="str">
        <f ca="1">IFERROR(__xludf.DUMMYFUNCTION("""COMPUTED_VALUE"""),"1765252774754")</f>
        <v>1765252774754</v>
      </c>
      <c r="C9526" s="2" t="str">
        <v>0</v>
      </c>
      <c r="F9526" s="2" t="str">
        <v>0</v>
      </c>
      <c r="I9526" s="3" t="str">
        <f ca="1">IFERROR(__xludf.DUMMYFUNCTION("""COMPUTED_VALUE"""),"Võ Hương Giang")</f>
        <v>Võ Hương Giang</v>
      </c>
      <c r="J9526" s="3" t="str">
        <f ca="1">IFERROR(__xludf.DUMMYFUNCTION("""COMPUTED_VALUE"""),"0867859207")</f>
        <v>0867859207</v>
      </c>
      <c r="K9526" s="2" t="str">
        <f ca="1">IFERROR(__xludf.DUMMYFUNCTION("""COMPUTED_VALUE"""),"1765252774754")</f>
        <v>1765252774754</v>
      </c>
    </row>
    <row r="9527" spans="1:11" ht="12.45">
      <c r="A9527" s="2" t="str">
        <f ca="1">IFERROR(__xludf.DUMMYFUNCTION("""COMPUTED_VALUE"""),"1765252800844")</f>
        <v>1765252800844</v>
      </c>
      <c r="C9527" s="2" t="str">
        <v>0</v>
      </c>
      <c r="F9527" s="2" t="str">
        <v>0</v>
      </c>
      <c r="I9527" s="3" t="str">
        <f ca="1">IFERROR(__xludf.DUMMYFUNCTION("""COMPUTED_VALUE"""),"Nguyễn hoàng việt")</f>
        <v>Nguyễn hoàng việt</v>
      </c>
      <c r="J9527" s="3" t="str">
        <f ca="1">IFERROR(__xludf.DUMMYFUNCTION("""COMPUTED_VALUE"""),"0946177579")</f>
        <v>0946177579</v>
      </c>
      <c r="K9527" s="2" t="str">
        <f ca="1">IFERROR(__xludf.DUMMYFUNCTION("""COMPUTED_VALUE"""),"1765252800844")</f>
        <v>1765252800844</v>
      </c>
    </row>
    <row r="9528" spans="1:11" ht="12.45">
      <c r="A9528" s="2"/>
      <c r="C9528" s="2" t="str">
        <v>0</v>
      </c>
      <c r="F9528" s="2" t="str">
        <v>0</v>
      </c>
      <c r="I9528" s="3" t="str">
        <f ca="1">IFERROR(__xludf.DUMMYFUNCTION("""COMPUTED_VALUE"""),"Hà Thu Ngọc ")</f>
        <v xml:space="preserve">Hà Thu Ngọc </v>
      </c>
      <c r="J9528" s="3" t="str">
        <f ca="1">IFERROR(__xludf.DUMMYFUNCTION("""COMPUTED_VALUE"""),"0862137758")</f>
        <v>0862137758</v>
      </c>
      <c r="K9528" s="2"/>
    </row>
    <row r="9529" spans="1:11" ht="12.45">
      <c r="A9529" s="2" t="str">
        <f ca="1">IFERROR(__xludf.DUMMYFUNCTION("""COMPUTED_VALUE"""),"1765252828224")</f>
        <v>1765252828224</v>
      </c>
      <c r="C9529" s="2" t="str">
        <v>0</v>
      </c>
      <c r="F9529" s="2" t="str">
        <v>0</v>
      </c>
      <c r="I9529" s="3" t="str">
        <f ca="1">IFERROR(__xludf.DUMMYFUNCTION("""COMPUTED_VALUE"""),"Phan Châu Anh")</f>
        <v>Phan Châu Anh</v>
      </c>
      <c r="J9529" s="3" t="str">
        <f ca="1">IFERROR(__xludf.DUMMYFUNCTION("""COMPUTED_VALUE"""),"0564191506")</f>
        <v>0564191506</v>
      </c>
      <c r="K9529" s="2" t="str">
        <f ca="1">IFERROR(__xludf.DUMMYFUNCTION("""COMPUTED_VALUE"""),"1765252828224")</f>
        <v>1765252828224</v>
      </c>
    </row>
    <row r="9530" spans="1:11" ht="12.45">
      <c r="A9530" s="2" t="str">
        <f ca="1">IFERROR(__xludf.DUMMYFUNCTION("""COMPUTED_VALUE"""),"1765252854712")</f>
        <v>1765252854712</v>
      </c>
      <c r="C9530" s="2" t="str">
        <v>0</v>
      </c>
      <c r="F9530" s="2" t="str">
        <v>0</v>
      </c>
      <c r="I9530" s="3" t="str">
        <f ca="1">IFERROR(__xludf.DUMMYFUNCTION("""COMPUTED_VALUE"""),"Tráng Vũ Lâm")</f>
        <v>Tráng Vũ Lâm</v>
      </c>
      <c r="J9530" s="3" t="str">
        <f ca="1">IFERROR(__xludf.DUMMYFUNCTION("""COMPUTED_VALUE"""),"0964883534")</f>
        <v>0964883534</v>
      </c>
      <c r="K9530" s="2" t="str">
        <f ca="1">IFERROR(__xludf.DUMMYFUNCTION("""COMPUTED_VALUE"""),"1765252854712")</f>
        <v>1765252854712</v>
      </c>
    </row>
    <row r="9531" spans="1:11" ht="12.45">
      <c r="A9531" s="2" t="str">
        <f ca="1">IFERROR(__xludf.DUMMYFUNCTION("""COMPUTED_VALUE"""),"1765252880804")</f>
        <v>1765252880804</v>
      </c>
      <c r="C9531" s="2" t="str">
        <v>0</v>
      </c>
      <c r="F9531" s="2" t="str">
        <v>0</v>
      </c>
      <c r="I9531" s="3" t="str">
        <f ca="1">IFERROR(__xludf.DUMMYFUNCTION("""COMPUTED_VALUE"""),"Huỳnh Nguyễn Trúc Yên ")</f>
        <v xml:space="preserve">Huỳnh Nguyễn Trúc Yên </v>
      </c>
      <c r="J9531" s="3" t="str">
        <f ca="1">IFERROR(__xludf.DUMMYFUNCTION("""COMPUTED_VALUE"""),"0772947725")</f>
        <v>0772947725</v>
      </c>
      <c r="K9531" s="2" t="str">
        <f ca="1">IFERROR(__xludf.DUMMYFUNCTION("""COMPUTED_VALUE"""),"1765252880804")</f>
        <v>1765252880804</v>
      </c>
    </row>
    <row r="9532" spans="1:11" ht="12.45">
      <c r="A9532" s="2" t="str">
        <f ca="1">IFERROR(__xludf.DUMMYFUNCTION("""COMPUTED_VALUE"""),"1765252905887")</f>
        <v>1765252905887</v>
      </c>
      <c r="C9532" s="2" t="str">
        <v>0</v>
      </c>
      <c r="F9532" s="2" t="str">
        <v>0</v>
      </c>
      <c r="I9532" s="3" t="str">
        <f ca="1">IFERROR(__xludf.DUMMYFUNCTION("""COMPUTED_VALUE"""),"Phan Anh Pha")</f>
        <v>Phan Anh Pha</v>
      </c>
      <c r="J9532" s="3" t="str">
        <f ca="1">IFERROR(__xludf.DUMMYFUNCTION("""COMPUTED_VALUE"""),"0384090258")</f>
        <v>0384090258</v>
      </c>
      <c r="K9532" s="2" t="str">
        <f ca="1">IFERROR(__xludf.DUMMYFUNCTION("""COMPUTED_VALUE"""),"1765252905887")</f>
        <v>1765252905887</v>
      </c>
    </row>
    <row r="9533" spans="1:11" ht="12.45">
      <c r="A9533" s="2" t="str">
        <f ca="1">IFERROR(__xludf.DUMMYFUNCTION("""COMPUTED_VALUE"""),"1765252945866")</f>
        <v>1765252945866</v>
      </c>
      <c r="C9533" s="2" t="str">
        <v>0</v>
      </c>
      <c r="F9533" s="2" t="str">
        <v>0</v>
      </c>
      <c r="I9533" s="3" t="str">
        <f ca="1">IFERROR(__xludf.DUMMYFUNCTION("""COMPUTED_VALUE"""),"Lê Thị hà my ")</f>
        <v xml:space="preserve">Lê Thị hà my </v>
      </c>
      <c r="J9533" s="3" t="str">
        <f ca="1">IFERROR(__xludf.DUMMYFUNCTION("""COMPUTED_VALUE"""),"0335583149")</f>
        <v>0335583149</v>
      </c>
      <c r="K9533" s="2" t="str">
        <f ca="1">IFERROR(__xludf.DUMMYFUNCTION("""COMPUTED_VALUE"""),"1765252945866")</f>
        <v>1765252945866</v>
      </c>
    </row>
    <row r="9534" spans="1:11" ht="12.45">
      <c r="A9534" s="2" t="str">
        <f ca="1">IFERROR(__xludf.DUMMYFUNCTION("""COMPUTED_VALUE"""),"1765252979685")</f>
        <v>1765252979685</v>
      </c>
      <c r="C9534" s="2" t="str">
        <v>0</v>
      </c>
      <c r="F9534" s="2" t="str">
        <v>0</v>
      </c>
      <c r="I9534" s="3" t="str">
        <f ca="1">IFERROR(__xludf.DUMMYFUNCTION("""COMPUTED_VALUE"""),"Nguyễn Thành Luân")</f>
        <v>Nguyễn Thành Luân</v>
      </c>
      <c r="J9534" s="3" t="str">
        <f ca="1">IFERROR(__xludf.DUMMYFUNCTION("""COMPUTED_VALUE"""),"0333636302")</f>
        <v>0333636302</v>
      </c>
      <c r="K9534" s="2" t="str">
        <f ca="1">IFERROR(__xludf.DUMMYFUNCTION("""COMPUTED_VALUE"""),"1765252979685")</f>
        <v>1765252979685</v>
      </c>
    </row>
    <row r="9535" spans="1:11" ht="12.45">
      <c r="A9535" s="2" t="str">
        <f ca="1">IFERROR(__xludf.DUMMYFUNCTION("""COMPUTED_VALUE"""),"1765253008997")</f>
        <v>1765253008997</v>
      </c>
      <c r="C9535" s="2" t="str">
        <v>0</v>
      </c>
      <c r="F9535" s="2" t="str">
        <v>0</v>
      </c>
      <c r="I9535" s="3" t="str">
        <f ca="1">IFERROR(__xludf.DUMMYFUNCTION("""COMPUTED_VALUE"""),"Vũ Thị Thu Thảo ")</f>
        <v xml:space="preserve">Vũ Thị Thu Thảo </v>
      </c>
      <c r="J9535" s="3" t="str">
        <f ca="1">IFERROR(__xludf.DUMMYFUNCTION("""COMPUTED_VALUE"""),"0357650149")</f>
        <v>0357650149</v>
      </c>
      <c r="K9535" s="2" t="str">
        <f ca="1">IFERROR(__xludf.DUMMYFUNCTION("""COMPUTED_VALUE"""),"1765253008997")</f>
        <v>1765253008997</v>
      </c>
    </row>
    <row r="9536" spans="1:11" ht="12.45">
      <c r="A9536" s="2" t="str">
        <f ca="1">IFERROR(__xludf.DUMMYFUNCTION("""COMPUTED_VALUE"""),"1765253045758")</f>
        <v>1765253045758</v>
      </c>
      <c r="C9536" s="2" t="str">
        <v>0</v>
      </c>
      <c r="F9536" s="2" t="str">
        <v>0</v>
      </c>
      <c r="I9536" s="3" t="str">
        <f ca="1">IFERROR(__xludf.DUMMYFUNCTION("""COMPUTED_VALUE"""),"Nguyễn Thanh Trúc")</f>
        <v>Nguyễn Thanh Trúc</v>
      </c>
      <c r="J9536" s="3" t="str">
        <f ca="1">IFERROR(__xludf.DUMMYFUNCTION("""COMPUTED_VALUE"""),"0888663362")</f>
        <v>0888663362</v>
      </c>
      <c r="K9536" s="2" t="str">
        <f ca="1">IFERROR(__xludf.DUMMYFUNCTION("""COMPUTED_VALUE"""),"1765253045758")</f>
        <v>1765253045758</v>
      </c>
    </row>
    <row r="9537" spans="1:11" ht="12.45">
      <c r="A9537" s="2" t="str">
        <f ca="1">IFERROR(__xludf.DUMMYFUNCTION("""COMPUTED_VALUE"""),"1765253075813")</f>
        <v>1765253075813</v>
      </c>
      <c r="C9537" s="2" t="str">
        <v>0</v>
      </c>
      <c r="F9537" s="2" t="str">
        <v>0</v>
      </c>
      <c r="I9537" s="3" t="str">
        <f ca="1">IFERROR(__xludf.DUMMYFUNCTION("""COMPUTED_VALUE"""),"Phan Trần Khánh Huyền ")</f>
        <v xml:space="preserve">Phan Trần Khánh Huyền </v>
      </c>
      <c r="J9537" s="3" t="str">
        <f ca="1">IFERROR(__xludf.DUMMYFUNCTION("""COMPUTED_VALUE"""),"0968367739")</f>
        <v>0968367739</v>
      </c>
      <c r="K9537" s="2" t="str">
        <f ca="1">IFERROR(__xludf.DUMMYFUNCTION("""COMPUTED_VALUE"""),"1765253075813")</f>
        <v>1765253075813</v>
      </c>
    </row>
    <row r="9538" spans="1:11" ht="12.45">
      <c r="A9538" s="2" t="str">
        <f ca="1">IFERROR(__xludf.DUMMYFUNCTION("""COMPUTED_VALUE"""),"1765253099743")</f>
        <v>1765253099743</v>
      </c>
      <c r="C9538" s="2" t="str">
        <v>0</v>
      </c>
      <c r="F9538" s="2" t="str">
        <v>0</v>
      </c>
      <c r="I9538" s="3" t="str">
        <f ca="1">IFERROR(__xludf.DUMMYFUNCTION("""COMPUTED_VALUE"""),"Vũ Mai Phương")</f>
        <v>Vũ Mai Phương</v>
      </c>
      <c r="J9538" s="3" t="str">
        <f ca="1">IFERROR(__xludf.DUMMYFUNCTION("""COMPUTED_VALUE"""),"0987790287")</f>
        <v>0987790287</v>
      </c>
      <c r="K9538" s="2" t="str">
        <f ca="1">IFERROR(__xludf.DUMMYFUNCTION("""COMPUTED_VALUE"""),"1765253099743")</f>
        <v>1765253099743</v>
      </c>
    </row>
    <row r="9539" spans="1:11" ht="12.45">
      <c r="A9539" s="2" t="str">
        <f ca="1">IFERROR(__xludf.DUMMYFUNCTION("""COMPUTED_VALUE"""),"1765253121595")</f>
        <v>1765253121595</v>
      </c>
      <c r="C9539" s="2" t="str">
        <v>0</v>
      </c>
      <c r="F9539" s="2" t="str">
        <v>0</v>
      </c>
      <c r="I9539" s="3" t="str">
        <f ca="1">IFERROR(__xludf.DUMMYFUNCTION("""COMPUTED_VALUE"""),"Nguyễn Ngọc Phương Linh")</f>
        <v>Nguyễn Ngọc Phương Linh</v>
      </c>
      <c r="J9539" s="3" t="str">
        <f ca="1">IFERROR(__xludf.DUMMYFUNCTION("""COMPUTED_VALUE"""),"0984717763")</f>
        <v>0984717763</v>
      </c>
      <c r="K9539" s="2" t="str">
        <f ca="1">IFERROR(__xludf.DUMMYFUNCTION("""COMPUTED_VALUE"""),"1765253121595")</f>
        <v>1765253121595</v>
      </c>
    </row>
    <row r="9540" spans="1:11" ht="12.45">
      <c r="A9540" s="2" t="str">
        <f ca="1">IFERROR(__xludf.DUMMYFUNCTION("""COMPUTED_VALUE"""),"1765253159768")</f>
        <v>1765253159768</v>
      </c>
      <c r="C9540" s="2" t="str">
        <v>0</v>
      </c>
      <c r="F9540" s="2" t="str">
        <v>0</v>
      </c>
      <c r="I9540" s="2" t="str">
        <f ca="1">IFERROR(__xludf.DUMMYFUNCTION("""COMPUTED_VALUE"""),"Bùi Ngọc Bảo Hân")</f>
        <v>Bùi Ngọc Bảo Hân</v>
      </c>
      <c r="J9540" s="3" t="str">
        <f ca="1">IFERROR(__xludf.DUMMYFUNCTION("""COMPUTED_VALUE"""),"0973977914")</f>
        <v>0973977914</v>
      </c>
      <c r="K9540" s="2" t="str">
        <f ca="1">IFERROR(__xludf.DUMMYFUNCTION("""COMPUTED_VALUE"""),"1765253159768")</f>
        <v>1765253159768</v>
      </c>
    </row>
    <row r="9541" spans="1:11" ht="12.45">
      <c r="A9541" s="2" t="str">
        <f ca="1">IFERROR(__xludf.DUMMYFUNCTION("""COMPUTED_VALUE"""),"1765253186636")</f>
        <v>1765253186636</v>
      </c>
      <c r="C9541" s="2" t="str">
        <v>0</v>
      </c>
      <c r="F9541" s="2" t="str">
        <v>0</v>
      </c>
      <c r="I9541" s="3" t="str">
        <f ca="1">IFERROR(__xludf.DUMMYFUNCTION("""COMPUTED_VALUE"""),"Nguyễn Phạm Khánh Linh ")</f>
        <v xml:space="preserve">Nguyễn Phạm Khánh Linh </v>
      </c>
      <c r="J9541" s="3" t="str">
        <f ca="1">IFERROR(__xludf.DUMMYFUNCTION("""COMPUTED_VALUE"""),"0969654456")</f>
        <v>0969654456</v>
      </c>
      <c r="K9541" s="2" t="str">
        <f ca="1">IFERROR(__xludf.DUMMYFUNCTION("""COMPUTED_VALUE"""),"1765253186636")</f>
        <v>1765253186636</v>
      </c>
    </row>
    <row r="9542" spans="1:11" ht="12.45">
      <c r="A9542" s="2" t="str">
        <f ca="1">IFERROR(__xludf.DUMMYFUNCTION("""COMPUTED_VALUE"""),"1765253233672")</f>
        <v>1765253233672</v>
      </c>
      <c r="C9542" s="2" t="str">
        <v>0</v>
      </c>
      <c r="F9542" s="2" t="str">
        <v>0</v>
      </c>
      <c r="I9542" s="3" t="str">
        <f ca="1">IFERROR(__xludf.DUMMYFUNCTION("""COMPUTED_VALUE"""),"Đinh thị thảo nguyên")</f>
        <v>Đinh thị thảo nguyên</v>
      </c>
      <c r="J9542" s="3" t="str">
        <f ca="1">IFERROR(__xludf.DUMMYFUNCTION("""COMPUTED_VALUE"""),"0905938141")</f>
        <v>0905938141</v>
      </c>
      <c r="K9542" s="2" t="str">
        <f ca="1">IFERROR(__xludf.DUMMYFUNCTION("""COMPUTED_VALUE"""),"1765253233672")</f>
        <v>1765253233672</v>
      </c>
    </row>
    <row r="9543" spans="1:11" ht="12.45">
      <c r="A9543" s="2" t="str">
        <f ca="1">IFERROR(__xludf.DUMMYFUNCTION("""COMPUTED_VALUE"""),"1765253262614")</f>
        <v>1765253262614</v>
      </c>
      <c r="C9543" s="2" t="str">
        <v>0</v>
      </c>
      <c r="F9543" s="2" t="str">
        <v>0</v>
      </c>
      <c r="I9543" s="3" t="str">
        <f ca="1">IFERROR(__xludf.DUMMYFUNCTION("""COMPUTED_VALUE"""),"Lô Nguyễn Khánh Thư")</f>
        <v>Lô Nguyễn Khánh Thư</v>
      </c>
      <c r="J9543" s="3" t="str">
        <f ca="1">IFERROR(__xludf.DUMMYFUNCTION("""COMPUTED_VALUE"""),"0334467127")</f>
        <v>0334467127</v>
      </c>
      <c r="K9543" s="2" t="str">
        <f ca="1">IFERROR(__xludf.DUMMYFUNCTION("""COMPUTED_VALUE"""),"1765253262614")</f>
        <v>1765253262614</v>
      </c>
    </row>
    <row r="9544" spans="1:11" ht="12.45">
      <c r="A9544" s="2" t="str">
        <f ca="1">IFERROR(__xludf.DUMMYFUNCTION("""COMPUTED_VALUE"""),"1765253298392")</f>
        <v>1765253298392</v>
      </c>
      <c r="C9544" s="2" t="str">
        <v>0</v>
      </c>
      <c r="F9544" s="2" t="str">
        <v>0</v>
      </c>
      <c r="I9544" s="3" t="str">
        <f ca="1">IFERROR(__xludf.DUMMYFUNCTION("""COMPUTED_VALUE"""),"Đinh Hoàng Mỹ Huyền ")</f>
        <v xml:space="preserve">Đinh Hoàng Mỹ Huyền </v>
      </c>
      <c r="J9544" s="3" t="str">
        <f ca="1">IFERROR(__xludf.DUMMYFUNCTION("""COMPUTED_VALUE"""),"0913357809")</f>
        <v>0913357809</v>
      </c>
      <c r="K9544" s="2" t="str">
        <f ca="1">IFERROR(__xludf.DUMMYFUNCTION("""COMPUTED_VALUE"""),"1765253298392")</f>
        <v>1765253298392</v>
      </c>
    </row>
    <row r="9545" spans="1:11" ht="12.45">
      <c r="A9545" s="2" t="str">
        <f ca="1">IFERROR(__xludf.DUMMYFUNCTION("""COMPUTED_VALUE"""),"1765253330616")</f>
        <v>1765253330616</v>
      </c>
      <c r="C9545" s="2" t="str">
        <v>0</v>
      </c>
      <c r="F9545" s="2" t="str">
        <v>0</v>
      </c>
      <c r="I9545" s="3" t="str">
        <f ca="1">IFERROR(__xludf.DUMMYFUNCTION("""COMPUTED_VALUE"""),"Trương thị hoa")</f>
        <v>Trương thị hoa</v>
      </c>
      <c r="J9545" s="3" t="str">
        <f ca="1">IFERROR(__xludf.DUMMYFUNCTION("""COMPUTED_VALUE"""),"0921467125")</f>
        <v>0921467125</v>
      </c>
      <c r="K9545" s="2" t="str">
        <f ca="1">IFERROR(__xludf.DUMMYFUNCTION("""COMPUTED_VALUE"""),"1765253330616")</f>
        <v>1765253330616</v>
      </c>
    </row>
    <row r="9546" spans="1:11" ht="12.45">
      <c r="A9546" s="2" t="str">
        <f ca="1">IFERROR(__xludf.DUMMYFUNCTION("""COMPUTED_VALUE"""),"1765253363892")</f>
        <v>1765253363892</v>
      </c>
      <c r="C9546" s="2" t="str">
        <v>0</v>
      </c>
      <c r="F9546" s="2" t="str">
        <v>0</v>
      </c>
      <c r="I9546" s="3" t="str">
        <f ca="1">IFERROR(__xludf.DUMMYFUNCTION("""COMPUTED_VALUE"""),"Nguyễn thị phương thuỳ")</f>
        <v>Nguyễn thị phương thuỳ</v>
      </c>
      <c r="J9546" s="3" t="str">
        <f ca="1">IFERROR(__xludf.DUMMYFUNCTION("""COMPUTED_VALUE"""),"0366408470")</f>
        <v>0366408470</v>
      </c>
      <c r="K9546" s="2" t="str">
        <f ca="1">IFERROR(__xludf.DUMMYFUNCTION("""COMPUTED_VALUE"""),"1765253363892")</f>
        <v>1765253363892</v>
      </c>
    </row>
    <row r="9547" spans="1:11" ht="12.45">
      <c r="A9547" s="2" t="str">
        <f ca="1">IFERROR(__xludf.DUMMYFUNCTION("""COMPUTED_VALUE"""),"1765253390968")</f>
        <v>1765253390968</v>
      </c>
      <c r="C9547" s="2" t="str">
        <v>0</v>
      </c>
      <c r="F9547" s="2" t="str">
        <v>0</v>
      </c>
      <c r="I9547" s="3" t="str">
        <f ca="1">IFERROR(__xludf.DUMMYFUNCTION("""COMPUTED_VALUE"""),"Nguyễn Hoàng Anh ")</f>
        <v xml:space="preserve">Nguyễn Hoàng Anh </v>
      </c>
      <c r="J9547" s="3" t="str">
        <f ca="1">IFERROR(__xludf.DUMMYFUNCTION("""COMPUTED_VALUE"""),"0866323562")</f>
        <v>0866323562</v>
      </c>
      <c r="K9547" s="2" t="str">
        <f ca="1">IFERROR(__xludf.DUMMYFUNCTION("""COMPUTED_VALUE"""),"1765253390968")</f>
        <v>1765253390968</v>
      </c>
    </row>
    <row r="9548" spans="1:11" ht="12.45">
      <c r="A9548" s="2" t="str">
        <f ca="1">IFERROR(__xludf.DUMMYFUNCTION("""COMPUTED_VALUE"""),"1765253421731")</f>
        <v>1765253421731</v>
      </c>
      <c r="C9548" s="2" t="str">
        <v>0</v>
      </c>
      <c r="F9548" s="2" t="str">
        <v>0</v>
      </c>
      <c r="I9548" s="3" t="str">
        <f ca="1">IFERROR(__xludf.DUMMYFUNCTION("""COMPUTED_VALUE"""),"Cao Thu Hoài")</f>
        <v>Cao Thu Hoài</v>
      </c>
      <c r="J9548" s="3" t="str">
        <f ca="1">IFERROR(__xludf.DUMMYFUNCTION("""COMPUTED_VALUE"""),"0978022993")</f>
        <v>0978022993</v>
      </c>
      <c r="K9548" s="2" t="str">
        <f ca="1">IFERROR(__xludf.DUMMYFUNCTION("""COMPUTED_VALUE"""),"1765253421731")</f>
        <v>1765253421731</v>
      </c>
    </row>
    <row r="9549" spans="1:11" ht="12.45">
      <c r="A9549" s="2"/>
      <c r="C9549" s="2" t="str">
        <v>0</v>
      </c>
      <c r="F9549" s="2" t="str">
        <v>0</v>
      </c>
      <c r="I9549" s="3" t="str">
        <f ca="1">IFERROR(__xludf.DUMMYFUNCTION("""COMPUTED_VALUE"""),"Phạm Thị Ngọc Linh ")</f>
        <v xml:space="preserve">Phạm Thị Ngọc Linh </v>
      </c>
      <c r="J9549" s="3" t="str">
        <f ca="1">IFERROR(__xludf.DUMMYFUNCTION("""COMPUTED_VALUE"""),"0348462201")</f>
        <v>0348462201</v>
      </c>
      <c r="K9549" s="2"/>
    </row>
    <row r="9550" spans="1:11" ht="12.45">
      <c r="A9550" s="2" t="str">
        <f ca="1">IFERROR(__xludf.DUMMYFUNCTION("""COMPUTED_VALUE"""),"1765253453587")</f>
        <v>1765253453587</v>
      </c>
      <c r="C9550" s="2" t="str">
        <v>0</v>
      </c>
      <c r="F9550" s="2" t="str">
        <v>0</v>
      </c>
      <c r="I9550" s="3" t="str">
        <f ca="1">IFERROR(__xludf.DUMMYFUNCTION("""COMPUTED_VALUE"""),"Nguyễn Việt Dũng")</f>
        <v>Nguyễn Việt Dũng</v>
      </c>
      <c r="J9550" s="3" t="str">
        <f ca="1">IFERROR(__xludf.DUMMYFUNCTION("""COMPUTED_VALUE"""),"0986060779")</f>
        <v>0986060779</v>
      </c>
      <c r="K9550" s="2" t="str">
        <f ca="1">IFERROR(__xludf.DUMMYFUNCTION("""COMPUTED_VALUE"""),"1765253453587")</f>
        <v>1765253453587</v>
      </c>
    </row>
    <row r="9551" spans="1:11" ht="12.45">
      <c r="A9551" s="2" t="str">
        <f ca="1">IFERROR(__xludf.DUMMYFUNCTION("""COMPUTED_VALUE"""),"1765252236504")</f>
        <v>1765252236504</v>
      </c>
      <c r="C9551" s="2" t="str">
        <v>0</v>
      </c>
      <c r="F9551" s="2" t="str">
        <v>0</v>
      </c>
      <c r="I9551" s="3" t="str">
        <f ca="1">IFERROR(__xludf.DUMMYFUNCTION("""COMPUTED_VALUE"""),"Mai Thị Xuân Thảo ")</f>
        <v xml:space="preserve">Mai Thị Xuân Thảo </v>
      </c>
      <c r="J9551" s="3" t="str">
        <f ca="1">IFERROR(__xludf.DUMMYFUNCTION("""COMPUTED_VALUE"""),"0924560054")</f>
        <v>0924560054</v>
      </c>
      <c r="K9551" s="2" t="str">
        <f ca="1">IFERROR(__xludf.DUMMYFUNCTION("""COMPUTED_VALUE"""),"1765252236504")</f>
        <v>1765252236504</v>
      </c>
    </row>
    <row r="9552" spans="1:11" ht="12.45">
      <c r="A9552" s="2" t="str">
        <f ca="1">IFERROR(__xludf.DUMMYFUNCTION("""COMPUTED_VALUE"""),"105776423736")</f>
        <v>105776423736</v>
      </c>
      <c r="C9552" s="2" t="str">
        <v>0</v>
      </c>
      <c r="F9552" s="2" t="str">
        <v>0</v>
      </c>
      <c r="I9552" s="3" t="str">
        <f ca="1">IFERROR(__xludf.DUMMYFUNCTION("""COMPUTED_VALUE"""),"Trần Tường Vi")</f>
        <v>Trần Tường Vi</v>
      </c>
      <c r="J9552" s="3" t="str">
        <f ca="1">IFERROR(__xludf.DUMMYFUNCTION("""COMPUTED_VALUE"""),"0849260280")</f>
        <v>0849260280</v>
      </c>
      <c r="K9552" s="2" t="str">
        <f ca="1">IFERROR(__xludf.DUMMYFUNCTION("""COMPUTED_VALUE"""),"105776423736")</f>
        <v>105776423736</v>
      </c>
    </row>
    <row r="9553" spans="1:11" ht="12.45">
      <c r="A9553" s="2" t="str">
        <f ca="1">IFERROR(__xludf.DUMMYFUNCTION("""COMPUTED_VALUE"""),"105584137625")</f>
        <v>105584137625</v>
      </c>
      <c r="C9553" s="2" t="str">
        <v>0</v>
      </c>
      <c r="F9553" s="2" t="str">
        <v>0</v>
      </c>
      <c r="I9553" s="3" t="str">
        <f ca="1">IFERROR(__xludf.DUMMYFUNCTION("""COMPUTED_VALUE"""),"Bùi Phương Uyên")</f>
        <v>Bùi Phương Uyên</v>
      </c>
      <c r="J9553" s="3" t="str">
        <f ca="1">IFERROR(__xludf.DUMMYFUNCTION("""COMPUTED_VALUE"""),"0343233261")</f>
        <v>0343233261</v>
      </c>
      <c r="K9553" s="2" t="str">
        <f ca="1">IFERROR(__xludf.DUMMYFUNCTION("""COMPUTED_VALUE"""),"105584137625")</f>
        <v>105584137625</v>
      </c>
    </row>
    <row r="9554" spans="1:11" ht="12.45">
      <c r="A9554" s="2" t="str">
        <f ca="1">IFERROR(__xludf.DUMMYFUNCTION("""COMPUTED_VALUE"""),"105584138134")</f>
        <v>105584138134</v>
      </c>
      <c r="C9554" s="2" t="str">
        <v>0</v>
      </c>
      <c r="F9554" s="2" t="str">
        <v>0</v>
      </c>
      <c r="I9554" s="3" t="str">
        <f ca="1">IFERROR(__xludf.DUMMYFUNCTION("""COMPUTED_VALUE"""),"Nguyễn Thị Thu Huyền ")</f>
        <v xml:space="preserve">Nguyễn Thị Thu Huyền </v>
      </c>
      <c r="J9554" s="3" t="str">
        <f ca="1">IFERROR(__xludf.DUMMYFUNCTION("""COMPUTED_VALUE"""),"0798563570")</f>
        <v>0798563570</v>
      </c>
      <c r="K9554" s="2" t="str">
        <f ca="1">IFERROR(__xludf.DUMMYFUNCTION("""COMPUTED_VALUE"""),"105584138134")</f>
        <v>105584138134</v>
      </c>
    </row>
    <row r="9555" spans="1:11" ht="12.45">
      <c r="A9555" s="2" t="str">
        <f ca="1">IFERROR(__xludf.DUMMYFUNCTION("""COMPUTED_VALUE"""),"105584138342")</f>
        <v>105584138342</v>
      </c>
      <c r="C9555" s="2" t="str">
        <v>0</v>
      </c>
      <c r="F9555" s="2" t="str">
        <v>0</v>
      </c>
      <c r="I9555" s="3" t="str">
        <f ca="1">IFERROR(__xludf.DUMMYFUNCTION("""COMPUTED_VALUE"""),"Vũ Linh Hương")</f>
        <v>Vũ Linh Hương</v>
      </c>
      <c r="J9555" s="3" t="str">
        <f ca="1">IFERROR(__xludf.DUMMYFUNCTION("""COMPUTED_VALUE"""),"0865308391")</f>
        <v>0865308391</v>
      </c>
      <c r="K9555" s="2" t="str">
        <f ca="1">IFERROR(__xludf.DUMMYFUNCTION("""COMPUTED_VALUE"""),"105584138342")</f>
        <v>105584138342</v>
      </c>
    </row>
    <row r="9556" spans="1:11" ht="12.45">
      <c r="A9556" s="2" t="str">
        <f ca="1">IFERROR(__xludf.DUMMYFUNCTION("""COMPUTED_VALUE"""),"105584138717")</f>
        <v>105584138717</v>
      </c>
      <c r="C9556" s="2" t="str">
        <v>0</v>
      </c>
      <c r="F9556" s="2" t="str">
        <v>0</v>
      </c>
      <c r="I9556" s="3" t="str">
        <f ca="1">IFERROR(__xludf.DUMMYFUNCTION("""COMPUTED_VALUE"""),"Trần Như Thoại")</f>
        <v>Trần Như Thoại</v>
      </c>
      <c r="J9556" s="3" t="str">
        <f ca="1">IFERROR(__xludf.DUMMYFUNCTION("""COMPUTED_VALUE"""),"0866710517")</f>
        <v>0866710517</v>
      </c>
      <c r="K9556" s="2" t="str">
        <f ca="1">IFERROR(__xludf.DUMMYFUNCTION("""COMPUTED_VALUE"""),"105584138717")</f>
        <v>105584138717</v>
      </c>
    </row>
    <row r="9557" spans="1:11" ht="12.45">
      <c r="A9557" s="2" t="str">
        <f ca="1">IFERROR(__xludf.DUMMYFUNCTION("""COMPUTED_VALUE"""),"105584138832")</f>
        <v>105584138832</v>
      </c>
      <c r="C9557" s="2" t="str">
        <v>0</v>
      </c>
      <c r="F9557" s="2" t="str">
        <v>0</v>
      </c>
      <c r="I9557" s="3" t="str">
        <f ca="1">IFERROR(__xludf.DUMMYFUNCTION("""COMPUTED_VALUE"""),"Võ Lâm Ngọc Quyên")</f>
        <v>Võ Lâm Ngọc Quyên</v>
      </c>
      <c r="J9557" s="3" t="str">
        <f ca="1">IFERROR(__xludf.DUMMYFUNCTION("""COMPUTED_VALUE"""),"0339723023")</f>
        <v>0339723023</v>
      </c>
      <c r="K9557" s="2" t="str">
        <f ca="1">IFERROR(__xludf.DUMMYFUNCTION("""COMPUTED_VALUE"""),"105584138832")</f>
        <v>105584138832</v>
      </c>
    </row>
    <row r="9558" spans="1:11" ht="12.45">
      <c r="A9558" s="2" t="str">
        <f ca="1">IFERROR(__xludf.DUMMYFUNCTION("""COMPUTED_VALUE"""),"105584138987")</f>
        <v>105584138987</v>
      </c>
      <c r="C9558" s="2" t="str">
        <v>0</v>
      </c>
      <c r="F9558" s="2" t="str">
        <v>0</v>
      </c>
      <c r="I9558" s="3" t="str">
        <f ca="1">IFERROR(__xludf.DUMMYFUNCTION("""COMPUTED_VALUE"""),"Lê Thị Thảo Ly")</f>
        <v>Lê Thị Thảo Ly</v>
      </c>
      <c r="J9558" s="3" t="str">
        <f ca="1">IFERROR(__xludf.DUMMYFUNCTION("""COMPUTED_VALUE"""),"0333120954")</f>
        <v>0333120954</v>
      </c>
      <c r="K9558" s="2" t="str">
        <f ca="1">IFERROR(__xludf.DUMMYFUNCTION("""COMPUTED_VALUE"""),"105584138987")</f>
        <v>105584138987</v>
      </c>
    </row>
    <row r="9559" spans="1:11" ht="12.45">
      <c r="A9559" s="2" t="str">
        <f ca="1">IFERROR(__xludf.DUMMYFUNCTION("""COMPUTED_VALUE"""),"105584139052")</f>
        <v>105584139052</v>
      </c>
      <c r="C9559" s="2" t="str">
        <v>0</v>
      </c>
      <c r="F9559" s="2" t="str">
        <v>0</v>
      </c>
      <c r="I9559" s="3" t="str">
        <f ca="1">IFERROR(__xludf.DUMMYFUNCTION("""COMPUTED_VALUE"""),"Nguyễn Mai Thu Huyền ")</f>
        <v xml:space="preserve">Nguyễn Mai Thu Huyền </v>
      </c>
      <c r="J9559" s="3" t="str">
        <f ca="1">IFERROR(__xludf.DUMMYFUNCTION("""COMPUTED_VALUE"""),"0986041935")</f>
        <v>0986041935</v>
      </c>
      <c r="K9559" s="2" t="str">
        <f ca="1">IFERROR(__xludf.DUMMYFUNCTION("""COMPUTED_VALUE"""),"105584139052")</f>
        <v>105584139052</v>
      </c>
    </row>
    <row r="9560" spans="1:11" ht="12.45">
      <c r="A9560" s="2" t="str">
        <f ca="1">IFERROR(__xludf.DUMMYFUNCTION("""COMPUTED_VALUE"""),"105584139248")</f>
        <v>105584139248</v>
      </c>
      <c r="C9560" s="2" t="str">
        <v>0</v>
      </c>
      <c r="F9560" s="2" t="str">
        <v>0</v>
      </c>
      <c r="I9560" s="3" t="str">
        <f ca="1">IFERROR(__xludf.DUMMYFUNCTION("""COMPUTED_VALUE"""),"Bùi Thị Kim Lộc ")</f>
        <v xml:space="preserve">Bùi Thị Kim Lộc </v>
      </c>
      <c r="J9560" s="3" t="str">
        <f ca="1">IFERROR(__xludf.DUMMYFUNCTION("""COMPUTED_VALUE"""),"0969628327")</f>
        <v>0969628327</v>
      </c>
      <c r="K9560" s="2" t="str">
        <f ca="1">IFERROR(__xludf.DUMMYFUNCTION("""COMPUTED_VALUE"""),"105584139248")</f>
        <v>105584139248</v>
      </c>
    </row>
    <row r="9561" spans="1:11" ht="12.45">
      <c r="A9561" s="2" t="str">
        <f ca="1">IFERROR(__xludf.DUMMYFUNCTION("""COMPUTED_VALUE"""),"105584139324")</f>
        <v>105584139324</v>
      </c>
      <c r="C9561" s="2" t="str">
        <v>0</v>
      </c>
      <c r="F9561" s="2" t="str">
        <v>0</v>
      </c>
      <c r="I9561" s="3" t="str">
        <f ca="1">IFERROR(__xludf.DUMMYFUNCTION("""COMPUTED_VALUE"""),"Trần Thị Thủy Tiên")</f>
        <v>Trần Thị Thủy Tiên</v>
      </c>
      <c r="J9561" s="3" t="str">
        <f ca="1">IFERROR(__xludf.DUMMYFUNCTION("""COMPUTED_VALUE"""),"0868377590")</f>
        <v>0868377590</v>
      </c>
      <c r="K9561" s="2" t="str">
        <f ca="1">IFERROR(__xludf.DUMMYFUNCTION("""COMPUTED_VALUE"""),"105584139324")</f>
        <v>105584139324</v>
      </c>
    </row>
    <row r="9562" spans="1:11" ht="12.45">
      <c r="A9562" s="2" t="str">
        <f ca="1">IFERROR(__xludf.DUMMYFUNCTION("""COMPUTED_VALUE"""),"105584139549")</f>
        <v>105584139549</v>
      </c>
      <c r="C9562" s="2" t="str">
        <v>0</v>
      </c>
      <c r="F9562" s="2" t="str">
        <v>0</v>
      </c>
      <c r="I9562" s="3" t="str">
        <f ca="1">IFERROR(__xludf.DUMMYFUNCTION("""COMPUTED_VALUE"""),"Nông Hoài Nam")</f>
        <v>Nông Hoài Nam</v>
      </c>
      <c r="J9562" s="3" t="str">
        <f ca="1">IFERROR(__xludf.DUMMYFUNCTION("""COMPUTED_VALUE"""),"0346064726")</f>
        <v>0346064726</v>
      </c>
      <c r="K9562" s="2" t="str">
        <f ca="1">IFERROR(__xludf.DUMMYFUNCTION("""COMPUTED_VALUE"""),"105584139549")</f>
        <v>105584139549</v>
      </c>
    </row>
    <row r="9563" spans="1:11" ht="12.45">
      <c r="A9563" s="2" t="str">
        <f ca="1">IFERROR(__xludf.DUMMYFUNCTION("""COMPUTED_VALUE"""),"105584139793")</f>
        <v>105584139793</v>
      </c>
      <c r="C9563" s="2" t="str">
        <v>0</v>
      </c>
      <c r="F9563" s="2" t="str">
        <v>0</v>
      </c>
      <c r="I9563" s="3" t="str">
        <f ca="1">IFERROR(__xludf.DUMMYFUNCTION("""COMPUTED_VALUE"""),"Nguyễn Quỳnh Anh ")</f>
        <v xml:space="preserve">Nguyễn Quỳnh Anh </v>
      </c>
      <c r="J9563" s="3" t="str">
        <f ca="1">IFERROR(__xludf.DUMMYFUNCTION("""COMPUTED_VALUE"""),"0976286822")</f>
        <v>0976286822</v>
      </c>
      <c r="K9563" s="2" t="str">
        <f ca="1">IFERROR(__xludf.DUMMYFUNCTION("""COMPUTED_VALUE"""),"105584139793")</f>
        <v>105584139793</v>
      </c>
    </row>
    <row r="9564" spans="1:11" ht="12.45">
      <c r="A9564" s="2"/>
      <c r="C9564" s="2" t="str">
        <v>0</v>
      </c>
      <c r="F9564" s="2" t="str">
        <v>0</v>
      </c>
      <c r="I9564" s="3" t="str">
        <f ca="1">IFERROR(__xludf.DUMMYFUNCTION("""COMPUTED_VALUE"""),"Đỗ Hồng Hạnh ")</f>
        <v xml:space="preserve">Đỗ Hồng Hạnh </v>
      </c>
      <c r="J9564" s="3" t="str">
        <f ca="1">IFERROR(__xludf.DUMMYFUNCTION("""COMPUTED_VALUE"""),"0326309645")</f>
        <v>0326309645</v>
      </c>
      <c r="K9564" s="2"/>
    </row>
    <row r="9565" spans="1:11" ht="12.45">
      <c r="A9565" s="2" t="str">
        <f ca="1">IFERROR(__xludf.DUMMYFUNCTION("""COMPUTED_VALUE"""),"105584140097")</f>
        <v>105584140097</v>
      </c>
      <c r="C9565" s="2" t="str">
        <v>0</v>
      </c>
      <c r="F9565" s="2" t="str">
        <v>0</v>
      </c>
      <c r="I9565" s="3" t="str">
        <f ca="1">IFERROR(__xludf.DUMMYFUNCTION("""COMPUTED_VALUE"""),"Nguyễn Bảo Hương Giang")</f>
        <v>Nguyễn Bảo Hương Giang</v>
      </c>
      <c r="J9565" s="3" t="str">
        <f ca="1">IFERROR(__xludf.DUMMYFUNCTION("""COMPUTED_VALUE"""),"0896212077")</f>
        <v>0896212077</v>
      </c>
      <c r="K9565" s="2" t="str">
        <f ca="1">IFERROR(__xludf.DUMMYFUNCTION("""COMPUTED_VALUE"""),"105584140097")</f>
        <v>105584140097</v>
      </c>
    </row>
    <row r="9566" spans="1:11" ht="12.45">
      <c r="A9566" s="2" t="str">
        <f ca="1">IFERROR(__xludf.DUMMYFUNCTION("""COMPUTED_VALUE"""),"105584140172")</f>
        <v>105584140172</v>
      </c>
      <c r="C9566" s="2" t="str">
        <v>0</v>
      </c>
      <c r="F9566" s="2" t="str">
        <v>0</v>
      </c>
      <c r="I9566" s="3" t="str">
        <f ca="1">IFERROR(__xludf.DUMMYFUNCTION("""COMPUTED_VALUE"""),"Minh minh")</f>
        <v>Minh minh</v>
      </c>
      <c r="J9566" s="3" t="str">
        <f ca="1">IFERROR(__xludf.DUMMYFUNCTION("""COMPUTED_VALUE"""),"0879918310")</f>
        <v>0879918310</v>
      </c>
      <c r="K9566" s="2" t="str">
        <f ca="1">IFERROR(__xludf.DUMMYFUNCTION("""COMPUTED_VALUE"""),"105584140172")</f>
        <v>105584140172</v>
      </c>
    </row>
    <row r="9567" spans="1:11" ht="12.45">
      <c r="A9567" s="2" t="str">
        <f ca="1">IFERROR(__xludf.DUMMYFUNCTION("""COMPUTED_VALUE"""),"105584140496")</f>
        <v>105584140496</v>
      </c>
      <c r="C9567" s="2" t="str">
        <v>0</v>
      </c>
      <c r="F9567" s="2" t="str">
        <v>0</v>
      </c>
      <c r="I9567" s="3" t="str">
        <f ca="1">IFERROR(__xludf.DUMMYFUNCTION("""COMPUTED_VALUE"""),"Phạm Minh Quang")</f>
        <v>Phạm Minh Quang</v>
      </c>
      <c r="J9567" s="3" t="str">
        <f ca="1">IFERROR(__xludf.DUMMYFUNCTION("""COMPUTED_VALUE"""),"0362472234")</f>
        <v>0362472234</v>
      </c>
      <c r="K9567" s="2" t="str">
        <f ca="1">IFERROR(__xludf.DUMMYFUNCTION("""COMPUTED_VALUE"""),"105584140496")</f>
        <v>105584140496</v>
      </c>
    </row>
    <row r="9568" spans="1:11" ht="12.45">
      <c r="A9568" s="2" t="str">
        <f ca="1">IFERROR(__xludf.DUMMYFUNCTION("""COMPUTED_VALUE"""),"105584140685")</f>
        <v>105584140685</v>
      </c>
      <c r="C9568" s="2" t="str">
        <v>0</v>
      </c>
      <c r="F9568" s="2" t="str">
        <v>0</v>
      </c>
      <c r="I9568" s="3" t="str">
        <f ca="1">IFERROR(__xludf.DUMMYFUNCTION("""COMPUTED_VALUE"""),"Nguyễn Dân Thảo Nghi ")</f>
        <v xml:space="preserve">Nguyễn Dân Thảo Nghi </v>
      </c>
      <c r="J9568" s="3" t="str">
        <f ca="1">IFERROR(__xludf.DUMMYFUNCTION("""COMPUTED_VALUE"""),"0939273634")</f>
        <v>0939273634</v>
      </c>
      <c r="K9568" s="2" t="str">
        <f ca="1">IFERROR(__xludf.DUMMYFUNCTION("""COMPUTED_VALUE"""),"105584140685")</f>
        <v>105584140685</v>
      </c>
    </row>
    <row r="9569" spans="1:11" ht="12.45">
      <c r="A9569" s="2" t="str">
        <f ca="1">IFERROR(__xludf.DUMMYFUNCTION("""COMPUTED_VALUE"""),"105584140992")</f>
        <v>105584140992</v>
      </c>
      <c r="C9569" s="2" t="str">
        <v>0</v>
      </c>
      <c r="F9569" s="2" t="str">
        <v>0</v>
      </c>
      <c r="I9569" s="3" t="str">
        <f ca="1">IFERROR(__xludf.DUMMYFUNCTION("""COMPUTED_VALUE"""),"Trần ngọc sang")</f>
        <v>Trần ngọc sang</v>
      </c>
      <c r="J9569" s="3" t="str">
        <f ca="1">IFERROR(__xludf.DUMMYFUNCTION("""COMPUTED_VALUE"""),"0346425065")</f>
        <v>0346425065</v>
      </c>
      <c r="K9569" s="2" t="str">
        <f ca="1">IFERROR(__xludf.DUMMYFUNCTION("""COMPUTED_VALUE"""),"105584140992")</f>
        <v>105584140992</v>
      </c>
    </row>
    <row r="9570" spans="1:11" ht="12.45">
      <c r="A9570" s="2" t="str">
        <f ca="1">IFERROR(__xludf.DUMMYFUNCTION("""COMPUTED_VALUE"""),"105584141025")</f>
        <v>105584141025</v>
      </c>
      <c r="C9570" s="2" t="str">
        <v>0</v>
      </c>
      <c r="F9570" s="2" t="str">
        <v>0</v>
      </c>
      <c r="I9570" s="3" t="str">
        <f ca="1">IFERROR(__xludf.DUMMYFUNCTION("""COMPUTED_VALUE"""),"lê thị thuỳ linh")</f>
        <v>lê thị thuỳ linh</v>
      </c>
      <c r="J9570" s="3" t="str">
        <f ca="1">IFERROR(__xludf.DUMMYFUNCTION("""COMPUTED_VALUE"""),"0968026184")</f>
        <v>0968026184</v>
      </c>
      <c r="K9570" s="2" t="str">
        <f ca="1">IFERROR(__xludf.DUMMYFUNCTION("""COMPUTED_VALUE"""),"105584141025")</f>
        <v>105584141025</v>
      </c>
    </row>
    <row r="9571" spans="1:11" ht="12.45">
      <c r="A9571" s="2" t="str">
        <f ca="1">IFERROR(__xludf.DUMMYFUNCTION("""COMPUTED_VALUE"""),"105584141141")</f>
        <v>105584141141</v>
      </c>
      <c r="C9571" s="2" t="str">
        <v>0</v>
      </c>
      <c r="F9571" s="2" t="str">
        <v>0</v>
      </c>
      <c r="I9571" s="3" t="str">
        <f ca="1">IFERROR(__xludf.DUMMYFUNCTION("""COMPUTED_VALUE"""),"Nguyễn Thị Thủy Tiên")</f>
        <v>Nguyễn Thị Thủy Tiên</v>
      </c>
      <c r="J9571" s="3" t="str">
        <f ca="1">IFERROR(__xludf.DUMMYFUNCTION("""COMPUTED_VALUE"""),"0365822766")</f>
        <v>0365822766</v>
      </c>
      <c r="K9571" s="2" t="str">
        <f ca="1">IFERROR(__xludf.DUMMYFUNCTION("""COMPUTED_VALUE"""),"105584141141")</f>
        <v>105584141141</v>
      </c>
    </row>
    <row r="9572" spans="1:11" ht="12.45">
      <c r="A9572" s="2" t="str">
        <f ca="1">IFERROR(__xludf.DUMMYFUNCTION("""COMPUTED_VALUE"""),"105584141298")</f>
        <v>105584141298</v>
      </c>
      <c r="C9572" s="2" t="str">
        <v>0</v>
      </c>
      <c r="F9572" s="2" t="str">
        <v>0</v>
      </c>
      <c r="I9572" s="3" t="str">
        <f ca="1">IFERROR(__xludf.DUMMYFUNCTION("""COMPUTED_VALUE"""),"Nguyễn Thị Hiền")</f>
        <v>Nguyễn Thị Hiền</v>
      </c>
      <c r="J9572" s="3" t="str">
        <f ca="1">IFERROR(__xludf.DUMMYFUNCTION("""COMPUTED_VALUE"""),"0399849416")</f>
        <v>0399849416</v>
      </c>
      <c r="K9572" s="2" t="str">
        <f ca="1">IFERROR(__xludf.DUMMYFUNCTION("""COMPUTED_VALUE"""),"105584141298")</f>
        <v>105584141298</v>
      </c>
    </row>
    <row r="9573" spans="1:11" ht="12.45">
      <c r="A9573" s="2" t="str">
        <f ca="1">IFERROR(__xludf.DUMMYFUNCTION("""COMPUTED_VALUE"""),"105584141475")</f>
        <v>105584141475</v>
      </c>
      <c r="C9573" s="2" t="str">
        <v>0</v>
      </c>
      <c r="F9573" s="2" t="str">
        <v>0</v>
      </c>
      <c r="I9573" s="3" t="str">
        <f ca="1">IFERROR(__xludf.DUMMYFUNCTION("""COMPUTED_VALUE"""),"Nguyễn Ngọc Mai ")</f>
        <v xml:space="preserve">Nguyễn Ngọc Mai </v>
      </c>
      <c r="J9573" s="3" t="str">
        <f ca="1">IFERROR(__xludf.DUMMYFUNCTION("""COMPUTED_VALUE"""),"0865470064")</f>
        <v>0865470064</v>
      </c>
      <c r="K9573" s="2" t="str">
        <f ca="1">IFERROR(__xludf.DUMMYFUNCTION("""COMPUTED_VALUE"""),"105584141475")</f>
        <v>105584141475</v>
      </c>
    </row>
    <row r="9574" spans="1:11" ht="12.45">
      <c r="A9574" s="2" t="str">
        <f ca="1">IFERROR(__xludf.DUMMYFUNCTION("""COMPUTED_VALUE"""),"105584141660")</f>
        <v>105584141660</v>
      </c>
      <c r="C9574" s="2" t="str">
        <v>0</v>
      </c>
      <c r="F9574" s="2" t="str">
        <v>0</v>
      </c>
      <c r="I9574" s="3" t="str">
        <f ca="1">IFERROR(__xludf.DUMMYFUNCTION("""COMPUTED_VALUE"""),"Nguyễn Tuyết Ngân ")</f>
        <v xml:space="preserve">Nguyễn Tuyết Ngân </v>
      </c>
      <c r="J9574" s="3" t="str">
        <f ca="1">IFERROR(__xludf.DUMMYFUNCTION("""COMPUTED_VALUE"""),"0338724186")</f>
        <v>0338724186</v>
      </c>
      <c r="K9574" s="2" t="str">
        <f ca="1">IFERROR(__xludf.DUMMYFUNCTION("""COMPUTED_VALUE"""),"105584141660")</f>
        <v>105584141660</v>
      </c>
    </row>
    <row r="9575" spans="1:11" ht="12.45">
      <c r="A9575" s="2" t="str">
        <f ca="1">IFERROR(__xludf.DUMMYFUNCTION("""COMPUTED_VALUE"""),"105584141854")</f>
        <v>105584141854</v>
      </c>
      <c r="C9575" s="2" t="str">
        <v>0</v>
      </c>
      <c r="F9575" s="2" t="str">
        <v>0</v>
      </c>
      <c r="I9575" s="3" t="str">
        <f ca="1">IFERROR(__xludf.DUMMYFUNCTION("""COMPUTED_VALUE"""),"Nguyễn Yến Linh ")</f>
        <v xml:space="preserve">Nguyễn Yến Linh </v>
      </c>
      <c r="J9575" s="3" t="str">
        <f ca="1">IFERROR(__xludf.DUMMYFUNCTION("""COMPUTED_VALUE"""),"8482327368")</f>
        <v>8482327368</v>
      </c>
      <c r="K9575" s="2" t="str">
        <f ca="1">IFERROR(__xludf.DUMMYFUNCTION("""COMPUTED_VALUE"""),"105584141854")</f>
        <v>105584141854</v>
      </c>
    </row>
    <row r="9576" spans="1:11" ht="12.45">
      <c r="A9576" s="2" t="str">
        <f ca="1">IFERROR(__xludf.DUMMYFUNCTION("""COMPUTED_VALUE"""),"105584141948")</f>
        <v>105584141948</v>
      </c>
      <c r="C9576" s="2" t="str">
        <v>0</v>
      </c>
      <c r="F9576" s="2" t="str">
        <v>0</v>
      </c>
      <c r="I9576" s="3" t="str">
        <f ca="1">IFERROR(__xludf.DUMMYFUNCTION("""COMPUTED_VALUE"""),"Phan Thị Thảo Nhi")</f>
        <v>Phan Thị Thảo Nhi</v>
      </c>
      <c r="J9576" s="3" t="str">
        <f ca="1">IFERROR(__xludf.DUMMYFUNCTION("""COMPUTED_VALUE"""),"0931986292")</f>
        <v>0931986292</v>
      </c>
      <c r="K9576" s="2" t="str">
        <f ca="1">IFERROR(__xludf.DUMMYFUNCTION("""COMPUTED_VALUE"""),"105584141948")</f>
        <v>105584141948</v>
      </c>
    </row>
    <row r="9577" spans="1:11" ht="12.45">
      <c r="A9577" s="2"/>
      <c r="C9577" s="2" t="str">
        <v>0</v>
      </c>
      <c r="F9577" s="2" t="str">
        <v>0</v>
      </c>
      <c r="I9577" s="3" t="str">
        <f ca="1">IFERROR(__xludf.DUMMYFUNCTION("""COMPUTED_VALUE"""),"Đoàn Ngọc Gia Linh")</f>
        <v>Đoàn Ngọc Gia Linh</v>
      </c>
      <c r="J9577" s="3" t="str">
        <f ca="1">IFERROR(__xludf.DUMMYFUNCTION("""COMPUTED_VALUE"""),"0393271567")</f>
        <v>0393271567</v>
      </c>
      <c r="K9577" s="2"/>
    </row>
    <row r="9578" spans="1:11" ht="12.45">
      <c r="A9578" s="2"/>
      <c r="C9578" s="2" t="str">
        <v>0</v>
      </c>
      <c r="F9578" s="2" t="str">
        <v>0</v>
      </c>
      <c r="I9578" s="3" t="str">
        <f ca="1">IFERROR(__xludf.DUMMYFUNCTION("""COMPUTED_VALUE"""),"Vũ Đặng Hoàng Oanh")</f>
        <v>Vũ Đặng Hoàng Oanh</v>
      </c>
      <c r="J9578" s="3" t="str">
        <f ca="1">IFERROR(__xludf.DUMMYFUNCTION("""COMPUTED_VALUE"""),"0937074972")</f>
        <v>0937074972</v>
      </c>
      <c r="K9578" s="2"/>
    </row>
    <row r="9579" spans="1:11" ht="12.45">
      <c r="A9579" s="2" t="str">
        <f ca="1">IFERROR(__xludf.DUMMYFUNCTION("""COMPUTED_VALUE"""),"105584142037")</f>
        <v>105584142037</v>
      </c>
      <c r="C9579" s="2" t="str">
        <v>0</v>
      </c>
      <c r="F9579" s="2" t="str">
        <v>0</v>
      </c>
      <c r="I9579" s="3" t="str">
        <f ca="1">IFERROR(__xludf.DUMMYFUNCTION("""COMPUTED_VALUE"""),"Nguyễn Tuấn Vũ")</f>
        <v>Nguyễn Tuấn Vũ</v>
      </c>
      <c r="J9579" s="3" t="str">
        <f ca="1">IFERROR(__xludf.DUMMYFUNCTION("""COMPUTED_VALUE"""),"0396303115")</f>
        <v>0396303115</v>
      </c>
      <c r="K9579" s="2" t="str">
        <f ca="1">IFERROR(__xludf.DUMMYFUNCTION("""COMPUTED_VALUE"""),"105584142037")</f>
        <v>105584142037</v>
      </c>
    </row>
    <row r="9580" spans="1:11" ht="12.45">
      <c r="A9580" s="2" t="str">
        <f ca="1">IFERROR(__xludf.DUMMYFUNCTION("""COMPUTED_VALUE"""),"105584142124")</f>
        <v>105584142124</v>
      </c>
      <c r="C9580" s="2" t="str">
        <v>0</v>
      </c>
      <c r="F9580" s="2" t="str">
        <v>0</v>
      </c>
      <c r="I9580" s="3" t="str">
        <f ca="1">IFERROR(__xludf.DUMMYFUNCTION("""COMPUTED_VALUE"""),"Nguyễn Thị Hải Yến ")</f>
        <v xml:space="preserve">Nguyễn Thị Hải Yến </v>
      </c>
      <c r="J9580" s="3" t="str">
        <f ca="1">IFERROR(__xludf.DUMMYFUNCTION("""COMPUTED_VALUE"""),"0979346495")</f>
        <v>0979346495</v>
      </c>
      <c r="K9580" s="2" t="str">
        <f ca="1">IFERROR(__xludf.DUMMYFUNCTION("""COMPUTED_VALUE"""),"105584142124")</f>
        <v>105584142124</v>
      </c>
    </row>
    <row r="9581" spans="1:11" ht="12.45">
      <c r="A9581" s="2" t="str">
        <f ca="1">IFERROR(__xludf.DUMMYFUNCTION("""COMPUTED_VALUE"""),"105584142299")</f>
        <v>105584142299</v>
      </c>
      <c r="C9581" s="2" t="str">
        <v>0</v>
      </c>
      <c r="F9581" s="2" t="str">
        <v>0</v>
      </c>
      <c r="I9581" s="3" t="str">
        <f ca="1">IFERROR(__xludf.DUMMYFUNCTION("""COMPUTED_VALUE"""),"Nguyễn Ngọc Kim Ngân")</f>
        <v>Nguyễn Ngọc Kim Ngân</v>
      </c>
      <c r="J9581" s="3" t="str">
        <f ca="1">IFERROR(__xludf.DUMMYFUNCTION("""COMPUTED_VALUE"""),"0911568561")</f>
        <v>0911568561</v>
      </c>
      <c r="K9581" s="2" t="str">
        <f ca="1">IFERROR(__xludf.DUMMYFUNCTION("""COMPUTED_VALUE"""),"105584142299")</f>
        <v>105584142299</v>
      </c>
    </row>
    <row r="9582" spans="1:11" ht="12.45">
      <c r="A9582" s="2" t="str">
        <f ca="1">IFERROR(__xludf.DUMMYFUNCTION("""COMPUTED_VALUE"""),"105584142336")</f>
        <v>105584142336</v>
      </c>
      <c r="C9582" s="2" t="str">
        <v>0</v>
      </c>
      <c r="F9582" s="2" t="str">
        <v>0</v>
      </c>
      <c r="I9582" s="3" t="str">
        <f ca="1">IFERROR(__xludf.DUMMYFUNCTION("""COMPUTED_VALUE"""),"Lê Quốc Bảo")</f>
        <v>Lê Quốc Bảo</v>
      </c>
      <c r="J9582" s="3" t="str">
        <f ca="1">IFERROR(__xludf.DUMMYFUNCTION("""COMPUTED_VALUE"""),"0359147622")</f>
        <v>0359147622</v>
      </c>
      <c r="K9582" s="2" t="str">
        <f ca="1">IFERROR(__xludf.DUMMYFUNCTION("""COMPUTED_VALUE"""),"105584142336")</f>
        <v>105584142336</v>
      </c>
    </row>
    <row r="9583" spans="1:11" ht="12.45">
      <c r="A9583" s="2" t="str">
        <f ca="1">IFERROR(__xludf.DUMMYFUNCTION("""COMPUTED_VALUE"""),"105584142582")</f>
        <v>105584142582</v>
      </c>
      <c r="C9583" s="2" t="str">
        <v>0</v>
      </c>
      <c r="F9583" s="2" t="str">
        <v>0</v>
      </c>
      <c r="I9583" s="3" t="str">
        <f ca="1">IFERROR(__xludf.DUMMYFUNCTION("""COMPUTED_VALUE"""),"Đoàn Thái Thành")</f>
        <v>Đoàn Thái Thành</v>
      </c>
      <c r="J9583" s="3" t="str">
        <f ca="1">IFERROR(__xludf.DUMMYFUNCTION("""COMPUTED_VALUE"""),"0352771311")</f>
        <v>0352771311</v>
      </c>
      <c r="K9583" s="2" t="str">
        <f ca="1">IFERROR(__xludf.DUMMYFUNCTION("""COMPUTED_VALUE"""),"105584142582")</f>
        <v>105584142582</v>
      </c>
    </row>
    <row r="9584" spans="1:11" ht="12.45">
      <c r="A9584" s="2" t="str">
        <f ca="1">IFERROR(__xludf.DUMMYFUNCTION("""COMPUTED_VALUE"""),"105584142740")</f>
        <v>105584142740</v>
      </c>
      <c r="C9584" s="2" t="str">
        <v>0</v>
      </c>
      <c r="F9584" s="2" t="str">
        <v>0</v>
      </c>
      <c r="I9584" s="3" t="str">
        <f ca="1">IFERROR(__xludf.DUMMYFUNCTION("""COMPUTED_VALUE"""),"Tăng văn mạnh")</f>
        <v>Tăng văn mạnh</v>
      </c>
      <c r="J9584" s="3" t="str">
        <f ca="1">IFERROR(__xludf.DUMMYFUNCTION("""COMPUTED_VALUE"""),"0346752461")</f>
        <v>0346752461</v>
      </c>
      <c r="K9584" s="2" t="str">
        <f ca="1">IFERROR(__xludf.DUMMYFUNCTION("""COMPUTED_VALUE"""),"105584142740")</f>
        <v>105584142740</v>
      </c>
    </row>
    <row r="9585" spans="1:11" ht="12.45">
      <c r="A9585" s="2" t="str">
        <f ca="1">IFERROR(__xludf.DUMMYFUNCTION("""COMPUTED_VALUE"""),"105584143020")</f>
        <v>105584143020</v>
      </c>
      <c r="C9585" s="2" t="str">
        <v>0</v>
      </c>
      <c r="F9585" s="2" t="str">
        <v>0</v>
      </c>
      <c r="I9585" s="3" t="str">
        <f ca="1">IFERROR(__xludf.DUMMYFUNCTION("""COMPUTED_VALUE"""),"nguyễn phương khanh")</f>
        <v>nguyễn phương khanh</v>
      </c>
      <c r="J9585" s="3" t="str">
        <f ca="1">IFERROR(__xludf.DUMMYFUNCTION("""COMPUTED_VALUE"""),"0782386204")</f>
        <v>0782386204</v>
      </c>
      <c r="K9585" s="2" t="str">
        <f ca="1">IFERROR(__xludf.DUMMYFUNCTION("""COMPUTED_VALUE"""),"105584143020")</f>
        <v>105584143020</v>
      </c>
    </row>
    <row r="9586" spans="1:11" ht="12.45">
      <c r="A9586" s="2" t="str">
        <f ca="1">IFERROR(__xludf.DUMMYFUNCTION("""COMPUTED_VALUE"""),"105584143269")</f>
        <v>105584143269</v>
      </c>
      <c r="C9586" s="2" t="str">
        <v>0</v>
      </c>
      <c r="F9586" s="2" t="str">
        <v>0</v>
      </c>
      <c r="I9586" s="3" t="str">
        <f ca="1">IFERROR(__xludf.DUMMYFUNCTION("""COMPUTED_VALUE"""),"Nguyễn Thuỳ Linh")</f>
        <v>Nguyễn Thuỳ Linh</v>
      </c>
      <c r="J9586" s="3" t="str">
        <f ca="1">IFERROR(__xludf.DUMMYFUNCTION("""COMPUTED_VALUE"""),"0766423169")</f>
        <v>0766423169</v>
      </c>
      <c r="K9586" s="2" t="str">
        <f ca="1">IFERROR(__xludf.DUMMYFUNCTION("""COMPUTED_VALUE"""),"105584143269")</f>
        <v>105584143269</v>
      </c>
    </row>
    <row r="9587" spans="1:11" ht="12.45">
      <c r="A9587" s="2" t="str">
        <f ca="1">IFERROR(__xludf.DUMMYFUNCTION("""COMPUTED_VALUE"""),"105584143481")</f>
        <v>105584143481</v>
      </c>
      <c r="C9587" s="2" t="str">
        <v>0</v>
      </c>
      <c r="F9587" s="2" t="str">
        <v>0</v>
      </c>
      <c r="I9587" s="3" t="str">
        <f ca="1">IFERROR(__xludf.DUMMYFUNCTION("""COMPUTED_VALUE"""),"Nguyễn Ngọc Hà")</f>
        <v>Nguyễn Ngọc Hà</v>
      </c>
      <c r="J9587" s="3" t="str">
        <f ca="1">IFERROR(__xludf.DUMMYFUNCTION("""COMPUTED_VALUE"""),"0912118764")</f>
        <v>0912118764</v>
      </c>
      <c r="K9587" s="2" t="str">
        <f ca="1">IFERROR(__xludf.DUMMYFUNCTION("""COMPUTED_VALUE"""),"105584143481")</f>
        <v>105584143481</v>
      </c>
    </row>
    <row r="9588" spans="1:11" ht="12.45">
      <c r="A9588" s="2" t="str">
        <f ca="1">IFERROR(__xludf.DUMMYFUNCTION("""COMPUTED_VALUE"""),"105584143512")</f>
        <v>105584143512</v>
      </c>
      <c r="C9588" s="2" t="str">
        <v>0</v>
      </c>
      <c r="F9588" s="2" t="str">
        <v>0</v>
      </c>
      <c r="I9588" s="3" t="str">
        <f ca="1">IFERROR(__xludf.DUMMYFUNCTION("""COMPUTED_VALUE"""),"Nguyễn Huỳnh Anh Thư")</f>
        <v>Nguyễn Huỳnh Anh Thư</v>
      </c>
      <c r="J9588" s="3" t="str">
        <f ca="1">IFERROR(__xludf.DUMMYFUNCTION("""COMPUTED_VALUE"""),"0818151172")</f>
        <v>0818151172</v>
      </c>
      <c r="K9588" s="2" t="str">
        <f ca="1">IFERROR(__xludf.DUMMYFUNCTION("""COMPUTED_VALUE"""),"105584143512")</f>
        <v>105584143512</v>
      </c>
    </row>
    <row r="9589" spans="1:11" ht="12.45">
      <c r="A9589" s="2" t="str">
        <f ca="1">IFERROR(__xludf.DUMMYFUNCTION("""COMPUTED_VALUE"""),"105584143995")</f>
        <v>105584143995</v>
      </c>
      <c r="C9589" s="2" t="str">
        <v>0</v>
      </c>
      <c r="F9589" s="2" t="str">
        <v>0</v>
      </c>
      <c r="I9589" s="3" t="str">
        <f ca="1">IFERROR(__xludf.DUMMYFUNCTION("""COMPUTED_VALUE"""),"Nhâm Thúy Hoa")</f>
        <v>Nhâm Thúy Hoa</v>
      </c>
      <c r="J9589" s="3" t="str">
        <f ca="1">IFERROR(__xludf.DUMMYFUNCTION("""COMPUTED_VALUE"""),"0355340796")</f>
        <v>0355340796</v>
      </c>
      <c r="K9589" s="2" t="str">
        <f ca="1">IFERROR(__xludf.DUMMYFUNCTION("""COMPUTED_VALUE"""),"105584143995")</f>
        <v>105584143995</v>
      </c>
    </row>
    <row r="9590" spans="1:11" ht="12.45">
      <c r="A9590" s="2" t="str">
        <f ca="1">IFERROR(__xludf.DUMMYFUNCTION("""COMPUTED_VALUE"""),"105584144165")</f>
        <v>105584144165</v>
      </c>
      <c r="C9590" s="2" t="str">
        <v>0</v>
      </c>
      <c r="F9590" s="2" t="str">
        <v>0</v>
      </c>
      <c r="I9590" s="3" t="str">
        <f ca="1">IFERROR(__xludf.DUMMYFUNCTION("""COMPUTED_VALUE"""),"Đặng Ngọc Diệp")</f>
        <v>Đặng Ngọc Diệp</v>
      </c>
      <c r="J9590" s="3" t="str">
        <f ca="1">IFERROR(__xludf.DUMMYFUNCTION("""COMPUTED_VALUE"""),"0358973622")</f>
        <v>0358973622</v>
      </c>
      <c r="K9590" s="2" t="str">
        <f ca="1">IFERROR(__xludf.DUMMYFUNCTION("""COMPUTED_VALUE"""),"105584144165")</f>
        <v>105584144165</v>
      </c>
    </row>
    <row r="9591" spans="1:11" ht="12.45">
      <c r="A9591" s="2" t="str">
        <f ca="1">IFERROR(__xludf.DUMMYFUNCTION("""COMPUTED_VALUE"""),"105776423826")</f>
        <v>105776423826</v>
      </c>
      <c r="C9591" s="2" t="str">
        <v>0</v>
      </c>
      <c r="F9591" s="2" t="str">
        <v>0</v>
      </c>
      <c r="I9591" s="3" t="str">
        <f ca="1">IFERROR(__xludf.DUMMYFUNCTION("""COMPUTED_VALUE"""),"Nguyễn Mai Quỳnh")</f>
        <v>Nguyễn Mai Quỳnh</v>
      </c>
      <c r="J9591" s="3" t="str">
        <f ca="1">IFERROR(__xludf.DUMMYFUNCTION("""COMPUTED_VALUE"""),"0335835044")</f>
        <v>0335835044</v>
      </c>
      <c r="K9591" s="2" t="str">
        <f ca="1">IFERROR(__xludf.DUMMYFUNCTION("""COMPUTED_VALUE"""),"105776423826")</f>
        <v>105776423826</v>
      </c>
    </row>
    <row r="9592" spans="1:11" ht="12.45">
      <c r="A9592" s="2" t="str">
        <f ca="1">IFERROR(__xludf.DUMMYFUNCTION("""COMPUTED_VALUE"""),"105584144247")</f>
        <v>105584144247</v>
      </c>
      <c r="C9592" s="2" t="str">
        <v>0</v>
      </c>
      <c r="F9592" s="2" t="str">
        <v>0</v>
      </c>
      <c r="I9592" s="3" t="str">
        <f ca="1">IFERROR(__xludf.DUMMYFUNCTION("""COMPUTED_VALUE"""),"Nguyễn Mai Chi")</f>
        <v>Nguyễn Mai Chi</v>
      </c>
      <c r="J9592" s="3" t="str">
        <f ca="1">IFERROR(__xludf.DUMMYFUNCTION("""COMPUTED_VALUE"""),"0961971979")</f>
        <v>0961971979</v>
      </c>
      <c r="K9592" s="2" t="str">
        <f ca="1">IFERROR(__xludf.DUMMYFUNCTION("""COMPUTED_VALUE"""),"105584144247")</f>
        <v>105584144247</v>
      </c>
    </row>
    <row r="9593" spans="1:11" ht="12.45">
      <c r="A9593" s="2" t="str">
        <f ca="1">IFERROR(__xludf.DUMMYFUNCTION("""COMPUTED_VALUE"""),"105584144365")</f>
        <v>105584144365</v>
      </c>
      <c r="C9593" s="2" t="str">
        <v>0</v>
      </c>
      <c r="F9593" s="2" t="str">
        <v>0</v>
      </c>
      <c r="I9593" s="3" t="str">
        <f ca="1">IFERROR(__xludf.DUMMYFUNCTION("""COMPUTED_VALUE"""),"Phạm Vy Quỳnh")</f>
        <v>Phạm Vy Quỳnh</v>
      </c>
      <c r="J9593" s="3" t="str">
        <f ca="1">IFERROR(__xludf.DUMMYFUNCTION("""COMPUTED_VALUE"""),"0869408955")</f>
        <v>0869408955</v>
      </c>
      <c r="K9593" s="2" t="str">
        <f ca="1">IFERROR(__xludf.DUMMYFUNCTION("""COMPUTED_VALUE"""),"105584144365")</f>
        <v>105584144365</v>
      </c>
    </row>
    <row r="9594" spans="1:11" ht="12.45">
      <c r="A9594" s="2"/>
      <c r="C9594" s="2" t="str">
        <v>0</v>
      </c>
      <c r="F9594" s="2" t="str">
        <v>0</v>
      </c>
      <c r="I9594" s="3" t="str">
        <f ca="1">IFERROR(__xludf.DUMMYFUNCTION("""COMPUTED_VALUE"""),"Hoàng Mai Dương")</f>
        <v>Hoàng Mai Dương</v>
      </c>
      <c r="J9594" s="3" t="str">
        <f ca="1">IFERROR(__xludf.DUMMYFUNCTION("""COMPUTED_VALUE"""),"0369106909")</f>
        <v>0369106909</v>
      </c>
      <c r="K9594" s="2"/>
    </row>
    <row r="9595" spans="1:11" ht="12.45">
      <c r="A9595" s="2" t="str">
        <f ca="1">IFERROR(__xludf.DUMMYFUNCTION("""COMPUTED_VALUE"""),"105584144432")</f>
        <v>105584144432</v>
      </c>
      <c r="C9595" s="2" t="str">
        <v>0</v>
      </c>
      <c r="F9595" s="2" t="str">
        <v>0</v>
      </c>
      <c r="I9595" s="3" t="str">
        <f ca="1">IFERROR(__xludf.DUMMYFUNCTION("""COMPUTED_VALUE"""),"Nguyễn Ngọc Linh")</f>
        <v>Nguyễn Ngọc Linh</v>
      </c>
      <c r="J9595" s="3" t="str">
        <f ca="1">IFERROR(__xludf.DUMMYFUNCTION("""COMPUTED_VALUE"""),"0389536708")</f>
        <v>0389536708</v>
      </c>
      <c r="K9595" s="2" t="str">
        <f ca="1">IFERROR(__xludf.DUMMYFUNCTION("""COMPUTED_VALUE"""),"105584144432")</f>
        <v>105584144432</v>
      </c>
    </row>
    <row r="9596" spans="1:11" ht="12.45">
      <c r="A9596" s="2" t="str">
        <f ca="1">IFERROR(__xludf.DUMMYFUNCTION("""COMPUTED_VALUE"""),"105584144540")</f>
        <v>105584144540</v>
      </c>
      <c r="C9596" s="2" t="str">
        <v>0</v>
      </c>
      <c r="F9596" s="2" t="str">
        <v>0</v>
      </c>
      <c r="I9596" s="3" t="str">
        <f ca="1">IFERROR(__xludf.DUMMYFUNCTION("""COMPUTED_VALUE"""),"nguyễn hải anh")</f>
        <v>nguyễn hải anh</v>
      </c>
      <c r="J9596" s="3" t="str">
        <f ca="1">IFERROR(__xludf.DUMMYFUNCTION("""COMPUTED_VALUE"""),"0974158473")</f>
        <v>0974158473</v>
      </c>
      <c r="K9596" s="2" t="str">
        <f ca="1">IFERROR(__xludf.DUMMYFUNCTION("""COMPUTED_VALUE"""),"105584144540")</f>
        <v>105584144540</v>
      </c>
    </row>
    <row r="9597" spans="1:11" ht="12.45">
      <c r="A9597" s="2" t="str">
        <f ca="1">IFERROR(__xludf.DUMMYFUNCTION("""COMPUTED_VALUE"""),"105584144653")</f>
        <v>105584144653</v>
      </c>
      <c r="C9597" s="2" t="str">
        <v>0</v>
      </c>
      <c r="F9597" s="2" t="str">
        <v>0</v>
      </c>
      <c r="I9597" s="3" t="str">
        <f ca="1">IFERROR(__xludf.DUMMYFUNCTION("""COMPUTED_VALUE"""),"Nguyễn Thanh Thủy")</f>
        <v>Nguyễn Thanh Thủy</v>
      </c>
      <c r="J9597" s="3" t="str">
        <f ca="1">IFERROR(__xludf.DUMMYFUNCTION("""COMPUTED_VALUE"""),"0338009377")</f>
        <v>0338009377</v>
      </c>
      <c r="K9597" s="2" t="str">
        <f ca="1">IFERROR(__xludf.DUMMYFUNCTION("""COMPUTED_VALUE"""),"105584144653")</f>
        <v>105584144653</v>
      </c>
    </row>
    <row r="9598" spans="1:11" ht="12.45">
      <c r="A9598" s="2"/>
      <c r="C9598" s="2" t="str">
        <v>0</v>
      </c>
      <c r="F9598" s="2" t="str">
        <v>0</v>
      </c>
      <c r="I9598" s="3" t="str">
        <f ca="1">IFERROR(__xludf.DUMMYFUNCTION("""COMPUTED_VALUE"""),"lê tâm lan")</f>
        <v>lê tâm lan</v>
      </c>
      <c r="J9598" s="3" t="str">
        <f ca="1">IFERROR(__xludf.DUMMYFUNCTION("""COMPUTED_VALUE"""),"0393607840")</f>
        <v>0393607840</v>
      </c>
      <c r="K9598" s="2"/>
    </row>
    <row r="9599" spans="1:11" ht="12.45">
      <c r="A9599" s="2" t="str">
        <f ca="1">IFERROR(__xludf.DUMMYFUNCTION("""COMPUTED_VALUE"""),"105584144758")</f>
        <v>105584144758</v>
      </c>
      <c r="C9599" s="2" t="str">
        <v>0</v>
      </c>
      <c r="F9599" s="2" t="str">
        <v>0</v>
      </c>
      <c r="I9599" s="3" t="str">
        <f ca="1">IFERROR(__xludf.DUMMYFUNCTION("""COMPUTED_VALUE"""),"Phan Thị Như Quỳnh")</f>
        <v>Phan Thị Như Quỳnh</v>
      </c>
      <c r="J9599" s="3" t="str">
        <f ca="1">IFERROR(__xludf.DUMMYFUNCTION("""COMPUTED_VALUE"""),"0762997759")</f>
        <v>0762997759</v>
      </c>
      <c r="K9599" s="2" t="str">
        <f ca="1">IFERROR(__xludf.DUMMYFUNCTION("""COMPUTED_VALUE"""),"105584144758")</f>
        <v>105584144758</v>
      </c>
    </row>
    <row r="9600" spans="1:11" ht="12.45">
      <c r="A9600" s="2" t="str">
        <f ca="1">IFERROR(__xludf.DUMMYFUNCTION("""COMPUTED_VALUE"""),"105584144987")</f>
        <v>105584144987</v>
      </c>
      <c r="C9600" s="2" t="str">
        <v>0</v>
      </c>
      <c r="F9600" s="2" t="str">
        <v>0</v>
      </c>
      <c r="I9600" s="3" t="str">
        <f ca="1">IFERROR(__xludf.DUMMYFUNCTION("""COMPUTED_VALUE"""),"Nguyễn Chiến Huy")</f>
        <v>Nguyễn Chiến Huy</v>
      </c>
      <c r="J9600" s="3" t="str">
        <f ca="1">IFERROR(__xludf.DUMMYFUNCTION("""COMPUTED_VALUE"""),"0356210907")</f>
        <v>0356210907</v>
      </c>
      <c r="K9600" s="2" t="str">
        <f ca="1">IFERROR(__xludf.DUMMYFUNCTION("""COMPUTED_VALUE"""),"105584144987")</f>
        <v>105584144987</v>
      </c>
    </row>
    <row r="9601" spans="1:11" ht="12.45">
      <c r="A9601" s="2" t="str">
        <f ca="1">IFERROR(__xludf.DUMMYFUNCTION("""COMPUTED_VALUE"""),"105584145068")</f>
        <v>105584145068</v>
      </c>
      <c r="C9601" s="2" t="str">
        <v>0</v>
      </c>
      <c r="F9601" s="2" t="str">
        <v>0</v>
      </c>
      <c r="I9601" s="3" t="str">
        <f ca="1">IFERROR(__xludf.DUMMYFUNCTION("""COMPUTED_VALUE"""),"Giang Bảo Ngọc ")</f>
        <v xml:space="preserve">Giang Bảo Ngọc </v>
      </c>
      <c r="J9601" s="3" t="str">
        <f ca="1">IFERROR(__xludf.DUMMYFUNCTION("""COMPUTED_VALUE"""),"0395215102")</f>
        <v>0395215102</v>
      </c>
      <c r="K9601" s="2" t="str">
        <f ca="1">IFERROR(__xludf.DUMMYFUNCTION("""COMPUTED_VALUE"""),"105584145068")</f>
        <v>105584145068</v>
      </c>
    </row>
    <row r="9602" spans="1:11" ht="12.45">
      <c r="A9602" s="2" t="str">
        <f ca="1">IFERROR(__xludf.DUMMYFUNCTION("""COMPUTED_VALUE"""),"105584145116")</f>
        <v>105584145116</v>
      </c>
      <c r="C9602" s="2" t="str">
        <v>0</v>
      </c>
      <c r="F9602" s="2" t="str">
        <v>0</v>
      </c>
      <c r="I9602" s="3" t="str">
        <f ca="1">IFERROR(__xludf.DUMMYFUNCTION("""COMPUTED_VALUE"""),"Hoàng Nguyệt Ánh")</f>
        <v>Hoàng Nguyệt Ánh</v>
      </c>
      <c r="J9602" s="3" t="str">
        <f ca="1">IFERROR(__xludf.DUMMYFUNCTION("""COMPUTED_VALUE"""),"0394446408")</f>
        <v>0394446408</v>
      </c>
      <c r="K9602" s="2" t="str">
        <f ca="1">IFERROR(__xludf.DUMMYFUNCTION("""COMPUTED_VALUE"""),"105584145116")</f>
        <v>105584145116</v>
      </c>
    </row>
    <row r="9603" spans="1:11" ht="12.45">
      <c r="A9603" s="2" t="str">
        <f ca="1">IFERROR(__xludf.DUMMYFUNCTION("""COMPUTED_VALUE"""),"105584145321")</f>
        <v>105584145321</v>
      </c>
      <c r="C9603" s="2" t="str">
        <v>0</v>
      </c>
      <c r="F9603" s="2" t="str">
        <v>0</v>
      </c>
      <c r="I9603" s="3" t="str">
        <f ca="1">IFERROR(__xludf.DUMMYFUNCTION("""COMPUTED_VALUE"""),"Nguyễn Ngọc Quỳnh Trinh")</f>
        <v>Nguyễn Ngọc Quỳnh Trinh</v>
      </c>
      <c r="J9603" s="3" t="str">
        <f ca="1">IFERROR(__xludf.DUMMYFUNCTION("""COMPUTED_VALUE"""),"0944406921")</f>
        <v>0944406921</v>
      </c>
      <c r="K9603" s="2" t="str">
        <f ca="1">IFERROR(__xludf.DUMMYFUNCTION("""COMPUTED_VALUE"""),"105584145321")</f>
        <v>105584145321</v>
      </c>
    </row>
    <row r="9604" spans="1:11" ht="12.45">
      <c r="A9604" s="2" t="str">
        <f ca="1">IFERROR(__xludf.DUMMYFUNCTION("""COMPUTED_VALUE"""),"105584145418")</f>
        <v>105584145418</v>
      </c>
      <c r="C9604" s="2" t="str">
        <v>0</v>
      </c>
      <c r="F9604" s="2" t="str">
        <v>0</v>
      </c>
      <c r="I9604" s="3" t="str">
        <f ca="1">IFERROR(__xludf.DUMMYFUNCTION("""COMPUTED_VALUE"""),"Nguyễn Quang Khai")</f>
        <v>Nguyễn Quang Khai</v>
      </c>
      <c r="J9604" s="3" t="str">
        <f ca="1">IFERROR(__xludf.DUMMYFUNCTION("""COMPUTED_VALUE"""),"0985525503")</f>
        <v>0985525503</v>
      </c>
      <c r="K9604" s="2" t="str">
        <f ca="1">IFERROR(__xludf.DUMMYFUNCTION("""COMPUTED_VALUE"""),"105584145418")</f>
        <v>105584145418</v>
      </c>
    </row>
    <row r="9605" spans="1:11" ht="12.45">
      <c r="A9605" s="2" t="str">
        <f ca="1">IFERROR(__xludf.DUMMYFUNCTION("""COMPUTED_VALUE"""),"105584145554")</f>
        <v>105584145554</v>
      </c>
      <c r="C9605" s="2" t="str">
        <v>0</v>
      </c>
      <c r="F9605" s="2" t="str">
        <v>0</v>
      </c>
      <c r="I9605" s="3" t="str">
        <f ca="1">IFERROR(__xludf.DUMMYFUNCTION("""COMPUTED_VALUE"""),"Trương Mai Linh")</f>
        <v>Trương Mai Linh</v>
      </c>
      <c r="J9605" s="3" t="str">
        <f ca="1">IFERROR(__xludf.DUMMYFUNCTION("""COMPUTED_VALUE"""),"0981955550")</f>
        <v>0981955550</v>
      </c>
      <c r="K9605" s="2" t="str">
        <f ca="1">IFERROR(__xludf.DUMMYFUNCTION("""COMPUTED_VALUE"""),"105584145554")</f>
        <v>105584145554</v>
      </c>
    </row>
    <row r="9606" spans="1:11" ht="12.45">
      <c r="A9606" s="2" t="str">
        <f ca="1">IFERROR(__xludf.DUMMYFUNCTION("""COMPUTED_VALUE"""),"105584145634")</f>
        <v>105584145634</v>
      </c>
      <c r="C9606" s="2" t="str">
        <v>0</v>
      </c>
      <c r="F9606" s="2" t="str">
        <v>0</v>
      </c>
      <c r="I9606" s="3" t="str">
        <f ca="1">IFERROR(__xludf.DUMMYFUNCTION("""COMPUTED_VALUE"""),"Hoàng Trung Chiến ")</f>
        <v xml:space="preserve">Hoàng Trung Chiến </v>
      </c>
      <c r="J9606" s="3" t="str">
        <f ca="1">IFERROR(__xludf.DUMMYFUNCTION("""COMPUTED_VALUE"""),"0362188908")</f>
        <v>0362188908</v>
      </c>
      <c r="K9606" s="2" t="str">
        <f ca="1">IFERROR(__xludf.DUMMYFUNCTION("""COMPUTED_VALUE"""),"105584145634")</f>
        <v>105584145634</v>
      </c>
    </row>
    <row r="9607" spans="1:11" ht="12.45">
      <c r="A9607" s="2" t="str">
        <f ca="1">IFERROR(__xludf.DUMMYFUNCTION("""COMPUTED_VALUE"""),"105584145763")</f>
        <v>105584145763</v>
      </c>
      <c r="C9607" s="2" t="str">
        <v>0</v>
      </c>
      <c r="F9607" s="2" t="str">
        <v>0</v>
      </c>
      <c r="I9607" s="3" t="str">
        <f ca="1">IFERROR(__xludf.DUMMYFUNCTION("""COMPUTED_VALUE"""),"Lý Hiền Linh")</f>
        <v>Lý Hiền Linh</v>
      </c>
      <c r="J9607" s="3" t="str">
        <f ca="1">IFERROR(__xludf.DUMMYFUNCTION("""COMPUTED_VALUE"""),"0945347050")</f>
        <v>0945347050</v>
      </c>
      <c r="K9607" s="2" t="str">
        <f ca="1">IFERROR(__xludf.DUMMYFUNCTION("""COMPUTED_VALUE"""),"105584145763")</f>
        <v>105584145763</v>
      </c>
    </row>
    <row r="9608" spans="1:11" ht="12.45">
      <c r="A9608" s="2" t="str">
        <f ca="1">IFERROR(__xludf.DUMMYFUNCTION("""COMPUTED_VALUE"""),"105584145864")</f>
        <v>105584145864</v>
      </c>
      <c r="C9608" s="2" t="str">
        <v>0</v>
      </c>
      <c r="F9608" s="2" t="str">
        <v>0</v>
      </c>
      <c r="I9608" s="3" t="str">
        <f ca="1">IFERROR(__xludf.DUMMYFUNCTION("""COMPUTED_VALUE"""),"Huỳnh Thị Diễm My ")</f>
        <v xml:space="preserve">Huỳnh Thị Diễm My </v>
      </c>
      <c r="J9608" s="3" t="str">
        <f ca="1">IFERROR(__xludf.DUMMYFUNCTION("""COMPUTED_VALUE"""),"0943135298")</f>
        <v>0943135298</v>
      </c>
      <c r="K9608" s="2" t="str">
        <f ca="1">IFERROR(__xludf.DUMMYFUNCTION("""COMPUTED_VALUE"""),"105584145864")</f>
        <v>105584145864</v>
      </c>
    </row>
    <row r="9609" spans="1:11" ht="12.45">
      <c r="A9609" s="2" t="str">
        <f ca="1">IFERROR(__xludf.DUMMYFUNCTION("""COMPUTED_VALUE"""),"105584145943")</f>
        <v>105584145943</v>
      </c>
      <c r="C9609" s="2" t="str">
        <v>0</v>
      </c>
      <c r="F9609" s="2" t="str">
        <v>0</v>
      </c>
      <c r="I9609" s="3" t="str">
        <f ca="1">IFERROR(__xludf.DUMMYFUNCTION("""COMPUTED_VALUE"""),"Nguyễn Thị Minh Thuý")</f>
        <v>Nguyễn Thị Minh Thuý</v>
      </c>
      <c r="J9609" s="3" t="str">
        <f ca="1">IFERROR(__xludf.DUMMYFUNCTION("""COMPUTED_VALUE"""),"0858420320")</f>
        <v>0858420320</v>
      </c>
      <c r="K9609" s="2" t="str">
        <f ca="1">IFERROR(__xludf.DUMMYFUNCTION("""COMPUTED_VALUE"""),"105584145943")</f>
        <v>105584145943</v>
      </c>
    </row>
    <row r="9610" spans="1:11" ht="12.45">
      <c r="A9610" s="2" t="str">
        <f ca="1">IFERROR(__xludf.DUMMYFUNCTION("""COMPUTED_VALUE"""),"105584146019")</f>
        <v>105584146019</v>
      </c>
      <c r="C9610" s="2" t="str">
        <v>0</v>
      </c>
      <c r="F9610" s="2" t="str">
        <v>0</v>
      </c>
      <c r="I9610" s="3" t="str">
        <f ca="1">IFERROR(__xludf.DUMMYFUNCTION("""COMPUTED_VALUE"""),"Phạm Thị Thanh Ngân")</f>
        <v>Phạm Thị Thanh Ngân</v>
      </c>
      <c r="J9610" s="3" t="str">
        <f ca="1">IFERROR(__xludf.DUMMYFUNCTION("""COMPUTED_VALUE"""),"0774422631")</f>
        <v>0774422631</v>
      </c>
      <c r="K9610" s="2" t="str">
        <f ca="1">IFERROR(__xludf.DUMMYFUNCTION("""COMPUTED_VALUE"""),"105584146019")</f>
        <v>105584146019</v>
      </c>
    </row>
    <row r="9611" spans="1:11" ht="12.45">
      <c r="A9611" s="2" t="str">
        <f ca="1">IFERROR(__xludf.DUMMYFUNCTION("""COMPUTED_VALUE"""),"105584146281")</f>
        <v>105584146281</v>
      </c>
      <c r="C9611" s="2" t="str">
        <v>0</v>
      </c>
      <c r="F9611" s="2" t="str">
        <v>0</v>
      </c>
      <c r="I9611" s="3" t="str">
        <f ca="1">IFERROR(__xludf.DUMMYFUNCTION("""COMPUTED_VALUE"""),"Tô Đinh Duy Linh ")</f>
        <v xml:space="preserve">Tô Đinh Duy Linh </v>
      </c>
      <c r="J9611" s="3" t="str">
        <f ca="1">IFERROR(__xludf.DUMMYFUNCTION("""COMPUTED_VALUE"""),"0868942869")</f>
        <v>0868942869</v>
      </c>
      <c r="K9611" s="2" t="str">
        <f ca="1">IFERROR(__xludf.DUMMYFUNCTION("""COMPUTED_VALUE"""),"105584146281")</f>
        <v>105584146281</v>
      </c>
    </row>
    <row r="9612" spans="1:11" ht="12.45">
      <c r="A9612" s="2" t="str">
        <f ca="1">IFERROR(__xludf.DUMMYFUNCTION("""COMPUTED_VALUE"""),"105584146336")</f>
        <v>105584146336</v>
      </c>
      <c r="C9612" s="2" t="str">
        <v>0</v>
      </c>
      <c r="F9612" s="2" t="str">
        <v>0</v>
      </c>
      <c r="I9612" s="3" t="str">
        <f ca="1">IFERROR(__xludf.DUMMYFUNCTION("""COMPUTED_VALUE"""),"TRẦN ANH VINH")</f>
        <v>TRẦN ANH VINH</v>
      </c>
      <c r="J9612" s="3" t="str">
        <f ca="1">IFERROR(__xludf.DUMMYFUNCTION("""COMPUTED_VALUE"""),"0795559411")</f>
        <v>0795559411</v>
      </c>
      <c r="K9612" s="2" t="str">
        <f ca="1">IFERROR(__xludf.DUMMYFUNCTION("""COMPUTED_VALUE"""),"105584146336")</f>
        <v>105584146336</v>
      </c>
    </row>
    <row r="9613" spans="1:11" ht="12.45">
      <c r="A9613" s="2" t="str">
        <f ca="1">IFERROR(__xludf.DUMMYFUNCTION("""COMPUTED_VALUE"""),"105584146464")</f>
        <v>105584146464</v>
      </c>
      <c r="C9613" s="2" t="str">
        <v>0</v>
      </c>
      <c r="F9613" s="2" t="str">
        <v>0</v>
      </c>
      <c r="I9613" s="3" t="str">
        <f ca="1">IFERROR(__xludf.DUMMYFUNCTION("""COMPUTED_VALUE"""),"Lò Thị Hồng Sinh ")</f>
        <v xml:space="preserve">Lò Thị Hồng Sinh </v>
      </c>
      <c r="J9613" s="3" t="str">
        <f ca="1">IFERROR(__xludf.DUMMYFUNCTION("""COMPUTED_VALUE"""),"0826427333")</f>
        <v>0826427333</v>
      </c>
      <c r="K9613" s="2" t="str">
        <f ca="1">IFERROR(__xludf.DUMMYFUNCTION("""COMPUTED_VALUE"""),"105584146464")</f>
        <v>105584146464</v>
      </c>
    </row>
    <row r="9614" spans="1:11" ht="12.45">
      <c r="A9614" s="2" t="str">
        <f ca="1">IFERROR(__xludf.DUMMYFUNCTION("""COMPUTED_VALUE"""),"105584146595")</f>
        <v>105584146595</v>
      </c>
      <c r="C9614" s="2" t="str">
        <v>0</v>
      </c>
      <c r="F9614" s="2" t="str">
        <v>0</v>
      </c>
      <c r="I9614" s="3" t="str">
        <f ca="1">IFERROR(__xludf.DUMMYFUNCTION("""COMPUTED_VALUE"""),"Võ Nhật Duy")</f>
        <v>Võ Nhật Duy</v>
      </c>
      <c r="J9614" s="3" t="str">
        <f ca="1">IFERROR(__xludf.DUMMYFUNCTION("""COMPUTED_VALUE"""),"0849797696")</f>
        <v>0849797696</v>
      </c>
      <c r="K9614" s="2" t="str">
        <f ca="1">IFERROR(__xludf.DUMMYFUNCTION("""COMPUTED_VALUE"""),"105584146595")</f>
        <v>105584146595</v>
      </c>
    </row>
    <row r="9615" spans="1:11" ht="12.45">
      <c r="A9615" s="2" t="str">
        <f ca="1">IFERROR(__xludf.DUMMYFUNCTION("""COMPUTED_VALUE"""),"105584146793")</f>
        <v>105584146793</v>
      </c>
      <c r="C9615" s="2" t="str">
        <v>0</v>
      </c>
      <c r="F9615" s="2" t="str">
        <v>0</v>
      </c>
      <c r="I9615" s="3" t="str">
        <f ca="1">IFERROR(__xludf.DUMMYFUNCTION("""COMPUTED_VALUE"""),"Nguyễn Thị Quỳnh Hương")</f>
        <v>Nguyễn Thị Quỳnh Hương</v>
      </c>
      <c r="J9615" s="3" t="str">
        <f ca="1">IFERROR(__xludf.DUMMYFUNCTION("""COMPUTED_VALUE"""),"0967952007")</f>
        <v>0967952007</v>
      </c>
      <c r="K9615" s="2" t="str">
        <f ca="1">IFERROR(__xludf.DUMMYFUNCTION("""COMPUTED_VALUE"""),"105584146793")</f>
        <v>105584146793</v>
      </c>
    </row>
    <row r="9616" spans="1:11" ht="12.45">
      <c r="A9616" s="2"/>
      <c r="C9616" s="2" t="str">
        <v>0</v>
      </c>
      <c r="F9616" s="2" t="str">
        <v>0</v>
      </c>
      <c r="I9616" s="3" t="str">
        <f ca="1">IFERROR(__xludf.DUMMYFUNCTION("""COMPUTED_VALUE"""),"Nguyễn Minh Châu")</f>
        <v>Nguyễn Minh Châu</v>
      </c>
      <c r="J9616" s="3" t="str">
        <f ca="1">IFERROR(__xludf.DUMMYFUNCTION("""COMPUTED_VALUE"""),"0822482007")</f>
        <v>0822482007</v>
      </c>
      <c r="K9616" s="2"/>
    </row>
    <row r="9617" spans="1:11" ht="12.45">
      <c r="A9617" s="2" t="str">
        <f ca="1">IFERROR(__xludf.DUMMYFUNCTION("""COMPUTED_VALUE"""),"105584146898")</f>
        <v>105584146898</v>
      </c>
      <c r="C9617" s="2" t="str">
        <v>0</v>
      </c>
      <c r="F9617" s="2" t="str">
        <v>0</v>
      </c>
      <c r="I9617" s="3" t="str">
        <f ca="1">IFERROR(__xludf.DUMMYFUNCTION("""COMPUTED_VALUE"""),"Trần Công Nghiệp")</f>
        <v>Trần Công Nghiệp</v>
      </c>
      <c r="J9617" s="3" t="str">
        <f ca="1">IFERROR(__xludf.DUMMYFUNCTION("""COMPUTED_VALUE"""),"0762949205")</f>
        <v>0762949205</v>
      </c>
      <c r="K9617" s="2" t="str">
        <f ca="1">IFERROR(__xludf.DUMMYFUNCTION("""COMPUTED_VALUE"""),"105584146898")</f>
        <v>105584146898</v>
      </c>
    </row>
    <row r="9618" spans="1:11" ht="12.45">
      <c r="A9618" s="2" t="str">
        <f ca="1">IFERROR(__xludf.DUMMYFUNCTION("""COMPUTED_VALUE"""),"106156886064")</f>
        <v>106156886064</v>
      </c>
      <c r="C9618" s="2" t="str">
        <v>0</v>
      </c>
      <c r="F9618" s="2" t="str">
        <v>0</v>
      </c>
      <c r="I9618" s="3" t="str">
        <f ca="1">IFERROR(__xludf.DUMMYFUNCTION("""COMPUTED_VALUE"""),"Thái Gia Lo g")</f>
        <v>Thái Gia Lo g</v>
      </c>
      <c r="J9618" s="3" t="str">
        <f ca="1">IFERROR(__xludf.DUMMYFUNCTION("""COMPUTED_VALUE"""),"0901322436")</f>
        <v>0901322436</v>
      </c>
      <c r="K9618" s="2" t="str">
        <f ca="1">IFERROR(__xludf.DUMMYFUNCTION("""COMPUTED_VALUE"""),"106156886064")</f>
        <v>106156886064</v>
      </c>
    </row>
    <row r="9619" spans="1:11" ht="12.45">
      <c r="A9619" s="2" t="str">
        <f ca="1">IFERROR(__xludf.DUMMYFUNCTION("""COMPUTED_VALUE"""),"105584147019")</f>
        <v>105584147019</v>
      </c>
      <c r="C9619" s="2" t="str">
        <v>0</v>
      </c>
      <c r="F9619" s="2" t="str">
        <v>0</v>
      </c>
      <c r="I9619" s="3" t="str">
        <f ca="1">IFERROR(__xludf.DUMMYFUNCTION("""COMPUTED_VALUE"""),"Nguyễn Thị Kim Chi")</f>
        <v>Nguyễn Thị Kim Chi</v>
      </c>
      <c r="J9619" s="3" t="str">
        <f ca="1">IFERROR(__xludf.DUMMYFUNCTION("""COMPUTED_VALUE"""),"0868586871")</f>
        <v>0868586871</v>
      </c>
      <c r="K9619" s="2" t="str">
        <f ca="1">IFERROR(__xludf.DUMMYFUNCTION("""COMPUTED_VALUE"""),"105584147019")</f>
        <v>105584147019</v>
      </c>
    </row>
    <row r="9620" spans="1:11" ht="12.45">
      <c r="A9620" s="2" t="str">
        <f ca="1">IFERROR(__xludf.DUMMYFUNCTION("""COMPUTED_VALUE"""),"105584147118")</f>
        <v>105584147118</v>
      </c>
      <c r="C9620" s="2" t="str">
        <v>0</v>
      </c>
      <c r="F9620" s="2" t="str">
        <v>0</v>
      </c>
      <c r="I9620" s="3" t="str">
        <f ca="1">IFERROR(__xludf.DUMMYFUNCTION("""COMPUTED_VALUE"""),"Chảo Thế Anh")</f>
        <v>Chảo Thế Anh</v>
      </c>
      <c r="J9620" s="3" t="str">
        <f ca="1">IFERROR(__xludf.DUMMYFUNCTION("""COMPUTED_VALUE"""),"0878189557")</f>
        <v>0878189557</v>
      </c>
      <c r="K9620" s="2" t="str">
        <f ca="1">IFERROR(__xludf.DUMMYFUNCTION("""COMPUTED_VALUE"""),"105584147118")</f>
        <v>105584147118</v>
      </c>
    </row>
    <row r="9621" spans="1:11" ht="12.45">
      <c r="A9621" s="2"/>
      <c r="C9621" s="2" t="str">
        <v>0</v>
      </c>
      <c r="F9621" s="2" t="str">
        <v>0</v>
      </c>
      <c r="I9621" s="3" t="str">
        <f ca="1">IFERROR(__xludf.DUMMYFUNCTION("""COMPUTED_VALUE"""),"Nguyễn Vân Anh")</f>
        <v>Nguyễn Vân Anh</v>
      </c>
      <c r="J9621" s="3" t="str">
        <f ca="1">IFERROR(__xludf.DUMMYFUNCTION("""COMPUTED_VALUE"""),"0362973007")</f>
        <v>0362973007</v>
      </c>
      <c r="K9621" s="2"/>
    </row>
    <row r="9622" spans="1:11" ht="12.45">
      <c r="A9622" s="2" t="str">
        <f ca="1">IFERROR(__xludf.DUMMYFUNCTION("""COMPUTED_VALUE"""),"105584147397")</f>
        <v>105584147397</v>
      </c>
      <c r="C9622" s="2" t="str">
        <v>0</v>
      </c>
      <c r="F9622" s="2" t="str">
        <v>0</v>
      </c>
      <c r="I9622" s="3" t="str">
        <f ca="1">IFERROR(__xludf.DUMMYFUNCTION("""COMPUTED_VALUE"""),"Nguyễn Kấn Gia Hân")</f>
        <v>Nguyễn Kấn Gia Hân</v>
      </c>
      <c r="J9622" s="3" t="str">
        <f ca="1">IFERROR(__xludf.DUMMYFUNCTION("""COMPUTED_VALUE"""),"0326508449")</f>
        <v>0326508449</v>
      </c>
      <c r="K9622" s="2" t="str">
        <f ca="1">IFERROR(__xludf.DUMMYFUNCTION("""COMPUTED_VALUE"""),"105584147397")</f>
        <v>105584147397</v>
      </c>
    </row>
    <row r="9623" spans="1:11" ht="12.45">
      <c r="A9623" s="2" t="str">
        <f ca="1">IFERROR(__xludf.DUMMYFUNCTION("""COMPUTED_VALUE"""),"105584147471")</f>
        <v>105584147471</v>
      </c>
      <c r="C9623" s="2" t="str">
        <v>0</v>
      </c>
      <c r="F9623" s="2" t="str">
        <v>0</v>
      </c>
      <c r="I9623" s="3" t="str">
        <f ca="1">IFERROR(__xludf.DUMMYFUNCTION("""COMPUTED_VALUE"""),"Quách Khánh Bảo Hân")</f>
        <v>Quách Khánh Bảo Hân</v>
      </c>
      <c r="J9623" s="3" t="str">
        <f ca="1">IFERROR(__xludf.DUMMYFUNCTION("""COMPUTED_VALUE"""),"0847138458")</f>
        <v>0847138458</v>
      </c>
      <c r="K9623" s="2" t="str">
        <f ca="1">IFERROR(__xludf.DUMMYFUNCTION("""COMPUTED_VALUE"""),"105584147471")</f>
        <v>105584147471</v>
      </c>
    </row>
    <row r="9624" spans="1:11" ht="12.45">
      <c r="A9624" s="2" t="str">
        <f ca="1">IFERROR(__xludf.DUMMYFUNCTION("""COMPUTED_VALUE"""),"105584147559")</f>
        <v>105584147559</v>
      </c>
      <c r="C9624" s="2" t="str">
        <v>0</v>
      </c>
      <c r="F9624" s="2" t="str">
        <v>0</v>
      </c>
      <c r="I9624" s="3" t="str">
        <f ca="1">IFERROR(__xludf.DUMMYFUNCTION("""COMPUTED_VALUE"""),"Phan Quỳnh Trang")</f>
        <v>Phan Quỳnh Trang</v>
      </c>
      <c r="J9624" s="3" t="str">
        <f ca="1">IFERROR(__xludf.DUMMYFUNCTION("""COMPUTED_VALUE"""),"0384619212")</f>
        <v>0384619212</v>
      </c>
      <c r="K9624" s="2" t="str">
        <f ca="1">IFERROR(__xludf.DUMMYFUNCTION("""COMPUTED_VALUE"""),"105584147559")</f>
        <v>105584147559</v>
      </c>
    </row>
    <row r="9625" spans="1:11" ht="12.45">
      <c r="A9625" s="2" t="str">
        <f ca="1">IFERROR(__xludf.DUMMYFUNCTION("""COMPUTED_VALUE"""),"105584147679")</f>
        <v>105584147679</v>
      </c>
      <c r="C9625" s="2" t="str">
        <v>0</v>
      </c>
      <c r="F9625" s="2" t="str">
        <v>0</v>
      </c>
      <c r="I9625" s="3" t="str">
        <f ca="1">IFERROR(__xludf.DUMMYFUNCTION("""COMPUTED_VALUE"""),"Đào Thị Khánh Huyền ")</f>
        <v xml:space="preserve">Đào Thị Khánh Huyền </v>
      </c>
      <c r="J9625" s="3" t="str">
        <f ca="1">IFERROR(__xludf.DUMMYFUNCTION("""COMPUTED_VALUE"""),"0978068758")</f>
        <v>0978068758</v>
      </c>
      <c r="K9625" s="2" t="str">
        <f ca="1">IFERROR(__xludf.DUMMYFUNCTION("""COMPUTED_VALUE"""),"105584147679")</f>
        <v>105584147679</v>
      </c>
    </row>
    <row r="9626" spans="1:11" ht="12.45">
      <c r="A9626" s="2" t="str">
        <f ca="1">IFERROR(__xludf.DUMMYFUNCTION("""COMPUTED_VALUE"""),"105584147762")</f>
        <v>105584147762</v>
      </c>
      <c r="C9626" s="2" t="str">
        <v>0</v>
      </c>
      <c r="F9626" s="2" t="str">
        <v>0</v>
      </c>
      <c r="I9626" s="3" t="str">
        <f ca="1">IFERROR(__xludf.DUMMYFUNCTION("""COMPUTED_VALUE"""),"Nguyễn Thị Thùy Anh")</f>
        <v>Nguyễn Thị Thùy Anh</v>
      </c>
      <c r="J9626" s="3" t="str">
        <f ca="1">IFERROR(__xludf.DUMMYFUNCTION("""COMPUTED_VALUE"""),"0868576428")</f>
        <v>0868576428</v>
      </c>
      <c r="K9626" s="2" t="str">
        <f ca="1">IFERROR(__xludf.DUMMYFUNCTION("""COMPUTED_VALUE"""),"105584147762")</f>
        <v>105584147762</v>
      </c>
    </row>
    <row r="9627" spans="1:11" ht="12.45">
      <c r="A9627" s="2" t="str">
        <f ca="1">IFERROR(__xludf.DUMMYFUNCTION("""COMPUTED_VALUE"""),"105584147853")</f>
        <v>105584147853</v>
      </c>
      <c r="C9627" s="2" t="str">
        <v>0</v>
      </c>
      <c r="F9627" s="2" t="str">
        <v>0</v>
      </c>
      <c r="I9627" s="3" t="str">
        <f ca="1">IFERROR(__xludf.DUMMYFUNCTION("""COMPUTED_VALUE"""),"An Khánh Linh ")</f>
        <v xml:space="preserve">An Khánh Linh </v>
      </c>
      <c r="J9627" s="3" t="str">
        <f ca="1">IFERROR(__xludf.DUMMYFUNCTION("""COMPUTED_VALUE"""),"0372665102")</f>
        <v>0372665102</v>
      </c>
      <c r="K9627" s="2" t="str">
        <f ca="1">IFERROR(__xludf.DUMMYFUNCTION("""COMPUTED_VALUE"""),"105584147853")</f>
        <v>105584147853</v>
      </c>
    </row>
    <row r="9628" spans="1:11" ht="12.45">
      <c r="A9628" s="2" t="str">
        <f ca="1">IFERROR(__xludf.DUMMYFUNCTION("""COMPUTED_VALUE"""),"106156886132")</f>
        <v>106156886132</v>
      </c>
      <c r="C9628" s="2" t="str">
        <v>0</v>
      </c>
      <c r="F9628" s="2" t="str">
        <v>0</v>
      </c>
      <c r="I9628" s="3" t="str">
        <f ca="1">IFERROR(__xludf.DUMMYFUNCTION("""COMPUTED_VALUE"""),"Nguyễn Quốc Việt ")</f>
        <v xml:space="preserve">Nguyễn Quốc Việt </v>
      </c>
      <c r="J9628" s="3" t="str">
        <f ca="1">IFERROR(__xludf.DUMMYFUNCTION("""COMPUTED_VALUE"""),"0868734296")</f>
        <v>0868734296</v>
      </c>
      <c r="K9628" s="2" t="str">
        <f ca="1">IFERROR(__xludf.DUMMYFUNCTION("""COMPUTED_VALUE"""),"106156886132")</f>
        <v>106156886132</v>
      </c>
    </row>
    <row r="9629" spans="1:11" ht="12.45">
      <c r="A9629" s="2" t="str">
        <f ca="1">IFERROR(__xludf.DUMMYFUNCTION("""COMPUTED_VALUE"""),"105584147968")</f>
        <v>105584147968</v>
      </c>
      <c r="C9629" s="2" t="str">
        <v>0</v>
      </c>
      <c r="F9629" s="2" t="str">
        <v>0</v>
      </c>
      <c r="I9629" s="3" t="str">
        <f ca="1">IFERROR(__xludf.DUMMYFUNCTION("""COMPUTED_VALUE"""),"Ninh Khánh Hoà")</f>
        <v>Ninh Khánh Hoà</v>
      </c>
      <c r="J9629" s="3" t="str">
        <f ca="1">IFERROR(__xludf.DUMMYFUNCTION("""COMPUTED_VALUE"""),"0962407607")</f>
        <v>0962407607</v>
      </c>
      <c r="K9629" s="2" t="str">
        <f ca="1">IFERROR(__xludf.DUMMYFUNCTION("""COMPUTED_VALUE"""),"105584147968")</f>
        <v>105584147968</v>
      </c>
    </row>
    <row r="9630" spans="1:11" ht="12.45">
      <c r="A9630" s="2" t="str">
        <f ca="1">IFERROR(__xludf.DUMMYFUNCTION("""COMPUTED_VALUE"""),"105584148078")</f>
        <v>105584148078</v>
      </c>
      <c r="C9630" s="2" t="str">
        <v>0</v>
      </c>
      <c r="F9630" s="2" t="str">
        <v>0</v>
      </c>
      <c r="I9630" s="3" t="str">
        <f ca="1">IFERROR(__xludf.DUMMYFUNCTION("""COMPUTED_VALUE"""),"Nguyễn Khánh Linh")</f>
        <v>Nguyễn Khánh Linh</v>
      </c>
      <c r="J9630" s="3" t="str">
        <f ca="1">IFERROR(__xludf.DUMMYFUNCTION("""COMPUTED_VALUE"""),"0967823040")</f>
        <v>0967823040</v>
      </c>
      <c r="K9630" s="2" t="str">
        <f ca="1">IFERROR(__xludf.DUMMYFUNCTION("""COMPUTED_VALUE"""),"105584148078")</f>
        <v>105584148078</v>
      </c>
    </row>
    <row r="9631" spans="1:11" ht="12.45">
      <c r="A9631" s="2" t="str">
        <f ca="1">IFERROR(__xludf.DUMMYFUNCTION("""COMPUTED_VALUE"""),"105584148126")</f>
        <v>105584148126</v>
      </c>
      <c r="C9631" s="2" t="str">
        <v>0</v>
      </c>
      <c r="F9631" s="2" t="str">
        <v>0</v>
      </c>
      <c r="I9631" s="3" t="str">
        <f ca="1">IFERROR(__xludf.DUMMYFUNCTION("""COMPUTED_VALUE"""),"Võ Mạnh Tiên ")</f>
        <v xml:space="preserve">Võ Mạnh Tiên </v>
      </c>
      <c r="J9631" s="3" t="str">
        <f ca="1">IFERROR(__xludf.DUMMYFUNCTION("""COMPUTED_VALUE"""),"0939080806")</f>
        <v>0939080806</v>
      </c>
      <c r="K9631" s="2" t="str">
        <f ca="1">IFERROR(__xludf.DUMMYFUNCTION("""COMPUTED_VALUE"""),"105584148126")</f>
        <v>105584148126</v>
      </c>
    </row>
    <row r="9632" spans="1:11" ht="12.45">
      <c r="A9632" s="2" t="str">
        <f ca="1">IFERROR(__xludf.DUMMYFUNCTION("""COMPUTED_VALUE"""),"105584148673")</f>
        <v>105584148673</v>
      </c>
      <c r="C9632" s="2" t="str">
        <v>0</v>
      </c>
      <c r="F9632" s="2" t="str">
        <v>0</v>
      </c>
      <c r="I9632" s="3" t="str">
        <f ca="1">IFERROR(__xludf.DUMMYFUNCTION("""COMPUTED_VALUE"""),"Đỗ Đình Toàn")</f>
        <v>Đỗ Đình Toàn</v>
      </c>
      <c r="J9632" s="3" t="str">
        <f ca="1">IFERROR(__xludf.DUMMYFUNCTION("""COMPUTED_VALUE"""),"0343667973")</f>
        <v>0343667973</v>
      </c>
      <c r="K9632" s="2" t="str">
        <f ca="1">IFERROR(__xludf.DUMMYFUNCTION("""COMPUTED_VALUE"""),"105584148673")</f>
        <v>105584148673</v>
      </c>
    </row>
    <row r="9633" spans="1:11" ht="12.45">
      <c r="A9633" s="2" t="str">
        <f ca="1">IFERROR(__xludf.DUMMYFUNCTION("""COMPUTED_VALUE"""),"105584148889")</f>
        <v>105584148889</v>
      </c>
      <c r="C9633" s="2" t="str">
        <v>0</v>
      </c>
      <c r="F9633" s="2" t="str">
        <v>0</v>
      </c>
      <c r="I9633" s="3" t="str">
        <f ca="1">IFERROR(__xludf.DUMMYFUNCTION("""COMPUTED_VALUE"""),"Lường Thị Nguyệt Minh")</f>
        <v>Lường Thị Nguyệt Minh</v>
      </c>
      <c r="J9633" s="3" t="str">
        <f ca="1">IFERROR(__xludf.DUMMYFUNCTION("""COMPUTED_VALUE"""),"0353667363")</f>
        <v>0353667363</v>
      </c>
      <c r="K9633" s="2" t="str">
        <f ca="1">IFERROR(__xludf.DUMMYFUNCTION("""COMPUTED_VALUE"""),"105584148889")</f>
        <v>105584148889</v>
      </c>
    </row>
    <row r="9634" spans="1:11" ht="12.45">
      <c r="A9634" s="2" t="str">
        <f ca="1">IFERROR(__xludf.DUMMYFUNCTION("""COMPUTED_VALUE"""),"105584149086")</f>
        <v>105584149086</v>
      </c>
      <c r="C9634" s="2" t="str">
        <v>0</v>
      </c>
      <c r="F9634" s="2" t="str">
        <v>0</v>
      </c>
      <c r="I9634" s="3" t="str">
        <f ca="1">IFERROR(__xludf.DUMMYFUNCTION("""COMPUTED_VALUE"""),"Nguyễn Phan Linh Đan")</f>
        <v>Nguyễn Phan Linh Đan</v>
      </c>
      <c r="J9634" s="3" t="str">
        <f ca="1">IFERROR(__xludf.DUMMYFUNCTION("""COMPUTED_VALUE"""),"0935670199")</f>
        <v>0935670199</v>
      </c>
      <c r="K9634" s="2" t="str">
        <f ca="1">IFERROR(__xludf.DUMMYFUNCTION("""COMPUTED_VALUE"""),"105584149086")</f>
        <v>105584149086</v>
      </c>
    </row>
    <row r="9635" spans="1:11" ht="12.45">
      <c r="A9635" s="2" t="str">
        <f ca="1">IFERROR(__xludf.DUMMYFUNCTION("""COMPUTED_VALUE"""),"105584149121")</f>
        <v>105584149121</v>
      </c>
      <c r="C9635" s="2" t="str">
        <v>0</v>
      </c>
      <c r="F9635" s="2" t="str">
        <v>0</v>
      </c>
      <c r="I9635" s="3" t="str">
        <f ca="1">IFERROR(__xludf.DUMMYFUNCTION("""COMPUTED_VALUE"""),"Nguyễn Hoàng My")</f>
        <v>Nguyễn Hoàng My</v>
      </c>
      <c r="J9635" s="3" t="str">
        <f ca="1">IFERROR(__xludf.DUMMYFUNCTION("""COMPUTED_VALUE"""),"0983926553")</f>
        <v>0983926553</v>
      </c>
      <c r="K9635" s="2" t="str">
        <f ca="1">IFERROR(__xludf.DUMMYFUNCTION("""COMPUTED_VALUE"""),"105584149121")</f>
        <v>105584149121</v>
      </c>
    </row>
    <row r="9636" spans="1:11" ht="12.45">
      <c r="A9636" s="2" t="str">
        <f ca="1">IFERROR(__xludf.DUMMYFUNCTION("""COMPUTED_VALUE"""),"105584149216")</f>
        <v>105584149216</v>
      </c>
      <c r="C9636" s="2" t="str">
        <v>0</v>
      </c>
      <c r="F9636" s="2" t="str">
        <v>0</v>
      </c>
      <c r="I9636" s="3" t="str">
        <f ca="1">IFERROR(__xludf.DUMMYFUNCTION("""COMPUTED_VALUE"""),"Vũ Hoàng Anh Thư")</f>
        <v>Vũ Hoàng Anh Thư</v>
      </c>
      <c r="J9636" s="3" t="str">
        <f ca="1">IFERROR(__xludf.DUMMYFUNCTION("""COMPUTED_VALUE"""),"0913578361")</f>
        <v>0913578361</v>
      </c>
      <c r="K9636" s="2" t="str">
        <f ca="1">IFERROR(__xludf.DUMMYFUNCTION("""COMPUTED_VALUE"""),"105584149216")</f>
        <v>105584149216</v>
      </c>
    </row>
    <row r="9637" spans="1:11" ht="12.45">
      <c r="A9637" s="2" t="str">
        <f ca="1">IFERROR(__xludf.DUMMYFUNCTION("""COMPUTED_VALUE"""),"105584149369")</f>
        <v>105584149369</v>
      </c>
      <c r="C9637" s="2" t="str">
        <v>0</v>
      </c>
      <c r="F9637" s="2" t="str">
        <v>0</v>
      </c>
      <c r="I9637" s="3" t="str">
        <f ca="1">IFERROR(__xludf.DUMMYFUNCTION("""COMPUTED_VALUE"""),"Lê Thị Ngọc Diệp")</f>
        <v>Lê Thị Ngọc Diệp</v>
      </c>
      <c r="J9637" s="3" t="str">
        <f ca="1">IFERROR(__xludf.DUMMYFUNCTION("""COMPUTED_VALUE"""),"0866415390")</f>
        <v>0866415390</v>
      </c>
      <c r="K9637" s="2" t="str">
        <f ca="1">IFERROR(__xludf.DUMMYFUNCTION("""COMPUTED_VALUE"""),"105584149369")</f>
        <v>105584149369</v>
      </c>
    </row>
    <row r="9638" spans="1:11" ht="12.45">
      <c r="A9638" s="2" t="str">
        <f ca="1">IFERROR(__xludf.DUMMYFUNCTION("""COMPUTED_VALUE"""),"105584149434")</f>
        <v>105584149434</v>
      </c>
      <c r="C9638" s="2" t="str">
        <v>0</v>
      </c>
      <c r="F9638" s="2" t="str">
        <v>0</v>
      </c>
      <c r="I9638" s="3" t="str">
        <f ca="1">IFERROR(__xludf.DUMMYFUNCTION("""COMPUTED_VALUE"""),"Đỗ Lê Ngân Hà")</f>
        <v>Đỗ Lê Ngân Hà</v>
      </c>
      <c r="J9638" s="3" t="str">
        <f ca="1">IFERROR(__xludf.DUMMYFUNCTION("""COMPUTED_VALUE"""),"0399804833")</f>
        <v>0399804833</v>
      </c>
      <c r="K9638" s="2" t="str">
        <f ca="1">IFERROR(__xludf.DUMMYFUNCTION("""COMPUTED_VALUE"""),"105584149434")</f>
        <v>105584149434</v>
      </c>
    </row>
    <row r="9639" spans="1:11" ht="12.45">
      <c r="A9639" s="2" t="str">
        <f ca="1">IFERROR(__xludf.DUMMYFUNCTION("""COMPUTED_VALUE"""),"105584149537")</f>
        <v>105584149537</v>
      </c>
      <c r="C9639" s="2" t="str">
        <v>0</v>
      </c>
      <c r="F9639" s="2" t="str">
        <v>0</v>
      </c>
      <c r="I9639" s="3" t="str">
        <f ca="1">IFERROR(__xludf.DUMMYFUNCTION("""COMPUTED_VALUE"""),"Nguyễn Thuỳ Đoan Trang")</f>
        <v>Nguyễn Thuỳ Đoan Trang</v>
      </c>
      <c r="J9639" s="3" t="str">
        <f ca="1">IFERROR(__xludf.DUMMYFUNCTION("""COMPUTED_VALUE"""),"0911625693")</f>
        <v>0911625693</v>
      </c>
      <c r="K9639" s="2" t="str">
        <f ca="1">IFERROR(__xludf.DUMMYFUNCTION("""COMPUTED_VALUE"""),"105584149537")</f>
        <v>105584149537</v>
      </c>
    </row>
    <row r="9640" spans="1:11" ht="12.45">
      <c r="A9640" s="2" t="str">
        <f ca="1">IFERROR(__xludf.DUMMYFUNCTION("""COMPUTED_VALUE"""),"105584149770")</f>
        <v>105584149770</v>
      </c>
      <c r="C9640" s="2" t="str">
        <v>0</v>
      </c>
      <c r="F9640" s="2" t="str">
        <v>0</v>
      </c>
      <c r="I9640" s="3" t="str">
        <f ca="1">IFERROR(__xludf.DUMMYFUNCTION("""COMPUTED_VALUE"""),"liêu hải lam")</f>
        <v>liêu hải lam</v>
      </c>
      <c r="J9640" s="3" t="str">
        <f ca="1">IFERROR(__xludf.DUMMYFUNCTION("""COMPUTED_VALUE"""),"0916082489")</f>
        <v>0916082489</v>
      </c>
      <c r="K9640" s="2" t="str">
        <f ca="1">IFERROR(__xludf.DUMMYFUNCTION("""COMPUTED_VALUE"""),"105584149770")</f>
        <v>105584149770</v>
      </c>
    </row>
    <row r="9641" spans="1:11" ht="12.45">
      <c r="A9641" s="2" t="str">
        <f ca="1">IFERROR(__xludf.DUMMYFUNCTION("""COMPUTED_VALUE"""),"105584149821")</f>
        <v>105584149821</v>
      </c>
      <c r="C9641" s="2" t="str">
        <v>0</v>
      </c>
      <c r="F9641" s="2" t="str">
        <v>0</v>
      </c>
      <c r="I9641" s="3" t="str">
        <f ca="1">IFERROR(__xludf.DUMMYFUNCTION("""COMPUTED_VALUE"""),"HOÀNG THẢO HƯƠNG ")</f>
        <v xml:space="preserve">HOÀNG THẢO HƯƠNG </v>
      </c>
      <c r="J9641" s="3" t="str">
        <f ca="1">IFERROR(__xludf.DUMMYFUNCTION("""COMPUTED_VALUE"""),"0375360972")</f>
        <v>0375360972</v>
      </c>
      <c r="K9641" s="2" t="str">
        <f ca="1">IFERROR(__xludf.DUMMYFUNCTION("""COMPUTED_VALUE"""),"105584149821")</f>
        <v>105584149821</v>
      </c>
    </row>
    <row r="9642" spans="1:11" ht="12.45">
      <c r="A9642" s="2" t="str">
        <f ca="1">IFERROR(__xludf.DUMMYFUNCTION("""COMPUTED_VALUE"""),"105584150018")</f>
        <v>105584150018</v>
      </c>
      <c r="C9642" s="2" t="str">
        <v>0</v>
      </c>
      <c r="F9642" s="2" t="str">
        <v>0</v>
      </c>
      <c r="I9642" s="3" t="str">
        <f ca="1">IFERROR(__xludf.DUMMYFUNCTION("""COMPUTED_VALUE"""),"nguyễn thái phong")</f>
        <v>nguyễn thái phong</v>
      </c>
      <c r="J9642" s="3" t="str">
        <f ca="1">IFERROR(__xludf.DUMMYFUNCTION("""COMPUTED_VALUE"""),"0905893898")</f>
        <v>0905893898</v>
      </c>
      <c r="K9642" s="2" t="str">
        <f ca="1">IFERROR(__xludf.DUMMYFUNCTION("""COMPUTED_VALUE"""),"105584150018")</f>
        <v>105584150018</v>
      </c>
    </row>
    <row r="9643" spans="1:11" ht="12.45">
      <c r="A9643" s="2"/>
      <c r="C9643" s="2" t="str">
        <v>0</v>
      </c>
      <c r="F9643" s="2" t="str">
        <v>0</v>
      </c>
      <c r="I9643" s="3" t="str">
        <f ca="1">IFERROR(__xludf.DUMMYFUNCTION("""COMPUTED_VALUE"""),"Lê Phương Quỳnh ")</f>
        <v xml:space="preserve">Lê Phương Quỳnh </v>
      </c>
      <c r="J9643" s="3" t="str">
        <f ca="1">IFERROR(__xludf.DUMMYFUNCTION("""COMPUTED_VALUE"""),"0794546845")</f>
        <v>0794546845</v>
      </c>
      <c r="K9643" s="2"/>
    </row>
    <row r="9644" spans="1:11" ht="12.45">
      <c r="A9644" s="2"/>
      <c r="C9644" s="2" t="str">
        <v>0</v>
      </c>
      <c r="F9644" s="2" t="str">
        <v>0</v>
      </c>
      <c r="I9644" s="3" t="str">
        <f ca="1">IFERROR(__xludf.DUMMYFUNCTION("""COMPUTED_VALUE"""),"Nguyễn Thiện Mỹ")</f>
        <v>Nguyễn Thiện Mỹ</v>
      </c>
      <c r="J9644" s="3" t="str">
        <f ca="1">IFERROR(__xludf.DUMMYFUNCTION("""COMPUTED_VALUE"""),"0935741901")</f>
        <v>0935741901</v>
      </c>
      <c r="K9644" s="2"/>
    </row>
    <row r="9645" spans="1:11" ht="12.45">
      <c r="A9645" s="2" t="str">
        <f ca="1">IFERROR(__xludf.DUMMYFUNCTION("""COMPUTED_VALUE"""),"105584150265")</f>
        <v>105584150265</v>
      </c>
      <c r="C9645" s="2" t="str">
        <v>0</v>
      </c>
      <c r="F9645" s="2" t="str">
        <v>0</v>
      </c>
      <c r="I9645" s="3" t="str">
        <f ca="1">IFERROR(__xludf.DUMMYFUNCTION("""COMPUTED_VALUE"""),"Nguyễn Minh Anh ")</f>
        <v xml:space="preserve">Nguyễn Minh Anh </v>
      </c>
      <c r="J9645" s="3" t="str">
        <f ca="1">IFERROR(__xludf.DUMMYFUNCTION("""COMPUTED_VALUE"""),"0902162086")</f>
        <v>0902162086</v>
      </c>
      <c r="K9645" s="2" t="str">
        <f ca="1">IFERROR(__xludf.DUMMYFUNCTION("""COMPUTED_VALUE"""),"105584150265")</f>
        <v>105584150265</v>
      </c>
    </row>
    <row r="9646" spans="1:11" ht="12.45">
      <c r="A9646" s="2" t="str">
        <f ca="1">IFERROR(__xludf.DUMMYFUNCTION("""COMPUTED_VALUE"""),"105584150427")</f>
        <v>105584150427</v>
      </c>
      <c r="C9646" s="2" t="str">
        <v>0</v>
      </c>
      <c r="F9646" s="2" t="str">
        <v>0</v>
      </c>
      <c r="I9646" s="3" t="str">
        <f ca="1">IFERROR(__xludf.DUMMYFUNCTION("""COMPUTED_VALUE"""),"Nguyễn thị mai hoa ")</f>
        <v xml:space="preserve">Nguyễn thị mai hoa </v>
      </c>
      <c r="J9646" s="3" t="str">
        <f ca="1">IFERROR(__xludf.DUMMYFUNCTION("""COMPUTED_VALUE"""),"0948035336")</f>
        <v>0948035336</v>
      </c>
      <c r="K9646" s="2" t="str">
        <f ca="1">IFERROR(__xludf.DUMMYFUNCTION("""COMPUTED_VALUE"""),"105584150427")</f>
        <v>105584150427</v>
      </c>
    </row>
    <row r="9647" spans="1:11" ht="12.45">
      <c r="A9647" s="2" t="str">
        <f ca="1">IFERROR(__xludf.DUMMYFUNCTION("""COMPUTED_VALUE"""),"105584150656")</f>
        <v>105584150656</v>
      </c>
      <c r="C9647" s="2" t="str">
        <v>0</v>
      </c>
      <c r="F9647" s="2" t="str">
        <v>0</v>
      </c>
      <c r="I9647" s="3" t="str">
        <f ca="1">IFERROR(__xludf.DUMMYFUNCTION("""COMPUTED_VALUE"""),"Võ Mai")</f>
        <v>Võ Mai</v>
      </c>
      <c r="J9647" s="3" t="str">
        <f ca="1">IFERROR(__xludf.DUMMYFUNCTION("""COMPUTED_VALUE"""),"0377108214")</f>
        <v>0377108214</v>
      </c>
      <c r="K9647" s="2" t="str">
        <f ca="1">IFERROR(__xludf.DUMMYFUNCTION("""COMPUTED_VALUE"""),"105584150656")</f>
        <v>105584150656</v>
      </c>
    </row>
    <row r="9648" spans="1:11" ht="12.45">
      <c r="A9648" s="2" t="str">
        <f ca="1">IFERROR(__xludf.DUMMYFUNCTION("""COMPUTED_VALUE"""),"105584150855")</f>
        <v>105584150855</v>
      </c>
      <c r="C9648" s="2" t="str">
        <v>0</v>
      </c>
      <c r="F9648" s="2" t="str">
        <v>0</v>
      </c>
      <c r="I9648" s="3" t="str">
        <f ca="1">IFERROR(__xludf.DUMMYFUNCTION("""COMPUTED_VALUE"""),"Đỗ Ngọc Hà")</f>
        <v>Đỗ Ngọc Hà</v>
      </c>
      <c r="J9648" s="3" t="str">
        <f ca="1">IFERROR(__xludf.DUMMYFUNCTION("""COMPUTED_VALUE"""),"0326477602")</f>
        <v>0326477602</v>
      </c>
      <c r="K9648" s="2" t="str">
        <f ca="1">IFERROR(__xludf.DUMMYFUNCTION("""COMPUTED_VALUE"""),"105584150855")</f>
        <v>105584150855</v>
      </c>
    </row>
    <row r="9649" spans="1:11" ht="12.45">
      <c r="A9649" s="2" t="str">
        <f ca="1">IFERROR(__xludf.DUMMYFUNCTION("""COMPUTED_VALUE"""),"105584150916")</f>
        <v>105584150916</v>
      </c>
      <c r="C9649" s="2" t="str">
        <v>0</v>
      </c>
      <c r="F9649" s="2" t="str">
        <v>0</v>
      </c>
      <c r="I9649" s="3" t="str">
        <f ca="1">IFERROR(__xludf.DUMMYFUNCTION("""COMPUTED_VALUE"""),"Phạm Phương  Linh")</f>
        <v>Phạm Phương  Linh</v>
      </c>
      <c r="J9649" s="3" t="str">
        <f ca="1">IFERROR(__xludf.DUMMYFUNCTION("""COMPUTED_VALUE"""),"0386612124")</f>
        <v>0386612124</v>
      </c>
      <c r="K9649" s="2" t="str">
        <f ca="1">IFERROR(__xludf.DUMMYFUNCTION("""COMPUTED_VALUE"""),"105584150916")</f>
        <v>105584150916</v>
      </c>
    </row>
    <row r="9650" spans="1:11" ht="12.45">
      <c r="A9650" s="2" t="str">
        <f ca="1">IFERROR(__xludf.DUMMYFUNCTION("""COMPUTED_VALUE"""),"105584151113")</f>
        <v>105584151113</v>
      </c>
      <c r="C9650" s="2" t="str">
        <v>0</v>
      </c>
      <c r="F9650" s="2" t="str">
        <v>0</v>
      </c>
      <c r="I9650" s="3" t="str">
        <f ca="1">IFERROR(__xludf.DUMMYFUNCTION("""COMPUTED_VALUE"""),"Nguyễn Khánh Ngọc")</f>
        <v>Nguyễn Khánh Ngọc</v>
      </c>
      <c r="J9650" s="3" t="str">
        <f ca="1">IFERROR(__xludf.DUMMYFUNCTION("""COMPUTED_VALUE"""),"0934613656")</f>
        <v>0934613656</v>
      </c>
      <c r="K9650" s="2" t="str">
        <f ca="1">IFERROR(__xludf.DUMMYFUNCTION("""COMPUTED_VALUE"""),"105584151113")</f>
        <v>105584151113</v>
      </c>
    </row>
    <row r="9651" spans="1:11" ht="12.45">
      <c r="A9651" s="2"/>
      <c r="C9651" s="2" t="str">
        <v>0</v>
      </c>
      <c r="F9651" s="2" t="str">
        <v>0</v>
      </c>
      <c r="I9651" s="3" t="str">
        <f ca="1">IFERROR(__xludf.DUMMYFUNCTION("""COMPUTED_VALUE"""),"Nguyễn Đức Hiệp")</f>
        <v>Nguyễn Đức Hiệp</v>
      </c>
      <c r="J9651" s="3" t="str">
        <f ca="1">IFERROR(__xludf.DUMMYFUNCTION("""COMPUTED_VALUE"""),"0975904118")</f>
        <v>0975904118</v>
      </c>
      <c r="K9651" s="2"/>
    </row>
    <row r="9652" spans="1:11" ht="12.45">
      <c r="A9652" s="2" t="str">
        <f ca="1">IFERROR(__xludf.DUMMYFUNCTION("""COMPUTED_VALUE"""),"105584151328")</f>
        <v>105584151328</v>
      </c>
      <c r="C9652" s="2" t="str">
        <v>0</v>
      </c>
      <c r="F9652" s="2" t="str">
        <v>0</v>
      </c>
      <c r="I9652" s="3" t="str">
        <f ca="1">IFERROR(__xludf.DUMMYFUNCTION("""COMPUTED_VALUE"""),"Trương Thị Thạch Thảo ")</f>
        <v xml:space="preserve">Trương Thị Thạch Thảo </v>
      </c>
      <c r="J9652" s="3" t="str">
        <f ca="1">IFERROR(__xludf.DUMMYFUNCTION("""COMPUTED_VALUE"""),"0968150965")</f>
        <v>0968150965</v>
      </c>
      <c r="K9652" s="2" t="str">
        <f ca="1">IFERROR(__xludf.DUMMYFUNCTION("""COMPUTED_VALUE"""),"105584151328")</f>
        <v>105584151328</v>
      </c>
    </row>
    <row r="9653" spans="1:11" ht="12.45">
      <c r="A9653" s="2" t="str">
        <f ca="1">IFERROR(__xludf.DUMMYFUNCTION("""COMPUTED_VALUE"""),"105584151457")</f>
        <v>105584151457</v>
      </c>
      <c r="C9653" s="2" t="str">
        <v>0</v>
      </c>
      <c r="F9653" s="2" t="str">
        <v>0</v>
      </c>
      <c r="I9653" s="3" t="str">
        <f ca="1">IFERROR(__xludf.DUMMYFUNCTION("""COMPUTED_VALUE"""),"Bùi văn thịnh")</f>
        <v>Bùi văn thịnh</v>
      </c>
      <c r="J9653" s="3" t="str">
        <f ca="1">IFERROR(__xludf.DUMMYFUNCTION("""COMPUTED_VALUE"""),"0985621798")</f>
        <v>0985621798</v>
      </c>
      <c r="K9653" s="2" t="str">
        <f ca="1">IFERROR(__xludf.DUMMYFUNCTION("""COMPUTED_VALUE"""),"105584151457")</f>
        <v>105584151457</v>
      </c>
    </row>
    <row r="9654" spans="1:11" ht="12.45">
      <c r="A9654" s="2"/>
      <c r="C9654" s="2" t="str">
        <v>0</v>
      </c>
      <c r="F9654" s="2" t="str">
        <v>0</v>
      </c>
      <c r="I9654" s="3" t="str">
        <f ca="1">IFERROR(__xludf.DUMMYFUNCTION("""COMPUTED_VALUE"""),"Bùi Nguyễn Uyên Nhi")</f>
        <v>Bùi Nguyễn Uyên Nhi</v>
      </c>
      <c r="J9654" s="3" t="str">
        <f ca="1">IFERROR(__xludf.DUMMYFUNCTION("""COMPUTED_VALUE"""),"0945600207")</f>
        <v>0945600207</v>
      </c>
      <c r="K9654" s="2"/>
    </row>
    <row r="9655" spans="1:11" ht="12.45">
      <c r="A9655" s="2"/>
      <c r="C9655" s="2" t="str">
        <v>0</v>
      </c>
      <c r="F9655" s="2" t="str">
        <v>0</v>
      </c>
      <c r="I9655" s="3" t="str">
        <f ca="1">IFERROR(__xludf.DUMMYFUNCTION("""COMPUTED_VALUE"""),"Võ Nhật Duy")</f>
        <v>Võ Nhật Duy</v>
      </c>
      <c r="J9655" s="3" t="str">
        <f ca="1">IFERROR(__xludf.DUMMYFUNCTION("""COMPUTED_VALUE"""),"0849797696")</f>
        <v>0849797696</v>
      </c>
      <c r="K9655" s="2"/>
    </row>
    <row r="9656" spans="1:11" ht="12.45">
      <c r="A9656" s="2" t="str">
        <f ca="1">IFERROR(__xludf.DUMMYFUNCTION("""COMPUTED_VALUE"""),"105584151548")</f>
        <v>105584151548</v>
      </c>
      <c r="C9656" s="2" t="str">
        <v>0</v>
      </c>
      <c r="F9656" s="2" t="str">
        <v>0</v>
      </c>
      <c r="I9656" s="3" t="str">
        <f ca="1">IFERROR(__xludf.DUMMYFUNCTION("""COMPUTED_VALUE"""),"Lê Dương Khánh Ngọc")</f>
        <v>Lê Dương Khánh Ngọc</v>
      </c>
      <c r="J9656" s="3" t="str">
        <f ca="1">IFERROR(__xludf.DUMMYFUNCTION("""COMPUTED_VALUE"""),"0822792193")</f>
        <v>0822792193</v>
      </c>
      <c r="K9656" s="2" t="str">
        <f ca="1">IFERROR(__xludf.DUMMYFUNCTION("""COMPUTED_VALUE"""),"105584151548")</f>
        <v>105584151548</v>
      </c>
    </row>
    <row r="9657" spans="1:11" ht="12.45">
      <c r="A9657" s="2" t="str">
        <f ca="1">IFERROR(__xludf.DUMMYFUNCTION("""COMPUTED_VALUE"""),"105582727093")</f>
        <v>105582727093</v>
      </c>
      <c r="C9657" s="2" t="str">
        <v>0</v>
      </c>
      <c r="F9657" s="2" t="str">
        <v>0</v>
      </c>
      <c r="I9657" s="3" t="str">
        <f ca="1">IFERROR(__xludf.DUMMYFUNCTION("""COMPUTED_VALUE"""),"Nguyễn Thị Ngọc Yến ")</f>
        <v xml:space="preserve">Nguyễn Thị Ngọc Yến </v>
      </c>
      <c r="J9657" s="3" t="str">
        <f ca="1">IFERROR(__xludf.DUMMYFUNCTION("""COMPUTED_VALUE"""),"0979266540")</f>
        <v>0979266540</v>
      </c>
      <c r="K9657" s="2" t="str">
        <f ca="1">IFERROR(__xludf.DUMMYFUNCTION("""COMPUTED_VALUE"""),"105582727093")</f>
        <v>105582727093</v>
      </c>
    </row>
    <row r="9658" spans="1:11" ht="12.45">
      <c r="A9658" s="2" t="str">
        <f ca="1">IFERROR(__xludf.DUMMYFUNCTION("""COMPUTED_VALUE"""),"105776423946")</f>
        <v>105776423946</v>
      </c>
      <c r="C9658" s="2" t="str">
        <v>0</v>
      </c>
      <c r="F9658" s="2" t="str">
        <v>0</v>
      </c>
      <c r="I9658" s="3" t="str">
        <f ca="1">IFERROR(__xludf.DUMMYFUNCTION("""COMPUTED_VALUE"""),"Lê Cát Tường")</f>
        <v>Lê Cát Tường</v>
      </c>
      <c r="J9658" s="3" t="str">
        <f ca="1">IFERROR(__xludf.DUMMYFUNCTION("""COMPUTED_VALUE"""),"0378692692")</f>
        <v>0378692692</v>
      </c>
      <c r="K9658" s="2" t="str">
        <f ca="1">IFERROR(__xludf.DUMMYFUNCTION("""COMPUTED_VALUE"""),"105776423946")</f>
        <v>105776423946</v>
      </c>
    </row>
    <row r="9659" spans="1:11" ht="12.45">
      <c r="A9659" s="2" t="str">
        <f ca="1">IFERROR(__xludf.DUMMYFUNCTION("""COMPUTED_VALUE"""),"105584151654")</f>
        <v>105584151654</v>
      </c>
      <c r="C9659" s="2" t="str">
        <v>0</v>
      </c>
      <c r="F9659" s="2" t="str">
        <v>0</v>
      </c>
      <c r="I9659" s="3" t="str">
        <f ca="1">IFERROR(__xludf.DUMMYFUNCTION("""COMPUTED_VALUE"""),"NGUYỄN NGỌC GIA HÂN")</f>
        <v>NGUYỄN NGỌC GIA HÂN</v>
      </c>
      <c r="J9659" s="3" t="str">
        <f ca="1">IFERROR(__xludf.DUMMYFUNCTION("""COMPUTED_VALUE"""),"0901226936")</f>
        <v>0901226936</v>
      </c>
      <c r="K9659" s="2" t="str">
        <f ca="1">IFERROR(__xludf.DUMMYFUNCTION("""COMPUTED_VALUE"""),"105584151654")</f>
        <v>105584151654</v>
      </c>
    </row>
    <row r="9660" spans="1:11" ht="12.45">
      <c r="A9660" s="2" t="str">
        <f ca="1">IFERROR(__xludf.DUMMYFUNCTION("""COMPUTED_VALUE"""),"105584151762")</f>
        <v>105584151762</v>
      </c>
      <c r="C9660" s="2" t="str">
        <v>0</v>
      </c>
      <c r="F9660" s="2" t="str">
        <v>0</v>
      </c>
      <c r="I9660" s="3" t="str">
        <f ca="1">IFERROR(__xludf.DUMMYFUNCTION("""COMPUTED_VALUE"""),"Nguyễn Ngọc Minh Thư")</f>
        <v>Nguyễn Ngọc Minh Thư</v>
      </c>
      <c r="J9660" s="3" t="str">
        <f ca="1">IFERROR(__xludf.DUMMYFUNCTION("""COMPUTED_VALUE"""),"0932788409")</f>
        <v>0932788409</v>
      </c>
      <c r="K9660" s="2" t="str">
        <f ca="1">IFERROR(__xludf.DUMMYFUNCTION("""COMPUTED_VALUE"""),"105584151762")</f>
        <v>105584151762</v>
      </c>
    </row>
    <row r="9661" spans="1:11" ht="12.45">
      <c r="A9661" s="2" t="str">
        <f ca="1">IFERROR(__xludf.DUMMYFUNCTION("""COMPUTED_VALUE"""),"105584151848")</f>
        <v>105584151848</v>
      </c>
      <c r="C9661" s="2" t="str">
        <v>0</v>
      </c>
      <c r="F9661" s="2" t="str">
        <v>0</v>
      </c>
      <c r="I9661" s="3" t="str">
        <f ca="1">IFERROR(__xludf.DUMMYFUNCTION("""COMPUTED_VALUE"""),"Ngô Thanh Tuyền")</f>
        <v>Ngô Thanh Tuyền</v>
      </c>
      <c r="J9661" s="3" t="str">
        <f ca="1">IFERROR(__xludf.DUMMYFUNCTION("""COMPUTED_VALUE"""),"0949747250")</f>
        <v>0949747250</v>
      </c>
      <c r="K9661" s="2" t="str">
        <f ca="1">IFERROR(__xludf.DUMMYFUNCTION("""COMPUTED_VALUE"""),"105584151848")</f>
        <v>105584151848</v>
      </c>
    </row>
    <row r="9662" spans="1:11" ht="12.45">
      <c r="A9662" s="2" t="str">
        <f ca="1">IFERROR(__xludf.DUMMYFUNCTION("""COMPUTED_VALUE"""),"105584151974")</f>
        <v>105584151974</v>
      </c>
      <c r="C9662" s="2" t="str">
        <v>0</v>
      </c>
      <c r="F9662" s="2" t="str">
        <v>0</v>
      </c>
      <c r="I9662" s="3" t="str">
        <f ca="1">IFERROR(__xludf.DUMMYFUNCTION("""COMPUTED_VALUE"""),"Nguyễn Thị Thuỷ Tiên")</f>
        <v>Nguyễn Thị Thuỷ Tiên</v>
      </c>
      <c r="J9662" s="3" t="str">
        <f ca="1">IFERROR(__xludf.DUMMYFUNCTION("""COMPUTED_VALUE"""),"0824206059")</f>
        <v>0824206059</v>
      </c>
      <c r="K9662" s="2" t="str">
        <f ca="1">IFERROR(__xludf.DUMMYFUNCTION("""COMPUTED_VALUE"""),"105584151974")</f>
        <v>105584151974</v>
      </c>
    </row>
    <row r="9663" spans="1:11" ht="12.45">
      <c r="A9663" s="2" t="str">
        <f ca="1">IFERROR(__xludf.DUMMYFUNCTION("""COMPUTED_VALUE"""),"105584152194")</f>
        <v>105584152194</v>
      </c>
      <c r="C9663" s="2" t="str">
        <v>0</v>
      </c>
      <c r="F9663" s="2" t="str">
        <v>0</v>
      </c>
      <c r="I9663" s="3" t="str">
        <f ca="1">IFERROR(__xludf.DUMMYFUNCTION("""COMPUTED_VALUE"""),"Nguyễn Mạnh Hùng")</f>
        <v>Nguyễn Mạnh Hùng</v>
      </c>
      <c r="J9663" s="3" t="str">
        <f ca="1">IFERROR(__xludf.DUMMYFUNCTION("""COMPUTED_VALUE"""),"0372419294")</f>
        <v>0372419294</v>
      </c>
      <c r="K9663" s="2" t="str">
        <f ca="1">IFERROR(__xludf.DUMMYFUNCTION("""COMPUTED_VALUE"""),"105584152194")</f>
        <v>105584152194</v>
      </c>
    </row>
    <row r="9664" spans="1:11" ht="12.45">
      <c r="A9664" s="2" t="str">
        <f ca="1">IFERROR(__xludf.DUMMYFUNCTION("""COMPUTED_VALUE"""),"105584152318")</f>
        <v>105584152318</v>
      </c>
      <c r="C9664" s="2" t="str">
        <v>0</v>
      </c>
      <c r="F9664" s="2" t="str">
        <v>0</v>
      </c>
      <c r="I9664" s="3" t="str">
        <f ca="1">IFERROR(__xludf.DUMMYFUNCTION("""COMPUTED_VALUE"""),"HOÀNG NGỌC THIÊN ")</f>
        <v xml:space="preserve">HOÀNG NGỌC THIÊN </v>
      </c>
      <c r="J9664" s="3" t="str">
        <f ca="1">IFERROR(__xludf.DUMMYFUNCTION("""COMPUTED_VALUE"""),"0904022126")</f>
        <v>0904022126</v>
      </c>
      <c r="K9664" s="2" t="str">
        <f ca="1">IFERROR(__xludf.DUMMYFUNCTION("""COMPUTED_VALUE"""),"105584152318")</f>
        <v>105584152318</v>
      </c>
    </row>
    <row r="9665" spans="1:11" ht="12.45">
      <c r="A9665" s="2" t="str">
        <f ca="1">IFERROR(__xludf.DUMMYFUNCTION("""COMPUTED_VALUE"""),"105584137560")</f>
        <v>105584137560</v>
      </c>
      <c r="C9665" s="2" t="str">
        <v>0</v>
      </c>
      <c r="F9665" s="2" t="str">
        <v>0</v>
      </c>
      <c r="I9665" s="3" t="str">
        <f ca="1">IFERROR(__xludf.DUMMYFUNCTION("""COMPUTED_VALUE"""),"Phạm Thị Thu Thanh")</f>
        <v>Phạm Thị Thu Thanh</v>
      </c>
      <c r="J9665" s="3" t="str">
        <f ca="1">IFERROR(__xludf.DUMMYFUNCTION("""COMPUTED_VALUE"""),"0569088487")</f>
        <v>0569088487</v>
      </c>
      <c r="K9665" s="2" t="str">
        <f ca="1">IFERROR(__xludf.DUMMYFUNCTION("""COMPUTED_VALUE"""),"105584137560")</f>
        <v>105584137560</v>
      </c>
    </row>
    <row r="9666" spans="1:11" ht="12.45">
      <c r="A9666" s="2" t="str">
        <f ca="1">IFERROR(__xludf.DUMMYFUNCTION("""COMPUTED_VALUE"""),"105668342071")</f>
        <v>105668342071</v>
      </c>
      <c r="C9666" s="2" t="str">
        <v>0</v>
      </c>
      <c r="F9666" s="2" t="str">
        <v>0</v>
      </c>
      <c r="I9666" s="3" t="str">
        <f ca="1">IFERROR(__xludf.DUMMYFUNCTION("""COMPUTED_VALUE"""),"Nguyễn Uyên Nhi")</f>
        <v>Nguyễn Uyên Nhi</v>
      </c>
      <c r="J9666" s="3" t="str">
        <f ca="1">IFERROR(__xludf.DUMMYFUNCTION("""COMPUTED_VALUE"""),"0962245534")</f>
        <v>0962245534</v>
      </c>
      <c r="K9666" s="2" t="str">
        <f ca="1">IFERROR(__xludf.DUMMYFUNCTION("""COMPUTED_VALUE"""),"105668342071")</f>
        <v>105668342071</v>
      </c>
    </row>
    <row r="9667" spans="1:11" ht="12.45">
      <c r="A9667" s="2" t="str">
        <f ca="1">IFERROR(__xludf.DUMMYFUNCTION("""COMPUTED_VALUE"""),"105668342298")</f>
        <v>105668342298</v>
      </c>
      <c r="C9667" s="2" t="str">
        <v>0</v>
      </c>
      <c r="F9667" s="2" t="str">
        <v>0</v>
      </c>
      <c r="I9667" s="3" t="str">
        <f ca="1">IFERROR(__xludf.DUMMYFUNCTION("""COMPUTED_VALUE"""),"Nguyễn Quỳnh Anh ")</f>
        <v xml:space="preserve">Nguyễn Quỳnh Anh </v>
      </c>
      <c r="J9667" s="3" t="str">
        <f ca="1">IFERROR(__xludf.DUMMYFUNCTION("""COMPUTED_VALUE"""),"0365464766")</f>
        <v>0365464766</v>
      </c>
      <c r="K9667" s="2" t="str">
        <f ca="1">IFERROR(__xludf.DUMMYFUNCTION("""COMPUTED_VALUE"""),"105668342298")</f>
        <v>105668342298</v>
      </c>
    </row>
    <row r="9668" spans="1:11" ht="12.45">
      <c r="A9668" s="2" t="str">
        <f ca="1">IFERROR(__xludf.DUMMYFUNCTION("""COMPUTED_VALUE"""),"105668342393")</f>
        <v>105668342393</v>
      </c>
      <c r="C9668" s="2" t="str">
        <v>0</v>
      </c>
      <c r="F9668" s="2" t="str">
        <v>0</v>
      </c>
      <c r="I9668" s="3" t="str">
        <f ca="1">IFERROR(__xludf.DUMMYFUNCTION("""COMPUTED_VALUE"""),"Ngô thị hồng yến")</f>
        <v>Ngô thị hồng yến</v>
      </c>
      <c r="J9668" s="3" t="str">
        <f ca="1">IFERROR(__xludf.DUMMYFUNCTION("""COMPUTED_VALUE"""),"0867553343")</f>
        <v>0867553343</v>
      </c>
      <c r="K9668" s="2" t="str">
        <f ca="1">IFERROR(__xludf.DUMMYFUNCTION("""COMPUTED_VALUE"""),"105668342393")</f>
        <v>105668342393</v>
      </c>
    </row>
    <row r="9669" spans="1:11" ht="12.45">
      <c r="A9669" s="2" t="str">
        <f ca="1">IFERROR(__xludf.DUMMYFUNCTION("""COMPUTED_VALUE"""),"105668342436")</f>
        <v>105668342436</v>
      </c>
      <c r="C9669" s="2" t="str">
        <v>0</v>
      </c>
      <c r="F9669" s="2" t="str">
        <v>0</v>
      </c>
      <c r="I9669" s="3" t="str">
        <f ca="1">IFERROR(__xludf.DUMMYFUNCTION("""COMPUTED_VALUE"""),"Phan Thị Anh Nhi")</f>
        <v>Phan Thị Anh Nhi</v>
      </c>
      <c r="J9669" s="3" t="str">
        <f ca="1">IFERROR(__xludf.DUMMYFUNCTION("""COMPUTED_VALUE"""),"0347063287")</f>
        <v>0347063287</v>
      </c>
      <c r="K9669" s="2" t="str">
        <f ca="1">IFERROR(__xludf.DUMMYFUNCTION("""COMPUTED_VALUE"""),"105668342436")</f>
        <v>105668342436</v>
      </c>
    </row>
    <row r="9670" spans="1:11" ht="12.45">
      <c r="A9670" s="2" t="str">
        <f ca="1">IFERROR(__xludf.DUMMYFUNCTION("""COMPUTED_VALUE"""),"105668342553")</f>
        <v>105668342553</v>
      </c>
      <c r="C9670" s="2" t="str">
        <v>0</v>
      </c>
      <c r="F9670" s="2" t="str">
        <v>0</v>
      </c>
      <c r="I9670" s="3" t="str">
        <f ca="1">IFERROR(__xludf.DUMMYFUNCTION("""COMPUTED_VALUE"""),"Hà Trương Bảo Ngân ")</f>
        <v xml:space="preserve">Hà Trương Bảo Ngân </v>
      </c>
      <c r="J9670" s="3" t="str">
        <f ca="1">IFERROR(__xludf.DUMMYFUNCTION("""COMPUTED_VALUE"""),"0914793090")</f>
        <v>0914793090</v>
      </c>
      <c r="K9670" s="2" t="str">
        <f ca="1">IFERROR(__xludf.DUMMYFUNCTION("""COMPUTED_VALUE"""),"105668342553")</f>
        <v>105668342553</v>
      </c>
    </row>
    <row r="9671" spans="1:11" ht="12.45">
      <c r="A9671" s="2" t="str">
        <f ca="1">IFERROR(__xludf.DUMMYFUNCTION("""COMPUTED_VALUE"""),"105668342626")</f>
        <v>105668342626</v>
      </c>
      <c r="C9671" s="2" t="str">
        <v>0</v>
      </c>
      <c r="F9671" s="2" t="str">
        <v>0</v>
      </c>
      <c r="I9671" s="3" t="str">
        <f ca="1">IFERROR(__xludf.DUMMYFUNCTION("""COMPUTED_VALUE"""),"Trần Hoàng Anh")</f>
        <v>Trần Hoàng Anh</v>
      </c>
      <c r="J9671" s="3" t="str">
        <f ca="1">IFERROR(__xludf.DUMMYFUNCTION("""COMPUTED_VALUE"""),"0359594206")</f>
        <v>0359594206</v>
      </c>
      <c r="K9671" s="2" t="str">
        <f ca="1">IFERROR(__xludf.DUMMYFUNCTION("""COMPUTED_VALUE"""),"105668342626")</f>
        <v>105668342626</v>
      </c>
    </row>
    <row r="9672" spans="1:11" ht="12.45">
      <c r="A9672" s="2" t="str">
        <f ca="1">IFERROR(__xludf.DUMMYFUNCTION("""COMPUTED_VALUE"""),"105668342814")</f>
        <v>105668342814</v>
      </c>
      <c r="C9672" s="2" t="str">
        <v>0</v>
      </c>
      <c r="F9672" s="2" t="str">
        <v>0</v>
      </c>
      <c r="I9672" s="3" t="str">
        <f ca="1">IFERROR(__xludf.DUMMYFUNCTION("""COMPUTED_VALUE"""),"Đặng Quang Phục")</f>
        <v>Đặng Quang Phục</v>
      </c>
      <c r="J9672" s="3" t="str">
        <f ca="1">IFERROR(__xludf.DUMMYFUNCTION("""COMPUTED_VALUE"""),"0395750846")</f>
        <v>0395750846</v>
      </c>
      <c r="K9672" s="2" t="str">
        <f ca="1">IFERROR(__xludf.DUMMYFUNCTION("""COMPUTED_VALUE"""),"105668342814")</f>
        <v>105668342814</v>
      </c>
    </row>
    <row r="9673" spans="1:11" ht="12.45">
      <c r="A9673" s="2" t="str">
        <f ca="1">IFERROR(__xludf.DUMMYFUNCTION("""COMPUTED_VALUE"""),"105668343039")</f>
        <v>105668343039</v>
      </c>
      <c r="C9673" s="2" t="str">
        <v>0</v>
      </c>
      <c r="F9673" s="2" t="str">
        <v>0</v>
      </c>
      <c r="I9673" s="3" t="str">
        <f ca="1">IFERROR(__xludf.DUMMYFUNCTION("""COMPUTED_VALUE"""),"Phạm Linh Chi ")</f>
        <v xml:space="preserve">Phạm Linh Chi </v>
      </c>
      <c r="J9673" s="3" t="str">
        <f ca="1">IFERROR(__xludf.DUMMYFUNCTION("""COMPUTED_VALUE"""),"0344128542")</f>
        <v>0344128542</v>
      </c>
      <c r="K9673" s="2" t="str">
        <f ca="1">IFERROR(__xludf.DUMMYFUNCTION("""COMPUTED_VALUE"""),"105668343039")</f>
        <v>105668343039</v>
      </c>
    </row>
    <row r="9674" spans="1:11" ht="12.45">
      <c r="A9674" s="2" t="str">
        <f ca="1">IFERROR(__xludf.DUMMYFUNCTION("""COMPUTED_VALUE"""),"105668343220")</f>
        <v>105668343220</v>
      </c>
      <c r="C9674" s="2" t="str">
        <v>0</v>
      </c>
      <c r="F9674" s="2" t="str">
        <v>0</v>
      </c>
      <c r="I9674" s="3" t="str">
        <f ca="1">IFERROR(__xludf.DUMMYFUNCTION("""COMPUTED_VALUE"""),"Đặng Đăng Minh")</f>
        <v>Đặng Đăng Minh</v>
      </c>
      <c r="J9674" s="3" t="str">
        <f ca="1">IFERROR(__xludf.DUMMYFUNCTION("""COMPUTED_VALUE"""),"0814566599")</f>
        <v>0814566599</v>
      </c>
      <c r="K9674" s="2" t="str">
        <f ca="1">IFERROR(__xludf.DUMMYFUNCTION("""COMPUTED_VALUE"""),"105668343220")</f>
        <v>105668343220</v>
      </c>
    </row>
    <row r="9675" spans="1:11" ht="12.45">
      <c r="A9675" s="2" t="str">
        <f ca="1">IFERROR(__xludf.DUMMYFUNCTION("""COMPUTED_VALUE"""),"105668343388")</f>
        <v>105668343388</v>
      </c>
      <c r="C9675" s="2" t="str">
        <v>0</v>
      </c>
      <c r="F9675" s="2" t="str">
        <v>0</v>
      </c>
      <c r="I9675" s="3" t="str">
        <f ca="1">IFERROR(__xludf.DUMMYFUNCTION("""COMPUTED_VALUE"""),"Nguyễn Ngọc Thảo Nga")</f>
        <v>Nguyễn Ngọc Thảo Nga</v>
      </c>
      <c r="J9675" s="3" t="str">
        <f ca="1">IFERROR(__xludf.DUMMYFUNCTION("""COMPUTED_VALUE"""),"0332261500")</f>
        <v>0332261500</v>
      </c>
      <c r="K9675" s="2" t="str">
        <f ca="1">IFERROR(__xludf.DUMMYFUNCTION("""COMPUTED_VALUE"""),"105668343388")</f>
        <v>105668343388</v>
      </c>
    </row>
    <row r="9676" spans="1:11" ht="12.45">
      <c r="A9676" s="2" t="str">
        <f ca="1">IFERROR(__xludf.DUMMYFUNCTION("""COMPUTED_VALUE"""),"105668343532")</f>
        <v>105668343532</v>
      </c>
      <c r="C9676" s="2" t="str">
        <v>0</v>
      </c>
      <c r="F9676" s="2" t="str">
        <v>0</v>
      </c>
      <c r="I9676" s="3" t="str">
        <f ca="1">IFERROR(__xludf.DUMMYFUNCTION("""COMPUTED_VALUE"""),"Nguyễn Chí Thanh")</f>
        <v>Nguyễn Chí Thanh</v>
      </c>
      <c r="J9676" s="3" t="str">
        <f ca="1">IFERROR(__xludf.DUMMYFUNCTION("""COMPUTED_VALUE"""),"0973854622")</f>
        <v>0973854622</v>
      </c>
      <c r="K9676" s="2" t="str">
        <f ca="1">IFERROR(__xludf.DUMMYFUNCTION("""COMPUTED_VALUE"""),"105668343532")</f>
        <v>105668343532</v>
      </c>
    </row>
    <row r="9677" spans="1:11" ht="12.45">
      <c r="A9677" s="2" t="str">
        <f ca="1">IFERROR(__xludf.DUMMYFUNCTION("""COMPUTED_VALUE"""),"105668343826")</f>
        <v>105668343826</v>
      </c>
      <c r="C9677" s="2" t="str">
        <v>0</v>
      </c>
      <c r="F9677" s="2" t="str">
        <v>0</v>
      </c>
      <c r="I9677" s="3" t="str">
        <f ca="1">IFERROR(__xludf.DUMMYFUNCTION("""COMPUTED_VALUE"""),"Nguyễn Trương Thiên Phúc")</f>
        <v>Nguyễn Trương Thiên Phúc</v>
      </c>
      <c r="J9677" s="3" t="str">
        <f ca="1">IFERROR(__xludf.DUMMYFUNCTION("""COMPUTED_VALUE"""),"0964812595")</f>
        <v>0964812595</v>
      </c>
      <c r="K9677" s="2" t="str">
        <f ca="1">IFERROR(__xludf.DUMMYFUNCTION("""COMPUTED_VALUE"""),"105668343826")</f>
        <v>105668343826</v>
      </c>
    </row>
    <row r="9678" spans="1:11" ht="12.45">
      <c r="A9678" s="2" t="str">
        <f ca="1">IFERROR(__xludf.DUMMYFUNCTION("""COMPUTED_VALUE"""),"105668344076")</f>
        <v>105668344076</v>
      </c>
      <c r="C9678" s="2" t="str">
        <v>0</v>
      </c>
      <c r="F9678" s="2" t="str">
        <v>0</v>
      </c>
      <c r="I9678" s="3" t="str">
        <f ca="1">IFERROR(__xludf.DUMMYFUNCTION("""COMPUTED_VALUE"""),"Huỳnh Võ Quốc Bảo")</f>
        <v>Huỳnh Võ Quốc Bảo</v>
      </c>
      <c r="J9678" s="3" t="str">
        <f ca="1">IFERROR(__xludf.DUMMYFUNCTION("""COMPUTED_VALUE"""),"0946218078")</f>
        <v>0946218078</v>
      </c>
      <c r="K9678" s="2" t="str">
        <f ca="1">IFERROR(__xludf.DUMMYFUNCTION("""COMPUTED_VALUE"""),"105668344076")</f>
        <v>105668344076</v>
      </c>
    </row>
    <row r="9679" spans="1:11" ht="12.45">
      <c r="A9679" s="2" t="str">
        <f ca="1">IFERROR(__xludf.DUMMYFUNCTION("""COMPUTED_VALUE"""),"105668344175")</f>
        <v>105668344175</v>
      </c>
      <c r="C9679" s="2" t="str">
        <v>0</v>
      </c>
      <c r="F9679" s="2" t="str">
        <v>0</v>
      </c>
      <c r="I9679" s="3" t="str">
        <f ca="1">IFERROR(__xludf.DUMMYFUNCTION("""COMPUTED_VALUE"""),"Nguyễn Minh Trường")</f>
        <v>Nguyễn Minh Trường</v>
      </c>
      <c r="J9679" s="3" t="str">
        <f ca="1">IFERROR(__xludf.DUMMYFUNCTION("""COMPUTED_VALUE"""),"0822660319")</f>
        <v>0822660319</v>
      </c>
      <c r="K9679" s="2" t="str">
        <f ca="1">IFERROR(__xludf.DUMMYFUNCTION("""COMPUTED_VALUE"""),"105668344175")</f>
        <v>105668344175</v>
      </c>
    </row>
    <row r="9680" spans="1:11" ht="12.45">
      <c r="A9680" s="2" t="str">
        <f ca="1">IFERROR(__xludf.DUMMYFUNCTION("""COMPUTED_VALUE"""),"105668344273")</f>
        <v>105668344273</v>
      </c>
      <c r="C9680" s="2" t="str">
        <v>0</v>
      </c>
      <c r="F9680" s="2" t="str">
        <v>0</v>
      </c>
      <c r="I9680" s="3" t="str">
        <f ca="1">IFERROR(__xludf.DUMMYFUNCTION("""COMPUTED_VALUE"""),"Nguyễn Thu Hương Giang")</f>
        <v>Nguyễn Thu Hương Giang</v>
      </c>
      <c r="J9680" s="3" t="str">
        <f ca="1">IFERROR(__xludf.DUMMYFUNCTION("""COMPUTED_VALUE"""),"0869420307")</f>
        <v>0869420307</v>
      </c>
      <c r="K9680" s="2" t="str">
        <f ca="1">IFERROR(__xludf.DUMMYFUNCTION("""COMPUTED_VALUE"""),"105668344273")</f>
        <v>105668344273</v>
      </c>
    </row>
    <row r="9681" spans="1:11" ht="12.45">
      <c r="A9681" s="2" t="str">
        <f ca="1">IFERROR(__xludf.DUMMYFUNCTION("""COMPUTED_VALUE"""),"105668344373")</f>
        <v>105668344373</v>
      </c>
      <c r="C9681" s="2" t="str">
        <v>0</v>
      </c>
      <c r="F9681" s="2" t="str">
        <v>0</v>
      </c>
      <c r="I9681" s="3" t="str">
        <f ca="1">IFERROR(__xludf.DUMMYFUNCTION("""COMPUTED_VALUE"""),"Nguyễn Thảo Quỳnh Anh ")</f>
        <v xml:space="preserve">Nguyễn Thảo Quỳnh Anh </v>
      </c>
      <c r="J9681" s="3" t="str">
        <f ca="1">IFERROR(__xludf.DUMMYFUNCTION("""COMPUTED_VALUE"""),"0329500513")</f>
        <v>0329500513</v>
      </c>
      <c r="K9681" s="2" t="str">
        <f ca="1">IFERROR(__xludf.DUMMYFUNCTION("""COMPUTED_VALUE"""),"105668344373")</f>
        <v>105668344373</v>
      </c>
    </row>
    <row r="9682" spans="1:11" ht="12.45">
      <c r="A9682" s="2" t="str">
        <f ca="1">IFERROR(__xludf.DUMMYFUNCTION("""COMPUTED_VALUE"""),"105668344654")</f>
        <v>105668344654</v>
      </c>
      <c r="C9682" s="2" t="str">
        <v>0</v>
      </c>
      <c r="F9682" s="2" t="str">
        <v>0</v>
      </c>
      <c r="I9682" s="3" t="str">
        <f ca="1">IFERROR(__xludf.DUMMYFUNCTION("""COMPUTED_VALUE"""),"Nguyễn Lê Lan Anh ")</f>
        <v xml:space="preserve">Nguyễn Lê Lan Anh </v>
      </c>
      <c r="J9682" s="3" t="str">
        <f ca="1">IFERROR(__xludf.DUMMYFUNCTION("""COMPUTED_VALUE"""),"0947602767")</f>
        <v>0947602767</v>
      </c>
      <c r="K9682" s="2" t="str">
        <f ca="1">IFERROR(__xludf.DUMMYFUNCTION("""COMPUTED_VALUE"""),"105668344654")</f>
        <v>105668344654</v>
      </c>
    </row>
    <row r="9683" spans="1:11" ht="12.45">
      <c r="A9683" s="2" t="str">
        <f ca="1">IFERROR(__xludf.DUMMYFUNCTION("""COMPUTED_VALUE"""),"105668344765")</f>
        <v>105668344765</v>
      </c>
      <c r="C9683" s="2" t="str">
        <v>0</v>
      </c>
      <c r="F9683" s="2" t="str">
        <v>0</v>
      </c>
      <c r="I9683" s="3" t="str">
        <f ca="1">IFERROR(__xludf.DUMMYFUNCTION("""COMPUTED_VALUE"""),"Nguyễn Thị Hương Liên ")</f>
        <v xml:space="preserve">Nguyễn Thị Hương Liên </v>
      </c>
      <c r="J9683" s="3" t="str">
        <f ca="1">IFERROR(__xludf.DUMMYFUNCTION("""COMPUTED_VALUE"""),"0971692753")</f>
        <v>0971692753</v>
      </c>
      <c r="K9683" s="2" t="str">
        <f ca="1">IFERROR(__xludf.DUMMYFUNCTION("""COMPUTED_VALUE"""),"105668344765")</f>
        <v>105668344765</v>
      </c>
    </row>
    <row r="9684" spans="1:11" ht="12.45">
      <c r="A9684" s="2" t="str">
        <f ca="1">IFERROR(__xludf.DUMMYFUNCTION("""COMPUTED_VALUE"""),"105668345012")</f>
        <v>105668345012</v>
      </c>
      <c r="C9684" s="2" t="str">
        <v>0</v>
      </c>
      <c r="F9684" s="2" t="str">
        <v>0</v>
      </c>
      <c r="I9684" s="3" t="str">
        <f ca="1">IFERROR(__xludf.DUMMYFUNCTION("""COMPUTED_VALUE"""),"RMAH THIỆN ")</f>
        <v xml:space="preserve">RMAH THIỆN </v>
      </c>
      <c r="J9684" s="3" t="str">
        <f ca="1">IFERROR(__xludf.DUMMYFUNCTION("""COMPUTED_VALUE"""),"0395490060")</f>
        <v>0395490060</v>
      </c>
      <c r="K9684" s="2" t="str">
        <f ca="1">IFERROR(__xludf.DUMMYFUNCTION("""COMPUTED_VALUE"""),"105668345012")</f>
        <v>105668345012</v>
      </c>
    </row>
    <row r="9685" spans="1:11" ht="12.45">
      <c r="A9685" s="2" t="str">
        <f ca="1">IFERROR(__xludf.DUMMYFUNCTION("""COMPUTED_VALUE"""),"105668345330")</f>
        <v>105668345330</v>
      </c>
      <c r="C9685" s="2" t="str">
        <v>0</v>
      </c>
      <c r="F9685" s="2" t="str">
        <v>0</v>
      </c>
      <c r="I9685" s="3" t="str">
        <f ca="1">IFERROR(__xludf.DUMMYFUNCTION("""COMPUTED_VALUE"""),"Nguyễn Thị Ngọc Yến ")</f>
        <v xml:space="preserve">Nguyễn Thị Ngọc Yến </v>
      </c>
      <c r="J9685" s="3" t="str">
        <f ca="1">IFERROR(__xludf.DUMMYFUNCTION("""COMPUTED_VALUE"""),"0398885860")</f>
        <v>0398885860</v>
      </c>
      <c r="K9685" s="2" t="str">
        <f ca="1">IFERROR(__xludf.DUMMYFUNCTION("""COMPUTED_VALUE"""),"105668345330")</f>
        <v>105668345330</v>
      </c>
    </row>
    <row r="9686" spans="1:11" ht="12.45">
      <c r="A9686" s="2" t="str">
        <f ca="1">IFERROR(__xludf.DUMMYFUNCTION("""COMPUTED_VALUE"""),"105668345452")</f>
        <v>105668345452</v>
      </c>
      <c r="C9686" s="2" t="str">
        <v>0</v>
      </c>
      <c r="F9686" s="2" t="str">
        <v>0</v>
      </c>
      <c r="I9686" s="3" t="str">
        <f ca="1">IFERROR(__xludf.DUMMYFUNCTION("""COMPUTED_VALUE"""),"Cao Nguyên mỹ trinh")</f>
        <v>Cao Nguyên mỹ trinh</v>
      </c>
      <c r="J9686" s="3" t="str">
        <f ca="1">IFERROR(__xludf.DUMMYFUNCTION("""COMPUTED_VALUE"""),"8436209460")</f>
        <v>8436209460</v>
      </c>
      <c r="K9686" s="2" t="str">
        <f ca="1">IFERROR(__xludf.DUMMYFUNCTION("""COMPUTED_VALUE"""),"105668345452")</f>
        <v>105668345452</v>
      </c>
    </row>
    <row r="9687" spans="1:11" ht="12.45">
      <c r="A9687" s="2" t="str">
        <f ca="1">IFERROR(__xludf.DUMMYFUNCTION("""COMPUTED_VALUE"""),"105668345533")</f>
        <v>105668345533</v>
      </c>
      <c r="C9687" s="2" t="str">
        <v>0</v>
      </c>
      <c r="F9687" s="2" t="str">
        <v>0</v>
      </c>
      <c r="I9687" s="3" t="str">
        <f ca="1">IFERROR(__xludf.DUMMYFUNCTION("""COMPUTED_VALUE"""),"Trần thị lan ")</f>
        <v xml:space="preserve">Trần thị lan </v>
      </c>
      <c r="J9687" s="3" t="str">
        <f ca="1">IFERROR(__xludf.DUMMYFUNCTION("""COMPUTED_VALUE"""),"0833947778")</f>
        <v>0833947778</v>
      </c>
      <c r="K9687" s="2" t="str">
        <f ca="1">IFERROR(__xludf.DUMMYFUNCTION("""COMPUTED_VALUE"""),"105668345533")</f>
        <v>105668345533</v>
      </c>
    </row>
    <row r="9688" spans="1:11" ht="12.45">
      <c r="A9688" s="2" t="str">
        <f ca="1">IFERROR(__xludf.DUMMYFUNCTION("""COMPUTED_VALUE"""),"105668345634")</f>
        <v>105668345634</v>
      </c>
      <c r="C9688" s="2" t="str">
        <v>0</v>
      </c>
      <c r="F9688" s="2" t="str">
        <v>0</v>
      </c>
      <c r="I9688" s="3" t="str">
        <f ca="1">IFERROR(__xludf.DUMMYFUNCTION("""COMPUTED_VALUE"""),"Vũ Thị Mỹ Phương")</f>
        <v>Vũ Thị Mỹ Phương</v>
      </c>
      <c r="J9688" s="3" t="str">
        <f ca="1">IFERROR(__xludf.DUMMYFUNCTION("""COMPUTED_VALUE"""),"0926890207")</f>
        <v>0926890207</v>
      </c>
      <c r="K9688" s="2" t="str">
        <f ca="1">IFERROR(__xludf.DUMMYFUNCTION("""COMPUTED_VALUE"""),"105668345634")</f>
        <v>105668345634</v>
      </c>
    </row>
    <row r="9689" spans="1:11" ht="12.45">
      <c r="A9689" s="2" t="str">
        <f ca="1">IFERROR(__xludf.DUMMYFUNCTION("""COMPUTED_VALUE"""),"105668345795")</f>
        <v>105668345795</v>
      </c>
      <c r="C9689" s="2" t="str">
        <v>0</v>
      </c>
      <c r="F9689" s="2" t="str">
        <v>0</v>
      </c>
      <c r="I9689" s="3" t="str">
        <f ca="1">IFERROR(__xludf.DUMMYFUNCTION("""COMPUTED_VALUE"""),"Nguyễn Tùng Lâm")</f>
        <v>Nguyễn Tùng Lâm</v>
      </c>
      <c r="J9689" s="3" t="str">
        <f ca="1">IFERROR(__xludf.DUMMYFUNCTION("""COMPUTED_VALUE"""),"0982692130")</f>
        <v>0982692130</v>
      </c>
      <c r="K9689" s="2" t="str">
        <f ca="1">IFERROR(__xludf.DUMMYFUNCTION("""COMPUTED_VALUE"""),"105668345795")</f>
        <v>105668345795</v>
      </c>
    </row>
    <row r="9690" spans="1:11" ht="12.45">
      <c r="A9690" s="2" t="str">
        <f ca="1">IFERROR(__xludf.DUMMYFUNCTION("""COMPUTED_VALUE"""),"105668345848")</f>
        <v>105668345848</v>
      </c>
      <c r="C9690" s="2" t="str">
        <v>0</v>
      </c>
      <c r="F9690" s="2" t="str">
        <v>0</v>
      </c>
      <c r="I9690" s="3" t="str">
        <f ca="1">IFERROR(__xludf.DUMMYFUNCTION("""COMPUTED_VALUE"""),"Lê Thị Thùy Dương")</f>
        <v>Lê Thị Thùy Dương</v>
      </c>
      <c r="J9690" s="3" t="str">
        <f ca="1">IFERROR(__xludf.DUMMYFUNCTION("""COMPUTED_VALUE"""),"0852232267")</f>
        <v>0852232267</v>
      </c>
      <c r="K9690" s="2" t="str">
        <f ca="1">IFERROR(__xludf.DUMMYFUNCTION("""COMPUTED_VALUE"""),"105668345848")</f>
        <v>105668345848</v>
      </c>
    </row>
    <row r="9691" spans="1:11" ht="12.45">
      <c r="A9691" s="2" t="str">
        <f ca="1">IFERROR(__xludf.DUMMYFUNCTION("""COMPUTED_VALUE"""),"105668345914")</f>
        <v>105668345914</v>
      </c>
      <c r="C9691" s="2" t="str">
        <v>0</v>
      </c>
      <c r="F9691" s="2" t="str">
        <v>0</v>
      </c>
      <c r="I9691" s="3" t="str">
        <f ca="1">IFERROR(__xludf.DUMMYFUNCTION("""COMPUTED_VALUE"""),"Trần Phương Linh")</f>
        <v>Trần Phương Linh</v>
      </c>
      <c r="J9691" s="3" t="str">
        <f ca="1">IFERROR(__xludf.DUMMYFUNCTION("""COMPUTED_VALUE"""),"0358716265")</f>
        <v>0358716265</v>
      </c>
      <c r="K9691" s="2" t="str">
        <f ca="1">IFERROR(__xludf.DUMMYFUNCTION("""COMPUTED_VALUE"""),"105668345914")</f>
        <v>105668345914</v>
      </c>
    </row>
    <row r="9692" spans="1:11" ht="12.45">
      <c r="A9692" s="2" t="str">
        <f ca="1">IFERROR(__xludf.DUMMYFUNCTION("""COMPUTED_VALUE"""),"105668346155")</f>
        <v>105668346155</v>
      </c>
      <c r="C9692" s="2" t="str">
        <v>0</v>
      </c>
      <c r="F9692" s="2" t="str">
        <v>0</v>
      </c>
      <c r="I9692" s="3" t="str">
        <f ca="1">IFERROR(__xludf.DUMMYFUNCTION("""COMPUTED_VALUE"""),"Phạm Trung Kiên")</f>
        <v>Phạm Trung Kiên</v>
      </c>
      <c r="J9692" s="3" t="str">
        <f ca="1">IFERROR(__xludf.DUMMYFUNCTION("""COMPUTED_VALUE"""),"0335688917")</f>
        <v>0335688917</v>
      </c>
      <c r="K9692" s="2" t="str">
        <f ca="1">IFERROR(__xludf.DUMMYFUNCTION("""COMPUTED_VALUE"""),"105668346155")</f>
        <v>105668346155</v>
      </c>
    </row>
    <row r="9693" spans="1:11" ht="12.45">
      <c r="A9693" s="2" t="str">
        <f ca="1">IFERROR(__xludf.DUMMYFUNCTION("""COMPUTED_VALUE"""),"105668346431")</f>
        <v>105668346431</v>
      </c>
      <c r="C9693" s="2" t="str">
        <v>0</v>
      </c>
      <c r="F9693" s="2" t="str">
        <v>0</v>
      </c>
      <c r="I9693" s="3" t="str">
        <f ca="1">IFERROR(__xludf.DUMMYFUNCTION("""COMPUTED_VALUE"""),"Nguyễn Thị Yến Vân")</f>
        <v>Nguyễn Thị Yến Vân</v>
      </c>
      <c r="J9693" s="3" t="str">
        <f ca="1">IFERROR(__xludf.DUMMYFUNCTION("""COMPUTED_VALUE"""),"0939898548")</f>
        <v>0939898548</v>
      </c>
      <c r="K9693" s="2" t="str">
        <f ca="1">IFERROR(__xludf.DUMMYFUNCTION("""COMPUTED_VALUE"""),"105668346431")</f>
        <v>105668346431</v>
      </c>
    </row>
    <row r="9694" spans="1:11" ht="12.45">
      <c r="A9694" s="2" t="str">
        <f ca="1">IFERROR(__xludf.DUMMYFUNCTION("""COMPUTED_VALUE"""),"105668346530")</f>
        <v>105668346530</v>
      </c>
      <c r="C9694" s="2" t="str">
        <v>0</v>
      </c>
      <c r="F9694" s="2" t="str">
        <v>0</v>
      </c>
      <c r="I9694" s="3" t="str">
        <f ca="1">IFERROR(__xludf.DUMMYFUNCTION("""COMPUTED_VALUE"""),"Lê Thị Lan Anh ")</f>
        <v xml:space="preserve">Lê Thị Lan Anh </v>
      </c>
      <c r="J9694" s="3" t="str">
        <f ca="1">IFERROR(__xludf.DUMMYFUNCTION("""COMPUTED_VALUE"""),"0974806137")</f>
        <v>0974806137</v>
      </c>
      <c r="K9694" s="2" t="str">
        <f ca="1">IFERROR(__xludf.DUMMYFUNCTION("""COMPUTED_VALUE"""),"105668346530")</f>
        <v>105668346530</v>
      </c>
    </row>
    <row r="9695" spans="1:11" ht="12.45">
      <c r="A9695" s="2" t="str">
        <f ca="1">IFERROR(__xludf.DUMMYFUNCTION("""COMPUTED_VALUE"""),"105668346685")</f>
        <v>105668346685</v>
      </c>
      <c r="C9695" s="2" t="str">
        <v>0</v>
      </c>
      <c r="F9695" s="2" t="str">
        <v>0</v>
      </c>
      <c r="I9695" s="3" t="str">
        <f ca="1">IFERROR(__xludf.DUMMYFUNCTION("""COMPUTED_VALUE"""),"Hoàng Trần Minh Tiến ")</f>
        <v xml:space="preserve">Hoàng Trần Minh Tiến </v>
      </c>
      <c r="J9695" s="3" t="str">
        <f ca="1">IFERROR(__xludf.DUMMYFUNCTION("""COMPUTED_VALUE"""),"0703386107")</f>
        <v>0703386107</v>
      </c>
      <c r="K9695" s="2" t="str">
        <f ca="1">IFERROR(__xludf.DUMMYFUNCTION("""COMPUTED_VALUE"""),"105668346685")</f>
        <v>105668346685</v>
      </c>
    </row>
    <row r="9696" spans="1:11" ht="12.45">
      <c r="A9696" s="2" t="str">
        <f ca="1">IFERROR(__xludf.DUMMYFUNCTION("""COMPUTED_VALUE"""),"105668346730")</f>
        <v>105668346730</v>
      </c>
      <c r="C9696" s="2" t="str">
        <v>0</v>
      </c>
      <c r="F9696" s="2" t="str">
        <v>0</v>
      </c>
      <c r="I9696" s="3" t="str">
        <f ca="1">IFERROR(__xludf.DUMMYFUNCTION("""COMPUTED_VALUE"""),"Đặng Bảo Hoài Thương")</f>
        <v>Đặng Bảo Hoài Thương</v>
      </c>
      <c r="J9696" s="3" t="str">
        <f ca="1">IFERROR(__xludf.DUMMYFUNCTION("""COMPUTED_VALUE"""),"0905108469")</f>
        <v>0905108469</v>
      </c>
      <c r="K9696" s="2" t="str">
        <f ca="1">IFERROR(__xludf.DUMMYFUNCTION("""COMPUTED_VALUE"""),"105668346730")</f>
        <v>105668346730</v>
      </c>
    </row>
    <row r="9697" spans="1:11" ht="12.45">
      <c r="A9697" s="2" t="str">
        <f ca="1">IFERROR(__xludf.DUMMYFUNCTION("""COMPUTED_VALUE"""),"105668346865")</f>
        <v>105668346865</v>
      </c>
      <c r="C9697" s="2" t="str">
        <v>0</v>
      </c>
      <c r="F9697" s="2" t="str">
        <v>0</v>
      </c>
      <c r="I9697" s="3" t="str">
        <f ca="1">IFERROR(__xludf.DUMMYFUNCTION("""COMPUTED_VALUE"""),"Nguyễn Quỳnh Anh")</f>
        <v>Nguyễn Quỳnh Anh</v>
      </c>
      <c r="J9697" s="3" t="str">
        <f ca="1">IFERROR(__xludf.DUMMYFUNCTION("""COMPUTED_VALUE"""),"0357250015")</f>
        <v>0357250015</v>
      </c>
      <c r="K9697" s="2" t="str">
        <f ca="1">IFERROR(__xludf.DUMMYFUNCTION("""COMPUTED_VALUE"""),"105668346865")</f>
        <v>105668346865</v>
      </c>
    </row>
    <row r="9698" spans="1:11" ht="12.45">
      <c r="A9698" s="2" t="str">
        <f ca="1">IFERROR(__xludf.DUMMYFUNCTION("""COMPUTED_VALUE"""),"105668346942")</f>
        <v>105668346942</v>
      </c>
      <c r="C9698" s="2" t="str">
        <v>0</v>
      </c>
      <c r="F9698" s="2" t="str">
        <v>0</v>
      </c>
      <c r="I9698" s="3" t="str">
        <f ca="1">IFERROR(__xludf.DUMMYFUNCTION("""COMPUTED_VALUE"""),"Ngô Quang Minh")</f>
        <v>Ngô Quang Minh</v>
      </c>
      <c r="J9698" s="3" t="str">
        <f ca="1">IFERROR(__xludf.DUMMYFUNCTION("""COMPUTED_VALUE"""),"0867097826")</f>
        <v>0867097826</v>
      </c>
      <c r="K9698" s="2" t="str">
        <f ca="1">IFERROR(__xludf.DUMMYFUNCTION("""COMPUTED_VALUE"""),"105668346942")</f>
        <v>105668346942</v>
      </c>
    </row>
    <row r="9699" spans="1:11" ht="12.45">
      <c r="A9699" s="2" t="str">
        <f ca="1">IFERROR(__xludf.DUMMYFUNCTION("""COMPUTED_VALUE"""),"105668347039")</f>
        <v>105668347039</v>
      </c>
      <c r="C9699" s="2" t="str">
        <v>0</v>
      </c>
      <c r="F9699" s="2" t="str">
        <v>0</v>
      </c>
      <c r="I9699" s="3" t="str">
        <f ca="1">IFERROR(__xludf.DUMMYFUNCTION("""COMPUTED_VALUE"""),"Vũ Ngọc Anh")</f>
        <v>Vũ Ngọc Anh</v>
      </c>
      <c r="J9699" s="3" t="str">
        <f ca="1">IFERROR(__xludf.DUMMYFUNCTION("""COMPUTED_VALUE"""),"0977218200")</f>
        <v>0977218200</v>
      </c>
      <c r="K9699" s="2" t="str">
        <f ca="1">IFERROR(__xludf.DUMMYFUNCTION("""COMPUTED_VALUE"""),"105668347039")</f>
        <v>105668347039</v>
      </c>
    </row>
    <row r="9700" spans="1:11" ht="12.45">
      <c r="A9700" s="2" t="str">
        <f ca="1">IFERROR(__xludf.DUMMYFUNCTION("""COMPUTED_VALUE"""),"105668347243")</f>
        <v>105668347243</v>
      </c>
      <c r="C9700" s="2" t="str">
        <v>0</v>
      </c>
      <c r="F9700" s="2" t="str">
        <v>0</v>
      </c>
      <c r="I9700" s="3" t="str">
        <f ca="1">IFERROR(__xludf.DUMMYFUNCTION("""COMPUTED_VALUE"""),"Ngọc Văn Quang")</f>
        <v>Ngọc Văn Quang</v>
      </c>
      <c r="J9700" s="3" t="str">
        <f ca="1">IFERROR(__xludf.DUMMYFUNCTION("""COMPUTED_VALUE"""),"0977973843")</f>
        <v>0977973843</v>
      </c>
      <c r="K9700" s="2" t="str">
        <f ca="1">IFERROR(__xludf.DUMMYFUNCTION("""COMPUTED_VALUE"""),"105668347243")</f>
        <v>105668347243</v>
      </c>
    </row>
    <row r="9701" spans="1:11" ht="12.45">
      <c r="A9701" s="2" t="str">
        <f ca="1">IFERROR(__xludf.DUMMYFUNCTION("""COMPUTED_VALUE"""),"105668347347")</f>
        <v>105668347347</v>
      </c>
      <c r="C9701" s="2" t="str">
        <v>0</v>
      </c>
      <c r="F9701" s="2" t="str">
        <v>0</v>
      </c>
      <c r="I9701" s="3" t="str">
        <f ca="1">IFERROR(__xludf.DUMMYFUNCTION("""COMPUTED_VALUE"""),"Nông Luân Thanh Nhã ")</f>
        <v xml:space="preserve">Nông Luân Thanh Nhã </v>
      </c>
      <c r="J9701" s="3" t="str">
        <f ca="1">IFERROR(__xludf.DUMMYFUNCTION("""COMPUTED_VALUE"""),"0369575206")</f>
        <v>0369575206</v>
      </c>
      <c r="K9701" s="2" t="str">
        <f ca="1">IFERROR(__xludf.DUMMYFUNCTION("""COMPUTED_VALUE"""),"105668347347")</f>
        <v>105668347347</v>
      </c>
    </row>
    <row r="9702" spans="1:11" ht="12.45">
      <c r="A9702" s="2"/>
      <c r="C9702" s="2" t="str">
        <v>0</v>
      </c>
      <c r="F9702" s="2" t="str">
        <v>0</v>
      </c>
      <c r="I9702" s="2" t="str">
        <f ca="1">IFERROR(__xludf.DUMMYFUNCTION("""COMPUTED_VALUE"""),"BÀN QUÝ THÀNH ")</f>
        <v xml:space="preserve">BÀN QUÝ THÀNH </v>
      </c>
      <c r="J9702" s="2" t="str">
        <f ca="1">IFERROR(__xludf.DUMMYFUNCTION("""COMPUTED_VALUE"""),"0397880631")</f>
        <v>0397880631</v>
      </c>
      <c r="K9702" s="2"/>
    </row>
    <row r="9703" spans="1:11" ht="12.45">
      <c r="A9703" s="2"/>
      <c r="C9703" s="2" t="str">
        <v>0</v>
      </c>
      <c r="F9703" s="2" t="str">
        <v>0</v>
      </c>
      <c r="I9703" s="2" t="str">
        <f ca="1">IFERROR(__xludf.DUMMYFUNCTION("""COMPUTED_VALUE"""),"Võ Nguyễn Kiều Trinh")</f>
        <v>Võ Nguyễn Kiều Trinh</v>
      </c>
      <c r="J9703" s="2" t="str">
        <f ca="1">IFERROR(__xludf.DUMMYFUNCTION("""COMPUTED_VALUE"""),"0846916466")</f>
        <v>0846916466</v>
      </c>
      <c r="K9703" s="2"/>
    </row>
    <row r="9704" spans="1:11" ht="12.45">
      <c r="A9704" s="2" t="str">
        <f ca="1">IFERROR(__xludf.DUMMYFUNCTION("""COMPUTED_VALUE"""),"105668347538")</f>
        <v>105668347538</v>
      </c>
      <c r="C9704" s="2" t="str">
        <v>0</v>
      </c>
      <c r="F9704" s="2" t="str">
        <v>0</v>
      </c>
      <c r="I9704" s="2" t="str">
        <f ca="1">IFERROR(__xludf.DUMMYFUNCTION("""COMPUTED_VALUE"""),"Hoàng Thu Hằng")</f>
        <v>Hoàng Thu Hằng</v>
      </c>
      <c r="J9704" s="2" t="str">
        <f ca="1">IFERROR(__xludf.DUMMYFUNCTION("""COMPUTED_VALUE"""),"0838014944")</f>
        <v>0838014944</v>
      </c>
      <c r="K9704" s="2" t="str">
        <f ca="1">IFERROR(__xludf.DUMMYFUNCTION("""COMPUTED_VALUE"""),"105668347538")</f>
        <v>105668347538</v>
      </c>
    </row>
    <row r="9705" spans="1:11" ht="12.45">
      <c r="A9705" s="2" t="str">
        <f ca="1">IFERROR(__xludf.DUMMYFUNCTION("""COMPUTED_VALUE"""),"105668347790")</f>
        <v>105668347790</v>
      </c>
      <c r="C9705" s="2" t="str">
        <v>0</v>
      </c>
      <c r="F9705" s="2" t="str">
        <v>0</v>
      </c>
      <c r="I9705" s="2" t="str">
        <f ca="1">IFERROR(__xludf.DUMMYFUNCTION("""COMPUTED_VALUE"""),"Nguyễn Thu Phương")</f>
        <v>Nguyễn Thu Phương</v>
      </c>
      <c r="J9705" s="2" t="str">
        <f ca="1">IFERROR(__xludf.DUMMYFUNCTION("""COMPUTED_VALUE"""),"0522032521")</f>
        <v>0522032521</v>
      </c>
      <c r="K9705" s="2" t="str">
        <f ca="1">IFERROR(__xludf.DUMMYFUNCTION("""COMPUTED_VALUE"""),"105668347790")</f>
        <v>105668347790</v>
      </c>
    </row>
    <row r="9706" spans="1:11" ht="12.45">
      <c r="A9706" s="2" t="str">
        <f ca="1">IFERROR(__xludf.DUMMYFUNCTION("""COMPUTED_VALUE"""),"105668347897")</f>
        <v>105668347897</v>
      </c>
      <c r="C9706" s="2" t="str">
        <v>0</v>
      </c>
      <c r="F9706" s="2" t="str">
        <v>0</v>
      </c>
      <c r="I9706" s="2" t="str">
        <f ca="1">IFERROR(__xludf.DUMMYFUNCTION("""COMPUTED_VALUE"""),"Lê Anh Thư ")</f>
        <v xml:space="preserve">Lê Anh Thư </v>
      </c>
      <c r="J9706" s="2" t="str">
        <f ca="1">IFERROR(__xludf.DUMMYFUNCTION("""COMPUTED_VALUE"""),"0379123094")</f>
        <v>0379123094</v>
      </c>
      <c r="K9706" s="2" t="str">
        <f ca="1">IFERROR(__xludf.DUMMYFUNCTION("""COMPUTED_VALUE"""),"105668347897")</f>
        <v>105668347897</v>
      </c>
    </row>
    <row r="9707" spans="1:11" ht="12.45">
      <c r="A9707" s="2" t="str">
        <f ca="1">IFERROR(__xludf.DUMMYFUNCTION("""COMPUTED_VALUE"""),"105668348122")</f>
        <v>105668348122</v>
      </c>
      <c r="C9707" s="2" t="str">
        <v>0</v>
      </c>
      <c r="F9707" s="2" t="str">
        <v>0</v>
      </c>
      <c r="I9707" s="2" t="str">
        <f ca="1">IFERROR(__xludf.DUMMYFUNCTION("""COMPUTED_VALUE"""),"Đinh Thị Ngọc Ánh ")</f>
        <v xml:space="preserve">Đinh Thị Ngọc Ánh </v>
      </c>
      <c r="J9707" s="2" t="str">
        <f ca="1">IFERROR(__xludf.DUMMYFUNCTION("""COMPUTED_VALUE"""),"0862447535")</f>
        <v>0862447535</v>
      </c>
      <c r="K9707" s="2" t="str">
        <f ca="1">IFERROR(__xludf.DUMMYFUNCTION("""COMPUTED_VALUE"""),"105668348122")</f>
        <v>105668348122</v>
      </c>
    </row>
    <row r="9708" spans="1:11" ht="12.45">
      <c r="A9708" s="2" t="str">
        <f ca="1">IFERROR(__xludf.DUMMYFUNCTION("""COMPUTED_VALUE"""),"105668348274")</f>
        <v>105668348274</v>
      </c>
      <c r="C9708" s="2" t="str">
        <v>0</v>
      </c>
      <c r="F9708" s="2" t="str">
        <v>0</v>
      </c>
      <c r="I9708" s="2" t="str">
        <f ca="1">IFERROR(__xludf.DUMMYFUNCTION("""COMPUTED_VALUE"""),"Trần Thị Kiều Yến ")</f>
        <v xml:space="preserve">Trần Thị Kiều Yến </v>
      </c>
      <c r="J9708" s="2" t="str">
        <f ca="1">IFERROR(__xludf.DUMMYFUNCTION("""COMPUTED_VALUE"""),"0916964540")</f>
        <v>0916964540</v>
      </c>
      <c r="K9708" s="2" t="str">
        <f ca="1">IFERROR(__xludf.DUMMYFUNCTION("""COMPUTED_VALUE"""),"105668348274")</f>
        <v>105668348274</v>
      </c>
    </row>
    <row r="9709" spans="1:11" ht="12.45">
      <c r="A9709" s="2" t="str">
        <f ca="1">IFERROR(__xludf.DUMMYFUNCTION("""COMPUTED_VALUE"""),"105668348334")</f>
        <v>105668348334</v>
      </c>
      <c r="C9709" s="2" t="str">
        <v>0</v>
      </c>
      <c r="F9709" s="2" t="str">
        <v>0</v>
      </c>
      <c r="I9709" s="2" t="str">
        <f ca="1">IFERROR(__xludf.DUMMYFUNCTION("""COMPUTED_VALUE"""),"Trần Thị Nhật Mai")</f>
        <v>Trần Thị Nhật Mai</v>
      </c>
      <c r="J9709" s="2" t="str">
        <f ca="1">IFERROR(__xludf.DUMMYFUNCTION("""COMPUTED_VALUE"""),"0912359174")</f>
        <v>0912359174</v>
      </c>
      <c r="K9709" s="2" t="str">
        <f ca="1">IFERROR(__xludf.DUMMYFUNCTION("""COMPUTED_VALUE"""),"105668348334")</f>
        <v>105668348334</v>
      </c>
    </row>
    <row r="9710" spans="1:11" ht="12.45">
      <c r="A9710" s="2" t="str">
        <f ca="1">IFERROR(__xludf.DUMMYFUNCTION("""COMPUTED_VALUE"""),"105668348571")</f>
        <v>105668348571</v>
      </c>
      <c r="C9710" s="2" t="str">
        <v>0</v>
      </c>
      <c r="F9710" s="2" t="str">
        <v>0</v>
      </c>
      <c r="I9710" s="2" t="str">
        <f ca="1">IFERROR(__xludf.DUMMYFUNCTION("""COMPUTED_VALUE"""),"Ung Duy Bảo")</f>
        <v>Ung Duy Bảo</v>
      </c>
      <c r="J9710" s="2" t="str">
        <f ca="1">IFERROR(__xludf.DUMMYFUNCTION("""COMPUTED_VALUE"""),"0911184249")</f>
        <v>0911184249</v>
      </c>
      <c r="K9710" s="2" t="str">
        <f ca="1">IFERROR(__xludf.DUMMYFUNCTION("""COMPUTED_VALUE"""),"105668348571")</f>
        <v>105668348571</v>
      </c>
    </row>
    <row r="9711" spans="1:11" ht="12.45">
      <c r="A9711" s="2" t="str">
        <f ca="1">IFERROR(__xludf.DUMMYFUNCTION("""COMPUTED_VALUE"""),"105668348681")</f>
        <v>105668348681</v>
      </c>
      <c r="C9711" s="2" t="str">
        <v>0</v>
      </c>
      <c r="F9711" s="2" t="str">
        <v>0</v>
      </c>
      <c r="I9711" s="2" t="str">
        <f ca="1">IFERROR(__xludf.DUMMYFUNCTION("""COMPUTED_VALUE"""),"Nguyễn Vũ Quỳnh Anh")</f>
        <v>Nguyễn Vũ Quỳnh Anh</v>
      </c>
      <c r="J9711" s="2" t="str">
        <f ca="1">IFERROR(__xludf.DUMMYFUNCTION("""COMPUTED_VALUE"""),"0916260607")</f>
        <v>0916260607</v>
      </c>
      <c r="K9711" s="2" t="str">
        <f ca="1">IFERROR(__xludf.DUMMYFUNCTION("""COMPUTED_VALUE"""),"105668348681")</f>
        <v>105668348681</v>
      </c>
    </row>
    <row r="9712" spans="1:11" ht="12.45">
      <c r="A9712" s="2" t="str">
        <f ca="1">IFERROR(__xludf.DUMMYFUNCTION("""COMPUTED_VALUE"""),"105668348799")</f>
        <v>105668348799</v>
      </c>
      <c r="C9712" s="2" t="str">
        <v>0</v>
      </c>
      <c r="F9712" s="2" t="str">
        <v>0</v>
      </c>
      <c r="I9712" s="2" t="str">
        <f ca="1">IFERROR(__xludf.DUMMYFUNCTION("""COMPUTED_VALUE"""),"Nguyễn Quỳnh Anh ")</f>
        <v xml:space="preserve">Nguyễn Quỳnh Anh </v>
      </c>
      <c r="J9712" s="2" t="str">
        <f ca="1">IFERROR(__xludf.DUMMYFUNCTION("""COMPUTED_VALUE"""),"0386564303")</f>
        <v>0386564303</v>
      </c>
      <c r="K9712" s="2" t="str">
        <f ca="1">IFERROR(__xludf.DUMMYFUNCTION("""COMPUTED_VALUE"""),"105668348799")</f>
        <v>105668348799</v>
      </c>
    </row>
    <row r="9713" spans="1:11" ht="12.45">
      <c r="A9713" s="2" t="str">
        <f ca="1">IFERROR(__xludf.DUMMYFUNCTION("""COMPUTED_VALUE"""),"105668348839")</f>
        <v>105668348839</v>
      </c>
      <c r="C9713" s="2" t="str">
        <v>0</v>
      </c>
      <c r="F9713" s="2" t="str">
        <v>0</v>
      </c>
      <c r="I9713" s="2" t="str">
        <f ca="1">IFERROR(__xludf.DUMMYFUNCTION("""COMPUTED_VALUE"""),"Đoàn Hương Lan ")</f>
        <v xml:space="preserve">Đoàn Hương Lan </v>
      </c>
      <c r="J9713" s="2" t="str">
        <f ca="1">IFERROR(__xludf.DUMMYFUNCTION("""COMPUTED_VALUE"""),"0904288995")</f>
        <v>0904288995</v>
      </c>
      <c r="K9713" s="2" t="str">
        <f ca="1">IFERROR(__xludf.DUMMYFUNCTION("""COMPUTED_VALUE"""),"105668348839")</f>
        <v>105668348839</v>
      </c>
    </row>
    <row r="9714" spans="1:11" ht="12.45">
      <c r="A9714" s="2" t="str">
        <f ca="1">IFERROR(__xludf.DUMMYFUNCTION("""COMPUTED_VALUE"""),"105668349030")</f>
        <v>105668349030</v>
      </c>
      <c r="C9714" s="2" t="str">
        <v>0</v>
      </c>
      <c r="F9714" s="2" t="str">
        <v>0</v>
      </c>
      <c r="I9714" s="2" t="str">
        <f ca="1">IFERROR(__xludf.DUMMYFUNCTION("""COMPUTED_VALUE"""),"Phạm Hoàng Tuệ Minh")</f>
        <v>Phạm Hoàng Tuệ Minh</v>
      </c>
      <c r="J9714" s="2" t="str">
        <f ca="1">IFERROR(__xludf.DUMMYFUNCTION("""COMPUTED_VALUE"""),"0915181866")</f>
        <v>0915181866</v>
      </c>
      <c r="K9714" s="2" t="str">
        <f ca="1">IFERROR(__xludf.DUMMYFUNCTION("""COMPUTED_VALUE"""),"105668349030")</f>
        <v>105668349030</v>
      </c>
    </row>
    <row r="9715" spans="1:11" ht="12.45">
      <c r="A9715" s="2" t="str">
        <f ca="1">IFERROR(__xludf.DUMMYFUNCTION("""COMPUTED_VALUE"""),"105668349288")</f>
        <v>105668349288</v>
      </c>
      <c r="C9715" s="2" t="str">
        <v>0</v>
      </c>
      <c r="F9715" s="2" t="str">
        <v>0</v>
      </c>
      <c r="I9715" s="2" t="str">
        <f ca="1">IFERROR(__xludf.DUMMYFUNCTION("""COMPUTED_VALUE"""),"Lê Thị Khánh Hà ")</f>
        <v xml:space="preserve">Lê Thị Khánh Hà </v>
      </c>
      <c r="J9715" s="2" t="str">
        <f ca="1">IFERROR(__xludf.DUMMYFUNCTION("""COMPUTED_VALUE"""),"0869341773")</f>
        <v>0869341773</v>
      </c>
      <c r="K9715" s="2" t="str">
        <f ca="1">IFERROR(__xludf.DUMMYFUNCTION("""COMPUTED_VALUE"""),"105668349288")</f>
        <v>105668349288</v>
      </c>
    </row>
    <row r="9716" spans="1:11" ht="12.45">
      <c r="A9716" s="2" t="str">
        <f ca="1">IFERROR(__xludf.DUMMYFUNCTION("""COMPUTED_VALUE"""),"105668349459")</f>
        <v>105668349459</v>
      </c>
      <c r="C9716" s="2" t="str">
        <v>0</v>
      </c>
      <c r="F9716" s="2" t="str">
        <v>0</v>
      </c>
      <c r="I9716" s="2" t="str">
        <f ca="1">IFERROR(__xludf.DUMMYFUNCTION("""COMPUTED_VALUE"""),"Trần Thị Yến Thu")</f>
        <v>Trần Thị Yến Thu</v>
      </c>
      <c r="J9716" s="2" t="str">
        <f ca="1">IFERROR(__xludf.DUMMYFUNCTION("""COMPUTED_VALUE"""),"0332416672")</f>
        <v>0332416672</v>
      </c>
      <c r="K9716" s="2" t="str">
        <f ca="1">IFERROR(__xludf.DUMMYFUNCTION("""COMPUTED_VALUE"""),"105668349459")</f>
        <v>105668349459</v>
      </c>
    </row>
    <row r="9717" spans="1:11" ht="12.45">
      <c r="A9717" s="2" t="str">
        <f ca="1">IFERROR(__xludf.DUMMYFUNCTION("""COMPUTED_VALUE"""),"105668349637")</f>
        <v>105668349637</v>
      </c>
      <c r="C9717" s="2" t="str">
        <v>0</v>
      </c>
      <c r="F9717" s="2" t="str">
        <v>0</v>
      </c>
      <c r="I9717" s="2" t="str">
        <f ca="1">IFERROR(__xludf.DUMMYFUNCTION("""COMPUTED_VALUE"""),"Lê Ngọc Bảo Ngân")</f>
        <v>Lê Ngọc Bảo Ngân</v>
      </c>
      <c r="J9717" s="2" t="str">
        <f ca="1">IFERROR(__xludf.DUMMYFUNCTION("""COMPUTED_VALUE"""),"0886869902")</f>
        <v>0886869902</v>
      </c>
      <c r="K9717" s="2" t="str">
        <f ca="1">IFERROR(__xludf.DUMMYFUNCTION("""COMPUTED_VALUE"""),"105668349637")</f>
        <v>105668349637</v>
      </c>
    </row>
    <row r="9718" spans="1:11" ht="12.45">
      <c r="A9718" s="2" t="str">
        <f ca="1">IFERROR(__xludf.DUMMYFUNCTION("""COMPUTED_VALUE"""),"105668349719")</f>
        <v>105668349719</v>
      </c>
      <c r="C9718" s="2" t="str">
        <v>0</v>
      </c>
      <c r="F9718" s="2" t="str">
        <v>0</v>
      </c>
      <c r="I9718" s="2" t="str">
        <f ca="1">IFERROR(__xludf.DUMMYFUNCTION("""COMPUTED_VALUE"""),"Nguyễn Lê Hoài Thương ")</f>
        <v xml:space="preserve">Nguyễn Lê Hoài Thương </v>
      </c>
      <c r="J9718" s="2" t="str">
        <f ca="1">IFERROR(__xludf.DUMMYFUNCTION("""COMPUTED_VALUE"""),"0795850769")</f>
        <v>0795850769</v>
      </c>
      <c r="K9718" s="2" t="str">
        <f ca="1">IFERROR(__xludf.DUMMYFUNCTION("""COMPUTED_VALUE"""),"105668349719")</f>
        <v>105668349719</v>
      </c>
    </row>
    <row r="9719" spans="1:11" ht="12.45">
      <c r="A9719" s="2" t="str">
        <f ca="1">IFERROR(__xludf.DUMMYFUNCTION("""COMPUTED_VALUE"""),"105668349935")</f>
        <v>105668349935</v>
      </c>
      <c r="C9719" s="2" t="str">
        <v>0</v>
      </c>
      <c r="F9719" s="2" t="str">
        <v>0</v>
      </c>
      <c r="I9719" s="2" t="str">
        <f ca="1">IFERROR(__xludf.DUMMYFUNCTION("""COMPUTED_VALUE"""),"Nguyễn việt anh")</f>
        <v>Nguyễn việt anh</v>
      </c>
      <c r="J9719" s="2" t="str">
        <f ca="1">IFERROR(__xludf.DUMMYFUNCTION("""COMPUTED_VALUE"""),"0366985396")</f>
        <v>0366985396</v>
      </c>
      <c r="K9719" s="2" t="str">
        <f ca="1">IFERROR(__xludf.DUMMYFUNCTION("""COMPUTED_VALUE"""),"105668349935")</f>
        <v>105668349935</v>
      </c>
    </row>
    <row r="9720" spans="1:11" ht="12.45">
      <c r="A9720" s="2" t="str">
        <f ca="1">IFERROR(__xludf.DUMMYFUNCTION("""COMPUTED_VALUE"""),"105668350168")</f>
        <v>105668350168</v>
      </c>
      <c r="C9720" s="2" t="str">
        <v>0</v>
      </c>
      <c r="F9720" s="2" t="str">
        <v>0</v>
      </c>
      <c r="I9720" s="2" t="str">
        <f ca="1">IFERROR(__xludf.DUMMYFUNCTION("""COMPUTED_VALUE"""),"Tào Thị Lệ Quyên")</f>
        <v>Tào Thị Lệ Quyên</v>
      </c>
      <c r="J9720" s="2" t="str">
        <f ca="1">IFERROR(__xludf.DUMMYFUNCTION("""COMPUTED_VALUE"""),"0385750288")</f>
        <v>0385750288</v>
      </c>
      <c r="K9720" s="2" t="str">
        <f ca="1">IFERROR(__xludf.DUMMYFUNCTION("""COMPUTED_VALUE"""),"105668350168")</f>
        <v>105668350168</v>
      </c>
    </row>
    <row r="9721" spans="1:11" ht="12.45">
      <c r="A9721" s="2" t="str">
        <f ca="1">IFERROR(__xludf.DUMMYFUNCTION("""COMPUTED_VALUE"""),"105668350398")</f>
        <v>105668350398</v>
      </c>
      <c r="C9721" s="2" t="str">
        <v>0</v>
      </c>
      <c r="F9721" s="2" t="str">
        <v>0</v>
      </c>
      <c r="I9721" s="2" t="str">
        <f ca="1">IFERROR(__xludf.DUMMYFUNCTION("""COMPUTED_VALUE"""),"Phạm Thị Thu Hiền")</f>
        <v>Phạm Thị Thu Hiền</v>
      </c>
      <c r="J9721" s="2" t="str">
        <f ca="1">IFERROR(__xludf.DUMMYFUNCTION("""COMPUTED_VALUE"""),"0869699127")</f>
        <v>0869699127</v>
      </c>
      <c r="K9721" s="2" t="str">
        <f ca="1">IFERROR(__xludf.DUMMYFUNCTION("""COMPUTED_VALUE"""),"105668350398")</f>
        <v>105668350398</v>
      </c>
    </row>
    <row r="9722" spans="1:11" ht="12.45">
      <c r="A9722" s="2" t="str">
        <f ca="1">IFERROR(__xludf.DUMMYFUNCTION("""COMPUTED_VALUE"""),"105668350440")</f>
        <v>105668350440</v>
      </c>
      <c r="C9722" s="2" t="str">
        <v>0</v>
      </c>
      <c r="F9722" s="2" t="str">
        <v>0</v>
      </c>
      <c r="I9722" s="2" t="str">
        <f ca="1">IFERROR(__xludf.DUMMYFUNCTION("""COMPUTED_VALUE"""),"Nguyễn Nguyễn Tại Mĩ ")</f>
        <v xml:space="preserve">Nguyễn Nguyễn Tại Mĩ </v>
      </c>
      <c r="J9722" s="2" t="str">
        <f ca="1">IFERROR(__xludf.DUMMYFUNCTION("""COMPUTED_VALUE"""),"0329991060")</f>
        <v>0329991060</v>
      </c>
      <c r="K9722" s="2" t="str">
        <f ca="1">IFERROR(__xludf.DUMMYFUNCTION("""COMPUTED_VALUE"""),"105668350440")</f>
        <v>105668350440</v>
      </c>
    </row>
    <row r="9723" spans="1:11" ht="12.45">
      <c r="A9723" s="2" t="str">
        <f ca="1">IFERROR(__xludf.DUMMYFUNCTION("""COMPUTED_VALUE"""),"105668350522")</f>
        <v>105668350522</v>
      </c>
      <c r="C9723" s="2" t="str">
        <v>0</v>
      </c>
      <c r="F9723" s="2" t="str">
        <v>0</v>
      </c>
      <c r="I9723" s="2" t="str">
        <f ca="1">IFERROR(__xludf.DUMMYFUNCTION("""COMPUTED_VALUE"""),"Nguyễn Thị Thương ")</f>
        <v xml:space="preserve">Nguyễn Thị Thương </v>
      </c>
      <c r="J9723" s="2" t="str">
        <f ca="1">IFERROR(__xludf.DUMMYFUNCTION("""COMPUTED_VALUE"""),"0966915358")</f>
        <v>0966915358</v>
      </c>
      <c r="K9723" s="2" t="str">
        <f ca="1">IFERROR(__xludf.DUMMYFUNCTION("""COMPUTED_VALUE"""),"105668350522")</f>
        <v>105668350522</v>
      </c>
    </row>
    <row r="9724" spans="1:11" ht="12.45">
      <c r="A9724" s="2" t="str">
        <f ca="1">IFERROR(__xludf.DUMMYFUNCTION("""COMPUTED_VALUE"""),"105668350622")</f>
        <v>105668350622</v>
      </c>
      <c r="C9724" s="2" t="str">
        <v>0</v>
      </c>
      <c r="F9724" s="2" t="str">
        <v>0</v>
      </c>
      <c r="I9724" s="2" t="str">
        <f ca="1">IFERROR(__xludf.DUMMYFUNCTION("""COMPUTED_VALUE"""),"Hà Quỳnh Trang")</f>
        <v>Hà Quỳnh Trang</v>
      </c>
      <c r="J9724" s="2" t="str">
        <f ca="1">IFERROR(__xludf.DUMMYFUNCTION("""COMPUTED_VALUE"""),"0342015396")</f>
        <v>0342015396</v>
      </c>
      <c r="K9724" s="2" t="str">
        <f ca="1">IFERROR(__xludf.DUMMYFUNCTION("""COMPUTED_VALUE"""),"105668350622")</f>
        <v>105668350622</v>
      </c>
    </row>
    <row r="9725" spans="1:11" ht="12.45">
      <c r="A9725" s="2" t="str">
        <f ca="1">IFERROR(__xludf.DUMMYFUNCTION("""COMPUTED_VALUE"""),"105668350788")</f>
        <v>105668350788</v>
      </c>
      <c r="C9725" s="2" t="str">
        <v>0</v>
      </c>
      <c r="F9725" s="2" t="str">
        <v>0</v>
      </c>
      <c r="I9725" s="2" t="str">
        <f ca="1">IFERROR(__xludf.DUMMYFUNCTION("""COMPUTED_VALUE"""),"Bùi Thị Khánh Linh ")</f>
        <v xml:space="preserve">Bùi Thị Khánh Linh </v>
      </c>
      <c r="J9725" s="2" t="str">
        <f ca="1">IFERROR(__xludf.DUMMYFUNCTION("""COMPUTED_VALUE"""),"0706004370")</f>
        <v>0706004370</v>
      </c>
      <c r="K9725" s="2" t="str">
        <f ca="1">IFERROR(__xludf.DUMMYFUNCTION("""COMPUTED_VALUE"""),"105668350788")</f>
        <v>105668350788</v>
      </c>
    </row>
    <row r="9726" spans="1:11" ht="12.45">
      <c r="A9726" s="2" t="str">
        <f ca="1">IFERROR(__xludf.DUMMYFUNCTION("""COMPUTED_VALUE"""),"105668350891")</f>
        <v>105668350891</v>
      </c>
      <c r="C9726" s="2" t="str">
        <v>0</v>
      </c>
      <c r="F9726" s="2" t="str">
        <v>0</v>
      </c>
      <c r="I9726" s="2" t="str">
        <f ca="1">IFERROR(__xludf.DUMMYFUNCTION("""COMPUTED_VALUE"""),"Nguyễn Phương Linh")</f>
        <v>Nguyễn Phương Linh</v>
      </c>
      <c r="J9726" s="2" t="str">
        <f ca="1">IFERROR(__xludf.DUMMYFUNCTION("""COMPUTED_VALUE"""),"0383313463")</f>
        <v>0383313463</v>
      </c>
      <c r="K9726" s="2" t="str">
        <f ca="1">IFERROR(__xludf.DUMMYFUNCTION("""COMPUTED_VALUE"""),"105668350891")</f>
        <v>105668350891</v>
      </c>
    </row>
    <row r="9727" spans="1:11" ht="12.45">
      <c r="A9727" s="2" t="str">
        <f ca="1">IFERROR(__xludf.DUMMYFUNCTION("""COMPUTED_VALUE"""),"105668351060")</f>
        <v>105668351060</v>
      </c>
      <c r="C9727" s="2" t="str">
        <v>0</v>
      </c>
      <c r="F9727" s="2" t="str">
        <v>0</v>
      </c>
      <c r="I9727" s="2" t="str">
        <f ca="1">IFERROR(__xludf.DUMMYFUNCTION("""COMPUTED_VALUE"""),"Nguyễn Thái Uyên")</f>
        <v>Nguyễn Thái Uyên</v>
      </c>
      <c r="J9727" s="2" t="str">
        <f ca="1">IFERROR(__xludf.DUMMYFUNCTION("""COMPUTED_VALUE"""),"0896489964")</f>
        <v>0896489964</v>
      </c>
      <c r="K9727" s="2" t="str">
        <f ca="1">IFERROR(__xludf.DUMMYFUNCTION("""COMPUTED_VALUE"""),"105668351060")</f>
        <v>105668351060</v>
      </c>
    </row>
    <row r="9728" spans="1:11" ht="12.45">
      <c r="A9728" s="2" t="str">
        <f ca="1">IFERROR(__xludf.DUMMYFUNCTION("""COMPUTED_VALUE"""),"105668351266")</f>
        <v>105668351266</v>
      </c>
      <c r="C9728" s="2" t="str">
        <v>0</v>
      </c>
      <c r="F9728" s="2" t="str">
        <v>0</v>
      </c>
      <c r="I9728" s="2" t="str">
        <f ca="1">IFERROR(__xludf.DUMMYFUNCTION("""COMPUTED_VALUE"""),"Nguyễn Minh Tuân")</f>
        <v>Nguyễn Minh Tuân</v>
      </c>
      <c r="J9728" s="2" t="str">
        <f ca="1">IFERROR(__xludf.DUMMYFUNCTION("""COMPUTED_VALUE"""),"0355320540")</f>
        <v>0355320540</v>
      </c>
      <c r="K9728" s="2" t="str">
        <f ca="1">IFERROR(__xludf.DUMMYFUNCTION("""COMPUTED_VALUE"""),"105668351266")</f>
        <v>105668351266</v>
      </c>
    </row>
    <row r="9729" spans="1:11" ht="12.45">
      <c r="A9729" s="2" t="str">
        <f ca="1">IFERROR(__xludf.DUMMYFUNCTION("""COMPUTED_VALUE"""),"105668351442")</f>
        <v>105668351442</v>
      </c>
      <c r="C9729" s="2" t="str">
        <v>0</v>
      </c>
      <c r="F9729" s="2" t="str">
        <v>0</v>
      </c>
      <c r="I9729" s="2" t="str">
        <f ca="1">IFERROR(__xludf.DUMMYFUNCTION("""COMPUTED_VALUE"""),"Lò Thị Doan ")</f>
        <v xml:space="preserve">Lò Thị Doan </v>
      </c>
      <c r="J9729" s="2" t="str">
        <f ca="1">IFERROR(__xludf.DUMMYFUNCTION("""COMPUTED_VALUE"""),"0364747454")</f>
        <v>0364747454</v>
      </c>
      <c r="K9729" s="2" t="str">
        <f ca="1">IFERROR(__xludf.DUMMYFUNCTION("""COMPUTED_VALUE"""),"105668351442")</f>
        <v>105668351442</v>
      </c>
    </row>
    <row r="9730" spans="1:11" ht="12.45">
      <c r="A9730" s="2" t="str">
        <f ca="1">IFERROR(__xludf.DUMMYFUNCTION("""COMPUTED_VALUE"""),"105668351717")</f>
        <v>105668351717</v>
      </c>
      <c r="C9730" s="2" t="str">
        <v>0</v>
      </c>
      <c r="F9730" s="2" t="str">
        <v>0</v>
      </c>
      <c r="I9730" s="2" t="str">
        <f ca="1">IFERROR(__xludf.DUMMYFUNCTION("""COMPUTED_VALUE"""),"Nguyễn Ngọc Huyền Trân ")</f>
        <v xml:space="preserve">Nguyễn Ngọc Huyền Trân </v>
      </c>
      <c r="J9730" s="2" t="str">
        <f ca="1">IFERROR(__xludf.DUMMYFUNCTION("""COMPUTED_VALUE"""),"0985794133")</f>
        <v>0985794133</v>
      </c>
      <c r="K9730" s="2" t="str">
        <f ca="1">IFERROR(__xludf.DUMMYFUNCTION("""COMPUTED_VALUE"""),"105668351717")</f>
        <v>105668351717</v>
      </c>
    </row>
    <row r="9731" spans="1:11" ht="12.45">
      <c r="A9731" s="2" t="str">
        <f ca="1">IFERROR(__xludf.DUMMYFUNCTION("""COMPUTED_VALUE"""),"105668352012")</f>
        <v>105668352012</v>
      </c>
      <c r="C9731" s="2" t="str">
        <v>0</v>
      </c>
      <c r="F9731" s="2" t="str">
        <v>0</v>
      </c>
      <c r="I9731" s="2" t="str">
        <f ca="1">IFERROR(__xludf.DUMMYFUNCTION("""COMPUTED_VALUE"""),"Trần Thị Tâm Liên")</f>
        <v>Trần Thị Tâm Liên</v>
      </c>
      <c r="J9731" s="2" t="str">
        <f ca="1">IFERROR(__xludf.DUMMYFUNCTION("""COMPUTED_VALUE"""),"0343164428")</f>
        <v>0343164428</v>
      </c>
      <c r="K9731" s="2" t="str">
        <f ca="1">IFERROR(__xludf.DUMMYFUNCTION("""COMPUTED_VALUE"""),"105668352012")</f>
        <v>105668352012</v>
      </c>
    </row>
    <row r="9732" spans="1:11" ht="12.45">
      <c r="A9732" s="2" t="str">
        <f ca="1">IFERROR(__xludf.DUMMYFUNCTION("""COMPUTED_VALUE"""),"105668352238")</f>
        <v>105668352238</v>
      </c>
      <c r="C9732" s="2" t="str">
        <v>0</v>
      </c>
      <c r="F9732" s="2" t="str">
        <v>0</v>
      </c>
      <c r="I9732" s="2" t="str">
        <f ca="1">IFERROR(__xludf.DUMMYFUNCTION("""COMPUTED_VALUE"""),"Mai thị thuỳ ngân")</f>
        <v>Mai thị thuỳ ngân</v>
      </c>
      <c r="J9732" s="2" t="str">
        <f ca="1">IFERROR(__xludf.DUMMYFUNCTION("""COMPUTED_VALUE"""),"0369605409")</f>
        <v>0369605409</v>
      </c>
      <c r="K9732" s="2" t="str">
        <f ca="1">IFERROR(__xludf.DUMMYFUNCTION("""COMPUTED_VALUE"""),"105668352238")</f>
        <v>105668352238</v>
      </c>
    </row>
    <row r="9733" spans="1:11" ht="12.45">
      <c r="A9733" s="2" t="str">
        <f ca="1">IFERROR(__xludf.DUMMYFUNCTION("""COMPUTED_VALUE"""),"105668352487")</f>
        <v>105668352487</v>
      </c>
      <c r="C9733" s="2" t="str">
        <v>0</v>
      </c>
      <c r="F9733" s="2" t="str">
        <v>0</v>
      </c>
      <c r="I9733" s="2" t="str">
        <f ca="1">IFERROR(__xludf.DUMMYFUNCTION("""COMPUTED_VALUE"""),"trần tuấn anh ")</f>
        <v xml:space="preserve">trần tuấn anh </v>
      </c>
      <c r="J9733" s="2" t="str">
        <f ca="1">IFERROR(__xludf.DUMMYFUNCTION("""COMPUTED_VALUE"""),"0369842202")</f>
        <v>0369842202</v>
      </c>
      <c r="K9733" s="2" t="str">
        <f ca="1">IFERROR(__xludf.DUMMYFUNCTION("""COMPUTED_VALUE"""),"105668352487")</f>
        <v>105668352487</v>
      </c>
    </row>
    <row r="9734" spans="1:11" ht="12.45">
      <c r="A9734" s="2" t="str">
        <f ca="1">IFERROR(__xludf.DUMMYFUNCTION("""COMPUTED_VALUE"""),"105668352825")</f>
        <v>105668352825</v>
      </c>
      <c r="C9734" s="2" t="str">
        <v>0</v>
      </c>
      <c r="F9734" s="2" t="str">
        <v>0</v>
      </c>
      <c r="I9734" s="2" t="str">
        <f ca="1">IFERROR(__xludf.DUMMYFUNCTION("""COMPUTED_VALUE"""),"Phạm thị ánh hiếu")</f>
        <v>Phạm thị ánh hiếu</v>
      </c>
      <c r="J9734" s="2" t="str">
        <f ca="1">IFERROR(__xludf.DUMMYFUNCTION("""COMPUTED_VALUE"""),"0396739970")</f>
        <v>0396739970</v>
      </c>
      <c r="K9734" s="2" t="str">
        <f ca="1">IFERROR(__xludf.DUMMYFUNCTION("""COMPUTED_VALUE"""),"105668352825")</f>
        <v>105668352825</v>
      </c>
    </row>
    <row r="9735" spans="1:11" ht="12.45">
      <c r="A9735" s="2" t="str">
        <f ca="1">IFERROR(__xludf.DUMMYFUNCTION("""COMPUTED_VALUE"""),"105668353088")</f>
        <v>105668353088</v>
      </c>
      <c r="C9735" s="2" t="str">
        <v>0</v>
      </c>
      <c r="F9735" s="2" t="str">
        <v>0</v>
      </c>
      <c r="I9735" s="2" t="str">
        <f ca="1">IFERROR(__xludf.DUMMYFUNCTION("""COMPUTED_VALUE"""),"Bùi Hải Thuỳ Anh ")</f>
        <v xml:space="preserve">Bùi Hải Thuỳ Anh </v>
      </c>
      <c r="J9735" s="2" t="str">
        <f ca="1">IFERROR(__xludf.DUMMYFUNCTION("""COMPUTED_VALUE"""),"0382230343")</f>
        <v>0382230343</v>
      </c>
      <c r="K9735" s="2" t="str">
        <f ca="1">IFERROR(__xludf.DUMMYFUNCTION("""COMPUTED_VALUE"""),"105668353088")</f>
        <v>105668353088</v>
      </c>
    </row>
    <row r="9736" spans="1:11" ht="12.45">
      <c r="A9736" s="2" t="str">
        <f ca="1">IFERROR(__xludf.DUMMYFUNCTION("""COMPUTED_VALUE"""),"105668353358")</f>
        <v>105668353358</v>
      </c>
      <c r="C9736" s="2" t="str">
        <v>0</v>
      </c>
      <c r="F9736" s="2" t="str">
        <v>0</v>
      </c>
      <c r="I9736" s="2" t="str">
        <f ca="1">IFERROR(__xludf.DUMMYFUNCTION("""COMPUTED_VALUE"""),"Trần Mai Yến Nhi ")</f>
        <v xml:space="preserve">Trần Mai Yến Nhi </v>
      </c>
      <c r="J9736" s="2" t="str">
        <f ca="1">IFERROR(__xludf.DUMMYFUNCTION("""COMPUTED_VALUE"""),"0984800910")</f>
        <v>0984800910</v>
      </c>
      <c r="K9736" s="2" t="str">
        <f ca="1">IFERROR(__xludf.DUMMYFUNCTION("""COMPUTED_VALUE"""),"105668353358")</f>
        <v>105668353358</v>
      </c>
    </row>
    <row r="9737" spans="1:11" ht="12.45">
      <c r="A9737" s="2" t="str">
        <f ca="1">IFERROR(__xludf.DUMMYFUNCTION("""COMPUTED_VALUE"""),"105668353588")</f>
        <v>105668353588</v>
      </c>
      <c r="C9737" s="2" t="str">
        <v>0</v>
      </c>
      <c r="F9737" s="2" t="str">
        <v>0</v>
      </c>
      <c r="I9737" s="2" t="str">
        <f ca="1">IFERROR(__xludf.DUMMYFUNCTION("""COMPUTED_VALUE"""),"Nguyễn Huyền Linh")</f>
        <v>Nguyễn Huyền Linh</v>
      </c>
      <c r="J9737" s="2" t="str">
        <f ca="1">IFERROR(__xludf.DUMMYFUNCTION("""COMPUTED_VALUE"""),"0979980095")</f>
        <v>0979980095</v>
      </c>
      <c r="K9737" s="2" t="str">
        <f ca="1">IFERROR(__xludf.DUMMYFUNCTION("""COMPUTED_VALUE"""),"105668353588")</f>
        <v>105668353588</v>
      </c>
    </row>
    <row r="9738" spans="1:11" ht="12.45">
      <c r="A9738" s="2" t="str">
        <f ca="1">IFERROR(__xludf.DUMMYFUNCTION("""COMPUTED_VALUE"""),"105776424095")</f>
        <v>105776424095</v>
      </c>
      <c r="C9738" s="2" t="str">
        <v>0</v>
      </c>
      <c r="F9738" s="2" t="str">
        <v>0</v>
      </c>
      <c r="I9738" s="2" t="str">
        <f ca="1">IFERROR(__xludf.DUMMYFUNCTION("""COMPUTED_VALUE"""),"Nguyễn An Thư")</f>
        <v>Nguyễn An Thư</v>
      </c>
      <c r="J9738" s="2" t="str">
        <f ca="1">IFERROR(__xludf.DUMMYFUNCTION("""COMPUTED_VALUE"""),"0343423542")</f>
        <v>0343423542</v>
      </c>
      <c r="K9738" s="2" t="str">
        <f ca="1">IFERROR(__xludf.DUMMYFUNCTION("""COMPUTED_VALUE"""),"105776424095")</f>
        <v>105776424095</v>
      </c>
    </row>
    <row r="9739" spans="1:11" ht="12.45">
      <c r="A9739" s="2" t="str">
        <f ca="1">IFERROR(__xludf.DUMMYFUNCTION("""COMPUTED_VALUE"""),"105776424159")</f>
        <v>105776424159</v>
      </c>
      <c r="C9739" s="2" t="str">
        <v>0</v>
      </c>
      <c r="F9739" s="2" t="str">
        <v>0</v>
      </c>
      <c r="I9739" s="2" t="str">
        <f ca="1">IFERROR(__xludf.DUMMYFUNCTION("""COMPUTED_VALUE"""),"Vũ Huyền Trang ")</f>
        <v xml:space="preserve">Vũ Huyền Trang </v>
      </c>
      <c r="J9739" s="2" t="str">
        <f ca="1">IFERROR(__xludf.DUMMYFUNCTION("""COMPUTED_VALUE"""),"0985419806")</f>
        <v>0985419806</v>
      </c>
      <c r="K9739" s="2" t="str">
        <f ca="1">IFERROR(__xludf.DUMMYFUNCTION("""COMPUTED_VALUE"""),"105776424159")</f>
        <v>105776424159</v>
      </c>
    </row>
    <row r="9740" spans="1:11" ht="12.45">
      <c r="A9740" s="2" t="str">
        <f ca="1">IFERROR(__xludf.DUMMYFUNCTION("""COMPUTED_VALUE"""),"105776424236")</f>
        <v>105776424236</v>
      </c>
      <c r="C9740" s="2" t="str">
        <v>0</v>
      </c>
      <c r="F9740" s="2" t="str">
        <v>0</v>
      </c>
      <c r="I9740" s="2" t="str">
        <f ca="1">IFERROR(__xludf.DUMMYFUNCTION("""COMPUTED_VALUE"""),"Hà Ngọc Khánh")</f>
        <v>Hà Ngọc Khánh</v>
      </c>
      <c r="J9740" s="2" t="str">
        <f ca="1">IFERROR(__xludf.DUMMYFUNCTION("""COMPUTED_VALUE"""),"0913027731")</f>
        <v>0913027731</v>
      </c>
      <c r="K9740" s="2" t="str">
        <f ca="1">IFERROR(__xludf.DUMMYFUNCTION("""COMPUTED_VALUE"""),"105776424236")</f>
        <v>105776424236</v>
      </c>
    </row>
    <row r="9741" spans="1:11" ht="12.45">
      <c r="A9741" s="2" t="str">
        <f ca="1">IFERROR(__xludf.DUMMYFUNCTION("""COMPUTED_VALUE"""),"105776424374")</f>
        <v>105776424374</v>
      </c>
      <c r="C9741" s="2" t="str">
        <v>0</v>
      </c>
      <c r="F9741" s="2" t="str">
        <v>0</v>
      </c>
      <c r="I9741" s="2" t="str">
        <f ca="1">IFERROR(__xludf.DUMMYFUNCTION("""COMPUTED_VALUE"""),"Nguyễn Đoàn Cư Trâm")</f>
        <v>Nguyễn Đoàn Cư Trâm</v>
      </c>
      <c r="J9741" s="2" t="str">
        <f ca="1">IFERROR(__xludf.DUMMYFUNCTION("""COMPUTED_VALUE"""),"0865403451")</f>
        <v>0865403451</v>
      </c>
      <c r="K9741" s="2" t="str">
        <f ca="1">IFERROR(__xludf.DUMMYFUNCTION("""COMPUTED_VALUE"""),"105776424374")</f>
        <v>105776424374</v>
      </c>
    </row>
    <row r="9742" spans="1:11" ht="12.45">
      <c r="A9742" s="2" t="str">
        <f ca="1">IFERROR(__xludf.DUMMYFUNCTION("""COMPUTED_VALUE"""),"105776424439")</f>
        <v>105776424439</v>
      </c>
      <c r="C9742" s="2" t="str">
        <v>0</v>
      </c>
      <c r="F9742" s="2" t="str">
        <v>0</v>
      </c>
      <c r="I9742" s="2" t="str">
        <f ca="1">IFERROR(__xludf.DUMMYFUNCTION("""COMPUTED_VALUE"""),"Nguyễn Kỳ Vỹ")</f>
        <v>Nguyễn Kỳ Vỹ</v>
      </c>
      <c r="J9742" s="2" t="str">
        <f ca="1">IFERROR(__xludf.DUMMYFUNCTION("""COMPUTED_VALUE"""),"0338706705")</f>
        <v>0338706705</v>
      </c>
      <c r="K9742" s="2" t="str">
        <f ca="1">IFERROR(__xludf.DUMMYFUNCTION("""COMPUTED_VALUE"""),"105776424439")</f>
        <v>105776424439</v>
      </c>
    </row>
    <row r="9743" spans="1:11" ht="12.45">
      <c r="A9743" s="2" t="str">
        <f ca="1">IFERROR(__xludf.DUMMYFUNCTION("""COMPUTED_VALUE"""),"105776424515")</f>
        <v>105776424515</v>
      </c>
      <c r="C9743" s="2" t="str">
        <v>0</v>
      </c>
      <c r="F9743" s="2" t="str">
        <v>0</v>
      </c>
      <c r="I9743" s="2" t="str">
        <f ca="1">IFERROR(__xludf.DUMMYFUNCTION("""COMPUTED_VALUE"""),"Lê Ngọc Phương Vy")</f>
        <v>Lê Ngọc Phương Vy</v>
      </c>
      <c r="J9743" s="2" t="str">
        <f ca="1">IFERROR(__xludf.DUMMYFUNCTION("""COMPUTED_VALUE"""),"0925810318")</f>
        <v>0925810318</v>
      </c>
      <c r="K9743" s="2" t="str">
        <f ca="1">IFERROR(__xludf.DUMMYFUNCTION("""COMPUTED_VALUE"""),"105776424515")</f>
        <v>105776424515</v>
      </c>
    </row>
    <row r="9744" spans="1:11" ht="12.45">
      <c r="A9744" s="2" t="str">
        <f ca="1">IFERROR(__xludf.DUMMYFUNCTION("""COMPUTED_VALUE"""),"105776424679")</f>
        <v>105776424679</v>
      </c>
      <c r="C9744" s="2" t="str">
        <v>0</v>
      </c>
      <c r="F9744" s="2" t="str">
        <v>0</v>
      </c>
      <c r="I9744" s="2" t="str">
        <f ca="1">IFERROR(__xludf.DUMMYFUNCTION("""COMPUTED_VALUE"""),"Nguyễn Thu Trang ")</f>
        <v xml:space="preserve">Nguyễn Thu Trang </v>
      </c>
      <c r="J9744" s="2" t="str">
        <f ca="1">IFERROR(__xludf.DUMMYFUNCTION("""COMPUTED_VALUE"""),"0976529207")</f>
        <v>0976529207</v>
      </c>
      <c r="K9744" s="2" t="str">
        <f ca="1">IFERROR(__xludf.DUMMYFUNCTION("""COMPUTED_VALUE"""),"105776424679")</f>
        <v>105776424679</v>
      </c>
    </row>
    <row r="9745" spans="1:11" ht="12.45">
      <c r="A9745" s="2" t="str">
        <f ca="1">IFERROR(__xludf.DUMMYFUNCTION("""COMPUTED_VALUE"""),"105776424721")</f>
        <v>105776424721</v>
      </c>
      <c r="C9745" s="2" t="str">
        <v>0</v>
      </c>
      <c r="F9745" s="2" t="str">
        <v>0</v>
      </c>
      <c r="I9745" s="2" t="str">
        <f ca="1">IFERROR(__xludf.DUMMYFUNCTION("""COMPUTED_VALUE"""),"Bế Lâm Khởi")</f>
        <v>Bế Lâm Khởi</v>
      </c>
      <c r="J9745" s="2" t="str">
        <f ca="1">IFERROR(__xludf.DUMMYFUNCTION("""COMPUTED_VALUE"""),"0969943206")</f>
        <v>0969943206</v>
      </c>
      <c r="K9745" s="2" t="str">
        <f ca="1">IFERROR(__xludf.DUMMYFUNCTION("""COMPUTED_VALUE"""),"105776424721")</f>
        <v>105776424721</v>
      </c>
    </row>
    <row r="9746" spans="1:11" ht="12.45">
      <c r="A9746" s="2" t="str">
        <f ca="1">IFERROR(__xludf.DUMMYFUNCTION("""COMPUTED_VALUE"""),"105776424812")</f>
        <v>105776424812</v>
      </c>
      <c r="C9746" s="2" t="str">
        <v>0</v>
      </c>
      <c r="F9746" s="2" t="str">
        <v>0</v>
      </c>
      <c r="I9746" s="2" t="str">
        <f ca="1">IFERROR(__xludf.DUMMYFUNCTION("""COMPUTED_VALUE"""),"Nguyễn Phương Linh")</f>
        <v>Nguyễn Phương Linh</v>
      </c>
      <c r="J9746" s="2" t="str">
        <f ca="1">IFERROR(__xludf.DUMMYFUNCTION("""COMPUTED_VALUE"""),"0392919751")</f>
        <v>0392919751</v>
      </c>
      <c r="K9746" s="2" t="str">
        <f ca="1">IFERROR(__xludf.DUMMYFUNCTION("""COMPUTED_VALUE"""),"105776424812")</f>
        <v>105776424812</v>
      </c>
    </row>
    <row r="9747" spans="1:11" ht="12.45">
      <c r="A9747" s="2" t="str">
        <f ca="1">IFERROR(__xludf.DUMMYFUNCTION("""COMPUTED_VALUE"""),"105776424925")</f>
        <v>105776424925</v>
      </c>
      <c r="C9747" s="2" t="str">
        <v>0</v>
      </c>
      <c r="F9747" s="2" t="str">
        <v>0</v>
      </c>
      <c r="I9747" s="2" t="str">
        <f ca="1">IFERROR(__xludf.DUMMYFUNCTION("""COMPUTED_VALUE"""),"Đỗ Thị Thanh Hà")</f>
        <v>Đỗ Thị Thanh Hà</v>
      </c>
      <c r="J9747" s="2" t="str">
        <f ca="1">IFERROR(__xludf.DUMMYFUNCTION("""COMPUTED_VALUE"""),"0796289031")</f>
        <v>0796289031</v>
      </c>
      <c r="K9747" s="2" t="str">
        <f ca="1">IFERROR(__xludf.DUMMYFUNCTION("""COMPUTED_VALUE"""),"105776424925")</f>
        <v>105776424925</v>
      </c>
    </row>
    <row r="9748" spans="1:11" ht="12.45">
      <c r="A9748" s="2" t="str">
        <f ca="1">IFERROR(__xludf.DUMMYFUNCTION("""COMPUTED_VALUE"""),"105776425036")</f>
        <v>105776425036</v>
      </c>
      <c r="C9748" s="2" t="str">
        <v>0</v>
      </c>
      <c r="F9748" s="2" t="str">
        <v>0</v>
      </c>
      <c r="I9748" s="2" t="str">
        <f ca="1">IFERROR(__xludf.DUMMYFUNCTION("""COMPUTED_VALUE"""),"Doãn Ngọc Trâm")</f>
        <v>Doãn Ngọc Trâm</v>
      </c>
      <c r="J9748" s="2" t="str">
        <f ca="1">IFERROR(__xludf.DUMMYFUNCTION("""COMPUTED_VALUE"""),"0397284670")</f>
        <v>0397284670</v>
      </c>
      <c r="K9748" s="2" t="str">
        <f ca="1">IFERROR(__xludf.DUMMYFUNCTION("""COMPUTED_VALUE"""),"105776425036")</f>
        <v>105776425036</v>
      </c>
    </row>
    <row r="9749" spans="1:11" ht="12.45">
      <c r="A9749" s="2" t="str">
        <f ca="1">IFERROR(__xludf.DUMMYFUNCTION("""COMPUTED_VALUE"""),"105776425143")</f>
        <v>105776425143</v>
      </c>
      <c r="C9749" s="2" t="str">
        <v>0</v>
      </c>
      <c r="F9749" s="2" t="str">
        <v>0</v>
      </c>
      <c r="I9749" s="2" t="str">
        <f ca="1">IFERROR(__xludf.DUMMYFUNCTION("""COMPUTED_VALUE"""),"Lò văn Tuyến ")</f>
        <v xml:space="preserve">Lò văn Tuyến </v>
      </c>
      <c r="J9749" s="2" t="str">
        <f ca="1">IFERROR(__xludf.DUMMYFUNCTION("""COMPUTED_VALUE"""),"0868377305")</f>
        <v>0868377305</v>
      </c>
      <c r="K9749" s="2" t="str">
        <f ca="1">IFERROR(__xludf.DUMMYFUNCTION("""COMPUTED_VALUE"""),"105776425143")</f>
        <v>105776425143</v>
      </c>
    </row>
    <row r="9750" spans="1:11" ht="12.45">
      <c r="A9750" s="2" t="str">
        <f ca="1">IFERROR(__xludf.DUMMYFUNCTION("""COMPUTED_VALUE"""),"105776425225")</f>
        <v>105776425225</v>
      </c>
      <c r="C9750" s="2" t="str">
        <v>0</v>
      </c>
      <c r="F9750" s="2" t="str">
        <v>0</v>
      </c>
      <c r="I9750" s="2" t="str">
        <f ca="1">IFERROR(__xludf.DUMMYFUNCTION("""COMPUTED_VALUE"""),"Trần Phi Yến")</f>
        <v>Trần Phi Yến</v>
      </c>
      <c r="J9750" s="2" t="str">
        <f ca="1">IFERROR(__xludf.DUMMYFUNCTION("""COMPUTED_VALUE"""),"0902677615")</f>
        <v>0902677615</v>
      </c>
      <c r="K9750" s="2" t="str">
        <f ca="1">IFERROR(__xludf.DUMMYFUNCTION("""COMPUTED_VALUE"""),"105776425225")</f>
        <v>105776425225</v>
      </c>
    </row>
    <row r="9751" spans="1:11" ht="12.45">
      <c r="A9751" s="2" t="str">
        <f ca="1">IFERROR(__xludf.DUMMYFUNCTION("""COMPUTED_VALUE"""),"105776425313")</f>
        <v>105776425313</v>
      </c>
      <c r="C9751" s="2" t="str">
        <v>0</v>
      </c>
      <c r="F9751" s="2" t="str">
        <v>0</v>
      </c>
      <c r="I9751" s="2" t="str">
        <f ca="1">IFERROR(__xludf.DUMMYFUNCTION("""COMPUTED_VALUE"""),"Mai Anh Thư")</f>
        <v>Mai Anh Thư</v>
      </c>
      <c r="J9751" s="2" t="str">
        <f ca="1">IFERROR(__xludf.DUMMYFUNCTION("""COMPUTED_VALUE"""),"0812192120")</f>
        <v>0812192120</v>
      </c>
      <c r="K9751" s="2" t="str">
        <f ca="1">IFERROR(__xludf.DUMMYFUNCTION("""COMPUTED_VALUE"""),"105776425313")</f>
        <v>105776425313</v>
      </c>
    </row>
    <row r="9752" spans="1:11" ht="12.45">
      <c r="A9752" s="2" t="str">
        <f ca="1">IFERROR(__xludf.DUMMYFUNCTION("""COMPUTED_VALUE"""),"105776425473")</f>
        <v>105776425473</v>
      </c>
      <c r="C9752" s="2" t="str">
        <v>0</v>
      </c>
      <c r="F9752" s="2" t="str">
        <v>0</v>
      </c>
      <c r="I9752" s="2" t="str">
        <f ca="1">IFERROR(__xludf.DUMMYFUNCTION("""COMPUTED_VALUE"""),"Trịnh Nguyễn Thị Anh Thư ")</f>
        <v xml:space="preserve">Trịnh Nguyễn Thị Anh Thư </v>
      </c>
      <c r="J9752" s="2" t="str">
        <f ca="1">IFERROR(__xludf.DUMMYFUNCTION("""COMPUTED_VALUE"""),"0399978174")</f>
        <v>0399978174</v>
      </c>
      <c r="K9752" s="2" t="str">
        <f ca="1">IFERROR(__xludf.DUMMYFUNCTION("""COMPUTED_VALUE"""),"105776425473")</f>
        <v>105776425473</v>
      </c>
    </row>
    <row r="9753" spans="1:11" ht="12.45">
      <c r="A9753" s="2" t="str">
        <f ca="1">IFERROR(__xludf.DUMMYFUNCTION("""COMPUTED_VALUE"""),"105776425572")</f>
        <v>105776425572</v>
      </c>
      <c r="C9753" s="2" t="str">
        <v>0</v>
      </c>
      <c r="F9753" s="2" t="str">
        <v>0</v>
      </c>
      <c r="I9753" s="2" t="str">
        <f ca="1">IFERROR(__xludf.DUMMYFUNCTION("""COMPUTED_VALUE"""),"Nguyễn Cao Kim Tuyến")</f>
        <v>Nguyễn Cao Kim Tuyến</v>
      </c>
      <c r="J9753" s="2" t="str">
        <f ca="1">IFERROR(__xludf.DUMMYFUNCTION("""COMPUTED_VALUE"""),"0914034099")</f>
        <v>0914034099</v>
      </c>
      <c r="K9753" s="2" t="str">
        <f ca="1">IFERROR(__xludf.DUMMYFUNCTION("""COMPUTED_VALUE"""),"105776425572")</f>
        <v>105776425572</v>
      </c>
    </row>
    <row r="9754" spans="1:11" ht="12.45">
      <c r="A9754" s="2" t="str">
        <f ca="1">IFERROR(__xludf.DUMMYFUNCTION("""COMPUTED_VALUE"""),"105776425673")</f>
        <v>105776425673</v>
      </c>
      <c r="C9754" s="2" t="str">
        <v>0</v>
      </c>
      <c r="F9754" s="2" t="str">
        <v>0</v>
      </c>
      <c r="I9754" s="2" t="str">
        <f ca="1">IFERROR(__xludf.DUMMYFUNCTION("""COMPUTED_VALUE"""),"Bế Thu Thuỳ")</f>
        <v>Bế Thu Thuỳ</v>
      </c>
      <c r="J9754" s="2" t="str">
        <f ca="1">IFERROR(__xludf.DUMMYFUNCTION("""COMPUTED_VALUE"""),"0376737280")</f>
        <v>0376737280</v>
      </c>
      <c r="K9754" s="2" t="str">
        <f ca="1">IFERROR(__xludf.DUMMYFUNCTION("""COMPUTED_VALUE"""),"105776425673")</f>
        <v>105776425673</v>
      </c>
    </row>
    <row r="9755" spans="1:11" ht="12.45">
      <c r="A9755" s="2" t="str">
        <f ca="1">IFERROR(__xludf.DUMMYFUNCTION("""COMPUTED_VALUE"""),"105776425786")</f>
        <v>105776425786</v>
      </c>
      <c r="C9755" s="2" t="str">
        <v>0</v>
      </c>
      <c r="F9755" s="2" t="str">
        <v>0</v>
      </c>
      <c r="I9755" s="2" t="str">
        <f ca="1">IFERROR(__xludf.DUMMYFUNCTION("""COMPUTED_VALUE"""),"TÒNG ĐỨC TÀI ")</f>
        <v xml:space="preserve">TÒNG ĐỨC TÀI </v>
      </c>
      <c r="J9755" s="2" t="str">
        <f ca="1">IFERROR(__xludf.DUMMYFUNCTION("""COMPUTED_VALUE"""),"0866280259")</f>
        <v>0866280259</v>
      </c>
      <c r="K9755" s="2" t="str">
        <f ca="1">IFERROR(__xludf.DUMMYFUNCTION("""COMPUTED_VALUE"""),"105776425786")</f>
        <v>105776425786</v>
      </c>
    </row>
    <row r="9756" spans="1:11" ht="12.45">
      <c r="A9756" s="2" t="str">
        <f ca="1">IFERROR(__xludf.DUMMYFUNCTION("""COMPUTED_VALUE"""),"105776425882")</f>
        <v>105776425882</v>
      </c>
      <c r="C9756" s="2" t="str">
        <v>0</v>
      </c>
      <c r="F9756" s="2" t="str">
        <v>0</v>
      </c>
      <c r="I9756" s="2" t="str">
        <f ca="1">IFERROR(__xludf.DUMMYFUNCTION("""COMPUTED_VALUE"""),"Nguyễn Thị Kim Thư ")</f>
        <v xml:space="preserve">Nguyễn Thị Kim Thư </v>
      </c>
      <c r="J9756" s="2" t="str">
        <f ca="1">IFERROR(__xludf.DUMMYFUNCTION("""COMPUTED_VALUE"""),"0945585896")</f>
        <v>0945585896</v>
      </c>
      <c r="K9756" s="2" t="str">
        <f ca="1">IFERROR(__xludf.DUMMYFUNCTION("""COMPUTED_VALUE"""),"105776425882")</f>
        <v>105776425882</v>
      </c>
    </row>
    <row r="9757" spans="1:11" ht="12.45">
      <c r="A9757" s="2" t="str">
        <f ca="1">IFERROR(__xludf.DUMMYFUNCTION("""COMPUTED_VALUE"""),"105776425975")</f>
        <v>105776425975</v>
      </c>
      <c r="C9757" s="2" t="str">
        <v>0</v>
      </c>
      <c r="F9757" s="2" t="str">
        <v>0</v>
      </c>
      <c r="I9757" s="2" t="str">
        <f ca="1">IFERROR(__xludf.DUMMYFUNCTION("""COMPUTED_VALUE"""),"Phạm Trần Mai Linh ")</f>
        <v xml:space="preserve">Phạm Trần Mai Linh </v>
      </c>
      <c r="J9757" s="2" t="str">
        <f ca="1">IFERROR(__xludf.DUMMYFUNCTION("""COMPUTED_VALUE"""),"0886054069")</f>
        <v>0886054069</v>
      </c>
      <c r="K9757" s="2" t="str">
        <f ca="1">IFERROR(__xludf.DUMMYFUNCTION("""COMPUTED_VALUE"""),"105776425975")</f>
        <v>105776425975</v>
      </c>
    </row>
    <row r="9758" spans="1:11" ht="12.45">
      <c r="A9758" s="2" t="str">
        <f ca="1">IFERROR(__xludf.DUMMYFUNCTION("""COMPUTED_VALUE"""),"105776426131")</f>
        <v>105776426131</v>
      </c>
      <c r="C9758" s="2" t="str">
        <v>0</v>
      </c>
      <c r="F9758" s="2" t="str">
        <v>0</v>
      </c>
      <c r="I9758" s="2" t="str">
        <f ca="1">IFERROR(__xludf.DUMMYFUNCTION("""COMPUTED_VALUE"""),"Trần Bảo Châu")</f>
        <v>Trần Bảo Châu</v>
      </c>
      <c r="J9758" s="2" t="str">
        <f ca="1">IFERROR(__xludf.DUMMYFUNCTION("""COMPUTED_VALUE"""),"0886614323")</f>
        <v>0886614323</v>
      </c>
      <c r="K9758" s="2" t="str">
        <f ca="1">IFERROR(__xludf.DUMMYFUNCTION("""COMPUTED_VALUE"""),"105776426131")</f>
        <v>105776426131</v>
      </c>
    </row>
    <row r="9759" spans="1:11" ht="12.45">
      <c r="A9759" s="2" t="str">
        <f ca="1">IFERROR(__xludf.DUMMYFUNCTION("""COMPUTED_VALUE"""),"105776426246")</f>
        <v>105776426246</v>
      </c>
      <c r="C9759" s="2" t="str">
        <v>0</v>
      </c>
      <c r="F9759" s="2" t="str">
        <v>0</v>
      </c>
      <c r="I9759" s="2" t="str">
        <f ca="1">IFERROR(__xludf.DUMMYFUNCTION("""COMPUTED_VALUE"""),"Lê Anh Thư")</f>
        <v>Lê Anh Thư</v>
      </c>
      <c r="J9759" s="3" t="str">
        <f ca="1">IFERROR(__xludf.DUMMYFUNCTION("""COMPUTED_VALUE"""),"0389090327")</f>
        <v>0389090327</v>
      </c>
      <c r="K9759" s="2" t="str">
        <f ca="1">IFERROR(__xludf.DUMMYFUNCTION("""COMPUTED_VALUE"""),"105776426246")</f>
        <v>105776426246</v>
      </c>
    </row>
    <row r="9760" spans="1:11" ht="12.45">
      <c r="A9760" s="2"/>
      <c r="C9760" s="2" t="str">
        <v>0</v>
      </c>
      <c r="F9760" s="2" t="str">
        <v>0</v>
      </c>
      <c r="I9760" s="2" t="str">
        <f ca="1">IFERROR(__xludf.DUMMYFUNCTION("""COMPUTED_VALUE"""),"Nghiêm Hoàng Khánh An")</f>
        <v>Nghiêm Hoàng Khánh An</v>
      </c>
      <c r="J9760" s="2" t="str">
        <f ca="1">IFERROR(__xludf.DUMMYFUNCTION("""COMPUTED_VALUE"""),"0986272255")</f>
        <v>0986272255</v>
      </c>
      <c r="K9760" s="2"/>
    </row>
    <row r="9761" spans="1:11" ht="12.45">
      <c r="A9761" s="2" t="str">
        <f ca="1">IFERROR(__xludf.DUMMYFUNCTION("""COMPUTED_VALUE"""),"105776426319")</f>
        <v>105776426319</v>
      </c>
      <c r="C9761" s="2" t="str">
        <v>0</v>
      </c>
      <c r="F9761" s="2" t="str">
        <v>0</v>
      </c>
      <c r="I9761" s="2" t="str">
        <f ca="1">IFERROR(__xludf.DUMMYFUNCTION("""COMPUTED_VALUE"""),"Trịnh Lê Thuỳ linh ")</f>
        <v xml:space="preserve">Trịnh Lê Thuỳ linh </v>
      </c>
      <c r="J9761" s="2" t="str">
        <f ca="1">IFERROR(__xludf.DUMMYFUNCTION("""COMPUTED_VALUE"""),"0796246268")</f>
        <v>0796246268</v>
      </c>
      <c r="K9761" s="2" t="str">
        <f ca="1">IFERROR(__xludf.DUMMYFUNCTION("""COMPUTED_VALUE"""),"105776426319")</f>
        <v>105776426319</v>
      </c>
    </row>
    <row r="9762" spans="1:11" ht="12.45">
      <c r="A9762" s="2" t="str">
        <f ca="1">IFERROR(__xludf.DUMMYFUNCTION("""COMPUTED_VALUE"""),"105776426470")</f>
        <v>105776426470</v>
      </c>
      <c r="C9762" s="2" t="str">
        <v>0</v>
      </c>
      <c r="F9762" s="2" t="str">
        <v>0</v>
      </c>
      <c r="I9762" s="2" t="str">
        <f ca="1">IFERROR(__xludf.DUMMYFUNCTION("""COMPUTED_VALUE"""),"Vương Thu Hà")</f>
        <v>Vương Thu Hà</v>
      </c>
      <c r="J9762" s="2" t="str">
        <f ca="1">IFERROR(__xludf.DUMMYFUNCTION("""COMPUTED_VALUE"""),"0964474378")</f>
        <v>0964474378</v>
      </c>
      <c r="K9762" s="2" t="str">
        <f ca="1">IFERROR(__xludf.DUMMYFUNCTION("""COMPUTED_VALUE"""),"105776426470")</f>
        <v>105776426470</v>
      </c>
    </row>
    <row r="9763" spans="1:11" ht="12.45">
      <c r="A9763" s="2" t="str">
        <f ca="1">IFERROR(__xludf.DUMMYFUNCTION("""COMPUTED_VALUE"""),"105776426637")</f>
        <v>105776426637</v>
      </c>
      <c r="C9763" s="2" t="str">
        <v>0</v>
      </c>
      <c r="F9763" s="2" t="str">
        <v>0</v>
      </c>
      <c r="I9763" s="2" t="str">
        <f ca="1">IFERROR(__xludf.DUMMYFUNCTION("""COMPUTED_VALUE"""),"Phạm Ánh Dương")</f>
        <v>Phạm Ánh Dương</v>
      </c>
      <c r="J9763" s="2" t="str">
        <f ca="1">IFERROR(__xludf.DUMMYFUNCTION("""COMPUTED_VALUE"""),"0395251503")</f>
        <v>0395251503</v>
      </c>
      <c r="K9763" s="2" t="str">
        <f ca="1">IFERROR(__xludf.DUMMYFUNCTION("""COMPUTED_VALUE"""),"105776426637")</f>
        <v>105776426637</v>
      </c>
    </row>
    <row r="9764" spans="1:11" ht="12.45">
      <c r="A9764" s="2" t="str">
        <f ca="1">IFERROR(__xludf.DUMMYFUNCTION("""COMPUTED_VALUE"""),"105776426730")</f>
        <v>105776426730</v>
      </c>
      <c r="C9764" s="2" t="str">
        <v>0</v>
      </c>
      <c r="F9764" s="2" t="str">
        <v>0</v>
      </c>
      <c r="I9764" s="2" t="str">
        <f ca="1">IFERROR(__xludf.DUMMYFUNCTION("""COMPUTED_VALUE"""),"Vũ Thị Nga")</f>
        <v>Vũ Thị Nga</v>
      </c>
      <c r="J9764" s="2" t="str">
        <f ca="1">IFERROR(__xludf.DUMMYFUNCTION("""COMPUTED_VALUE"""),"0354759547")</f>
        <v>0354759547</v>
      </c>
      <c r="K9764" s="2" t="str">
        <f ca="1">IFERROR(__xludf.DUMMYFUNCTION("""COMPUTED_VALUE"""),"105776426730")</f>
        <v>105776426730</v>
      </c>
    </row>
    <row r="9765" spans="1:11" ht="12.45">
      <c r="A9765" s="2" t="str">
        <f ca="1">IFERROR(__xludf.DUMMYFUNCTION("""COMPUTED_VALUE"""),"105776426831")</f>
        <v>105776426831</v>
      </c>
      <c r="C9765" s="2" t="str">
        <v>0</v>
      </c>
      <c r="F9765" s="2" t="str">
        <v>0</v>
      </c>
      <c r="I9765" s="2" t="str">
        <f ca="1">IFERROR(__xludf.DUMMYFUNCTION("""COMPUTED_VALUE"""),"Hồ Quỳnh Trang")</f>
        <v>Hồ Quỳnh Trang</v>
      </c>
      <c r="J9765" s="2" t="str">
        <f ca="1">IFERROR(__xludf.DUMMYFUNCTION("""COMPUTED_VALUE"""),"0396476462")</f>
        <v>0396476462</v>
      </c>
      <c r="K9765" s="2" t="str">
        <f ca="1">IFERROR(__xludf.DUMMYFUNCTION("""COMPUTED_VALUE"""),"105776426831")</f>
        <v>105776426831</v>
      </c>
    </row>
    <row r="9766" spans="1:11" ht="12.45">
      <c r="A9766" s="2" t="str">
        <f ca="1">IFERROR(__xludf.DUMMYFUNCTION("""COMPUTED_VALUE"""),"105776427053")</f>
        <v>105776427053</v>
      </c>
      <c r="C9766" s="2" t="str">
        <v>0</v>
      </c>
      <c r="F9766" s="2" t="str">
        <v>0</v>
      </c>
      <c r="I9766" s="2" t="str">
        <f ca="1">IFERROR(__xludf.DUMMYFUNCTION("""COMPUTED_VALUE"""),"Nguyễn Phương Linh ")</f>
        <v xml:space="preserve">Nguyễn Phương Linh </v>
      </c>
      <c r="J9766" s="2" t="str">
        <f ca="1">IFERROR(__xludf.DUMMYFUNCTION("""COMPUTED_VALUE"""),"0386252381")</f>
        <v>0386252381</v>
      </c>
      <c r="K9766" s="2" t="str">
        <f ca="1">IFERROR(__xludf.DUMMYFUNCTION("""COMPUTED_VALUE"""),"105776427053")</f>
        <v>105776427053</v>
      </c>
    </row>
    <row r="9767" spans="1:11" ht="12.45">
      <c r="A9767" s="2" t="str">
        <f ca="1">IFERROR(__xludf.DUMMYFUNCTION("""COMPUTED_VALUE"""),"105776427113")</f>
        <v>105776427113</v>
      </c>
      <c r="C9767" s="2" t="str">
        <v>0</v>
      </c>
      <c r="F9767" s="2" t="str">
        <v>0</v>
      </c>
      <c r="I9767" s="2" t="str">
        <f ca="1">IFERROR(__xludf.DUMMYFUNCTION("""COMPUTED_VALUE"""),"Phùng Thanh Thảo ")</f>
        <v xml:space="preserve">Phùng Thanh Thảo </v>
      </c>
      <c r="J9767" s="2" t="str">
        <f ca="1">IFERROR(__xludf.DUMMYFUNCTION("""COMPUTED_VALUE"""),"0337850398")</f>
        <v>0337850398</v>
      </c>
      <c r="K9767" s="2" t="str">
        <f ca="1">IFERROR(__xludf.DUMMYFUNCTION("""COMPUTED_VALUE"""),"105776427113")</f>
        <v>105776427113</v>
      </c>
    </row>
    <row r="9768" spans="1:11" ht="12.45">
      <c r="A9768" s="2" t="str">
        <f ca="1">IFERROR(__xludf.DUMMYFUNCTION("""COMPUTED_VALUE"""),"105776427214")</f>
        <v>105776427214</v>
      </c>
      <c r="C9768" s="2" t="str">
        <v>0</v>
      </c>
      <c r="F9768" s="2" t="str">
        <v>0</v>
      </c>
      <c r="I9768" s="2" t="str">
        <f ca="1">IFERROR(__xludf.DUMMYFUNCTION("""COMPUTED_VALUE"""),"Nguyễn Khánh Linh")</f>
        <v>Nguyễn Khánh Linh</v>
      </c>
      <c r="J9768" s="2" t="str">
        <f ca="1">IFERROR(__xludf.DUMMYFUNCTION("""COMPUTED_VALUE"""),"0378724128")</f>
        <v>0378724128</v>
      </c>
      <c r="K9768" s="2" t="str">
        <f ca="1">IFERROR(__xludf.DUMMYFUNCTION("""COMPUTED_VALUE"""),"105776427214")</f>
        <v>105776427214</v>
      </c>
    </row>
    <row r="9769" spans="1:11" ht="12.45">
      <c r="A9769" s="2" t="str">
        <f ca="1">IFERROR(__xludf.DUMMYFUNCTION("""COMPUTED_VALUE"""),"105776427343")</f>
        <v>105776427343</v>
      </c>
      <c r="C9769" s="2" t="str">
        <v>0</v>
      </c>
      <c r="F9769" s="2" t="str">
        <v>0</v>
      </c>
      <c r="I9769" s="2" t="str">
        <f ca="1">IFERROR(__xludf.DUMMYFUNCTION("""COMPUTED_VALUE"""),"Phan Hồng Bảo Ngân")</f>
        <v>Phan Hồng Bảo Ngân</v>
      </c>
      <c r="J9769" s="2" t="str">
        <f ca="1">IFERROR(__xludf.DUMMYFUNCTION("""COMPUTED_VALUE"""),"0829994980")</f>
        <v>0829994980</v>
      </c>
      <c r="K9769" s="2" t="str">
        <f ca="1">IFERROR(__xludf.DUMMYFUNCTION("""COMPUTED_VALUE"""),"105776427343")</f>
        <v>105776427343</v>
      </c>
    </row>
    <row r="9770" spans="1:11" ht="12.45">
      <c r="A9770" s="2" t="str">
        <f ca="1">IFERROR(__xludf.DUMMYFUNCTION("""COMPUTED_VALUE"""),"105776427453")</f>
        <v>105776427453</v>
      </c>
      <c r="C9770" s="2" t="str">
        <v>0</v>
      </c>
      <c r="F9770" s="2" t="str">
        <v>0</v>
      </c>
      <c r="I9770" s="2" t="str">
        <f ca="1">IFERROR(__xludf.DUMMYFUNCTION("""COMPUTED_VALUE"""),"Nguyễn Thị Minh Nguyệt")</f>
        <v>Nguyễn Thị Minh Nguyệt</v>
      </c>
      <c r="J9770" s="2" t="str">
        <f ca="1">IFERROR(__xludf.DUMMYFUNCTION("""COMPUTED_VALUE"""),"0971385608")</f>
        <v>0971385608</v>
      </c>
      <c r="K9770" s="2" t="str">
        <f ca="1">IFERROR(__xludf.DUMMYFUNCTION("""COMPUTED_VALUE"""),"105776427453")</f>
        <v>105776427453</v>
      </c>
    </row>
    <row r="9771" spans="1:11" ht="12.45">
      <c r="A9771" s="2" t="str">
        <f ca="1">IFERROR(__xludf.DUMMYFUNCTION("""COMPUTED_VALUE"""),"105776427549")</f>
        <v>105776427549</v>
      </c>
      <c r="C9771" s="2" t="str">
        <v>0</v>
      </c>
      <c r="F9771" s="2" t="str">
        <v>0</v>
      </c>
      <c r="I9771" s="2" t="str">
        <f ca="1">IFERROR(__xludf.DUMMYFUNCTION("""COMPUTED_VALUE"""),"Nguyễn Thị Trang Nhung")</f>
        <v>Nguyễn Thị Trang Nhung</v>
      </c>
      <c r="J9771" s="2" t="str">
        <f ca="1">IFERROR(__xludf.DUMMYFUNCTION("""COMPUTED_VALUE"""),"0899085500")</f>
        <v>0899085500</v>
      </c>
      <c r="K9771" s="2" t="str">
        <f ca="1">IFERROR(__xludf.DUMMYFUNCTION("""COMPUTED_VALUE"""),"105776427549")</f>
        <v>105776427549</v>
      </c>
    </row>
    <row r="9772" spans="1:11" ht="12.45">
      <c r="A9772" s="2" t="str">
        <f ca="1">IFERROR(__xludf.DUMMYFUNCTION("""COMPUTED_VALUE"""),"105776427673")</f>
        <v>105776427673</v>
      </c>
      <c r="C9772" s="2" t="str">
        <v>0</v>
      </c>
      <c r="F9772" s="2" t="str">
        <v>0</v>
      </c>
      <c r="I9772" s="2" t="str">
        <f ca="1">IFERROR(__xludf.DUMMYFUNCTION("""COMPUTED_VALUE"""),"Bùi Phan Phương Linh")</f>
        <v>Bùi Phan Phương Linh</v>
      </c>
      <c r="J9772" s="2" t="str">
        <f ca="1">IFERROR(__xludf.DUMMYFUNCTION("""COMPUTED_VALUE"""),"0988486705")</f>
        <v>0988486705</v>
      </c>
      <c r="K9772" s="2" t="str">
        <f ca="1">IFERROR(__xludf.DUMMYFUNCTION("""COMPUTED_VALUE"""),"105776427673")</f>
        <v>105776427673</v>
      </c>
    </row>
    <row r="9773" spans="1:11" ht="12.45">
      <c r="A9773" s="2" t="str">
        <f ca="1">IFERROR(__xludf.DUMMYFUNCTION("""COMPUTED_VALUE"""),"105776427820")</f>
        <v>105776427820</v>
      </c>
      <c r="C9773" s="2" t="str">
        <v>0</v>
      </c>
      <c r="F9773" s="2" t="str">
        <v>0</v>
      </c>
      <c r="I9773" s="2" t="str">
        <f ca="1">IFERROR(__xludf.DUMMYFUNCTION("""COMPUTED_VALUE"""),"Giàng Thị Lỳ ")</f>
        <v xml:space="preserve">Giàng Thị Lỳ </v>
      </c>
      <c r="J9773" s="2" t="str">
        <f ca="1">IFERROR(__xludf.DUMMYFUNCTION("""COMPUTED_VALUE"""),"0387274654")</f>
        <v>0387274654</v>
      </c>
      <c r="K9773" s="2" t="str">
        <f ca="1">IFERROR(__xludf.DUMMYFUNCTION("""COMPUTED_VALUE"""),"105776427820")</f>
        <v>105776427820</v>
      </c>
    </row>
    <row r="9774" spans="1:11" ht="12.45">
      <c r="A9774" s="2" t="str">
        <f ca="1">IFERROR(__xludf.DUMMYFUNCTION("""COMPUTED_VALUE"""),"105776427979")</f>
        <v>105776427979</v>
      </c>
      <c r="C9774" s="2" t="str">
        <v>0</v>
      </c>
      <c r="F9774" s="2" t="str">
        <v>0</v>
      </c>
      <c r="I9774" s="2" t="str">
        <f ca="1">IFERROR(__xludf.DUMMYFUNCTION("""COMPUTED_VALUE"""),"Phạm Hoàng Gia Hân")</f>
        <v>Phạm Hoàng Gia Hân</v>
      </c>
      <c r="J9774" s="2" t="str">
        <f ca="1">IFERROR(__xludf.DUMMYFUNCTION("""COMPUTED_VALUE"""),"0942490069")</f>
        <v>0942490069</v>
      </c>
      <c r="K9774" s="2" t="str">
        <f ca="1">IFERROR(__xludf.DUMMYFUNCTION("""COMPUTED_VALUE"""),"105776427979")</f>
        <v>105776427979</v>
      </c>
    </row>
    <row r="9775" spans="1:11" ht="12.45">
      <c r="A9775" s="2" t="str">
        <f ca="1">IFERROR(__xludf.DUMMYFUNCTION("""COMPUTED_VALUE"""),"105776428066")</f>
        <v>105776428066</v>
      </c>
      <c r="C9775" s="2" t="str">
        <v>0</v>
      </c>
      <c r="F9775" s="2" t="str">
        <v>0</v>
      </c>
      <c r="I9775" s="2" t="str">
        <f ca="1">IFERROR(__xludf.DUMMYFUNCTION("""COMPUTED_VALUE"""),"Nguyễn Quý Phương Quỳnh")</f>
        <v>Nguyễn Quý Phương Quỳnh</v>
      </c>
      <c r="J9775" s="2" t="str">
        <f ca="1">IFERROR(__xludf.DUMMYFUNCTION("""COMPUTED_VALUE"""),"0328383058")</f>
        <v>0328383058</v>
      </c>
      <c r="K9775" s="2" t="str">
        <f ca="1">IFERROR(__xludf.DUMMYFUNCTION("""COMPUTED_VALUE"""),"105776428066")</f>
        <v>105776428066</v>
      </c>
    </row>
    <row r="9776" spans="1:11" ht="12.45">
      <c r="A9776" s="2" t="str">
        <f ca="1">IFERROR(__xludf.DUMMYFUNCTION("""COMPUTED_VALUE"""),"105776428125")</f>
        <v>105776428125</v>
      </c>
      <c r="C9776" s="2" t="str">
        <v>0</v>
      </c>
      <c r="F9776" s="2" t="str">
        <v>0</v>
      </c>
      <c r="I9776" s="2" t="str">
        <f ca="1">IFERROR(__xludf.DUMMYFUNCTION("""COMPUTED_VALUE"""),"Hồ Lục Gia Huy")</f>
        <v>Hồ Lục Gia Huy</v>
      </c>
      <c r="J9776" s="2" t="str">
        <f ca="1">IFERROR(__xludf.DUMMYFUNCTION("""COMPUTED_VALUE"""),"0934163217")</f>
        <v>0934163217</v>
      </c>
      <c r="K9776" s="2" t="str">
        <f ca="1">IFERROR(__xludf.DUMMYFUNCTION("""COMPUTED_VALUE"""),"105776428125")</f>
        <v>105776428125</v>
      </c>
    </row>
    <row r="9777" spans="1:11" ht="12.45">
      <c r="A9777" s="2" t="str">
        <f ca="1">IFERROR(__xludf.DUMMYFUNCTION("""COMPUTED_VALUE"""),"105776428267")</f>
        <v>105776428267</v>
      </c>
      <c r="C9777" s="2" t="str">
        <v>0</v>
      </c>
      <c r="F9777" s="2" t="str">
        <v>0</v>
      </c>
      <c r="I9777" s="2" t="str">
        <f ca="1">IFERROR(__xludf.DUMMYFUNCTION("""COMPUTED_VALUE"""),"Lê Đỗ Hoài an")</f>
        <v>Lê Đỗ Hoài an</v>
      </c>
      <c r="J9777" s="2" t="str">
        <f ca="1">IFERROR(__xludf.DUMMYFUNCTION("""COMPUTED_VALUE"""),"0337071207")</f>
        <v>0337071207</v>
      </c>
      <c r="K9777" s="2" t="str">
        <f ca="1">IFERROR(__xludf.DUMMYFUNCTION("""COMPUTED_VALUE"""),"105776428267")</f>
        <v>105776428267</v>
      </c>
    </row>
    <row r="9778" spans="1:11" ht="12.45">
      <c r="A9778" s="2" t="str">
        <f ca="1">IFERROR(__xludf.DUMMYFUNCTION("""COMPUTED_VALUE"""),"105776428345")</f>
        <v>105776428345</v>
      </c>
      <c r="C9778" s="2" t="str">
        <v>0</v>
      </c>
      <c r="F9778" s="2" t="str">
        <v>0</v>
      </c>
      <c r="I9778" s="2" t="str">
        <f ca="1">IFERROR(__xludf.DUMMYFUNCTION("""COMPUTED_VALUE"""),"Nguyễn Bảo Châu Anh")</f>
        <v>Nguyễn Bảo Châu Anh</v>
      </c>
      <c r="J9778" s="3" t="str">
        <f ca="1">IFERROR(__xludf.DUMMYFUNCTION("""COMPUTED_VALUE"""),"0966248602")</f>
        <v>0966248602</v>
      </c>
      <c r="K9778" s="2" t="str">
        <f ca="1">IFERROR(__xludf.DUMMYFUNCTION("""COMPUTED_VALUE"""),"105776428345")</f>
        <v>105776428345</v>
      </c>
    </row>
    <row r="9779" spans="1:11" ht="12.45">
      <c r="A9779" s="2" t="str">
        <f ca="1">IFERROR(__xludf.DUMMYFUNCTION("""COMPUTED_VALUE"""),"105776428524")</f>
        <v>105776428524</v>
      </c>
      <c r="C9779" s="2" t="str">
        <v>0</v>
      </c>
      <c r="F9779" s="2" t="str">
        <v>0</v>
      </c>
      <c r="I9779" s="2" t="str">
        <f ca="1">IFERROR(__xludf.DUMMYFUNCTION("""COMPUTED_VALUE"""),"Tống Thị Nhật Thuỷ")</f>
        <v>Tống Thị Nhật Thuỷ</v>
      </c>
      <c r="J9779" s="2" t="str">
        <f ca="1">IFERROR(__xludf.DUMMYFUNCTION("""COMPUTED_VALUE"""),"0347029710")</f>
        <v>0347029710</v>
      </c>
      <c r="K9779" s="2" t="str">
        <f ca="1">IFERROR(__xludf.DUMMYFUNCTION("""COMPUTED_VALUE"""),"105776428524")</f>
        <v>105776428524</v>
      </c>
    </row>
    <row r="9780" spans="1:11" ht="12.45">
      <c r="A9780" s="2" t="str">
        <f ca="1">IFERROR(__xludf.DUMMYFUNCTION("""COMPUTED_VALUE"""),"105776428696")</f>
        <v>105776428696</v>
      </c>
      <c r="C9780" s="2" t="str">
        <v>0</v>
      </c>
      <c r="F9780" s="2" t="str">
        <v>0</v>
      </c>
      <c r="I9780" s="2" t="str">
        <f ca="1">IFERROR(__xludf.DUMMYFUNCTION("""COMPUTED_VALUE"""),"Vòng Ngọc Kim Thư")</f>
        <v>Vòng Ngọc Kim Thư</v>
      </c>
      <c r="J9780" s="2" t="str">
        <f ca="1">IFERROR(__xludf.DUMMYFUNCTION("""COMPUTED_VALUE"""),"0981312915")</f>
        <v>0981312915</v>
      </c>
      <c r="K9780" s="2" t="str">
        <f ca="1">IFERROR(__xludf.DUMMYFUNCTION("""COMPUTED_VALUE"""),"105776428696")</f>
        <v>105776428696</v>
      </c>
    </row>
    <row r="9781" spans="1:11" ht="12.45">
      <c r="A9781" s="2" t="str">
        <f ca="1">IFERROR(__xludf.DUMMYFUNCTION("""COMPUTED_VALUE"""),"105776428878")</f>
        <v>105776428878</v>
      </c>
      <c r="C9781" s="2" t="str">
        <v>0</v>
      </c>
      <c r="F9781" s="2" t="str">
        <v>0</v>
      </c>
      <c r="I9781" s="2" t="str">
        <f ca="1">IFERROR(__xludf.DUMMYFUNCTION("""COMPUTED_VALUE"""),"Ngô Bảo Linh")</f>
        <v>Ngô Bảo Linh</v>
      </c>
      <c r="J9781" s="2" t="str">
        <f ca="1">IFERROR(__xludf.DUMMYFUNCTION("""COMPUTED_VALUE"""),"0961318572")</f>
        <v>0961318572</v>
      </c>
      <c r="K9781" s="2" t="str">
        <f ca="1">IFERROR(__xludf.DUMMYFUNCTION("""COMPUTED_VALUE"""),"105776428878")</f>
        <v>105776428878</v>
      </c>
    </row>
    <row r="9782" spans="1:11" ht="12.45">
      <c r="A9782" s="2" t="str">
        <f ca="1">IFERROR(__xludf.DUMMYFUNCTION("""COMPUTED_VALUE"""),"105776428945")</f>
        <v>105776428945</v>
      </c>
      <c r="C9782" s="2" t="str">
        <v>0</v>
      </c>
      <c r="F9782" s="2" t="str">
        <v>0</v>
      </c>
      <c r="I9782" s="2" t="str">
        <f ca="1">IFERROR(__xludf.DUMMYFUNCTION("""COMPUTED_VALUE"""),"Phan Thị Thu Hằng ")</f>
        <v xml:space="preserve">Phan Thị Thu Hằng </v>
      </c>
      <c r="J9782" s="2" t="str">
        <f ca="1">IFERROR(__xludf.DUMMYFUNCTION("""COMPUTED_VALUE"""),"0979346073")</f>
        <v>0979346073</v>
      </c>
      <c r="K9782" s="2" t="str">
        <f ca="1">IFERROR(__xludf.DUMMYFUNCTION("""COMPUTED_VALUE"""),"105776428945")</f>
        <v>105776428945</v>
      </c>
    </row>
    <row r="9783" spans="1:11" ht="12.45">
      <c r="A9783" s="2"/>
      <c r="C9783" s="2" t="str">
        <v>0</v>
      </c>
      <c r="F9783" s="2" t="str">
        <v>0</v>
      </c>
      <c r="I9783" s="2" t="str">
        <f ca="1">IFERROR(__xludf.DUMMYFUNCTION("""COMPUTED_VALUE"""),"Thiều chí tài ")</f>
        <v xml:space="preserve">Thiều chí tài </v>
      </c>
      <c r="J9783" s="2" t="str">
        <f ca="1">IFERROR(__xludf.DUMMYFUNCTION("""COMPUTED_VALUE"""),"0817585112")</f>
        <v>0817585112</v>
      </c>
      <c r="K9783" s="2"/>
    </row>
    <row r="9784" spans="1:11" ht="12.45">
      <c r="A9784" s="2" t="str">
        <f ca="1">IFERROR(__xludf.DUMMYFUNCTION("""COMPUTED_VALUE"""),"105776429094")</f>
        <v>105776429094</v>
      </c>
      <c r="C9784" s="2" t="str">
        <v>0</v>
      </c>
      <c r="F9784" s="2" t="str">
        <v>0</v>
      </c>
      <c r="I9784" s="2" t="str">
        <f ca="1">IFERROR(__xludf.DUMMYFUNCTION("""COMPUTED_VALUE"""),"Hoàng Hồng Vững")</f>
        <v>Hoàng Hồng Vững</v>
      </c>
      <c r="J9784" s="2" t="str">
        <f ca="1">IFERROR(__xludf.DUMMYFUNCTION("""COMPUTED_VALUE"""),"0886534232")</f>
        <v>0886534232</v>
      </c>
      <c r="K9784" s="2" t="str">
        <f ca="1">IFERROR(__xludf.DUMMYFUNCTION("""COMPUTED_VALUE"""),"105776429094")</f>
        <v>105776429094</v>
      </c>
    </row>
    <row r="9785" spans="1:11" ht="12.45">
      <c r="A9785" s="2" t="str">
        <f ca="1">IFERROR(__xludf.DUMMYFUNCTION("""COMPUTED_VALUE"""),"105776429192")</f>
        <v>105776429192</v>
      </c>
      <c r="C9785" s="2" t="str">
        <v>0</v>
      </c>
      <c r="F9785" s="2" t="str">
        <v>0</v>
      </c>
      <c r="I9785" s="2" t="str">
        <f ca="1">IFERROR(__xludf.DUMMYFUNCTION("""COMPUTED_VALUE"""),"Nguyễn Thu Hằng")</f>
        <v>Nguyễn Thu Hằng</v>
      </c>
      <c r="J9785" s="2" t="str">
        <f ca="1">IFERROR(__xludf.DUMMYFUNCTION("""COMPUTED_VALUE"""),"0904908289")</f>
        <v>0904908289</v>
      </c>
      <c r="K9785" s="2" t="str">
        <f ca="1">IFERROR(__xludf.DUMMYFUNCTION("""COMPUTED_VALUE"""),"105776429192")</f>
        <v>105776429192</v>
      </c>
    </row>
    <row r="9786" spans="1:11" ht="12.45">
      <c r="A9786" s="2" t="str">
        <f ca="1">IFERROR(__xludf.DUMMYFUNCTION("""COMPUTED_VALUE"""),"105776429238")</f>
        <v>105776429238</v>
      </c>
      <c r="C9786" s="2" t="str">
        <v>0</v>
      </c>
      <c r="F9786" s="2" t="str">
        <v>0</v>
      </c>
      <c r="I9786" s="2" t="str">
        <f ca="1">IFERROR(__xludf.DUMMYFUNCTION("""COMPUTED_VALUE"""),"Lê Huyền Trang ")</f>
        <v xml:space="preserve">Lê Huyền Trang </v>
      </c>
      <c r="J9786" s="2" t="str">
        <f ca="1">IFERROR(__xludf.DUMMYFUNCTION("""COMPUTED_VALUE"""),"0865214515")</f>
        <v>0865214515</v>
      </c>
      <c r="K9786" s="2" t="str">
        <f ca="1">IFERROR(__xludf.DUMMYFUNCTION("""COMPUTED_VALUE"""),"105776429238")</f>
        <v>105776429238</v>
      </c>
    </row>
    <row r="9787" spans="1:11" ht="12.45">
      <c r="A9787" s="2" t="str">
        <f ca="1">IFERROR(__xludf.DUMMYFUNCTION("""COMPUTED_VALUE"""),"105776429366")</f>
        <v>105776429366</v>
      </c>
      <c r="C9787" s="2" t="str">
        <v>0</v>
      </c>
      <c r="F9787" s="2" t="str">
        <v>0</v>
      </c>
      <c r="I9787" s="2" t="str">
        <f ca="1">IFERROR(__xludf.DUMMYFUNCTION("""COMPUTED_VALUE"""),"Cà Thái Bình")</f>
        <v>Cà Thái Bình</v>
      </c>
      <c r="J9787" s="2" t="str">
        <f ca="1">IFERROR(__xludf.DUMMYFUNCTION("""COMPUTED_VALUE"""),"0818023219")</f>
        <v>0818023219</v>
      </c>
      <c r="K9787" s="2" t="str">
        <f ca="1">IFERROR(__xludf.DUMMYFUNCTION("""COMPUTED_VALUE"""),"105776429366")</f>
        <v>105776429366</v>
      </c>
    </row>
    <row r="9788" spans="1:11" ht="12.45">
      <c r="A9788" s="2" t="str">
        <f ca="1">IFERROR(__xludf.DUMMYFUNCTION("""COMPUTED_VALUE"""),"105776429445")</f>
        <v>105776429445</v>
      </c>
      <c r="C9788" s="2" t="str">
        <v>0</v>
      </c>
      <c r="F9788" s="2" t="str">
        <v>0</v>
      </c>
      <c r="I9788" s="2" t="str">
        <f ca="1">IFERROR(__xludf.DUMMYFUNCTION("""COMPUTED_VALUE"""),"Lường Đức Trí")</f>
        <v>Lường Đức Trí</v>
      </c>
      <c r="J9788" s="2" t="str">
        <f ca="1">IFERROR(__xludf.DUMMYFUNCTION("""COMPUTED_VALUE"""),"0372913858")</f>
        <v>0372913858</v>
      </c>
      <c r="K9788" s="2" t="str">
        <f ca="1">IFERROR(__xludf.DUMMYFUNCTION("""COMPUTED_VALUE"""),"105776429445")</f>
        <v>105776429445</v>
      </c>
    </row>
    <row r="9789" spans="1:11" ht="12.45">
      <c r="A9789" s="2" t="str">
        <f ca="1">IFERROR(__xludf.DUMMYFUNCTION("""COMPUTED_VALUE"""),"105776429520")</f>
        <v>105776429520</v>
      </c>
      <c r="C9789" s="2" t="str">
        <v>0</v>
      </c>
      <c r="F9789" s="2" t="str">
        <v>0</v>
      </c>
      <c r="I9789" s="2" t="str">
        <f ca="1">IFERROR(__xludf.DUMMYFUNCTION("""COMPUTED_VALUE"""),"Xa Lan Chúc ")</f>
        <v xml:space="preserve">Xa Lan Chúc </v>
      </c>
      <c r="J9789" s="2" t="str">
        <f ca="1">IFERROR(__xludf.DUMMYFUNCTION("""COMPUTED_VALUE"""),"0889737308")</f>
        <v>0889737308</v>
      </c>
      <c r="K9789" s="2" t="str">
        <f ca="1">IFERROR(__xludf.DUMMYFUNCTION("""COMPUTED_VALUE"""),"105776429520")</f>
        <v>105776429520</v>
      </c>
    </row>
    <row r="9790" spans="1:11" ht="12.45">
      <c r="A9790" s="2" t="str">
        <f ca="1">IFERROR(__xludf.DUMMYFUNCTION("""COMPUTED_VALUE"""),"105776429737")</f>
        <v>105776429737</v>
      </c>
      <c r="C9790" s="2" t="str">
        <v>0</v>
      </c>
      <c r="F9790" s="2" t="str">
        <v>0</v>
      </c>
      <c r="I9790" s="2" t="str">
        <f ca="1">IFERROR(__xludf.DUMMYFUNCTION("""COMPUTED_VALUE"""),"Nguyễn Thị Như Quỳnh")</f>
        <v>Nguyễn Thị Như Quỳnh</v>
      </c>
      <c r="J9790" s="2" t="str">
        <f ca="1">IFERROR(__xludf.DUMMYFUNCTION("""COMPUTED_VALUE"""),"0968330387")</f>
        <v>0968330387</v>
      </c>
      <c r="K9790" s="2" t="str">
        <f ca="1">IFERROR(__xludf.DUMMYFUNCTION("""COMPUTED_VALUE"""),"105776429737")</f>
        <v>105776429737</v>
      </c>
    </row>
    <row r="9791" spans="1:11" ht="12.45">
      <c r="A9791" s="2" t="str">
        <f ca="1">IFERROR(__xludf.DUMMYFUNCTION("""COMPUTED_VALUE"""),"105776429896")</f>
        <v>105776429896</v>
      </c>
      <c r="C9791" s="2" t="str">
        <v>0</v>
      </c>
      <c r="F9791" s="2" t="str">
        <v>0</v>
      </c>
      <c r="I9791" s="2" t="str">
        <f ca="1">IFERROR(__xludf.DUMMYFUNCTION("""COMPUTED_VALUE"""),"Lê Viết Nghĩa")</f>
        <v>Lê Viết Nghĩa</v>
      </c>
      <c r="J9791" s="2" t="str">
        <f ca="1">IFERROR(__xludf.DUMMYFUNCTION("""COMPUTED_VALUE"""),"0981101156")</f>
        <v>0981101156</v>
      </c>
      <c r="K9791" s="2" t="str">
        <f ca="1">IFERROR(__xludf.DUMMYFUNCTION("""COMPUTED_VALUE"""),"105776429896")</f>
        <v>105776429896</v>
      </c>
    </row>
    <row r="9792" spans="1:11" ht="12.45">
      <c r="A9792" s="2" t="str">
        <f ca="1">IFERROR(__xludf.DUMMYFUNCTION("""COMPUTED_VALUE"""),"105776429965")</f>
        <v>105776429965</v>
      </c>
      <c r="C9792" s="2" t="str">
        <v>0</v>
      </c>
      <c r="F9792" s="2" t="str">
        <v>0</v>
      </c>
      <c r="I9792" s="2" t="str">
        <f ca="1">IFERROR(__xludf.DUMMYFUNCTION("""COMPUTED_VALUE"""),"Điêu Thị Vân Oanh ")</f>
        <v xml:space="preserve">Điêu Thị Vân Oanh </v>
      </c>
      <c r="J9792" s="2" t="str">
        <f ca="1">IFERROR(__xludf.DUMMYFUNCTION("""COMPUTED_VALUE"""),"0337159907")</f>
        <v>0337159907</v>
      </c>
      <c r="K9792" s="2" t="str">
        <f ca="1">IFERROR(__xludf.DUMMYFUNCTION("""COMPUTED_VALUE"""),"105776429965")</f>
        <v>105776429965</v>
      </c>
    </row>
    <row r="9793" spans="1:11" ht="12.45">
      <c r="A9793" s="2" t="str">
        <f ca="1">IFERROR(__xludf.DUMMYFUNCTION("""COMPUTED_VALUE"""),"105776430196")</f>
        <v>105776430196</v>
      </c>
      <c r="C9793" s="2" t="str">
        <v>0</v>
      </c>
      <c r="F9793" s="2" t="str">
        <v>0</v>
      </c>
      <c r="I9793" s="2" t="str">
        <f ca="1">IFERROR(__xludf.DUMMYFUNCTION("""COMPUTED_VALUE"""),"Nguyễn Thị Hoài Trang")</f>
        <v>Nguyễn Thị Hoài Trang</v>
      </c>
      <c r="J9793" s="2" t="str">
        <f ca="1">IFERROR(__xludf.DUMMYFUNCTION("""COMPUTED_VALUE"""),"0793727083")</f>
        <v>0793727083</v>
      </c>
      <c r="K9793" s="2" t="str">
        <f ca="1">IFERROR(__xludf.DUMMYFUNCTION("""COMPUTED_VALUE"""),"105776430196")</f>
        <v>105776430196</v>
      </c>
    </row>
    <row r="9794" spans="1:11" ht="12.45">
      <c r="A9794" s="2" t="str">
        <f ca="1">IFERROR(__xludf.DUMMYFUNCTION("""COMPUTED_VALUE"""),"105776430397")</f>
        <v>105776430397</v>
      </c>
      <c r="C9794" s="2" t="str">
        <v>0</v>
      </c>
      <c r="F9794" s="2" t="str">
        <v>0</v>
      </c>
      <c r="I9794" s="2" t="str">
        <f ca="1">IFERROR(__xludf.DUMMYFUNCTION("""COMPUTED_VALUE"""),"Nguyễn Phương Mai ")</f>
        <v xml:space="preserve">Nguyễn Phương Mai </v>
      </c>
      <c r="J9794" s="2" t="str">
        <f ca="1">IFERROR(__xludf.DUMMYFUNCTION("""COMPUTED_VALUE"""),"0392603207")</f>
        <v>0392603207</v>
      </c>
      <c r="K9794" s="2" t="str">
        <f ca="1">IFERROR(__xludf.DUMMYFUNCTION("""COMPUTED_VALUE"""),"105776430397")</f>
        <v>105776430397</v>
      </c>
    </row>
    <row r="9795" spans="1:11" ht="12.45">
      <c r="A9795" s="2" t="str">
        <f ca="1">IFERROR(__xludf.DUMMYFUNCTION("""COMPUTED_VALUE"""),"105776430468")</f>
        <v>105776430468</v>
      </c>
      <c r="C9795" s="2" t="str">
        <v>0</v>
      </c>
      <c r="F9795" s="2" t="str">
        <v>0</v>
      </c>
      <c r="I9795" s="2" t="str">
        <f ca="1">IFERROR(__xludf.DUMMYFUNCTION("""COMPUTED_VALUE"""),"Phạm Bùi Nguyễn Hải Anh ")</f>
        <v xml:space="preserve">Phạm Bùi Nguyễn Hải Anh </v>
      </c>
      <c r="J9795" s="2" t="str">
        <f ca="1">IFERROR(__xludf.DUMMYFUNCTION("""COMPUTED_VALUE"""),"0388339283")</f>
        <v>0388339283</v>
      </c>
      <c r="K9795" s="2" t="str">
        <f ca="1">IFERROR(__xludf.DUMMYFUNCTION("""COMPUTED_VALUE"""),"105776430468")</f>
        <v>105776430468</v>
      </c>
    </row>
    <row r="9796" spans="1:11" ht="12.45">
      <c r="A9796" s="2" t="str">
        <f ca="1">IFERROR(__xludf.DUMMYFUNCTION("""COMPUTED_VALUE"""),"105776430641")</f>
        <v>105776430641</v>
      </c>
      <c r="C9796" s="2" t="str">
        <v>0</v>
      </c>
      <c r="F9796" s="2" t="str">
        <v>0</v>
      </c>
      <c r="I9796" s="2" t="str">
        <f ca="1">IFERROR(__xludf.DUMMYFUNCTION("""COMPUTED_VALUE"""),"Nguyễn Ngọc Mỹ Tâm")</f>
        <v>Nguyễn Ngọc Mỹ Tâm</v>
      </c>
      <c r="J9796" s="2" t="str">
        <f ca="1">IFERROR(__xludf.DUMMYFUNCTION("""COMPUTED_VALUE"""),"0901408585")</f>
        <v>0901408585</v>
      </c>
      <c r="K9796" s="2" t="str">
        <f ca="1">IFERROR(__xludf.DUMMYFUNCTION("""COMPUTED_VALUE"""),"105776430641")</f>
        <v>105776430641</v>
      </c>
    </row>
    <row r="9797" spans="1:11" ht="12.45">
      <c r="A9797" s="2" t="str">
        <f ca="1">IFERROR(__xludf.DUMMYFUNCTION("""COMPUTED_VALUE"""),"105776430713")</f>
        <v>105776430713</v>
      </c>
      <c r="C9797" s="2" t="str">
        <v>0</v>
      </c>
      <c r="F9797" s="2" t="str">
        <v>0</v>
      </c>
      <c r="I9797" s="2" t="str">
        <f ca="1">IFERROR(__xludf.DUMMYFUNCTION("""COMPUTED_VALUE"""),"Nguyễn Ngọc Bảo Trâm")</f>
        <v>Nguyễn Ngọc Bảo Trâm</v>
      </c>
      <c r="J9797" s="2" t="str">
        <f ca="1">IFERROR(__xludf.DUMMYFUNCTION("""COMPUTED_VALUE"""),"8485421555")</f>
        <v>8485421555</v>
      </c>
      <c r="K9797" s="2" t="str">
        <f ca="1">IFERROR(__xludf.DUMMYFUNCTION("""COMPUTED_VALUE"""),"105776430713")</f>
        <v>105776430713</v>
      </c>
    </row>
    <row r="9798" spans="1:11" ht="12.45">
      <c r="A9798" s="2" t="str">
        <f ca="1">IFERROR(__xludf.DUMMYFUNCTION("""COMPUTED_VALUE"""),"105776430826")</f>
        <v>105776430826</v>
      </c>
      <c r="C9798" s="2" t="str">
        <v>0</v>
      </c>
      <c r="F9798" s="2" t="str">
        <v>0</v>
      </c>
      <c r="I9798" s="2" t="str">
        <f ca="1">IFERROR(__xludf.DUMMYFUNCTION("""COMPUTED_VALUE"""),"Nguyễn Hoàng Thảo")</f>
        <v>Nguyễn Hoàng Thảo</v>
      </c>
      <c r="J9798" s="2" t="str">
        <f ca="1">IFERROR(__xludf.DUMMYFUNCTION("""COMPUTED_VALUE"""),"0827950910")</f>
        <v>0827950910</v>
      </c>
      <c r="K9798" s="2" t="str">
        <f ca="1">IFERROR(__xludf.DUMMYFUNCTION("""COMPUTED_VALUE"""),"105776430826")</f>
        <v>105776430826</v>
      </c>
    </row>
    <row r="9799" spans="1:11" ht="12.45">
      <c r="A9799" s="2" t="str">
        <f ca="1">IFERROR(__xludf.DUMMYFUNCTION("""COMPUTED_VALUE"""),"105776430985")</f>
        <v>105776430985</v>
      </c>
      <c r="C9799" s="2" t="str">
        <v>0</v>
      </c>
      <c r="F9799" s="2" t="str">
        <v>0</v>
      </c>
      <c r="I9799" s="2" t="str">
        <f ca="1">IFERROR(__xludf.DUMMYFUNCTION("""COMPUTED_VALUE"""),"Đặng Mộc Nhã Trúc ")</f>
        <v xml:space="preserve">Đặng Mộc Nhã Trúc </v>
      </c>
      <c r="J9799" s="2" t="str">
        <f ca="1">IFERROR(__xludf.DUMMYFUNCTION("""COMPUTED_VALUE"""),"0944052372")</f>
        <v>0944052372</v>
      </c>
      <c r="K9799" s="2" t="str">
        <f ca="1">IFERROR(__xludf.DUMMYFUNCTION("""COMPUTED_VALUE"""),"105776430985")</f>
        <v>105776430985</v>
      </c>
    </row>
    <row r="9800" spans="1:11" ht="12.45">
      <c r="A9800" s="2"/>
      <c r="C9800" s="2" t="str">
        <v>0</v>
      </c>
      <c r="F9800" s="2" t="str">
        <v>0</v>
      </c>
      <c r="I9800" s="2" t="str">
        <f ca="1">IFERROR(__xludf.DUMMYFUNCTION("""COMPUTED_VALUE"""),"Trần Ngọc Linh")</f>
        <v>Trần Ngọc Linh</v>
      </c>
      <c r="J9800" s="2" t="str">
        <f ca="1">IFERROR(__xludf.DUMMYFUNCTION("""COMPUTED_VALUE"""),"0825766138")</f>
        <v>0825766138</v>
      </c>
      <c r="K9800" s="2"/>
    </row>
    <row r="9801" spans="1:11" ht="12.45">
      <c r="A9801" s="2" t="str">
        <f ca="1">IFERROR(__xludf.DUMMYFUNCTION("""COMPUTED_VALUE"""),"105776431083")</f>
        <v>105776431083</v>
      </c>
      <c r="C9801" s="2" t="str">
        <v>0</v>
      </c>
      <c r="F9801" s="2" t="str">
        <v>0</v>
      </c>
      <c r="I9801" s="2" t="str">
        <f ca="1">IFERROR(__xludf.DUMMYFUNCTION("""COMPUTED_VALUE"""),"Nguyễn Trần Bảo An")</f>
        <v>Nguyễn Trần Bảo An</v>
      </c>
      <c r="J9801" s="2" t="str">
        <f ca="1">IFERROR(__xludf.DUMMYFUNCTION("""COMPUTED_VALUE"""),"0869673739")</f>
        <v>0869673739</v>
      </c>
      <c r="K9801" s="2" t="str">
        <f ca="1">IFERROR(__xludf.DUMMYFUNCTION("""COMPUTED_VALUE"""),"105776431083")</f>
        <v>105776431083</v>
      </c>
    </row>
    <row r="9802" spans="1:11" ht="12.45">
      <c r="A9802" s="2" t="str">
        <f ca="1">IFERROR(__xludf.DUMMYFUNCTION("""COMPUTED_VALUE"""),"105776431138")</f>
        <v>105776431138</v>
      </c>
      <c r="C9802" s="2" t="str">
        <v>0</v>
      </c>
      <c r="F9802" s="2" t="str">
        <v>0</v>
      </c>
      <c r="I9802" s="2" t="str">
        <f ca="1">IFERROR(__xludf.DUMMYFUNCTION("""COMPUTED_VALUE"""),"Tô Nhật Tuấn")</f>
        <v>Tô Nhật Tuấn</v>
      </c>
      <c r="J9802" s="2" t="str">
        <f ca="1">IFERROR(__xludf.DUMMYFUNCTION("""COMPUTED_VALUE"""),"0329965238")</f>
        <v>0329965238</v>
      </c>
      <c r="K9802" s="2" t="str">
        <f ca="1">IFERROR(__xludf.DUMMYFUNCTION("""COMPUTED_VALUE"""),"105776431138")</f>
        <v>105776431138</v>
      </c>
    </row>
    <row r="9803" spans="1:11" ht="12.45">
      <c r="A9803" s="2" t="str">
        <f ca="1">IFERROR(__xludf.DUMMYFUNCTION("""COMPUTED_VALUE"""),"105776431267")</f>
        <v>105776431267</v>
      </c>
      <c r="C9803" s="2" t="str">
        <v>0</v>
      </c>
      <c r="F9803" s="2" t="str">
        <v>0</v>
      </c>
      <c r="I9803" s="2" t="str">
        <f ca="1">IFERROR(__xludf.DUMMYFUNCTION("""COMPUTED_VALUE"""),"Vũ Thị Nhật Anh")</f>
        <v>Vũ Thị Nhật Anh</v>
      </c>
      <c r="J9803" s="2" t="str">
        <f ca="1">IFERROR(__xludf.DUMMYFUNCTION("""COMPUTED_VALUE"""),"0358876829")</f>
        <v>0358876829</v>
      </c>
      <c r="K9803" s="2" t="str">
        <f ca="1">IFERROR(__xludf.DUMMYFUNCTION("""COMPUTED_VALUE"""),"105776431267")</f>
        <v>105776431267</v>
      </c>
    </row>
    <row r="9804" spans="1:11" ht="12.45">
      <c r="A9804" s="2" t="str">
        <f ca="1">IFERROR(__xludf.DUMMYFUNCTION("""COMPUTED_VALUE"""),"105776431354")</f>
        <v>105776431354</v>
      </c>
      <c r="C9804" s="2" t="str">
        <v>0</v>
      </c>
      <c r="F9804" s="2" t="str">
        <v>0</v>
      </c>
      <c r="I9804" s="2" t="str">
        <f ca="1">IFERROR(__xludf.DUMMYFUNCTION("""COMPUTED_VALUE"""),"Đào Mai Nguyên ")</f>
        <v xml:space="preserve">Đào Mai Nguyên </v>
      </c>
      <c r="J9804" s="2" t="str">
        <f ca="1">IFERROR(__xludf.DUMMYFUNCTION("""COMPUTED_VALUE"""),"0969277845")</f>
        <v>0969277845</v>
      </c>
      <c r="K9804" s="2" t="str">
        <f ca="1">IFERROR(__xludf.DUMMYFUNCTION("""COMPUTED_VALUE"""),"105776431354")</f>
        <v>105776431354</v>
      </c>
    </row>
    <row r="9805" spans="1:11" ht="12.45">
      <c r="A9805" s="2" t="str">
        <f ca="1">IFERROR(__xludf.DUMMYFUNCTION("""COMPUTED_VALUE"""),"105776431435")</f>
        <v>105776431435</v>
      </c>
      <c r="C9805" s="2" t="str">
        <v>0</v>
      </c>
      <c r="F9805" s="2" t="str">
        <v>0</v>
      </c>
      <c r="I9805" s="2" t="str">
        <f ca="1">IFERROR(__xludf.DUMMYFUNCTION("""COMPUTED_VALUE"""),"Lê Minh Vi Na ")</f>
        <v xml:space="preserve">Lê Minh Vi Na </v>
      </c>
      <c r="J9805" s="2" t="str">
        <f ca="1">IFERROR(__xludf.DUMMYFUNCTION("""COMPUTED_VALUE"""),"0354484006")</f>
        <v>0354484006</v>
      </c>
      <c r="K9805" s="2" t="str">
        <f ca="1">IFERROR(__xludf.DUMMYFUNCTION("""COMPUTED_VALUE"""),"105776431435")</f>
        <v>105776431435</v>
      </c>
    </row>
    <row r="9806" spans="1:11" ht="12.45">
      <c r="A9806" s="2" t="str">
        <f ca="1">IFERROR(__xludf.DUMMYFUNCTION("""COMPUTED_VALUE"""),"105776431569")</f>
        <v>105776431569</v>
      </c>
      <c r="C9806" s="2" t="str">
        <v>0</v>
      </c>
      <c r="F9806" s="2" t="str">
        <v>0</v>
      </c>
      <c r="I9806" s="2" t="str">
        <f ca="1">IFERROR(__xludf.DUMMYFUNCTION("""COMPUTED_VALUE"""),"Nguyễn Tống Hoàng Linh")</f>
        <v>Nguyễn Tống Hoàng Linh</v>
      </c>
      <c r="J9806" s="2" t="str">
        <f ca="1">IFERROR(__xludf.DUMMYFUNCTION("""COMPUTED_VALUE"""),"0792007528")</f>
        <v>0792007528</v>
      </c>
      <c r="K9806" s="2" t="str">
        <f ca="1">IFERROR(__xludf.DUMMYFUNCTION("""COMPUTED_VALUE"""),"105776431569")</f>
        <v>105776431569</v>
      </c>
    </row>
    <row r="9807" spans="1:11" ht="12.45">
      <c r="A9807" s="2" t="str">
        <f ca="1">IFERROR(__xludf.DUMMYFUNCTION("""COMPUTED_VALUE"""),"105776431761")</f>
        <v>105776431761</v>
      </c>
      <c r="C9807" s="2" t="str">
        <v>0</v>
      </c>
      <c r="F9807" s="2" t="str">
        <v>0</v>
      </c>
      <c r="I9807" s="2" t="str">
        <f ca="1">IFERROR(__xludf.DUMMYFUNCTION("""COMPUTED_VALUE"""),"Đặng Văn Ngữ")</f>
        <v>Đặng Văn Ngữ</v>
      </c>
      <c r="J9807" s="2" t="str">
        <f ca="1">IFERROR(__xludf.DUMMYFUNCTION("""COMPUTED_VALUE"""),"0386310747")</f>
        <v>0386310747</v>
      </c>
      <c r="K9807" s="2" t="str">
        <f ca="1">IFERROR(__xludf.DUMMYFUNCTION("""COMPUTED_VALUE"""),"105776431761")</f>
        <v>105776431761</v>
      </c>
    </row>
    <row r="9808" spans="1:11" ht="12.45">
      <c r="A9808" s="2" t="str">
        <f ca="1">IFERROR(__xludf.DUMMYFUNCTION("""COMPUTED_VALUE"""),"105776431852")</f>
        <v>105776431852</v>
      </c>
      <c r="C9808" s="2" t="str">
        <v>0</v>
      </c>
      <c r="F9808" s="2" t="str">
        <v>0</v>
      </c>
      <c r="I9808" s="2" t="str">
        <f ca="1">IFERROR(__xludf.DUMMYFUNCTION("""COMPUTED_VALUE"""),"Nguyễn Thị Hồng")</f>
        <v>Nguyễn Thị Hồng</v>
      </c>
      <c r="J9808" s="2" t="str">
        <f ca="1">IFERROR(__xludf.DUMMYFUNCTION("""COMPUTED_VALUE"""),"0369529108")</f>
        <v>0369529108</v>
      </c>
      <c r="K9808" s="2" t="str">
        <f ca="1">IFERROR(__xludf.DUMMYFUNCTION("""COMPUTED_VALUE"""),"105776431852")</f>
        <v>105776431852</v>
      </c>
    </row>
    <row r="9809" spans="1:11" ht="12.45">
      <c r="A9809" s="2" t="str">
        <f ca="1">IFERROR(__xludf.DUMMYFUNCTION("""COMPUTED_VALUE"""),"105776431971")</f>
        <v>105776431971</v>
      </c>
      <c r="C9809" s="2" t="str">
        <v>0</v>
      </c>
      <c r="F9809" s="2" t="str">
        <v>0</v>
      </c>
      <c r="I9809" s="2" t="str">
        <f ca="1">IFERROR(__xludf.DUMMYFUNCTION("""COMPUTED_VALUE"""),"Nguyễn Đàm Quỳnh Anh ")</f>
        <v xml:space="preserve">Nguyễn Đàm Quỳnh Anh </v>
      </c>
      <c r="J9809" s="2" t="str">
        <f ca="1">IFERROR(__xludf.DUMMYFUNCTION("""COMPUTED_VALUE"""),"0867813814")</f>
        <v>0867813814</v>
      </c>
      <c r="K9809" s="2" t="str">
        <f ca="1">IFERROR(__xludf.DUMMYFUNCTION("""COMPUTED_VALUE"""),"105776431971")</f>
        <v>105776431971</v>
      </c>
    </row>
    <row r="9810" spans="1:11" ht="12.45">
      <c r="A9810" s="2" t="str">
        <f ca="1">IFERROR(__xludf.DUMMYFUNCTION("""COMPUTED_VALUE"""),"105776432091")</f>
        <v>105776432091</v>
      </c>
      <c r="C9810" s="2" t="str">
        <v>0</v>
      </c>
      <c r="F9810" s="2" t="str">
        <v>0</v>
      </c>
      <c r="I9810" s="2" t="str">
        <f ca="1">IFERROR(__xludf.DUMMYFUNCTION("""COMPUTED_VALUE"""),"Lê Anh Tuấn")</f>
        <v>Lê Anh Tuấn</v>
      </c>
      <c r="J9810" s="2" t="str">
        <f ca="1">IFERROR(__xludf.DUMMYFUNCTION("""COMPUTED_VALUE"""),"0961104842")</f>
        <v>0961104842</v>
      </c>
      <c r="K9810" s="2" t="str">
        <f ca="1">IFERROR(__xludf.DUMMYFUNCTION("""COMPUTED_VALUE"""),"105776432091")</f>
        <v>105776432091</v>
      </c>
    </row>
    <row r="9811" spans="1:11" ht="12.45">
      <c r="A9811" s="2" t="str">
        <f ca="1">IFERROR(__xludf.DUMMYFUNCTION("""COMPUTED_VALUE"""),"105776432169")</f>
        <v>105776432169</v>
      </c>
      <c r="C9811" s="2" t="str">
        <v>0</v>
      </c>
      <c r="F9811" s="2" t="str">
        <v>0</v>
      </c>
      <c r="I9811" s="2" t="str">
        <f ca="1">IFERROR(__xludf.DUMMYFUNCTION("""COMPUTED_VALUE"""),"Trần Phương Trang")</f>
        <v>Trần Phương Trang</v>
      </c>
      <c r="J9811" s="2" t="str">
        <f ca="1">IFERROR(__xludf.DUMMYFUNCTION("""COMPUTED_VALUE"""),"0363825014")</f>
        <v>0363825014</v>
      </c>
      <c r="K9811" s="2" t="str">
        <f ca="1">IFERROR(__xludf.DUMMYFUNCTION("""COMPUTED_VALUE"""),"105776432169")</f>
        <v>105776432169</v>
      </c>
    </row>
    <row r="9812" spans="1:11" ht="12.45">
      <c r="A9812" s="2" t="str">
        <f ca="1">IFERROR(__xludf.DUMMYFUNCTION("""COMPUTED_VALUE"""),"105776432248")</f>
        <v>105776432248</v>
      </c>
      <c r="C9812" s="2" t="str">
        <v>0</v>
      </c>
      <c r="F9812" s="2" t="str">
        <v>0</v>
      </c>
      <c r="I9812" s="2" t="str">
        <f ca="1">IFERROR(__xludf.DUMMYFUNCTION("""COMPUTED_VALUE"""),"Nguyễn Đình Duy")</f>
        <v>Nguyễn Đình Duy</v>
      </c>
      <c r="J9812" s="2" t="str">
        <f ca="1">IFERROR(__xludf.DUMMYFUNCTION("""COMPUTED_VALUE"""),"0836782287")</f>
        <v>0836782287</v>
      </c>
      <c r="K9812" s="2" t="str">
        <f ca="1">IFERROR(__xludf.DUMMYFUNCTION("""COMPUTED_VALUE"""),"105776432248")</f>
        <v>105776432248</v>
      </c>
    </row>
    <row r="9813" spans="1:11" ht="12.45">
      <c r="A9813" s="2" t="str">
        <f ca="1">IFERROR(__xludf.DUMMYFUNCTION("""COMPUTED_VALUE"""),"105776432493")</f>
        <v>105776432493</v>
      </c>
      <c r="C9813" s="2" t="str">
        <v>0</v>
      </c>
      <c r="F9813" s="2" t="str">
        <v>0</v>
      </c>
      <c r="I9813" s="2" t="str">
        <f ca="1">IFERROR(__xludf.DUMMYFUNCTION("""COMPUTED_VALUE"""),"Đặng Thanh Hà")</f>
        <v>Đặng Thanh Hà</v>
      </c>
      <c r="J9813" s="2" t="str">
        <f ca="1">IFERROR(__xludf.DUMMYFUNCTION("""COMPUTED_VALUE"""),"0969077772")</f>
        <v>0969077772</v>
      </c>
      <c r="K9813" s="2" t="str">
        <f ca="1">IFERROR(__xludf.DUMMYFUNCTION("""COMPUTED_VALUE"""),"105776432493")</f>
        <v>105776432493</v>
      </c>
    </row>
    <row r="9814" spans="1:11" ht="12.45">
      <c r="A9814" s="2" t="str">
        <f ca="1">IFERROR(__xludf.DUMMYFUNCTION("""COMPUTED_VALUE"""),"105776432593")</f>
        <v>105776432593</v>
      </c>
      <c r="C9814" s="2" t="str">
        <v>0</v>
      </c>
      <c r="F9814" s="2" t="str">
        <v>0</v>
      </c>
      <c r="I9814" s="2" t="str">
        <f ca="1">IFERROR(__xludf.DUMMYFUNCTION("""COMPUTED_VALUE"""),"Nguyễn Thị Thanh Phú")</f>
        <v>Nguyễn Thị Thanh Phú</v>
      </c>
      <c r="J9814" s="2" t="str">
        <f ca="1">IFERROR(__xludf.DUMMYFUNCTION("""COMPUTED_VALUE"""),"0399129774")</f>
        <v>0399129774</v>
      </c>
      <c r="K9814" s="2" t="str">
        <f ca="1">IFERROR(__xludf.DUMMYFUNCTION("""COMPUTED_VALUE"""),"105776432593")</f>
        <v>105776432593</v>
      </c>
    </row>
    <row r="9815" spans="1:11" ht="12.45">
      <c r="A9815" s="2" t="str">
        <f ca="1">IFERROR(__xludf.DUMMYFUNCTION("""COMPUTED_VALUE"""),"105776432630")</f>
        <v>105776432630</v>
      </c>
      <c r="C9815" s="2" t="str">
        <v>0</v>
      </c>
      <c r="F9815" s="2" t="str">
        <v>0</v>
      </c>
      <c r="I9815" s="2" t="str">
        <f ca="1">IFERROR(__xludf.DUMMYFUNCTION("""COMPUTED_VALUE"""),"Lê Nguyễn Gia Phúc")</f>
        <v>Lê Nguyễn Gia Phúc</v>
      </c>
      <c r="J9815" s="2" t="str">
        <f ca="1">IFERROR(__xludf.DUMMYFUNCTION("""COMPUTED_VALUE"""),"0567928536")</f>
        <v>0567928536</v>
      </c>
      <c r="K9815" s="2" t="str">
        <f ca="1">IFERROR(__xludf.DUMMYFUNCTION("""COMPUTED_VALUE"""),"105776432630")</f>
        <v>105776432630</v>
      </c>
    </row>
    <row r="9816" spans="1:11" ht="12.45">
      <c r="A9816" s="2" t="str">
        <f ca="1">IFERROR(__xludf.DUMMYFUNCTION("""COMPUTED_VALUE"""),"105776432724")</f>
        <v>105776432724</v>
      </c>
      <c r="C9816" s="2" t="str">
        <v>0</v>
      </c>
      <c r="F9816" s="2" t="str">
        <v>0</v>
      </c>
      <c r="I9816" s="2" t="str">
        <f ca="1">IFERROR(__xludf.DUMMYFUNCTION("""COMPUTED_VALUE"""),"Phan Hồng Hân")</f>
        <v>Phan Hồng Hân</v>
      </c>
      <c r="J9816" s="2" t="str">
        <f ca="1">IFERROR(__xludf.DUMMYFUNCTION("""COMPUTED_VALUE"""),"0945683706")</f>
        <v>0945683706</v>
      </c>
      <c r="K9816" s="2" t="str">
        <f ca="1">IFERROR(__xludf.DUMMYFUNCTION("""COMPUTED_VALUE"""),"105776432724")</f>
        <v>105776432724</v>
      </c>
    </row>
    <row r="9817" spans="1:11" ht="12.45">
      <c r="A9817" s="2" t="str">
        <f ca="1">IFERROR(__xludf.DUMMYFUNCTION("""COMPUTED_VALUE"""),"105776432882")</f>
        <v>105776432882</v>
      </c>
      <c r="C9817" s="2" t="str">
        <v>0</v>
      </c>
      <c r="F9817" s="2" t="str">
        <v>0</v>
      </c>
      <c r="I9817" s="2" t="str">
        <f ca="1">IFERROR(__xludf.DUMMYFUNCTION("""COMPUTED_VALUE"""),"Nguyễn Thái Ngọc Huỳnh ")</f>
        <v xml:space="preserve">Nguyễn Thái Ngọc Huỳnh </v>
      </c>
      <c r="J9817" s="2" t="str">
        <f ca="1">IFERROR(__xludf.DUMMYFUNCTION("""COMPUTED_VALUE"""),"0347693647")</f>
        <v>0347693647</v>
      </c>
      <c r="K9817" s="2" t="str">
        <f ca="1">IFERROR(__xludf.DUMMYFUNCTION("""COMPUTED_VALUE"""),"105776432882")</f>
        <v>105776432882</v>
      </c>
    </row>
    <row r="9818" spans="1:11" ht="12.45">
      <c r="A9818" s="2" t="str">
        <f ca="1">IFERROR(__xludf.DUMMYFUNCTION("""COMPUTED_VALUE"""),"105776433072")</f>
        <v>105776433072</v>
      </c>
      <c r="C9818" s="2" t="str">
        <v>0</v>
      </c>
      <c r="F9818" s="2" t="str">
        <v>0</v>
      </c>
      <c r="I9818" s="2" t="str">
        <f ca="1">IFERROR(__xludf.DUMMYFUNCTION("""COMPUTED_VALUE"""),"Phạm Khải Hoàn")</f>
        <v>Phạm Khải Hoàn</v>
      </c>
      <c r="J9818" s="2" t="str">
        <f ca="1">IFERROR(__xludf.DUMMYFUNCTION("""COMPUTED_VALUE"""),"0392598185")</f>
        <v>0392598185</v>
      </c>
      <c r="K9818" s="2" t="str">
        <f ca="1">IFERROR(__xludf.DUMMYFUNCTION("""COMPUTED_VALUE"""),"105776433072")</f>
        <v>105776433072</v>
      </c>
    </row>
    <row r="9819" spans="1:11" ht="12.45">
      <c r="A9819" s="2" t="str">
        <f ca="1">IFERROR(__xludf.DUMMYFUNCTION("""COMPUTED_VALUE"""),"105776433144")</f>
        <v>105776433144</v>
      </c>
      <c r="C9819" s="2" t="str">
        <v>0</v>
      </c>
      <c r="F9819" s="2" t="str">
        <v>0</v>
      </c>
      <c r="I9819" s="2" t="str">
        <f ca="1">IFERROR(__xludf.DUMMYFUNCTION("""COMPUTED_VALUE"""),"Nguyễn Thanh Tuyền ")</f>
        <v xml:space="preserve">Nguyễn Thanh Tuyền </v>
      </c>
      <c r="J9819" s="2" t="str">
        <f ca="1">IFERROR(__xludf.DUMMYFUNCTION("""COMPUTED_VALUE"""),"0337582293")</f>
        <v>0337582293</v>
      </c>
      <c r="K9819" s="2" t="str">
        <f ca="1">IFERROR(__xludf.DUMMYFUNCTION("""COMPUTED_VALUE"""),"105776433144")</f>
        <v>105776433144</v>
      </c>
    </row>
    <row r="9820" spans="1:11" ht="12.45">
      <c r="A9820" s="2" t="str">
        <f ca="1">IFERROR(__xludf.DUMMYFUNCTION("""COMPUTED_VALUE"""),"105776433259")</f>
        <v>105776433259</v>
      </c>
      <c r="C9820" s="2" t="str">
        <v>0</v>
      </c>
      <c r="F9820" s="2" t="str">
        <v>0</v>
      </c>
      <c r="I9820" s="2" t="str">
        <f ca="1">IFERROR(__xludf.DUMMYFUNCTION("""COMPUTED_VALUE"""),"Phạm nguyễn quốc bá ")</f>
        <v xml:space="preserve">Phạm nguyễn quốc bá </v>
      </c>
      <c r="J9820" s="2" t="str">
        <f ca="1">IFERROR(__xludf.DUMMYFUNCTION("""COMPUTED_VALUE"""),"0325456177")</f>
        <v>0325456177</v>
      </c>
      <c r="K9820" s="2" t="str">
        <f ca="1">IFERROR(__xludf.DUMMYFUNCTION("""COMPUTED_VALUE"""),"105776433259")</f>
        <v>105776433259</v>
      </c>
    </row>
    <row r="9821" spans="1:11" ht="12.45">
      <c r="A9821" s="2" t="str">
        <f ca="1">IFERROR(__xludf.DUMMYFUNCTION("""COMPUTED_VALUE"""),"105776433374")</f>
        <v>105776433374</v>
      </c>
      <c r="C9821" s="2" t="str">
        <v>0</v>
      </c>
      <c r="F9821" s="2" t="str">
        <v>0</v>
      </c>
      <c r="I9821" s="2" t="str">
        <f ca="1">IFERROR(__xludf.DUMMYFUNCTION("""COMPUTED_VALUE"""),"Lâm Kim Phụng")</f>
        <v>Lâm Kim Phụng</v>
      </c>
      <c r="J9821" s="2" t="str">
        <f ca="1">IFERROR(__xludf.DUMMYFUNCTION("""COMPUTED_VALUE"""),"0939463128")</f>
        <v>0939463128</v>
      </c>
      <c r="K9821" s="2" t="str">
        <f ca="1">IFERROR(__xludf.DUMMYFUNCTION("""COMPUTED_VALUE"""),"105776433374")</f>
        <v>105776433374</v>
      </c>
    </row>
    <row r="9822" spans="1:11" ht="12.45">
      <c r="A9822" s="2" t="str">
        <f ca="1">IFERROR(__xludf.DUMMYFUNCTION("""COMPUTED_VALUE"""),"105776433444")</f>
        <v>105776433444</v>
      </c>
      <c r="C9822" s="2" t="str">
        <v>0</v>
      </c>
      <c r="F9822" s="2" t="str">
        <v>0</v>
      </c>
      <c r="I9822" s="2" t="str">
        <f ca="1">IFERROR(__xludf.DUMMYFUNCTION("""COMPUTED_VALUE"""),"Võ Như Vy")</f>
        <v>Võ Như Vy</v>
      </c>
      <c r="J9822" s="2" t="str">
        <f ca="1">IFERROR(__xludf.DUMMYFUNCTION("""COMPUTED_VALUE"""),"0794455987")</f>
        <v>0794455987</v>
      </c>
      <c r="K9822" s="2" t="str">
        <f ca="1">IFERROR(__xludf.DUMMYFUNCTION("""COMPUTED_VALUE"""),"105776433444")</f>
        <v>105776433444</v>
      </c>
    </row>
    <row r="9823" spans="1:11" ht="12.45">
      <c r="A9823" s="2" t="str">
        <f ca="1">IFERROR(__xludf.DUMMYFUNCTION("""COMPUTED_VALUE"""),"105776433538")</f>
        <v>105776433538</v>
      </c>
      <c r="C9823" s="2" t="str">
        <v>0</v>
      </c>
      <c r="F9823" s="2" t="str">
        <v>0</v>
      </c>
      <c r="I9823" s="2" t="str">
        <f ca="1">IFERROR(__xludf.DUMMYFUNCTION("""COMPUTED_VALUE"""),"Nguyễn Bảo Nhi")</f>
        <v>Nguyễn Bảo Nhi</v>
      </c>
      <c r="J9823" s="2" t="str">
        <f ca="1">IFERROR(__xludf.DUMMYFUNCTION("""COMPUTED_VALUE"""),"0979568506")</f>
        <v>0979568506</v>
      </c>
      <c r="K9823" s="2" t="str">
        <f ca="1">IFERROR(__xludf.DUMMYFUNCTION("""COMPUTED_VALUE"""),"105776433538")</f>
        <v>105776433538</v>
      </c>
    </row>
    <row r="9824" spans="1:11" ht="12.45">
      <c r="A9824" s="2" t="str">
        <f ca="1">IFERROR(__xludf.DUMMYFUNCTION("""COMPUTED_VALUE"""),"105776433612")</f>
        <v>105776433612</v>
      </c>
      <c r="C9824" s="2" t="str">
        <v>0</v>
      </c>
      <c r="F9824" s="2" t="str">
        <v>0</v>
      </c>
      <c r="I9824" s="2" t="str">
        <f ca="1">IFERROR(__xludf.DUMMYFUNCTION("""COMPUTED_VALUE"""),"Nguyễn Ngọc Anh")</f>
        <v>Nguyễn Ngọc Anh</v>
      </c>
      <c r="J9824" s="2" t="str">
        <f ca="1">IFERROR(__xludf.DUMMYFUNCTION("""COMPUTED_VALUE"""),"0388778386")</f>
        <v>0388778386</v>
      </c>
      <c r="K9824" s="2" t="str">
        <f ca="1">IFERROR(__xludf.DUMMYFUNCTION("""COMPUTED_VALUE"""),"105776433612")</f>
        <v>105776433612</v>
      </c>
    </row>
    <row r="9825" spans="1:11" ht="12.45">
      <c r="A9825" s="2" t="str">
        <f ca="1">IFERROR(__xludf.DUMMYFUNCTION("""COMPUTED_VALUE"""),"105776433746")</f>
        <v>105776433746</v>
      </c>
      <c r="C9825" s="2" t="str">
        <v>0</v>
      </c>
      <c r="F9825" s="2" t="str">
        <v>0</v>
      </c>
      <c r="I9825" s="2" t="str">
        <f ca="1">IFERROR(__xludf.DUMMYFUNCTION("""COMPUTED_VALUE"""),"Lê Thị Bích Hạnh")</f>
        <v>Lê Thị Bích Hạnh</v>
      </c>
      <c r="J9825" s="2" t="str">
        <f ca="1">IFERROR(__xludf.DUMMYFUNCTION("""COMPUTED_VALUE"""),"0777862423")</f>
        <v>0777862423</v>
      </c>
      <c r="K9825" s="2" t="str">
        <f ca="1">IFERROR(__xludf.DUMMYFUNCTION("""COMPUTED_VALUE"""),"105776433746")</f>
        <v>105776433746</v>
      </c>
    </row>
    <row r="9826" spans="1:11" ht="12.45">
      <c r="A9826" s="2" t="str">
        <f ca="1">IFERROR(__xludf.DUMMYFUNCTION("""COMPUTED_VALUE"""),"105776433896")</f>
        <v>105776433896</v>
      </c>
      <c r="C9826" s="2" t="str">
        <v>0</v>
      </c>
      <c r="F9826" s="2" t="str">
        <v>0</v>
      </c>
      <c r="I9826" s="2" t="str">
        <f ca="1">IFERROR(__xludf.DUMMYFUNCTION("""COMPUTED_VALUE"""),"Nguyễn Thị Thu Hà")</f>
        <v>Nguyễn Thị Thu Hà</v>
      </c>
      <c r="J9826" s="2" t="str">
        <f ca="1">IFERROR(__xludf.DUMMYFUNCTION("""COMPUTED_VALUE"""),"0867903951")</f>
        <v>0867903951</v>
      </c>
      <c r="K9826" s="2" t="str">
        <f ca="1">IFERROR(__xludf.DUMMYFUNCTION("""COMPUTED_VALUE"""),"105776433896")</f>
        <v>105776433896</v>
      </c>
    </row>
    <row r="9827" spans="1:11" ht="12.45">
      <c r="A9827" s="2" t="str">
        <f ca="1">IFERROR(__xludf.DUMMYFUNCTION("""COMPUTED_VALUE"""),"105776433959")</f>
        <v>105776433959</v>
      </c>
      <c r="C9827" s="2" t="str">
        <v>0</v>
      </c>
      <c r="F9827" s="2" t="str">
        <v>0</v>
      </c>
      <c r="I9827" s="2" t="str">
        <f ca="1">IFERROR(__xludf.DUMMYFUNCTION("""COMPUTED_VALUE"""),"Nguyễn Thị Vân Anh")</f>
        <v>Nguyễn Thị Vân Anh</v>
      </c>
      <c r="J9827" s="2" t="str">
        <f ca="1">IFERROR(__xludf.DUMMYFUNCTION("""COMPUTED_VALUE"""),"0337987207")</f>
        <v>0337987207</v>
      </c>
      <c r="K9827" s="2" t="str">
        <f ca="1">IFERROR(__xludf.DUMMYFUNCTION("""COMPUTED_VALUE"""),"105776433959")</f>
        <v>105776433959</v>
      </c>
    </row>
    <row r="9828" spans="1:11" ht="12.45">
      <c r="A9828" s="2" t="str">
        <f ca="1">IFERROR(__xludf.DUMMYFUNCTION("""COMPUTED_VALUE"""),"105776434078")</f>
        <v>105776434078</v>
      </c>
      <c r="C9828" s="2" t="str">
        <v>0</v>
      </c>
      <c r="F9828" s="2" t="str">
        <v>0</v>
      </c>
      <c r="I9828" s="2" t="str">
        <f ca="1">IFERROR(__xludf.DUMMYFUNCTION("""COMPUTED_VALUE"""),"Nguyễn Thị Thuý Ngân")</f>
        <v>Nguyễn Thị Thuý Ngân</v>
      </c>
      <c r="J9828" s="2" t="str">
        <f ca="1">IFERROR(__xludf.DUMMYFUNCTION("""COMPUTED_VALUE"""),"0983577023")</f>
        <v>0983577023</v>
      </c>
      <c r="K9828" s="2" t="str">
        <f ca="1">IFERROR(__xludf.DUMMYFUNCTION("""COMPUTED_VALUE"""),"105776434078")</f>
        <v>105776434078</v>
      </c>
    </row>
    <row r="9829" spans="1:11" ht="12.45">
      <c r="A9829" s="2" t="str">
        <f ca="1">IFERROR(__xludf.DUMMYFUNCTION("""COMPUTED_VALUE"""),"105776434162")</f>
        <v>105776434162</v>
      </c>
      <c r="C9829" s="2" t="str">
        <v>0</v>
      </c>
      <c r="F9829" s="2" t="str">
        <v>0</v>
      </c>
      <c r="I9829" s="2" t="str">
        <f ca="1">IFERROR(__xludf.DUMMYFUNCTION("""COMPUTED_VALUE"""),"Trần Tuấn Kiệt")</f>
        <v>Trần Tuấn Kiệt</v>
      </c>
      <c r="J9829" s="2" t="str">
        <f ca="1">IFERROR(__xludf.DUMMYFUNCTION("""COMPUTED_VALUE"""),"0348619810")</f>
        <v>0348619810</v>
      </c>
      <c r="K9829" s="2" t="str">
        <f ca="1">IFERROR(__xludf.DUMMYFUNCTION("""COMPUTED_VALUE"""),"105776434162")</f>
        <v>105776434162</v>
      </c>
    </row>
    <row r="9830" spans="1:11" ht="12.45">
      <c r="A9830" s="2" t="str">
        <f ca="1">IFERROR(__xludf.DUMMYFUNCTION("""COMPUTED_VALUE"""),"105776434254")</f>
        <v>105776434254</v>
      </c>
      <c r="C9830" s="2" t="str">
        <v>0</v>
      </c>
      <c r="F9830" s="2" t="str">
        <v>0</v>
      </c>
      <c r="I9830" s="2" t="str">
        <f ca="1">IFERROR(__xludf.DUMMYFUNCTION("""COMPUTED_VALUE"""),"Hồ Thị Quỳnh Như")</f>
        <v>Hồ Thị Quỳnh Như</v>
      </c>
      <c r="J9830" s="2" t="str">
        <f ca="1">IFERROR(__xludf.DUMMYFUNCTION("""COMPUTED_VALUE"""),"0969762056")</f>
        <v>0969762056</v>
      </c>
      <c r="K9830" s="2" t="str">
        <f ca="1">IFERROR(__xludf.DUMMYFUNCTION("""COMPUTED_VALUE"""),"105776434254")</f>
        <v>105776434254</v>
      </c>
    </row>
    <row r="9831" spans="1:11" ht="12.45">
      <c r="A9831" s="2" t="str">
        <f ca="1">IFERROR(__xludf.DUMMYFUNCTION("""COMPUTED_VALUE"""),"105776434394")</f>
        <v>105776434394</v>
      </c>
      <c r="C9831" s="2" t="str">
        <v>0</v>
      </c>
      <c r="F9831" s="2" t="str">
        <v>0</v>
      </c>
      <c r="I9831" s="2" t="str">
        <f ca="1">IFERROR(__xludf.DUMMYFUNCTION("""COMPUTED_VALUE"""),"Võ Đỗ Quỳnh Nhi")</f>
        <v>Võ Đỗ Quỳnh Nhi</v>
      </c>
      <c r="J9831" s="2" t="str">
        <f ca="1">IFERROR(__xludf.DUMMYFUNCTION("""COMPUTED_VALUE"""),"0372044794")</f>
        <v>0372044794</v>
      </c>
      <c r="K9831" s="2" t="str">
        <f ca="1">IFERROR(__xludf.DUMMYFUNCTION("""COMPUTED_VALUE"""),"105776434394")</f>
        <v>105776434394</v>
      </c>
    </row>
    <row r="9832" spans="1:11" ht="12.45">
      <c r="A9832" s="2" t="str">
        <f ca="1">IFERROR(__xludf.DUMMYFUNCTION("""COMPUTED_VALUE"""),"105776434440")</f>
        <v>105776434440</v>
      </c>
      <c r="C9832" s="2" t="str">
        <v>0</v>
      </c>
      <c r="F9832" s="2" t="str">
        <v>0</v>
      </c>
      <c r="I9832" s="2" t="str">
        <f ca="1">IFERROR(__xludf.DUMMYFUNCTION("""COMPUTED_VALUE"""),"Hồ Trương Ngọc Mai Phương")</f>
        <v>Hồ Trương Ngọc Mai Phương</v>
      </c>
      <c r="J9832" s="2" t="str">
        <f ca="1">IFERROR(__xludf.DUMMYFUNCTION("""COMPUTED_VALUE"""),"0364153387")</f>
        <v>0364153387</v>
      </c>
      <c r="K9832" s="2" t="str">
        <f ca="1">IFERROR(__xludf.DUMMYFUNCTION("""COMPUTED_VALUE"""),"105776434440")</f>
        <v>105776434440</v>
      </c>
    </row>
    <row r="9833" spans="1:11" ht="12.45">
      <c r="A9833" s="2" t="str">
        <f ca="1">IFERROR(__xludf.DUMMYFUNCTION("""COMPUTED_VALUE"""),"105776434532")</f>
        <v>105776434532</v>
      </c>
      <c r="C9833" s="2" t="str">
        <v>0</v>
      </c>
      <c r="F9833" s="2" t="str">
        <v>0</v>
      </c>
      <c r="I9833" s="2" t="str">
        <f ca="1">IFERROR(__xludf.DUMMYFUNCTION("""COMPUTED_VALUE"""),"Nguyễn Thị Mỹ Lệ ")</f>
        <v xml:space="preserve">Nguyễn Thị Mỹ Lệ </v>
      </c>
      <c r="J9833" s="2" t="str">
        <f ca="1">IFERROR(__xludf.DUMMYFUNCTION("""COMPUTED_VALUE"""),"0705217088")</f>
        <v>0705217088</v>
      </c>
      <c r="K9833" s="2" t="str">
        <f ca="1">IFERROR(__xludf.DUMMYFUNCTION("""COMPUTED_VALUE"""),"105776434532")</f>
        <v>105776434532</v>
      </c>
    </row>
    <row r="9834" spans="1:11" ht="12.45">
      <c r="A9834" s="2" t="str">
        <f ca="1">IFERROR(__xludf.DUMMYFUNCTION("""COMPUTED_VALUE"""),"105776434651")</f>
        <v>105776434651</v>
      </c>
      <c r="C9834" s="2" t="str">
        <v>0</v>
      </c>
      <c r="F9834" s="2" t="str">
        <v>0</v>
      </c>
      <c r="I9834" s="2" t="str">
        <f ca="1">IFERROR(__xludf.DUMMYFUNCTION("""COMPUTED_VALUE"""),"Bùi Lài Thành Hiếu")</f>
        <v>Bùi Lài Thành Hiếu</v>
      </c>
      <c r="J9834" s="2" t="str">
        <f ca="1">IFERROR(__xludf.DUMMYFUNCTION("""COMPUTED_VALUE"""),"0355829713")</f>
        <v>0355829713</v>
      </c>
      <c r="K9834" s="2" t="str">
        <f ca="1">IFERROR(__xludf.DUMMYFUNCTION("""COMPUTED_VALUE"""),"105776434651")</f>
        <v>105776434651</v>
      </c>
    </row>
    <row r="9835" spans="1:11" ht="12.45">
      <c r="A9835" s="2" t="str">
        <f ca="1">IFERROR(__xludf.DUMMYFUNCTION("""COMPUTED_VALUE"""),"105776434742")</f>
        <v>105776434742</v>
      </c>
      <c r="C9835" s="2" t="str">
        <v>0</v>
      </c>
      <c r="F9835" s="2" t="str">
        <v>0</v>
      </c>
      <c r="I9835" s="2" t="str">
        <f ca="1">IFERROR(__xludf.DUMMYFUNCTION("""COMPUTED_VALUE"""),"Nguyễn Thị Thanh Thảo ")</f>
        <v xml:space="preserve">Nguyễn Thị Thanh Thảo </v>
      </c>
      <c r="J9835" s="2" t="str">
        <f ca="1">IFERROR(__xludf.DUMMYFUNCTION("""COMPUTED_VALUE"""),"0977081331")</f>
        <v>0977081331</v>
      </c>
      <c r="K9835" s="2" t="str">
        <f ca="1">IFERROR(__xludf.DUMMYFUNCTION("""COMPUTED_VALUE"""),"105776434742")</f>
        <v>105776434742</v>
      </c>
    </row>
    <row r="9836" spans="1:11" ht="12.45">
      <c r="A9836" s="2" t="str">
        <f ca="1">IFERROR(__xludf.DUMMYFUNCTION("""COMPUTED_VALUE"""),"105776434832")</f>
        <v>105776434832</v>
      </c>
      <c r="C9836" s="2" t="str">
        <v>0</v>
      </c>
      <c r="F9836" s="2" t="str">
        <v>0</v>
      </c>
      <c r="I9836" s="2" t="str">
        <f ca="1">IFERROR(__xludf.DUMMYFUNCTION("""COMPUTED_VALUE"""),"Nguyễn Mai Hoa")</f>
        <v>Nguyễn Mai Hoa</v>
      </c>
      <c r="J9836" s="2" t="str">
        <f ca="1">IFERROR(__xludf.DUMMYFUNCTION("""COMPUTED_VALUE"""),"0972749436")</f>
        <v>0972749436</v>
      </c>
      <c r="K9836" s="2" t="str">
        <f ca="1">IFERROR(__xludf.DUMMYFUNCTION("""COMPUTED_VALUE"""),"105776434832")</f>
        <v>105776434832</v>
      </c>
    </row>
    <row r="9837" spans="1:11" ht="12.45">
      <c r="A9837" s="2" t="str">
        <f ca="1">IFERROR(__xludf.DUMMYFUNCTION("""COMPUTED_VALUE"""),"105776434959")</f>
        <v>105776434959</v>
      </c>
      <c r="C9837" s="2" t="str">
        <v>0</v>
      </c>
      <c r="F9837" s="2" t="str">
        <v>0</v>
      </c>
      <c r="I9837" s="2" t="str">
        <f ca="1">IFERROR(__xludf.DUMMYFUNCTION("""COMPUTED_VALUE"""),"Vũ Thị Hiền ")</f>
        <v xml:space="preserve">Vũ Thị Hiền </v>
      </c>
      <c r="J9837" s="2" t="str">
        <f ca="1">IFERROR(__xludf.DUMMYFUNCTION("""COMPUTED_VALUE"""),"0359090266")</f>
        <v>0359090266</v>
      </c>
      <c r="K9837" s="2" t="str">
        <f ca="1">IFERROR(__xludf.DUMMYFUNCTION("""COMPUTED_VALUE"""),"105776434959")</f>
        <v>105776434959</v>
      </c>
    </row>
    <row r="9838" spans="1:11" ht="12.45">
      <c r="A9838" s="2" t="str">
        <f ca="1">IFERROR(__xludf.DUMMYFUNCTION("""COMPUTED_VALUE"""),"105776606395")</f>
        <v>105776606395</v>
      </c>
      <c r="C9838" s="2" t="str">
        <v>0</v>
      </c>
      <c r="F9838" s="2" t="str">
        <v>0</v>
      </c>
      <c r="I9838" s="2" t="str">
        <f ca="1">IFERROR(__xludf.DUMMYFUNCTION("""COMPUTED_VALUE"""),"Hoàng Yến Nhi")</f>
        <v>Hoàng Yến Nhi</v>
      </c>
      <c r="J9838" s="2" t="str">
        <f ca="1">IFERROR(__xludf.DUMMYFUNCTION("""COMPUTED_VALUE"""),"0372030397")</f>
        <v>0372030397</v>
      </c>
      <c r="K9838" s="2" t="str">
        <f ca="1">IFERROR(__xludf.DUMMYFUNCTION("""COMPUTED_VALUE"""),"105776606395")</f>
        <v>105776606395</v>
      </c>
    </row>
    <row r="9839" spans="1:11" ht="12.45">
      <c r="A9839" s="2" t="str">
        <f ca="1">IFERROR(__xludf.DUMMYFUNCTION("""COMPUTED_VALUE"""),"105776606496")</f>
        <v>105776606496</v>
      </c>
      <c r="C9839" s="2" t="str">
        <v>0</v>
      </c>
      <c r="F9839" s="2" t="str">
        <v>0</v>
      </c>
      <c r="I9839" s="2" t="str">
        <f ca="1">IFERROR(__xludf.DUMMYFUNCTION("""COMPUTED_VALUE"""),"Trần Chiếm Minh Khang")</f>
        <v>Trần Chiếm Minh Khang</v>
      </c>
      <c r="J9839" s="2" t="str">
        <f ca="1">IFERROR(__xludf.DUMMYFUNCTION("""COMPUTED_VALUE"""),"0898345960")</f>
        <v>0898345960</v>
      </c>
      <c r="K9839" s="2" t="str">
        <f ca="1">IFERROR(__xludf.DUMMYFUNCTION("""COMPUTED_VALUE"""),"105776606496")</f>
        <v>105776606496</v>
      </c>
    </row>
    <row r="9840" spans="1:11" ht="12.45">
      <c r="A9840" s="2" t="str">
        <f ca="1">IFERROR(__xludf.DUMMYFUNCTION("""COMPUTED_VALUE"""),"105776606565")</f>
        <v>105776606565</v>
      </c>
      <c r="C9840" s="2" t="str">
        <v>0</v>
      </c>
      <c r="F9840" s="2" t="str">
        <v>0</v>
      </c>
      <c r="I9840" s="2" t="str">
        <f ca="1">IFERROR(__xludf.DUMMYFUNCTION("""COMPUTED_VALUE"""),"Võ Huỳnh Nhật Thảo")</f>
        <v>Võ Huỳnh Nhật Thảo</v>
      </c>
      <c r="J9840" s="2" t="str">
        <f ca="1">IFERROR(__xludf.DUMMYFUNCTION("""COMPUTED_VALUE"""),"0384581508")</f>
        <v>0384581508</v>
      </c>
      <c r="K9840" s="2" t="str">
        <f ca="1">IFERROR(__xludf.DUMMYFUNCTION("""COMPUTED_VALUE"""),"105776606565")</f>
        <v>105776606565</v>
      </c>
    </row>
    <row r="9841" spans="1:11" ht="12.45">
      <c r="A9841" s="2" t="str">
        <f ca="1">IFERROR(__xludf.DUMMYFUNCTION("""COMPUTED_VALUE"""),"105776606637")</f>
        <v>105776606637</v>
      </c>
      <c r="C9841" s="2" t="str">
        <v>0</v>
      </c>
      <c r="F9841" s="2" t="str">
        <v>0</v>
      </c>
      <c r="I9841" s="2" t="str">
        <f ca="1">IFERROR(__xludf.DUMMYFUNCTION("""COMPUTED_VALUE"""),"Bùi Hương Giang")</f>
        <v>Bùi Hương Giang</v>
      </c>
      <c r="J9841" s="2" t="str">
        <f ca="1">IFERROR(__xludf.DUMMYFUNCTION("""COMPUTED_VALUE"""),"0985800424")</f>
        <v>0985800424</v>
      </c>
      <c r="K9841" s="2" t="str">
        <f ca="1">IFERROR(__xludf.DUMMYFUNCTION("""COMPUTED_VALUE"""),"105776606637")</f>
        <v>105776606637</v>
      </c>
    </row>
    <row r="9842" spans="1:11" ht="12.45">
      <c r="A9842" s="2" t="str">
        <f ca="1">IFERROR(__xludf.DUMMYFUNCTION("""COMPUTED_VALUE"""),"105776606780")</f>
        <v>105776606780</v>
      </c>
      <c r="C9842" s="2" t="str">
        <v>0</v>
      </c>
      <c r="F9842" s="2" t="str">
        <v>0</v>
      </c>
      <c r="I9842" s="2" t="str">
        <f ca="1">IFERROR(__xludf.DUMMYFUNCTION("""COMPUTED_VALUE"""),"Trần Thanh Hương ")</f>
        <v xml:space="preserve">Trần Thanh Hương </v>
      </c>
      <c r="J9842" s="2" t="str">
        <f ca="1">IFERROR(__xludf.DUMMYFUNCTION("""COMPUTED_VALUE"""),"0362268457")</f>
        <v>0362268457</v>
      </c>
      <c r="K9842" s="2" t="str">
        <f ca="1">IFERROR(__xludf.DUMMYFUNCTION("""COMPUTED_VALUE"""),"105776606780")</f>
        <v>105776606780</v>
      </c>
    </row>
    <row r="9843" spans="1:11" ht="12.45">
      <c r="A9843" s="2" t="str">
        <f ca="1">IFERROR(__xludf.DUMMYFUNCTION("""COMPUTED_VALUE"""),"105776606822")</f>
        <v>105776606822</v>
      </c>
      <c r="C9843" s="2" t="str">
        <v>0</v>
      </c>
      <c r="F9843" s="2" t="str">
        <v>0</v>
      </c>
      <c r="I9843" s="2" t="str">
        <f ca="1">IFERROR(__xludf.DUMMYFUNCTION("""COMPUTED_VALUE"""),"Bùi Thị Linh")</f>
        <v>Bùi Thị Linh</v>
      </c>
      <c r="J9843" s="2" t="str">
        <f ca="1">IFERROR(__xludf.DUMMYFUNCTION("""COMPUTED_VALUE"""),"0362077282")</f>
        <v>0362077282</v>
      </c>
      <c r="K9843" s="2" t="str">
        <f ca="1">IFERROR(__xludf.DUMMYFUNCTION("""COMPUTED_VALUE"""),"105776606822")</f>
        <v>105776606822</v>
      </c>
    </row>
    <row r="9844" spans="1:11" ht="12.45">
      <c r="A9844" s="2" t="str">
        <f ca="1">IFERROR(__xludf.DUMMYFUNCTION("""COMPUTED_VALUE"""),"105776606945")</f>
        <v>105776606945</v>
      </c>
      <c r="C9844" s="2" t="str">
        <v>0</v>
      </c>
      <c r="F9844" s="2" t="str">
        <v>0</v>
      </c>
      <c r="I9844" s="2" t="str">
        <f ca="1">IFERROR(__xludf.DUMMYFUNCTION("""COMPUTED_VALUE"""),"Trần Gia Bảo")</f>
        <v>Trần Gia Bảo</v>
      </c>
      <c r="J9844" s="2" t="str">
        <f ca="1">IFERROR(__xludf.DUMMYFUNCTION("""COMPUTED_VALUE"""),"0866143174")</f>
        <v>0866143174</v>
      </c>
      <c r="K9844" s="2" t="str">
        <f ca="1">IFERROR(__xludf.DUMMYFUNCTION("""COMPUTED_VALUE"""),"105776606945")</f>
        <v>105776606945</v>
      </c>
    </row>
    <row r="9845" spans="1:11" ht="12.45">
      <c r="A9845" s="2" t="str">
        <f ca="1">IFERROR(__xludf.DUMMYFUNCTION("""COMPUTED_VALUE"""),"105776607074")</f>
        <v>105776607074</v>
      </c>
      <c r="C9845" s="2" t="str">
        <v>0</v>
      </c>
      <c r="F9845" s="2" t="str">
        <v>0</v>
      </c>
      <c r="I9845" s="2" t="str">
        <f ca="1">IFERROR(__xludf.DUMMYFUNCTION("""COMPUTED_VALUE"""),"võ hà linh đan")</f>
        <v>võ hà linh đan</v>
      </c>
      <c r="J9845" s="2" t="str">
        <f ca="1">IFERROR(__xludf.DUMMYFUNCTION("""COMPUTED_VALUE"""),"0375629208")</f>
        <v>0375629208</v>
      </c>
      <c r="K9845" s="2" t="str">
        <f ca="1">IFERROR(__xludf.DUMMYFUNCTION("""COMPUTED_VALUE"""),"105776607074")</f>
        <v>105776607074</v>
      </c>
    </row>
    <row r="9846" spans="1:11" ht="12.45">
      <c r="A9846" s="2" t="str">
        <f ca="1">IFERROR(__xludf.DUMMYFUNCTION("""COMPUTED_VALUE"""),"105776607136")</f>
        <v>105776607136</v>
      </c>
      <c r="C9846" s="2" t="str">
        <v>0</v>
      </c>
      <c r="F9846" s="2" t="str">
        <v>0</v>
      </c>
      <c r="I9846" s="2" t="str">
        <f ca="1">IFERROR(__xludf.DUMMYFUNCTION("""COMPUTED_VALUE"""),"Nguyễn Kiều Tiên")</f>
        <v>Nguyễn Kiều Tiên</v>
      </c>
      <c r="J9846" s="2" t="str">
        <f ca="1">IFERROR(__xludf.DUMMYFUNCTION("""COMPUTED_VALUE"""),"0907983892")</f>
        <v>0907983892</v>
      </c>
      <c r="K9846" s="2" t="str">
        <f ca="1">IFERROR(__xludf.DUMMYFUNCTION("""COMPUTED_VALUE"""),"105776607136")</f>
        <v>105776607136</v>
      </c>
    </row>
    <row r="9847" spans="1:11" ht="12.45">
      <c r="A9847" s="2" t="str">
        <f ca="1">IFERROR(__xludf.DUMMYFUNCTION("""COMPUTED_VALUE"""),"105776607288")</f>
        <v>105776607288</v>
      </c>
      <c r="C9847" s="2" t="str">
        <v>0</v>
      </c>
      <c r="F9847" s="2" t="str">
        <v>0</v>
      </c>
      <c r="I9847" s="2" t="str">
        <f ca="1">IFERROR(__xludf.DUMMYFUNCTION("""COMPUTED_VALUE"""),"Đỗ Thị Mai Anh")</f>
        <v>Đỗ Thị Mai Anh</v>
      </c>
      <c r="J9847" s="2" t="str">
        <f ca="1">IFERROR(__xludf.DUMMYFUNCTION("""COMPUTED_VALUE"""),"0326821908")</f>
        <v>0326821908</v>
      </c>
      <c r="K9847" s="2" t="str">
        <f ca="1">IFERROR(__xludf.DUMMYFUNCTION("""COMPUTED_VALUE"""),"105776607288")</f>
        <v>105776607288</v>
      </c>
    </row>
    <row r="9848" spans="1:11" ht="12.45">
      <c r="A9848" s="2" t="str">
        <f ca="1">IFERROR(__xludf.DUMMYFUNCTION("""COMPUTED_VALUE"""),"105776607388")</f>
        <v>105776607388</v>
      </c>
      <c r="C9848" s="2" t="str">
        <v>0</v>
      </c>
      <c r="F9848" s="2" t="str">
        <v>0</v>
      </c>
      <c r="I9848" s="3" t="str">
        <f ca="1">IFERROR(__xludf.DUMMYFUNCTION("""COMPUTED_VALUE"""),"Nguyễn Thị Hà")</f>
        <v>Nguyễn Thị Hà</v>
      </c>
      <c r="J9848" s="3" t="str">
        <f ca="1">IFERROR(__xludf.DUMMYFUNCTION("""COMPUTED_VALUE"""),"0365572775")</f>
        <v>0365572775</v>
      </c>
      <c r="K9848" s="2" t="str">
        <f ca="1">IFERROR(__xludf.DUMMYFUNCTION("""COMPUTED_VALUE"""),"105776607388")</f>
        <v>105776607388</v>
      </c>
    </row>
    <row r="9849" spans="1:11" ht="12.45">
      <c r="A9849" s="2" t="str">
        <f ca="1">IFERROR(__xludf.DUMMYFUNCTION("""COMPUTED_VALUE"""),"105776607436")</f>
        <v>105776607436</v>
      </c>
      <c r="C9849" s="2" t="str">
        <v>0</v>
      </c>
      <c r="F9849" s="2" t="str">
        <v>0</v>
      </c>
      <c r="I9849" s="2" t="str">
        <f ca="1">IFERROR(__xludf.DUMMYFUNCTION("""COMPUTED_VALUE"""),"Nguyễn Bích Tuyền")</f>
        <v>Nguyễn Bích Tuyền</v>
      </c>
      <c r="J9849" s="2" t="str">
        <f ca="1">IFERROR(__xludf.DUMMYFUNCTION("""COMPUTED_VALUE"""),"0817302207")</f>
        <v>0817302207</v>
      </c>
      <c r="K9849" s="2" t="str">
        <f ca="1">IFERROR(__xludf.DUMMYFUNCTION("""COMPUTED_VALUE"""),"105776607436")</f>
        <v>105776607436</v>
      </c>
    </row>
    <row r="9850" spans="1:11" ht="12.45">
      <c r="A9850" s="2" t="str">
        <f ca="1">IFERROR(__xludf.DUMMYFUNCTION("""COMPUTED_VALUE"""),"105776607525")</f>
        <v>105776607525</v>
      </c>
      <c r="C9850" s="2" t="str">
        <v>0</v>
      </c>
      <c r="F9850" s="2" t="str">
        <v>0</v>
      </c>
      <c r="I9850" s="2" t="str">
        <f ca="1">IFERROR(__xludf.DUMMYFUNCTION("""COMPUTED_VALUE"""),"Dương Gia Dăn")</f>
        <v>Dương Gia Dăn</v>
      </c>
      <c r="J9850" s="2" t="str">
        <f ca="1">IFERROR(__xludf.DUMMYFUNCTION("""COMPUTED_VALUE"""),"0961898807")</f>
        <v>0961898807</v>
      </c>
      <c r="K9850" s="2" t="str">
        <f ca="1">IFERROR(__xludf.DUMMYFUNCTION("""COMPUTED_VALUE"""),"105776607525")</f>
        <v>105776607525</v>
      </c>
    </row>
    <row r="9851" spans="1:11" ht="12.45">
      <c r="A9851" s="2" t="str">
        <f ca="1">IFERROR(__xludf.DUMMYFUNCTION("""COMPUTED_VALUE"""),"105776607691")</f>
        <v>105776607691</v>
      </c>
      <c r="C9851" s="2" t="str">
        <v>0</v>
      </c>
      <c r="F9851" s="2" t="str">
        <v>0</v>
      </c>
      <c r="I9851" s="2" t="str">
        <f ca="1">IFERROR(__xludf.DUMMYFUNCTION("""COMPUTED_VALUE"""),"nguyễn  thị minh thư")</f>
        <v>nguyễn  thị minh thư</v>
      </c>
      <c r="J9851" s="2" t="str">
        <f ca="1">IFERROR(__xludf.DUMMYFUNCTION("""COMPUTED_VALUE"""),"0332527505")</f>
        <v>0332527505</v>
      </c>
      <c r="K9851" s="2" t="str">
        <f ca="1">IFERROR(__xludf.DUMMYFUNCTION("""COMPUTED_VALUE"""),"105776607691")</f>
        <v>105776607691</v>
      </c>
    </row>
    <row r="9852" spans="1:11" ht="12.45">
      <c r="A9852" s="2" t="str">
        <f ca="1">IFERROR(__xludf.DUMMYFUNCTION("""COMPUTED_VALUE"""),"105776607835")</f>
        <v>105776607835</v>
      </c>
      <c r="C9852" s="2" t="str">
        <v>0</v>
      </c>
      <c r="F9852" s="2" t="str">
        <v>0</v>
      </c>
      <c r="I9852" s="2" t="str">
        <f ca="1">IFERROR(__xludf.DUMMYFUNCTION("""COMPUTED_VALUE"""),"Nguyễn Hồng Thủy")</f>
        <v>Nguyễn Hồng Thủy</v>
      </c>
      <c r="J9852" s="2" t="str">
        <f ca="1">IFERROR(__xludf.DUMMYFUNCTION("""COMPUTED_VALUE"""),"0962855542")</f>
        <v>0962855542</v>
      </c>
      <c r="K9852" s="2" t="str">
        <f ca="1">IFERROR(__xludf.DUMMYFUNCTION("""COMPUTED_VALUE"""),"105776607835")</f>
        <v>105776607835</v>
      </c>
    </row>
    <row r="9853" spans="1:11" ht="12.45">
      <c r="A9853" s="2" t="str">
        <f ca="1">IFERROR(__xludf.DUMMYFUNCTION("""COMPUTED_VALUE"""),"105776608081")</f>
        <v>105776608081</v>
      </c>
      <c r="C9853" s="2" t="str">
        <v>0</v>
      </c>
      <c r="F9853" s="2" t="str">
        <v>0</v>
      </c>
      <c r="I9853" s="2" t="str">
        <f ca="1">IFERROR(__xludf.DUMMYFUNCTION("""COMPUTED_VALUE"""),"Lưu Vũ Công Minh")</f>
        <v>Lưu Vũ Công Minh</v>
      </c>
      <c r="J9853" s="2" t="str">
        <f ca="1">IFERROR(__xludf.DUMMYFUNCTION("""COMPUTED_VALUE"""),"0347973006")</f>
        <v>0347973006</v>
      </c>
      <c r="K9853" s="2" t="str">
        <f ca="1">IFERROR(__xludf.DUMMYFUNCTION("""COMPUTED_VALUE"""),"105776608081")</f>
        <v>105776608081</v>
      </c>
    </row>
    <row r="9854" spans="1:11" ht="12.45">
      <c r="A9854" s="2" t="str">
        <f ca="1">IFERROR(__xludf.DUMMYFUNCTION("""COMPUTED_VALUE"""),"105776608225")</f>
        <v>105776608225</v>
      </c>
      <c r="C9854" s="2" t="str">
        <v>0</v>
      </c>
      <c r="F9854" s="2" t="str">
        <v>0</v>
      </c>
      <c r="I9854" s="2" t="str">
        <f ca="1">IFERROR(__xludf.DUMMYFUNCTION("""COMPUTED_VALUE"""),"Huỳnh Ngọc Trâm ")</f>
        <v xml:space="preserve">Huỳnh Ngọc Trâm </v>
      </c>
      <c r="J9854" s="2" t="str">
        <f ca="1">IFERROR(__xludf.DUMMYFUNCTION("""COMPUTED_VALUE"""),"0376179120")</f>
        <v>0376179120</v>
      </c>
      <c r="K9854" s="2" t="str">
        <f ca="1">IFERROR(__xludf.DUMMYFUNCTION("""COMPUTED_VALUE"""),"105776608225")</f>
        <v>105776608225</v>
      </c>
    </row>
    <row r="9855" spans="1:11" ht="12.45">
      <c r="A9855" s="2" t="str">
        <f ca="1">IFERROR(__xludf.DUMMYFUNCTION("""COMPUTED_VALUE"""),"105776608377")</f>
        <v>105776608377</v>
      </c>
      <c r="C9855" s="2" t="str">
        <v>0</v>
      </c>
      <c r="F9855" s="2" t="str">
        <v>0</v>
      </c>
      <c r="I9855" s="2" t="str">
        <f ca="1">IFERROR(__xludf.DUMMYFUNCTION("""COMPUTED_VALUE"""),"Trần Xuân Quỳnh Trâm")</f>
        <v>Trần Xuân Quỳnh Trâm</v>
      </c>
      <c r="J9855" s="2" t="str">
        <f ca="1">IFERROR(__xludf.DUMMYFUNCTION("""COMPUTED_VALUE"""),"0348159976")</f>
        <v>0348159976</v>
      </c>
      <c r="K9855" s="2" t="str">
        <f ca="1">IFERROR(__xludf.DUMMYFUNCTION("""COMPUTED_VALUE"""),"105776608377")</f>
        <v>105776608377</v>
      </c>
    </row>
    <row r="9856" spans="1:11" ht="12.45">
      <c r="A9856" s="2" t="str">
        <f ca="1">IFERROR(__xludf.DUMMYFUNCTION("""COMPUTED_VALUE"""),"105776608414")</f>
        <v>105776608414</v>
      </c>
      <c r="C9856" s="2" t="str">
        <v>0</v>
      </c>
      <c r="F9856" s="2" t="str">
        <v>0</v>
      </c>
      <c r="I9856" s="2" t="str">
        <f ca="1">IFERROR(__xludf.DUMMYFUNCTION("""COMPUTED_VALUE"""),"Nguyễn Thị Bảo Ngọc")</f>
        <v>Nguyễn Thị Bảo Ngọc</v>
      </c>
      <c r="J9856" s="2" t="str">
        <f ca="1">IFERROR(__xludf.DUMMYFUNCTION("""COMPUTED_VALUE"""),"0933654425")</f>
        <v>0933654425</v>
      </c>
      <c r="K9856" s="2" t="str">
        <f ca="1">IFERROR(__xludf.DUMMYFUNCTION("""COMPUTED_VALUE"""),"105776608414")</f>
        <v>105776608414</v>
      </c>
    </row>
    <row r="9857" spans="1:11" ht="12.45">
      <c r="A9857" s="2" t="str">
        <f ca="1">IFERROR(__xludf.DUMMYFUNCTION("""COMPUTED_VALUE"""),"105776608535")</f>
        <v>105776608535</v>
      </c>
      <c r="C9857" s="2" t="str">
        <v>0</v>
      </c>
      <c r="F9857" s="2" t="str">
        <v>0</v>
      </c>
      <c r="I9857" s="2" t="str">
        <f ca="1">IFERROR(__xludf.DUMMYFUNCTION("""COMPUTED_VALUE"""),"Nguyễn Ngọc Phương Thy")</f>
        <v>Nguyễn Ngọc Phương Thy</v>
      </c>
      <c r="J9857" s="2" t="str">
        <f ca="1">IFERROR(__xludf.DUMMYFUNCTION("""COMPUTED_VALUE"""),"0387275332")</f>
        <v>0387275332</v>
      </c>
      <c r="K9857" s="2" t="str">
        <f ca="1">IFERROR(__xludf.DUMMYFUNCTION("""COMPUTED_VALUE"""),"105776608535")</f>
        <v>105776608535</v>
      </c>
    </row>
    <row r="9858" spans="1:11" ht="12.45">
      <c r="A9858" s="2" t="str">
        <f ca="1">IFERROR(__xludf.DUMMYFUNCTION("""COMPUTED_VALUE"""),"105776608679")</f>
        <v>105776608679</v>
      </c>
      <c r="C9858" s="2" t="str">
        <v>0</v>
      </c>
      <c r="F9858" s="2" t="str">
        <v>0</v>
      </c>
      <c r="I9858" s="2" t="str">
        <f ca="1">IFERROR(__xludf.DUMMYFUNCTION("""COMPUTED_VALUE"""),"Đỗ Uyên Phương")</f>
        <v>Đỗ Uyên Phương</v>
      </c>
      <c r="J9858" s="2" t="str">
        <f ca="1">IFERROR(__xludf.DUMMYFUNCTION("""COMPUTED_VALUE"""),"0329391387")</f>
        <v>0329391387</v>
      </c>
      <c r="K9858" s="2" t="str">
        <f ca="1">IFERROR(__xludf.DUMMYFUNCTION("""COMPUTED_VALUE"""),"105776608679")</f>
        <v>105776608679</v>
      </c>
    </row>
    <row r="9859" spans="1:11" ht="12.45">
      <c r="A9859" s="2" t="str">
        <f ca="1">IFERROR(__xludf.DUMMYFUNCTION("""COMPUTED_VALUE"""),"105776608793")</f>
        <v>105776608793</v>
      </c>
      <c r="C9859" s="2" t="str">
        <v>0</v>
      </c>
      <c r="F9859" s="2" t="str">
        <v>0</v>
      </c>
      <c r="I9859" s="2" t="str">
        <f ca="1">IFERROR(__xludf.DUMMYFUNCTION("""COMPUTED_VALUE"""),"Phan Thị Phương Anh")</f>
        <v>Phan Thị Phương Anh</v>
      </c>
      <c r="J9859" s="2" t="str">
        <f ca="1">IFERROR(__xludf.DUMMYFUNCTION("""COMPUTED_VALUE"""),"0984062216")</f>
        <v>0984062216</v>
      </c>
      <c r="K9859" s="2" t="str">
        <f ca="1">IFERROR(__xludf.DUMMYFUNCTION("""COMPUTED_VALUE"""),"105776608793")</f>
        <v>105776608793</v>
      </c>
    </row>
    <row r="9860" spans="1:11" ht="12.45">
      <c r="A9860" s="2" t="str">
        <f ca="1">IFERROR(__xludf.DUMMYFUNCTION("""COMPUTED_VALUE"""),"105776608888")</f>
        <v>105776608888</v>
      </c>
      <c r="C9860" s="2" t="str">
        <v>0</v>
      </c>
      <c r="F9860" s="2" t="str">
        <v>0</v>
      </c>
      <c r="I9860" s="2" t="str">
        <f ca="1">IFERROR(__xludf.DUMMYFUNCTION("""COMPUTED_VALUE"""),"Nguyễn Thiên Thanh")</f>
        <v>Nguyễn Thiên Thanh</v>
      </c>
      <c r="J9860" s="2" t="str">
        <f ca="1">IFERROR(__xludf.DUMMYFUNCTION("""COMPUTED_VALUE"""),"0383988216")</f>
        <v>0383988216</v>
      </c>
      <c r="K9860" s="2" t="str">
        <f ca="1">IFERROR(__xludf.DUMMYFUNCTION("""COMPUTED_VALUE"""),"105776608888")</f>
        <v>105776608888</v>
      </c>
    </row>
    <row r="9861" spans="1:11" ht="12.45">
      <c r="A9861" s="2" t="str">
        <f ca="1">IFERROR(__xludf.DUMMYFUNCTION("""COMPUTED_VALUE"""),"105776608952")</f>
        <v>105776608952</v>
      </c>
      <c r="C9861" s="2" t="str">
        <v>0</v>
      </c>
      <c r="F9861" s="2" t="str">
        <v>0</v>
      </c>
      <c r="I9861" s="2" t="str">
        <f ca="1">IFERROR(__xludf.DUMMYFUNCTION("""COMPUTED_VALUE"""),"Kim Anh")</f>
        <v>Kim Anh</v>
      </c>
      <c r="J9861" s="2" t="str">
        <f ca="1">IFERROR(__xludf.DUMMYFUNCTION("""COMPUTED_VALUE"""),"0365188031")</f>
        <v>0365188031</v>
      </c>
      <c r="K9861" s="2" t="str">
        <f ca="1">IFERROR(__xludf.DUMMYFUNCTION("""COMPUTED_VALUE"""),"105776608952")</f>
        <v>105776608952</v>
      </c>
    </row>
    <row r="9862" spans="1:11" ht="12.45">
      <c r="A9862" s="2" t="str">
        <f ca="1">IFERROR(__xludf.DUMMYFUNCTION("""COMPUTED_VALUE"""),"105776609091")</f>
        <v>105776609091</v>
      </c>
      <c r="C9862" s="2" t="str">
        <v>0</v>
      </c>
      <c r="F9862" s="2" t="str">
        <v>0</v>
      </c>
      <c r="I9862" s="2" t="str">
        <f ca="1">IFERROR(__xludf.DUMMYFUNCTION("""COMPUTED_VALUE"""),"Đặng Nguyễn Anh Thư ")</f>
        <v xml:space="preserve">Đặng Nguyễn Anh Thư </v>
      </c>
      <c r="J9862" s="2" t="str">
        <f ca="1">IFERROR(__xludf.DUMMYFUNCTION("""COMPUTED_VALUE"""),"0911679697")</f>
        <v>0911679697</v>
      </c>
      <c r="K9862" s="2" t="str">
        <f ca="1">IFERROR(__xludf.DUMMYFUNCTION("""COMPUTED_VALUE"""),"105776609091")</f>
        <v>105776609091</v>
      </c>
    </row>
    <row r="9863" spans="1:11" ht="12.45">
      <c r="A9863" s="2" t="str">
        <f ca="1">IFERROR(__xludf.DUMMYFUNCTION("""COMPUTED_VALUE"""),"105776609178")</f>
        <v>105776609178</v>
      </c>
      <c r="C9863" s="2" t="str">
        <v>0</v>
      </c>
      <c r="F9863" s="2" t="str">
        <v>0</v>
      </c>
      <c r="I9863" s="2" t="str">
        <f ca="1">IFERROR(__xludf.DUMMYFUNCTION("""COMPUTED_VALUE"""),"Nguyễn Trịnh Hà Linh ")</f>
        <v xml:space="preserve">Nguyễn Trịnh Hà Linh </v>
      </c>
      <c r="J9863" s="2" t="str">
        <f ca="1">IFERROR(__xludf.DUMMYFUNCTION("""COMPUTED_VALUE"""),"0827793286")</f>
        <v>0827793286</v>
      </c>
      <c r="K9863" s="2" t="str">
        <f ca="1">IFERROR(__xludf.DUMMYFUNCTION("""COMPUTED_VALUE"""),"105776609178")</f>
        <v>105776609178</v>
      </c>
    </row>
    <row r="9864" spans="1:11" ht="12.45">
      <c r="A9864" s="2" t="str">
        <f ca="1">IFERROR(__xludf.DUMMYFUNCTION("""COMPUTED_VALUE"""),"105776609218")</f>
        <v>105776609218</v>
      </c>
      <c r="C9864" s="2" t="str">
        <v>0</v>
      </c>
      <c r="F9864" s="2" t="str">
        <v>0</v>
      </c>
      <c r="I9864" s="2" t="str">
        <f ca="1">IFERROR(__xludf.DUMMYFUNCTION("""COMPUTED_VALUE"""),"Nguyễn Thị Quỳnh Ly")</f>
        <v>Nguyễn Thị Quỳnh Ly</v>
      </c>
      <c r="J9864" s="2" t="str">
        <f ca="1">IFERROR(__xludf.DUMMYFUNCTION("""COMPUTED_VALUE"""),"0342182024")</f>
        <v>0342182024</v>
      </c>
      <c r="K9864" s="2" t="str">
        <f ca="1">IFERROR(__xludf.DUMMYFUNCTION("""COMPUTED_VALUE"""),"105776609218")</f>
        <v>105776609218</v>
      </c>
    </row>
    <row r="9865" spans="1:11" ht="12.45">
      <c r="A9865" s="2" t="str">
        <f ca="1">IFERROR(__xludf.DUMMYFUNCTION("""COMPUTED_VALUE"""),"105776609394")</f>
        <v>105776609394</v>
      </c>
      <c r="C9865" s="2" t="str">
        <v>0</v>
      </c>
      <c r="F9865" s="2" t="str">
        <v>0</v>
      </c>
      <c r="I9865" s="2" t="str">
        <f ca="1">IFERROR(__xludf.DUMMYFUNCTION("""COMPUTED_VALUE"""),"Đoàn thị cẩm ly")</f>
        <v>Đoàn thị cẩm ly</v>
      </c>
      <c r="J9865" s="2" t="str">
        <f ca="1">IFERROR(__xludf.DUMMYFUNCTION("""COMPUTED_VALUE"""),"0898892400")</f>
        <v>0898892400</v>
      </c>
      <c r="K9865" s="2" t="str">
        <f ca="1">IFERROR(__xludf.DUMMYFUNCTION("""COMPUTED_VALUE"""),"105776609394")</f>
        <v>105776609394</v>
      </c>
    </row>
    <row r="9866" spans="1:11" ht="12.45">
      <c r="A9866" s="2" t="str">
        <f ca="1">IFERROR(__xludf.DUMMYFUNCTION("""COMPUTED_VALUE"""),"105776609424")</f>
        <v>105776609424</v>
      </c>
      <c r="C9866" s="2" t="str">
        <v>0</v>
      </c>
      <c r="F9866" s="2" t="str">
        <v>0</v>
      </c>
      <c r="I9866" s="2" t="str">
        <f ca="1">IFERROR(__xludf.DUMMYFUNCTION("""COMPUTED_VALUE"""),"Đặng Hoàng Long")</f>
        <v>Đặng Hoàng Long</v>
      </c>
      <c r="J9866" s="2" t="str">
        <f ca="1">IFERROR(__xludf.DUMMYFUNCTION("""COMPUTED_VALUE"""),"0355849753")</f>
        <v>0355849753</v>
      </c>
      <c r="K9866" s="2" t="str">
        <f ca="1">IFERROR(__xludf.DUMMYFUNCTION("""COMPUTED_VALUE"""),"105776609424")</f>
        <v>105776609424</v>
      </c>
    </row>
    <row r="9867" spans="1:11" ht="12.45">
      <c r="A9867" s="2" t="str">
        <f ca="1">IFERROR(__xludf.DUMMYFUNCTION("""COMPUTED_VALUE"""),"105776609596")</f>
        <v>105776609596</v>
      </c>
      <c r="C9867" s="2" t="str">
        <v>0</v>
      </c>
      <c r="F9867" s="2" t="str">
        <v>0</v>
      </c>
      <c r="I9867" s="2" t="str">
        <f ca="1">IFERROR(__xludf.DUMMYFUNCTION("""COMPUTED_VALUE"""),"Trần Phạm Thùy An ")</f>
        <v xml:space="preserve">Trần Phạm Thùy An </v>
      </c>
      <c r="J9867" s="2" t="str">
        <f ca="1">IFERROR(__xludf.DUMMYFUNCTION("""COMPUTED_VALUE"""),"0909220774")</f>
        <v>0909220774</v>
      </c>
      <c r="K9867" s="2" t="str">
        <f ca="1">IFERROR(__xludf.DUMMYFUNCTION("""COMPUTED_VALUE"""),"105776609596")</f>
        <v>105776609596</v>
      </c>
    </row>
    <row r="9868" spans="1:11" ht="12.45">
      <c r="A9868" s="2" t="str">
        <f ca="1">IFERROR(__xludf.DUMMYFUNCTION("""COMPUTED_VALUE"""),"105776609663")</f>
        <v>105776609663</v>
      </c>
      <c r="C9868" s="2" t="str">
        <v>0</v>
      </c>
      <c r="F9868" s="2" t="str">
        <v>0</v>
      </c>
      <c r="I9868" s="2" t="str">
        <f ca="1">IFERROR(__xludf.DUMMYFUNCTION("""COMPUTED_VALUE"""),"Trần bằng")</f>
        <v>Trần bằng</v>
      </c>
      <c r="J9868" s="2" t="str">
        <f ca="1">IFERROR(__xludf.DUMMYFUNCTION("""COMPUTED_VALUE"""),"0843411846")</f>
        <v>0843411846</v>
      </c>
      <c r="K9868" s="2" t="str">
        <f ca="1">IFERROR(__xludf.DUMMYFUNCTION("""COMPUTED_VALUE"""),"105776609663")</f>
        <v>105776609663</v>
      </c>
    </row>
    <row r="9869" spans="1:11" ht="12.45">
      <c r="A9869" s="2" t="str">
        <f ca="1">IFERROR(__xludf.DUMMYFUNCTION("""COMPUTED_VALUE"""),"105776609749")</f>
        <v>105776609749</v>
      </c>
      <c r="C9869" s="2" t="str">
        <v>0</v>
      </c>
      <c r="F9869" s="2" t="str">
        <v>0</v>
      </c>
      <c r="I9869" s="2" t="str">
        <f ca="1">IFERROR(__xludf.DUMMYFUNCTION("""COMPUTED_VALUE"""),"Lê Thị Hồng Nhật ")</f>
        <v xml:space="preserve">Lê Thị Hồng Nhật </v>
      </c>
      <c r="J9869" s="2" t="str">
        <f ca="1">IFERROR(__xludf.DUMMYFUNCTION("""COMPUTED_VALUE"""),"0333300460")</f>
        <v>0333300460</v>
      </c>
      <c r="K9869" s="2" t="str">
        <f ca="1">IFERROR(__xludf.DUMMYFUNCTION("""COMPUTED_VALUE"""),"105776609749")</f>
        <v>105776609749</v>
      </c>
    </row>
    <row r="9870" spans="1:11" ht="12.45">
      <c r="A9870" s="2" t="str">
        <f ca="1">IFERROR(__xludf.DUMMYFUNCTION("""COMPUTED_VALUE"""),"105776609864")</f>
        <v>105776609864</v>
      </c>
      <c r="C9870" s="2" t="str">
        <v>0</v>
      </c>
      <c r="F9870" s="2" t="str">
        <v>0</v>
      </c>
      <c r="I9870" s="2" t="str">
        <f ca="1">IFERROR(__xludf.DUMMYFUNCTION("""COMPUTED_VALUE"""),"Ninh Ngọc Mai")</f>
        <v>Ninh Ngọc Mai</v>
      </c>
      <c r="J9870" s="2" t="str">
        <f ca="1">IFERROR(__xludf.DUMMYFUNCTION("""COMPUTED_VALUE"""),"0842595538")</f>
        <v>0842595538</v>
      </c>
      <c r="K9870" s="2" t="str">
        <f ca="1">IFERROR(__xludf.DUMMYFUNCTION("""COMPUTED_VALUE"""),"105776609864")</f>
        <v>105776609864</v>
      </c>
    </row>
    <row r="9871" spans="1:11" ht="12.45">
      <c r="A9871" s="2" t="str">
        <f ca="1">IFERROR(__xludf.DUMMYFUNCTION("""COMPUTED_VALUE"""),"105776609966")</f>
        <v>105776609966</v>
      </c>
      <c r="C9871" s="2" t="str">
        <v>0</v>
      </c>
      <c r="F9871" s="2" t="str">
        <v>0</v>
      </c>
      <c r="I9871" s="2" t="str">
        <f ca="1">IFERROR(__xludf.DUMMYFUNCTION("""COMPUTED_VALUE"""),"Trương Thị Mai")</f>
        <v>Trương Thị Mai</v>
      </c>
      <c r="J9871" s="2" t="str">
        <f ca="1">IFERROR(__xludf.DUMMYFUNCTION("""COMPUTED_VALUE"""),"0392477130")</f>
        <v>0392477130</v>
      </c>
      <c r="K9871" s="2" t="str">
        <f ca="1">IFERROR(__xludf.DUMMYFUNCTION("""COMPUTED_VALUE"""),"105776609966")</f>
        <v>105776609966</v>
      </c>
    </row>
    <row r="9872" spans="1:11" ht="12.45">
      <c r="A9872" s="2" t="str">
        <f ca="1">IFERROR(__xludf.DUMMYFUNCTION("""COMPUTED_VALUE"""),"105776610052")</f>
        <v>105776610052</v>
      </c>
      <c r="C9872" s="2" t="str">
        <v>0</v>
      </c>
      <c r="F9872" s="2" t="str">
        <v>0</v>
      </c>
      <c r="I9872" s="2" t="str">
        <f ca="1">IFERROR(__xludf.DUMMYFUNCTION("""COMPUTED_VALUE"""),"Nguyễn Minh Nguyệt")</f>
        <v>Nguyễn Minh Nguyệt</v>
      </c>
      <c r="J9872" s="2" t="str">
        <f ca="1">IFERROR(__xludf.DUMMYFUNCTION("""COMPUTED_VALUE"""),"0919224568")</f>
        <v>0919224568</v>
      </c>
      <c r="K9872" s="2" t="str">
        <f ca="1">IFERROR(__xludf.DUMMYFUNCTION("""COMPUTED_VALUE"""),"105776610052")</f>
        <v>105776610052</v>
      </c>
    </row>
    <row r="9873" spans="1:11" ht="12.45">
      <c r="A9873" s="2" t="str">
        <f ca="1">IFERROR(__xludf.DUMMYFUNCTION("""COMPUTED_VALUE"""),"105776610148")</f>
        <v>105776610148</v>
      </c>
      <c r="C9873" s="2" t="str">
        <v>0</v>
      </c>
      <c r="F9873" s="2" t="str">
        <v>0</v>
      </c>
      <c r="I9873" s="2" t="str">
        <f ca="1">IFERROR(__xludf.DUMMYFUNCTION("""COMPUTED_VALUE"""),"Nông Trung Hiếu")</f>
        <v>Nông Trung Hiếu</v>
      </c>
      <c r="J9873" s="2" t="str">
        <f ca="1">IFERROR(__xludf.DUMMYFUNCTION("""COMPUTED_VALUE"""),"0384066914")</f>
        <v>0384066914</v>
      </c>
      <c r="K9873" s="2" t="str">
        <f ca="1">IFERROR(__xludf.DUMMYFUNCTION("""COMPUTED_VALUE"""),"105776610148")</f>
        <v>105776610148</v>
      </c>
    </row>
    <row r="9874" spans="1:11" ht="12.45">
      <c r="A9874" s="2" t="str">
        <f ca="1">IFERROR(__xludf.DUMMYFUNCTION("""COMPUTED_VALUE"""),"105776610236")</f>
        <v>105776610236</v>
      </c>
      <c r="C9874" s="2" t="str">
        <v>0</v>
      </c>
      <c r="F9874" s="2" t="str">
        <v>0</v>
      </c>
      <c r="I9874" s="2" t="str">
        <f ca="1">IFERROR(__xludf.DUMMYFUNCTION("""COMPUTED_VALUE"""),"Lê Nguyễn Quỳnh Như ")</f>
        <v xml:space="preserve">Lê Nguyễn Quỳnh Như </v>
      </c>
      <c r="J9874" s="2" t="str">
        <f ca="1">IFERROR(__xludf.DUMMYFUNCTION("""COMPUTED_VALUE"""),"0368241170")</f>
        <v>0368241170</v>
      </c>
      <c r="K9874" s="2" t="str">
        <f ca="1">IFERROR(__xludf.DUMMYFUNCTION("""COMPUTED_VALUE"""),"105776610236")</f>
        <v>105776610236</v>
      </c>
    </row>
    <row r="9875" spans="1:11" ht="12.45">
      <c r="A9875" s="2" t="str">
        <f ca="1">IFERROR(__xludf.DUMMYFUNCTION("""COMPUTED_VALUE"""),"105776610388")</f>
        <v>105776610388</v>
      </c>
      <c r="C9875" s="2" t="str">
        <v>0</v>
      </c>
      <c r="F9875" s="2" t="str">
        <v>0</v>
      </c>
      <c r="I9875" s="2" t="str">
        <f ca="1">IFERROR(__xludf.DUMMYFUNCTION("""COMPUTED_VALUE"""),"Lê Kiều Hải Vy")</f>
        <v>Lê Kiều Hải Vy</v>
      </c>
      <c r="J9875" s="2" t="str">
        <f ca="1">IFERROR(__xludf.DUMMYFUNCTION("""COMPUTED_VALUE"""),"0979349189")</f>
        <v>0979349189</v>
      </c>
      <c r="K9875" s="2" t="str">
        <f ca="1">IFERROR(__xludf.DUMMYFUNCTION("""COMPUTED_VALUE"""),"105776610388")</f>
        <v>105776610388</v>
      </c>
    </row>
    <row r="9876" spans="1:11" ht="12.45">
      <c r="A9876" s="2" t="str">
        <f ca="1">IFERROR(__xludf.DUMMYFUNCTION("""COMPUTED_VALUE"""),"105776610495")</f>
        <v>105776610495</v>
      </c>
      <c r="C9876" s="2" t="str">
        <v>0</v>
      </c>
      <c r="F9876" s="2" t="str">
        <v>0</v>
      </c>
      <c r="I9876" s="2" t="str">
        <f ca="1">IFERROR(__xludf.DUMMYFUNCTION("""COMPUTED_VALUE"""),"Bùi Thị Bảo Ngọc ")</f>
        <v xml:space="preserve">Bùi Thị Bảo Ngọc </v>
      </c>
      <c r="J9876" s="2" t="str">
        <f ca="1">IFERROR(__xludf.DUMMYFUNCTION("""COMPUTED_VALUE"""),"0975483570")</f>
        <v>0975483570</v>
      </c>
      <c r="K9876" s="2" t="str">
        <f ca="1">IFERROR(__xludf.DUMMYFUNCTION("""COMPUTED_VALUE"""),"105776610495")</f>
        <v>105776610495</v>
      </c>
    </row>
    <row r="9877" spans="1:11" ht="12.45">
      <c r="A9877" s="2" t="str">
        <f ca="1">IFERROR(__xludf.DUMMYFUNCTION("""COMPUTED_VALUE"""),"105776610696")</f>
        <v>105776610696</v>
      </c>
      <c r="C9877" s="2" t="str">
        <v>0</v>
      </c>
      <c r="F9877" s="2" t="str">
        <v>0</v>
      </c>
      <c r="I9877" s="2" t="str">
        <f ca="1">IFERROR(__xludf.DUMMYFUNCTION("""COMPUTED_VALUE"""),"Trần Thị Thuý Anh")</f>
        <v>Trần Thị Thuý Anh</v>
      </c>
      <c r="J9877" s="2" t="str">
        <f ca="1">IFERROR(__xludf.DUMMYFUNCTION("""COMPUTED_VALUE"""),"0366207038")</f>
        <v>0366207038</v>
      </c>
      <c r="K9877" s="2" t="str">
        <f ca="1">IFERROR(__xludf.DUMMYFUNCTION("""COMPUTED_VALUE"""),"105776610696")</f>
        <v>105776610696</v>
      </c>
    </row>
    <row r="9878" spans="1:11" ht="12.45">
      <c r="A9878" s="2" t="str">
        <f ca="1">IFERROR(__xludf.DUMMYFUNCTION("""COMPUTED_VALUE"""),"105776610737")</f>
        <v>105776610737</v>
      </c>
      <c r="C9878" s="2" t="str">
        <v>0</v>
      </c>
      <c r="F9878" s="2" t="str">
        <v>0</v>
      </c>
      <c r="I9878" s="2" t="str">
        <f ca="1">IFERROR(__xludf.DUMMYFUNCTION("""COMPUTED_VALUE"""),"Trần Ngọc Anh")</f>
        <v>Trần Ngọc Anh</v>
      </c>
      <c r="J9878" s="2" t="str">
        <f ca="1">IFERROR(__xludf.DUMMYFUNCTION("""COMPUTED_VALUE"""),"0332777428")</f>
        <v>0332777428</v>
      </c>
      <c r="K9878" s="2" t="str">
        <f ca="1">IFERROR(__xludf.DUMMYFUNCTION("""COMPUTED_VALUE"""),"105776610737")</f>
        <v>105776610737</v>
      </c>
    </row>
    <row r="9879" spans="1:11" ht="12.45">
      <c r="A9879" s="2" t="str">
        <f ca="1">IFERROR(__xludf.DUMMYFUNCTION("""COMPUTED_VALUE"""),"105776610935")</f>
        <v>105776610935</v>
      </c>
      <c r="C9879" s="2" t="str">
        <v>0</v>
      </c>
      <c r="F9879" s="2" t="str">
        <v>0</v>
      </c>
      <c r="I9879" s="2" t="str">
        <f ca="1">IFERROR(__xludf.DUMMYFUNCTION("""COMPUTED_VALUE"""),"Đàm Như Bình")</f>
        <v>Đàm Như Bình</v>
      </c>
      <c r="J9879" s="2" t="str">
        <f ca="1">IFERROR(__xludf.DUMMYFUNCTION("""COMPUTED_VALUE"""),"0382750702")</f>
        <v>0382750702</v>
      </c>
      <c r="K9879" s="2" t="str">
        <f ca="1">IFERROR(__xludf.DUMMYFUNCTION("""COMPUTED_VALUE"""),"105776610935")</f>
        <v>105776610935</v>
      </c>
    </row>
    <row r="9880" spans="1:11" ht="12.45">
      <c r="A9880" s="2" t="str">
        <f ca="1">IFERROR(__xludf.DUMMYFUNCTION("""COMPUTED_VALUE"""),"105776611280")</f>
        <v>105776611280</v>
      </c>
      <c r="C9880" s="2" t="str">
        <v>0</v>
      </c>
      <c r="F9880" s="2" t="str">
        <v>0</v>
      </c>
      <c r="I9880" s="2" t="str">
        <f ca="1">IFERROR(__xludf.DUMMYFUNCTION("""COMPUTED_VALUE"""),"Bùi Thanh Tâm")</f>
        <v>Bùi Thanh Tâm</v>
      </c>
      <c r="J9880" s="2" t="str">
        <f ca="1">IFERROR(__xludf.DUMMYFUNCTION("""COMPUTED_VALUE"""),"0392488529")</f>
        <v>0392488529</v>
      </c>
      <c r="K9880" s="2" t="str">
        <f ca="1">IFERROR(__xludf.DUMMYFUNCTION("""COMPUTED_VALUE"""),"105776611280")</f>
        <v>105776611280</v>
      </c>
    </row>
    <row r="9881" spans="1:11" ht="12.45">
      <c r="A9881" s="2" t="str">
        <f ca="1">IFERROR(__xludf.DUMMYFUNCTION("""COMPUTED_VALUE"""),"105776611373")</f>
        <v>105776611373</v>
      </c>
      <c r="C9881" s="2" t="str">
        <v>0</v>
      </c>
      <c r="F9881" s="2" t="str">
        <v>0</v>
      </c>
      <c r="I9881" s="2" t="str">
        <f ca="1">IFERROR(__xludf.DUMMYFUNCTION("""COMPUTED_VALUE"""),"NGÔ THANH BÌNH")</f>
        <v>NGÔ THANH BÌNH</v>
      </c>
      <c r="J9881" s="2" t="str">
        <f ca="1">IFERROR(__xludf.DUMMYFUNCTION("""COMPUTED_VALUE"""),"0989856439")</f>
        <v>0989856439</v>
      </c>
      <c r="K9881" s="2" t="str">
        <f ca="1">IFERROR(__xludf.DUMMYFUNCTION("""COMPUTED_VALUE"""),"105776611373")</f>
        <v>105776611373</v>
      </c>
    </row>
    <row r="9882" spans="1:11" ht="12.45">
      <c r="A9882" s="2" t="str">
        <f ca="1">IFERROR(__xludf.DUMMYFUNCTION("""COMPUTED_VALUE"""),"105776611680")</f>
        <v>105776611680</v>
      </c>
      <c r="C9882" s="2" t="str">
        <v>0</v>
      </c>
      <c r="F9882" s="2" t="str">
        <v>0</v>
      </c>
      <c r="I9882" s="2" t="str">
        <f ca="1">IFERROR(__xludf.DUMMYFUNCTION("""COMPUTED_VALUE"""),"Phạm Quỳnh Anh")</f>
        <v>Phạm Quỳnh Anh</v>
      </c>
      <c r="J9882" s="2" t="str">
        <f ca="1">IFERROR(__xludf.DUMMYFUNCTION("""COMPUTED_VALUE"""),"0947021728")</f>
        <v>0947021728</v>
      </c>
      <c r="K9882" s="2" t="str">
        <f ca="1">IFERROR(__xludf.DUMMYFUNCTION("""COMPUTED_VALUE"""),"105776611680")</f>
        <v>105776611680</v>
      </c>
    </row>
    <row r="9883" spans="1:11" ht="12.45">
      <c r="A9883" s="2" t="str">
        <f ca="1">IFERROR(__xludf.DUMMYFUNCTION("""COMPUTED_VALUE"""),"105776611710")</f>
        <v>105776611710</v>
      </c>
      <c r="C9883" s="2" t="str">
        <v>0</v>
      </c>
      <c r="F9883" s="2" t="str">
        <v>0</v>
      </c>
      <c r="I9883" s="2" t="str">
        <f ca="1">IFERROR(__xludf.DUMMYFUNCTION("""COMPUTED_VALUE"""),"Khưu Huỳnh Thiện Phát")</f>
        <v>Khưu Huỳnh Thiện Phát</v>
      </c>
      <c r="J9883" s="2" t="str">
        <f ca="1">IFERROR(__xludf.DUMMYFUNCTION("""COMPUTED_VALUE"""),"0942155532")</f>
        <v>0942155532</v>
      </c>
      <c r="K9883" s="2" t="str">
        <f ca="1">IFERROR(__xludf.DUMMYFUNCTION("""COMPUTED_VALUE"""),"105776611710")</f>
        <v>105776611710</v>
      </c>
    </row>
    <row r="9884" spans="1:11" ht="12.45">
      <c r="A9884" s="2" t="str">
        <f ca="1">IFERROR(__xludf.DUMMYFUNCTION("""COMPUTED_VALUE"""),"105776611924")</f>
        <v>105776611924</v>
      </c>
      <c r="C9884" s="2" t="str">
        <v>0</v>
      </c>
      <c r="F9884" s="2" t="str">
        <v>0</v>
      </c>
      <c r="I9884" s="2" t="str">
        <f ca="1">IFERROR(__xludf.DUMMYFUNCTION("""COMPUTED_VALUE"""),"Đoàn Nhật Quang Minh")</f>
        <v>Đoàn Nhật Quang Minh</v>
      </c>
      <c r="J9884" s="2" t="str">
        <f ca="1">IFERROR(__xludf.DUMMYFUNCTION("""COMPUTED_VALUE"""),"0976887170")</f>
        <v>0976887170</v>
      </c>
      <c r="K9884" s="2" t="str">
        <f ca="1">IFERROR(__xludf.DUMMYFUNCTION("""COMPUTED_VALUE"""),"105776611924")</f>
        <v>105776611924</v>
      </c>
    </row>
    <row r="9885" spans="1:11" ht="12.45">
      <c r="A9885" s="2" t="str">
        <f ca="1">IFERROR(__xludf.DUMMYFUNCTION("""COMPUTED_VALUE"""),"105776612182")</f>
        <v>105776612182</v>
      </c>
      <c r="C9885" s="2" t="str">
        <v>0</v>
      </c>
      <c r="F9885" s="2" t="str">
        <v>0</v>
      </c>
      <c r="I9885" s="2" t="str">
        <f ca="1">IFERROR(__xludf.DUMMYFUNCTION("""COMPUTED_VALUE"""),"Vy Thị Kim Ly")</f>
        <v>Vy Thị Kim Ly</v>
      </c>
      <c r="J9885" s="2" t="str">
        <f ca="1">IFERROR(__xludf.DUMMYFUNCTION("""COMPUTED_VALUE"""),"0338244086")</f>
        <v>0338244086</v>
      </c>
      <c r="K9885" s="2" t="str">
        <f ca="1">IFERROR(__xludf.DUMMYFUNCTION("""COMPUTED_VALUE"""),"105776612182")</f>
        <v>105776612182</v>
      </c>
    </row>
    <row r="9886" spans="1:11" ht="12.45">
      <c r="A9886" s="2" t="str">
        <f ca="1">IFERROR(__xludf.DUMMYFUNCTION("""COMPUTED_VALUE"""),"105776612290")</f>
        <v>105776612290</v>
      </c>
      <c r="C9886" s="2" t="str">
        <v>0</v>
      </c>
      <c r="F9886" s="2" t="str">
        <v>0</v>
      </c>
      <c r="I9886" s="2" t="str">
        <f ca="1">IFERROR(__xludf.DUMMYFUNCTION("""COMPUTED_VALUE"""),"Vì Thị Diệu Linh ")</f>
        <v xml:space="preserve">Vì Thị Diệu Linh </v>
      </c>
      <c r="J9886" s="2" t="str">
        <f ca="1">IFERROR(__xludf.DUMMYFUNCTION("""COMPUTED_VALUE"""),"0961014559")</f>
        <v>0961014559</v>
      </c>
      <c r="K9886" s="2" t="str">
        <f ca="1">IFERROR(__xludf.DUMMYFUNCTION("""COMPUTED_VALUE"""),"105776612290")</f>
        <v>105776612290</v>
      </c>
    </row>
    <row r="9887" spans="1:11" ht="12.45">
      <c r="A9887" s="2" t="str">
        <f ca="1">IFERROR(__xludf.DUMMYFUNCTION("""COMPUTED_VALUE"""),"105776612346")</f>
        <v>105776612346</v>
      </c>
      <c r="C9887" s="2" t="str">
        <v>0</v>
      </c>
      <c r="F9887" s="2" t="str">
        <v>0</v>
      </c>
      <c r="I9887" s="2" t="str">
        <f ca="1">IFERROR(__xludf.DUMMYFUNCTION("""COMPUTED_VALUE"""),"Hồ Quỳnh Hương ")</f>
        <v xml:space="preserve">Hồ Quỳnh Hương </v>
      </c>
      <c r="J9887" s="2" t="str">
        <f ca="1">IFERROR(__xludf.DUMMYFUNCTION("""COMPUTED_VALUE"""),"0978407906")</f>
        <v>0978407906</v>
      </c>
      <c r="K9887" s="2" t="str">
        <f ca="1">IFERROR(__xludf.DUMMYFUNCTION("""COMPUTED_VALUE"""),"105776612346")</f>
        <v>105776612346</v>
      </c>
    </row>
    <row r="9888" spans="1:11" ht="12.45">
      <c r="A9888" s="2" t="str">
        <f ca="1">IFERROR(__xludf.DUMMYFUNCTION("""COMPUTED_VALUE"""),"105776612487")</f>
        <v>105776612487</v>
      </c>
      <c r="C9888" s="2" t="str">
        <v>0</v>
      </c>
      <c r="F9888" s="2" t="str">
        <v>0</v>
      </c>
      <c r="I9888" s="2" t="str">
        <f ca="1">IFERROR(__xludf.DUMMYFUNCTION("""COMPUTED_VALUE"""),"Nguyễn Thị Quỳnh Phương")</f>
        <v>Nguyễn Thị Quỳnh Phương</v>
      </c>
      <c r="J9888" s="2" t="str">
        <f ca="1">IFERROR(__xludf.DUMMYFUNCTION("""COMPUTED_VALUE"""),"0944489730")</f>
        <v>0944489730</v>
      </c>
      <c r="K9888" s="2" t="str">
        <f ca="1">IFERROR(__xludf.DUMMYFUNCTION("""COMPUTED_VALUE"""),"105776612487")</f>
        <v>105776612487</v>
      </c>
    </row>
    <row r="9889" spans="1:11" ht="12.45">
      <c r="A9889" s="2" t="str">
        <f ca="1">IFERROR(__xludf.DUMMYFUNCTION("""COMPUTED_VALUE"""),"105776612590")</f>
        <v>105776612590</v>
      </c>
      <c r="C9889" s="2" t="str">
        <v>0</v>
      </c>
      <c r="F9889" s="2" t="str">
        <v>0</v>
      </c>
      <c r="I9889" s="2" t="str">
        <f ca="1">IFERROR(__xludf.DUMMYFUNCTION("""COMPUTED_VALUE"""),"Nguyễn Thị Mai Ly")</f>
        <v>Nguyễn Thị Mai Ly</v>
      </c>
      <c r="J9889" s="2" t="str">
        <f ca="1">IFERROR(__xludf.DUMMYFUNCTION("""COMPUTED_VALUE"""),"0867251237")</f>
        <v>0867251237</v>
      </c>
      <c r="K9889" s="2" t="str">
        <f ca="1">IFERROR(__xludf.DUMMYFUNCTION("""COMPUTED_VALUE"""),"105776612590")</f>
        <v>105776612590</v>
      </c>
    </row>
    <row r="9890" spans="1:11" ht="12.45">
      <c r="A9890" s="2" t="str">
        <f ca="1">IFERROR(__xludf.DUMMYFUNCTION("""COMPUTED_VALUE"""),"105776612734")</f>
        <v>105776612734</v>
      </c>
      <c r="C9890" s="2" t="str">
        <v>0</v>
      </c>
      <c r="F9890" s="2" t="str">
        <v>0</v>
      </c>
      <c r="I9890" s="2" t="str">
        <f ca="1">IFERROR(__xludf.DUMMYFUNCTION("""COMPUTED_VALUE"""),"Trần Thị Ngọc Nhiên")</f>
        <v>Trần Thị Ngọc Nhiên</v>
      </c>
      <c r="J9890" s="2" t="str">
        <f ca="1">IFERROR(__xludf.DUMMYFUNCTION("""COMPUTED_VALUE"""),"0862478415")</f>
        <v>0862478415</v>
      </c>
      <c r="K9890" s="2" t="str">
        <f ca="1">IFERROR(__xludf.DUMMYFUNCTION("""COMPUTED_VALUE"""),"105776612734")</f>
        <v>105776612734</v>
      </c>
    </row>
    <row r="9891" spans="1:11" ht="12.45">
      <c r="A9891" s="2" t="str">
        <f ca="1">IFERROR(__xludf.DUMMYFUNCTION("""COMPUTED_VALUE"""),"105776612911")</f>
        <v>105776612911</v>
      </c>
      <c r="C9891" s="2" t="str">
        <v>0</v>
      </c>
      <c r="F9891" s="2" t="str">
        <v>0</v>
      </c>
      <c r="I9891" s="2" t="str">
        <f ca="1">IFERROR(__xludf.DUMMYFUNCTION("""COMPUTED_VALUE"""),"Nguyễn Minh Ngọc")</f>
        <v>Nguyễn Minh Ngọc</v>
      </c>
      <c r="J9891" s="2" t="str">
        <f ca="1">IFERROR(__xludf.DUMMYFUNCTION("""COMPUTED_VALUE"""),"0869513445")</f>
        <v>0869513445</v>
      </c>
      <c r="K9891" s="2" t="str">
        <f ca="1">IFERROR(__xludf.DUMMYFUNCTION("""COMPUTED_VALUE"""),"105776612911")</f>
        <v>105776612911</v>
      </c>
    </row>
    <row r="9892" spans="1:11" ht="12.45">
      <c r="A9892" s="2" t="str">
        <f ca="1">IFERROR(__xludf.DUMMYFUNCTION("""COMPUTED_VALUE"""),"105776613029")</f>
        <v>105776613029</v>
      </c>
      <c r="C9892" s="2" t="str">
        <v>0</v>
      </c>
      <c r="F9892" s="2" t="str">
        <v>0</v>
      </c>
      <c r="I9892" s="2" t="str">
        <f ca="1">IFERROR(__xludf.DUMMYFUNCTION("""COMPUTED_VALUE"""),"Hoàng Nhật Minh")</f>
        <v>Hoàng Nhật Minh</v>
      </c>
      <c r="J9892" s="2" t="str">
        <f ca="1">IFERROR(__xludf.DUMMYFUNCTION("""COMPUTED_VALUE"""),"0868022025")</f>
        <v>0868022025</v>
      </c>
      <c r="K9892" s="2" t="str">
        <f ca="1">IFERROR(__xludf.DUMMYFUNCTION("""COMPUTED_VALUE"""),"105776613029")</f>
        <v>105776613029</v>
      </c>
    </row>
    <row r="9893" spans="1:11" ht="12.45">
      <c r="A9893" s="2"/>
      <c r="C9893" s="2" t="str">
        <v>0</v>
      </c>
      <c r="F9893" s="2" t="str">
        <v>0</v>
      </c>
      <c r="I9893" s="2" t="str">
        <f ca="1">IFERROR(__xludf.DUMMYFUNCTION("""COMPUTED_VALUE"""),"Trần Gia Hân")</f>
        <v>Trần Gia Hân</v>
      </c>
      <c r="J9893" s="2" t="str">
        <f ca="1">IFERROR(__xludf.DUMMYFUNCTION("""COMPUTED_VALUE"""),"0359593782")</f>
        <v>0359593782</v>
      </c>
      <c r="K9893" s="2"/>
    </row>
    <row r="9894" spans="1:11" ht="12.45">
      <c r="A9894" s="2" t="str">
        <f ca="1">IFERROR(__xludf.DUMMYFUNCTION("""COMPUTED_VALUE"""),"105776613175")</f>
        <v>105776613175</v>
      </c>
      <c r="C9894" s="2" t="str">
        <v>0</v>
      </c>
      <c r="F9894" s="2" t="str">
        <v>0</v>
      </c>
      <c r="I9894" s="2" t="str">
        <f ca="1">IFERROR(__xludf.DUMMYFUNCTION("""COMPUTED_VALUE"""),"Nguyễn Mai Chi")</f>
        <v>Nguyễn Mai Chi</v>
      </c>
      <c r="J9894" s="2" t="str">
        <f ca="1">IFERROR(__xludf.DUMMYFUNCTION("""COMPUTED_VALUE"""),"0354055803")</f>
        <v>0354055803</v>
      </c>
      <c r="K9894" s="2" t="str">
        <f ca="1">IFERROR(__xludf.DUMMYFUNCTION("""COMPUTED_VALUE"""),"105776613175")</f>
        <v>105776613175</v>
      </c>
    </row>
    <row r="9895" spans="1:11" ht="12.45">
      <c r="A9895" s="2" t="str">
        <f ca="1">IFERROR(__xludf.DUMMYFUNCTION("""COMPUTED_VALUE"""),"105776613316")</f>
        <v>105776613316</v>
      </c>
      <c r="C9895" s="2" t="str">
        <v>0</v>
      </c>
      <c r="F9895" s="2" t="str">
        <v>0</v>
      </c>
      <c r="I9895" s="2" t="str">
        <f ca="1">IFERROR(__xludf.DUMMYFUNCTION("""COMPUTED_VALUE"""),"Hoàng Ngọc Xuân An ")</f>
        <v xml:space="preserve">Hoàng Ngọc Xuân An </v>
      </c>
      <c r="J9895" s="2" t="str">
        <f ca="1">IFERROR(__xludf.DUMMYFUNCTION("""COMPUTED_VALUE"""),"0931288491")</f>
        <v>0931288491</v>
      </c>
      <c r="K9895" s="2" t="str">
        <f ca="1">IFERROR(__xludf.DUMMYFUNCTION("""COMPUTED_VALUE"""),"105776613316")</f>
        <v>105776613316</v>
      </c>
    </row>
    <row r="9896" spans="1:11" ht="12.45">
      <c r="A9896" s="2" t="str">
        <f ca="1">IFERROR(__xludf.DUMMYFUNCTION("""COMPUTED_VALUE"""),"105776613487")</f>
        <v>105776613487</v>
      </c>
      <c r="C9896" s="2" t="str">
        <v>0</v>
      </c>
      <c r="F9896" s="2" t="str">
        <v>0</v>
      </c>
      <c r="I9896" s="2" t="str">
        <f ca="1">IFERROR(__xludf.DUMMYFUNCTION("""COMPUTED_VALUE"""),"Nông Văn Đức")</f>
        <v>Nông Văn Đức</v>
      </c>
      <c r="J9896" s="2" t="str">
        <f ca="1">IFERROR(__xludf.DUMMYFUNCTION("""COMPUTED_VALUE"""),"0889729807")</f>
        <v>0889729807</v>
      </c>
      <c r="K9896" s="2" t="str">
        <f ca="1">IFERROR(__xludf.DUMMYFUNCTION("""COMPUTED_VALUE"""),"105776613487")</f>
        <v>105776613487</v>
      </c>
    </row>
    <row r="9897" spans="1:11" ht="12.45">
      <c r="A9897" s="2" t="str">
        <f ca="1">IFERROR(__xludf.DUMMYFUNCTION("""COMPUTED_VALUE"""),"105776613589")</f>
        <v>105776613589</v>
      </c>
      <c r="C9897" s="2" t="str">
        <v>0</v>
      </c>
      <c r="F9897" s="2" t="str">
        <v>0</v>
      </c>
      <c r="I9897" s="2" t="str">
        <f ca="1">IFERROR(__xludf.DUMMYFUNCTION("""COMPUTED_VALUE"""),"Võ Phan Hải Sơn")</f>
        <v>Võ Phan Hải Sơn</v>
      </c>
      <c r="J9897" s="2" t="str">
        <f ca="1">IFERROR(__xludf.DUMMYFUNCTION("""COMPUTED_VALUE"""),"0946916407")</f>
        <v>0946916407</v>
      </c>
      <c r="K9897" s="2" t="str">
        <f ca="1">IFERROR(__xludf.DUMMYFUNCTION("""COMPUTED_VALUE"""),"105776613589")</f>
        <v>105776613589</v>
      </c>
    </row>
    <row r="9898" spans="1:11" ht="12.45">
      <c r="A9898" s="2" t="str">
        <f ca="1">IFERROR(__xludf.DUMMYFUNCTION("""COMPUTED_VALUE"""),"105776613639")</f>
        <v>105776613639</v>
      </c>
      <c r="C9898" s="2" t="str">
        <v>0</v>
      </c>
      <c r="F9898" s="2" t="str">
        <v>0</v>
      </c>
      <c r="I9898" s="2" t="str">
        <f ca="1">IFERROR(__xludf.DUMMYFUNCTION("""COMPUTED_VALUE"""),"Trần Trà Giang ")</f>
        <v xml:space="preserve">Trần Trà Giang </v>
      </c>
      <c r="J9898" s="2" t="str">
        <f ca="1">IFERROR(__xludf.DUMMYFUNCTION("""COMPUTED_VALUE"""),"0919587298")</f>
        <v>0919587298</v>
      </c>
      <c r="K9898" s="2" t="str">
        <f ca="1">IFERROR(__xludf.DUMMYFUNCTION("""COMPUTED_VALUE"""),"105776613639")</f>
        <v>105776613639</v>
      </c>
    </row>
    <row r="9899" spans="1:11" ht="12.45">
      <c r="A9899" s="2" t="str">
        <f ca="1">IFERROR(__xludf.DUMMYFUNCTION("""COMPUTED_VALUE"""),"105776613766")</f>
        <v>105776613766</v>
      </c>
      <c r="C9899" s="2" t="str">
        <v>0</v>
      </c>
      <c r="F9899" s="2" t="str">
        <v>0</v>
      </c>
      <c r="I9899" s="2" t="str">
        <f ca="1">IFERROR(__xludf.DUMMYFUNCTION("""COMPUTED_VALUE"""),"Lê Thi Ngọc Bình ")</f>
        <v xml:space="preserve">Lê Thi Ngọc Bình </v>
      </c>
      <c r="J9899" s="2" t="str">
        <f ca="1">IFERROR(__xludf.DUMMYFUNCTION("""COMPUTED_VALUE"""),"8439829340")</f>
        <v>8439829340</v>
      </c>
      <c r="K9899" s="2" t="str">
        <f ca="1">IFERROR(__xludf.DUMMYFUNCTION("""COMPUTED_VALUE"""),"105776613766")</f>
        <v>105776613766</v>
      </c>
    </row>
    <row r="9900" spans="1:11" ht="12.45">
      <c r="A9900" s="2" t="str">
        <f ca="1">IFERROR(__xludf.DUMMYFUNCTION("""COMPUTED_VALUE"""),"105776613822")</f>
        <v>105776613822</v>
      </c>
      <c r="C9900" s="2" t="str">
        <v>0</v>
      </c>
      <c r="F9900" s="2" t="str">
        <v>0</v>
      </c>
      <c r="I9900" s="2" t="str">
        <f ca="1">IFERROR(__xludf.DUMMYFUNCTION("""COMPUTED_VALUE"""),"Đào Phương Thuý ")</f>
        <v xml:space="preserve">Đào Phương Thuý </v>
      </c>
      <c r="J9900" s="2" t="str">
        <f ca="1">IFERROR(__xludf.DUMMYFUNCTION("""COMPUTED_VALUE"""),"0866473567")</f>
        <v>0866473567</v>
      </c>
      <c r="K9900" s="2" t="str">
        <f ca="1">IFERROR(__xludf.DUMMYFUNCTION("""COMPUTED_VALUE"""),"105776613822")</f>
        <v>105776613822</v>
      </c>
    </row>
    <row r="9901" spans="1:11" ht="12.45">
      <c r="A9901" s="2" t="str">
        <f ca="1">IFERROR(__xludf.DUMMYFUNCTION("""COMPUTED_VALUE"""),"105776613939")</f>
        <v>105776613939</v>
      </c>
      <c r="C9901" s="2" t="str">
        <v>0</v>
      </c>
      <c r="F9901" s="2" t="str">
        <v>0</v>
      </c>
      <c r="I9901" s="2" t="str">
        <f ca="1">IFERROR(__xludf.DUMMYFUNCTION("""COMPUTED_VALUE"""),"Lê Kim Lân")</f>
        <v>Lê Kim Lân</v>
      </c>
      <c r="J9901" s="2" t="str">
        <f ca="1">IFERROR(__xludf.DUMMYFUNCTION("""COMPUTED_VALUE"""),"0916570871")</f>
        <v>0916570871</v>
      </c>
      <c r="K9901" s="2" t="str">
        <f ca="1">IFERROR(__xludf.DUMMYFUNCTION("""COMPUTED_VALUE"""),"105776613939")</f>
        <v>105776613939</v>
      </c>
    </row>
    <row r="9902" spans="1:11" ht="12.45">
      <c r="A9902" s="2" t="str">
        <f ca="1">IFERROR(__xludf.DUMMYFUNCTION("""COMPUTED_VALUE"""),"105776614055")</f>
        <v>105776614055</v>
      </c>
      <c r="C9902" s="2" t="str">
        <v>0</v>
      </c>
      <c r="F9902" s="2" t="str">
        <v>0</v>
      </c>
      <c r="I9902" s="2" t="str">
        <f ca="1">IFERROR(__xludf.DUMMYFUNCTION("""COMPUTED_VALUE"""),"Võ Nguyễn Thu Thuỷ")</f>
        <v>Võ Nguyễn Thu Thuỷ</v>
      </c>
      <c r="J9902" s="2" t="str">
        <f ca="1">IFERROR(__xludf.DUMMYFUNCTION("""COMPUTED_VALUE"""),"0961645557")</f>
        <v>0961645557</v>
      </c>
      <c r="K9902" s="2" t="str">
        <f ca="1">IFERROR(__xludf.DUMMYFUNCTION("""COMPUTED_VALUE"""),"105776614055")</f>
        <v>105776614055</v>
      </c>
    </row>
    <row r="9903" spans="1:11" ht="12.45">
      <c r="A9903" s="2" t="str">
        <f ca="1">IFERROR(__xludf.DUMMYFUNCTION("""COMPUTED_VALUE"""),"105776614143")</f>
        <v>105776614143</v>
      </c>
      <c r="C9903" s="2" t="str">
        <v>0</v>
      </c>
      <c r="F9903" s="2" t="str">
        <v>0</v>
      </c>
      <c r="I9903" s="2" t="str">
        <f ca="1">IFERROR(__xludf.DUMMYFUNCTION("""COMPUTED_VALUE"""),"Hoàng Ngọc Hải Hà")</f>
        <v>Hoàng Ngọc Hải Hà</v>
      </c>
      <c r="J9903" s="2" t="str">
        <f ca="1">IFERROR(__xludf.DUMMYFUNCTION("""COMPUTED_VALUE"""),"0828718366")</f>
        <v>0828718366</v>
      </c>
      <c r="K9903" s="2" t="str">
        <f ca="1">IFERROR(__xludf.DUMMYFUNCTION("""COMPUTED_VALUE"""),"105776614143")</f>
        <v>105776614143</v>
      </c>
    </row>
    <row r="9904" spans="1:11" ht="12.45">
      <c r="A9904" s="2" t="str">
        <f ca="1">IFERROR(__xludf.DUMMYFUNCTION("""COMPUTED_VALUE"""),"105776614267")</f>
        <v>105776614267</v>
      </c>
      <c r="C9904" s="2" t="str">
        <v>0</v>
      </c>
      <c r="F9904" s="2" t="str">
        <v>0</v>
      </c>
      <c r="I9904" s="2" t="str">
        <f ca="1">IFERROR(__xludf.DUMMYFUNCTION("""COMPUTED_VALUE"""),"Mai Thị Thu Huyền")</f>
        <v>Mai Thị Thu Huyền</v>
      </c>
      <c r="J9904" s="2" t="str">
        <f ca="1">IFERROR(__xludf.DUMMYFUNCTION("""COMPUTED_VALUE"""),"0399700407")</f>
        <v>0399700407</v>
      </c>
      <c r="K9904" s="2" t="str">
        <f ca="1">IFERROR(__xludf.DUMMYFUNCTION("""COMPUTED_VALUE"""),"105776614267")</f>
        <v>105776614267</v>
      </c>
    </row>
    <row r="9905" spans="1:11" ht="12.45">
      <c r="A9905" s="2" t="str">
        <f ca="1">IFERROR(__xludf.DUMMYFUNCTION("""COMPUTED_VALUE"""),"105776614380")</f>
        <v>105776614380</v>
      </c>
      <c r="C9905" s="2" t="str">
        <v>0</v>
      </c>
      <c r="F9905" s="2" t="str">
        <v>0</v>
      </c>
      <c r="I9905" s="2" t="str">
        <f ca="1">IFERROR(__xludf.DUMMYFUNCTION("""COMPUTED_VALUE"""),"Lê Thị Thanh Vân")</f>
        <v>Lê Thị Thanh Vân</v>
      </c>
      <c r="J9905" s="2" t="str">
        <f ca="1">IFERROR(__xludf.DUMMYFUNCTION("""COMPUTED_VALUE"""),"0935935830")</f>
        <v>0935935830</v>
      </c>
      <c r="K9905" s="2" t="str">
        <f ca="1">IFERROR(__xludf.DUMMYFUNCTION("""COMPUTED_VALUE"""),"105776614380")</f>
        <v>105776614380</v>
      </c>
    </row>
    <row r="9906" spans="1:11" ht="12.45">
      <c r="A9906" s="2" t="str">
        <f ca="1">IFERROR(__xludf.DUMMYFUNCTION("""COMPUTED_VALUE"""),"105776614484")</f>
        <v>105776614484</v>
      </c>
      <c r="C9906" s="2" t="str">
        <v>0</v>
      </c>
      <c r="F9906" s="2" t="str">
        <v>0</v>
      </c>
      <c r="I9906" s="2" t="str">
        <f ca="1">IFERROR(__xludf.DUMMYFUNCTION("""COMPUTED_VALUE"""),"Nguyễn Phước Thiên An")</f>
        <v>Nguyễn Phước Thiên An</v>
      </c>
      <c r="J9906" s="2" t="str">
        <f ca="1">IFERROR(__xludf.DUMMYFUNCTION("""COMPUTED_VALUE"""),"0933961931")</f>
        <v>0933961931</v>
      </c>
      <c r="K9906" s="2" t="str">
        <f ca="1">IFERROR(__xludf.DUMMYFUNCTION("""COMPUTED_VALUE"""),"105776614484")</f>
        <v>105776614484</v>
      </c>
    </row>
    <row r="9907" spans="1:11" ht="12.45">
      <c r="A9907" s="2"/>
      <c r="C9907" s="2" t="str">
        <v>0</v>
      </c>
      <c r="F9907" s="2" t="str">
        <v>0</v>
      </c>
      <c r="I9907" s="2" t="str">
        <f ca="1">IFERROR(__xludf.DUMMYFUNCTION("""COMPUTED_VALUE"""),"Bùi Thị Thanh Hằng")</f>
        <v>Bùi Thị Thanh Hằng</v>
      </c>
      <c r="J9907" s="2" t="str">
        <f ca="1">IFERROR(__xludf.DUMMYFUNCTION("""COMPUTED_VALUE"""),"0975554698")</f>
        <v>0975554698</v>
      </c>
      <c r="K9907" s="2"/>
    </row>
    <row r="9908" spans="1:11" ht="12.45">
      <c r="A9908" s="2" t="str">
        <f ca="1">IFERROR(__xludf.DUMMYFUNCTION("""COMPUTED_VALUE"""),"105776614539")</f>
        <v>105776614539</v>
      </c>
      <c r="C9908" s="2" t="str">
        <v>0</v>
      </c>
      <c r="F9908" s="2" t="str">
        <v>0</v>
      </c>
      <c r="I9908" s="2" t="str">
        <f ca="1">IFERROR(__xludf.DUMMYFUNCTION("""COMPUTED_VALUE"""),"Tô Gia Hưng")</f>
        <v>Tô Gia Hưng</v>
      </c>
      <c r="J9908" s="2" t="str">
        <f ca="1">IFERROR(__xludf.DUMMYFUNCTION("""COMPUTED_VALUE"""),"0978639976")</f>
        <v>0978639976</v>
      </c>
      <c r="K9908" s="2" t="str">
        <f ca="1">IFERROR(__xludf.DUMMYFUNCTION("""COMPUTED_VALUE"""),"105776614539")</f>
        <v>105776614539</v>
      </c>
    </row>
    <row r="9909" spans="1:11" ht="12.45">
      <c r="A9909" s="2" t="str">
        <f ca="1">IFERROR(__xludf.DUMMYFUNCTION("""COMPUTED_VALUE"""),"105776614696")</f>
        <v>105776614696</v>
      </c>
      <c r="C9909" s="2" t="str">
        <v>0</v>
      </c>
      <c r="F9909" s="2" t="str">
        <v>0</v>
      </c>
      <c r="I9909" s="2" t="str">
        <f ca="1">IFERROR(__xludf.DUMMYFUNCTION("""COMPUTED_VALUE"""),"Lê Ngọc Trúc Anh")</f>
        <v>Lê Ngọc Trúc Anh</v>
      </c>
      <c r="J9909" s="2" t="str">
        <f ca="1">IFERROR(__xludf.DUMMYFUNCTION("""COMPUTED_VALUE"""),"0902989910")</f>
        <v>0902989910</v>
      </c>
      <c r="K9909" s="2" t="str">
        <f ca="1">IFERROR(__xludf.DUMMYFUNCTION("""COMPUTED_VALUE"""),"105776614696")</f>
        <v>105776614696</v>
      </c>
    </row>
    <row r="9910" spans="1:11" ht="12.45">
      <c r="A9910" s="2" t="str">
        <f ca="1">IFERROR(__xludf.DUMMYFUNCTION("""COMPUTED_VALUE"""),"105776614723")</f>
        <v>105776614723</v>
      </c>
      <c r="C9910" s="2" t="str">
        <v>0</v>
      </c>
      <c r="F9910" s="2" t="str">
        <v>0</v>
      </c>
      <c r="I9910" s="2" t="str">
        <f ca="1">IFERROR(__xludf.DUMMYFUNCTION("""COMPUTED_VALUE"""),"Đặng Nhi Anh")</f>
        <v>Đặng Nhi Anh</v>
      </c>
      <c r="J9910" s="2" t="str">
        <f ca="1">IFERROR(__xludf.DUMMYFUNCTION("""COMPUTED_VALUE"""),"0904426408")</f>
        <v>0904426408</v>
      </c>
      <c r="K9910" s="2" t="str">
        <f ca="1">IFERROR(__xludf.DUMMYFUNCTION("""COMPUTED_VALUE"""),"105776614723")</f>
        <v>105776614723</v>
      </c>
    </row>
    <row r="9911" spans="1:11" ht="12.45">
      <c r="A9911" s="2" t="str">
        <f ca="1">IFERROR(__xludf.DUMMYFUNCTION("""COMPUTED_VALUE"""),"105776614886")</f>
        <v>105776614886</v>
      </c>
      <c r="C9911" s="2" t="str">
        <v>0</v>
      </c>
      <c r="F9911" s="2" t="str">
        <v>0</v>
      </c>
      <c r="I9911" s="2" t="str">
        <f ca="1">IFERROR(__xludf.DUMMYFUNCTION("""COMPUTED_VALUE"""),"Ngô Linh Hương")</f>
        <v>Ngô Linh Hương</v>
      </c>
      <c r="J9911" s="2" t="str">
        <f ca="1">IFERROR(__xludf.DUMMYFUNCTION("""COMPUTED_VALUE"""),"0865472318")</f>
        <v>0865472318</v>
      </c>
      <c r="K9911" s="2" t="str">
        <f ca="1">IFERROR(__xludf.DUMMYFUNCTION("""COMPUTED_VALUE"""),"105776614886")</f>
        <v>105776614886</v>
      </c>
    </row>
    <row r="9912" spans="1:11" ht="12.45">
      <c r="A9912" s="2"/>
      <c r="C9912" s="2" t="str">
        <v>0</v>
      </c>
      <c r="F9912" s="2" t="str">
        <v>0</v>
      </c>
      <c r="I9912" s="2" t="str">
        <f ca="1">IFERROR(__xludf.DUMMYFUNCTION("""COMPUTED_VALUE"""),"Nguyễn Huỳnh Giao ")</f>
        <v xml:space="preserve">Nguyễn Huỳnh Giao </v>
      </c>
      <c r="J9912" s="2" t="str">
        <f ca="1">IFERROR(__xludf.DUMMYFUNCTION("""COMPUTED_VALUE"""),"0879414588")</f>
        <v>0879414588</v>
      </c>
      <c r="K9912" s="2"/>
    </row>
    <row r="9913" spans="1:11" ht="12.45">
      <c r="A9913" s="2" t="str">
        <f ca="1">IFERROR(__xludf.DUMMYFUNCTION("""COMPUTED_VALUE"""),"105776614953")</f>
        <v>105776614953</v>
      </c>
      <c r="C9913" s="2" t="str">
        <v>0</v>
      </c>
      <c r="F9913" s="2" t="str">
        <v>0</v>
      </c>
      <c r="I9913" s="2" t="str">
        <f ca="1">IFERROR(__xludf.DUMMYFUNCTION("""COMPUTED_VALUE"""),"Huỳnh Đông Nghi")</f>
        <v>Huỳnh Đông Nghi</v>
      </c>
      <c r="J9913" s="2" t="str">
        <f ca="1">IFERROR(__xludf.DUMMYFUNCTION("""COMPUTED_VALUE"""),"0939801428")</f>
        <v>0939801428</v>
      </c>
      <c r="K9913" s="2" t="str">
        <f ca="1">IFERROR(__xludf.DUMMYFUNCTION("""COMPUTED_VALUE"""),"105776614953")</f>
        <v>105776614953</v>
      </c>
    </row>
    <row r="9914" spans="1:11" ht="12.45">
      <c r="A9914" s="2" t="str">
        <f ca="1">IFERROR(__xludf.DUMMYFUNCTION("""COMPUTED_VALUE"""),"105776615061")</f>
        <v>105776615061</v>
      </c>
      <c r="C9914" s="2" t="str">
        <v>0</v>
      </c>
      <c r="F9914" s="2" t="str">
        <v>0</v>
      </c>
      <c r="I9914" s="2" t="str">
        <f ca="1">IFERROR(__xludf.DUMMYFUNCTION("""COMPUTED_VALUE"""),"Lăng Thu Ngân")</f>
        <v>Lăng Thu Ngân</v>
      </c>
      <c r="J9914" s="2" t="str">
        <f ca="1">IFERROR(__xludf.DUMMYFUNCTION("""COMPUTED_VALUE"""),"0921900869")</f>
        <v>0921900869</v>
      </c>
      <c r="K9914" s="2" t="str">
        <f ca="1">IFERROR(__xludf.DUMMYFUNCTION("""COMPUTED_VALUE"""),"105776615061")</f>
        <v>105776615061</v>
      </c>
    </row>
    <row r="9915" spans="1:11" ht="12.45">
      <c r="A9915" s="2" t="str">
        <f ca="1">IFERROR(__xludf.DUMMYFUNCTION("""COMPUTED_VALUE"""),"105776615112")</f>
        <v>105776615112</v>
      </c>
      <c r="C9915" s="2" t="str">
        <v>0</v>
      </c>
      <c r="F9915" s="2" t="str">
        <v>0</v>
      </c>
      <c r="I9915" s="2" t="str">
        <f ca="1">IFERROR(__xludf.DUMMYFUNCTION("""COMPUTED_VALUE"""),"Nguyễn Thị Hải Yến")</f>
        <v>Nguyễn Thị Hải Yến</v>
      </c>
      <c r="J9915" s="2" t="str">
        <f ca="1">IFERROR(__xludf.DUMMYFUNCTION("""COMPUTED_VALUE"""),"0973986636")</f>
        <v>0973986636</v>
      </c>
      <c r="K9915" s="2" t="str">
        <f ca="1">IFERROR(__xludf.DUMMYFUNCTION("""COMPUTED_VALUE"""),"105776615112")</f>
        <v>105776615112</v>
      </c>
    </row>
    <row r="9916" spans="1:11" ht="12.45">
      <c r="A9916" s="2" t="str">
        <f ca="1">IFERROR(__xludf.DUMMYFUNCTION("""COMPUTED_VALUE"""),"105776615239")</f>
        <v>105776615239</v>
      </c>
      <c r="C9916" s="2" t="str">
        <v>0</v>
      </c>
      <c r="F9916" s="2" t="str">
        <v>0</v>
      </c>
      <c r="I9916" s="2" t="str">
        <f ca="1">IFERROR(__xludf.DUMMYFUNCTION("""COMPUTED_VALUE"""),"Đào Bá Phúc")</f>
        <v>Đào Bá Phúc</v>
      </c>
      <c r="J9916" s="2" t="str">
        <f ca="1">IFERROR(__xludf.DUMMYFUNCTION("""COMPUTED_VALUE"""),"0867194527")</f>
        <v>0867194527</v>
      </c>
      <c r="K9916" s="2" t="str">
        <f ca="1">IFERROR(__xludf.DUMMYFUNCTION("""COMPUTED_VALUE"""),"105776615239")</f>
        <v>105776615239</v>
      </c>
    </row>
    <row r="9917" spans="1:11" ht="12.45">
      <c r="A9917" s="2" t="str">
        <f ca="1">IFERROR(__xludf.DUMMYFUNCTION("""COMPUTED_VALUE"""),"105776615330")</f>
        <v>105776615330</v>
      </c>
      <c r="C9917" s="2" t="str">
        <v>0</v>
      </c>
      <c r="F9917" s="2" t="str">
        <v>0</v>
      </c>
      <c r="I9917" s="2" t="str">
        <f ca="1">IFERROR(__xludf.DUMMYFUNCTION("""COMPUTED_VALUE"""),"Bùi Gia Tùng")</f>
        <v>Bùi Gia Tùng</v>
      </c>
      <c r="J9917" s="2" t="str">
        <f ca="1">IFERROR(__xludf.DUMMYFUNCTION("""COMPUTED_VALUE"""),"0393506066")</f>
        <v>0393506066</v>
      </c>
      <c r="K9917" s="2" t="str">
        <f ca="1">IFERROR(__xludf.DUMMYFUNCTION("""COMPUTED_VALUE"""),"105776615330")</f>
        <v>105776615330</v>
      </c>
    </row>
    <row r="9918" spans="1:11" ht="12.45">
      <c r="A9918" s="2" t="str">
        <f ca="1">IFERROR(__xludf.DUMMYFUNCTION("""COMPUTED_VALUE"""),"105776615417")</f>
        <v>105776615417</v>
      </c>
      <c r="C9918" s="2" t="str">
        <v>0</v>
      </c>
      <c r="F9918" s="2" t="str">
        <v>0</v>
      </c>
      <c r="I9918" s="2" t="str">
        <f ca="1">IFERROR(__xludf.DUMMYFUNCTION("""COMPUTED_VALUE"""),"Nguyễn Phương Linh")</f>
        <v>Nguyễn Phương Linh</v>
      </c>
      <c r="J9918" s="2" t="str">
        <f ca="1">IFERROR(__xludf.DUMMYFUNCTION("""COMPUTED_VALUE"""),"0399712547")</f>
        <v>0399712547</v>
      </c>
      <c r="K9918" s="2" t="str">
        <f ca="1">IFERROR(__xludf.DUMMYFUNCTION("""COMPUTED_VALUE"""),"105776615417")</f>
        <v>105776615417</v>
      </c>
    </row>
    <row r="9919" spans="1:11" ht="12.45">
      <c r="A9919" s="2" t="str">
        <f ca="1">IFERROR(__xludf.DUMMYFUNCTION("""COMPUTED_VALUE"""),"105776615532")</f>
        <v>105776615532</v>
      </c>
      <c r="C9919" s="2" t="str">
        <v>0</v>
      </c>
      <c r="F9919" s="2" t="str">
        <v>0</v>
      </c>
      <c r="I9919" s="2" t="str">
        <f ca="1">IFERROR(__xludf.DUMMYFUNCTION("""COMPUTED_VALUE"""),"Ngô Trà My")</f>
        <v>Ngô Trà My</v>
      </c>
      <c r="J9919" s="2" t="str">
        <f ca="1">IFERROR(__xludf.DUMMYFUNCTION("""COMPUTED_VALUE"""),"0948678609")</f>
        <v>0948678609</v>
      </c>
      <c r="K9919" s="2" t="str">
        <f ca="1">IFERROR(__xludf.DUMMYFUNCTION("""COMPUTED_VALUE"""),"105776615532")</f>
        <v>105776615532</v>
      </c>
    </row>
    <row r="9920" spans="1:11" ht="12.45">
      <c r="A9920" s="2" t="str">
        <f ca="1">IFERROR(__xludf.DUMMYFUNCTION("""COMPUTED_VALUE"""),"105776615697")</f>
        <v>105776615697</v>
      </c>
      <c r="C9920" s="2" t="str">
        <v>0</v>
      </c>
      <c r="F9920" s="2" t="str">
        <v>0</v>
      </c>
      <c r="I9920" s="2" t="str">
        <f ca="1">IFERROR(__xludf.DUMMYFUNCTION("""COMPUTED_VALUE"""),"Nông Minh Hiếu ")</f>
        <v xml:space="preserve">Nông Minh Hiếu </v>
      </c>
      <c r="J9920" s="2" t="str">
        <f ca="1">IFERROR(__xludf.DUMMYFUNCTION("""COMPUTED_VALUE"""),"0399146648")</f>
        <v>0399146648</v>
      </c>
      <c r="K9920" s="2" t="str">
        <f ca="1">IFERROR(__xludf.DUMMYFUNCTION("""COMPUTED_VALUE"""),"105776615697")</f>
        <v>105776615697</v>
      </c>
    </row>
    <row r="9921" spans="1:11" ht="12.45">
      <c r="A9921" s="2" t="str">
        <f ca="1">IFERROR(__xludf.DUMMYFUNCTION("""COMPUTED_VALUE"""),"105776615749")</f>
        <v>105776615749</v>
      </c>
      <c r="C9921" s="2" t="str">
        <v>0</v>
      </c>
      <c r="F9921" s="2" t="str">
        <v>0</v>
      </c>
      <c r="I9921" s="2" t="str">
        <f ca="1">IFERROR(__xludf.DUMMYFUNCTION("""COMPUTED_VALUE"""),"Nguyễn Văn Thành")</f>
        <v>Nguyễn Văn Thành</v>
      </c>
      <c r="J9921" s="2" t="str">
        <f ca="1">IFERROR(__xludf.DUMMYFUNCTION("""COMPUTED_VALUE"""),"0366481136")</f>
        <v>0366481136</v>
      </c>
      <c r="K9921" s="2" t="str">
        <f ca="1">IFERROR(__xludf.DUMMYFUNCTION("""COMPUTED_VALUE"""),"105776615749")</f>
        <v>105776615749</v>
      </c>
    </row>
    <row r="9922" spans="1:11" ht="12.45">
      <c r="A9922" s="2" t="str">
        <f ca="1">IFERROR(__xludf.DUMMYFUNCTION("""COMPUTED_VALUE"""),"105776615841")</f>
        <v>105776615841</v>
      </c>
      <c r="C9922" s="2" t="str">
        <v>0</v>
      </c>
      <c r="F9922" s="2" t="str">
        <v>0</v>
      </c>
      <c r="I9922" s="2" t="str">
        <f ca="1">IFERROR(__xludf.DUMMYFUNCTION("""COMPUTED_VALUE"""),"Nguyễn Vân Khánh")</f>
        <v>Nguyễn Vân Khánh</v>
      </c>
      <c r="J9922" s="2" t="str">
        <f ca="1">IFERROR(__xludf.DUMMYFUNCTION("""COMPUTED_VALUE"""),"0904003739")</f>
        <v>0904003739</v>
      </c>
      <c r="K9922" s="2" t="str">
        <f ca="1">IFERROR(__xludf.DUMMYFUNCTION("""COMPUTED_VALUE"""),"105776615841")</f>
        <v>105776615841</v>
      </c>
    </row>
    <row r="9923" spans="1:11" ht="12.45">
      <c r="A9923" s="2" t="str">
        <f ca="1">IFERROR(__xludf.DUMMYFUNCTION("""COMPUTED_VALUE"""),"105776616033")</f>
        <v>105776616033</v>
      </c>
      <c r="C9923" s="2" t="str">
        <v>0</v>
      </c>
      <c r="F9923" s="2" t="str">
        <v>0</v>
      </c>
      <c r="I9923" s="2" t="str">
        <f ca="1">IFERROR(__xludf.DUMMYFUNCTION("""COMPUTED_VALUE"""),"Hoàng Kim Thắng")</f>
        <v>Hoàng Kim Thắng</v>
      </c>
      <c r="J9923" s="2" t="str">
        <f ca="1">IFERROR(__xludf.DUMMYFUNCTION("""COMPUTED_VALUE"""),"0393000103")</f>
        <v>0393000103</v>
      </c>
      <c r="K9923" s="2" t="str">
        <f ca="1">IFERROR(__xludf.DUMMYFUNCTION("""COMPUTED_VALUE"""),"105776616033")</f>
        <v>105776616033</v>
      </c>
    </row>
    <row r="9924" spans="1:11" ht="12.45">
      <c r="A9924" s="2" t="str">
        <f ca="1">IFERROR(__xludf.DUMMYFUNCTION("""COMPUTED_VALUE"""),"105776616121")</f>
        <v>105776616121</v>
      </c>
      <c r="C9924" s="2" t="str">
        <v>0</v>
      </c>
      <c r="F9924" s="2" t="str">
        <v>0</v>
      </c>
      <c r="I9924" s="2" t="str">
        <f ca="1">IFERROR(__xludf.DUMMYFUNCTION("""COMPUTED_VALUE"""),"Lê Bảo Trân")</f>
        <v>Lê Bảo Trân</v>
      </c>
      <c r="J9924" s="2" t="str">
        <f ca="1">IFERROR(__xludf.DUMMYFUNCTION("""COMPUTED_VALUE"""),"0767551816")</f>
        <v>0767551816</v>
      </c>
      <c r="K9924" s="2" t="str">
        <f ca="1">IFERROR(__xludf.DUMMYFUNCTION("""COMPUTED_VALUE"""),"105776616121")</f>
        <v>105776616121</v>
      </c>
    </row>
    <row r="9925" spans="1:11" ht="12.45">
      <c r="A9925" s="2" t="str">
        <f ca="1">IFERROR(__xludf.DUMMYFUNCTION("""COMPUTED_VALUE"""),"105776616261")</f>
        <v>105776616261</v>
      </c>
      <c r="C9925" s="2" t="str">
        <v>0</v>
      </c>
      <c r="F9925" s="2" t="str">
        <v>0</v>
      </c>
      <c r="I9925" s="2" t="str">
        <f ca="1">IFERROR(__xludf.DUMMYFUNCTION("""COMPUTED_VALUE"""),"Bùi Hương Ly ")</f>
        <v xml:space="preserve">Bùi Hương Ly </v>
      </c>
      <c r="J9925" s="2" t="str">
        <f ca="1">IFERROR(__xludf.DUMMYFUNCTION("""COMPUTED_VALUE"""),"0383737285")</f>
        <v>0383737285</v>
      </c>
      <c r="K9925" s="2" t="str">
        <f ca="1">IFERROR(__xludf.DUMMYFUNCTION("""COMPUTED_VALUE"""),"105776616261")</f>
        <v>105776616261</v>
      </c>
    </row>
    <row r="9926" spans="1:11" ht="12.45">
      <c r="A9926" s="2" t="str">
        <f ca="1">IFERROR(__xludf.DUMMYFUNCTION("""COMPUTED_VALUE"""),"105776616396")</f>
        <v>105776616396</v>
      </c>
      <c r="C9926" s="2" t="str">
        <v>0</v>
      </c>
      <c r="F9926" s="2" t="str">
        <v>0</v>
      </c>
      <c r="I9926" s="2" t="str">
        <f ca="1">IFERROR(__xludf.DUMMYFUNCTION("""COMPUTED_VALUE"""),"Lường Thu Trang")</f>
        <v>Lường Thu Trang</v>
      </c>
      <c r="J9926" s="2" t="str">
        <f ca="1">IFERROR(__xludf.DUMMYFUNCTION("""COMPUTED_VALUE"""),"0945149982")</f>
        <v>0945149982</v>
      </c>
      <c r="K9926" s="2" t="str">
        <f ca="1">IFERROR(__xludf.DUMMYFUNCTION("""COMPUTED_VALUE"""),"105776616396")</f>
        <v>105776616396</v>
      </c>
    </row>
    <row r="9927" spans="1:11" ht="12.45">
      <c r="A9927" s="2" t="str">
        <f ca="1">IFERROR(__xludf.DUMMYFUNCTION("""COMPUTED_VALUE"""),"105776616426")</f>
        <v>105776616426</v>
      </c>
      <c r="C9927" s="2" t="str">
        <v>0</v>
      </c>
      <c r="F9927" s="2" t="str">
        <v>0</v>
      </c>
      <c r="I9927" s="2" t="str">
        <f ca="1">IFERROR(__xludf.DUMMYFUNCTION("""COMPUTED_VALUE"""),"Nguyễn Bảo Ngọc ")</f>
        <v xml:space="preserve">Nguyễn Bảo Ngọc </v>
      </c>
      <c r="J9927" s="2" t="str">
        <f ca="1">IFERROR(__xludf.DUMMYFUNCTION("""COMPUTED_VALUE"""),"0917936898")</f>
        <v>0917936898</v>
      </c>
      <c r="K9927" s="2" t="str">
        <f ca="1">IFERROR(__xludf.DUMMYFUNCTION("""COMPUTED_VALUE"""),"105776616426")</f>
        <v>105776616426</v>
      </c>
    </row>
    <row r="9928" spans="1:11" ht="12.45">
      <c r="A9928" s="2" t="str">
        <f ca="1">IFERROR(__xludf.DUMMYFUNCTION("""COMPUTED_VALUE"""),"105776616535")</f>
        <v>105776616535</v>
      </c>
      <c r="C9928" s="2" t="str">
        <v>0</v>
      </c>
      <c r="F9928" s="2" t="str">
        <v>0</v>
      </c>
      <c r="I9928" s="2" t="str">
        <f ca="1">IFERROR(__xludf.DUMMYFUNCTION("""COMPUTED_VALUE"""),"Viên Hà Vy")</f>
        <v>Viên Hà Vy</v>
      </c>
      <c r="J9928" s="2" t="str">
        <f ca="1">IFERROR(__xludf.DUMMYFUNCTION("""COMPUTED_VALUE"""),"0369180807")</f>
        <v>0369180807</v>
      </c>
      <c r="K9928" s="2" t="str">
        <f ca="1">IFERROR(__xludf.DUMMYFUNCTION("""COMPUTED_VALUE"""),"105776616535")</f>
        <v>105776616535</v>
      </c>
    </row>
    <row r="9929" spans="1:11" ht="12.45">
      <c r="A9929" s="2" t="str">
        <f ca="1">IFERROR(__xludf.DUMMYFUNCTION("""COMPUTED_VALUE"""),"105776616613")</f>
        <v>105776616613</v>
      </c>
      <c r="C9929" s="2" t="str">
        <v>0</v>
      </c>
      <c r="F9929" s="2" t="str">
        <v>0</v>
      </c>
      <c r="I9929" s="2" t="str">
        <f ca="1">IFERROR(__xludf.DUMMYFUNCTION("""COMPUTED_VALUE"""),"Trần Thị Thanh Trúc ")</f>
        <v xml:space="preserve">Trần Thị Thanh Trúc </v>
      </c>
      <c r="J9929" s="2" t="str">
        <f ca="1">IFERROR(__xludf.DUMMYFUNCTION("""COMPUTED_VALUE"""),"0946479733")</f>
        <v>0946479733</v>
      </c>
      <c r="K9929" s="2" t="str">
        <f ca="1">IFERROR(__xludf.DUMMYFUNCTION("""COMPUTED_VALUE"""),"105776616613")</f>
        <v>105776616613</v>
      </c>
    </row>
    <row r="9930" spans="1:11" ht="12.45">
      <c r="A9930" s="2" t="str">
        <f ca="1">IFERROR(__xludf.DUMMYFUNCTION("""COMPUTED_VALUE"""),"105776616776")</f>
        <v>105776616776</v>
      </c>
      <c r="C9930" s="2" t="str">
        <v>0</v>
      </c>
      <c r="F9930" s="2" t="str">
        <v>0</v>
      </c>
      <c r="I9930" s="2" t="str">
        <f ca="1">IFERROR(__xludf.DUMMYFUNCTION("""COMPUTED_VALUE"""),"Nguyễn Thuỷ Anh")</f>
        <v>Nguyễn Thuỷ Anh</v>
      </c>
      <c r="J9930" s="2" t="str">
        <f ca="1">IFERROR(__xludf.DUMMYFUNCTION("""COMPUTED_VALUE"""),"0988499546")</f>
        <v>0988499546</v>
      </c>
      <c r="K9930" s="2" t="str">
        <f ca="1">IFERROR(__xludf.DUMMYFUNCTION("""COMPUTED_VALUE"""),"105776616776")</f>
        <v>105776616776</v>
      </c>
    </row>
    <row r="9931" spans="1:11" ht="12.45">
      <c r="A9931" s="2" t="str">
        <f ca="1">IFERROR(__xludf.DUMMYFUNCTION("""COMPUTED_VALUE"""),"105776616896")</f>
        <v>105776616896</v>
      </c>
      <c r="C9931" s="2" t="str">
        <v>0</v>
      </c>
      <c r="F9931" s="2" t="str">
        <v>0</v>
      </c>
      <c r="I9931" s="2" t="str">
        <f ca="1">IFERROR(__xludf.DUMMYFUNCTION("""COMPUTED_VALUE"""),"Trần Thị Ngọc Anh ")</f>
        <v xml:space="preserve">Trần Thị Ngọc Anh </v>
      </c>
      <c r="J9931" s="2" t="str">
        <f ca="1">IFERROR(__xludf.DUMMYFUNCTION("""COMPUTED_VALUE"""),"0353329259")</f>
        <v>0353329259</v>
      </c>
      <c r="K9931" s="2" t="str">
        <f ca="1">IFERROR(__xludf.DUMMYFUNCTION("""COMPUTED_VALUE"""),"105776616896")</f>
        <v>105776616896</v>
      </c>
    </row>
    <row r="9932" spans="1:11" ht="12.45">
      <c r="A9932" s="2" t="str">
        <f ca="1">IFERROR(__xludf.DUMMYFUNCTION("""COMPUTED_VALUE"""),"105776616979")</f>
        <v>105776616979</v>
      </c>
      <c r="C9932" s="2" t="str">
        <v>0</v>
      </c>
      <c r="F9932" s="2" t="str">
        <v>0</v>
      </c>
      <c r="I9932" s="2" t="str">
        <f ca="1">IFERROR(__xludf.DUMMYFUNCTION("""COMPUTED_VALUE"""),"Hoàng Thanh Thảo ")</f>
        <v xml:space="preserve">Hoàng Thanh Thảo </v>
      </c>
      <c r="J9932" s="2" t="str">
        <f ca="1">IFERROR(__xludf.DUMMYFUNCTION("""COMPUTED_VALUE"""),"0394710374")</f>
        <v>0394710374</v>
      </c>
      <c r="K9932" s="2" t="str">
        <f ca="1">IFERROR(__xludf.DUMMYFUNCTION("""COMPUTED_VALUE"""),"105776616979")</f>
        <v>105776616979</v>
      </c>
    </row>
    <row r="9933" spans="1:11" ht="12.45">
      <c r="A9933" s="2" t="str">
        <f ca="1">IFERROR(__xludf.DUMMYFUNCTION("""COMPUTED_VALUE"""),"105776617044")</f>
        <v>105776617044</v>
      </c>
      <c r="C9933" s="2" t="str">
        <v>0</v>
      </c>
      <c r="F9933" s="2" t="str">
        <v>0</v>
      </c>
      <c r="I9933" s="2" t="str">
        <f ca="1">IFERROR(__xludf.DUMMYFUNCTION("""COMPUTED_VALUE"""),"Lê Nguyễn Phúc Tâm")</f>
        <v>Lê Nguyễn Phúc Tâm</v>
      </c>
      <c r="J9933" s="2" t="str">
        <f ca="1">IFERROR(__xludf.DUMMYFUNCTION("""COMPUTED_VALUE"""),"0335044137")</f>
        <v>0335044137</v>
      </c>
      <c r="K9933" s="2" t="str">
        <f ca="1">IFERROR(__xludf.DUMMYFUNCTION("""COMPUTED_VALUE"""),"105776617044")</f>
        <v>105776617044</v>
      </c>
    </row>
    <row r="9934" spans="1:11" ht="12.45">
      <c r="A9934" s="2" t="str">
        <f ca="1">IFERROR(__xludf.DUMMYFUNCTION("""COMPUTED_VALUE"""),"105776617157")</f>
        <v>105776617157</v>
      </c>
      <c r="C9934" s="2" t="str">
        <v>0</v>
      </c>
      <c r="F9934" s="2" t="str">
        <v>0</v>
      </c>
      <c r="I9934" s="2" t="str">
        <f ca="1">IFERROR(__xludf.DUMMYFUNCTION("""COMPUTED_VALUE"""),"Lê Thanh Vân")</f>
        <v>Lê Thanh Vân</v>
      </c>
      <c r="J9934" s="2" t="str">
        <f ca="1">IFERROR(__xludf.DUMMYFUNCTION("""COMPUTED_VALUE"""),"0356004504")</f>
        <v>0356004504</v>
      </c>
      <c r="K9934" s="2" t="str">
        <f ca="1">IFERROR(__xludf.DUMMYFUNCTION("""COMPUTED_VALUE"""),"105776617157")</f>
        <v>105776617157</v>
      </c>
    </row>
    <row r="9935" spans="1:11" ht="12.45">
      <c r="A9935" s="2" t="str">
        <f ca="1">IFERROR(__xludf.DUMMYFUNCTION("""COMPUTED_VALUE"""),"105776617236")</f>
        <v>105776617236</v>
      </c>
      <c r="C9935" s="2" t="str">
        <v>0</v>
      </c>
      <c r="F9935" s="2" t="str">
        <v>0</v>
      </c>
      <c r="I9935" s="2" t="str">
        <f ca="1">IFERROR(__xludf.DUMMYFUNCTION("""COMPUTED_VALUE"""),"Mai Đồng Quỳnh Trâm")</f>
        <v>Mai Đồng Quỳnh Trâm</v>
      </c>
      <c r="J9935" s="2" t="str">
        <f ca="1">IFERROR(__xludf.DUMMYFUNCTION("""COMPUTED_VALUE"""),"0325718719")</f>
        <v>0325718719</v>
      </c>
      <c r="K9935" s="2" t="str">
        <f ca="1">IFERROR(__xludf.DUMMYFUNCTION("""COMPUTED_VALUE"""),"105776617236")</f>
        <v>105776617236</v>
      </c>
    </row>
    <row r="9936" spans="1:11" ht="12.45">
      <c r="A9936" s="2" t="str">
        <f ca="1">IFERROR(__xludf.DUMMYFUNCTION("""COMPUTED_VALUE"""),"105776617384")</f>
        <v>105776617384</v>
      </c>
      <c r="C9936" s="2" t="str">
        <v>0</v>
      </c>
      <c r="F9936" s="2" t="str">
        <v>0</v>
      </c>
      <c r="I9936" s="2" t="str">
        <f ca="1">IFERROR(__xludf.DUMMYFUNCTION("""COMPUTED_VALUE"""),"Nguyễn Thị Ngọc Diệp ")</f>
        <v xml:space="preserve">Nguyễn Thị Ngọc Diệp </v>
      </c>
      <c r="J9936" s="2" t="str">
        <f ca="1">IFERROR(__xludf.DUMMYFUNCTION("""COMPUTED_VALUE"""),"0762606048")</f>
        <v>0762606048</v>
      </c>
      <c r="K9936" s="2" t="str">
        <f ca="1">IFERROR(__xludf.DUMMYFUNCTION("""COMPUTED_VALUE"""),"105776617384")</f>
        <v>105776617384</v>
      </c>
    </row>
    <row r="9937" spans="1:11" ht="12.45">
      <c r="A9937" s="2" t="str">
        <f ca="1">IFERROR(__xludf.DUMMYFUNCTION("""COMPUTED_VALUE"""),"105776617652")</f>
        <v>105776617652</v>
      </c>
      <c r="C9937" s="2" t="str">
        <v>0</v>
      </c>
      <c r="F9937" s="2" t="str">
        <v>0</v>
      </c>
      <c r="I9937" s="2" t="str">
        <f ca="1">IFERROR(__xludf.DUMMYFUNCTION("""COMPUTED_VALUE"""),"Liềm Việt Anh")</f>
        <v>Liềm Việt Anh</v>
      </c>
      <c r="J9937" s="2" t="str">
        <f ca="1">IFERROR(__xludf.DUMMYFUNCTION("""COMPUTED_VALUE"""),"0398279543")</f>
        <v>0398279543</v>
      </c>
      <c r="K9937" s="2" t="str">
        <f ca="1">IFERROR(__xludf.DUMMYFUNCTION("""COMPUTED_VALUE"""),"105776617652")</f>
        <v>105776617652</v>
      </c>
    </row>
    <row r="9938" spans="1:11" ht="12.45">
      <c r="A9938" s="2" t="str">
        <f ca="1">IFERROR(__xludf.DUMMYFUNCTION("""COMPUTED_VALUE"""),"105776617758")</f>
        <v>105776617758</v>
      </c>
      <c r="C9938" s="2" t="str">
        <v>0</v>
      </c>
      <c r="F9938" s="2" t="str">
        <v>0</v>
      </c>
      <c r="I9938" s="2" t="str">
        <f ca="1">IFERROR(__xludf.DUMMYFUNCTION("""COMPUTED_VALUE"""),"Dương Cẩm Ly")</f>
        <v>Dương Cẩm Ly</v>
      </c>
      <c r="J9938" s="2" t="str">
        <f ca="1">IFERROR(__xludf.DUMMYFUNCTION("""COMPUTED_VALUE"""),"0375779207")</f>
        <v>0375779207</v>
      </c>
      <c r="K9938" s="2" t="str">
        <f ca="1">IFERROR(__xludf.DUMMYFUNCTION("""COMPUTED_VALUE"""),"105776617758")</f>
        <v>105776617758</v>
      </c>
    </row>
    <row r="9939" spans="1:11" ht="12.45">
      <c r="A9939" s="2" t="str">
        <f ca="1">IFERROR(__xludf.DUMMYFUNCTION("""COMPUTED_VALUE"""),"105776617958")</f>
        <v>105776617958</v>
      </c>
      <c r="C9939" s="2" t="str">
        <v>0</v>
      </c>
      <c r="F9939" s="2" t="str">
        <v>0</v>
      </c>
      <c r="I9939" s="2" t="str">
        <f ca="1">IFERROR(__xludf.DUMMYFUNCTION("""COMPUTED_VALUE"""),"Trần Hạnh Chi")</f>
        <v>Trần Hạnh Chi</v>
      </c>
      <c r="J9939" s="2" t="str">
        <f ca="1">IFERROR(__xludf.DUMMYFUNCTION("""COMPUTED_VALUE"""),"0962912976")</f>
        <v>0962912976</v>
      </c>
      <c r="K9939" s="2" t="str">
        <f ca="1">IFERROR(__xludf.DUMMYFUNCTION("""COMPUTED_VALUE"""),"105776617958")</f>
        <v>105776617958</v>
      </c>
    </row>
    <row r="9940" spans="1:11" ht="12.45">
      <c r="A9940" s="2"/>
      <c r="C9940" s="2" t="str">
        <v>0</v>
      </c>
      <c r="F9940" s="2" t="str">
        <v>0</v>
      </c>
      <c r="I9940" s="2" t="str">
        <f ca="1">IFERROR(__xludf.DUMMYFUNCTION("""COMPUTED_VALUE"""),"Hà Khánh Linh")</f>
        <v>Hà Khánh Linh</v>
      </c>
      <c r="J9940" s="2" t="str">
        <f ca="1">IFERROR(__xludf.DUMMYFUNCTION("""COMPUTED_VALUE"""),"0377355007")</f>
        <v>0377355007</v>
      </c>
      <c r="K9940" s="2"/>
    </row>
    <row r="9941" spans="1:11" ht="12.45">
      <c r="A9941" s="2" t="str">
        <f ca="1">IFERROR(__xludf.DUMMYFUNCTION("""COMPUTED_VALUE"""),"105776618035")</f>
        <v>105776618035</v>
      </c>
      <c r="C9941" s="2" t="str">
        <v>0</v>
      </c>
      <c r="F9941" s="2" t="str">
        <v>0</v>
      </c>
      <c r="I9941" s="2" t="str">
        <f ca="1">IFERROR(__xludf.DUMMYFUNCTION("""COMPUTED_VALUE"""),"Ngô snh thư")</f>
        <v>Ngô snh thư</v>
      </c>
      <c r="J9941" s="2" t="str">
        <f ca="1">IFERROR(__xludf.DUMMYFUNCTION("""COMPUTED_VALUE"""),"0862587177")</f>
        <v>0862587177</v>
      </c>
      <c r="K9941" s="2" t="str">
        <f ca="1">IFERROR(__xludf.DUMMYFUNCTION("""COMPUTED_VALUE"""),"105776618035")</f>
        <v>105776618035</v>
      </c>
    </row>
    <row r="9942" spans="1:11" ht="12.45">
      <c r="A9942" s="2" t="str">
        <f ca="1">IFERROR(__xludf.DUMMYFUNCTION("""COMPUTED_VALUE"""),"105776679544")</f>
        <v>105776679544</v>
      </c>
      <c r="C9942" s="2" t="str">
        <v>0</v>
      </c>
      <c r="F9942" s="2" t="str">
        <v>0</v>
      </c>
      <c r="I9942" s="2" t="str">
        <f ca="1">IFERROR(__xludf.DUMMYFUNCTION("""COMPUTED_VALUE"""),"Đào Công Thái")</f>
        <v>Đào Công Thái</v>
      </c>
      <c r="J9942" s="2" t="str">
        <f ca="1">IFERROR(__xludf.DUMMYFUNCTION("""COMPUTED_VALUE"""),"0789971377")</f>
        <v>0789971377</v>
      </c>
      <c r="K9942" s="2" t="str">
        <f ca="1">IFERROR(__xludf.DUMMYFUNCTION("""COMPUTED_VALUE"""),"105776679544")</f>
        <v>105776679544</v>
      </c>
    </row>
    <row r="9943" spans="1:11" ht="12.45">
      <c r="A9943" s="2" t="str">
        <f ca="1">IFERROR(__xludf.DUMMYFUNCTION("""COMPUTED_VALUE"""),"105776679613")</f>
        <v>105776679613</v>
      </c>
      <c r="C9943" s="2" t="str">
        <v>0</v>
      </c>
      <c r="F9943" s="2" t="str">
        <v>0</v>
      </c>
      <c r="I9943" s="2" t="str">
        <f ca="1">IFERROR(__xludf.DUMMYFUNCTION("""COMPUTED_VALUE"""),"Trịnh Thu Anh")</f>
        <v>Trịnh Thu Anh</v>
      </c>
      <c r="J9943" s="2" t="str">
        <f ca="1">IFERROR(__xludf.DUMMYFUNCTION("""COMPUTED_VALUE"""),"0977599850")</f>
        <v>0977599850</v>
      </c>
      <c r="K9943" s="2" t="str">
        <f ca="1">IFERROR(__xludf.DUMMYFUNCTION("""COMPUTED_VALUE"""),"105776679613")</f>
        <v>105776679613</v>
      </c>
    </row>
    <row r="9944" spans="1:11" ht="12.45">
      <c r="A9944" s="2" t="str">
        <f ca="1">IFERROR(__xludf.DUMMYFUNCTION("""COMPUTED_VALUE"""),"105776679772")</f>
        <v>105776679772</v>
      </c>
      <c r="C9944" s="2" t="str">
        <v>0</v>
      </c>
      <c r="F9944" s="2" t="str">
        <v>0</v>
      </c>
      <c r="I9944" s="2" t="str">
        <f ca="1">IFERROR(__xludf.DUMMYFUNCTION("""COMPUTED_VALUE"""),"Lê Thị Thí Hồng")</f>
        <v>Lê Thị Thí Hồng</v>
      </c>
      <c r="J9944" s="2" t="str">
        <f ca="1">IFERROR(__xludf.DUMMYFUNCTION("""COMPUTED_VALUE"""),"0349419733")</f>
        <v>0349419733</v>
      </c>
      <c r="K9944" s="2" t="str">
        <f ca="1">IFERROR(__xludf.DUMMYFUNCTION("""COMPUTED_VALUE"""),"105776679772")</f>
        <v>105776679772</v>
      </c>
    </row>
    <row r="9945" spans="1:11" ht="12.45">
      <c r="A9945" s="2" t="str">
        <f ca="1">IFERROR(__xludf.DUMMYFUNCTION("""COMPUTED_VALUE"""),"105776679870")</f>
        <v>105776679870</v>
      </c>
      <c r="C9945" s="2" t="str">
        <v>0</v>
      </c>
      <c r="F9945" s="2" t="str">
        <v>0</v>
      </c>
      <c r="I9945" s="2" t="str">
        <f ca="1">IFERROR(__xludf.DUMMYFUNCTION("""COMPUTED_VALUE"""),"Nguyễn Thanh Thủy")</f>
        <v>Nguyễn Thanh Thủy</v>
      </c>
      <c r="J9945" s="2" t="str">
        <f ca="1">IFERROR(__xludf.DUMMYFUNCTION("""COMPUTED_VALUE"""),"0326218923")</f>
        <v>0326218923</v>
      </c>
      <c r="K9945" s="2" t="str">
        <f ca="1">IFERROR(__xludf.DUMMYFUNCTION("""COMPUTED_VALUE"""),"105776679870")</f>
        <v>105776679870</v>
      </c>
    </row>
    <row r="9946" spans="1:11" ht="12.45">
      <c r="A9946" s="2" t="str">
        <f ca="1">IFERROR(__xludf.DUMMYFUNCTION("""COMPUTED_VALUE"""),"105776679971")</f>
        <v>105776679971</v>
      </c>
      <c r="C9946" s="2" t="str">
        <v>0</v>
      </c>
      <c r="F9946" s="2" t="str">
        <v>0</v>
      </c>
      <c r="I9946" s="2" t="str">
        <f ca="1">IFERROR(__xludf.DUMMYFUNCTION("""COMPUTED_VALUE"""),"Nguyễn Thị Hà My ")</f>
        <v xml:space="preserve">Nguyễn Thị Hà My </v>
      </c>
      <c r="J9946" s="2" t="str">
        <f ca="1">IFERROR(__xludf.DUMMYFUNCTION("""COMPUTED_VALUE"""),"0703502340")</f>
        <v>0703502340</v>
      </c>
      <c r="K9946" s="2" t="str">
        <f ca="1">IFERROR(__xludf.DUMMYFUNCTION("""COMPUTED_VALUE"""),"105776679971")</f>
        <v>105776679971</v>
      </c>
    </row>
    <row r="9947" spans="1:11" ht="12.45">
      <c r="A9947" s="2" t="str">
        <f ca="1">IFERROR(__xludf.DUMMYFUNCTION("""COMPUTED_VALUE"""),"105776680196")</f>
        <v>105776680196</v>
      </c>
      <c r="C9947" s="2" t="str">
        <v>0</v>
      </c>
      <c r="F9947" s="2" t="str">
        <v>0</v>
      </c>
      <c r="I9947" s="2" t="str">
        <f ca="1">IFERROR(__xludf.DUMMYFUNCTION("""COMPUTED_VALUE"""),"Nguyễn Thị Vân Anh")</f>
        <v>Nguyễn Thị Vân Anh</v>
      </c>
      <c r="J9947" s="2" t="str">
        <f ca="1">IFERROR(__xludf.DUMMYFUNCTION("""COMPUTED_VALUE"""),"0369073978")</f>
        <v>0369073978</v>
      </c>
      <c r="K9947" s="2" t="str">
        <f ca="1">IFERROR(__xludf.DUMMYFUNCTION("""COMPUTED_VALUE"""),"105776680196")</f>
        <v>105776680196</v>
      </c>
    </row>
    <row r="9948" spans="1:11" ht="12.45">
      <c r="A9948" s="2" t="str">
        <f ca="1">IFERROR(__xludf.DUMMYFUNCTION("""COMPUTED_VALUE"""),"105776680377")</f>
        <v>105776680377</v>
      </c>
      <c r="C9948" s="2" t="str">
        <v>0</v>
      </c>
      <c r="F9948" s="2" t="str">
        <v>0</v>
      </c>
      <c r="I9948" s="2" t="str">
        <f ca="1">IFERROR(__xludf.DUMMYFUNCTION("""COMPUTED_VALUE"""),"Trần Thanh Ngân")</f>
        <v>Trần Thanh Ngân</v>
      </c>
      <c r="J9948" s="2" t="str">
        <f ca="1">IFERROR(__xludf.DUMMYFUNCTION("""COMPUTED_VALUE"""),"0888296550")</f>
        <v>0888296550</v>
      </c>
      <c r="K9948" s="2" t="str">
        <f ca="1">IFERROR(__xludf.DUMMYFUNCTION("""COMPUTED_VALUE"""),"105776680377")</f>
        <v>105776680377</v>
      </c>
    </row>
    <row r="9949" spans="1:11" ht="12.45">
      <c r="A9949" s="2"/>
      <c r="C9949" s="2" t="str">
        <v>0</v>
      </c>
      <c r="F9949" s="2" t="str">
        <v>0</v>
      </c>
      <c r="I9949" s="2" t="str">
        <f ca="1">IFERROR(__xludf.DUMMYFUNCTION("""COMPUTED_VALUE"""),"Phạm Thị Kim Yến")</f>
        <v>Phạm Thị Kim Yến</v>
      </c>
      <c r="J9949" s="2" t="str">
        <f ca="1">IFERROR(__xludf.DUMMYFUNCTION("""COMPUTED_VALUE"""),"0347778459")</f>
        <v>0347778459</v>
      </c>
      <c r="K9949" s="2"/>
    </row>
    <row r="9950" spans="1:11" ht="12.45">
      <c r="A9950" s="2" t="str">
        <f ca="1">IFERROR(__xludf.DUMMYFUNCTION("""COMPUTED_VALUE"""),"105776680463")</f>
        <v>105776680463</v>
      </c>
      <c r="C9950" s="2" t="str">
        <v>0</v>
      </c>
      <c r="F9950" s="2" t="str">
        <v>0</v>
      </c>
      <c r="I9950" s="2" t="str">
        <f ca="1">IFERROR(__xludf.DUMMYFUNCTION("""COMPUTED_VALUE"""),"Huỳnh Tuấn Anh ")</f>
        <v xml:space="preserve">Huỳnh Tuấn Anh </v>
      </c>
      <c r="J9950" s="2" t="str">
        <f ca="1">IFERROR(__xludf.DUMMYFUNCTION("""COMPUTED_VALUE"""),"0837978072")</f>
        <v>0837978072</v>
      </c>
      <c r="K9950" s="2" t="str">
        <f ca="1">IFERROR(__xludf.DUMMYFUNCTION("""COMPUTED_VALUE"""),"105776680463")</f>
        <v>105776680463</v>
      </c>
    </row>
    <row r="9951" spans="1:11" ht="12.45">
      <c r="A9951" s="2" t="str">
        <f ca="1">IFERROR(__xludf.DUMMYFUNCTION("""COMPUTED_VALUE"""),"105776680519")</f>
        <v>105776680519</v>
      </c>
      <c r="C9951" s="2" t="str">
        <v>0</v>
      </c>
      <c r="F9951" s="2" t="str">
        <v>0</v>
      </c>
      <c r="I9951" s="2" t="str">
        <f ca="1">IFERROR(__xludf.DUMMYFUNCTION("""COMPUTED_VALUE"""),"Trần Triệu Vy")</f>
        <v>Trần Triệu Vy</v>
      </c>
      <c r="J9951" s="2" t="str">
        <f ca="1">IFERROR(__xludf.DUMMYFUNCTION("""COMPUTED_VALUE"""),"0989952753")</f>
        <v>0989952753</v>
      </c>
      <c r="K9951" s="2" t="str">
        <f ca="1">IFERROR(__xludf.DUMMYFUNCTION("""COMPUTED_VALUE"""),"105776680519")</f>
        <v>105776680519</v>
      </c>
    </row>
    <row r="9952" spans="1:11" ht="12.45">
      <c r="A9952" s="2" t="str">
        <f ca="1">IFERROR(__xludf.DUMMYFUNCTION("""COMPUTED_VALUE"""),"105776680625")</f>
        <v>105776680625</v>
      </c>
      <c r="C9952" s="2" t="str">
        <v>0</v>
      </c>
      <c r="F9952" s="2" t="str">
        <v>0</v>
      </c>
      <c r="I9952" s="2" t="str">
        <f ca="1">IFERROR(__xludf.DUMMYFUNCTION("""COMPUTED_VALUE"""),"Nguyễn Quỳnh Anh ")</f>
        <v xml:space="preserve">Nguyễn Quỳnh Anh </v>
      </c>
      <c r="J9952" s="2" t="str">
        <f ca="1">IFERROR(__xludf.DUMMYFUNCTION("""COMPUTED_VALUE"""),"0852349788")</f>
        <v>0852349788</v>
      </c>
      <c r="K9952" s="2" t="str">
        <f ca="1">IFERROR(__xludf.DUMMYFUNCTION("""COMPUTED_VALUE"""),"105776680625")</f>
        <v>105776680625</v>
      </c>
    </row>
    <row r="9953" spans="1:11" ht="12.45">
      <c r="A9953" s="2" t="str">
        <f ca="1">IFERROR(__xludf.DUMMYFUNCTION("""COMPUTED_VALUE"""),"105776680890")</f>
        <v>105776680890</v>
      </c>
      <c r="C9953" s="2" t="str">
        <v>0</v>
      </c>
      <c r="F9953" s="2" t="str">
        <v>0</v>
      </c>
      <c r="I9953" s="2" t="str">
        <f ca="1">IFERROR(__xludf.DUMMYFUNCTION("""COMPUTED_VALUE"""),"Bùi Thái Hà")</f>
        <v>Bùi Thái Hà</v>
      </c>
      <c r="J9953" s="2" t="str">
        <f ca="1">IFERROR(__xludf.DUMMYFUNCTION("""COMPUTED_VALUE"""),"0888336630")</f>
        <v>0888336630</v>
      </c>
      <c r="K9953" s="2" t="str">
        <f ca="1">IFERROR(__xludf.DUMMYFUNCTION("""COMPUTED_VALUE"""),"105776680890")</f>
        <v>105776680890</v>
      </c>
    </row>
    <row r="9954" spans="1:11" ht="12.45">
      <c r="A9954" s="2" t="str">
        <f ca="1">IFERROR(__xludf.DUMMYFUNCTION("""COMPUTED_VALUE"""),"105776680995")</f>
        <v>105776680995</v>
      </c>
      <c r="C9954" s="2" t="str">
        <v>0</v>
      </c>
      <c r="F9954" s="2" t="str">
        <v>0</v>
      </c>
      <c r="I9954" s="2" t="str">
        <f ca="1">IFERROR(__xludf.DUMMYFUNCTION("""COMPUTED_VALUE"""),"Nguyễn Hương Giang")</f>
        <v>Nguyễn Hương Giang</v>
      </c>
      <c r="J9954" s="2" t="str">
        <f ca="1">IFERROR(__xludf.DUMMYFUNCTION("""COMPUTED_VALUE"""),"0858126889")</f>
        <v>0858126889</v>
      </c>
      <c r="K9954" s="2" t="str">
        <f ca="1">IFERROR(__xludf.DUMMYFUNCTION("""COMPUTED_VALUE"""),"105776680995")</f>
        <v>105776680995</v>
      </c>
    </row>
    <row r="9955" spans="1:11" ht="12.45">
      <c r="A9955" s="2" t="str">
        <f ca="1">IFERROR(__xludf.DUMMYFUNCTION("""COMPUTED_VALUE"""),"105776681098")</f>
        <v>105776681098</v>
      </c>
      <c r="C9955" s="2" t="str">
        <v>0</v>
      </c>
      <c r="F9955" s="2" t="str">
        <v>0</v>
      </c>
      <c r="I9955" s="2" t="str">
        <f ca="1">IFERROR(__xludf.DUMMYFUNCTION("""COMPUTED_VALUE"""),"Chế Đỗ Quyên")</f>
        <v>Chế Đỗ Quyên</v>
      </c>
      <c r="J9955" s="2" t="str">
        <f ca="1">IFERROR(__xludf.DUMMYFUNCTION("""COMPUTED_VALUE"""),"0915505044")</f>
        <v>0915505044</v>
      </c>
      <c r="K9955" s="2" t="str">
        <f ca="1">IFERROR(__xludf.DUMMYFUNCTION("""COMPUTED_VALUE"""),"105776681098")</f>
        <v>105776681098</v>
      </c>
    </row>
    <row r="9956" spans="1:11" ht="12.45">
      <c r="A9956" s="2" t="str">
        <f ca="1">IFERROR(__xludf.DUMMYFUNCTION("""COMPUTED_VALUE"""),"105776681370")</f>
        <v>105776681370</v>
      </c>
      <c r="C9956" s="2" t="str">
        <v>0</v>
      </c>
      <c r="F9956" s="2" t="str">
        <v>0</v>
      </c>
      <c r="I9956" s="2" t="str">
        <f ca="1">IFERROR(__xludf.DUMMYFUNCTION("""COMPUTED_VALUE"""),"Nguyễn Thị Phượng")</f>
        <v>Nguyễn Thị Phượng</v>
      </c>
      <c r="J9956" s="2" t="str">
        <f ca="1">IFERROR(__xludf.DUMMYFUNCTION("""COMPUTED_VALUE"""),"0971879592")</f>
        <v>0971879592</v>
      </c>
      <c r="K9956" s="2" t="str">
        <f ca="1">IFERROR(__xludf.DUMMYFUNCTION("""COMPUTED_VALUE"""),"105776681370")</f>
        <v>105776681370</v>
      </c>
    </row>
    <row r="9957" spans="1:11" ht="12.45">
      <c r="A9957" s="2" t="str">
        <f ca="1">IFERROR(__xludf.DUMMYFUNCTION("""COMPUTED_VALUE"""),"105776681447")</f>
        <v>105776681447</v>
      </c>
      <c r="C9957" s="2" t="str">
        <v>0</v>
      </c>
      <c r="F9957" s="2" t="str">
        <v>0</v>
      </c>
      <c r="I9957" s="2" t="str">
        <f ca="1">IFERROR(__xludf.DUMMYFUNCTION("""COMPUTED_VALUE"""),"Phạm Thị Đỉnh ")</f>
        <v xml:space="preserve">Phạm Thị Đỉnh </v>
      </c>
      <c r="J9957" s="2" t="str">
        <f ca="1">IFERROR(__xludf.DUMMYFUNCTION("""COMPUTED_VALUE"""),"0374143880")</f>
        <v>0374143880</v>
      </c>
      <c r="K9957" s="2" t="str">
        <f ca="1">IFERROR(__xludf.DUMMYFUNCTION("""COMPUTED_VALUE"""),"105776681447")</f>
        <v>105776681447</v>
      </c>
    </row>
    <row r="9958" spans="1:11" ht="12.45">
      <c r="A9958" s="2" t="str">
        <f ca="1">IFERROR(__xludf.DUMMYFUNCTION("""COMPUTED_VALUE"""),"105776681519")</f>
        <v>105776681519</v>
      </c>
      <c r="C9958" s="2" t="str">
        <v>0</v>
      </c>
      <c r="F9958" s="2" t="str">
        <v>0</v>
      </c>
      <c r="I9958" s="2" t="str">
        <f ca="1">IFERROR(__xludf.DUMMYFUNCTION("""COMPUTED_VALUE"""),"Phạm Gia Mẫn")</f>
        <v>Phạm Gia Mẫn</v>
      </c>
      <c r="J9958" s="2" t="str">
        <f ca="1">IFERROR(__xludf.DUMMYFUNCTION("""COMPUTED_VALUE"""),"0919597907")</f>
        <v>0919597907</v>
      </c>
      <c r="K9958" s="2" t="str">
        <f ca="1">IFERROR(__xludf.DUMMYFUNCTION("""COMPUTED_VALUE"""),"105776681519")</f>
        <v>105776681519</v>
      </c>
    </row>
    <row r="9959" spans="1:11" ht="12.45">
      <c r="A9959" s="2" t="str">
        <f ca="1">IFERROR(__xludf.DUMMYFUNCTION("""COMPUTED_VALUE"""),"105776681655")</f>
        <v>105776681655</v>
      </c>
      <c r="C9959" s="2" t="str">
        <v>0</v>
      </c>
      <c r="F9959" s="2" t="str">
        <v>0</v>
      </c>
      <c r="I9959" s="2" t="str">
        <f ca="1">IFERROR(__xludf.DUMMYFUNCTION("""COMPUTED_VALUE"""),"Hồ Quỳnh Hương")</f>
        <v>Hồ Quỳnh Hương</v>
      </c>
      <c r="J9959" s="2" t="str">
        <f ca="1">IFERROR(__xludf.DUMMYFUNCTION("""COMPUTED_VALUE"""),"0984520884")</f>
        <v>0984520884</v>
      </c>
      <c r="K9959" s="2" t="str">
        <f ca="1">IFERROR(__xludf.DUMMYFUNCTION("""COMPUTED_VALUE"""),"105776681655")</f>
        <v>105776681655</v>
      </c>
    </row>
    <row r="9960" spans="1:11" ht="12.45">
      <c r="A9960" s="2" t="str">
        <f ca="1">IFERROR(__xludf.DUMMYFUNCTION("""COMPUTED_VALUE"""),"105776681753")</f>
        <v>105776681753</v>
      </c>
      <c r="C9960" s="2" t="str">
        <v>0</v>
      </c>
      <c r="F9960" s="2" t="str">
        <v>0</v>
      </c>
      <c r="I9960" s="2" t="str">
        <f ca="1">IFERROR(__xludf.DUMMYFUNCTION("""COMPUTED_VALUE"""),"Phạm Thu Hiền")</f>
        <v>Phạm Thu Hiền</v>
      </c>
      <c r="J9960" s="2" t="str">
        <f ca="1">IFERROR(__xludf.DUMMYFUNCTION("""COMPUTED_VALUE"""),"0373482838")</f>
        <v>0373482838</v>
      </c>
      <c r="K9960" s="2" t="str">
        <f ca="1">IFERROR(__xludf.DUMMYFUNCTION("""COMPUTED_VALUE"""),"105776681753")</f>
        <v>105776681753</v>
      </c>
    </row>
    <row r="9961" spans="1:11" ht="12.45">
      <c r="A9961" s="2" t="str">
        <f ca="1">IFERROR(__xludf.DUMMYFUNCTION("""COMPUTED_VALUE"""),"105776681832")</f>
        <v>105776681832</v>
      </c>
      <c r="C9961" s="2" t="str">
        <v>0</v>
      </c>
      <c r="F9961" s="2" t="str">
        <v>0</v>
      </c>
      <c r="I9961" s="2" t="str">
        <f ca="1">IFERROR(__xludf.DUMMYFUNCTION("""COMPUTED_VALUE"""),"Lê Nhã Trân")</f>
        <v>Lê Nhã Trân</v>
      </c>
      <c r="J9961" s="2" t="str">
        <f ca="1">IFERROR(__xludf.DUMMYFUNCTION("""COMPUTED_VALUE"""),"0919499272")</f>
        <v>0919499272</v>
      </c>
      <c r="K9961" s="2" t="str">
        <f ca="1">IFERROR(__xludf.DUMMYFUNCTION("""COMPUTED_VALUE"""),"105776681832")</f>
        <v>105776681832</v>
      </c>
    </row>
    <row r="9962" spans="1:11" ht="12.45">
      <c r="A9962" s="2" t="str">
        <f ca="1">IFERROR(__xludf.DUMMYFUNCTION("""COMPUTED_VALUE"""),"105776681913")</f>
        <v>105776681913</v>
      </c>
      <c r="C9962" s="2" t="str">
        <v>0</v>
      </c>
      <c r="F9962" s="2" t="str">
        <v>0</v>
      </c>
      <c r="I9962" s="2" t="str">
        <f ca="1">IFERROR(__xludf.DUMMYFUNCTION("""COMPUTED_VALUE"""),"Lê Thị Minh Thi ")</f>
        <v xml:space="preserve">Lê Thị Minh Thi </v>
      </c>
      <c r="J9962" s="2" t="str">
        <f ca="1">IFERROR(__xludf.DUMMYFUNCTION("""COMPUTED_VALUE"""),"0374079127")</f>
        <v>0374079127</v>
      </c>
      <c r="K9962" s="2" t="str">
        <f ca="1">IFERROR(__xludf.DUMMYFUNCTION("""COMPUTED_VALUE"""),"105776681913")</f>
        <v>105776681913</v>
      </c>
    </row>
    <row r="9963" spans="1:11" ht="12.45">
      <c r="A9963" s="2" t="str">
        <f ca="1">IFERROR(__xludf.DUMMYFUNCTION("""COMPUTED_VALUE"""),"105776682082")</f>
        <v>105776682082</v>
      </c>
      <c r="C9963" s="2" t="str">
        <v>0</v>
      </c>
      <c r="F9963" s="2" t="str">
        <v>0</v>
      </c>
      <c r="I9963" s="2" t="str">
        <f ca="1">IFERROR(__xludf.DUMMYFUNCTION("""COMPUTED_VALUE"""),"Vũ Thị Thảo Vy")</f>
        <v>Vũ Thị Thảo Vy</v>
      </c>
      <c r="J9963" s="2" t="str">
        <f ca="1">IFERROR(__xludf.DUMMYFUNCTION("""COMPUTED_VALUE"""),"0986063143")</f>
        <v>0986063143</v>
      </c>
      <c r="K9963" s="2" t="str">
        <f ca="1">IFERROR(__xludf.DUMMYFUNCTION("""COMPUTED_VALUE"""),"105776682082")</f>
        <v>105776682082</v>
      </c>
    </row>
    <row r="9964" spans="1:11" ht="12.45">
      <c r="A9964" s="2" t="str">
        <f ca="1">IFERROR(__xludf.DUMMYFUNCTION("""COMPUTED_VALUE"""),"105776682136")</f>
        <v>105776682136</v>
      </c>
      <c r="C9964" s="2" t="str">
        <v>0</v>
      </c>
      <c r="F9964" s="2" t="str">
        <v>0</v>
      </c>
      <c r="I9964" s="2" t="str">
        <f ca="1">IFERROR(__xludf.DUMMYFUNCTION("""COMPUTED_VALUE"""),"Ngô Ngọc Yến")</f>
        <v>Ngô Ngọc Yến</v>
      </c>
      <c r="J9964" s="2" t="str">
        <f ca="1">IFERROR(__xludf.DUMMYFUNCTION("""COMPUTED_VALUE"""),"0941752386")</f>
        <v>0941752386</v>
      </c>
      <c r="K9964" s="2" t="str">
        <f ca="1">IFERROR(__xludf.DUMMYFUNCTION("""COMPUTED_VALUE"""),"105776682136")</f>
        <v>105776682136</v>
      </c>
    </row>
    <row r="9965" spans="1:11" ht="12.45">
      <c r="A9965" s="2"/>
      <c r="C9965" s="2" t="str">
        <v>0</v>
      </c>
      <c r="F9965" s="2" t="str">
        <v>0</v>
      </c>
      <c r="I9965" s="2" t="str">
        <f ca="1">IFERROR(__xludf.DUMMYFUNCTION("""COMPUTED_VALUE"""),"Đào Thị Phương Thùy ")</f>
        <v xml:space="preserve">Đào Thị Phương Thùy </v>
      </c>
      <c r="J9965" s="2" t="str">
        <f ca="1">IFERROR(__xludf.DUMMYFUNCTION("""COMPUTED_VALUE"""),"0975569744")</f>
        <v>0975569744</v>
      </c>
      <c r="K9965" s="2"/>
    </row>
    <row r="9966" spans="1:11" ht="12.45">
      <c r="A9966" s="2"/>
      <c r="C9966" s="2" t="str">
        <v>0</v>
      </c>
      <c r="F9966" s="2" t="str">
        <v>0</v>
      </c>
      <c r="I9966" s="3" t="str">
        <f ca="1">IFERROR(__xludf.DUMMYFUNCTION("""COMPUTED_VALUE"""),"Lò Việt Anh")</f>
        <v>Lò Việt Anh</v>
      </c>
      <c r="J9966" s="2" t="str">
        <f ca="1">IFERROR(__xludf.DUMMYFUNCTION("""COMPUTED_VALUE"""),"0327517931")</f>
        <v>0327517931</v>
      </c>
      <c r="K9966" s="2"/>
    </row>
    <row r="9967" spans="1:11" ht="12.45">
      <c r="A9967" s="2" t="str">
        <f ca="1">IFERROR(__xludf.DUMMYFUNCTION("""COMPUTED_VALUE"""),"105776682331")</f>
        <v>105776682331</v>
      </c>
      <c r="C9967" s="2" t="str">
        <v>0</v>
      </c>
      <c r="F9967" s="2" t="str">
        <v>0</v>
      </c>
      <c r="I9967" s="3" t="str">
        <f ca="1">IFERROR(__xludf.DUMMYFUNCTION("""COMPUTED_VALUE"""),"Vũ Trọng Cảnh")</f>
        <v>Vũ Trọng Cảnh</v>
      </c>
      <c r="J9967" s="2" t="str">
        <f ca="1">IFERROR(__xludf.DUMMYFUNCTION("""COMPUTED_VALUE"""),"0901983326")</f>
        <v>0901983326</v>
      </c>
      <c r="K9967" s="2" t="str">
        <f ca="1">IFERROR(__xludf.DUMMYFUNCTION("""COMPUTED_VALUE"""),"105776682331")</f>
        <v>105776682331</v>
      </c>
    </row>
    <row r="9968" spans="1:11" ht="12.45">
      <c r="A9968" s="2" t="str">
        <f ca="1">IFERROR(__xludf.DUMMYFUNCTION("""COMPUTED_VALUE"""),"105776682483")</f>
        <v>105776682483</v>
      </c>
      <c r="C9968" s="2" t="str">
        <v>0</v>
      </c>
      <c r="F9968" s="2" t="str">
        <v>0</v>
      </c>
      <c r="I9968" s="2" t="str">
        <f ca="1">IFERROR(__xludf.DUMMYFUNCTION("""COMPUTED_VALUE"""),"Phạm Thảo Nguyên")</f>
        <v>Phạm Thảo Nguyên</v>
      </c>
      <c r="J9968" s="2" t="str">
        <f ca="1">IFERROR(__xludf.DUMMYFUNCTION("""COMPUTED_VALUE"""),"0818556163")</f>
        <v>0818556163</v>
      </c>
      <c r="K9968" s="2" t="str">
        <f ca="1">IFERROR(__xludf.DUMMYFUNCTION("""COMPUTED_VALUE"""),"105776682483")</f>
        <v>105776682483</v>
      </c>
    </row>
    <row r="9969" spans="1:11" ht="12.45">
      <c r="A9969" s="2" t="str">
        <f ca="1">IFERROR(__xludf.DUMMYFUNCTION("""COMPUTED_VALUE"""),"105776682566")</f>
        <v>105776682566</v>
      </c>
      <c r="C9969" s="2" t="str">
        <v>0</v>
      </c>
      <c r="F9969" s="2" t="str">
        <v>0</v>
      </c>
      <c r="I9969" s="3" t="str">
        <f ca="1">IFERROR(__xludf.DUMMYFUNCTION("""COMPUTED_VALUE"""),"Hoàng Ngọc Huyền")</f>
        <v>Hoàng Ngọc Huyền</v>
      </c>
      <c r="J9969" s="2" t="str">
        <f ca="1">IFERROR(__xludf.DUMMYFUNCTION("""COMPUTED_VALUE"""),"0359527128")</f>
        <v>0359527128</v>
      </c>
      <c r="K9969" s="2" t="str">
        <f ca="1">IFERROR(__xludf.DUMMYFUNCTION("""COMPUTED_VALUE"""),"105776682566")</f>
        <v>105776682566</v>
      </c>
    </row>
    <row r="9970" spans="1:11" ht="12.45">
      <c r="A9970" s="2" t="str">
        <f ca="1">IFERROR(__xludf.DUMMYFUNCTION("""COMPUTED_VALUE"""),"105776682625")</f>
        <v>105776682625</v>
      </c>
      <c r="C9970" s="2" t="str">
        <v>0</v>
      </c>
      <c r="F9970" s="2" t="str">
        <v>0</v>
      </c>
      <c r="I9970" s="3" t="str">
        <f ca="1">IFERROR(__xludf.DUMMYFUNCTION("""COMPUTED_VALUE"""),"Võ Thị Hoài Thương ")</f>
        <v xml:space="preserve">Võ Thị Hoài Thương </v>
      </c>
      <c r="J9970" s="2" t="str">
        <f ca="1">IFERROR(__xludf.DUMMYFUNCTION("""COMPUTED_VALUE"""),"0379251229")</f>
        <v>0379251229</v>
      </c>
      <c r="K9970" s="2" t="str">
        <f ca="1">IFERROR(__xludf.DUMMYFUNCTION("""COMPUTED_VALUE"""),"105776682625")</f>
        <v>105776682625</v>
      </c>
    </row>
    <row r="9971" spans="1:11" ht="12.45">
      <c r="A9971" s="2" t="str">
        <f ca="1">IFERROR(__xludf.DUMMYFUNCTION("""COMPUTED_VALUE"""),"105776682791")</f>
        <v>105776682791</v>
      </c>
      <c r="C9971" s="2" t="str">
        <v>0</v>
      </c>
      <c r="F9971" s="2" t="str">
        <v>0</v>
      </c>
      <c r="I9971" s="3" t="str">
        <f ca="1">IFERROR(__xludf.DUMMYFUNCTION("""COMPUTED_VALUE"""),"Lê Tú Anh")</f>
        <v>Lê Tú Anh</v>
      </c>
      <c r="J9971" s="2" t="str">
        <f ca="1">IFERROR(__xludf.DUMMYFUNCTION("""COMPUTED_VALUE"""),"0868266207")</f>
        <v>0868266207</v>
      </c>
      <c r="K9971" s="2" t="str">
        <f ca="1">IFERROR(__xludf.DUMMYFUNCTION("""COMPUTED_VALUE"""),"105776682791")</f>
        <v>105776682791</v>
      </c>
    </row>
    <row r="9972" spans="1:11" ht="12.45">
      <c r="A9972" s="2" t="str">
        <f ca="1">IFERROR(__xludf.DUMMYFUNCTION("""COMPUTED_VALUE"""),"105776682848")</f>
        <v>105776682848</v>
      </c>
      <c r="C9972" s="2" t="str">
        <v>0</v>
      </c>
      <c r="F9972" s="2" t="str">
        <v>0</v>
      </c>
      <c r="I9972" s="3" t="str">
        <f ca="1">IFERROR(__xludf.DUMMYFUNCTION("""COMPUTED_VALUE"""),"Lê Huỳnh Tường Minh")</f>
        <v>Lê Huỳnh Tường Minh</v>
      </c>
      <c r="J9972" s="2" t="str">
        <f ca="1">IFERROR(__xludf.DUMMYFUNCTION("""COMPUTED_VALUE"""),"0911793504")</f>
        <v>0911793504</v>
      </c>
      <c r="K9972" s="2" t="str">
        <f ca="1">IFERROR(__xludf.DUMMYFUNCTION("""COMPUTED_VALUE"""),"105776682848")</f>
        <v>105776682848</v>
      </c>
    </row>
    <row r="9973" spans="1:11" ht="12.45">
      <c r="A9973" s="2" t="str">
        <f ca="1">IFERROR(__xludf.DUMMYFUNCTION("""COMPUTED_VALUE"""),"105776683060")</f>
        <v>105776683060</v>
      </c>
      <c r="C9973" s="2" t="str">
        <v>0</v>
      </c>
      <c r="F9973" s="2" t="str">
        <v>0</v>
      </c>
      <c r="I9973" s="3" t="str">
        <f ca="1">IFERROR(__xludf.DUMMYFUNCTION("""COMPUTED_VALUE"""),"Nguyễn Phương Anh")</f>
        <v>Nguyễn Phương Anh</v>
      </c>
      <c r="J9973" s="2" t="str">
        <f ca="1">IFERROR(__xludf.DUMMYFUNCTION("""COMPUTED_VALUE"""),"0345558825")</f>
        <v>0345558825</v>
      </c>
      <c r="K9973" s="2" t="str">
        <f ca="1">IFERROR(__xludf.DUMMYFUNCTION("""COMPUTED_VALUE"""),"105776683060")</f>
        <v>105776683060</v>
      </c>
    </row>
    <row r="9974" spans="1:11" ht="12.45">
      <c r="A9974" s="2" t="str">
        <f ca="1">IFERROR(__xludf.DUMMYFUNCTION("""COMPUTED_VALUE"""),"105776683112")</f>
        <v>105776683112</v>
      </c>
      <c r="C9974" s="2" t="str">
        <v>0</v>
      </c>
      <c r="F9974" s="2" t="str">
        <v>0</v>
      </c>
      <c r="I9974" s="3" t="str">
        <f ca="1">IFERROR(__xludf.DUMMYFUNCTION("""COMPUTED_VALUE"""),"Nguyễn Thị Quỳnh Trang")</f>
        <v>Nguyễn Thị Quỳnh Trang</v>
      </c>
      <c r="J9974" s="2" t="str">
        <f ca="1">IFERROR(__xludf.DUMMYFUNCTION("""COMPUTED_VALUE"""),"0916039496")</f>
        <v>0916039496</v>
      </c>
      <c r="K9974" s="2" t="str">
        <f ca="1">IFERROR(__xludf.DUMMYFUNCTION("""COMPUTED_VALUE"""),"105776683112")</f>
        <v>105776683112</v>
      </c>
    </row>
    <row r="9975" spans="1:11" ht="12.45">
      <c r="A9975" s="2" t="str">
        <f ca="1">IFERROR(__xludf.DUMMYFUNCTION("""COMPUTED_VALUE"""),"105776683240")</f>
        <v>105776683240</v>
      </c>
      <c r="C9975" s="2" t="str">
        <v>0</v>
      </c>
      <c r="F9975" s="2" t="str">
        <v>0</v>
      </c>
      <c r="I9975" s="3" t="str">
        <f ca="1">IFERROR(__xludf.DUMMYFUNCTION("""COMPUTED_VALUE"""),"Nguyễn Lê Đức Huy")</f>
        <v>Nguyễn Lê Đức Huy</v>
      </c>
      <c r="J9975" s="2" t="str">
        <f ca="1">IFERROR(__xludf.DUMMYFUNCTION("""COMPUTED_VALUE"""),"0858087078")</f>
        <v>0858087078</v>
      </c>
      <c r="K9975" s="2" t="str">
        <f ca="1">IFERROR(__xludf.DUMMYFUNCTION("""COMPUTED_VALUE"""),"105776683240")</f>
        <v>105776683240</v>
      </c>
    </row>
    <row r="9976" spans="1:11" ht="12.45">
      <c r="A9976" s="2" t="str">
        <f ca="1">IFERROR(__xludf.DUMMYFUNCTION("""COMPUTED_VALUE"""),"105776683387")</f>
        <v>105776683387</v>
      </c>
      <c r="C9976" s="2" t="str">
        <v>0</v>
      </c>
      <c r="F9976" s="2" t="str">
        <v>0</v>
      </c>
      <c r="I9976" s="3" t="str">
        <f ca="1">IFERROR(__xludf.DUMMYFUNCTION("""COMPUTED_VALUE"""),"Nguyễn Ngọc Huyền")</f>
        <v>Nguyễn Ngọc Huyền</v>
      </c>
      <c r="J9976" s="2">
        <f ca="1">IFERROR(__xludf.DUMMYFUNCTION("""COMPUTED_VALUE"""),879557033)</f>
        <v>879557033</v>
      </c>
      <c r="K9976" s="2" t="str">
        <f ca="1">IFERROR(__xludf.DUMMYFUNCTION("""COMPUTED_VALUE"""),"105776683387")</f>
        <v>105776683387</v>
      </c>
    </row>
    <row r="9977" spans="1:11" ht="12.45">
      <c r="A9977" s="2" t="str">
        <f ca="1">IFERROR(__xludf.DUMMYFUNCTION("""COMPUTED_VALUE"""),"105776683464")</f>
        <v>105776683464</v>
      </c>
      <c r="C9977" s="2" t="str">
        <v>0</v>
      </c>
      <c r="F9977" s="2" t="str">
        <v>0</v>
      </c>
      <c r="I9977" s="3" t="str">
        <f ca="1">IFERROR(__xludf.DUMMYFUNCTION("""COMPUTED_VALUE"""),"Đỗ Thị Hồng Mến")</f>
        <v>Đỗ Thị Hồng Mến</v>
      </c>
      <c r="J9977" s="2" t="str">
        <f ca="1">IFERROR(__xludf.DUMMYFUNCTION("""COMPUTED_VALUE"""),"0356441421")</f>
        <v>0356441421</v>
      </c>
      <c r="K9977" s="2" t="str">
        <f ca="1">IFERROR(__xludf.DUMMYFUNCTION("""COMPUTED_VALUE"""),"105776683464")</f>
        <v>105776683464</v>
      </c>
    </row>
    <row r="9978" spans="1:11" ht="12.45">
      <c r="A9978" s="2" t="str">
        <f ca="1">IFERROR(__xludf.DUMMYFUNCTION("""COMPUTED_VALUE"""),"105776683558")</f>
        <v>105776683558</v>
      </c>
      <c r="C9978" s="2" t="str">
        <v>0</v>
      </c>
      <c r="F9978" s="2" t="str">
        <v>0</v>
      </c>
      <c r="I9978" s="3" t="str">
        <f ca="1">IFERROR(__xludf.DUMMYFUNCTION("""COMPUTED_VALUE"""),"Nguyễn Đức Linh")</f>
        <v>Nguyễn Đức Linh</v>
      </c>
      <c r="J9978" s="2" t="str">
        <f ca="1">IFERROR(__xludf.DUMMYFUNCTION("""COMPUTED_VALUE"""),"0371907130")</f>
        <v>0371907130</v>
      </c>
      <c r="K9978" s="2" t="str">
        <f ca="1">IFERROR(__xludf.DUMMYFUNCTION("""COMPUTED_VALUE"""),"105776683558")</f>
        <v>105776683558</v>
      </c>
    </row>
    <row r="9979" spans="1:11" ht="12.45">
      <c r="A9979" s="2" t="str">
        <f ca="1">IFERROR(__xludf.DUMMYFUNCTION("""COMPUTED_VALUE"""),"105776683643")</f>
        <v>105776683643</v>
      </c>
      <c r="C9979" s="2" t="str">
        <v>0</v>
      </c>
      <c r="F9979" s="2" t="str">
        <v>0</v>
      </c>
      <c r="I9979" s="3" t="str">
        <f ca="1">IFERROR(__xludf.DUMMYFUNCTION("""COMPUTED_VALUE"""),"Nguyễn Diệu Linh")</f>
        <v>Nguyễn Diệu Linh</v>
      </c>
      <c r="J9979" s="2" t="str">
        <f ca="1">IFERROR(__xludf.DUMMYFUNCTION("""COMPUTED_VALUE"""),"0878731086")</f>
        <v>0878731086</v>
      </c>
      <c r="K9979" s="2" t="str">
        <f ca="1">IFERROR(__xludf.DUMMYFUNCTION("""COMPUTED_VALUE"""),"105776683643")</f>
        <v>105776683643</v>
      </c>
    </row>
    <row r="9980" spans="1:11" ht="12.45">
      <c r="A9980" s="2"/>
      <c r="C9980" s="2" t="str">
        <v>0</v>
      </c>
      <c r="F9980" s="2" t="str">
        <v>0</v>
      </c>
      <c r="I9980" s="3" t="str">
        <f ca="1">IFERROR(__xludf.DUMMYFUNCTION("""COMPUTED_VALUE"""),"Nguyễn Thị Hoa Hương")</f>
        <v>Nguyễn Thị Hoa Hương</v>
      </c>
      <c r="J9980" s="2" t="str">
        <f ca="1">IFERROR(__xludf.DUMMYFUNCTION("""COMPUTED_VALUE"""),"0368269854")</f>
        <v>0368269854</v>
      </c>
      <c r="K9980" s="2"/>
    </row>
    <row r="9981" spans="1:11" ht="12.45">
      <c r="A9981" s="2" t="str">
        <f ca="1">IFERROR(__xludf.DUMMYFUNCTION("""COMPUTED_VALUE"""),"105776683736")</f>
        <v>105776683736</v>
      </c>
      <c r="C9981" s="2" t="str">
        <v>0</v>
      </c>
      <c r="F9981" s="2" t="str">
        <v>0</v>
      </c>
      <c r="I9981" s="3" t="str">
        <f ca="1">IFERROR(__xludf.DUMMYFUNCTION("""COMPUTED_VALUE"""),"Huỳnh Tú Linh")</f>
        <v>Huỳnh Tú Linh</v>
      </c>
      <c r="J9981" s="3" t="str">
        <f ca="1">IFERROR(__xludf.DUMMYFUNCTION("""COMPUTED_VALUE"""),"0826844468")</f>
        <v>0826844468</v>
      </c>
      <c r="K9981" s="2" t="str">
        <f ca="1">IFERROR(__xludf.DUMMYFUNCTION("""COMPUTED_VALUE"""),"105776683736")</f>
        <v>105776683736</v>
      </c>
    </row>
    <row r="9982" spans="1:11" ht="12.45">
      <c r="A9982" s="2" t="str">
        <f ca="1">IFERROR(__xludf.DUMMYFUNCTION("""COMPUTED_VALUE"""),"105776683886")</f>
        <v>105776683886</v>
      </c>
      <c r="C9982" s="2" t="str">
        <v>0</v>
      </c>
      <c r="F9982" s="2" t="str">
        <v>0</v>
      </c>
      <c r="I9982" s="3" t="str">
        <f ca="1">IFERROR(__xludf.DUMMYFUNCTION("""COMPUTED_VALUE"""),"Nguyễn Văn Phúc ")</f>
        <v xml:space="preserve">Nguyễn Văn Phúc </v>
      </c>
      <c r="J9982" s="2" t="str">
        <f ca="1">IFERROR(__xludf.DUMMYFUNCTION("""COMPUTED_VALUE"""),"0867703461")</f>
        <v>0867703461</v>
      </c>
      <c r="K9982" s="2" t="str">
        <f ca="1">IFERROR(__xludf.DUMMYFUNCTION("""COMPUTED_VALUE"""),"105776683886")</f>
        <v>105776683886</v>
      </c>
    </row>
    <row r="9983" spans="1:11" ht="12.45">
      <c r="A9983" s="2" t="str">
        <f ca="1">IFERROR(__xludf.DUMMYFUNCTION("""COMPUTED_VALUE"""),"105776683943")</f>
        <v>105776683943</v>
      </c>
      <c r="C9983" s="2" t="str">
        <v>0</v>
      </c>
      <c r="F9983" s="2" t="str">
        <v>0</v>
      </c>
      <c r="I9983" s="3" t="str">
        <f ca="1">IFERROR(__xludf.DUMMYFUNCTION("""COMPUTED_VALUE"""),"Bàn Thu Đông")</f>
        <v>Bàn Thu Đông</v>
      </c>
      <c r="J9983" s="2" t="str">
        <f ca="1">IFERROR(__xludf.DUMMYFUNCTION("""COMPUTED_VALUE"""),"0867945301")</f>
        <v>0867945301</v>
      </c>
      <c r="K9983" s="2" t="str">
        <f ca="1">IFERROR(__xludf.DUMMYFUNCTION("""COMPUTED_VALUE"""),"105776683943")</f>
        <v>105776683943</v>
      </c>
    </row>
    <row r="9984" spans="1:11" ht="12.45">
      <c r="A9984" s="2" t="str">
        <f ca="1">IFERROR(__xludf.DUMMYFUNCTION("""COMPUTED_VALUE"""),"105776684030")</f>
        <v>105776684030</v>
      </c>
      <c r="C9984" s="2" t="str">
        <v>0</v>
      </c>
      <c r="F9984" s="2" t="str">
        <v>0</v>
      </c>
      <c r="I9984" s="3" t="str">
        <f ca="1">IFERROR(__xludf.DUMMYFUNCTION("""COMPUTED_VALUE"""),"Vũ Kim Khánh")</f>
        <v>Vũ Kim Khánh</v>
      </c>
      <c r="J9984" s="2" t="str">
        <f ca="1">IFERROR(__xludf.DUMMYFUNCTION("""COMPUTED_VALUE"""),"0372482007")</f>
        <v>0372482007</v>
      </c>
      <c r="K9984" s="2" t="str">
        <f ca="1">IFERROR(__xludf.DUMMYFUNCTION("""COMPUTED_VALUE"""),"105776684030")</f>
        <v>105776684030</v>
      </c>
    </row>
    <row r="9985" spans="1:11" ht="12.45">
      <c r="A9985" s="2" t="str">
        <f ca="1">IFERROR(__xludf.DUMMYFUNCTION("""COMPUTED_VALUE"""),"105776684170")</f>
        <v>105776684170</v>
      </c>
      <c r="C9985" s="2" t="str">
        <v>0</v>
      </c>
      <c r="F9985" s="2" t="str">
        <v>0</v>
      </c>
      <c r="I9985" s="3" t="str">
        <f ca="1">IFERROR(__xludf.DUMMYFUNCTION("""COMPUTED_VALUE"""),"Zo ram minh trí")</f>
        <v>Zo ram minh trí</v>
      </c>
      <c r="J9985" s="2" t="str">
        <f ca="1">IFERROR(__xludf.DUMMYFUNCTION("""COMPUTED_VALUE"""),"0971046702")</f>
        <v>0971046702</v>
      </c>
      <c r="K9985" s="2" t="str">
        <f ca="1">IFERROR(__xludf.DUMMYFUNCTION("""COMPUTED_VALUE"""),"105776684170")</f>
        <v>105776684170</v>
      </c>
    </row>
    <row r="9986" spans="1:11" ht="12.45">
      <c r="A9986" s="2" t="str">
        <f ca="1">IFERROR(__xludf.DUMMYFUNCTION("""COMPUTED_VALUE"""),"105776684247")</f>
        <v>105776684247</v>
      </c>
      <c r="C9986" s="2" t="str">
        <v>0</v>
      </c>
      <c r="F9986" s="2" t="str">
        <v>0</v>
      </c>
      <c r="I9986" s="3" t="str">
        <f ca="1">IFERROR(__xludf.DUMMYFUNCTION("""COMPUTED_VALUE"""),"Lê Ngọc Thảo Nhi ")</f>
        <v xml:space="preserve">Lê Ngọc Thảo Nhi </v>
      </c>
      <c r="J9986" s="2" t="str">
        <f ca="1">IFERROR(__xludf.DUMMYFUNCTION("""COMPUTED_VALUE"""),"0938680207")</f>
        <v>0938680207</v>
      </c>
      <c r="K9986" s="2" t="str">
        <f ca="1">IFERROR(__xludf.DUMMYFUNCTION("""COMPUTED_VALUE"""),"105776684247")</f>
        <v>105776684247</v>
      </c>
    </row>
    <row r="9987" spans="1:11" ht="12.45">
      <c r="A9987" s="2" t="str">
        <f ca="1">IFERROR(__xludf.DUMMYFUNCTION("""COMPUTED_VALUE"""),"105776684352")</f>
        <v>105776684352</v>
      </c>
      <c r="C9987" s="2" t="str">
        <v>0</v>
      </c>
      <c r="F9987" s="2" t="str">
        <v>0</v>
      </c>
      <c r="I9987" s="3" t="str">
        <f ca="1">IFERROR(__xludf.DUMMYFUNCTION("""COMPUTED_VALUE"""),"Trương Thanh Ngọc Hân")</f>
        <v>Trương Thanh Ngọc Hân</v>
      </c>
      <c r="J9987" s="2" t="str">
        <f ca="1">IFERROR(__xludf.DUMMYFUNCTION("""COMPUTED_VALUE"""),"0327697274")</f>
        <v>0327697274</v>
      </c>
      <c r="K9987" s="2" t="str">
        <f ca="1">IFERROR(__xludf.DUMMYFUNCTION("""COMPUTED_VALUE"""),"105776684352")</f>
        <v>105776684352</v>
      </c>
    </row>
    <row r="9988" spans="1:11" ht="12.45">
      <c r="A9988" s="2"/>
      <c r="C9988" s="2" t="str">
        <v>0</v>
      </c>
      <c r="F9988" s="2" t="str">
        <v>0</v>
      </c>
      <c r="I9988" s="3" t="str">
        <f ca="1">IFERROR(__xludf.DUMMYFUNCTION("""COMPUTED_VALUE"""),"Lý Thị Ngọc Bích ")</f>
        <v xml:space="preserve">Lý Thị Ngọc Bích </v>
      </c>
      <c r="J9988" s="2" t="str">
        <f ca="1">IFERROR(__xludf.DUMMYFUNCTION("""COMPUTED_VALUE"""),"0794085677")</f>
        <v>0794085677</v>
      </c>
      <c r="K9988" s="2"/>
    </row>
    <row r="9989" spans="1:11" ht="12.45">
      <c r="A9989" s="2" t="str">
        <f ca="1">IFERROR(__xludf.DUMMYFUNCTION("""COMPUTED_VALUE"""),"105776684468")</f>
        <v>105776684468</v>
      </c>
      <c r="C9989" s="2" t="str">
        <v>0</v>
      </c>
      <c r="F9989" s="2" t="str">
        <v>0</v>
      </c>
      <c r="I9989" s="3" t="str">
        <f ca="1">IFERROR(__xludf.DUMMYFUNCTION("""COMPUTED_VALUE"""),"Trương Thị Hồng Vân")</f>
        <v>Trương Thị Hồng Vân</v>
      </c>
      <c r="J9989" s="2" t="str">
        <f ca="1">IFERROR(__xludf.DUMMYFUNCTION("""COMPUTED_VALUE"""),"0344337206")</f>
        <v>0344337206</v>
      </c>
      <c r="K9989" s="2" t="str">
        <f ca="1">IFERROR(__xludf.DUMMYFUNCTION("""COMPUTED_VALUE"""),"105776684468")</f>
        <v>105776684468</v>
      </c>
    </row>
    <row r="9990" spans="1:11" ht="12.45">
      <c r="A9990" s="2" t="str">
        <f ca="1">IFERROR(__xludf.DUMMYFUNCTION("""COMPUTED_VALUE"""),"105776684536")</f>
        <v>105776684536</v>
      </c>
      <c r="C9990" s="2" t="str">
        <v>0</v>
      </c>
      <c r="F9990" s="2" t="str">
        <v>0</v>
      </c>
      <c r="I9990" s="3" t="str">
        <f ca="1">IFERROR(__xludf.DUMMYFUNCTION("""COMPUTED_VALUE"""),"Bùi Thị Uyên")</f>
        <v>Bùi Thị Uyên</v>
      </c>
      <c r="J9990" s="2" t="str">
        <f ca="1">IFERROR(__xludf.DUMMYFUNCTION("""COMPUTED_VALUE"""),"0389225812")</f>
        <v>0389225812</v>
      </c>
      <c r="K9990" s="2" t="str">
        <f ca="1">IFERROR(__xludf.DUMMYFUNCTION("""COMPUTED_VALUE"""),"105776684536")</f>
        <v>105776684536</v>
      </c>
    </row>
    <row r="9991" spans="1:11" ht="12.45">
      <c r="A9991" s="2" t="str">
        <f ca="1">IFERROR(__xludf.DUMMYFUNCTION("""COMPUTED_VALUE"""),"105776684615")</f>
        <v>105776684615</v>
      </c>
      <c r="C9991" s="2" t="str">
        <v>0</v>
      </c>
      <c r="F9991" s="2" t="str">
        <v>0</v>
      </c>
      <c r="I9991" s="3" t="str">
        <f ca="1">IFERROR(__xludf.DUMMYFUNCTION("""COMPUTED_VALUE"""),"Nguyễn Khánh Chi ")</f>
        <v xml:space="preserve">Nguyễn Khánh Chi </v>
      </c>
      <c r="J9991" s="2" t="str">
        <f ca="1">IFERROR(__xludf.DUMMYFUNCTION("""COMPUTED_VALUE"""),"0987364007")</f>
        <v>0987364007</v>
      </c>
      <c r="K9991" s="2" t="str">
        <f ca="1">IFERROR(__xludf.DUMMYFUNCTION("""COMPUTED_VALUE"""),"105776684615")</f>
        <v>105776684615</v>
      </c>
    </row>
    <row r="9992" spans="1:11" ht="12.45">
      <c r="A9992" s="2" t="str">
        <f ca="1">IFERROR(__xludf.DUMMYFUNCTION("""COMPUTED_VALUE"""),"105776684743")</f>
        <v>105776684743</v>
      </c>
      <c r="C9992" s="2" t="str">
        <v>0</v>
      </c>
      <c r="F9992" s="2" t="str">
        <v>0</v>
      </c>
      <c r="I9992" s="3" t="str">
        <f ca="1">IFERROR(__xludf.DUMMYFUNCTION("""COMPUTED_VALUE"""),"Trần Nguyễn Quỳnh Như")</f>
        <v>Trần Nguyễn Quỳnh Như</v>
      </c>
      <c r="J9992" s="2" t="str">
        <f ca="1">IFERROR(__xludf.DUMMYFUNCTION("""COMPUTED_VALUE"""),"0859737734")</f>
        <v>0859737734</v>
      </c>
      <c r="K9992" s="2" t="str">
        <f ca="1">IFERROR(__xludf.DUMMYFUNCTION("""COMPUTED_VALUE"""),"105776684743")</f>
        <v>105776684743</v>
      </c>
    </row>
    <row r="9993" spans="1:11" ht="12.45">
      <c r="A9993" s="2" t="str">
        <f ca="1">IFERROR(__xludf.DUMMYFUNCTION("""COMPUTED_VALUE"""),"105776684843")</f>
        <v>105776684843</v>
      </c>
      <c r="C9993" s="2" t="str">
        <v>0</v>
      </c>
      <c r="F9993" s="2" t="str">
        <v>0</v>
      </c>
      <c r="I9993" s="3" t="str">
        <f ca="1">IFERROR(__xludf.DUMMYFUNCTION("""COMPUTED_VALUE"""),"Nguyễn Mạnh Duy")</f>
        <v>Nguyễn Mạnh Duy</v>
      </c>
      <c r="J9993" s="2" t="str">
        <f ca="1">IFERROR(__xludf.DUMMYFUNCTION("""COMPUTED_VALUE"""),"0522940169")</f>
        <v>0522940169</v>
      </c>
      <c r="K9993" s="2" t="str">
        <f ca="1">IFERROR(__xludf.DUMMYFUNCTION("""COMPUTED_VALUE"""),"105776684843")</f>
        <v>105776684843</v>
      </c>
    </row>
    <row r="9994" spans="1:11" ht="12.45">
      <c r="A9994" s="2" t="str">
        <f ca="1">IFERROR(__xludf.DUMMYFUNCTION("""COMPUTED_VALUE"""),"105776685056")</f>
        <v>105776685056</v>
      </c>
      <c r="C9994" s="2" t="str">
        <v>0</v>
      </c>
      <c r="F9994" s="2" t="str">
        <v>0</v>
      </c>
      <c r="I9994" s="3" t="str">
        <f ca="1">IFERROR(__xludf.DUMMYFUNCTION("""COMPUTED_VALUE"""),"Lê Thị Lan Anh")</f>
        <v>Lê Thị Lan Anh</v>
      </c>
      <c r="J9994" s="2" t="str">
        <f ca="1">IFERROR(__xludf.DUMMYFUNCTION("""COMPUTED_VALUE"""),"0347767762")</f>
        <v>0347767762</v>
      </c>
      <c r="K9994" s="2" t="str">
        <f ca="1">IFERROR(__xludf.DUMMYFUNCTION("""COMPUTED_VALUE"""),"105776685056")</f>
        <v>105776685056</v>
      </c>
    </row>
    <row r="9995" spans="1:11" ht="12.45">
      <c r="A9995" s="2" t="str">
        <f ca="1">IFERROR(__xludf.DUMMYFUNCTION("""COMPUTED_VALUE"""),"105776685163")</f>
        <v>105776685163</v>
      </c>
      <c r="C9995" s="2" t="str">
        <v>0</v>
      </c>
      <c r="F9995" s="2" t="str">
        <v>0</v>
      </c>
      <c r="I9995" s="3" t="str">
        <f ca="1">IFERROR(__xludf.DUMMYFUNCTION("""COMPUTED_VALUE"""),"Nguyễn Thị Yến Nhi")</f>
        <v>Nguyễn Thị Yến Nhi</v>
      </c>
      <c r="J9995" s="2" t="str">
        <f ca="1">IFERROR(__xludf.DUMMYFUNCTION("""COMPUTED_VALUE"""),"0706221660")</f>
        <v>0706221660</v>
      </c>
      <c r="K9995" s="2" t="str">
        <f ca="1">IFERROR(__xludf.DUMMYFUNCTION("""COMPUTED_VALUE"""),"105776685163")</f>
        <v>105776685163</v>
      </c>
    </row>
    <row r="9996" spans="1:11" ht="12.45">
      <c r="A9996" s="2" t="str">
        <f ca="1">IFERROR(__xludf.DUMMYFUNCTION("""COMPUTED_VALUE"""),"105776685261")</f>
        <v>105776685261</v>
      </c>
      <c r="C9996" s="2" t="str">
        <v>0</v>
      </c>
      <c r="F9996" s="2" t="str">
        <v>0</v>
      </c>
      <c r="I9996" s="3" t="str">
        <f ca="1">IFERROR(__xludf.DUMMYFUNCTION("""COMPUTED_VALUE"""),"Nguyễn Hoàng Tâm")</f>
        <v>Nguyễn Hoàng Tâm</v>
      </c>
      <c r="J9996" s="2" t="str">
        <f ca="1">IFERROR(__xludf.DUMMYFUNCTION("""COMPUTED_VALUE"""),"0837265542")</f>
        <v>0837265542</v>
      </c>
      <c r="K9996" s="2" t="str">
        <f ca="1">IFERROR(__xludf.DUMMYFUNCTION("""COMPUTED_VALUE"""),"105776685261")</f>
        <v>105776685261</v>
      </c>
    </row>
    <row r="9997" spans="1:11" ht="12.45">
      <c r="A9997" s="2" t="str">
        <f ca="1">IFERROR(__xludf.DUMMYFUNCTION("""COMPUTED_VALUE"""),"105776685317")</f>
        <v>105776685317</v>
      </c>
      <c r="C9997" s="2" t="str">
        <v>0</v>
      </c>
      <c r="F9997" s="2" t="str">
        <v>0</v>
      </c>
      <c r="I9997" s="3" t="str">
        <f ca="1">IFERROR(__xludf.DUMMYFUNCTION("""COMPUTED_VALUE"""),"Tống Khánh Huyền")</f>
        <v>Tống Khánh Huyền</v>
      </c>
      <c r="J9997" s="2" t="str">
        <f ca="1">IFERROR(__xludf.DUMMYFUNCTION("""COMPUTED_VALUE"""),"0822724089")</f>
        <v>0822724089</v>
      </c>
      <c r="K9997" s="2" t="str">
        <f ca="1">IFERROR(__xludf.DUMMYFUNCTION("""COMPUTED_VALUE"""),"105776685317")</f>
        <v>105776685317</v>
      </c>
    </row>
    <row r="9998" spans="1:11" ht="12.45">
      <c r="A9998" s="2" t="str">
        <f ca="1">IFERROR(__xludf.DUMMYFUNCTION("""COMPUTED_VALUE"""),"105776685440")</f>
        <v>105776685440</v>
      </c>
      <c r="C9998" s="2" t="str">
        <v>0</v>
      </c>
      <c r="F9998" s="2" t="str">
        <v>0</v>
      </c>
      <c r="I9998" s="3" t="str">
        <f ca="1">IFERROR(__xludf.DUMMYFUNCTION("""COMPUTED_VALUE"""),"Phùng Soang Mìn ")</f>
        <v xml:space="preserve">Phùng Soang Mìn </v>
      </c>
      <c r="J9998" s="2" t="str">
        <f ca="1">IFERROR(__xludf.DUMMYFUNCTION("""COMPUTED_VALUE"""),"0946427871")</f>
        <v>0946427871</v>
      </c>
      <c r="K9998" s="2" t="str">
        <f ca="1">IFERROR(__xludf.DUMMYFUNCTION("""COMPUTED_VALUE"""),"105776685440")</f>
        <v>105776685440</v>
      </c>
    </row>
    <row r="9999" spans="1:11" ht="12.45">
      <c r="A9999" s="2" t="str">
        <f ca="1">IFERROR(__xludf.DUMMYFUNCTION("""COMPUTED_VALUE"""),"105776685515")</f>
        <v>105776685515</v>
      </c>
      <c r="C9999" s="2" t="str">
        <v>0</v>
      </c>
      <c r="F9999" s="2" t="str">
        <v>0</v>
      </c>
      <c r="I9999" s="3" t="str">
        <f ca="1">IFERROR(__xludf.DUMMYFUNCTION("""COMPUTED_VALUE"""),"Vũ Hà Ly")</f>
        <v>Vũ Hà Ly</v>
      </c>
      <c r="J9999" s="2" t="str">
        <f ca="1">IFERROR(__xludf.DUMMYFUNCTION("""COMPUTED_VALUE"""),"0964405451")</f>
        <v>0964405451</v>
      </c>
      <c r="K9999" s="2" t="str">
        <f ca="1">IFERROR(__xludf.DUMMYFUNCTION("""COMPUTED_VALUE"""),"105776685515")</f>
        <v>105776685515</v>
      </c>
    </row>
    <row r="10000" spans="1:11" ht="12.45">
      <c r="A10000" s="2" t="str">
        <f ca="1">IFERROR(__xludf.DUMMYFUNCTION("""COMPUTED_VALUE"""),"105776685746")</f>
        <v>105776685746</v>
      </c>
      <c r="C10000" s="2" t="str">
        <v>0</v>
      </c>
      <c r="F10000" s="2" t="str">
        <v>0</v>
      </c>
      <c r="I10000" s="3" t="str">
        <f ca="1">IFERROR(__xludf.DUMMYFUNCTION("""COMPUTED_VALUE"""),"Nguyễn Trần Bảo My")</f>
        <v>Nguyễn Trần Bảo My</v>
      </c>
      <c r="J10000" s="2" t="str">
        <f ca="1">IFERROR(__xludf.DUMMYFUNCTION("""COMPUTED_VALUE"""),"0862354569")</f>
        <v>0862354569</v>
      </c>
      <c r="K10000" s="2" t="str">
        <f ca="1">IFERROR(__xludf.DUMMYFUNCTION("""COMPUTED_VALUE"""),"105776685746")</f>
        <v>105776685746</v>
      </c>
    </row>
    <row r="10001" spans="1:11" ht="12.45">
      <c r="A10001" s="2" t="str">
        <f ca="1">IFERROR(__xludf.DUMMYFUNCTION("""COMPUTED_VALUE"""),"105776685848")</f>
        <v>105776685848</v>
      </c>
      <c r="C10001" s="2" t="str">
        <v>0</v>
      </c>
      <c r="F10001" s="2" t="str">
        <v>0</v>
      </c>
      <c r="I10001" s="3" t="str">
        <f ca="1">IFERROR(__xludf.DUMMYFUNCTION("""COMPUTED_VALUE"""),"Nguyễn Quỳnh Chi ")</f>
        <v xml:space="preserve">Nguyễn Quỳnh Chi </v>
      </c>
      <c r="J10001" s="2" t="str">
        <f ca="1">IFERROR(__xludf.DUMMYFUNCTION("""COMPUTED_VALUE"""),"0383227264")</f>
        <v>0383227264</v>
      </c>
      <c r="K10001" s="2" t="str">
        <f ca="1">IFERROR(__xludf.DUMMYFUNCTION("""COMPUTED_VALUE"""),"105776685848")</f>
        <v>105776685848</v>
      </c>
    </row>
    <row r="10002" spans="1:11" ht="12.45">
      <c r="A10002" s="2" t="str">
        <f ca="1">IFERROR(__xludf.DUMMYFUNCTION("""COMPUTED_VALUE"""),"105776685914")</f>
        <v>105776685914</v>
      </c>
      <c r="C10002" s="2" t="str">
        <v>0</v>
      </c>
      <c r="F10002" s="2" t="str">
        <v>0</v>
      </c>
      <c r="I10002" s="3" t="str">
        <f ca="1">IFERROR(__xludf.DUMMYFUNCTION("""COMPUTED_VALUE"""),"Nguyễn Đức Trường Giang")</f>
        <v>Nguyễn Đức Trường Giang</v>
      </c>
      <c r="J10002" s="2" t="str">
        <f ca="1">IFERROR(__xludf.DUMMYFUNCTION("""COMPUTED_VALUE"""),"0942705509")</f>
        <v>0942705509</v>
      </c>
      <c r="K10002" s="2" t="str">
        <f ca="1">IFERROR(__xludf.DUMMYFUNCTION("""COMPUTED_VALUE"""),"105776685914")</f>
        <v>105776685914</v>
      </c>
    </row>
    <row r="10003" spans="1:11" ht="12.45">
      <c r="A10003" s="2">
        <f ca="1">IFERROR(__xludf.DUMMYFUNCTION("""COMPUTED_VALUE"""),105718594462)</f>
        <v>105718594462</v>
      </c>
      <c r="C10003" s="2" t="str">
        <v>0</v>
      </c>
      <c r="F10003" s="2" t="str">
        <v>0</v>
      </c>
      <c r="I10003" s="3" t="str">
        <f ca="1">IFERROR(__xludf.DUMMYFUNCTION("""COMPUTED_VALUE"""),"Nguyễn Minh Quân")</f>
        <v>Nguyễn Minh Quân</v>
      </c>
      <c r="J10003" s="2" t="str">
        <f ca="1">IFERROR(__xludf.DUMMYFUNCTION("""COMPUTED_VALUE"""),"0352414122")</f>
        <v>0352414122</v>
      </c>
      <c r="K10003" s="2">
        <f ca="1">IFERROR(__xludf.DUMMYFUNCTION("""COMPUTED_VALUE"""),105718594462)</f>
        <v>105718594462</v>
      </c>
    </row>
    <row r="10004" spans="1:11" ht="12.45">
      <c r="A10004" s="2" t="str">
        <f ca="1">IFERROR(__xludf.DUMMYFUNCTION("""COMPUTED_VALUE"""),"105776686119")</f>
        <v>105776686119</v>
      </c>
      <c r="C10004" s="2" t="str">
        <v>0</v>
      </c>
      <c r="F10004" s="2" t="str">
        <v>0</v>
      </c>
      <c r="I10004" s="3" t="str">
        <f ca="1">IFERROR(__xludf.DUMMYFUNCTION("""COMPUTED_VALUE"""),"Nguyễn Thu Hiền")</f>
        <v>Nguyễn Thu Hiền</v>
      </c>
      <c r="J10004" s="2" t="str">
        <f ca="1">IFERROR(__xludf.DUMMYFUNCTION("""COMPUTED_VALUE"""),"0921739023")</f>
        <v>0921739023</v>
      </c>
      <c r="K10004" s="2" t="str">
        <f ca="1">IFERROR(__xludf.DUMMYFUNCTION("""COMPUTED_VALUE"""),"105776686119")</f>
        <v>105776686119</v>
      </c>
    </row>
    <row r="10005" spans="1:11" ht="12.45">
      <c r="A10005" s="2" t="str">
        <f ca="1">IFERROR(__xludf.DUMMYFUNCTION("""COMPUTED_VALUE"""),"105776686316")</f>
        <v>105776686316</v>
      </c>
      <c r="C10005" s="2" t="str">
        <v>0</v>
      </c>
      <c r="F10005" s="2" t="str">
        <v>0</v>
      </c>
      <c r="I10005" s="3" t="str">
        <f ca="1">IFERROR(__xludf.DUMMYFUNCTION("""COMPUTED_VALUE"""),"Vũ Thị Anh Thư")</f>
        <v>Vũ Thị Anh Thư</v>
      </c>
      <c r="J10005" s="2" t="str">
        <f ca="1">IFERROR(__xludf.DUMMYFUNCTION("""COMPUTED_VALUE"""),"0522680693")</f>
        <v>0522680693</v>
      </c>
      <c r="K10005" s="2" t="str">
        <f ca="1">IFERROR(__xludf.DUMMYFUNCTION("""COMPUTED_VALUE"""),"105776686316")</f>
        <v>105776686316</v>
      </c>
    </row>
    <row r="10006" spans="1:11" ht="12.45">
      <c r="A10006" s="2" t="str">
        <f ca="1">IFERROR(__xludf.DUMMYFUNCTION("""COMPUTED_VALUE"""),"105776686442")</f>
        <v>105776686442</v>
      </c>
      <c r="C10006" s="2" t="str">
        <v>0</v>
      </c>
      <c r="F10006" s="2" t="str">
        <v>0</v>
      </c>
      <c r="I10006" s="3" t="str">
        <f ca="1">IFERROR(__xludf.DUMMYFUNCTION("""COMPUTED_VALUE"""),"Nguyễn Phương Mai")</f>
        <v>Nguyễn Phương Mai</v>
      </c>
      <c r="J10006" s="2" t="str">
        <f ca="1">IFERROR(__xludf.DUMMYFUNCTION("""COMPUTED_VALUE"""),"0899010357")</f>
        <v>0899010357</v>
      </c>
      <c r="K10006" s="2" t="str">
        <f ca="1">IFERROR(__xludf.DUMMYFUNCTION("""COMPUTED_VALUE"""),"105776686442")</f>
        <v>105776686442</v>
      </c>
    </row>
    <row r="10007" spans="1:11" ht="12.45">
      <c r="A10007" s="2" t="str">
        <f ca="1">IFERROR(__xludf.DUMMYFUNCTION("""COMPUTED_VALUE"""),"105776686542")</f>
        <v>105776686542</v>
      </c>
      <c r="C10007" s="2" t="str">
        <v>0</v>
      </c>
      <c r="F10007" s="2" t="str">
        <v>0</v>
      </c>
      <c r="I10007" s="3" t="str">
        <f ca="1">IFERROR(__xludf.DUMMYFUNCTION("""COMPUTED_VALUE"""),"Vũ Tất Thành")</f>
        <v>Vũ Tất Thành</v>
      </c>
      <c r="J10007" s="2" t="str">
        <f ca="1">IFERROR(__xludf.DUMMYFUNCTION("""COMPUTED_VALUE"""),"0837768070")</f>
        <v>0837768070</v>
      </c>
      <c r="K10007" s="2" t="str">
        <f ca="1">IFERROR(__xludf.DUMMYFUNCTION("""COMPUTED_VALUE"""),"105776686542")</f>
        <v>105776686542</v>
      </c>
    </row>
    <row r="10008" spans="1:11" ht="12.45">
      <c r="A10008" s="2" t="str">
        <f ca="1">IFERROR(__xludf.DUMMYFUNCTION("""COMPUTED_VALUE"""),"105776686613")</f>
        <v>105776686613</v>
      </c>
      <c r="C10008" s="2" t="str">
        <v>0</v>
      </c>
      <c r="F10008" s="2" t="str">
        <v>0</v>
      </c>
      <c r="I10008" s="3" t="str">
        <f ca="1">IFERROR(__xludf.DUMMYFUNCTION("""COMPUTED_VALUE"""),"Lê Thị Anh Thư ")</f>
        <v xml:space="preserve">Lê Thị Anh Thư </v>
      </c>
      <c r="J10008" s="2" t="str">
        <f ca="1">IFERROR(__xludf.DUMMYFUNCTION("""COMPUTED_VALUE"""),"0979563550")</f>
        <v>0979563550</v>
      </c>
      <c r="K10008" s="2" t="str">
        <f ca="1">IFERROR(__xludf.DUMMYFUNCTION("""COMPUTED_VALUE"""),"105776686613")</f>
        <v>105776686613</v>
      </c>
    </row>
    <row r="10009" spans="1:11" ht="12.45">
      <c r="A10009" s="2" t="str">
        <f ca="1">IFERROR(__xludf.DUMMYFUNCTION("""COMPUTED_VALUE"""),"105776686768")</f>
        <v>105776686768</v>
      </c>
      <c r="C10009" s="2" t="str">
        <v>0</v>
      </c>
      <c r="F10009" s="2" t="str">
        <v>0</v>
      </c>
      <c r="I10009" s="3" t="str">
        <f ca="1">IFERROR(__xludf.DUMMYFUNCTION("""COMPUTED_VALUE"""),"Lữ Hồng Vy ")</f>
        <v xml:space="preserve">Lữ Hồng Vy </v>
      </c>
      <c r="J10009" s="2" t="str">
        <f ca="1">IFERROR(__xludf.DUMMYFUNCTION("""COMPUTED_VALUE"""),"0843332561")</f>
        <v>0843332561</v>
      </c>
      <c r="K10009" s="2" t="str">
        <f ca="1">IFERROR(__xludf.DUMMYFUNCTION("""COMPUTED_VALUE"""),"105776686768")</f>
        <v>105776686768</v>
      </c>
    </row>
    <row r="10010" spans="1:11" ht="12.45">
      <c r="A10010" s="2" t="str">
        <f ca="1">IFERROR(__xludf.DUMMYFUNCTION("""COMPUTED_VALUE"""),"105776686860")</f>
        <v>105776686860</v>
      </c>
      <c r="C10010" s="2" t="str">
        <v>0</v>
      </c>
      <c r="F10010" s="2" t="str">
        <v>0</v>
      </c>
      <c r="I10010" s="3" t="str">
        <f ca="1">IFERROR(__xludf.DUMMYFUNCTION("""COMPUTED_VALUE"""),"Mai Hoàng Tú Uyên")</f>
        <v>Mai Hoàng Tú Uyên</v>
      </c>
      <c r="J10010" s="2" t="str">
        <f ca="1">IFERROR(__xludf.DUMMYFUNCTION("""COMPUTED_VALUE"""),"0824592477")</f>
        <v>0824592477</v>
      </c>
      <c r="K10010" s="2" t="str">
        <f ca="1">IFERROR(__xludf.DUMMYFUNCTION("""COMPUTED_VALUE"""),"105776686860")</f>
        <v>105776686860</v>
      </c>
    </row>
    <row r="10011" spans="1:11" ht="12.45">
      <c r="A10011" s="2" t="str">
        <f ca="1">IFERROR(__xludf.DUMMYFUNCTION("""COMPUTED_VALUE"""),"105776686989")</f>
        <v>105776686989</v>
      </c>
      <c r="C10011" s="2" t="str">
        <v>0</v>
      </c>
      <c r="F10011" s="2" t="str">
        <v>0</v>
      </c>
      <c r="I10011" s="3" t="str">
        <f ca="1">IFERROR(__xludf.DUMMYFUNCTION("""COMPUTED_VALUE"""),"Trần Ngọc Diễm My")</f>
        <v>Trần Ngọc Diễm My</v>
      </c>
      <c r="J10011" s="2" t="str">
        <f ca="1">IFERROR(__xludf.DUMMYFUNCTION("""COMPUTED_VALUE"""),"0946606242")</f>
        <v>0946606242</v>
      </c>
      <c r="K10011" s="2" t="str">
        <f ca="1">IFERROR(__xludf.DUMMYFUNCTION("""COMPUTED_VALUE"""),"105776686989")</f>
        <v>105776686989</v>
      </c>
    </row>
    <row r="10012" spans="1:11" ht="12.45">
      <c r="A10012" s="2"/>
      <c r="C10012" s="2" t="str">
        <v>0</v>
      </c>
      <c r="F10012" s="2" t="str">
        <v>0</v>
      </c>
      <c r="I10012" s="3" t="str">
        <f ca="1">IFERROR(__xludf.DUMMYFUNCTION("""COMPUTED_VALUE"""),"Trương Hải Bình")</f>
        <v>Trương Hải Bình</v>
      </c>
      <c r="J10012" s="2" t="str">
        <f ca="1">IFERROR(__xludf.DUMMYFUNCTION("""COMPUTED_VALUE"""),"0358089316")</f>
        <v>0358089316</v>
      </c>
      <c r="K10012" s="2"/>
    </row>
    <row r="10013" spans="1:11" ht="12.45">
      <c r="A10013" s="2" t="str">
        <f ca="1">IFERROR(__xludf.DUMMYFUNCTION("""COMPUTED_VALUE"""),"105776687090")</f>
        <v>105776687090</v>
      </c>
      <c r="C10013" s="2" t="str">
        <v>0</v>
      </c>
      <c r="F10013" s="2" t="str">
        <v>0</v>
      </c>
      <c r="I10013" s="3" t="str">
        <f ca="1">IFERROR(__xludf.DUMMYFUNCTION("""COMPUTED_VALUE"""),"Nguyễn Minh Hương ")</f>
        <v xml:space="preserve">Nguyễn Minh Hương </v>
      </c>
      <c r="J10013" s="2" t="str">
        <f ca="1">IFERROR(__xludf.DUMMYFUNCTION("""COMPUTED_VALUE"""),"0846211216")</f>
        <v>0846211216</v>
      </c>
      <c r="K10013" s="2" t="str">
        <f ca="1">IFERROR(__xludf.DUMMYFUNCTION("""COMPUTED_VALUE"""),"105776687090")</f>
        <v>105776687090</v>
      </c>
    </row>
    <row r="10014" spans="1:11" ht="12.45">
      <c r="A10014" s="2" t="str">
        <f ca="1">IFERROR(__xludf.DUMMYFUNCTION("""COMPUTED_VALUE"""),"105776687136")</f>
        <v>105776687136</v>
      </c>
      <c r="C10014" s="2" t="str">
        <v>0</v>
      </c>
      <c r="F10014" s="2" t="str">
        <v>0</v>
      </c>
      <c r="I10014" s="3" t="str">
        <f ca="1">IFERROR(__xludf.DUMMYFUNCTION("""COMPUTED_VALUE"""),"Phạm Hoàng Kiều Anh")</f>
        <v>Phạm Hoàng Kiều Anh</v>
      </c>
      <c r="J10014" s="2" t="str">
        <f ca="1">IFERROR(__xludf.DUMMYFUNCTION("""COMPUTED_VALUE"""),"0932794579")</f>
        <v>0932794579</v>
      </c>
      <c r="K10014" s="2" t="str">
        <f ca="1">IFERROR(__xludf.DUMMYFUNCTION("""COMPUTED_VALUE"""),"105776687136")</f>
        <v>105776687136</v>
      </c>
    </row>
    <row r="10015" spans="1:11" ht="12.45">
      <c r="A10015" s="2" t="str">
        <f ca="1">IFERROR(__xludf.DUMMYFUNCTION("""COMPUTED_VALUE"""),"105776687294")</f>
        <v>105776687294</v>
      </c>
      <c r="C10015" s="2" t="str">
        <v>0</v>
      </c>
      <c r="F10015" s="2" t="str">
        <v>0</v>
      </c>
      <c r="I10015" s="3" t="str">
        <f ca="1">IFERROR(__xludf.DUMMYFUNCTION("""COMPUTED_VALUE"""),"Vi Diệu Hương")</f>
        <v>Vi Diệu Hương</v>
      </c>
      <c r="J10015" s="2" t="str">
        <f ca="1">IFERROR(__xludf.DUMMYFUNCTION("""COMPUTED_VALUE"""),"0373280923")</f>
        <v>0373280923</v>
      </c>
      <c r="K10015" s="2" t="str">
        <f ca="1">IFERROR(__xludf.DUMMYFUNCTION("""COMPUTED_VALUE"""),"105776687294")</f>
        <v>105776687294</v>
      </c>
    </row>
    <row r="10016" spans="1:11" ht="12.45">
      <c r="A10016" s="2" t="str">
        <f ca="1">IFERROR(__xludf.DUMMYFUNCTION("""COMPUTED_VALUE"""),"105776687324")</f>
        <v>105776687324</v>
      </c>
      <c r="C10016" s="2" t="str">
        <v>0</v>
      </c>
      <c r="F10016" s="2" t="str">
        <v>0</v>
      </c>
      <c r="I10016" s="3" t="str">
        <f ca="1">IFERROR(__xludf.DUMMYFUNCTION("""COMPUTED_VALUE"""),"Lưu Ngọc Phương Lê")</f>
        <v>Lưu Ngọc Phương Lê</v>
      </c>
      <c r="J10016" s="2" t="str">
        <f ca="1">IFERROR(__xludf.DUMMYFUNCTION("""COMPUTED_VALUE"""),"0936393672")</f>
        <v>0936393672</v>
      </c>
      <c r="K10016" s="2" t="str">
        <f ca="1">IFERROR(__xludf.DUMMYFUNCTION("""COMPUTED_VALUE"""),"105776687324")</f>
        <v>105776687324</v>
      </c>
    </row>
    <row r="10017" spans="1:11" ht="12.45">
      <c r="A10017" s="2" t="str">
        <f ca="1">IFERROR(__xludf.DUMMYFUNCTION("""COMPUTED_VALUE"""),"105776687448")</f>
        <v>105776687448</v>
      </c>
      <c r="C10017" s="2" t="str">
        <v>0</v>
      </c>
      <c r="F10017" s="2" t="str">
        <v>0</v>
      </c>
      <c r="I10017" s="3" t="str">
        <f ca="1">IFERROR(__xludf.DUMMYFUNCTION("""COMPUTED_VALUE"""),"Nguyễn Ngọc Thảo Nhi")</f>
        <v>Nguyễn Ngọc Thảo Nhi</v>
      </c>
      <c r="J10017" s="2" t="str">
        <f ca="1">IFERROR(__xludf.DUMMYFUNCTION("""COMPUTED_VALUE"""),"0984619307")</f>
        <v>0984619307</v>
      </c>
      <c r="K10017" s="2" t="str">
        <f ca="1">IFERROR(__xludf.DUMMYFUNCTION("""COMPUTED_VALUE"""),"105776687448")</f>
        <v>105776687448</v>
      </c>
    </row>
    <row r="10018" spans="1:11" ht="12.45">
      <c r="A10018" s="2" t="str">
        <f ca="1">IFERROR(__xludf.DUMMYFUNCTION("""COMPUTED_VALUE"""),"105776687556")</f>
        <v>105776687556</v>
      </c>
      <c r="C10018" s="2" t="str">
        <v>0</v>
      </c>
      <c r="F10018" s="2" t="str">
        <v>0</v>
      </c>
      <c r="I10018" s="3" t="str">
        <f ca="1">IFERROR(__xludf.DUMMYFUNCTION("""COMPUTED_VALUE"""),"Nguyễn Hải Tường Vi ")</f>
        <v xml:space="preserve">Nguyễn Hải Tường Vi </v>
      </c>
      <c r="J10018" s="2" t="str">
        <f ca="1">IFERROR(__xludf.DUMMYFUNCTION("""COMPUTED_VALUE"""),"0384130007")</f>
        <v>0384130007</v>
      </c>
      <c r="K10018" s="2" t="str">
        <f ca="1">IFERROR(__xludf.DUMMYFUNCTION("""COMPUTED_VALUE"""),"105776687556")</f>
        <v>105776687556</v>
      </c>
    </row>
    <row r="10019" spans="1:11" ht="12.45">
      <c r="A10019" s="2" t="str">
        <f ca="1">IFERROR(__xludf.DUMMYFUNCTION("""COMPUTED_VALUE"""),"105776687731")</f>
        <v>105776687731</v>
      </c>
      <c r="C10019" s="2" t="str">
        <v>0</v>
      </c>
      <c r="F10019" s="2" t="str">
        <v>0</v>
      </c>
      <c r="I10019" s="3" t="str">
        <f ca="1">IFERROR(__xludf.DUMMYFUNCTION("""COMPUTED_VALUE"""),"Nguyễn Thị Mai Hương")</f>
        <v>Nguyễn Thị Mai Hương</v>
      </c>
      <c r="J10019" s="2" t="str">
        <f ca="1">IFERROR(__xludf.DUMMYFUNCTION("""COMPUTED_VALUE"""),"0333950213")</f>
        <v>0333950213</v>
      </c>
      <c r="K10019" s="2" t="str">
        <f ca="1">IFERROR(__xludf.DUMMYFUNCTION("""COMPUTED_VALUE"""),"105776687731")</f>
        <v>105776687731</v>
      </c>
    </row>
    <row r="10020" spans="1:11" ht="12.45">
      <c r="A10020" s="2" t="str">
        <f ca="1">IFERROR(__xludf.DUMMYFUNCTION("""COMPUTED_VALUE"""),"105776687870")</f>
        <v>105776687870</v>
      </c>
      <c r="C10020" s="2" t="str">
        <v>0</v>
      </c>
      <c r="F10020" s="2" t="str">
        <v>0</v>
      </c>
      <c r="I10020" s="3" t="str">
        <f ca="1">IFERROR(__xludf.DUMMYFUNCTION("""COMPUTED_VALUE"""),"Hồ Trần Như Quỳnh")</f>
        <v>Hồ Trần Như Quỳnh</v>
      </c>
      <c r="J10020" s="2" t="str">
        <f ca="1">IFERROR(__xludf.DUMMYFUNCTION("""COMPUTED_VALUE"""),"0961858505")</f>
        <v>0961858505</v>
      </c>
      <c r="K10020" s="2" t="str">
        <f ca="1">IFERROR(__xludf.DUMMYFUNCTION("""COMPUTED_VALUE"""),"105776687870")</f>
        <v>105776687870</v>
      </c>
    </row>
    <row r="10021" spans="1:11" ht="12.45">
      <c r="A10021" s="2" t="str">
        <f ca="1">IFERROR(__xludf.DUMMYFUNCTION("""COMPUTED_VALUE"""),"105776687917")</f>
        <v>105776687917</v>
      </c>
      <c r="C10021" s="2" t="str">
        <v>0</v>
      </c>
      <c r="F10021" s="2" t="str">
        <v>0</v>
      </c>
      <c r="I10021" s="3" t="str">
        <f ca="1">IFERROR(__xludf.DUMMYFUNCTION("""COMPUTED_VALUE"""),"Vương Ngọc Ly")</f>
        <v>Vương Ngọc Ly</v>
      </c>
      <c r="J10021" s="2" t="str">
        <f ca="1">IFERROR(__xludf.DUMMYFUNCTION("""COMPUTED_VALUE"""),"0353901817")</f>
        <v>0353901817</v>
      </c>
      <c r="K10021" s="2" t="str">
        <f ca="1">IFERROR(__xludf.DUMMYFUNCTION("""COMPUTED_VALUE"""),"105776687917")</f>
        <v>105776687917</v>
      </c>
    </row>
    <row r="10022" spans="1:11" ht="12.45">
      <c r="A10022" s="2" t="str">
        <f ca="1">IFERROR(__xludf.DUMMYFUNCTION("""COMPUTED_VALUE"""),"105776688070")</f>
        <v>105776688070</v>
      </c>
      <c r="C10022" s="2" t="str">
        <v>0</v>
      </c>
      <c r="F10022" s="2" t="str">
        <v>0</v>
      </c>
      <c r="I10022" s="3" t="str">
        <f ca="1">IFERROR(__xludf.DUMMYFUNCTION("""COMPUTED_VALUE"""),"Nguyễ Thị Ngọc Hân")</f>
        <v>Nguyễ Thị Ngọc Hân</v>
      </c>
      <c r="J10022" s="2" t="str">
        <f ca="1">IFERROR(__xludf.DUMMYFUNCTION("""COMPUTED_VALUE"""),"0868083242")</f>
        <v>0868083242</v>
      </c>
      <c r="K10022" s="2" t="str">
        <f ca="1">IFERROR(__xludf.DUMMYFUNCTION("""COMPUTED_VALUE"""),"105776688070")</f>
        <v>105776688070</v>
      </c>
    </row>
    <row r="10023" spans="1:11" ht="12.45">
      <c r="A10023" s="2" t="str">
        <f ca="1">IFERROR(__xludf.DUMMYFUNCTION("""COMPUTED_VALUE"""),"105776688163")</f>
        <v>105776688163</v>
      </c>
      <c r="C10023" s="2" t="str">
        <v>0</v>
      </c>
      <c r="F10023" s="2" t="str">
        <v>0</v>
      </c>
      <c r="I10023" s="3" t="str">
        <f ca="1">IFERROR(__xludf.DUMMYFUNCTION("""COMPUTED_VALUE"""),"Nguyễn Ngọc Uyên Đan ")</f>
        <v xml:space="preserve">Nguyễn Ngọc Uyên Đan </v>
      </c>
      <c r="J10023" s="2" t="str">
        <f ca="1">IFERROR(__xludf.DUMMYFUNCTION("""COMPUTED_VALUE"""),"0328582352")</f>
        <v>0328582352</v>
      </c>
      <c r="K10023" s="2" t="str">
        <f ca="1">IFERROR(__xludf.DUMMYFUNCTION("""COMPUTED_VALUE"""),"105776688163")</f>
        <v>105776688163</v>
      </c>
    </row>
    <row r="10024" spans="1:11" ht="12.45">
      <c r="A10024" s="2" t="str">
        <f ca="1">IFERROR(__xludf.DUMMYFUNCTION("""COMPUTED_VALUE"""),"105776688366")</f>
        <v>105776688366</v>
      </c>
      <c r="C10024" s="2" t="str">
        <v>0</v>
      </c>
      <c r="F10024" s="2" t="str">
        <v>0</v>
      </c>
      <c r="I10024" s="3" t="str">
        <f ca="1">IFERROR(__xludf.DUMMYFUNCTION("""COMPUTED_VALUE"""),"NGUYỄN THỊ TƯỜNG VY")</f>
        <v>NGUYỄN THỊ TƯỜNG VY</v>
      </c>
      <c r="J10024" s="2" t="str">
        <f ca="1">IFERROR(__xludf.DUMMYFUNCTION("""COMPUTED_VALUE"""),"0325611826")</f>
        <v>0325611826</v>
      </c>
      <c r="K10024" s="2" t="str">
        <f ca="1">IFERROR(__xludf.DUMMYFUNCTION("""COMPUTED_VALUE"""),"105776688366")</f>
        <v>105776688366</v>
      </c>
    </row>
    <row r="10025" spans="1:11" ht="12.45">
      <c r="A10025" s="2" t="str">
        <f ca="1">IFERROR(__xludf.DUMMYFUNCTION("""COMPUTED_VALUE"""),"105776688441")</f>
        <v>105776688441</v>
      </c>
      <c r="C10025" s="2" t="str">
        <v>0</v>
      </c>
      <c r="F10025" s="2" t="str">
        <v>0</v>
      </c>
      <c r="I10025" s="3" t="str">
        <f ca="1">IFERROR(__xludf.DUMMYFUNCTION("""COMPUTED_VALUE"""),"Nguyễn Bảo Trâm")</f>
        <v>Nguyễn Bảo Trâm</v>
      </c>
      <c r="J10025" s="2" t="str">
        <f ca="1">IFERROR(__xludf.DUMMYFUNCTION("""COMPUTED_VALUE"""),"0369382692")</f>
        <v>0369382692</v>
      </c>
      <c r="K10025" s="2" t="str">
        <f ca="1">IFERROR(__xludf.DUMMYFUNCTION("""COMPUTED_VALUE"""),"105776688441")</f>
        <v>105776688441</v>
      </c>
    </row>
    <row r="10026" spans="1:11" ht="12.45">
      <c r="A10026" s="2" t="str">
        <f ca="1">IFERROR(__xludf.DUMMYFUNCTION("""COMPUTED_VALUE"""),"105776688551")</f>
        <v>105776688551</v>
      </c>
      <c r="C10026" s="2" t="str">
        <v>0</v>
      </c>
      <c r="F10026" s="2" t="str">
        <v>0</v>
      </c>
      <c r="I10026" s="3" t="str">
        <f ca="1">IFERROR(__xludf.DUMMYFUNCTION("""COMPUTED_VALUE"""),"Tạ thị kim hương ")</f>
        <v xml:space="preserve">Tạ thị kim hương </v>
      </c>
      <c r="J10026" s="2" t="str">
        <f ca="1">IFERROR(__xludf.DUMMYFUNCTION("""COMPUTED_VALUE"""),"0933975606")</f>
        <v>0933975606</v>
      </c>
      <c r="K10026" s="2" t="str">
        <f ca="1">IFERROR(__xludf.DUMMYFUNCTION("""COMPUTED_VALUE"""),"105776688551")</f>
        <v>105776688551</v>
      </c>
    </row>
    <row r="10027" spans="1:11" ht="12.45">
      <c r="A10027" s="2" t="str">
        <f ca="1">IFERROR(__xludf.DUMMYFUNCTION("""COMPUTED_VALUE"""),"105776688612")</f>
        <v>105776688612</v>
      </c>
      <c r="C10027" s="2" t="str">
        <v>0</v>
      </c>
      <c r="F10027" s="2" t="str">
        <v>0</v>
      </c>
      <c r="I10027" s="3" t="str">
        <f ca="1">IFERROR(__xludf.DUMMYFUNCTION("""COMPUTED_VALUE"""),"Thân Minh Nhật ")</f>
        <v xml:space="preserve">Thân Minh Nhật </v>
      </c>
      <c r="J10027" s="2" t="str">
        <f ca="1">IFERROR(__xludf.DUMMYFUNCTION("""COMPUTED_VALUE"""),"0338811738")</f>
        <v>0338811738</v>
      </c>
      <c r="K10027" s="2" t="str">
        <f ca="1">IFERROR(__xludf.DUMMYFUNCTION("""COMPUTED_VALUE"""),"105776688612")</f>
        <v>105776688612</v>
      </c>
    </row>
    <row r="10028" spans="1:11" ht="12.45">
      <c r="A10028" s="2" t="str">
        <f ca="1">IFERROR(__xludf.DUMMYFUNCTION("""COMPUTED_VALUE"""),"105776688753")</f>
        <v>105776688753</v>
      </c>
      <c r="C10028" s="2" t="str">
        <v>0</v>
      </c>
      <c r="F10028" s="2" t="str">
        <v>0</v>
      </c>
      <c r="I10028" s="3" t="str">
        <f ca="1">IFERROR(__xludf.DUMMYFUNCTION("""COMPUTED_VALUE"""),"Nguyễn Thị Hà Tâm")</f>
        <v>Nguyễn Thị Hà Tâm</v>
      </c>
      <c r="J10028" s="2" t="str">
        <f ca="1">IFERROR(__xludf.DUMMYFUNCTION("""COMPUTED_VALUE"""),"0766334988")</f>
        <v>0766334988</v>
      </c>
      <c r="K10028" s="2" t="str">
        <f ca="1">IFERROR(__xludf.DUMMYFUNCTION("""COMPUTED_VALUE"""),"105776688753")</f>
        <v>105776688753</v>
      </c>
    </row>
    <row r="10029" spans="1:11" ht="12.45">
      <c r="A10029" s="2" t="str">
        <f ca="1">IFERROR(__xludf.DUMMYFUNCTION("""COMPUTED_VALUE"""),"105776688961")</f>
        <v>105776688961</v>
      </c>
      <c r="C10029" s="2" t="str">
        <v>0</v>
      </c>
      <c r="F10029" s="2" t="str">
        <v>0</v>
      </c>
      <c r="I10029" s="3" t="str">
        <f ca="1">IFERROR(__xludf.DUMMYFUNCTION("""COMPUTED_VALUE"""),"Vương Thanh Trúc")</f>
        <v>Vương Thanh Trúc</v>
      </c>
      <c r="J10029" s="2" t="str">
        <f ca="1">IFERROR(__xludf.DUMMYFUNCTION("""COMPUTED_VALUE"""),"0822298000")</f>
        <v>0822298000</v>
      </c>
      <c r="K10029" s="2" t="str">
        <f ca="1">IFERROR(__xludf.DUMMYFUNCTION("""COMPUTED_VALUE"""),"105776688961")</f>
        <v>105776688961</v>
      </c>
    </row>
    <row r="10030" spans="1:11" ht="12.45">
      <c r="A10030" s="2" t="str">
        <f ca="1">IFERROR(__xludf.DUMMYFUNCTION("""COMPUTED_VALUE"""),"105776689051")</f>
        <v>105776689051</v>
      </c>
      <c r="C10030" s="2" t="str">
        <v>0</v>
      </c>
      <c r="F10030" s="2" t="str">
        <v>0</v>
      </c>
      <c r="I10030" s="3" t="str">
        <f ca="1">IFERROR(__xludf.DUMMYFUNCTION("""COMPUTED_VALUE"""),"Vi Nguyễn Hà Anh")</f>
        <v>Vi Nguyễn Hà Anh</v>
      </c>
      <c r="J10030" s="2" t="str">
        <f ca="1">IFERROR(__xludf.DUMMYFUNCTION("""COMPUTED_VALUE"""),"0587872088")</f>
        <v>0587872088</v>
      </c>
      <c r="K10030" s="2" t="str">
        <f ca="1">IFERROR(__xludf.DUMMYFUNCTION("""COMPUTED_VALUE"""),"105776689051")</f>
        <v>105776689051</v>
      </c>
    </row>
    <row r="10031" spans="1:11" ht="12.45">
      <c r="A10031" s="2" t="str">
        <f ca="1">IFERROR(__xludf.DUMMYFUNCTION("""COMPUTED_VALUE"""),"105776689174")</f>
        <v>105776689174</v>
      </c>
      <c r="C10031" s="2" t="str">
        <v>0</v>
      </c>
      <c r="F10031" s="2" t="str">
        <v>0</v>
      </c>
      <c r="I10031" s="3" t="str">
        <f ca="1">IFERROR(__xludf.DUMMYFUNCTION("""COMPUTED_VALUE"""),"Nguyễn Ngọc Linh Linh")</f>
        <v>Nguyễn Ngọc Linh Linh</v>
      </c>
      <c r="J10031" s="2" t="str">
        <f ca="1">IFERROR(__xludf.DUMMYFUNCTION("""COMPUTED_VALUE"""),"0373712174")</f>
        <v>0373712174</v>
      </c>
      <c r="K10031" s="2" t="str">
        <f ca="1">IFERROR(__xludf.DUMMYFUNCTION("""COMPUTED_VALUE"""),"105776689174")</f>
        <v>105776689174</v>
      </c>
    </row>
    <row r="10032" spans="1:11" ht="12.45">
      <c r="A10032" s="2" t="str">
        <f ca="1">IFERROR(__xludf.DUMMYFUNCTION("""COMPUTED_VALUE"""),"105776689217")</f>
        <v>105776689217</v>
      </c>
      <c r="C10032" s="2" t="str">
        <v>0</v>
      </c>
      <c r="F10032" s="2" t="str">
        <v>0</v>
      </c>
      <c r="I10032" s="3" t="str">
        <f ca="1">IFERROR(__xludf.DUMMYFUNCTION("""COMPUTED_VALUE"""),"Lê Vũ Huyền Trang")</f>
        <v>Lê Vũ Huyền Trang</v>
      </c>
      <c r="J10032" s="2" t="str">
        <f ca="1">IFERROR(__xludf.DUMMYFUNCTION("""COMPUTED_VALUE"""),"0373429455")</f>
        <v>0373429455</v>
      </c>
      <c r="K10032" s="2" t="str">
        <f ca="1">IFERROR(__xludf.DUMMYFUNCTION("""COMPUTED_VALUE"""),"105776689217")</f>
        <v>105776689217</v>
      </c>
    </row>
    <row r="10033" spans="1:11" ht="12.45">
      <c r="A10033" s="2" t="str">
        <f ca="1">IFERROR(__xludf.DUMMYFUNCTION("""COMPUTED_VALUE"""),"105776689350")</f>
        <v>105776689350</v>
      </c>
      <c r="C10033" s="2" t="str">
        <v>0</v>
      </c>
      <c r="F10033" s="2" t="str">
        <v>0</v>
      </c>
      <c r="I10033" s="2" t="str">
        <f ca="1">IFERROR(__xludf.DUMMYFUNCTION("""COMPUTED_VALUE"""),"Nguyễn Hoàng Phương Linh ")</f>
        <v xml:space="preserve">Nguyễn Hoàng Phương Linh </v>
      </c>
      <c r="J10033" s="2" t="str">
        <f ca="1">IFERROR(__xludf.DUMMYFUNCTION("""COMPUTED_VALUE"""),"0363032282")</f>
        <v>0363032282</v>
      </c>
      <c r="K10033" s="2" t="str">
        <f ca="1">IFERROR(__xludf.DUMMYFUNCTION("""COMPUTED_VALUE"""),"105776689350")</f>
        <v>105776689350</v>
      </c>
    </row>
    <row r="10034" spans="1:11" ht="12.45">
      <c r="A10034" s="2" t="str">
        <f ca="1">IFERROR(__xludf.DUMMYFUNCTION("""COMPUTED_VALUE"""),"105776689426")</f>
        <v>105776689426</v>
      </c>
      <c r="C10034" s="2" t="str">
        <v>0</v>
      </c>
      <c r="F10034" s="2" t="str">
        <v>0</v>
      </c>
      <c r="I10034" s="3" t="str">
        <f ca="1">IFERROR(__xludf.DUMMYFUNCTION("""COMPUTED_VALUE"""),"Nguyễn Huyền Trang ")</f>
        <v xml:space="preserve">Nguyễn Huyền Trang </v>
      </c>
      <c r="J10034" s="2" t="str">
        <f ca="1">IFERROR(__xludf.DUMMYFUNCTION("""COMPUTED_VALUE"""),"0857150552")</f>
        <v>0857150552</v>
      </c>
      <c r="K10034" s="2" t="str">
        <f ca="1">IFERROR(__xludf.DUMMYFUNCTION("""COMPUTED_VALUE"""),"105776689426")</f>
        <v>105776689426</v>
      </c>
    </row>
    <row r="10035" spans="1:11" ht="12.45">
      <c r="A10035" s="2" t="str">
        <f ca="1">IFERROR(__xludf.DUMMYFUNCTION("""COMPUTED_VALUE"""),"105776689617")</f>
        <v>105776689617</v>
      </c>
      <c r="C10035" s="2" t="str">
        <v>0</v>
      </c>
      <c r="F10035" s="2" t="str">
        <v>0</v>
      </c>
      <c r="I10035" s="3" t="str">
        <f ca="1">IFERROR(__xludf.DUMMYFUNCTION("""COMPUTED_VALUE"""),"Trần Thị Dung")</f>
        <v>Trần Thị Dung</v>
      </c>
      <c r="J10035" s="2" t="str">
        <f ca="1">IFERROR(__xludf.DUMMYFUNCTION("""COMPUTED_VALUE"""),"0869401055")</f>
        <v>0869401055</v>
      </c>
      <c r="K10035" s="2" t="str">
        <f ca="1">IFERROR(__xludf.DUMMYFUNCTION("""COMPUTED_VALUE"""),"105776689617")</f>
        <v>105776689617</v>
      </c>
    </row>
    <row r="10036" spans="1:11" ht="12.45">
      <c r="A10036" s="2" t="str">
        <f ca="1">IFERROR(__xludf.DUMMYFUNCTION("""COMPUTED_VALUE"""),"105776689740")</f>
        <v>105776689740</v>
      </c>
      <c r="C10036" s="2" t="str">
        <v>0</v>
      </c>
      <c r="F10036" s="2" t="str">
        <v>0</v>
      </c>
      <c r="I10036" s="3" t="str">
        <f ca="1">IFERROR(__xludf.DUMMYFUNCTION("""COMPUTED_VALUE"""),"Vũ Trung Nguyên")</f>
        <v>Vũ Trung Nguyên</v>
      </c>
      <c r="J10036" s="2" t="str">
        <f ca="1">IFERROR(__xludf.DUMMYFUNCTION("""COMPUTED_VALUE"""),"0979908408")</f>
        <v>0979908408</v>
      </c>
      <c r="K10036" s="2" t="str">
        <f ca="1">IFERROR(__xludf.DUMMYFUNCTION("""COMPUTED_VALUE"""),"105776689740")</f>
        <v>105776689740</v>
      </c>
    </row>
    <row r="10037" spans="1:11" ht="12.45">
      <c r="A10037" s="2" t="str">
        <f ca="1">IFERROR(__xludf.DUMMYFUNCTION("""COMPUTED_VALUE"""),"105776689848")</f>
        <v>105776689848</v>
      </c>
      <c r="C10037" s="2" t="str">
        <v>0</v>
      </c>
      <c r="F10037" s="2" t="str">
        <v>0</v>
      </c>
      <c r="I10037" s="3" t="str">
        <f ca="1">IFERROR(__xludf.DUMMYFUNCTION("""COMPUTED_VALUE"""),"Nông Thu An")</f>
        <v>Nông Thu An</v>
      </c>
      <c r="J10037" s="2" t="str">
        <f ca="1">IFERROR(__xludf.DUMMYFUNCTION("""COMPUTED_VALUE"""),"0353125816")</f>
        <v>0353125816</v>
      </c>
      <c r="K10037" s="2" t="str">
        <f ca="1">IFERROR(__xludf.DUMMYFUNCTION("""COMPUTED_VALUE"""),"105776689848")</f>
        <v>105776689848</v>
      </c>
    </row>
    <row r="10038" spans="1:11" ht="12.45">
      <c r="A10038" s="2" t="str">
        <f ca="1">IFERROR(__xludf.DUMMYFUNCTION("""COMPUTED_VALUE"""),"105776690465")</f>
        <v>105776690465</v>
      </c>
      <c r="C10038" s="2" t="str">
        <v>0</v>
      </c>
      <c r="F10038" s="2" t="str">
        <v>0</v>
      </c>
      <c r="I10038" s="3" t="str">
        <f ca="1">IFERROR(__xludf.DUMMYFUNCTION("""COMPUTED_VALUE"""),"huỳnh trường phát")</f>
        <v>huỳnh trường phát</v>
      </c>
      <c r="J10038" s="2" t="str">
        <f ca="1">IFERROR(__xludf.DUMMYFUNCTION("""COMPUTED_VALUE"""),"0904931841")</f>
        <v>0904931841</v>
      </c>
      <c r="K10038" s="2" t="str">
        <f ca="1">IFERROR(__xludf.DUMMYFUNCTION("""COMPUTED_VALUE"""),"105776690465")</f>
        <v>105776690465</v>
      </c>
    </row>
    <row r="10039" spans="1:11" ht="12.45">
      <c r="A10039" s="2" t="str">
        <f ca="1">IFERROR(__xludf.DUMMYFUNCTION("""COMPUTED_VALUE"""),"106156886478")</f>
        <v>106156886478</v>
      </c>
      <c r="C10039" s="2" t="str">
        <v>0</v>
      </c>
      <c r="F10039" s="2" t="str">
        <v>0</v>
      </c>
      <c r="I10039" s="3" t="str">
        <f ca="1">IFERROR(__xludf.DUMMYFUNCTION("""COMPUTED_VALUE"""),"Nguyễn Hà Phương")</f>
        <v>Nguyễn Hà Phương</v>
      </c>
      <c r="J10039" s="2" t="str">
        <f ca="1">IFERROR(__xludf.DUMMYFUNCTION("""COMPUTED_VALUE"""),"0359966179")</f>
        <v>0359966179</v>
      </c>
      <c r="K10039" s="2" t="str">
        <f ca="1">IFERROR(__xludf.DUMMYFUNCTION("""COMPUTED_VALUE"""),"106156886478")</f>
        <v>106156886478</v>
      </c>
    </row>
    <row r="10040" spans="1:11" ht="12.45">
      <c r="A10040" s="2" t="str">
        <f ca="1">IFERROR(__xludf.DUMMYFUNCTION("""COMPUTED_VALUE"""),"106156886677")</f>
        <v>106156886677</v>
      </c>
      <c r="C10040" s="2" t="str">
        <v>0</v>
      </c>
      <c r="F10040" s="2" t="str">
        <v>0</v>
      </c>
      <c r="I10040" s="3" t="str">
        <f ca="1">IFERROR(__xludf.DUMMYFUNCTION("""COMPUTED_VALUE"""),"Dương Nguyễn kim hằng ")</f>
        <v xml:space="preserve">Dương Nguyễn kim hằng </v>
      </c>
      <c r="J10040" s="2" t="str">
        <f ca="1">IFERROR(__xludf.DUMMYFUNCTION("""COMPUTED_VALUE"""),"0707138520")</f>
        <v>0707138520</v>
      </c>
      <c r="K10040" s="2" t="str">
        <f ca="1">IFERROR(__xludf.DUMMYFUNCTION("""COMPUTED_VALUE"""),"106156886677")</f>
        <v>106156886677</v>
      </c>
    </row>
    <row r="10041" spans="1:11" ht="12.45">
      <c r="A10041" s="2" t="str">
        <f ca="1">IFERROR(__xludf.DUMMYFUNCTION("""COMPUTED_VALUE"""),"106156886889")</f>
        <v>106156886889</v>
      </c>
      <c r="C10041" s="2" t="str">
        <v>0</v>
      </c>
      <c r="F10041" s="2" t="str">
        <v>0</v>
      </c>
      <c r="I10041" s="3" t="str">
        <f ca="1">IFERROR(__xludf.DUMMYFUNCTION("""COMPUTED_VALUE"""),"Phạm Thúy Ngân")</f>
        <v>Phạm Thúy Ngân</v>
      </c>
      <c r="J10041" s="3" t="str">
        <f ca="1">IFERROR(__xludf.DUMMYFUNCTION("""COMPUTED_VALUE"""),"0867805620")</f>
        <v>0867805620</v>
      </c>
      <c r="K10041" s="2" t="str">
        <f ca="1">IFERROR(__xludf.DUMMYFUNCTION("""COMPUTED_VALUE"""),"106156886889")</f>
        <v>106156886889</v>
      </c>
    </row>
    <row r="10042" spans="1:11" ht="12.45">
      <c r="A10042" s="2" t="str">
        <f ca="1">IFERROR(__xludf.DUMMYFUNCTION("""COMPUTED_VALUE"""),"106156887077")</f>
        <v>106156887077</v>
      </c>
      <c r="C10042" s="2" t="str">
        <v>0</v>
      </c>
      <c r="F10042" s="2" t="str">
        <v>0</v>
      </c>
      <c r="I10042" s="3" t="str">
        <f ca="1">IFERROR(__xludf.DUMMYFUNCTION("""COMPUTED_VALUE"""),"Trịnh Trần Phương Thảo")</f>
        <v>Trịnh Trần Phương Thảo</v>
      </c>
      <c r="J10042" s="2" t="str">
        <f ca="1">IFERROR(__xludf.DUMMYFUNCTION("""COMPUTED_VALUE"""),"0336318467")</f>
        <v>0336318467</v>
      </c>
      <c r="K10042" s="2" t="str">
        <f ca="1">IFERROR(__xludf.DUMMYFUNCTION("""COMPUTED_VALUE"""),"106156887077")</f>
        <v>106156887077</v>
      </c>
    </row>
    <row r="10043" spans="1:11" ht="12.45">
      <c r="A10043" s="2" t="str">
        <f ca="1">IFERROR(__xludf.DUMMYFUNCTION("""COMPUTED_VALUE"""),"106156887139")</f>
        <v>106156887139</v>
      </c>
      <c r="C10043" s="2" t="str">
        <v>0</v>
      </c>
      <c r="F10043" s="2" t="str">
        <v>0</v>
      </c>
      <c r="I10043" s="3" t="str">
        <f ca="1">IFERROR(__xludf.DUMMYFUNCTION("""COMPUTED_VALUE"""),"Hoàng Việt Anh")</f>
        <v>Hoàng Việt Anh</v>
      </c>
      <c r="J10043" s="2" t="str">
        <f ca="1">IFERROR(__xludf.DUMMYFUNCTION("""COMPUTED_VALUE"""),"0868112430")</f>
        <v>0868112430</v>
      </c>
      <c r="K10043" s="2" t="str">
        <f ca="1">IFERROR(__xludf.DUMMYFUNCTION("""COMPUTED_VALUE"""),"106156887139")</f>
        <v>106156887139</v>
      </c>
    </row>
    <row r="10044" spans="1:11" ht="12.45">
      <c r="A10044" s="2" t="str">
        <f ca="1">IFERROR(__xludf.DUMMYFUNCTION("""COMPUTED_VALUE"""),"106156887342")</f>
        <v>106156887342</v>
      </c>
      <c r="C10044" s="2" t="str">
        <v>0</v>
      </c>
      <c r="F10044" s="2" t="str">
        <v>0</v>
      </c>
      <c r="I10044" s="3" t="str">
        <f ca="1">IFERROR(__xludf.DUMMYFUNCTION("""COMPUTED_VALUE"""),"Pòong Kiều Phương ")</f>
        <v xml:space="preserve">Pòong Kiều Phương </v>
      </c>
      <c r="J10044" s="2" t="str">
        <f ca="1">IFERROR(__xludf.DUMMYFUNCTION("""COMPUTED_VALUE"""),"0399617081")</f>
        <v>0399617081</v>
      </c>
      <c r="K10044" s="2" t="str">
        <f ca="1">IFERROR(__xludf.DUMMYFUNCTION("""COMPUTED_VALUE"""),"106156887342")</f>
        <v>106156887342</v>
      </c>
    </row>
    <row r="10045" spans="1:11" ht="12.45">
      <c r="A10045" s="2" t="str">
        <f ca="1">IFERROR(__xludf.DUMMYFUNCTION("""COMPUTED_VALUE"""),"106156887428")</f>
        <v>106156887428</v>
      </c>
      <c r="C10045" s="2" t="str">
        <v>0</v>
      </c>
      <c r="F10045" s="2" t="str">
        <v>0</v>
      </c>
      <c r="I10045" s="3" t="str">
        <f ca="1">IFERROR(__xludf.DUMMYFUNCTION("""COMPUTED_VALUE"""),"Nguyễn Vũ Minh Trang")</f>
        <v>Nguyễn Vũ Minh Trang</v>
      </c>
      <c r="J10045" s="2" t="str">
        <f ca="1">IFERROR(__xludf.DUMMYFUNCTION("""COMPUTED_VALUE"""),"0377176165")</f>
        <v>0377176165</v>
      </c>
      <c r="K10045" s="2" t="str">
        <f ca="1">IFERROR(__xludf.DUMMYFUNCTION("""COMPUTED_VALUE"""),"106156887428")</f>
        <v>106156887428</v>
      </c>
    </row>
    <row r="10046" spans="1:11" ht="12.45">
      <c r="A10046" s="2" t="str">
        <f ca="1">IFERROR(__xludf.DUMMYFUNCTION("""COMPUTED_VALUE"""),"106156887626")</f>
        <v>106156887626</v>
      </c>
      <c r="C10046" s="2" t="str">
        <v>0</v>
      </c>
      <c r="F10046" s="2" t="str">
        <v>0</v>
      </c>
      <c r="I10046" s="3" t="str">
        <f ca="1">IFERROR(__xludf.DUMMYFUNCTION("""COMPUTED_VALUE"""),"Phan Hoàng Phương Uyên")</f>
        <v>Phan Hoàng Phương Uyên</v>
      </c>
      <c r="J10046" s="2" t="str">
        <f ca="1">IFERROR(__xludf.DUMMYFUNCTION("""COMPUTED_VALUE"""),"0937713919")</f>
        <v>0937713919</v>
      </c>
      <c r="K10046" s="2" t="str">
        <f ca="1">IFERROR(__xludf.DUMMYFUNCTION("""COMPUTED_VALUE"""),"106156887626")</f>
        <v>106156887626</v>
      </c>
    </row>
    <row r="10047" spans="1:11" ht="12.45">
      <c r="A10047" s="2" t="str">
        <f ca="1">IFERROR(__xludf.DUMMYFUNCTION("""COMPUTED_VALUE"""),"106156887988")</f>
        <v>106156887988</v>
      </c>
      <c r="C10047" s="2" t="str">
        <v>0</v>
      </c>
      <c r="F10047" s="2" t="str">
        <v>0</v>
      </c>
      <c r="I10047" s="3" t="str">
        <f ca="1">IFERROR(__xludf.DUMMYFUNCTION("""COMPUTED_VALUE"""),"Trần Thị Thanh Bình")</f>
        <v>Trần Thị Thanh Bình</v>
      </c>
      <c r="J10047" s="2" t="str">
        <f ca="1">IFERROR(__xludf.DUMMYFUNCTION("""COMPUTED_VALUE"""),"0345226827")</f>
        <v>0345226827</v>
      </c>
      <c r="K10047" s="2" t="str">
        <f ca="1">IFERROR(__xludf.DUMMYFUNCTION("""COMPUTED_VALUE"""),"106156887988")</f>
        <v>106156887988</v>
      </c>
    </row>
    <row r="10048" spans="1:11" ht="12.45">
      <c r="A10048" s="2" t="str">
        <f ca="1">IFERROR(__xludf.DUMMYFUNCTION("""COMPUTED_VALUE"""),"106156888158")</f>
        <v>106156888158</v>
      </c>
      <c r="C10048" s="2" t="str">
        <v>0</v>
      </c>
      <c r="F10048" s="2" t="str">
        <v>0</v>
      </c>
      <c r="I10048" s="3" t="str">
        <f ca="1">IFERROR(__xludf.DUMMYFUNCTION("""COMPUTED_VALUE"""),"Trang Như Minh Nguyệt")</f>
        <v>Trang Như Minh Nguyệt</v>
      </c>
      <c r="J10048" s="2" t="str">
        <f ca="1">IFERROR(__xludf.DUMMYFUNCTION("""COMPUTED_VALUE"""),"0836170407")</f>
        <v>0836170407</v>
      </c>
      <c r="K10048" s="2" t="str">
        <f ca="1">IFERROR(__xludf.DUMMYFUNCTION("""COMPUTED_VALUE"""),"106156888158")</f>
        <v>106156888158</v>
      </c>
    </row>
    <row r="10049" spans="1:11" ht="12.45">
      <c r="A10049" s="2" t="str">
        <f ca="1">IFERROR(__xludf.DUMMYFUNCTION("""COMPUTED_VALUE"""),"106156888394")</f>
        <v>106156888394</v>
      </c>
      <c r="C10049" s="2" t="str">
        <v>0</v>
      </c>
      <c r="F10049" s="2" t="str">
        <v>0</v>
      </c>
      <c r="I10049" s="3" t="str">
        <f ca="1">IFERROR(__xludf.DUMMYFUNCTION("""COMPUTED_VALUE"""),"Trịnh Thị Ngọc Châm")</f>
        <v>Trịnh Thị Ngọc Châm</v>
      </c>
      <c r="J10049" s="2" t="str">
        <f ca="1">IFERROR(__xludf.DUMMYFUNCTION("""COMPUTED_VALUE"""),"0393907003")</f>
        <v>0393907003</v>
      </c>
      <c r="K10049" s="2" t="str">
        <f ca="1">IFERROR(__xludf.DUMMYFUNCTION("""COMPUTED_VALUE"""),"106156888394")</f>
        <v>106156888394</v>
      </c>
    </row>
    <row r="10050" spans="1:11" ht="12.45">
      <c r="A10050" s="2" t="str">
        <f ca="1">IFERROR(__xludf.DUMMYFUNCTION("""COMPUTED_VALUE"""),"106156888522")</f>
        <v>106156888522</v>
      </c>
      <c r="C10050" s="2" t="str">
        <v>0</v>
      </c>
      <c r="F10050" s="2" t="str">
        <v>0</v>
      </c>
      <c r="I10050" s="3" t="str">
        <f ca="1">IFERROR(__xludf.DUMMYFUNCTION("""COMPUTED_VALUE"""),"Hoàng Mai Trà")</f>
        <v>Hoàng Mai Trà</v>
      </c>
      <c r="J10050" s="2" t="str">
        <f ca="1">IFERROR(__xludf.DUMMYFUNCTION("""COMPUTED_VALUE"""),"0963319577")</f>
        <v>0963319577</v>
      </c>
      <c r="K10050" s="2" t="str">
        <f ca="1">IFERROR(__xludf.DUMMYFUNCTION("""COMPUTED_VALUE"""),"106156888522")</f>
        <v>106156888522</v>
      </c>
    </row>
    <row r="10051" spans="1:11" ht="12.45">
      <c r="A10051" s="2" t="str">
        <f ca="1">IFERROR(__xludf.DUMMYFUNCTION("""COMPUTED_VALUE"""),"106156888690")</f>
        <v>106156888690</v>
      </c>
      <c r="C10051" s="2" t="str">
        <v>0</v>
      </c>
      <c r="F10051" s="2" t="str">
        <v>0</v>
      </c>
      <c r="I10051" s="3" t="str">
        <f ca="1">IFERROR(__xludf.DUMMYFUNCTION("""COMPUTED_VALUE"""),"Đỗ Như Quỳnh")</f>
        <v>Đỗ Như Quỳnh</v>
      </c>
      <c r="J10051" s="2" t="str">
        <f ca="1">IFERROR(__xludf.DUMMYFUNCTION("""COMPUTED_VALUE"""),"0333791059")</f>
        <v>0333791059</v>
      </c>
      <c r="K10051" s="2" t="str">
        <f ca="1">IFERROR(__xludf.DUMMYFUNCTION("""COMPUTED_VALUE"""),"106156888690")</f>
        <v>106156888690</v>
      </c>
    </row>
    <row r="10052" spans="1:11" ht="12.45">
      <c r="A10052" s="2" t="str">
        <f ca="1">IFERROR(__xludf.DUMMYFUNCTION("""COMPUTED_VALUE"""),"106156888716")</f>
        <v>106156888716</v>
      </c>
      <c r="C10052" s="2" t="str">
        <v>0</v>
      </c>
      <c r="F10052" s="2" t="str">
        <v>0</v>
      </c>
      <c r="I10052" s="3" t="str">
        <f ca="1">IFERROR(__xludf.DUMMYFUNCTION("""COMPUTED_VALUE"""),"PHAN THỊ KIỀU VY")</f>
        <v>PHAN THỊ KIỀU VY</v>
      </c>
      <c r="J10052" s="2" t="str">
        <f ca="1">IFERROR(__xludf.DUMMYFUNCTION("""COMPUTED_VALUE"""),"0967754101")</f>
        <v>0967754101</v>
      </c>
      <c r="K10052" s="2" t="str">
        <f ca="1">IFERROR(__xludf.DUMMYFUNCTION("""COMPUTED_VALUE"""),"106156888716")</f>
        <v>106156888716</v>
      </c>
    </row>
    <row r="10053" spans="1:11" ht="12.45">
      <c r="A10053" s="2" t="str">
        <f ca="1">IFERROR(__xludf.DUMMYFUNCTION("""COMPUTED_VALUE"""),"106156889129")</f>
        <v>106156889129</v>
      </c>
      <c r="C10053" s="2" t="str">
        <v>0</v>
      </c>
      <c r="F10053" s="2" t="str">
        <v>0</v>
      </c>
      <c r="I10053" s="3" t="str">
        <f ca="1">IFERROR(__xludf.DUMMYFUNCTION("""COMPUTED_VALUE"""),"Bùi Thị Trang ")</f>
        <v xml:space="preserve">Bùi Thị Trang </v>
      </c>
      <c r="J10053" s="2" t="str">
        <f ca="1">IFERROR(__xludf.DUMMYFUNCTION("""COMPUTED_VALUE"""),"0336894772")</f>
        <v>0336894772</v>
      </c>
      <c r="K10053" s="2" t="str">
        <f ca="1">IFERROR(__xludf.DUMMYFUNCTION("""COMPUTED_VALUE"""),"106156889129")</f>
        <v>106156889129</v>
      </c>
    </row>
    <row r="10054" spans="1:11" ht="12.45">
      <c r="A10054" s="2" t="str">
        <f ca="1">IFERROR(__xludf.DUMMYFUNCTION("""COMPUTED_VALUE"""),"106156889235")</f>
        <v>106156889235</v>
      </c>
      <c r="C10054" s="2" t="str">
        <v>0</v>
      </c>
      <c r="F10054" s="2" t="str">
        <v>0</v>
      </c>
      <c r="I10054" s="3" t="str">
        <f ca="1">IFERROR(__xludf.DUMMYFUNCTION("""COMPUTED_VALUE"""),"Trần Uyên Trang ")</f>
        <v xml:space="preserve">Trần Uyên Trang </v>
      </c>
      <c r="J10054" s="2" t="str">
        <f ca="1">IFERROR(__xludf.DUMMYFUNCTION("""COMPUTED_VALUE"""),"0858011661")</f>
        <v>0858011661</v>
      </c>
      <c r="K10054" s="2" t="str">
        <f ca="1">IFERROR(__xludf.DUMMYFUNCTION("""COMPUTED_VALUE"""),"106156889235")</f>
        <v>106156889235</v>
      </c>
    </row>
    <row r="10055" spans="1:11" ht="12.45">
      <c r="A10055" s="2" t="str">
        <f ca="1">IFERROR(__xludf.DUMMYFUNCTION("""COMPUTED_VALUE"""),"106156889316")</f>
        <v>106156889316</v>
      </c>
      <c r="C10055" s="2" t="str">
        <v>0</v>
      </c>
      <c r="F10055" s="2" t="str">
        <v>0</v>
      </c>
      <c r="I10055" s="3" t="str">
        <f ca="1">IFERROR(__xludf.DUMMYFUNCTION("""COMPUTED_VALUE"""),"Đoàn Trung Hiếu")</f>
        <v>Đoàn Trung Hiếu</v>
      </c>
      <c r="J10055" s="2" t="str">
        <f ca="1">IFERROR(__xludf.DUMMYFUNCTION("""COMPUTED_VALUE"""),"0968910667")</f>
        <v>0968910667</v>
      </c>
      <c r="K10055" s="2" t="str">
        <f ca="1">IFERROR(__xludf.DUMMYFUNCTION("""COMPUTED_VALUE"""),"106156889316")</f>
        <v>106156889316</v>
      </c>
    </row>
    <row r="10056" spans="1:11" ht="12.45">
      <c r="A10056" s="2" t="str">
        <f ca="1">IFERROR(__xludf.DUMMYFUNCTION("""COMPUTED_VALUE"""),"106156889432")</f>
        <v>106156889432</v>
      </c>
      <c r="C10056" s="2" t="str">
        <v>0</v>
      </c>
      <c r="F10056" s="2" t="str">
        <v>0</v>
      </c>
      <c r="I10056" s="3" t="str">
        <f ca="1">IFERROR(__xludf.DUMMYFUNCTION("""COMPUTED_VALUE"""),"Lục Thị Kim Ngân ")</f>
        <v xml:space="preserve">Lục Thị Kim Ngân </v>
      </c>
      <c r="J10056" s="2" t="str">
        <f ca="1">IFERROR(__xludf.DUMMYFUNCTION("""COMPUTED_VALUE"""),"0342653303")</f>
        <v>0342653303</v>
      </c>
      <c r="K10056" s="2" t="str">
        <f ca="1">IFERROR(__xludf.DUMMYFUNCTION("""COMPUTED_VALUE"""),"106156889432")</f>
        <v>106156889432</v>
      </c>
    </row>
    <row r="10057" spans="1:11" ht="12.45">
      <c r="A10057" s="2" t="str">
        <f ca="1">IFERROR(__xludf.DUMMYFUNCTION("""COMPUTED_VALUE"""),"106156889585")</f>
        <v>106156889585</v>
      </c>
      <c r="C10057" s="2" t="str">
        <v>0</v>
      </c>
      <c r="F10057" s="2" t="str">
        <v>0</v>
      </c>
      <c r="I10057" s="3" t="str">
        <f ca="1">IFERROR(__xludf.DUMMYFUNCTION("""COMPUTED_VALUE"""),"Hoàng Thành Trung")</f>
        <v>Hoàng Thành Trung</v>
      </c>
      <c r="J10057" s="2" t="str">
        <f ca="1">IFERROR(__xludf.DUMMYFUNCTION("""COMPUTED_VALUE"""),"0348827570")</f>
        <v>0348827570</v>
      </c>
      <c r="K10057" s="2" t="str">
        <f ca="1">IFERROR(__xludf.DUMMYFUNCTION("""COMPUTED_VALUE"""),"106156889585")</f>
        <v>106156889585</v>
      </c>
    </row>
    <row r="10058" spans="1:11" ht="12.45">
      <c r="A10058" s="2" t="str">
        <f ca="1">IFERROR(__xludf.DUMMYFUNCTION("""COMPUTED_VALUE"""),"106156889820")</f>
        <v>106156889820</v>
      </c>
      <c r="C10058" s="2" t="str">
        <v>0</v>
      </c>
      <c r="F10058" s="2" t="str">
        <v>0</v>
      </c>
      <c r="I10058" s="3" t="str">
        <f ca="1">IFERROR(__xludf.DUMMYFUNCTION("""COMPUTED_VALUE"""),"Bùi Đoàn Công Nam ")</f>
        <v xml:space="preserve">Bùi Đoàn Công Nam </v>
      </c>
      <c r="J10058" s="2" t="str">
        <f ca="1">IFERROR(__xludf.DUMMYFUNCTION("""COMPUTED_VALUE"""),"0326327828")</f>
        <v>0326327828</v>
      </c>
      <c r="K10058" s="2" t="str">
        <f ca="1">IFERROR(__xludf.DUMMYFUNCTION("""COMPUTED_VALUE"""),"106156889820")</f>
        <v>106156889820</v>
      </c>
    </row>
    <row r="10059" spans="1:11" ht="12.45">
      <c r="A10059" s="2" t="str">
        <f ca="1">IFERROR(__xludf.DUMMYFUNCTION("""COMPUTED_VALUE"""),"106156889944")</f>
        <v>106156889944</v>
      </c>
      <c r="C10059" s="2" t="str">
        <v>0</v>
      </c>
      <c r="F10059" s="2" t="str">
        <v>0</v>
      </c>
      <c r="I10059" s="3" t="str">
        <f ca="1">IFERROR(__xludf.DUMMYFUNCTION("""COMPUTED_VALUE"""),"Nguyễn Diệu Châu")</f>
        <v>Nguyễn Diệu Châu</v>
      </c>
      <c r="J10059" s="2" t="str">
        <f ca="1">IFERROR(__xludf.DUMMYFUNCTION("""COMPUTED_VALUE"""),"0976684965")</f>
        <v>0976684965</v>
      </c>
      <c r="K10059" s="2" t="str">
        <f ca="1">IFERROR(__xludf.DUMMYFUNCTION("""COMPUTED_VALUE"""),"106156889944")</f>
        <v>106156889944</v>
      </c>
    </row>
    <row r="10060" spans="1:11" ht="12.45">
      <c r="A10060" s="2" t="str">
        <f ca="1">IFERROR(__xludf.DUMMYFUNCTION("""COMPUTED_VALUE"""),"106156890063")</f>
        <v>106156890063</v>
      </c>
      <c r="C10060" s="2" t="str">
        <v>0</v>
      </c>
      <c r="F10060" s="2" t="str">
        <v>0</v>
      </c>
      <c r="I10060" s="3" t="str">
        <f ca="1">IFERROR(__xludf.DUMMYFUNCTION("""COMPUTED_VALUE"""),"Nguyễn Bích Huyền ")</f>
        <v xml:space="preserve">Nguyễn Bích Huyền </v>
      </c>
      <c r="J10060" s="2" t="str">
        <f ca="1">IFERROR(__xludf.DUMMYFUNCTION("""COMPUTED_VALUE"""),"0367033157")</f>
        <v>0367033157</v>
      </c>
      <c r="K10060" s="2" t="str">
        <f ca="1">IFERROR(__xludf.DUMMYFUNCTION("""COMPUTED_VALUE"""),"106156890063")</f>
        <v>106156890063</v>
      </c>
    </row>
    <row r="10061" spans="1:11" ht="12.45">
      <c r="A10061" s="2" t="str">
        <f ca="1">IFERROR(__xludf.DUMMYFUNCTION("""COMPUTED_VALUE"""),"106156890238")</f>
        <v>106156890238</v>
      </c>
      <c r="C10061" s="2" t="str">
        <v>0</v>
      </c>
      <c r="F10061" s="2" t="str">
        <v>0</v>
      </c>
      <c r="I10061" s="3" t="str">
        <f ca="1">IFERROR(__xludf.DUMMYFUNCTION("""COMPUTED_VALUE"""),"Trần Hà Chi")</f>
        <v>Trần Hà Chi</v>
      </c>
      <c r="J10061" s="2" t="str">
        <f ca="1">IFERROR(__xludf.DUMMYFUNCTION("""COMPUTED_VALUE"""),"0352416747")</f>
        <v>0352416747</v>
      </c>
      <c r="K10061" s="2" t="str">
        <f ca="1">IFERROR(__xludf.DUMMYFUNCTION("""COMPUTED_VALUE"""),"106156890238")</f>
        <v>106156890238</v>
      </c>
    </row>
    <row r="10062" spans="1:11" ht="12.45">
      <c r="A10062" s="2" t="str">
        <f ca="1">IFERROR(__xludf.DUMMYFUNCTION("""COMPUTED_VALUE"""),"106156890369")</f>
        <v>106156890369</v>
      </c>
      <c r="C10062" s="2" t="str">
        <v>0</v>
      </c>
      <c r="F10062" s="2" t="str">
        <v>0</v>
      </c>
      <c r="I10062" s="3" t="str">
        <f ca="1">IFERROR(__xludf.DUMMYFUNCTION("""COMPUTED_VALUE"""),"Nguyễn Hoàng Nam")</f>
        <v>Nguyễn Hoàng Nam</v>
      </c>
      <c r="J10062" s="2" t="str">
        <f ca="1">IFERROR(__xludf.DUMMYFUNCTION("""COMPUTED_VALUE"""),"0395981810")</f>
        <v>0395981810</v>
      </c>
      <c r="K10062" s="2" t="str">
        <f ca="1">IFERROR(__xludf.DUMMYFUNCTION("""COMPUTED_VALUE"""),"106156890369")</f>
        <v>106156890369</v>
      </c>
    </row>
    <row r="10063" spans="1:11" ht="12.45">
      <c r="A10063" s="2" t="str">
        <f ca="1">IFERROR(__xludf.DUMMYFUNCTION("""COMPUTED_VALUE"""),"106156890578")</f>
        <v>106156890578</v>
      </c>
      <c r="C10063" s="2" t="str">
        <v>0</v>
      </c>
      <c r="F10063" s="2" t="str">
        <v>0</v>
      </c>
      <c r="I10063" s="3" t="str">
        <f ca="1">IFERROR(__xludf.DUMMYFUNCTION("""COMPUTED_VALUE"""),"Nguyễn Xuân Mai")</f>
        <v>Nguyễn Xuân Mai</v>
      </c>
      <c r="J10063" s="2" t="str">
        <f ca="1">IFERROR(__xludf.DUMMYFUNCTION("""COMPUTED_VALUE"""),"0867907651")</f>
        <v>0867907651</v>
      </c>
      <c r="K10063" s="2" t="str">
        <f ca="1">IFERROR(__xludf.DUMMYFUNCTION("""COMPUTED_VALUE"""),"106156890578")</f>
        <v>106156890578</v>
      </c>
    </row>
    <row r="10064" spans="1:11" ht="12.45">
      <c r="A10064" s="2" t="str">
        <f ca="1">IFERROR(__xludf.DUMMYFUNCTION("""COMPUTED_VALUE"""),"106156890657")</f>
        <v>106156890657</v>
      </c>
      <c r="C10064" s="2" t="str">
        <v>0</v>
      </c>
      <c r="F10064" s="2" t="str">
        <v>0</v>
      </c>
      <c r="I10064" s="3" t="str">
        <f ca="1">IFERROR(__xludf.DUMMYFUNCTION("""COMPUTED_VALUE"""),"Nguyễn Thanh Phú")</f>
        <v>Nguyễn Thanh Phú</v>
      </c>
      <c r="J10064" s="2" t="str">
        <f ca="1">IFERROR(__xludf.DUMMYFUNCTION("""COMPUTED_VALUE"""),"0353903028")</f>
        <v>0353903028</v>
      </c>
      <c r="K10064" s="2" t="str">
        <f ca="1">IFERROR(__xludf.DUMMYFUNCTION("""COMPUTED_VALUE"""),"106156890657")</f>
        <v>106156890657</v>
      </c>
    </row>
    <row r="10065" spans="1:11" ht="12.45">
      <c r="A10065" s="2" t="str">
        <f ca="1">IFERROR(__xludf.DUMMYFUNCTION("""COMPUTED_VALUE"""),"106156890856")</f>
        <v>106156890856</v>
      </c>
      <c r="C10065" s="2" t="str">
        <v>0</v>
      </c>
      <c r="F10065" s="2" t="str">
        <v>0</v>
      </c>
      <c r="I10065" s="3" t="str">
        <f ca="1">IFERROR(__xludf.DUMMYFUNCTION("""COMPUTED_VALUE"""),"Võ Trúc Phương")</f>
        <v>Võ Trúc Phương</v>
      </c>
      <c r="J10065" s="2" t="str">
        <f ca="1">IFERROR(__xludf.DUMMYFUNCTION("""COMPUTED_VALUE"""),"0939636648")</f>
        <v>0939636648</v>
      </c>
      <c r="K10065" s="2" t="str">
        <f ca="1">IFERROR(__xludf.DUMMYFUNCTION("""COMPUTED_VALUE"""),"106156890856")</f>
        <v>106156890856</v>
      </c>
    </row>
    <row r="10066" spans="1:11" ht="12.45">
      <c r="A10066" s="2" t="str">
        <f ca="1">IFERROR(__xludf.DUMMYFUNCTION("""COMPUTED_VALUE"""),"106156890915")</f>
        <v>106156890915</v>
      </c>
      <c r="C10066" s="2" t="str">
        <v>0</v>
      </c>
      <c r="F10066" s="2" t="str">
        <v>0</v>
      </c>
      <c r="I10066" s="3" t="str">
        <f ca="1">IFERROR(__xludf.DUMMYFUNCTION("""COMPUTED_VALUE"""),"Nguyễn Thị Bích Ngọc ")</f>
        <v xml:space="preserve">Nguyễn Thị Bích Ngọc </v>
      </c>
      <c r="J10066" s="2" t="str">
        <f ca="1">IFERROR(__xludf.DUMMYFUNCTION("""COMPUTED_VALUE"""),"0703524050")</f>
        <v>0703524050</v>
      </c>
      <c r="K10066" s="2" t="str">
        <f ca="1">IFERROR(__xludf.DUMMYFUNCTION("""COMPUTED_VALUE"""),"106156890915")</f>
        <v>106156890915</v>
      </c>
    </row>
    <row r="10067" spans="1:11" ht="12.45">
      <c r="A10067" s="2" t="str">
        <f ca="1">IFERROR(__xludf.DUMMYFUNCTION("""COMPUTED_VALUE"""),"106156891229")</f>
        <v>106156891229</v>
      </c>
      <c r="C10067" s="2" t="str">
        <v>0</v>
      </c>
      <c r="F10067" s="2" t="str">
        <v>0</v>
      </c>
      <c r="I10067" s="3" t="str">
        <f ca="1">IFERROR(__xludf.DUMMYFUNCTION("""COMPUTED_VALUE"""),"Nguyễn Trung Long")</f>
        <v>Nguyễn Trung Long</v>
      </c>
      <c r="J10067" s="2" t="str">
        <f ca="1">IFERROR(__xludf.DUMMYFUNCTION("""COMPUTED_VALUE"""),"0943748857")</f>
        <v>0943748857</v>
      </c>
      <c r="K10067" s="2" t="str">
        <f ca="1">IFERROR(__xludf.DUMMYFUNCTION("""COMPUTED_VALUE"""),"106156891229")</f>
        <v>106156891229</v>
      </c>
    </row>
    <row r="10068" spans="1:11" ht="12.45">
      <c r="A10068" s="2" t="str">
        <f ca="1">IFERROR(__xludf.DUMMYFUNCTION("""COMPUTED_VALUE"""),"106156891484")</f>
        <v>106156891484</v>
      </c>
      <c r="C10068" s="2" t="str">
        <v>0</v>
      </c>
      <c r="F10068" s="2" t="str">
        <v>0</v>
      </c>
      <c r="I10068" s="3" t="str">
        <f ca="1">IFERROR(__xludf.DUMMYFUNCTION("""COMPUTED_VALUE"""),"Phan Linh Nhi")</f>
        <v>Phan Linh Nhi</v>
      </c>
      <c r="J10068" s="2" t="str">
        <f ca="1">IFERROR(__xludf.DUMMYFUNCTION("""COMPUTED_VALUE"""),"0914692184")</f>
        <v>0914692184</v>
      </c>
      <c r="K10068" s="2" t="str">
        <f ca="1">IFERROR(__xludf.DUMMYFUNCTION("""COMPUTED_VALUE"""),"106156891484")</f>
        <v>106156891484</v>
      </c>
    </row>
    <row r="10069" spans="1:11" ht="12.45">
      <c r="A10069" s="2" t="str">
        <f ca="1">IFERROR(__xludf.DUMMYFUNCTION("""COMPUTED_VALUE"""),"106156891534")</f>
        <v>106156891534</v>
      </c>
      <c r="C10069" s="2" t="str">
        <v>0</v>
      </c>
      <c r="F10069" s="2" t="str">
        <v>0</v>
      </c>
      <c r="I10069" s="3" t="str">
        <f ca="1">IFERROR(__xludf.DUMMYFUNCTION("""COMPUTED_VALUE"""),"Lê Yến Hồng ")</f>
        <v xml:space="preserve">Lê Yến Hồng </v>
      </c>
      <c r="J10069" s="2" t="str">
        <f ca="1">IFERROR(__xludf.DUMMYFUNCTION("""COMPUTED_VALUE"""),"0834259084")</f>
        <v>0834259084</v>
      </c>
      <c r="K10069" s="2" t="str">
        <f ca="1">IFERROR(__xludf.DUMMYFUNCTION("""COMPUTED_VALUE"""),"106156891534")</f>
        <v>106156891534</v>
      </c>
    </row>
    <row r="10070" spans="1:11" ht="12.45">
      <c r="A10070" s="2"/>
      <c r="C10070" s="2" t="str">
        <v>0</v>
      </c>
      <c r="F10070" s="2" t="str">
        <v>0</v>
      </c>
      <c r="I10070" s="3" t="str">
        <f ca="1">IFERROR(__xludf.DUMMYFUNCTION("""COMPUTED_VALUE"""),"Bùi Ngọc Thy")</f>
        <v>Bùi Ngọc Thy</v>
      </c>
      <c r="J10070" s="2" t="str">
        <f ca="1">IFERROR(__xludf.DUMMYFUNCTION("""COMPUTED_VALUE"""),"0907930155")</f>
        <v>0907930155</v>
      </c>
      <c r="K10070" s="2"/>
    </row>
    <row r="10071" spans="1:11" ht="12.45">
      <c r="A10071" s="2" t="str">
        <f ca="1">IFERROR(__xludf.DUMMYFUNCTION("""COMPUTED_VALUE"""),"106156891614")</f>
        <v>106156891614</v>
      </c>
      <c r="C10071" s="2" t="str">
        <v>0</v>
      </c>
      <c r="F10071" s="2" t="str">
        <v>0</v>
      </c>
      <c r="I10071" s="3" t="str">
        <f ca="1">IFERROR(__xludf.DUMMYFUNCTION("""COMPUTED_VALUE"""),"Lưu Minh Hậu ")</f>
        <v xml:space="preserve">Lưu Minh Hậu </v>
      </c>
      <c r="J10071" s="2" t="str">
        <f ca="1">IFERROR(__xludf.DUMMYFUNCTION("""COMPUTED_VALUE"""),"0385407503")</f>
        <v>0385407503</v>
      </c>
      <c r="K10071" s="2" t="str">
        <f ca="1">IFERROR(__xludf.DUMMYFUNCTION("""COMPUTED_VALUE"""),"106156891614")</f>
        <v>106156891614</v>
      </c>
    </row>
    <row r="10072" spans="1:11" ht="12.45">
      <c r="A10072" s="2" t="str">
        <f ca="1">IFERROR(__xludf.DUMMYFUNCTION("""COMPUTED_VALUE"""),"106156891830")</f>
        <v>106156891830</v>
      </c>
      <c r="C10072" s="2" t="str">
        <v>0</v>
      </c>
      <c r="F10072" s="2" t="str">
        <v>0</v>
      </c>
      <c r="I10072" s="3" t="str">
        <f ca="1">IFERROR(__xludf.DUMMYFUNCTION("""COMPUTED_VALUE"""),"Đinh Quốc Đạt ")</f>
        <v xml:space="preserve">Đinh Quốc Đạt </v>
      </c>
      <c r="J10072" s="2" t="str">
        <f ca="1">IFERROR(__xludf.DUMMYFUNCTION("""COMPUTED_VALUE"""),"0889045356")</f>
        <v>0889045356</v>
      </c>
      <c r="K10072" s="2" t="str">
        <f ca="1">IFERROR(__xludf.DUMMYFUNCTION("""COMPUTED_VALUE"""),"106156891830")</f>
        <v>106156891830</v>
      </c>
    </row>
    <row r="10073" spans="1:11" ht="12.45">
      <c r="A10073" s="2" t="str">
        <f ca="1">IFERROR(__xludf.DUMMYFUNCTION("""COMPUTED_VALUE"""),"106156892198")</f>
        <v>106156892198</v>
      </c>
      <c r="C10073" s="2" t="str">
        <v>0</v>
      </c>
      <c r="F10073" s="2" t="str">
        <v>0</v>
      </c>
      <c r="I10073" s="3" t="str">
        <f ca="1">IFERROR(__xludf.DUMMYFUNCTION("""COMPUTED_VALUE"""),"Nguyễn Minh Anh")</f>
        <v>Nguyễn Minh Anh</v>
      </c>
      <c r="J10073" s="2" t="str">
        <f ca="1">IFERROR(__xludf.DUMMYFUNCTION("""COMPUTED_VALUE"""),"0915926226")</f>
        <v>0915926226</v>
      </c>
      <c r="K10073" s="2" t="str">
        <f ca="1">IFERROR(__xludf.DUMMYFUNCTION("""COMPUTED_VALUE"""),"106156892198")</f>
        <v>106156892198</v>
      </c>
    </row>
    <row r="10074" spans="1:11" ht="12.45">
      <c r="A10074" s="2" t="str">
        <f ca="1">IFERROR(__xludf.DUMMYFUNCTION("""COMPUTED_VALUE"""),"106156892212")</f>
        <v>106156892212</v>
      </c>
      <c r="C10074" s="2" t="str">
        <v>0</v>
      </c>
      <c r="F10074" s="2" t="str">
        <v>0</v>
      </c>
      <c r="I10074" s="3" t="str">
        <f ca="1">IFERROR(__xludf.DUMMYFUNCTION("""COMPUTED_VALUE"""),"Lê Thị Phượng")</f>
        <v>Lê Thị Phượng</v>
      </c>
      <c r="J10074" s="2" t="str">
        <f ca="1">IFERROR(__xludf.DUMMYFUNCTION("""COMPUTED_VALUE"""),"0862132403")</f>
        <v>0862132403</v>
      </c>
      <c r="K10074" s="2" t="str">
        <f ca="1">IFERROR(__xludf.DUMMYFUNCTION("""COMPUTED_VALUE"""),"106156892212")</f>
        <v>106156892212</v>
      </c>
    </row>
    <row r="10075" spans="1:11" ht="12.45">
      <c r="A10075" s="2" t="str">
        <f ca="1">IFERROR(__xludf.DUMMYFUNCTION("""COMPUTED_VALUE"""),"106156892396")</f>
        <v>106156892396</v>
      </c>
      <c r="C10075" s="2" t="str">
        <v>0</v>
      </c>
      <c r="F10075" s="2" t="str">
        <v>0</v>
      </c>
      <c r="I10075" s="3" t="str">
        <f ca="1">IFERROR(__xludf.DUMMYFUNCTION("""COMPUTED_VALUE"""),"Nguyễn Ngọc Bích Trâm ")</f>
        <v xml:space="preserve">Nguyễn Ngọc Bích Trâm </v>
      </c>
      <c r="J10075" s="2" t="str">
        <f ca="1">IFERROR(__xludf.DUMMYFUNCTION("""COMPUTED_VALUE"""),"0888646274")</f>
        <v>0888646274</v>
      </c>
      <c r="K10075" s="2" t="str">
        <f ca="1">IFERROR(__xludf.DUMMYFUNCTION("""COMPUTED_VALUE"""),"106156892396")</f>
        <v>106156892396</v>
      </c>
    </row>
    <row r="10076" spans="1:11" ht="12.45">
      <c r="A10076" s="2" t="str">
        <f ca="1">IFERROR(__xludf.DUMMYFUNCTION("""COMPUTED_VALUE"""),"106156892463")</f>
        <v>106156892463</v>
      </c>
      <c r="C10076" s="2" t="str">
        <v>0</v>
      </c>
      <c r="F10076" s="2" t="str">
        <v>0</v>
      </c>
      <c r="I10076" s="3" t="str">
        <f ca="1">IFERROR(__xludf.DUMMYFUNCTION("""COMPUTED_VALUE"""),"Bùi Thu Phương ")</f>
        <v xml:space="preserve">Bùi Thu Phương </v>
      </c>
      <c r="J10076" s="2" t="str">
        <f ca="1">IFERROR(__xludf.DUMMYFUNCTION("""COMPUTED_VALUE"""),"0842833066")</f>
        <v>0842833066</v>
      </c>
      <c r="K10076" s="2" t="str">
        <f ca="1">IFERROR(__xludf.DUMMYFUNCTION("""COMPUTED_VALUE"""),"106156892463")</f>
        <v>106156892463</v>
      </c>
    </row>
    <row r="10077" spans="1:11" ht="12.45">
      <c r="A10077" s="2" t="str">
        <f ca="1">IFERROR(__xludf.DUMMYFUNCTION("""COMPUTED_VALUE"""),"106156892642")</f>
        <v>106156892642</v>
      </c>
      <c r="C10077" s="2" t="str">
        <v>0</v>
      </c>
      <c r="F10077" s="2" t="str">
        <v>0</v>
      </c>
      <c r="I10077" s="3" t="str">
        <f ca="1">IFERROR(__xludf.DUMMYFUNCTION("""COMPUTED_VALUE"""),"Lê Thị Linh Chi")</f>
        <v>Lê Thị Linh Chi</v>
      </c>
      <c r="J10077" s="2" t="str">
        <f ca="1">IFERROR(__xludf.DUMMYFUNCTION("""COMPUTED_VALUE"""),"0358894206")</f>
        <v>0358894206</v>
      </c>
      <c r="K10077" s="2" t="str">
        <f ca="1">IFERROR(__xludf.DUMMYFUNCTION("""COMPUTED_VALUE"""),"106156892642")</f>
        <v>106156892642</v>
      </c>
    </row>
    <row r="10078" spans="1:11" ht="12.45">
      <c r="A10078" s="2" t="str">
        <f ca="1">IFERROR(__xludf.DUMMYFUNCTION("""COMPUTED_VALUE"""),"106156892714")</f>
        <v>106156892714</v>
      </c>
      <c r="C10078" s="2" t="str">
        <v>0</v>
      </c>
      <c r="F10078" s="2" t="str">
        <v>0</v>
      </c>
      <c r="I10078" s="3" t="str">
        <f ca="1">IFERROR(__xludf.DUMMYFUNCTION("""COMPUTED_VALUE"""),"Trương Nguyễn Quỳnh Trân")</f>
        <v>Trương Nguyễn Quỳnh Trân</v>
      </c>
      <c r="J10078" s="2" t="str">
        <f ca="1">IFERROR(__xludf.DUMMYFUNCTION("""COMPUTED_VALUE"""),"0387037121")</f>
        <v>0387037121</v>
      </c>
      <c r="K10078" s="2" t="str">
        <f ca="1">IFERROR(__xludf.DUMMYFUNCTION("""COMPUTED_VALUE"""),"106156892714")</f>
        <v>106156892714</v>
      </c>
    </row>
    <row r="10079" spans="1:11" ht="12.45">
      <c r="A10079" s="2" t="str">
        <f ca="1">IFERROR(__xludf.DUMMYFUNCTION("""COMPUTED_VALUE"""),"106156893034")</f>
        <v>106156893034</v>
      </c>
      <c r="C10079" s="2" t="str">
        <v>0</v>
      </c>
      <c r="F10079" s="2" t="str">
        <v>0</v>
      </c>
      <c r="I10079" s="3" t="str">
        <f ca="1">IFERROR(__xludf.DUMMYFUNCTION("""COMPUTED_VALUE"""),"Đào Dương")</f>
        <v>Đào Dương</v>
      </c>
      <c r="J10079" s="2" t="str">
        <f ca="1">IFERROR(__xludf.DUMMYFUNCTION("""COMPUTED_VALUE"""),"0976431773")</f>
        <v>0976431773</v>
      </c>
      <c r="K10079" s="2" t="str">
        <f ca="1">IFERROR(__xludf.DUMMYFUNCTION("""COMPUTED_VALUE"""),"106156893034")</f>
        <v>106156893034</v>
      </c>
    </row>
    <row r="10080" spans="1:11" ht="12.45">
      <c r="A10080" s="2" t="str">
        <f ca="1">IFERROR(__xludf.DUMMYFUNCTION("""COMPUTED_VALUE"""),"106156893134")</f>
        <v>106156893134</v>
      </c>
      <c r="C10080" s="2" t="str">
        <v>0</v>
      </c>
      <c r="F10080" s="2" t="str">
        <v>0</v>
      </c>
      <c r="I10080" s="3" t="str">
        <f ca="1">IFERROR(__xludf.DUMMYFUNCTION("""COMPUTED_VALUE"""),"Văn Nguyễn Hà My")</f>
        <v>Văn Nguyễn Hà My</v>
      </c>
      <c r="J10080" s="2" t="str">
        <f ca="1">IFERROR(__xludf.DUMMYFUNCTION("""COMPUTED_VALUE"""),"0937025292")</f>
        <v>0937025292</v>
      </c>
      <c r="K10080" s="2" t="str">
        <f ca="1">IFERROR(__xludf.DUMMYFUNCTION("""COMPUTED_VALUE"""),"106156893134")</f>
        <v>106156893134</v>
      </c>
    </row>
    <row r="10081" spans="1:11" ht="12.45">
      <c r="A10081" s="2" t="str">
        <f ca="1">IFERROR(__xludf.DUMMYFUNCTION("""COMPUTED_VALUE"""),"106156893213")</f>
        <v>106156893213</v>
      </c>
      <c r="C10081" s="2" t="str">
        <v>0</v>
      </c>
      <c r="F10081" s="2" t="str">
        <v>0</v>
      </c>
      <c r="I10081" s="3" t="str">
        <f ca="1">IFERROR(__xludf.DUMMYFUNCTION("""COMPUTED_VALUE"""),"Bùi khánh lương")</f>
        <v>Bùi khánh lương</v>
      </c>
      <c r="J10081" s="2" t="str">
        <f ca="1">IFERROR(__xludf.DUMMYFUNCTION("""COMPUTED_VALUE"""),"0826219730")</f>
        <v>0826219730</v>
      </c>
      <c r="K10081" s="2" t="str">
        <f ca="1">IFERROR(__xludf.DUMMYFUNCTION("""COMPUTED_VALUE"""),"106156893213")</f>
        <v>106156893213</v>
      </c>
    </row>
    <row r="10082" spans="1:11" ht="12.45">
      <c r="A10082" s="2" t="str">
        <f ca="1">IFERROR(__xludf.DUMMYFUNCTION("""COMPUTED_VALUE"""),"106156893348")</f>
        <v>106156893348</v>
      </c>
      <c r="C10082" s="2" t="str">
        <v>0</v>
      </c>
      <c r="F10082" s="2" t="str">
        <v>0</v>
      </c>
      <c r="I10082" s="3" t="str">
        <f ca="1">IFERROR(__xludf.DUMMYFUNCTION("""COMPUTED_VALUE"""),"Lê Phạm Bảo Mai")</f>
        <v>Lê Phạm Bảo Mai</v>
      </c>
      <c r="J10082" s="2" t="str">
        <f ca="1">IFERROR(__xludf.DUMMYFUNCTION("""COMPUTED_VALUE"""),"0966245574")</f>
        <v>0966245574</v>
      </c>
      <c r="K10082" s="2" t="str">
        <f ca="1">IFERROR(__xludf.DUMMYFUNCTION("""COMPUTED_VALUE"""),"106156893348")</f>
        <v>106156893348</v>
      </c>
    </row>
    <row r="10083" spans="1:11" ht="12.45">
      <c r="A10083" s="2" t="str">
        <f ca="1">IFERROR(__xludf.DUMMYFUNCTION("""COMPUTED_VALUE"""),"106156893427")</f>
        <v>106156893427</v>
      </c>
      <c r="C10083" s="2" t="str">
        <v>0</v>
      </c>
      <c r="F10083" s="2" t="str">
        <v>0</v>
      </c>
      <c r="I10083" s="3" t="str">
        <f ca="1">IFERROR(__xludf.DUMMYFUNCTION("""COMPUTED_VALUE"""),"Vũ Hương Ly")</f>
        <v>Vũ Hương Ly</v>
      </c>
      <c r="J10083" s="2" t="str">
        <f ca="1">IFERROR(__xludf.DUMMYFUNCTION("""COMPUTED_VALUE"""),"0363631107")</f>
        <v>0363631107</v>
      </c>
      <c r="K10083" s="2" t="str">
        <f ca="1">IFERROR(__xludf.DUMMYFUNCTION("""COMPUTED_VALUE"""),"106156893427")</f>
        <v>106156893427</v>
      </c>
    </row>
    <row r="10084" spans="1:11" ht="12.45">
      <c r="A10084" s="2" t="str">
        <f ca="1">IFERROR(__xludf.DUMMYFUNCTION("""COMPUTED_VALUE"""),"106156893549")</f>
        <v>106156893549</v>
      </c>
      <c r="C10084" s="2" t="str">
        <v>0</v>
      </c>
      <c r="F10084" s="2" t="str">
        <v>0</v>
      </c>
      <c r="I10084" s="3" t="str">
        <f ca="1">IFERROR(__xludf.DUMMYFUNCTION("""COMPUTED_VALUE"""),"Trần Anh Thư ")</f>
        <v xml:space="preserve">Trần Anh Thư </v>
      </c>
      <c r="J10084" s="2" t="str">
        <f ca="1">IFERROR(__xludf.DUMMYFUNCTION("""COMPUTED_VALUE"""),"0913102052")</f>
        <v>0913102052</v>
      </c>
      <c r="K10084" s="2" t="str">
        <f ca="1">IFERROR(__xludf.DUMMYFUNCTION("""COMPUTED_VALUE"""),"106156893549")</f>
        <v>106156893549</v>
      </c>
    </row>
    <row r="10085" spans="1:11" ht="12.45">
      <c r="A10085" s="2" t="str">
        <f ca="1">IFERROR(__xludf.DUMMYFUNCTION("""COMPUTED_VALUE"""),"106156893752")</f>
        <v>106156893752</v>
      </c>
      <c r="C10085" s="2" t="str">
        <v>0</v>
      </c>
      <c r="F10085" s="2" t="str">
        <v>0</v>
      </c>
      <c r="I10085" s="3" t="str">
        <f ca="1">IFERROR(__xludf.DUMMYFUNCTION("""COMPUTED_VALUE"""),"Mai Hoàng Anh Thư ")</f>
        <v xml:space="preserve">Mai Hoàng Anh Thư </v>
      </c>
      <c r="J10085" s="2" t="str">
        <f ca="1">IFERROR(__xludf.DUMMYFUNCTION("""COMPUTED_VALUE"""),"0853736081")</f>
        <v>0853736081</v>
      </c>
      <c r="K10085" s="2" t="str">
        <f ca="1">IFERROR(__xludf.DUMMYFUNCTION("""COMPUTED_VALUE"""),"106156893752")</f>
        <v>106156893752</v>
      </c>
    </row>
    <row r="10086" spans="1:11" ht="12.45">
      <c r="A10086" s="2" t="str">
        <f ca="1">IFERROR(__xludf.DUMMYFUNCTION("""COMPUTED_VALUE"""),"106156893849")</f>
        <v>106156893849</v>
      </c>
      <c r="C10086" s="2" t="str">
        <v>0</v>
      </c>
      <c r="F10086" s="2" t="str">
        <v>0</v>
      </c>
      <c r="I10086" s="3" t="str">
        <f ca="1">IFERROR(__xludf.DUMMYFUNCTION("""COMPUTED_VALUE"""),"Đàm Thị Cúc")</f>
        <v>Đàm Thị Cúc</v>
      </c>
      <c r="J10086" s="2" t="str">
        <f ca="1">IFERROR(__xludf.DUMMYFUNCTION("""COMPUTED_VALUE"""),"0854342118")</f>
        <v>0854342118</v>
      </c>
      <c r="K10086" s="2" t="str">
        <f ca="1">IFERROR(__xludf.DUMMYFUNCTION("""COMPUTED_VALUE"""),"106156893849")</f>
        <v>106156893849</v>
      </c>
    </row>
    <row r="10087" spans="1:11" ht="12.45">
      <c r="A10087" s="2" t="str">
        <f ca="1">IFERROR(__xludf.DUMMYFUNCTION("""COMPUTED_VALUE"""),"106156894145")</f>
        <v>106156894145</v>
      </c>
      <c r="C10087" s="2" t="str">
        <v>0</v>
      </c>
      <c r="F10087" s="2" t="str">
        <v>0</v>
      </c>
      <c r="I10087" s="3" t="str">
        <f ca="1">IFERROR(__xludf.DUMMYFUNCTION("""COMPUTED_VALUE"""),"Phan Minh Ngọc")</f>
        <v>Phan Minh Ngọc</v>
      </c>
      <c r="J10087" s="2" t="str">
        <f ca="1">IFERROR(__xludf.DUMMYFUNCTION("""COMPUTED_VALUE"""),"0392514207")</f>
        <v>0392514207</v>
      </c>
      <c r="K10087" s="2" t="str">
        <f ca="1">IFERROR(__xludf.DUMMYFUNCTION("""COMPUTED_VALUE"""),"106156894145")</f>
        <v>106156894145</v>
      </c>
    </row>
    <row r="10088" spans="1:11" ht="12.45">
      <c r="A10088" s="2" t="str">
        <f ca="1">IFERROR(__xludf.DUMMYFUNCTION("""COMPUTED_VALUE"""),"106156894288")</f>
        <v>106156894288</v>
      </c>
      <c r="C10088" s="2" t="str">
        <v>0</v>
      </c>
      <c r="F10088" s="2" t="str">
        <v>0</v>
      </c>
      <c r="I10088" s="3" t="str">
        <f ca="1">IFERROR(__xludf.DUMMYFUNCTION("""COMPUTED_VALUE"""),"Thò Mí Chả ")</f>
        <v xml:space="preserve">Thò Mí Chả </v>
      </c>
      <c r="J10088" s="2" t="str">
        <f ca="1">IFERROR(__xludf.DUMMYFUNCTION("""COMPUTED_VALUE"""),"0329101631")</f>
        <v>0329101631</v>
      </c>
      <c r="K10088" s="2" t="str">
        <f ca="1">IFERROR(__xludf.DUMMYFUNCTION("""COMPUTED_VALUE"""),"106156894288")</f>
        <v>106156894288</v>
      </c>
    </row>
    <row r="10089" spans="1:11" ht="12.45">
      <c r="A10089" s="2" t="str">
        <f ca="1">IFERROR(__xludf.DUMMYFUNCTION("""COMPUTED_VALUE"""),"106156894372")</f>
        <v>106156894372</v>
      </c>
      <c r="C10089" s="2" t="str">
        <v>0</v>
      </c>
      <c r="F10089" s="2" t="str">
        <v>0</v>
      </c>
      <c r="I10089" s="3" t="str">
        <f ca="1">IFERROR(__xludf.DUMMYFUNCTION("""COMPUTED_VALUE"""),"Nguyễn Thị Minh Tâm ")</f>
        <v xml:space="preserve">Nguyễn Thị Minh Tâm </v>
      </c>
      <c r="J10089" s="2" t="str">
        <f ca="1">IFERROR(__xludf.DUMMYFUNCTION("""COMPUTED_VALUE"""),"0346003599")</f>
        <v>0346003599</v>
      </c>
      <c r="K10089" s="2" t="str">
        <f ca="1">IFERROR(__xludf.DUMMYFUNCTION("""COMPUTED_VALUE"""),"106156894372")</f>
        <v>106156894372</v>
      </c>
    </row>
    <row r="10090" spans="1:11" ht="12.45">
      <c r="A10090" s="2" t="str">
        <f ca="1">IFERROR(__xludf.DUMMYFUNCTION("""COMPUTED_VALUE"""),"106156894426")</f>
        <v>106156894426</v>
      </c>
      <c r="C10090" s="2" t="str">
        <v>0</v>
      </c>
      <c r="F10090" s="2" t="str">
        <v>0</v>
      </c>
      <c r="I10090" s="3" t="str">
        <f ca="1">IFERROR(__xludf.DUMMYFUNCTION("""COMPUTED_VALUE"""),"ÀNgải Thị Hồng Nhung ")</f>
        <v xml:space="preserve">ÀNgải Thị Hồng Nhung </v>
      </c>
      <c r="J10090" s="2" t="str">
        <f ca="1">IFERROR(__xludf.DUMMYFUNCTION("""COMPUTED_VALUE"""),"0363970105")</f>
        <v>0363970105</v>
      </c>
      <c r="K10090" s="2" t="str">
        <f ca="1">IFERROR(__xludf.DUMMYFUNCTION("""COMPUTED_VALUE"""),"106156894426")</f>
        <v>106156894426</v>
      </c>
    </row>
    <row r="10091" spans="1:11" ht="12.45">
      <c r="A10091" s="2" t="str">
        <f ca="1">IFERROR(__xludf.DUMMYFUNCTION("""COMPUTED_VALUE"""),"106156894614")</f>
        <v>106156894614</v>
      </c>
      <c r="C10091" s="2" t="str">
        <v>0</v>
      </c>
      <c r="F10091" s="2" t="str">
        <v>0</v>
      </c>
      <c r="I10091" s="3" t="str">
        <f ca="1">IFERROR(__xludf.DUMMYFUNCTION("""COMPUTED_VALUE"""),"Nguyễn Minh Anh")</f>
        <v>Nguyễn Minh Anh</v>
      </c>
      <c r="J10091" s="2" t="str">
        <f ca="1">IFERROR(__xludf.DUMMYFUNCTION("""COMPUTED_VALUE"""),"8496274116")</f>
        <v>8496274116</v>
      </c>
      <c r="K10091" s="2" t="str">
        <f ca="1">IFERROR(__xludf.DUMMYFUNCTION("""COMPUTED_VALUE"""),"106156894614")</f>
        <v>106156894614</v>
      </c>
    </row>
    <row r="10092" spans="1:11" ht="12.45">
      <c r="A10092" s="2" t="str">
        <f ca="1">IFERROR(__xludf.DUMMYFUNCTION("""COMPUTED_VALUE"""),"106156894733")</f>
        <v>106156894733</v>
      </c>
      <c r="C10092" s="2" t="str">
        <v>0</v>
      </c>
      <c r="F10092" s="2" t="str">
        <v>0</v>
      </c>
      <c r="I10092" s="3" t="str">
        <f ca="1">IFERROR(__xludf.DUMMYFUNCTION("""COMPUTED_VALUE"""),"Phạm Gia Hưng")</f>
        <v>Phạm Gia Hưng</v>
      </c>
      <c r="J10092" s="2" t="str">
        <f ca="1">IFERROR(__xludf.DUMMYFUNCTION("""COMPUTED_VALUE"""),"0359239038")</f>
        <v>0359239038</v>
      </c>
      <c r="K10092" s="2" t="str">
        <f ca="1">IFERROR(__xludf.DUMMYFUNCTION("""COMPUTED_VALUE"""),"106156894733")</f>
        <v>106156894733</v>
      </c>
    </row>
    <row r="10093" spans="1:11" ht="12.45">
      <c r="A10093" s="2" t="str">
        <f ca="1">IFERROR(__xludf.DUMMYFUNCTION("""COMPUTED_VALUE"""),"106156894986")</f>
        <v>106156894986</v>
      </c>
      <c r="C10093" s="2" t="str">
        <v>0</v>
      </c>
      <c r="F10093" s="2" t="str">
        <v>0</v>
      </c>
      <c r="I10093" s="3" t="str">
        <f ca="1">IFERROR(__xludf.DUMMYFUNCTION("""COMPUTED_VALUE"""),"Trương Nhật Minh")</f>
        <v>Trương Nhật Minh</v>
      </c>
      <c r="J10093" s="2" t="str">
        <f ca="1">IFERROR(__xludf.DUMMYFUNCTION("""COMPUTED_VALUE"""),"0886231727")</f>
        <v>0886231727</v>
      </c>
      <c r="K10093" s="2" t="str">
        <f ca="1">IFERROR(__xludf.DUMMYFUNCTION("""COMPUTED_VALUE"""),"106156894986")</f>
        <v>106156894986</v>
      </c>
    </row>
    <row r="10094" spans="1:11" ht="12.45">
      <c r="A10094" s="2" t="str">
        <f ca="1">IFERROR(__xludf.DUMMYFUNCTION("""COMPUTED_VALUE"""),"106156895198")</f>
        <v>106156895198</v>
      </c>
      <c r="C10094" s="2" t="str">
        <v>0</v>
      </c>
      <c r="F10094" s="2" t="str">
        <v>0</v>
      </c>
      <c r="I10094" s="3" t="str">
        <f ca="1">IFERROR(__xludf.DUMMYFUNCTION("""COMPUTED_VALUE"""),"Nguyễn Hoàng Anh Thi")</f>
        <v>Nguyễn Hoàng Anh Thi</v>
      </c>
      <c r="J10094" s="2" t="str">
        <f ca="1">IFERROR(__xludf.DUMMYFUNCTION("""COMPUTED_VALUE"""),"0812057672")</f>
        <v>0812057672</v>
      </c>
      <c r="K10094" s="2" t="str">
        <f ca="1">IFERROR(__xludf.DUMMYFUNCTION("""COMPUTED_VALUE"""),"106156895198")</f>
        <v>106156895198</v>
      </c>
    </row>
    <row r="10095" spans="1:11" ht="12.45">
      <c r="A10095" s="2" t="str">
        <f ca="1">IFERROR(__xludf.DUMMYFUNCTION("""COMPUTED_VALUE"""),"106156895493")</f>
        <v>106156895493</v>
      </c>
      <c r="C10095" s="2" t="str">
        <v>0</v>
      </c>
      <c r="F10095" s="2" t="str">
        <v>0</v>
      </c>
      <c r="I10095" s="3" t="str">
        <f ca="1">IFERROR(__xludf.DUMMYFUNCTION("""COMPUTED_VALUE"""),"TRƯƠNG GIA HÂN")</f>
        <v>TRƯƠNG GIA HÂN</v>
      </c>
      <c r="J10095" s="2" t="str">
        <f ca="1">IFERROR(__xludf.DUMMYFUNCTION("""COMPUTED_VALUE"""),"0337015241")</f>
        <v>0337015241</v>
      </c>
      <c r="K10095" s="2" t="str">
        <f ca="1">IFERROR(__xludf.DUMMYFUNCTION("""COMPUTED_VALUE"""),"106156895493")</f>
        <v>106156895493</v>
      </c>
    </row>
    <row r="10096" spans="1:11" ht="12.45">
      <c r="A10096" s="2" t="str">
        <f ca="1">IFERROR(__xludf.DUMMYFUNCTION("""COMPUTED_VALUE"""),"106156895539")</f>
        <v>106156895539</v>
      </c>
      <c r="C10096" s="2" t="str">
        <v>0</v>
      </c>
      <c r="F10096" s="2" t="str">
        <v>0</v>
      </c>
      <c r="I10096" s="3" t="str">
        <f ca="1">IFERROR(__xludf.DUMMYFUNCTION("""COMPUTED_VALUE"""),"Trần Thị Mỹ Hạnh")</f>
        <v>Trần Thị Mỹ Hạnh</v>
      </c>
      <c r="J10096" s="2" t="str">
        <f ca="1">IFERROR(__xludf.DUMMYFUNCTION("""COMPUTED_VALUE"""),"0869816735")</f>
        <v>0869816735</v>
      </c>
      <c r="K10096" s="2" t="str">
        <f ca="1">IFERROR(__xludf.DUMMYFUNCTION("""COMPUTED_VALUE"""),"106156895539")</f>
        <v>106156895539</v>
      </c>
    </row>
    <row r="10097" spans="1:11" ht="12.45">
      <c r="A10097" s="2" t="str">
        <f ca="1">IFERROR(__xludf.DUMMYFUNCTION("""COMPUTED_VALUE"""),"106156895637")</f>
        <v>106156895637</v>
      </c>
      <c r="C10097" s="2" t="str">
        <v>0</v>
      </c>
      <c r="F10097" s="2" t="str">
        <v>0</v>
      </c>
      <c r="I10097" s="3" t="str">
        <f ca="1">IFERROR(__xludf.DUMMYFUNCTION("""COMPUTED_VALUE"""),"Huỳnh Nguyên Trà ")</f>
        <v xml:space="preserve">Huỳnh Nguyên Trà </v>
      </c>
      <c r="J10097" s="2" t="str">
        <f ca="1">IFERROR(__xludf.DUMMYFUNCTION("""COMPUTED_VALUE"""),"0787741081")</f>
        <v>0787741081</v>
      </c>
      <c r="K10097" s="2" t="str">
        <f ca="1">IFERROR(__xludf.DUMMYFUNCTION("""COMPUTED_VALUE"""),"106156895637")</f>
        <v>106156895637</v>
      </c>
    </row>
    <row r="10098" spans="1:11" ht="12.45">
      <c r="A10098" s="2" t="str">
        <f ca="1">IFERROR(__xludf.DUMMYFUNCTION("""COMPUTED_VALUE"""),"106156895821")</f>
        <v>106156895821</v>
      </c>
      <c r="C10098" s="2" t="str">
        <v>0</v>
      </c>
      <c r="F10098" s="2" t="str">
        <v>0</v>
      </c>
      <c r="I10098" s="3" t="str">
        <f ca="1">IFERROR(__xludf.DUMMYFUNCTION("""COMPUTED_VALUE"""),"Đặng Thị Huỳnh Như")</f>
        <v>Đặng Thị Huỳnh Như</v>
      </c>
      <c r="J10098" s="2" t="str">
        <f ca="1">IFERROR(__xludf.DUMMYFUNCTION("""COMPUTED_VALUE"""),"0813619924")</f>
        <v>0813619924</v>
      </c>
      <c r="K10098" s="2" t="str">
        <f ca="1">IFERROR(__xludf.DUMMYFUNCTION("""COMPUTED_VALUE"""),"106156895821")</f>
        <v>106156895821</v>
      </c>
    </row>
    <row r="10099" spans="1:11" ht="12.45">
      <c r="A10099" s="2" t="str">
        <f ca="1">IFERROR(__xludf.DUMMYFUNCTION("""COMPUTED_VALUE"""),"106156895917")</f>
        <v>106156895917</v>
      </c>
      <c r="C10099" s="2" t="str">
        <v>0</v>
      </c>
      <c r="F10099" s="2" t="str">
        <v>0</v>
      </c>
      <c r="I10099" s="3" t="str">
        <f ca="1">IFERROR(__xludf.DUMMYFUNCTION("""COMPUTED_VALUE"""),"Phạm Thị Ngọc Huyền ")</f>
        <v xml:space="preserve">Phạm Thị Ngọc Huyền </v>
      </c>
      <c r="J10099" s="2" t="str">
        <f ca="1">IFERROR(__xludf.DUMMYFUNCTION("""COMPUTED_VALUE"""),"0966848621")</f>
        <v>0966848621</v>
      </c>
      <c r="K10099" s="2" t="str">
        <f ca="1">IFERROR(__xludf.DUMMYFUNCTION("""COMPUTED_VALUE"""),"106156895917")</f>
        <v>106156895917</v>
      </c>
    </row>
    <row r="10100" spans="1:11" ht="12.45">
      <c r="A10100" s="2" t="str">
        <f ca="1">IFERROR(__xludf.DUMMYFUNCTION("""COMPUTED_VALUE"""),"106156896036")</f>
        <v>106156896036</v>
      </c>
      <c r="C10100" s="2" t="str">
        <v>0</v>
      </c>
      <c r="F10100" s="2" t="str">
        <v>0</v>
      </c>
      <c r="I10100" s="3" t="str">
        <f ca="1">IFERROR(__xludf.DUMMYFUNCTION("""COMPUTED_VALUE"""),"Thi Phạm Ngọc Thạch ")</f>
        <v xml:space="preserve">Thi Phạm Ngọc Thạch </v>
      </c>
      <c r="J10100" s="2" t="str">
        <f ca="1">IFERROR(__xludf.DUMMYFUNCTION("""COMPUTED_VALUE"""),"0334877143")</f>
        <v>0334877143</v>
      </c>
      <c r="K10100" s="2" t="str">
        <f ca="1">IFERROR(__xludf.DUMMYFUNCTION("""COMPUTED_VALUE"""),"106156896036")</f>
        <v>106156896036</v>
      </c>
    </row>
    <row r="10101" spans="1:11" ht="12.45">
      <c r="A10101" s="2" t="str">
        <f ca="1">IFERROR(__xludf.DUMMYFUNCTION("""COMPUTED_VALUE"""),"106156896133")</f>
        <v>106156896133</v>
      </c>
      <c r="C10101" s="2" t="str">
        <v>0</v>
      </c>
      <c r="F10101" s="2" t="str">
        <v>0</v>
      </c>
      <c r="I10101" s="3" t="str">
        <f ca="1">IFERROR(__xludf.DUMMYFUNCTION("""COMPUTED_VALUE"""),"Đỗ Phương Uyên")</f>
        <v>Đỗ Phương Uyên</v>
      </c>
      <c r="J10101" s="2" t="str">
        <f ca="1">IFERROR(__xludf.DUMMYFUNCTION("""COMPUTED_VALUE"""),"0967233019")</f>
        <v>0967233019</v>
      </c>
      <c r="K10101" s="2" t="str">
        <f ca="1">IFERROR(__xludf.DUMMYFUNCTION("""COMPUTED_VALUE"""),"106156896133")</f>
        <v>106156896133</v>
      </c>
    </row>
    <row r="10102" spans="1:11" ht="12.45">
      <c r="A10102" s="2" t="str">
        <f ca="1">IFERROR(__xludf.DUMMYFUNCTION("""COMPUTED_VALUE"""),"106156896331")</f>
        <v>106156896331</v>
      </c>
      <c r="C10102" s="2" t="str">
        <v>0</v>
      </c>
      <c r="F10102" s="2" t="str">
        <v>0</v>
      </c>
      <c r="I10102" s="3" t="str">
        <f ca="1">IFERROR(__xludf.DUMMYFUNCTION("""COMPUTED_VALUE"""),"Nguyễn Thanh Phúc")</f>
        <v>Nguyễn Thanh Phúc</v>
      </c>
      <c r="J10102" s="2" t="str">
        <f ca="1">IFERROR(__xludf.DUMMYFUNCTION("""COMPUTED_VALUE"""),"0368409272")</f>
        <v>0368409272</v>
      </c>
      <c r="K10102" s="2" t="str">
        <f ca="1">IFERROR(__xludf.DUMMYFUNCTION("""COMPUTED_VALUE"""),"106156896331")</f>
        <v>106156896331</v>
      </c>
    </row>
    <row r="10103" spans="1:11" ht="12.45">
      <c r="A10103" s="2" t="str">
        <f ca="1">IFERROR(__xludf.DUMMYFUNCTION("""COMPUTED_VALUE"""),"106156896624")</f>
        <v>106156896624</v>
      </c>
      <c r="C10103" s="2" t="str">
        <v>0</v>
      </c>
      <c r="F10103" s="2" t="str">
        <v>0</v>
      </c>
      <c r="I10103" s="3" t="str">
        <f ca="1">IFERROR(__xludf.DUMMYFUNCTION("""COMPUTED_VALUE"""),"Bùi Thị Ngọc Hoa ")</f>
        <v xml:space="preserve">Bùi Thị Ngọc Hoa </v>
      </c>
      <c r="J10103" s="2" t="str">
        <f ca="1">IFERROR(__xludf.DUMMYFUNCTION("""COMPUTED_VALUE"""),"0353405257")</f>
        <v>0353405257</v>
      </c>
      <c r="K10103" s="2" t="str">
        <f ca="1">IFERROR(__xludf.DUMMYFUNCTION("""COMPUTED_VALUE"""),"106156896624")</f>
        <v>106156896624</v>
      </c>
    </row>
    <row r="10104" spans="1:11" ht="12.45">
      <c r="A10104" s="2" t="str">
        <f ca="1">IFERROR(__xludf.DUMMYFUNCTION("""COMPUTED_VALUE"""),"106156896716")</f>
        <v>106156896716</v>
      </c>
      <c r="C10104" s="2" t="str">
        <v>0</v>
      </c>
      <c r="F10104" s="2" t="str">
        <v>0</v>
      </c>
      <c r="I10104" s="3" t="str">
        <f ca="1">IFERROR(__xludf.DUMMYFUNCTION("""COMPUTED_VALUE"""),"Trần Hồng Lâm")</f>
        <v>Trần Hồng Lâm</v>
      </c>
      <c r="J10104" s="2" t="str">
        <f ca="1">IFERROR(__xludf.DUMMYFUNCTION("""COMPUTED_VALUE"""),"0342962004")</f>
        <v>0342962004</v>
      </c>
      <c r="K10104" s="2" t="str">
        <f ca="1">IFERROR(__xludf.DUMMYFUNCTION("""COMPUTED_VALUE"""),"106156896716")</f>
        <v>106156896716</v>
      </c>
    </row>
    <row r="10105" spans="1:11" ht="12.45">
      <c r="A10105" s="2" t="str">
        <f ca="1">IFERROR(__xludf.DUMMYFUNCTION("""COMPUTED_VALUE"""),"106156896869")</f>
        <v>106156896869</v>
      </c>
      <c r="C10105" s="2" t="str">
        <v>0</v>
      </c>
      <c r="F10105" s="2" t="str">
        <v>0</v>
      </c>
      <c r="I10105" s="3" t="str">
        <f ca="1">IFERROR(__xludf.DUMMYFUNCTION("""COMPUTED_VALUE"""),"Vương Hiền Thanh")</f>
        <v>Vương Hiền Thanh</v>
      </c>
      <c r="J10105" s="2" t="str">
        <f ca="1">IFERROR(__xludf.DUMMYFUNCTION("""COMPUTED_VALUE"""),"0832000276")</f>
        <v>0832000276</v>
      </c>
      <c r="K10105" s="2" t="str">
        <f ca="1">IFERROR(__xludf.DUMMYFUNCTION("""COMPUTED_VALUE"""),"106156896869")</f>
        <v>106156896869</v>
      </c>
    </row>
    <row r="10106" spans="1:11" ht="12.45">
      <c r="A10106" s="2" t="str">
        <f ca="1">IFERROR(__xludf.DUMMYFUNCTION("""COMPUTED_VALUE"""),"106156897024")</f>
        <v>106156897024</v>
      </c>
      <c r="C10106" s="2" t="str">
        <v>0</v>
      </c>
      <c r="F10106" s="2" t="str">
        <v>0</v>
      </c>
      <c r="I10106" s="3" t="str">
        <f ca="1">IFERROR(__xludf.DUMMYFUNCTION("""COMPUTED_VALUE"""),"Nguyễn Thị Quỳnh Hương ")</f>
        <v xml:space="preserve">Nguyễn Thị Quỳnh Hương </v>
      </c>
      <c r="J10106" s="2" t="str">
        <f ca="1">IFERROR(__xludf.DUMMYFUNCTION("""COMPUTED_VALUE"""),"0961737820")</f>
        <v>0961737820</v>
      </c>
      <c r="K10106" s="2" t="str">
        <f ca="1">IFERROR(__xludf.DUMMYFUNCTION("""COMPUTED_VALUE"""),"106156897024")</f>
        <v>106156897024</v>
      </c>
    </row>
    <row r="10107" spans="1:11" ht="12.45">
      <c r="A10107" s="2" t="str">
        <f ca="1">IFERROR(__xludf.DUMMYFUNCTION("""COMPUTED_VALUE"""),"106156897153")</f>
        <v>106156897153</v>
      </c>
      <c r="C10107" s="2" t="str">
        <v>0</v>
      </c>
      <c r="F10107" s="2" t="str">
        <v>0</v>
      </c>
      <c r="I10107" s="3" t="str">
        <f ca="1">IFERROR(__xludf.DUMMYFUNCTION("""COMPUTED_VALUE"""),"Hoàng Nhật Anh")</f>
        <v>Hoàng Nhật Anh</v>
      </c>
      <c r="J10107" s="2" t="str">
        <f ca="1">IFERROR(__xludf.DUMMYFUNCTION("""COMPUTED_VALUE"""),"0393679123")</f>
        <v>0393679123</v>
      </c>
      <c r="K10107" s="2" t="str">
        <f ca="1">IFERROR(__xludf.DUMMYFUNCTION("""COMPUTED_VALUE"""),"106156897153")</f>
        <v>106156897153</v>
      </c>
    </row>
    <row r="10108" spans="1:11" ht="12.45">
      <c r="A10108" s="2" t="str">
        <f ca="1">IFERROR(__xludf.DUMMYFUNCTION("""COMPUTED_VALUE"""),"106156897238")</f>
        <v>106156897238</v>
      </c>
      <c r="C10108" s="2" t="str">
        <v>0</v>
      </c>
      <c r="F10108" s="2" t="str">
        <v>0</v>
      </c>
      <c r="I10108" s="3" t="str">
        <f ca="1">IFERROR(__xludf.DUMMYFUNCTION("""COMPUTED_VALUE"""),"VÀNG A NU")</f>
        <v>VÀNG A NU</v>
      </c>
      <c r="J10108" s="2" t="str">
        <f ca="1">IFERROR(__xludf.DUMMYFUNCTION("""COMPUTED_VALUE"""),"0912696817")</f>
        <v>0912696817</v>
      </c>
      <c r="K10108" s="2" t="str">
        <f ca="1">IFERROR(__xludf.DUMMYFUNCTION("""COMPUTED_VALUE"""),"106156897238")</f>
        <v>106156897238</v>
      </c>
    </row>
    <row r="10109" spans="1:11" ht="12.45">
      <c r="A10109" s="2" t="str">
        <f ca="1">IFERROR(__xludf.DUMMYFUNCTION("""COMPUTED_VALUE"""),"106156897730")</f>
        <v>106156897730</v>
      </c>
      <c r="C10109" s="2" t="str">
        <v>0</v>
      </c>
      <c r="F10109" s="2" t="str">
        <v>0</v>
      </c>
      <c r="I10109" s="3" t="str">
        <f ca="1">IFERROR(__xludf.DUMMYFUNCTION("""COMPUTED_VALUE"""),"Nguyễn Trọng Quân")</f>
        <v>Nguyễn Trọng Quân</v>
      </c>
      <c r="J10109" s="2" t="str">
        <f ca="1">IFERROR(__xludf.DUMMYFUNCTION("""COMPUTED_VALUE"""),"0869627048")</f>
        <v>0869627048</v>
      </c>
      <c r="K10109" s="2" t="str">
        <f ca="1">IFERROR(__xludf.DUMMYFUNCTION("""COMPUTED_VALUE"""),"106156897730")</f>
        <v>106156897730</v>
      </c>
    </row>
    <row r="10110" spans="1:11" ht="12.45">
      <c r="A10110" s="2" t="str">
        <f ca="1">IFERROR(__xludf.DUMMYFUNCTION("""COMPUTED_VALUE"""),"106156897883")</f>
        <v>106156897883</v>
      </c>
      <c r="C10110" s="2" t="str">
        <v>0</v>
      </c>
      <c r="F10110" s="2" t="str">
        <v>0</v>
      </c>
      <c r="I10110" s="3" t="str">
        <f ca="1">IFERROR(__xludf.DUMMYFUNCTION("""COMPUTED_VALUE"""),"Bùi Tuyết Mai")</f>
        <v>Bùi Tuyết Mai</v>
      </c>
      <c r="J10110" s="2" t="str">
        <f ca="1">IFERROR(__xludf.DUMMYFUNCTION("""COMPUTED_VALUE"""),"0398299066")</f>
        <v>0398299066</v>
      </c>
      <c r="K10110" s="2" t="str">
        <f ca="1">IFERROR(__xludf.DUMMYFUNCTION("""COMPUTED_VALUE"""),"106156897883")</f>
        <v>106156897883</v>
      </c>
    </row>
    <row r="10111" spans="1:11" ht="12.45">
      <c r="A10111" s="2" t="str">
        <f ca="1">IFERROR(__xludf.DUMMYFUNCTION("""COMPUTED_VALUE"""),"106156898144")</f>
        <v>106156898144</v>
      </c>
      <c r="C10111" s="2" t="str">
        <v>0</v>
      </c>
      <c r="F10111" s="2" t="str">
        <v>0</v>
      </c>
      <c r="I10111" s="3" t="str">
        <f ca="1">IFERROR(__xludf.DUMMYFUNCTION("""COMPUTED_VALUE"""),"Nguyễn Thị Thiên Trâm")</f>
        <v>Nguyễn Thị Thiên Trâm</v>
      </c>
      <c r="J10111" s="2" t="str">
        <f ca="1">IFERROR(__xludf.DUMMYFUNCTION("""COMPUTED_VALUE"""),"0342804448")</f>
        <v>0342804448</v>
      </c>
      <c r="K10111" s="2" t="str">
        <f ca="1">IFERROR(__xludf.DUMMYFUNCTION("""COMPUTED_VALUE"""),"106156898144")</f>
        <v>106156898144</v>
      </c>
    </row>
    <row r="10112" spans="1:11" ht="12.45">
      <c r="A10112" s="2" t="str">
        <f ca="1">IFERROR(__xludf.DUMMYFUNCTION("""COMPUTED_VALUE"""),"106156898395")</f>
        <v>106156898395</v>
      </c>
      <c r="C10112" s="2" t="str">
        <v>0</v>
      </c>
      <c r="F10112" s="2" t="str">
        <v>0</v>
      </c>
      <c r="I10112" s="3" t="str">
        <f ca="1">IFERROR(__xludf.DUMMYFUNCTION("""COMPUTED_VALUE"""),"Trịnh Thị Phương Nhi")</f>
        <v>Trịnh Thị Phương Nhi</v>
      </c>
      <c r="J10112" s="2" t="str">
        <f ca="1">IFERROR(__xludf.DUMMYFUNCTION("""COMPUTED_VALUE"""),"0376103562")</f>
        <v>0376103562</v>
      </c>
      <c r="K10112" s="2" t="str">
        <f ca="1">IFERROR(__xludf.DUMMYFUNCTION("""COMPUTED_VALUE"""),"106156898395")</f>
        <v>106156898395</v>
      </c>
    </row>
    <row r="10113" spans="1:11" ht="12.45">
      <c r="A10113" s="2" t="str">
        <f ca="1">IFERROR(__xludf.DUMMYFUNCTION("""COMPUTED_VALUE"""),"106156898657")</f>
        <v>106156898657</v>
      </c>
      <c r="C10113" s="2" t="str">
        <v>0</v>
      </c>
      <c r="F10113" s="2" t="str">
        <v>0</v>
      </c>
      <c r="I10113" s="3" t="str">
        <f ca="1">IFERROR(__xludf.DUMMYFUNCTION("""COMPUTED_VALUE"""),"Trần Phương Nhi")</f>
        <v>Trần Phương Nhi</v>
      </c>
      <c r="J10113" s="2" t="str">
        <f ca="1">IFERROR(__xludf.DUMMYFUNCTION("""COMPUTED_VALUE"""),"0815577207")</f>
        <v>0815577207</v>
      </c>
      <c r="K10113" s="2" t="str">
        <f ca="1">IFERROR(__xludf.DUMMYFUNCTION("""COMPUTED_VALUE"""),"106156898657")</f>
        <v>106156898657</v>
      </c>
    </row>
    <row r="10114" spans="1:11" ht="12.45">
      <c r="A10114" s="2" t="str">
        <f ca="1">IFERROR(__xludf.DUMMYFUNCTION("""COMPUTED_VALUE"""),"106156898892")</f>
        <v>106156898892</v>
      </c>
      <c r="C10114" s="2" t="str">
        <v>0</v>
      </c>
      <c r="F10114" s="2" t="str">
        <v>0</v>
      </c>
      <c r="I10114" s="3" t="str">
        <f ca="1">IFERROR(__xludf.DUMMYFUNCTION("""COMPUTED_VALUE"""),"Nguyễn Nhị Hà")</f>
        <v>Nguyễn Nhị Hà</v>
      </c>
      <c r="J10114" s="2" t="str">
        <f ca="1">IFERROR(__xludf.DUMMYFUNCTION("""COMPUTED_VALUE"""),"0344378020")</f>
        <v>0344378020</v>
      </c>
      <c r="K10114" s="2" t="str">
        <f ca="1">IFERROR(__xludf.DUMMYFUNCTION("""COMPUTED_VALUE"""),"106156898892")</f>
        <v>106156898892</v>
      </c>
    </row>
    <row r="10115" spans="1:11" ht="12.45">
      <c r="A10115" s="2" t="str">
        <f ca="1">IFERROR(__xludf.DUMMYFUNCTION("""COMPUTED_VALUE"""),"106156898951")</f>
        <v>106156898951</v>
      </c>
      <c r="C10115" s="2" t="str">
        <v>0</v>
      </c>
      <c r="F10115" s="2" t="str">
        <v>0</v>
      </c>
      <c r="I10115" s="3" t="str">
        <f ca="1">IFERROR(__xludf.DUMMYFUNCTION("""COMPUTED_VALUE"""),"Nguyễn Trà My")</f>
        <v>Nguyễn Trà My</v>
      </c>
      <c r="J10115" s="2" t="str">
        <f ca="1">IFERROR(__xludf.DUMMYFUNCTION("""COMPUTED_VALUE"""),"0982790092")</f>
        <v>0982790092</v>
      </c>
      <c r="K10115" s="2" t="str">
        <f ca="1">IFERROR(__xludf.DUMMYFUNCTION("""COMPUTED_VALUE"""),"106156898951")</f>
        <v>106156898951</v>
      </c>
    </row>
    <row r="10116" spans="1:11" ht="12.45">
      <c r="A10116" s="2" t="str">
        <f ca="1">IFERROR(__xludf.DUMMYFUNCTION("""COMPUTED_VALUE"""),"106156899138")</f>
        <v>106156899138</v>
      </c>
      <c r="C10116" s="2" t="str">
        <v>0</v>
      </c>
      <c r="F10116" s="2" t="str">
        <v>0</v>
      </c>
      <c r="I10116" s="3" t="str">
        <f ca="1">IFERROR(__xludf.DUMMYFUNCTION("""COMPUTED_VALUE"""),"Nguyễn Diễm Kiều")</f>
        <v>Nguyễn Diễm Kiều</v>
      </c>
      <c r="J10116" s="2" t="str">
        <f ca="1">IFERROR(__xludf.DUMMYFUNCTION("""COMPUTED_VALUE"""),"0968043254")</f>
        <v>0968043254</v>
      </c>
      <c r="K10116" s="2" t="str">
        <f ca="1">IFERROR(__xludf.DUMMYFUNCTION("""COMPUTED_VALUE"""),"106156899138")</f>
        <v>106156899138</v>
      </c>
    </row>
    <row r="10117" spans="1:11" ht="12.45">
      <c r="A10117" s="2" t="str">
        <f ca="1">IFERROR(__xludf.DUMMYFUNCTION("""COMPUTED_VALUE"""),"106156899388")</f>
        <v>106156899388</v>
      </c>
      <c r="C10117" s="2" t="str">
        <v>0</v>
      </c>
      <c r="F10117" s="2" t="str">
        <v>0</v>
      </c>
      <c r="I10117" s="3" t="str">
        <f ca="1">IFERROR(__xludf.DUMMYFUNCTION("""COMPUTED_VALUE"""),"Nguyễn Thu Hằng")</f>
        <v>Nguyễn Thu Hằng</v>
      </c>
      <c r="J10117" s="2" t="str">
        <f ca="1">IFERROR(__xludf.DUMMYFUNCTION("""COMPUTED_VALUE"""),"0359217730")</f>
        <v>0359217730</v>
      </c>
      <c r="K10117" s="2" t="str">
        <f ca="1">IFERROR(__xludf.DUMMYFUNCTION("""COMPUTED_VALUE"""),"106156899388")</f>
        <v>106156899388</v>
      </c>
    </row>
    <row r="10118" spans="1:11" ht="12.45">
      <c r="A10118" s="2" t="str">
        <f ca="1">IFERROR(__xludf.DUMMYFUNCTION("""COMPUTED_VALUE"""),"106156899566")</f>
        <v>106156899566</v>
      </c>
      <c r="C10118" s="2" t="str">
        <v>0</v>
      </c>
      <c r="F10118" s="2" t="str">
        <v>0</v>
      </c>
      <c r="I10118" s="3" t="str">
        <f ca="1">IFERROR(__xludf.DUMMYFUNCTION("""COMPUTED_VALUE"""),"Nguyễn Nhật Thiện ")</f>
        <v xml:space="preserve">Nguyễn Nhật Thiện </v>
      </c>
      <c r="J10118" s="2" t="str">
        <f ca="1">IFERROR(__xludf.DUMMYFUNCTION("""COMPUTED_VALUE"""),"0399849065")</f>
        <v>0399849065</v>
      </c>
      <c r="K10118" s="2" t="str">
        <f ca="1">IFERROR(__xludf.DUMMYFUNCTION("""COMPUTED_VALUE"""),"106156899566")</f>
        <v>106156899566</v>
      </c>
    </row>
    <row r="10119" spans="1:11" ht="12.45">
      <c r="A10119" s="2" t="str">
        <f ca="1">IFERROR(__xludf.DUMMYFUNCTION("""COMPUTED_VALUE"""),"106156899735")</f>
        <v>106156899735</v>
      </c>
      <c r="C10119" s="2" t="str">
        <v>0</v>
      </c>
      <c r="F10119" s="2" t="str">
        <v>0</v>
      </c>
      <c r="I10119" s="3" t="str">
        <f ca="1">IFERROR(__xludf.DUMMYFUNCTION("""COMPUTED_VALUE"""),"Nguyễn Thị Thu Thúy ")</f>
        <v xml:space="preserve">Nguyễn Thị Thu Thúy </v>
      </c>
      <c r="J10119" s="2" t="str">
        <f ca="1">IFERROR(__xludf.DUMMYFUNCTION("""COMPUTED_VALUE"""),"0327026407")</f>
        <v>0327026407</v>
      </c>
      <c r="K10119" s="2" t="str">
        <f ca="1">IFERROR(__xludf.DUMMYFUNCTION("""COMPUTED_VALUE"""),"106156899735")</f>
        <v>106156899735</v>
      </c>
    </row>
    <row r="10120" spans="1:11" ht="12.45">
      <c r="A10120" s="2" t="str">
        <f ca="1">IFERROR(__xludf.DUMMYFUNCTION("""COMPUTED_VALUE"""),"106156900271")</f>
        <v>106156900271</v>
      </c>
      <c r="C10120" s="2" t="str">
        <v>0</v>
      </c>
      <c r="F10120" s="2" t="str">
        <v>0</v>
      </c>
      <c r="I10120" s="3" t="str">
        <f ca="1">IFERROR(__xludf.DUMMYFUNCTION("""COMPUTED_VALUE"""),"Nguyễn Châu Linh")</f>
        <v>Nguyễn Châu Linh</v>
      </c>
      <c r="J10120" s="2" t="str">
        <f ca="1">IFERROR(__xludf.DUMMYFUNCTION("""COMPUTED_VALUE"""),"0356659844")</f>
        <v>0356659844</v>
      </c>
      <c r="K10120" s="2" t="str">
        <f ca="1">IFERROR(__xludf.DUMMYFUNCTION("""COMPUTED_VALUE"""),"106156900271")</f>
        <v>106156900271</v>
      </c>
    </row>
    <row r="10121" spans="1:11" ht="12.45">
      <c r="A10121" s="2" t="str">
        <f ca="1">IFERROR(__xludf.DUMMYFUNCTION("""COMPUTED_VALUE"""),"106156900423")</f>
        <v>106156900423</v>
      </c>
      <c r="C10121" s="2" t="str">
        <v>0</v>
      </c>
      <c r="F10121" s="2" t="str">
        <v>0</v>
      </c>
      <c r="I10121" s="3" t="str">
        <f ca="1">IFERROR(__xludf.DUMMYFUNCTION("""COMPUTED_VALUE"""),"Trịnh Thuỷ Tiên ")</f>
        <v xml:space="preserve">Trịnh Thuỷ Tiên </v>
      </c>
      <c r="J10121" s="2" t="str">
        <f ca="1">IFERROR(__xludf.DUMMYFUNCTION("""COMPUTED_VALUE"""),"0398162266")</f>
        <v>0398162266</v>
      </c>
      <c r="K10121" s="2" t="str">
        <f ca="1">IFERROR(__xludf.DUMMYFUNCTION("""COMPUTED_VALUE"""),"106156900423")</f>
        <v>106156900423</v>
      </c>
    </row>
    <row r="10122" spans="1:11" ht="12.45">
      <c r="A10122" s="2" t="str">
        <f ca="1">IFERROR(__xludf.DUMMYFUNCTION("""COMPUTED_VALUE"""),"106156900514")</f>
        <v>106156900514</v>
      </c>
      <c r="C10122" s="2" t="str">
        <v>0</v>
      </c>
      <c r="F10122" s="2" t="str">
        <v>0</v>
      </c>
      <c r="I10122" s="3" t="str">
        <f ca="1">IFERROR(__xludf.DUMMYFUNCTION("""COMPUTED_VALUE"""),"Nguyễn Thị Kim Ngân")</f>
        <v>Nguyễn Thị Kim Ngân</v>
      </c>
      <c r="J10122" s="2" t="str">
        <f ca="1">IFERROR(__xludf.DUMMYFUNCTION("""COMPUTED_VALUE"""),"0902064829")</f>
        <v>0902064829</v>
      </c>
      <c r="K10122" s="2" t="str">
        <f ca="1">IFERROR(__xludf.DUMMYFUNCTION("""COMPUTED_VALUE"""),"106156900514")</f>
        <v>106156900514</v>
      </c>
    </row>
    <row r="10123" spans="1:11" ht="12.45">
      <c r="A10123" s="2" t="str">
        <f ca="1">IFERROR(__xludf.DUMMYFUNCTION("""COMPUTED_VALUE"""),"106156900669")</f>
        <v>106156900669</v>
      </c>
      <c r="C10123" s="2" t="str">
        <v>0</v>
      </c>
      <c r="F10123" s="2" t="str">
        <v>0</v>
      </c>
      <c r="I10123" s="3" t="str">
        <f ca="1">IFERROR(__xludf.DUMMYFUNCTION("""COMPUTED_VALUE"""),"Cao Thị Yến Linh")</f>
        <v>Cao Thị Yến Linh</v>
      </c>
      <c r="J10123" s="2" t="str">
        <f ca="1">IFERROR(__xludf.DUMMYFUNCTION("""COMPUTED_VALUE"""),"0352106407")</f>
        <v>0352106407</v>
      </c>
      <c r="K10123" s="2" t="str">
        <f ca="1">IFERROR(__xludf.DUMMYFUNCTION("""COMPUTED_VALUE"""),"106156900669")</f>
        <v>106156900669</v>
      </c>
    </row>
    <row r="10124" spans="1:11" ht="12.45">
      <c r="A10124" s="2" t="str">
        <f ca="1">IFERROR(__xludf.DUMMYFUNCTION("""COMPUTED_VALUE"""),"106156900879")</f>
        <v>106156900879</v>
      </c>
      <c r="C10124" s="2" t="str">
        <v>0</v>
      </c>
      <c r="F10124" s="2" t="str">
        <v>0</v>
      </c>
      <c r="I10124" s="3" t="str">
        <f ca="1">IFERROR(__xludf.DUMMYFUNCTION("""COMPUTED_VALUE"""),"Huỳnh Thị Ánh Hồng")</f>
        <v>Huỳnh Thị Ánh Hồng</v>
      </c>
      <c r="J10124" s="2" t="str">
        <f ca="1">IFERROR(__xludf.DUMMYFUNCTION("""COMPUTED_VALUE"""),"0359703751")</f>
        <v>0359703751</v>
      </c>
      <c r="K10124" s="2" t="str">
        <f ca="1">IFERROR(__xludf.DUMMYFUNCTION("""COMPUTED_VALUE"""),"106156900879")</f>
        <v>106156900879</v>
      </c>
    </row>
    <row r="10125" spans="1:11" ht="12.45">
      <c r="A10125" s="2" t="str">
        <f ca="1">IFERROR(__xludf.DUMMYFUNCTION("""COMPUTED_VALUE"""),"106156901292")</f>
        <v>106156901292</v>
      </c>
      <c r="C10125" s="2" t="str">
        <v>0</v>
      </c>
      <c r="F10125" s="2" t="str">
        <v>0</v>
      </c>
      <c r="I10125" s="3" t="str">
        <f ca="1">IFERROR(__xludf.DUMMYFUNCTION("""COMPUTED_VALUE"""),"Nguyễn Đình Hiếu")</f>
        <v>Nguyễn Đình Hiếu</v>
      </c>
      <c r="J10125" s="2" t="str">
        <f ca="1">IFERROR(__xludf.DUMMYFUNCTION("""COMPUTED_VALUE"""),"0886921365")</f>
        <v>0886921365</v>
      </c>
      <c r="K10125" s="2" t="str">
        <f ca="1">IFERROR(__xludf.DUMMYFUNCTION("""COMPUTED_VALUE"""),"106156901292")</f>
        <v>106156901292</v>
      </c>
    </row>
    <row r="10126" spans="1:11" ht="12.45">
      <c r="A10126" s="2" t="str">
        <f ca="1">IFERROR(__xludf.DUMMYFUNCTION("""COMPUTED_VALUE"""),"106156901454")</f>
        <v>106156901454</v>
      </c>
      <c r="C10126" s="2" t="str">
        <v>0</v>
      </c>
      <c r="F10126" s="2" t="str">
        <v>0</v>
      </c>
      <c r="I10126" s="3" t="str">
        <f ca="1">IFERROR(__xludf.DUMMYFUNCTION("""COMPUTED_VALUE"""),"Phạm nguyễn thảo vy")</f>
        <v>Phạm nguyễn thảo vy</v>
      </c>
      <c r="J10126" s="2" t="str">
        <f ca="1">IFERROR(__xludf.DUMMYFUNCTION("""COMPUTED_VALUE"""),"8497454131")</f>
        <v>8497454131</v>
      </c>
      <c r="K10126" s="2" t="str">
        <f ca="1">IFERROR(__xludf.DUMMYFUNCTION("""COMPUTED_VALUE"""),"106156901454")</f>
        <v>106156901454</v>
      </c>
    </row>
    <row r="10127" spans="1:11" ht="12.45">
      <c r="A10127" s="2" t="str">
        <f ca="1">IFERROR(__xludf.DUMMYFUNCTION("""COMPUTED_VALUE"""),"106156901591")</f>
        <v>106156901591</v>
      </c>
      <c r="C10127" s="2" t="str">
        <v>0</v>
      </c>
      <c r="F10127" s="2" t="str">
        <v>0</v>
      </c>
      <c r="I10127" s="3" t="str">
        <f ca="1">IFERROR(__xludf.DUMMYFUNCTION("""COMPUTED_VALUE"""),"Quàng Thị Diễm Quỳnh ")</f>
        <v xml:space="preserve">Quàng Thị Diễm Quỳnh </v>
      </c>
      <c r="J10127" s="2" t="str">
        <f ca="1">IFERROR(__xludf.DUMMYFUNCTION("""COMPUTED_VALUE"""),"0325722059")</f>
        <v>0325722059</v>
      </c>
      <c r="K10127" s="2" t="str">
        <f ca="1">IFERROR(__xludf.DUMMYFUNCTION("""COMPUTED_VALUE"""),"106156901591")</f>
        <v>106156901591</v>
      </c>
    </row>
    <row r="10128" spans="1:11" ht="12.45">
      <c r="A10128" s="2" t="str">
        <f ca="1">IFERROR(__xludf.DUMMYFUNCTION("""COMPUTED_VALUE"""),"106156901729")</f>
        <v>106156901729</v>
      </c>
      <c r="C10128" s="2" t="str">
        <v>0</v>
      </c>
      <c r="F10128" s="2" t="str">
        <v>0</v>
      </c>
      <c r="I10128" s="3" t="str">
        <f ca="1">IFERROR(__xludf.DUMMYFUNCTION("""COMPUTED_VALUE"""),"Hồ Quốc Việt ")</f>
        <v xml:space="preserve">Hồ Quốc Việt </v>
      </c>
      <c r="J10128" s="2" t="str">
        <f ca="1">IFERROR(__xludf.DUMMYFUNCTION("""COMPUTED_VALUE"""),"0708743267")</f>
        <v>0708743267</v>
      </c>
      <c r="K10128" s="2" t="str">
        <f ca="1">IFERROR(__xludf.DUMMYFUNCTION("""COMPUTED_VALUE"""),"106156901729")</f>
        <v>106156901729</v>
      </c>
    </row>
    <row r="10129" spans="1:11" ht="12.45">
      <c r="A10129" s="2" t="str">
        <f ca="1">IFERROR(__xludf.DUMMYFUNCTION("""COMPUTED_VALUE"""),"106156901865")</f>
        <v>106156901865</v>
      </c>
      <c r="C10129" s="2" t="str">
        <v>0</v>
      </c>
      <c r="F10129" s="2" t="str">
        <v>0</v>
      </c>
      <c r="I10129" s="3" t="str">
        <f ca="1">IFERROR(__xludf.DUMMYFUNCTION("""COMPUTED_VALUE"""),"Trần Vũ Minh Dũng")</f>
        <v>Trần Vũ Minh Dũng</v>
      </c>
      <c r="J10129" s="2" t="str">
        <f ca="1">IFERROR(__xludf.DUMMYFUNCTION("""COMPUTED_VALUE"""),"0962756202")</f>
        <v>0962756202</v>
      </c>
      <c r="K10129" s="2" t="str">
        <f ca="1">IFERROR(__xludf.DUMMYFUNCTION("""COMPUTED_VALUE"""),"106156901865")</f>
        <v>106156901865</v>
      </c>
    </row>
    <row r="10130" spans="1:11" ht="12.45">
      <c r="A10130" s="2" t="str">
        <f ca="1">IFERROR(__xludf.DUMMYFUNCTION("""COMPUTED_VALUE"""),"106156902058")</f>
        <v>106156902058</v>
      </c>
      <c r="C10130" s="2" t="str">
        <v>0</v>
      </c>
      <c r="F10130" s="2" t="str">
        <v>0</v>
      </c>
      <c r="I10130" s="3" t="str">
        <f ca="1">IFERROR(__xludf.DUMMYFUNCTION("""COMPUTED_VALUE"""),"Lê Thị Thúy Ngân")</f>
        <v>Lê Thị Thúy Ngân</v>
      </c>
      <c r="J10130" s="2" t="str">
        <f ca="1">IFERROR(__xludf.DUMMYFUNCTION("""COMPUTED_VALUE"""),"0345943479")</f>
        <v>0345943479</v>
      </c>
      <c r="K10130" s="2" t="str">
        <f ca="1">IFERROR(__xludf.DUMMYFUNCTION("""COMPUTED_VALUE"""),"106156902058")</f>
        <v>106156902058</v>
      </c>
    </row>
    <row r="10131" spans="1:11" ht="12.45">
      <c r="A10131" s="2" t="str">
        <f ca="1">IFERROR(__xludf.DUMMYFUNCTION("""COMPUTED_VALUE"""),"106156902175")</f>
        <v>106156902175</v>
      </c>
      <c r="C10131" s="2" t="str">
        <v>0</v>
      </c>
      <c r="F10131" s="2" t="str">
        <v>0</v>
      </c>
      <c r="I10131" s="3" t="str">
        <f ca="1">IFERROR(__xludf.DUMMYFUNCTION("""COMPUTED_VALUE"""),"Hồ Ngọc Tường Vy")</f>
        <v>Hồ Ngọc Tường Vy</v>
      </c>
      <c r="J10131" s="2" t="str">
        <f ca="1">IFERROR(__xludf.DUMMYFUNCTION("""COMPUTED_VALUE"""),"0392673625")</f>
        <v>0392673625</v>
      </c>
      <c r="K10131" s="2" t="str">
        <f ca="1">IFERROR(__xludf.DUMMYFUNCTION("""COMPUTED_VALUE"""),"106156902175")</f>
        <v>106156902175</v>
      </c>
    </row>
    <row r="10132" spans="1:11" ht="12.45">
      <c r="A10132" s="2" t="str">
        <f ca="1">IFERROR(__xludf.DUMMYFUNCTION("""COMPUTED_VALUE"""),"106156902280")</f>
        <v>106156902280</v>
      </c>
      <c r="C10132" s="2" t="str">
        <v>0</v>
      </c>
      <c r="F10132" s="2" t="str">
        <v>0</v>
      </c>
      <c r="I10132" s="3" t="str">
        <f ca="1">IFERROR(__xludf.DUMMYFUNCTION("""COMPUTED_VALUE"""),"Phí Quang Vinh ")</f>
        <v xml:space="preserve">Phí Quang Vinh </v>
      </c>
      <c r="J10132" s="2" t="str">
        <f ca="1">IFERROR(__xludf.DUMMYFUNCTION("""COMPUTED_VALUE"""),"0382386482")</f>
        <v>0382386482</v>
      </c>
      <c r="K10132" s="2" t="str">
        <f ca="1">IFERROR(__xludf.DUMMYFUNCTION("""COMPUTED_VALUE"""),"106156902280")</f>
        <v>106156902280</v>
      </c>
    </row>
    <row r="10133" spans="1:11" ht="12.45">
      <c r="A10133" s="2" t="str">
        <f ca="1">IFERROR(__xludf.DUMMYFUNCTION("""COMPUTED_VALUE"""),"106156902348")</f>
        <v>106156902348</v>
      </c>
      <c r="C10133" s="2" t="str">
        <v>0</v>
      </c>
      <c r="F10133" s="2" t="str">
        <v>0</v>
      </c>
      <c r="I10133" s="3" t="str">
        <f ca="1">IFERROR(__xludf.DUMMYFUNCTION("""COMPUTED_VALUE"""),"Trần Phan Phương Linh")</f>
        <v>Trần Phan Phương Linh</v>
      </c>
      <c r="J10133" s="2" t="str">
        <f ca="1">IFERROR(__xludf.DUMMYFUNCTION("""COMPUTED_VALUE"""),"0971622756")</f>
        <v>0971622756</v>
      </c>
      <c r="K10133" s="2" t="str">
        <f ca="1">IFERROR(__xludf.DUMMYFUNCTION("""COMPUTED_VALUE"""),"106156902348")</f>
        <v>106156902348</v>
      </c>
    </row>
    <row r="10134" spans="1:11" ht="12.45">
      <c r="A10134" s="2" t="str">
        <f ca="1">IFERROR(__xludf.DUMMYFUNCTION("""COMPUTED_VALUE"""),"106156902790")</f>
        <v>106156902790</v>
      </c>
      <c r="C10134" s="2" t="str">
        <v>0</v>
      </c>
      <c r="F10134" s="2" t="str">
        <v>0</v>
      </c>
      <c r="I10134" s="3" t="str">
        <f ca="1">IFERROR(__xludf.DUMMYFUNCTION("""COMPUTED_VALUE"""),"Lê Thị Thanh Thảo ")</f>
        <v xml:space="preserve">Lê Thị Thanh Thảo </v>
      </c>
      <c r="J10134" s="2" t="str">
        <f ca="1">IFERROR(__xludf.DUMMYFUNCTION("""COMPUTED_VALUE"""),"0865928750")</f>
        <v>0865928750</v>
      </c>
      <c r="K10134" s="2" t="str">
        <f ca="1">IFERROR(__xludf.DUMMYFUNCTION("""COMPUTED_VALUE"""),"106156902790")</f>
        <v>106156902790</v>
      </c>
    </row>
    <row r="10135" spans="1:11" ht="12.45">
      <c r="A10135" s="2" t="str">
        <f ca="1">IFERROR(__xludf.DUMMYFUNCTION("""COMPUTED_VALUE"""),"106156902897")</f>
        <v>106156902897</v>
      </c>
      <c r="C10135" s="2" t="str">
        <v>0</v>
      </c>
      <c r="F10135" s="2" t="str">
        <v>0</v>
      </c>
      <c r="I10135" s="3" t="str">
        <f ca="1">IFERROR(__xludf.DUMMYFUNCTION("""COMPUTED_VALUE"""),"Trần Nguyễn Phú Quý ")</f>
        <v xml:space="preserve">Trần Nguyễn Phú Quý </v>
      </c>
      <c r="J10135" s="2" t="str">
        <f ca="1">IFERROR(__xludf.DUMMYFUNCTION("""COMPUTED_VALUE"""),"0396507198")</f>
        <v>0396507198</v>
      </c>
      <c r="K10135" s="2" t="str">
        <f ca="1">IFERROR(__xludf.DUMMYFUNCTION("""COMPUTED_VALUE"""),"106156902897")</f>
        <v>106156902897</v>
      </c>
    </row>
    <row r="10136" spans="1:11" ht="12.45">
      <c r="A10136" s="2" t="str">
        <f ca="1">IFERROR(__xludf.DUMMYFUNCTION("""COMPUTED_VALUE"""),"106156903096")</f>
        <v>106156903096</v>
      </c>
      <c r="C10136" s="2" t="str">
        <v>0</v>
      </c>
      <c r="F10136" s="2" t="str">
        <v>0</v>
      </c>
      <c r="I10136" s="3" t="str">
        <f ca="1">IFERROR(__xludf.DUMMYFUNCTION("""COMPUTED_VALUE"""),"Lều Yến Nhi ")</f>
        <v xml:space="preserve">Lều Yến Nhi </v>
      </c>
      <c r="J10136" s="2" t="str">
        <f ca="1">IFERROR(__xludf.DUMMYFUNCTION("""COMPUTED_VALUE"""),"0976179107")</f>
        <v>0976179107</v>
      </c>
      <c r="K10136" s="2" t="str">
        <f ca="1">IFERROR(__xludf.DUMMYFUNCTION("""COMPUTED_VALUE"""),"106156903096")</f>
        <v>106156903096</v>
      </c>
    </row>
    <row r="10137" spans="1:11" ht="12.45">
      <c r="A10137" s="2" t="str">
        <f ca="1">IFERROR(__xludf.DUMMYFUNCTION("""COMPUTED_VALUE"""),"106156903113")</f>
        <v>106156903113</v>
      </c>
      <c r="C10137" s="2" t="str">
        <v>0</v>
      </c>
      <c r="F10137" s="2" t="str">
        <v>0</v>
      </c>
      <c r="I10137" s="3" t="str">
        <f ca="1">IFERROR(__xludf.DUMMYFUNCTION("""COMPUTED_VALUE"""),"Văn Anh Thư")</f>
        <v>Văn Anh Thư</v>
      </c>
      <c r="J10137" s="2" t="str">
        <f ca="1">IFERROR(__xludf.DUMMYFUNCTION("""COMPUTED_VALUE"""),"0947835154")</f>
        <v>0947835154</v>
      </c>
      <c r="K10137" s="2" t="str">
        <f ca="1">IFERROR(__xludf.DUMMYFUNCTION("""COMPUTED_VALUE"""),"106156903113")</f>
        <v>106156903113</v>
      </c>
    </row>
    <row r="10138" spans="1:11" ht="12.45">
      <c r="A10138" s="2" t="str">
        <f ca="1">IFERROR(__xludf.DUMMYFUNCTION("""COMPUTED_VALUE"""),"106157419574")</f>
        <v>106157419574</v>
      </c>
      <c r="C10138" s="2" t="str">
        <v>0</v>
      </c>
      <c r="F10138" s="2" t="str">
        <v>0</v>
      </c>
      <c r="I10138" s="3" t="str">
        <f ca="1">IFERROR(__xludf.DUMMYFUNCTION("""COMPUTED_VALUE"""),"Nguyễn Đỗ Quỳnh Anh")</f>
        <v>Nguyễn Đỗ Quỳnh Anh</v>
      </c>
      <c r="J10138" s="2" t="str">
        <f ca="1">IFERROR(__xludf.DUMMYFUNCTION("""COMPUTED_VALUE"""),"0829072668")</f>
        <v>0829072668</v>
      </c>
      <c r="K10138" s="2" t="str">
        <f ca="1">IFERROR(__xludf.DUMMYFUNCTION("""COMPUTED_VALUE"""),"106157419574")</f>
        <v>106157419574</v>
      </c>
    </row>
    <row r="10139" spans="1:11" ht="12.45">
      <c r="A10139" s="2" t="str">
        <f ca="1">IFERROR(__xludf.DUMMYFUNCTION("""COMPUTED_VALUE"""),"106157419681")</f>
        <v>106157419681</v>
      </c>
      <c r="C10139" s="2" t="str">
        <v>0</v>
      </c>
      <c r="F10139" s="2" t="str">
        <v>0</v>
      </c>
      <c r="I10139" s="3" t="str">
        <f ca="1">IFERROR(__xludf.DUMMYFUNCTION("""COMPUTED_VALUE"""),"Võ Thị Thu Huyền")</f>
        <v>Võ Thị Thu Huyền</v>
      </c>
      <c r="J10139" s="2" t="str">
        <f ca="1">IFERROR(__xludf.DUMMYFUNCTION("""COMPUTED_VALUE"""),"0327363621")</f>
        <v>0327363621</v>
      </c>
      <c r="K10139" s="2" t="str">
        <f ca="1">IFERROR(__xludf.DUMMYFUNCTION("""COMPUTED_VALUE"""),"106157419681")</f>
        <v>106157419681</v>
      </c>
    </row>
    <row r="10140" spans="1:11" ht="12.45">
      <c r="A10140" s="2" t="str">
        <f ca="1">IFERROR(__xludf.DUMMYFUNCTION("""COMPUTED_VALUE"""),"106157419765")</f>
        <v>106157419765</v>
      </c>
      <c r="C10140" s="2" t="str">
        <v>0</v>
      </c>
      <c r="F10140" s="2" t="str">
        <v>0</v>
      </c>
      <c r="I10140" s="3" t="str">
        <f ca="1">IFERROR(__xludf.DUMMYFUNCTION("""COMPUTED_VALUE"""),"Phàn Đức Duy")</f>
        <v>Phàn Đức Duy</v>
      </c>
      <c r="J10140" s="2" t="str">
        <f ca="1">IFERROR(__xludf.DUMMYFUNCTION("""COMPUTED_VALUE"""),"0386144305")</f>
        <v>0386144305</v>
      </c>
      <c r="K10140" s="2" t="str">
        <f ca="1">IFERROR(__xludf.DUMMYFUNCTION("""COMPUTED_VALUE"""),"106157419765")</f>
        <v>106157419765</v>
      </c>
    </row>
    <row r="10141" spans="1:11" ht="12.45">
      <c r="A10141" s="2" t="str">
        <f ca="1">IFERROR(__xludf.DUMMYFUNCTION("""COMPUTED_VALUE"""),"106157419814")</f>
        <v>106157419814</v>
      </c>
      <c r="C10141" s="2" t="str">
        <v>0</v>
      </c>
      <c r="F10141" s="2" t="str">
        <v>0</v>
      </c>
      <c r="I10141" s="3" t="str">
        <f ca="1">IFERROR(__xludf.DUMMYFUNCTION("""COMPUTED_VALUE"""),"Đèo Văn Tề")</f>
        <v>Đèo Văn Tề</v>
      </c>
      <c r="J10141" s="2" t="str">
        <f ca="1">IFERROR(__xludf.DUMMYFUNCTION("""COMPUTED_VALUE"""),"0355726835")</f>
        <v>0355726835</v>
      </c>
      <c r="K10141" s="2" t="str">
        <f ca="1">IFERROR(__xludf.DUMMYFUNCTION("""COMPUTED_VALUE"""),"106157419814")</f>
        <v>106157419814</v>
      </c>
    </row>
    <row r="10142" spans="1:11" ht="12.45">
      <c r="A10142" s="2" t="str">
        <f ca="1">IFERROR(__xludf.DUMMYFUNCTION("""COMPUTED_VALUE"""),"106157420094")</f>
        <v>106157420094</v>
      </c>
      <c r="C10142" s="2" t="str">
        <v>0</v>
      </c>
      <c r="F10142" s="2" t="str">
        <v>0</v>
      </c>
      <c r="I10142" s="3" t="str">
        <f ca="1">IFERROR(__xludf.DUMMYFUNCTION("""COMPUTED_VALUE"""),"Trịnh Thị Phương Anh")</f>
        <v>Trịnh Thị Phương Anh</v>
      </c>
      <c r="J10142" s="2" t="str">
        <f ca="1">IFERROR(__xludf.DUMMYFUNCTION("""COMPUTED_VALUE"""),"0966605318")</f>
        <v>0966605318</v>
      </c>
      <c r="K10142" s="2" t="str">
        <f ca="1">IFERROR(__xludf.DUMMYFUNCTION("""COMPUTED_VALUE"""),"106157420094")</f>
        <v>106157420094</v>
      </c>
    </row>
    <row r="10143" spans="1:11" ht="12.45">
      <c r="A10143" s="2" t="str">
        <f ca="1">IFERROR(__xludf.DUMMYFUNCTION("""COMPUTED_VALUE"""),"106157420290")</f>
        <v>106157420290</v>
      </c>
      <c r="C10143" s="2" t="str">
        <v>0</v>
      </c>
      <c r="F10143" s="2" t="str">
        <v>0</v>
      </c>
      <c r="I10143" s="3" t="str">
        <f ca="1">IFERROR(__xludf.DUMMYFUNCTION("""COMPUTED_VALUE"""),"Huỳnh Thị Kim Hương")</f>
        <v>Huỳnh Thị Kim Hương</v>
      </c>
      <c r="J10143" s="2" t="str">
        <f ca="1">IFERROR(__xludf.DUMMYFUNCTION("""COMPUTED_VALUE"""),"0961961701")</f>
        <v>0961961701</v>
      </c>
      <c r="K10143" s="2" t="str">
        <f ca="1">IFERROR(__xludf.DUMMYFUNCTION("""COMPUTED_VALUE"""),"106157420290")</f>
        <v>106157420290</v>
      </c>
    </row>
    <row r="10144" spans="1:11" ht="12.45">
      <c r="A10144" s="2" t="str">
        <f ca="1">IFERROR(__xludf.DUMMYFUNCTION("""COMPUTED_VALUE"""),"106157420592")</f>
        <v>106157420592</v>
      </c>
      <c r="C10144" s="2" t="str">
        <v>0</v>
      </c>
      <c r="F10144" s="2" t="str">
        <v>0</v>
      </c>
      <c r="I10144" s="3" t="str">
        <f ca="1">IFERROR(__xludf.DUMMYFUNCTION("""COMPUTED_VALUE"""),"Nguyễn Thị Phương Thảo")</f>
        <v>Nguyễn Thị Phương Thảo</v>
      </c>
      <c r="J10144" s="2" t="str">
        <f ca="1">IFERROR(__xludf.DUMMYFUNCTION("""COMPUTED_VALUE"""),"0911904901")</f>
        <v>0911904901</v>
      </c>
      <c r="K10144" s="2" t="str">
        <f ca="1">IFERROR(__xludf.DUMMYFUNCTION("""COMPUTED_VALUE"""),"106157420592")</f>
        <v>106157420592</v>
      </c>
    </row>
    <row r="10145" spans="1:11" ht="12.45">
      <c r="A10145" s="2" t="str">
        <f ca="1">IFERROR(__xludf.DUMMYFUNCTION("""COMPUTED_VALUE"""),"106157420656")</f>
        <v>106157420656</v>
      </c>
      <c r="C10145" s="2" t="str">
        <v>0</v>
      </c>
      <c r="F10145" s="2" t="str">
        <v>0</v>
      </c>
      <c r="I10145" s="3" t="str">
        <f ca="1">IFERROR(__xludf.DUMMYFUNCTION("""COMPUTED_VALUE"""),"Nguyễn Phúc Tâm")</f>
        <v>Nguyễn Phúc Tâm</v>
      </c>
      <c r="J10145" s="2" t="str">
        <f ca="1">IFERROR(__xludf.DUMMYFUNCTION("""COMPUTED_VALUE"""),"0335229070")</f>
        <v>0335229070</v>
      </c>
      <c r="K10145" s="2" t="str">
        <f ca="1">IFERROR(__xludf.DUMMYFUNCTION("""COMPUTED_VALUE"""),"106157420656")</f>
        <v>106157420656</v>
      </c>
    </row>
    <row r="10146" spans="1:11" ht="12.45">
      <c r="A10146" s="2" t="str">
        <f ca="1">IFERROR(__xludf.DUMMYFUNCTION("""COMPUTED_VALUE"""),"106157420846")</f>
        <v>106157420846</v>
      </c>
      <c r="C10146" s="2" t="str">
        <v>0</v>
      </c>
      <c r="F10146" s="2" t="str">
        <v>0</v>
      </c>
      <c r="I10146" s="3" t="str">
        <f ca="1">IFERROR(__xludf.DUMMYFUNCTION("""COMPUTED_VALUE"""),"Thị kim sang ")</f>
        <v xml:space="preserve">Thị kim sang </v>
      </c>
      <c r="J10146" s="2" t="str">
        <f ca="1">IFERROR(__xludf.DUMMYFUNCTION("""COMPUTED_VALUE"""),"0834844984")</f>
        <v>0834844984</v>
      </c>
      <c r="K10146" s="2" t="str">
        <f ca="1">IFERROR(__xludf.DUMMYFUNCTION("""COMPUTED_VALUE"""),"106157420846")</f>
        <v>106157420846</v>
      </c>
    </row>
    <row r="10147" spans="1:11" ht="12.45">
      <c r="A10147" s="2" t="str">
        <f ca="1">IFERROR(__xludf.DUMMYFUNCTION("""COMPUTED_VALUE"""),"106157420933")</f>
        <v>106157420933</v>
      </c>
      <c r="C10147" s="2" t="str">
        <v>0</v>
      </c>
      <c r="F10147" s="2" t="str">
        <v>0</v>
      </c>
      <c r="I10147" s="3" t="str">
        <f ca="1">IFERROR(__xludf.DUMMYFUNCTION("""COMPUTED_VALUE"""),"Rmah H' Hợi")</f>
        <v>Rmah H' Hợi</v>
      </c>
      <c r="J10147" s="2" t="str">
        <f ca="1">IFERROR(__xludf.DUMMYFUNCTION("""COMPUTED_VALUE"""),"0865514718")</f>
        <v>0865514718</v>
      </c>
      <c r="K10147" s="2" t="str">
        <f ca="1">IFERROR(__xludf.DUMMYFUNCTION("""COMPUTED_VALUE"""),"106157420933")</f>
        <v>106157420933</v>
      </c>
    </row>
    <row r="10148" spans="1:11" ht="12.45">
      <c r="A10148" s="2" t="str">
        <f ca="1">IFERROR(__xludf.DUMMYFUNCTION("""COMPUTED_VALUE"""),"106157421154")</f>
        <v>106157421154</v>
      </c>
      <c r="C10148" s="2" t="str">
        <v>0</v>
      </c>
      <c r="F10148" s="2" t="str">
        <v>0</v>
      </c>
      <c r="I10148" s="3" t="str">
        <f ca="1">IFERROR(__xludf.DUMMYFUNCTION("""COMPUTED_VALUE"""),"Triệu Thùy Linh")</f>
        <v>Triệu Thùy Linh</v>
      </c>
      <c r="J10148" s="2" t="str">
        <f ca="1">IFERROR(__xludf.DUMMYFUNCTION("""COMPUTED_VALUE"""),"0385008897")</f>
        <v>0385008897</v>
      </c>
      <c r="K10148" s="2" t="str">
        <f ca="1">IFERROR(__xludf.DUMMYFUNCTION("""COMPUTED_VALUE"""),"106157421154")</f>
        <v>106157421154</v>
      </c>
    </row>
    <row r="10149" spans="1:11" ht="12.45">
      <c r="A10149" s="2" t="str">
        <f ca="1">IFERROR(__xludf.DUMMYFUNCTION("""COMPUTED_VALUE"""),"106157421276")</f>
        <v>106157421276</v>
      </c>
      <c r="C10149" s="2" t="str">
        <v>0</v>
      </c>
      <c r="F10149" s="2" t="str">
        <v>0</v>
      </c>
      <c r="I10149" s="3" t="str">
        <f ca="1">IFERROR(__xludf.DUMMYFUNCTION("""COMPUTED_VALUE"""),"Lê Ngọc Linh ")</f>
        <v xml:space="preserve">Lê Ngọc Linh </v>
      </c>
      <c r="J10149" s="2" t="str">
        <f ca="1">IFERROR(__xludf.DUMMYFUNCTION("""COMPUTED_VALUE"""),"0326734702")</f>
        <v>0326734702</v>
      </c>
      <c r="K10149" s="2" t="str">
        <f ca="1">IFERROR(__xludf.DUMMYFUNCTION("""COMPUTED_VALUE"""),"106157421276")</f>
        <v>106157421276</v>
      </c>
    </row>
    <row r="10150" spans="1:11" ht="12.45">
      <c r="A10150" s="2" t="str">
        <f ca="1">IFERROR(__xludf.DUMMYFUNCTION("""COMPUTED_VALUE"""),"106157421393")</f>
        <v>106157421393</v>
      </c>
      <c r="C10150" s="2" t="str">
        <v>0</v>
      </c>
      <c r="F10150" s="2" t="str">
        <v>0</v>
      </c>
      <c r="I10150" s="3" t="str">
        <f ca="1">IFERROR(__xludf.DUMMYFUNCTION("""COMPUTED_VALUE"""),"Hoàng Thị Minh An")</f>
        <v>Hoàng Thị Minh An</v>
      </c>
      <c r="J10150" s="2" t="str">
        <f ca="1">IFERROR(__xludf.DUMMYFUNCTION("""COMPUTED_VALUE"""),"0862706481")</f>
        <v>0862706481</v>
      </c>
      <c r="K10150" s="2" t="str">
        <f ca="1">IFERROR(__xludf.DUMMYFUNCTION("""COMPUTED_VALUE"""),"106157421393")</f>
        <v>106157421393</v>
      </c>
    </row>
    <row r="10151" spans="1:11" ht="12.45">
      <c r="A10151" s="2" t="str">
        <f ca="1">IFERROR(__xludf.DUMMYFUNCTION("""COMPUTED_VALUE"""),"106157421464")</f>
        <v>106157421464</v>
      </c>
      <c r="C10151" s="2" t="str">
        <v>0</v>
      </c>
      <c r="F10151" s="2" t="str">
        <v>0</v>
      </c>
      <c r="I10151" s="3" t="str">
        <f ca="1">IFERROR(__xludf.DUMMYFUNCTION("""COMPUTED_VALUE"""),"Nguyễn Nhật Ánh")</f>
        <v>Nguyễn Nhật Ánh</v>
      </c>
      <c r="J10151" s="2" t="str">
        <f ca="1">IFERROR(__xludf.DUMMYFUNCTION("""COMPUTED_VALUE"""),"0986388298")</f>
        <v>0986388298</v>
      </c>
      <c r="K10151" s="2" t="str">
        <f ca="1">IFERROR(__xludf.DUMMYFUNCTION("""COMPUTED_VALUE"""),"106157421464")</f>
        <v>106157421464</v>
      </c>
    </row>
    <row r="10152" spans="1:11" ht="12.45">
      <c r="A10152" s="2"/>
      <c r="C10152" s="2" t="str">
        <v>0</v>
      </c>
      <c r="F10152" s="2" t="str">
        <v>0</v>
      </c>
      <c r="I10152" s="3" t="str">
        <f ca="1">IFERROR(__xludf.DUMMYFUNCTION("""COMPUTED_VALUE"""),"Vương Quế Doanh")</f>
        <v>Vương Quế Doanh</v>
      </c>
      <c r="J10152" s="2" t="str">
        <f ca="1">IFERROR(__xludf.DUMMYFUNCTION("""COMPUTED_VALUE"""),"0586162269")</f>
        <v>0586162269</v>
      </c>
      <c r="K10152" s="2"/>
    </row>
    <row r="10153" spans="1:11" ht="12.45">
      <c r="A10153" s="2" t="str">
        <f ca="1">IFERROR(__xludf.DUMMYFUNCTION("""COMPUTED_VALUE"""),"106157421691")</f>
        <v>106157421691</v>
      </c>
      <c r="C10153" s="2" t="str">
        <v>0</v>
      </c>
      <c r="F10153" s="2" t="str">
        <v>0</v>
      </c>
      <c r="I10153" s="3" t="str">
        <f ca="1">IFERROR(__xludf.DUMMYFUNCTION("""COMPUTED_VALUE"""),"Nguyễn Hồng Trang ")</f>
        <v xml:space="preserve">Nguyễn Hồng Trang </v>
      </c>
      <c r="J10153" s="2" t="str">
        <f ca="1">IFERROR(__xludf.DUMMYFUNCTION("""COMPUTED_VALUE"""),"0928962007")</f>
        <v>0928962007</v>
      </c>
      <c r="K10153" s="2" t="str">
        <f ca="1">IFERROR(__xludf.DUMMYFUNCTION("""COMPUTED_VALUE"""),"106157421691")</f>
        <v>106157421691</v>
      </c>
    </row>
    <row r="10154" spans="1:11" ht="12.45">
      <c r="A10154" s="2" t="str">
        <f ca="1">IFERROR(__xludf.DUMMYFUNCTION("""COMPUTED_VALUE"""),"106157421870")</f>
        <v>106157421870</v>
      </c>
      <c r="C10154" s="2" t="str">
        <v>0</v>
      </c>
      <c r="F10154" s="2" t="str">
        <v>0</v>
      </c>
      <c r="I10154" s="3" t="str">
        <f ca="1">IFERROR(__xludf.DUMMYFUNCTION("""COMPUTED_VALUE"""),"Nguyễn gia bảo")</f>
        <v>Nguyễn gia bảo</v>
      </c>
      <c r="J10154" s="2" t="str">
        <f ca="1">IFERROR(__xludf.DUMMYFUNCTION("""COMPUTED_VALUE"""),"0989548770")</f>
        <v>0989548770</v>
      </c>
      <c r="K10154" s="2" t="str">
        <f ca="1">IFERROR(__xludf.DUMMYFUNCTION("""COMPUTED_VALUE"""),"106157421870")</f>
        <v>106157421870</v>
      </c>
    </row>
    <row r="10155" spans="1:11" ht="12.45">
      <c r="A10155" s="2" t="str">
        <f ca="1">IFERROR(__xludf.DUMMYFUNCTION("""COMPUTED_VALUE"""),"106157421956")</f>
        <v>106157421956</v>
      </c>
      <c r="C10155" s="2" t="str">
        <v>0</v>
      </c>
      <c r="F10155" s="2" t="str">
        <v>0</v>
      </c>
      <c r="I10155" s="3" t="str">
        <f ca="1">IFERROR(__xludf.DUMMYFUNCTION("""COMPUTED_VALUE"""),"Anna Phương Van Tricht")</f>
        <v>Anna Phương Van Tricht</v>
      </c>
      <c r="J10155" s="2" t="str">
        <f ca="1">IFERROR(__xludf.DUMMYFUNCTION("""COMPUTED_VALUE"""),"0562401830")</f>
        <v>0562401830</v>
      </c>
      <c r="K10155" s="2" t="str">
        <f ca="1">IFERROR(__xludf.DUMMYFUNCTION("""COMPUTED_VALUE"""),"106157421956")</f>
        <v>106157421956</v>
      </c>
    </row>
    <row r="10156" spans="1:11" ht="12.45">
      <c r="A10156" s="2" t="str">
        <f ca="1">IFERROR(__xludf.DUMMYFUNCTION("""COMPUTED_VALUE"""),"106157422036")</f>
        <v>106157422036</v>
      </c>
      <c r="C10156" s="2" t="str">
        <v>0</v>
      </c>
      <c r="F10156" s="2" t="str">
        <v>0</v>
      </c>
      <c r="I10156" s="3" t="str">
        <f ca="1">IFERROR(__xludf.DUMMYFUNCTION("""COMPUTED_VALUE"""),"Nguyễn Thị Thu Ngân")</f>
        <v>Nguyễn Thị Thu Ngân</v>
      </c>
      <c r="J10156" s="2" t="str">
        <f ca="1">IFERROR(__xludf.DUMMYFUNCTION("""COMPUTED_VALUE"""),"0388508848")</f>
        <v>0388508848</v>
      </c>
      <c r="K10156" s="2" t="str">
        <f ca="1">IFERROR(__xludf.DUMMYFUNCTION("""COMPUTED_VALUE"""),"106157422036")</f>
        <v>106157422036</v>
      </c>
    </row>
    <row r="10157" spans="1:11" ht="12.45">
      <c r="A10157" s="2" t="str">
        <f ca="1">IFERROR(__xludf.DUMMYFUNCTION("""COMPUTED_VALUE"""),"106157422184")</f>
        <v>106157422184</v>
      </c>
      <c r="C10157" s="2" t="str">
        <v>0</v>
      </c>
      <c r="F10157" s="2" t="str">
        <v>0</v>
      </c>
      <c r="I10157" s="3" t="str">
        <f ca="1">IFERROR(__xludf.DUMMYFUNCTION("""COMPUTED_VALUE"""),"Nguyễn Thị Kim Ngọc ")</f>
        <v xml:space="preserve">Nguyễn Thị Kim Ngọc </v>
      </c>
      <c r="J10157" s="2" t="str">
        <f ca="1">IFERROR(__xludf.DUMMYFUNCTION("""COMPUTED_VALUE"""),"0988687628")</f>
        <v>0988687628</v>
      </c>
      <c r="K10157" s="2" t="str">
        <f ca="1">IFERROR(__xludf.DUMMYFUNCTION("""COMPUTED_VALUE"""),"106157422184")</f>
        <v>106157422184</v>
      </c>
    </row>
    <row r="10158" spans="1:11" ht="12.45">
      <c r="A10158" s="2" t="str">
        <f ca="1">IFERROR(__xludf.DUMMYFUNCTION("""COMPUTED_VALUE"""),"106157422448")</f>
        <v>106157422448</v>
      </c>
      <c r="C10158" s="2" t="str">
        <v>0</v>
      </c>
      <c r="F10158" s="2" t="str">
        <v>0</v>
      </c>
      <c r="I10158" s="3" t="str">
        <f ca="1">IFERROR(__xludf.DUMMYFUNCTION("""COMPUTED_VALUE"""),"Trần Lê Khánh Ngọc")</f>
        <v>Trần Lê Khánh Ngọc</v>
      </c>
      <c r="J10158" s="2" t="str">
        <f ca="1">IFERROR(__xludf.DUMMYFUNCTION("""COMPUTED_VALUE"""),"0822244752")</f>
        <v>0822244752</v>
      </c>
      <c r="K10158" s="2" t="str">
        <f ca="1">IFERROR(__xludf.DUMMYFUNCTION("""COMPUTED_VALUE"""),"106157422448")</f>
        <v>106157422448</v>
      </c>
    </row>
    <row r="10159" spans="1:11" ht="12.45">
      <c r="A10159" s="2" t="str">
        <f ca="1">IFERROR(__xludf.DUMMYFUNCTION("""COMPUTED_VALUE"""),"106157422766")</f>
        <v>106157422766</v>
      </c>
      <c r="C10159" s="2" t="str">
        <v>0</v>
      </c>
      <c r="F10159" s="2" t="str">
        <v>0</v>
      </c>
      <c r="I10159" s="3" t="str">
        <f ca="1">IFERROR(__xludf.DUMMYFUNCTION("""COMPUTED_VALUE"""),"Kiều Diễm Hằng")</f>
        <v>Kiều Diễm Hằng</v>
      </c>
      <c r="J10159" s="2" t="str">
        <f ca="1">IFERROR(__xludf.DUMMYFUNCTION("""COMPUTED_VALUE"""),"0985280045")</f>
        <v>0985280045</v>
      </c>
      <c r="K10159" s="2" t="str">
        <f ca="1">IFERROR(__xludf.DUMMYFUNCTION("""COMPUTED_VALUE"""),"106157422766")</f>
        <v>106157422766</v>
      </c>
    </row>
    <row r="10160" spans="1:11" ht="12.45">
      <c r="A10160" s="2" t="str">
        <f ca="1">IFERROR(__xludf.DUMMYFUNCTION("""COMPUTED_VALUE"""),"106157422919")</f>
        <v>106157422919</v>
      </c>
      <c r="C10160" s="2" t="str">
        <v>0</v>
      </c>
      <c r="F10160" s="2" t="str">
        <v>0</v>
      </c>
      <c r="I10160" s="3" t="str">
        <f ca="1">IFERROR(__xludf.DUMMYFUNCTION("""COMPUTED_VALUE"""),"Trần Ngọc Tường Vy")</f>
        <v>Trần Ngọc Tường Vy</v>
      </c>
      <c r="J10160" s="2" t="str">
        <f ca="1">IFERROR(__xludf.DUMMYFUNCTION("""COMPUTED_VALUE"""),"0862632609")</f>
        <v>0862632609</v>
      </c>
      <c r="K10160" s="2" t="str">
        <f ca="1">IFERROR(__xludf.DUMMYFUNCTION("""COMPUTED_VALUE"""),"106157422919")</f>
        <v>106157422919</v>
      </c>
    </row>
    <row r="10161" spans="1:11" ht="12.45">
      <c r="A10161" s="2" t="str">
        <f ca="1">IFERROR(__xludf.DUMMYFUNCTION("""COMPUTED_VALUE"""),"106159423236")</f>
        <v>106159423236</v>
      </c>
      <c r="C10161" s="2" t="str">
        <v>0</v>
      </c>
      <c r="F10161" s="2" t="str">
        <v>0</v>
      </c>
      <c r="I10161" s="3" t="str">
        <f ca="1">IFERROR(__xludf.DUMMYFUNCTION("""COMPUTED_VALUE"""),"đồng thị thanh hường")</f>
        <v>đồng thị thanh hường</v>
      </c>
      <c r="J10161" s="2" t="str">
        <f ca="1">IFERROR(__xludf.DUMMYFUNCTION("""COMPUTED_VALUE"""),"0886156285")</f>
        <v>0886156285</v>
      </c>
      <c r="K10161" s="2" t="str">
        <f ca="1">IFERROR(__xludf.DUMMYFUNCTION("""COMPUTED_VALUE"""),"106159423236")</f>
        <v>106159423236</v>
      </c>
    </row>
    <row r="10162" spans="1:11" ht="12.45">
      <c r="A10162" s="2" t="str">
        <f ca="1">IFERROR(__xludf.DUMMYFUNCTION("""COMPUTED_VALUE"""),"106159428917")</f>
        <v>106159428917</v>
      </c>
      <c r="C10162" s="2" t="str">
        <v>0</v>
      </c>
      <c r="F10162" s="2" t="str">
        <v>0</v>
      </c>
      <c r="I10162" s="3" t="str">
        <f ca="1">IFERROR(__xludf.DUMMYFUNCTION("""COMPUTED_VALUE"""),"Nguyễn Gia Khiêm")</f>
        <v>Nguyễn Gia Khiêm</v>
      </c>
      <c r="J10162" s="2" t="str">
        <f ca="1">IFERROR(__xludf.DUMMYFUNCTION("""COMPUTED_VALUE"""),"0967775198")</f>
        <v>0967775198</v>
      </c>
      <c r="K10162" s="2" t="str">
        <f ca="1">IFERROR(__xludf.DUMMYFUNCTION("""COMPUTED_VALUE"""),"106159428917")</f>
        <v>106159428917</v>
      </c>
    </row>
    <row r="10163" spans="1:11" ht="12.45">
      <c r="A10163" s="2" t="str">
        <f ca="1">IFERROR(__xludf.DUMMYFUNCTION("""COMPUTED_VALUE"""),"106159429019")</f>
        <v>106159429019</v>
      </c>
      <c r="C10163" s="2" t="str">
        <v>0</v>
      </c>
      <c r="F10163" s="2" t="str">
        <v>0</v>
      </c>
      <c r="I10163" s="3" t="str">
        <f ca="1">IFERROR(__xludf.DUMMYFUNCTION("""COMPUTED_VALUE"""),"Trương Thị Kim Tuyền")</f>
        <v>Trương Thị Kim Tuyền</v>
      </c>
      <c r="J10163" s="2" t="str">
        <f ca="1">IFERROR(__xludf.DUMMYFUNCTION("""COMPUTED_VALUE"""),"0352586401")</f>
        <v>0352586401</v>
      </c>
      <c r="K10163" s="2" t="str">
        <f ca="1">IFERROR(__xludf.DUMMYFUNCTION("""COMPUTED_VALUE"""),"106159429019")</f>
        <v>106159429019</v>
      </c>
    </row>
    <row r="10164" spans="1:11" ht="12.45">
      <c r="A10164" s="2" t="str">
        <f ca="1">IFERROR(__xludf.DUMMYFUNCTION("""COMPUTED_VALUE"""),"106159429218")</f>
        <v>106159429218</v>
      </c>
      <c r="C10164" s="2" t="str">
        <v>0</v>
      </c>
      <c r="F10164" s="2" t="str">
        <v>0</v>
      </c>
      <c r="I10164" s="3" t="str">
        <f ca="1">IFERROR(__xludf.DUMMYFUNCTION("""COMPUTED_VALUE"""),"Võ Quỳnh Mai")</f>
        <v>Võ Quỳnh Mai</v>
      </c>
      <c r="J10164" s="2" t="str">
        <f ca="1">IFERROR(__xludf.DUMMYFUNCTION("""COMPUTED_VALUE"""),"0898221373")</f>
        <v>0898221373</v>
      </c>
      <c r="K10164" s="2" t="str">
        <f ca="1">IFERROR(__xludf.DUMMYFUNCTION("""COMPUTED_VALUE"""),"106159429218")</f>
        <v>106159429218</v>
      </c>
    </row>
    <row r="10165" spans="1:11" ht="12.45">
      <c r="A10165" s="2" t="str">
        <f ca="1">IFERROR(__xludf.DUMMYFUNCTION("""COMPUTED_VALUE"""),"106159429438")</f>
        <v>106159429438</v>
      </c>
      <c r="C10165" s="2" t="str">
        <v>0</v>
      </c>
      <c r="F10165" s="2" t="str">
        <v>0</v>
      </c>
      <c r="I10165" s="3" t="str">
        <f ca="1">IFERROR(__xludf.DUMMYFUNCTION("""COMPUTED_VALUE"""),"Huỳnh Đắc Phát")</f>
        <v>Huỳnh Đắc Phát</v>
      </c>
      <c r="J10165" s="2" t="str">
        <f ca="1">IFERROR(__xludf.DUMMYFUNCTION("""COMPUTED_VALUE"""),"0703178178")</f>
        <v>0703178178</v>
      </c>
      <c r="K10165" s="2" t="str">
        <f ca="1">IFERROR(__xludf.DUMMYFUNCTION("""COMPUTED_VALUE"""),"106159429438")</f>
        <v>106159429438</v>
      </c>
    </row>
    <row r="10166" spans="1:11" ht="12.45">
      <c r="A10166" s="2" t="str">
        <f ca="1">IFERROR(__xludf.DUMMYFUNCTION("""COMPUTED_VALUE"""),"106159429741")</f>
        <v>106159429741</v>
      </c>
      <c r="C10166" s="2" t="str">
        <v>0</v>
      </c>
      <c r="F10166" s="2" t="str">
        <v>0</v>
      </c>
      <c r="I10166" s="3" t="str">
        <f ca="1">IFERROR(__xludf.DUMMYFUNCTION("""COMPUTED_VALUE"""),"Lê Minh Quang ")</f>
        <v xml:space="preserve">Lê Minh Quang </v>
      </c>
      <c r="J10166" s="2" t="str">
        <f ca="1">IFERROR(__xludf.DUMMYFUNCTION("""COMPUTED_VALUE"""),"0868103516")</f>
        <v>0868103516</v>
      </c>
      <c r="K10166" s="2" t="str">
        <f ca="1">IFERROR(__xludf.DUMMYFUNCTION("""COMPUTED_VALUE"""),"106159429741")</f>
        <v>106159429741</v>
      </c>
    </row>
    <row r="10167" spans="1:11" ht="12.45">
      <c r="A10167" s="2" t="str">
        <f ca="1">IFERROR(__xludf.DUMMYFUNCTION("""COMPUTED_VALUE"""),"106159429898")</f>
        <v>106159429898</v>
      </c>
      <c r="C10167" s="2" t="str">
        <v>0</v>
      </c>
      <c r="F10167" s="2" t="str">
        <v>0</v>
      </c>
      <c r="I10167" s="3" t="str">
        <f ca="1">IFERROR(__xludf.DUMMYFUNCTION("""COMPUTED_VALUE"""),"Nguyễn Thị Ngọc Thảo")</f>
        <v>Nguyễn Thị Ngọc Thảo</v>
      </c>
      <c r="J10167" s="2" t="str">
        <f ca="1">IFERROR(__xludf.DUMMYFUNCTION("""COMPUTED_VALUE"""),"0939868016")</f>
        <v>0939868016</v>
      </c>
      <c r="K10167" s="2" t="str">
        <f ca="1">IFERROR(__xludf.DUMMYFUNCTION("""COMPUTED_VALUE"""),"106159429898")</f>
        <v>106159429898</v>
      </c>
    </row>
    <row r="10168" spans="1:11" ht="12.45">
      <c r="A10168" s="2" t="str">
        <f ca="1">IFERROR(__xludf.DUMMYFUNCTION("""COMPUTED_VALUE"""),"106159430167")</f>
        <v>106159430167</v>
      </c>
      <c r="C10168" s="2" t="str">
        <v>0</v>
      </c>
      <c r="F10168" s="2" t="str">
        <v>0</v>
      </c>
      <c r="I10168" s="3" t="str">
        <f ca="1">IFERROR(__xludf.DUMMYFUNCTION("""COMPUTED_VALUE"""),"Trương Ngọc Anh ")</f>
        <v xml:space="preserve">Trương Ngọc Anh </v>
      </c>
      <c r="J10168" s="2" t="str">
        <f ca="1">IFERROR(__xludf.DUMMYFUNCTION("""COMPUTED_VALUE"""),"0375817069")</f>
        <v>0375817069</v>
      </c>
      <c r="K10168" s="2" t="str">
        <f ca="1">IFERROR(__xludf.DUMMYFUNCTION("""COMPUTED_VALUE"""),"106159430167")</f>
        <v>106159430167</v>
      </c>
    </row>
    <row r="10169" spans="1:11" ht="12.45">
      <c r="A10169" s="2" t="str">
        <f ca="1">IFERROR(__xludf.DUMMYFUNCTION("""COMPUTED_VALUE"""),"106159430276")</f>
        <v>106159430276</v>
      </c>
      <c r="C10169" s="2" t="str">
        <v>0</v>
      </c>
      <c r="F10169" s="2" t="str">
        <v>0</v>
      </c>
      <c r="I10169" s="3" t="str">
        <f ca="1">IFERROR(__xludf.DUMMYFUNCTION("""COMPUTED_VALUE"""),"Đặng Lê Khánh Chi")</f>
        <v>Đặng Lê Khánh Chi</v>
      </c>
      <c r="J10169" s="2" t="str">
        <f ca="1">IFERROR(__xludf.DUMMYFUNCTION("""COMPUTED_VALUE"""),"0915362887")</f>
        <v>0915362887</v>
      </c>
      <c r="K10169" s="2" t="str">
        <f ca="1">IFERROR(__xludf.DUMMYFUNCTION("""COMPUTED_VALUE"""),"106159430276")</f>
        <v>106159430276</v>
      </c>
    </row>
    <row r="10170" spans="1:11" ht="12.45">
      <c r="A10170" s="2" t="str">
        <f ca="1">IFERROR(__xludf.DUMMYFUNCTION("""COMPUTED_VALUE"""),"106159430364")</f>
        <v>106159430364</v>
      </c>
      <c r="C10170" s="2" t="str">
        <v>0</v>
      </c>
      <c r="F10170" s="2" t="str">
        <v>0</v>
      </c>
      <c r="I10170" s="3" t="str">
        <f ca="1">IFERROR(__xludf.DUMMYFUNCTION("""COMPUTED_VALUE"""),"Nguyễn Hoàng Bảo Phương")</f>
        <v>Nguyễn Hoàng Bảo Phương</v>
      </c>
      <c r="J10170" s="2" t="str">
        <f ca="1">IFERROR(__xludf.DUMMYFUNCTION("""COMPUTED_VALUE"""),"0968883032")</f>
        <v>0968883032</v>
      </c>
      <c r="K10170" s="2" t="str">
        <f ca="1">IFERROR(__xludf.DUMMYFUNCTION("""COMPUTED_VALUE"""),"106159430364")</f>
        <v>106159430364</v>
      </c>
    </row>
    <row r="10171" spans="1:11" ht="12.45">
      <c r="A10171" s="2" t="str">
        <f ca="1">IFERROR(__xludf.DUMMYFUNCTION("""COMPUTED_VALUE"""),"106159430411")</f>
        <v>106159430411</v>
      </c>
      <c r="C10171" s="2" t="str">
        <v>0</v>
      </c>
      <c r="F10171" s="2" t="str">
        <v>0</v>
      </c>
      <c r="I10171" s="3" t="str">
        <f ca="1">IFERROR(__xludf.DUMMYFUNCTION("""COMPUTED_VALUE"""),"Thào A VƯ ")</f>
        <v xml:space="preserve">Thào A VƯ </v>
      </c>
      <c r="J10171" s="2" t="str">
        <f ca="1">IFERROR(__xludf.DUMMYFUNCTION("""COMPUTED_VALUE"""),"0912093472")</f>
        <v>0912093472</v>
      </c>
      <c r="K10171" s="2" t="str">
        <f ca="1">IFERROR(__xludf.DUMMYFUNCTION("""COMPUTED_VALUE"""),"106159430411")</f>
        <v>106159430411</v>
      </c>
    </row>
    <row r="10172" spans="1:11" ht="12.45">
      <c r="A10172" s="2" t="str">
        <f ca="1">IFERROR(__xludf.DUMMYFUNCTION("""COMPUTED_VALUE"""),"106159430711")</f>
        <v>106159430711</v>
      </c>
      <c r="C10172" s="2" t="str">
        <v>0</v>
      </c>
      <c r="F10172" s="2" t="str">
        <v>0</v>
      </c>
      <c r="I10172" s="3" t="str">
        <f ca="1">IFERROR(__xludf.DUMMYFUNCTION("""COMPUTED_VALUE"""),"Trương Yến Chi ")</f>
        <v xml:space="preserve">Trương Yến Chi </v>
      </c>
      <c r="J10172" s="2" t="str">
        <f ca="1">IFERROR(__xludf.DUMMYFUNCTION("""COMPUTED_VALUE"""),"0919628884")</f>
        <v>0919628884</v>
      </c>
      <c r="K10172" s="2" t="str">
        <f ca="1">IFERROR(__xludf.DUMMYFUNCTION("""COMPUTED_VALUE"""),"106159430711")</f>
        <v>106159430711</v>
      </c>
    </row>
    <row r="10173" spans="1:11" ht="12.45">
      <c r="A10173" s="2" t="str">
        <f ca="1">IFERROR(__xludf.DUMMYFUNCTION("""COMPUTED_VALUE"""),"106159430864")</f>
        <v>106159430864</v>
      </c>
      <c r="C10173" s="2" t="str">
        <v>0</v>
      </c>
      <c r="F10173" s="2" t="str">
        <v>0</v>
      </c>
      <c r="I10173" s="3" t="str">
        <f ca="1">IFERROR(__xludf.DUMMYFUNCTION("""COMPUTED_VALUE"""),"Lang Thị Hồng Ánh ")</f>
        <v xml:space="preserve">Lang Thị Hồng Ánh </v>
      </c>
      <c r="J10173" s="2" t="str">
        <f ca="1">IFERROR(__xludf.DUMMYFUNCTION("""COMPUTED_VALUE"""),"0868004430")</f>
        <v>0868004430</v>
      </c>
      <c r="K10173" s="2" t="str">
        <f ca="1">IFERROR(__xludf.DUMMYFUNCTION("""COMPUTED_VALUE"""),"106159430864")</f>
        <v>106159430864</v>
      </c>
    </row>
    <row r="10174" spans="1:11" ht="12.45">
      <c r="A10174" s="2" t="str">
        <f ca="1">IFERROR(__xludf.DUMMYFUNCTION("""COMPUTED_VALUE"""),"106159431078")</f>
        <v>106159431078</v>
      </c>
      <c r="C10174" s="2" t="str">
        <v>0</v>
      </c>
      <c r="F10174" s="2" t="str">
        <v>0</v>
      </c>
      <c r="I10174" s="3" t="str">
        <f ca="1">IFERROR(__xludf.DUMMYFUNCTION("""COMPUTED_VALUE"""),"Tăng Hoài Thương")</f>
        <v>Tăng Hoài Thương</v>
      </c>
      <c r="J10174" s="2" t="str">
        <f ca="1">IFERROR(__xludf.DUMMYFUNCTION("""COMPUTED_VALUE"""),"0964125955")</f>
        <v>0964125955</v>
      </c>
      <c r="K10174" s="2" t="str">
        <f ca="1">IFERROR(__xludf.DUMMYFUNCTION("""COMPUTED_VALUE"""),"106159431078")</f>
        <v>106159431078</v>
      </c>
    </row>
    <row r="10175" spans="1:11" ht="12.45">
      <c r="A10175" s="2" t="str">
        <f ca="1">IFERROR(__xludf.DUMMYFUNCTION("""COMPUTED_VALUE"""),"106159431131")</f>
        <v>106159431131</v>
      </c>
      <c r="C10175" s="2" t="str">
        <v>0</v>
      </c>
      <c r="F10175" s="2" t="str">
        <v>0</v>
      </c>
      <c r="I10175" s="3" t="str">
        <f ca="1">IFERROR(__xludf.DUMMYFUNCTION("""COMPUTED_VALUE"""),"Nguyễn Mai Anh")</f>
        <v>Nguyễn Mai Anh</v>
      </c>
      <c r="J10175" s="2" t="str">
        <f ca="1">IFERROR(__xludf.DUMMYFUNCTION("""COMPUTED_VALUE"""),"0868272007")</f>
        <v>0868272007</v>
      </c>
      <c r="K10175" s="2" t="str">
        <f ca="1">IFERROR(__xludf.DUMMYFUNCTION("""COMPUTED_VALUE"""),"106159431131")</f>
        <v>106159431131</v>
      </c>
    </row>
    <row r="10176" spans="1:11" ht="12.45">
      <c r="A10176" s="2" t="str">
        <f ca="1">IFERROR(__xludf.DUMMYFUNCTION("""COMPUTED_VALUE"""),"106159431279")</f>
        <v>106159431279</v>
      </c>
      <c r="C10176" s="2" t="str">
        <v>0</v>
      </c>
      <c r="F10176" s="2" t="str">
        <v>0</v>
      </c>
      <c r="I10176" s="3" t="str">
        <f ca="1">IFERROR(__xludf.DUMMYFUNCTION("""COMPUTED_VALUE"""),"K ' Loan")</f>
        <v>K ' Loan</v>
      </c>
      <c r="J10176" s="2" t="str">
        <f ca="1">IFERROR(__xludf.DUMMYFUNCTION("""COMPUTED_VALUE"""),"0817704979")</f>
        <v>0817704979</v>
      </c>
      <c r="K10176" s="2" t="str">
        <f ca="1">IFERROR(__xludf.DUMMYFUNCTION("""COMPUTED_VALUE"""),"106159431279")</f>
        <v>106159431279</v>
      </c>
    </row>
    <row r="10177" spans="1:11" ht="12.45">
      <c r="A10177" s="2" t="str">
        <f ca="1">IFERROR(__xludf.DUMMYFUNCTION("""COMPUTED_VALUE"""),"106159431377")</f>
        <v>106159431377</v>
      </c>
      <c r="C10177" s="2" t="str">
        <v>0</v>
      </c>
      <c r="F10177" s="2" t="str">
        <v>0</v>
      </c>
      <c r="I10177" s="3" t="str">
        <f ca="1">IFERROR(__xludf.DUMMYFUNCTION("""COMPUTED_VALUE"""),"Đặng Thanh Mai")</f>
        <v>Đặng Thanh Mai</v>
      </c>
      <c r="J10177" s="2" t="str">
        <f ca="1">IFERROR(__xludf.DUMMYFUNCTION("""COMPUTED_VALUE"""),"0339300876")</f>
        <v>0339300876</v>
      </c>
      <c r="K10177" s="2" t="str">
        <f ca="1">IFERROR(__xludf.DUMMYFUNCTION("""COMPUTED_VALUE"""),"106159431377")</f>
        <v>106159431377</v>
      </c>
    </row>
    <row r="10178" spans="1:11" ht="12.45">
      <c r="A10178" s="2" t="str">
        <f ca="1">IFERROR(__xludf.DUMMYFUNCTION("""COMPUTED_VALUE"""),"106159431438")</f>
        <v>106159431438</v>
      </c>
      <c r="C10178" s="2" t="str">
        <v>0</v>
      </c>
      <c r="F10178" s="2" t="str">
        <v>0</v>
      </c>
      <c r="I10178" s="3" t="str">
        <f ca="1">IFERROR(__xludf.DUMMYFUNCTION("""COMPUTED_VALUE"""),"Hoàng Quỳnh Anh")</f>
        <v>Hoàng Quỳnh Anh</v>
      </c>
      <c r="J10178" s="2" t="str">
        <f ca="1">IFERROR(__xludf.DUMMYFUNCTION("""COMPUTED_VALUE"""),"0902088206")</f>
        <v>0902088206</v>
      </c>
      <c r="K10178" s="2" t="str">
        <f ca="1">IFERROR(__xludf.DUMMYFUNCTION("""COMPUTED_VALUE"""),"106159431438")</f>
        <v>106159431438</v>
      </c>
    </row>
    <row r="10179" spans="1:11" ht="12.45">
      <c r="A10179" s="2" t="str">
        <f ca="1">IFERROR(__xludf.DUMMYFUNCTION("""COMPUTED_VALUE"""),"106159431559")</f>
        <v>106159431559</v>
      </c>
      <c r="C10179" s="2" t="str">
        <v>0</v>
      </c>
      <c r="F10179" s="2" t="str">
        <v>0</v>
      </c>
      <c r="I10179" s="3" t="str">
        <f ca="1">IFERROR(__xludf.DUMMYFUNCTION("""COMPUTED_VALUE"""),"Nguyễn Phương Trang")</f>
        <v>Nguyễn Phương Trang</v>
      </c>
      <c r="J10179" s="2" t="str">
        <f ca="1">IFERROR(__xludf.DUMMYFUNCTION("""COMPUTED_VALUE"""),"0357791452")</f>
        <v>0357791452</v>
      </c>
      <c r="K10179" s="2" t="str">
        <f ca="1">IFERROR(__xludf.DUMMYFUNCTION("""COMPUTED_VALUE"""),"106159431559")</f>
        <v>106159431559</v>
      </c>
    </row>
    <row r="10180" spans="1:11" ht="12.45">
      <c r="A10180" s="2" t="str">
        <f ca="1">IFERROR(__xludf.DUMMYFUNCTION("""COMPUTED_VALUE"""),"106159431771")</f>
        <v>106159431771</v>
      </c>
      <c r="C10180" s="2" t="str">
        <v>0</v>
      </c>
      <c r="F10180" s="2" t="str">
        <v>0</v>
      </c>
      <c r="I10180" s="3" t="str">
        <f ca="1">IFERROR(__xludf.DUMMYFUNCTION("""COMPUTED_VALUE"""),"Bùi Nguyễn Thái An")</f>
        <v>Bùi Nguyễn Thái An</v>
      </c>
      <c r="J10180" s="2" t="str">
        <f ca="1">IFERROR(__xludf.DUMMYFUNCTION("""COMPUTED_VALUE"""),"0974270607")</f>
        <v>0974270607</v>
      </c>
      <c r="K10180" s="2" t="str">
        <f ca="1">IFERROR(__xludf.DUMMYFUNCTION("""COMPUTED_VALUE"""),"106159431771")</f>
        <v>106159431771</v>
      </c>
    </row>
    <row r="10181" spans="1:11" ht="12.45">
      <c r="A10181" s="2" t="str">
        <f ca="1">IFERROR(__xludf.DUMMYFUNCTION("""COMPUTED_VALUE"""),"106159431830")</f>
        <v>106159431830</v>
      </c>
      <c r="C10181" s="2" t="str">
        <v>0</v>
      </c>
      <c r="F10181" s="2" t="str">
        <v>0</v>
      </c>
      <c r="I10181" s="3" t="str">
        <f ca="1">IFERROR(__xludf.DUMMYFUNCTION("""COMPUTED_VALUE"""),"Nguyễn Thị Tường Vy")</f>
        <v>Nguyễn Thị Tường Vy</v>
      </c>
      <c r="J10181" s="2" t="str">
        <f ca="1">IFERROR(__xludf.DUMMYFUNCTION("""COMPUTED_VALUE"""),"0775588682")</f>
        <v>0775588682</v>
      </c>
      <c r="K10181" s="2" t="str">
        <f ca="1">IFERROR(__xludf.DUMMYFUNCTION("""COMPUTED_VALUE"""),"106159431830")</f>
        <v>106159431830</v>
      </c>
    </row>
    <row r="10182" spans="1:11" ht="12.45">
      <c r="A10182" s="2" t="str">
        <f ca="1">IFERROR(__xludf.DUMMYFUNCTION("""COMPUTED_VALUE"""),"106159431985")</f>
        <v>106159431985</v>
      </c>
      <c r="C10182" s="2" t="str">
        <v>0</v>
      </c>
      <c r="F10182" s="2" t="str">
        <v>0</v>
      </c>
      <c r="I10182" s="3" t="str">
        <f ca="1">IFERROR(__xludf.DUMMYFUNCTION("""COMPUTED_VALUE"""),"Lê Thị Hương Trà")</f>
        <v>Lê Thị Hương Trà</v>
      </c>
      <c r="J10182" s="2" t="str">
        <f ca="1">IFERROR(__xludf.DUMMYFUNCTION("""COMPUTED_VALUE"""),"0327789225")</f>
        <v>0327789225</v>
      </c>
      <c r="K10182" s="2" t="str">
        <f ca="1">IFERROR(__xludf.DUMMYFUNCTION("""COMPUTED_VALUE"""),"106159431985")</f>
        <v>106159431985</v>
      </c>
    </row>
    <row r="10183" spans="1:11" ht="12.45">
      <c r="A10183" s="2" t="str">
        <f ca="1">IFERROR(__xludf.DUMMYFUNCTION("""COMPUTED_VALUE"""),"106159432193")</f>
        <v>106159432193</v>
      </c>
      <c r="C10183" s="2" t="str">
        <v>0</v>
      </c>
      <c r="F10183" s="2" t="str">
        <v>0</v>
      </c>
      <c r="I10183" s="3" t="str">
        <f ca="1">IFERROR(__xludf.DUMMYFUNCTION("""COMPUTED_VALUE"""),"Trần Hữu Đan")</f>
        <v>Trần Hữu Đan</v>
      </c>
      <c r="J10183" s="2" t="str">
        <f ca="1">IFERROR(__xludf.DUMMYFUNCTION("""COMPUTED_VALUE"""),"0846997273")</f>
        <v>0846997273</v>
      </c>
      <c r="K10183" s="2" t="str">
        <f ca="1">IFERROR(__xludf.DUMMYFUNCTION("""COMPUTED_VALUE"""),"106159432193")</f>
        <v>106159432193</v>
      </c>
    </row>
    <row r="10184" spans="1:11" ht="12.45">
      <c r="A10184" s="2" t="str">
        <f ca="1">IFERROR(__xludf.DUMMYFUNCTION("""COMPUTED_VALUE"""),"106159432211")</f>
        <v>106159432211</v>
      </c>
      <c r="C10184" s="2" t="str">
        <v>0</v>
      </c>
      <c r="F10184" s="2" t="str">
        <v>0</v>
      </c>
      <c r="I10184" s="3" t="str">
        <f ca="1">IFERROR(__xludf.DUMMYFUNCTION("""COMPUTED_VALUE"""),"Nguyễn Thị Yến Nhi ")</f>
        <v xml:space="preserve">Nguyễn Thị Yến Nhi </v>
      </c>
      <c r="J10184" s="2" t="str">
        <f ca="1">IFERROR(__xludf.DUMMYFUNCTION("""COMPUTED_VALUE"""),"0984783058")</f>
        <v>0984783058</v>
      </c>
      <c r="K10184" s="2" t="str">
        <f ca="1">IFERROR(__xludf.DUMMYFUNCTION("""COMPUTED_VALUE"""),"106159432211")</f>
        <v>106159432211</v>
      </c>
    </row>
    <row r="10185" spans="1:11" ht="12.45">
      <c r="A10185" s="2" t="str">
        <f ca="1">IFERROR(__xludf.DUMMYFUNCTION("""COMPUTED_VALUE"""),"106159432350")</f>
        <v>106159432350</v>
      </c>
      <c r="C10185" s="2" t="str">
        <v>0</v>
      </c>
      <c r="F10185" s="2" t="str">
        <v>0</v>
      </c>
      <c r="I10185" s="3" t="str">
        <f ca="1">IFERROR(__xludf.DUMMYFUNCTION("""COMPUTED_VALUE"""),"Nguyễn Phương Thảo")</f>
        <v>Nguyễn Phương Thảo</v>
      </c>
      <c r="J10185" s="2" t="str">
        <f ca="1">IFERROR(__xludf.DUMMYFUNCTION("""COMPUTED_VALUE"""),"0974489629")</f>
        <v>0974489629</v>
      </c>
      <c r="K10185" s="2" t="str">
        <f ca="1">IFERROR(__xludf.DUMMYFUNCTION("""COMPUTED_VALUE"""),"106159432350")</f>
        <v>106159432350</v>
      </c>
    </row>
    <row r="10186" spans="1:11" ht="12.45">
      <c r="A10186" s="2" t="str">
        <f ca="1">IFERROR(__xludf.DUMMYFUNCTION("""COMPUTED_VALUE"""),"106159432430")</f>
        <v>106159432430</v>
      </c>
      <c r="C10186" s="2" t="str">
        <v>0</v>
      </c>
      <c r="F10186" s="2" t="str">
        <v>0</v>
      </c>
      <c r="I10186" s="3" t="str">
        <f ca="1">IFERROR(__xludf.DUMMYFUNCTION("""COMPUTED_VALUE"""),"Phan Thị Kiều Nga")</f>
        <v>Phan Thị Kiều Nga</v>
      </c>
      <c r="J10186" s="2" t="str">
        <f ca="1">IFERROR(__xludf.DUMMYFUNCTION("""COMPUTED_VALUE"""),"0966194031")</f>
        <v>0966194031</v>
      </c>
      <c r="K10186" s="2" t="str">
        <f ca="1">IFERROR(__xludf.DUMMYFUNCTION("""COMPUTED_VALUE"""),"106159432430")</f>
        <v>106159432430</v>
      </c>
    </row>
    <row r="10187" spans="1:11" ht="12.45">
      <c r="A10187" s="2" t="str">
        <f ca="1">IFERROR(__xludf.DUMMYFUNCTION("""COMPUTED_VALUE"""),"106159432534")</f>
        <v>106159432534</v>
      </c>
      <c r="C10187" s="2" t="str">
        <v>0</v>
      </c>
      <c r="F10187" s="2" t="str">
        <v>0</v>
      </c>
      <c r="I10187" s="3" t="str">
        <f ca="1">IFERROR(__xludf.DUMMYFUNCTION("""COMPUTED_VALUE"""),"Khuất Phương Vi")</f>
        <v>Khuất Phương Vi</v>
      </c>
      <c r="J10187" s="2" t="str">
        <f ca="1">IFERROR(__xludf.DUMMYFUNCTION("""COMPUTED_VALUE"""),"0982434361")</f>
        <v>0982434361</v>
      </c>
      <c r="K10187" s="2" t="str">
        <f ca="1">IFERROR(__xludf.DUMMYFUNCTION("""COMPUTED_VALUE"""),"106159432534")</f>
        <v>106159432534</v>
      </c>
    </row>
    <row r="10188" spans="1:11" ht="12.45">
      <c r="A10188" s="2" t="str">
        <f ca="1">IFERROR(__xludf.DUMMYFUNCTION("""COMPUTED_VALUE"""),"106159432768")</f>
        <v>106159432768</v>
      </c>
      <c r="C10188" s="2" t="str">
        <v>0</v>
      </c>
      <c r="F10188" s="2" t="str">
        <v>0</v>
      </c>
      <c r="I10188" s="3" t="str">
        <f ca="1">IFERROR(__xludf.DUMMYFUNCTION("""COMPUTED_VALUE"""),"Bùi Thu Thảo")</f>
        <v>Bùi Thu Thảo</v>
      </c>
      <c r="J10188" s="2" t="str">
        <f ca="1">IFERROR(__xludf.DUMMYFUNCTION("""COMPUTED_VALUE"""),"0369067584")</f>
        <v>0369067584</v>
      </c>
      <c r="K10188" s="2" t="str">
        <f ca="1">IFERROR(__xludf.DUMMYFUNCTION("""COMPUTED_VALUE"""),"106159432768")</f>
        <v>106159432768</v>
      </c>
    </row>
    <row r="10189" spans="1:11" ht="12.45">
      <c r="A10189" s="2" t="str">
        <f ca="1">IFERROR(__xludf.DUMMYFUNCTION("""COMPUTED_VALUE"""),"106159432841")</f>
        <v>106159432841</v>
      </c>
      <c r="C10189" s="2" t="str">
        <v>0</v>
      </c>
      <c r="F10189" s="2" t="str">
        <v>0</v>
      </c>
      <c r="I10189" s="3" t="str">
        <f ca="1">IFERROR(__xludf.DUMMYFUNCTION("""COMPUTED_VALUE"""),"Nguyễn Thị Thanh Xuân")</f>
        <v>Nguyễn Thị Thanh Xuân</v>
      </c>
      <c r="J10189" s="2" t="str">
        <f ca="1">IFERROR(__xludf.DUMMYFUNCTION("""COMPUTED_VALUE"""),"0358592007")</f>
        <v>0358592007</v>
      </c>
      <c r="K10189" s="2" t="str">
        <f ca="1">IFERROR(__xludf.DUMMYFUNCTION("""COMPUTED_VALUE"""),"106159432841")</f>
        <v>106159432841</v>
      </c>
    </row>
    <row r="10190" spans="1:11" ht="12.45">
      <c r="A10190" s="2" t="str">
        <f ca="1">IFERROR(__xludf.DUMMYFUNCTION("""COMPUTED_VALUE"""),"106159433069")</f>
        <v>106159433069</v>
      </c>
      <c r="C10190" s="2" t="str">
        <v>0</v>
      </c>
      <c r="F10190" s="2" t="str">
        <v>0</v>
      </c>
      <c r="I10190" s="3" t="str">
        <f ca="1">IFERROR(__xludf.DUMMYFUNCTION("""COMPUTED_VALUE"""),"Nguyễn Ngọc Quỳnh Như")</f>
        <v>Nguyễn Ngọc Quỳnh Như</v>
      </c>
      <c r="J10190" s="2" t="str">
        <f ca="1">IFERROR(__xludf.DUMMYFUNCTION("""COMPUTED_VALUE"""),"0947012610")</f>
        <v>0947012610</v>
      </c>
      <c r="K10190" s="2" t="str">
        <f ca="1">IFERROR(__xludf.DUMMYFUNCTION("""COMPUTED_VALUE"""),"106159433069")</f>
        <v>106159433069</v>
      </c>
    </row>
    <row r="10191" spans="1:11" ht="12.45">
      <c r="A10191" s="2" t="str">
        <f ca="1">IFERROR(__xludf.DUMMYFUNCTION("""COMPUTED_VALUE"""),"106159433112")</f>
        <v>106159433112</v>
      </c>
      <c r="C10191" s="2" t="str">
        <v>0</v>
      </c>
      <c r="F10191" s="2" t="str">
        <v>0</v>
      </c>
      <c r="I10191" s="3" t="str">
        <f ca="1">IFERROR(__xludf.DUMMYFUNCTION("""COMPUTED_VALUE"""),"Lê Thị Xuân Quyền ")</f>
        <v xml:space="preserve">Lê Thị Xuân Quyền </v>
      </c>
      <c r="J10191" s="2" t="str">
        <f ca="1">IFERROR(__xludf.DUMMYFUNCTION("""COMPUTED_VALUE"""),"0364518174")</f>
        <v>0364518174</v>
      </c>
      <c r="K10191" s="2" t="str">
        <f ca="1">IFERROR(__xludf.DUMMYFUNCTION("""COMPUTED_VALUE"""),"106159433112")</f>
        <v>106159433112</v>
      </c>
    </row>
    <row r="10192" spans="1:11" ht="12.45">
      <c r="A10192" s="2" t="str">
        <f ca="1">IFERROR(__xludf.DUMMYFUNCTION("""COMPUTED_VALUE"""),"106159433290")</f>
        <v>106159433290</v>
      </c>
      <c r="C10192" s="2" t="str">
        <v>0</v>
      </c>
      <c r="F10192" s="2" t="str">
        <v>0</v>
      </c>
      <c r="I10192" s="3" t="str">
        <f ca="1">IFERROR(__xludf.DUMMYFUNCTION("""COMPUTED_VALUE"""),"Dương Thị Thanh Thuý ")</f>
        <v xml:space="preserve">Dương Thị Thanh Thuý </v>
      </c>
      <c r="J10192" s="2" t="str">
        <f ca="1">IFERROR(__xludf.DUMMYFUNCTION("""COMPUTED_VALUE"""),"0334340262")</f>
        <v>0334340262</v>
      </c>
      <c r="K10192" s="2" t="str">
        <f ca="1">IFERROR(__xludf.DUMMYFUNCTION("""COMPUTED_VALUE"""),"106159433290")</f>
        <v>106159433290</v>
      </c>
    </row>
    <row r="10193" spans="1:11" ht="12.45">
      <c r="A10193" s="2" t="str">
        <f ca="1">IFERROR(__xludf.DUMMYFUNCTION("""COMPUTED_VALUE"""),"106159433339")</f>
        <v>106159433339</v>
      </c>
      <c r="C10193" s="2" t="str">
        <v>0</v>
      </c>
      <c r="F10193" s="2" t="str">
        <v>0</v>
      </c>
      <c r="I10193" s="3" t="str">
        <f ca="1">IFERROR(__xludf.DUMMYFUNCTION("""COMPUTED_VALUE"""),"Nghiêm Thương Huyền")</f>
        <v>Nghiêm Thương Huyền</v>
      </c>
      <c r="J10193" s="2" t="str">
        <f ca="1">IFERROR(__xludf.DUMMYFUNCTION("""COMPUTED_VALUE"""),"0327892898")</f>
        <v>0327892898</v>
      </c>
      <c r="K10193" s="2" t="str">
        <f ca="1">IFERROR(__xludf.DUMMYFUNCTION("""COMPUTED_VALUE"""),"106159433339")</f>
        <v>106159433339</v>
      </c>
    </row>
    <row r="10194" spans="1:11" ht="12.45">
      <c r="A10194" s="2" t="str">
        <f ca="1">IFERROR(__xludf.DUMMYFUNCTION("""COMPUTED_VALUE"""),"106159433544")</f>
        <v>106159433544</v>
      </c>
      <c r="C10194" s="2" t="str">
        <v>0</v>
      </c>
      <c r="F10194" s="2" t="str">
        <v>0</v>
      </c>
      <c r="I10194" s="3" t="str">
        <f ca="1">IFERROR(__xludf.DUMMYFUNCTION("""COMPUTED_VALUE"""),"Phạm Ngọc Tâm ")</f>
        <v xml:space="preserve">Phạm Ngọc Tâm </v>
      </c>
      <c r="J10194" s="2" t="str">
        <f ca="1">IFERROR(__xludf.DUMMYFUNCTION("""COMPUTED_VALUE"""),"0966470507")</f>
        <v>0966470507</v>
      </c>
      <c r="K10194" s="2" t="str">
        <f ca="1">IFERROR(__xludf.DUMMYFUNCTION("""COMPUTED_VALUE"""),"106159433544")</f>
        <v>106159433544</v>
      </c>
    </row>
    <row r="10195" spans="1:11" ht="12.45">
      <c r="A10195" s="2" t="str">
        <f ca="1">IFERROR(__xludf.DUMMYFUNCTION("""COMPUTED_VALUE"""),"106159433698")</f>
        <v>106159433698</v>
      </c>
      <c r="C10195" s="2" t="str">
        <v>0</v>
      </c>
      <c r="F10195" s="2" t="str">
        <v>0</v>
      </c>
      <c r="I10195" s="3" t="str">
        <f ca="1">IFERROR(__xludf.DUMMYFUNCTION("""COMPUTED_VALUE"""),"Đặng Trần Khang Duy")</f>
        <v>Đặng Trần Khang Duy</v>
      </c>
      <c r="J10195" s="2" t="str">
        <f ca="1">IFERROR(__xludf.DUMMYFUNCTION("""COMPUTED_VALUE"""),"0795453701")</f>
        <v>0795453701</v>
      </c>
      <c r="K10195" s="2" t="str">
        <f ca="1">IFERROR(__xludf.DUMMYFUNCTION("""COMPUTED_VALUE"""),"106159433698")</f>
        <v>106159433698</v>
      </c>
    </row>
    <row r="10196" spans="1:11" ht="12.45">
      <c r="A10196" s="2" t="str">
        <f ca="1">IFERROR(__xludf.DUMMYFUNCTION("""COMPUTED_VALUE"""),"106159433885")</f>
        <v>106159433885</v>
      </c>
      <c r="C10196" s="2" t="str">
        <v>0</v>
      </c>
      <c r="F10196" s="2" t="str">
        <v>0</v>
      </c>
      <c r="I10196" s="3" t="str">
        <f ca="1">IFERROR(__xludf.DUMMYFUNCTION("""COMPUTED_VALUE"""),"Phạm Vân Anh")</f>
        <v>Phạm Vân Anh</v>
      </c>
      <c r="J10196" s="2" t="str">
        <f ca="1">IFERROR(__xludf.DUMMYFUNCTION("""COMPUTED_VALUE"""),"0862507599")</f>
        <v>0862507599</v>
      </c>
      <c r="K10196" s="2" t="str">
        <f ca="1">IFERROR(__xludf.DUMMYFUNCTION("""COMPUTED_VALUE"""),"106159433885")</f>
        <v>106159433885</v>
      </c>
    </row>
    <row r="10197" spans="1:11" ht="12.45">
      <c r="A10197" s="2" t="str">
        <f ca="1">IFERROR(__xludf.DUMMYFUNCTION("""COMPUTED_VALUE"""),"106159433914")</f>
        <v>106159433914</v>
      </c>
      <c r="C10197" s="2" t="str">
        <v>0</v>
      </c>
      <c r="F10197" s="2" t="str">
        <v>0</v>
      </c>
      <c r="I10197" s="3" t="str">
        <f ca="1">IFERROR(__xludf.DUMMYFUNCTION("""COMPUTED_VALUE"""),"Nguyễn Thị Châu Ngọc")</f>
        <v>Nguyễn Thị Châu Ngọc</v>
      </c>
      <c r="J10197" s="2" t="str">
        <f ca="1">IFERROR(__xludf.DUMMYFUNCTION("""COMPUTED_VALUE"""),"0964116342")</f>
        <v>0964116342</v>
      </c>
      <c r="K10197" s="2" t="str">
        <f ca="1">IFERROR(__xludf.DUMMYFUNCTION("""COMPUTED_VALUE"""),"106159433914")</f>
        <v>106159433914</v>
      </c>
    </row>
    <row r="10198" spans="1:11" ht="12.45">
      <c r="A10198" s="2" t="str">
        <f ca="1">IFERROR(__xludf.DUMMYFUNCTION("""COMPUTED_VALUE"""),"106159434040")</f>
        <v>106159434040</v>
      </c>
      <c r="C10198" s="2" t="str">
        <v>0</v>
      </c>
      <c r="F10198" s="2" t="str">
        <v>0</v>
      </c>
      <c r="I10198" s="3" t="str">
        <f ca="1">IFERROR(__xludf.DUMMYFUNCTION("""COMPUTED_VALUE"""),"Nguyễn Thị Thuỳ Dương")</f>
        <v>Nguyễn Thị Thuỳ Dương</v>
      </c>
      <c r="J10198" s="2" t="str">
        <f ca="1">IFERROR(__xludf.DUMMYFUNCTION("""COMPUTED_VALUE"""),"0396007282")</f>
        <v>0396007282</v>
      </c>
      <c r="K10198" s="2" t="str">
        <f ca="1">IFERROR(__xludf.DUMMYFUNCTION("""COMPUTED_VALUE"""),"106159434040")</f>
        <v>106159434040</v>
      </c>
    </row>
    <row r="10199" spans="1:11" ht="12.45">
      <c r="A10199" s="2" t="str">
        <f ca="1">IFERROR(__xludf.DUMMYFUNCTION("""COMPUTED_VALUE"""),"106643735869")</f>
        <v>106643735869</v>
      </c>
      <c r="C10199" s="2" t="str">
        <v>0</v>
      </c>
      <c r="F10199" s="2" t="str">
        <v>0</v>
      </c>
      <c r="I10199" s="3" t="str">
        <f ca="1">IFERROR(__xludf.DUMMYFUNCTION("""COMPUTED_VALUE"""),"Thái Ngọc Tuyết")</f>
        <v>Thái Ngọc Tuyết</v>
      </c>
      <c r="J10199" s="2" t="str">
        <f ca="1">IFERROR(__xludf.DUMMYFUNCTION("""COMPUTED_VALUE"""),"0907866425")</f>
        <v>0907866425</v>
      </c>
      <c r="K10199" s="2" t="str">
        <f ca="1">IFERROR(__xludf.DUMMYFUNCTION("""COMPUTED_VALUE"""),"106643735869")</f>
        <v>106643735869</v>
      </c>
    </row>
    <row r="10200" spans="1:11" ht="12.45">
      <c r="A10200" s="2">
        <f ca="1">IFERROR(__xludf.DUMMYFUNCTION("""COMPUTED_VALUE"""),106219080124)</f>
        <v>106219080124</v>
      </c>
      <c r="C10200" s="2" t="str">
        <v>0</v>
      </c>
      <c r="F10200" s="2" t="str">
        <v>0</v>
      </c>
      <c r="I10200" s="3" t="str">
        <f ca="1">IFERROR(__xludf.DUMMYFUNCTION("""COMPUTED_VALUE"""),"Mã Ngọc Ánh ")</f>
        <v xml:space="preserve">Mã Ngọc Ánh </v>
      </c>
      <c r="J10200" s="2" t="str">
        <f ca="1">IFERROR(__xludf.DUMMYFUNCTION("""COMPUTED_VALUE"""),"0816977462")</f>
        <v>0816977462</v>
      </c>
      <c r="K10200" s="2">
        <f ca="1">IFERROR(__xludf.DUMMYFUNCTION("""COMPUTED_VALUE"""),106219080124)</f>
        <v>106219080124</v>
      </c>
    </row>
    <row r="10201" spans="1:11" ht="12.45">
      <c r="A10201" s="2">
        <f ca="1">IFERROR(__xludf.DUMMYFUNCTION("""COMPUTED_VALUE"""),106219080246)</f>
        <v>106219080246</v>
      </c>
      <c r="C10201" s="2" t="str">
        <v>0</v>
      </c>
      <c r="F10201" s="2" t="str">
        <v>0</v>
      </c>
      <c r="I10201" s="3" t="str">
        <f ca="1">IFERROR(__xludf.DUMMYFUNCTION("""COMPUTED_VALUE"""),"Lê Vũ Hà Thanh ")</f>
        <v xml:space="preserve">Lê Vũ Hà Thanh </v>
      </c>
      <c r="J10201" s="2" t="str">
        <f ca="1">IFERROR(__xludf.DUMMYFUNCTION("""COMPUTED_VALUE"""),"0866647466")</f>
        <v>0866647466</v>
      </c>
      <c r="K10201" s="2">
        <f ca="1">IFERROR(__xludf.DUMMYFUNCTION("""COMPUTED_VALUE"""),106219080246)</f>
        <v>106219080246</v>
      </c>
    </row>
    <row r="10202" spans="1:11" ht="12.45">
      <c r="A10202" s="2">
        <f ca="1">IFERROR(__xludf.DUMMYFUNCTION("""COMPUTED_VALUE"""),106219080451)</f>
        <v>106219080451</v>
      </c>
      <c r="C10202" s="2" t="str">
        <v>0</v>
      </c>
      <c r="F10202" s="2" t="str">
        <v>0</v>
      </c>
      <c r="I10202" s="3" t="str">
        <f ca="1">IFERROR(__xludf.DUMMYFUNCTION("""COMPUTED_VALUE"""),"Nguyễn Thúy Ngân")</f>
        <v>Nguyễn Thúy Ngân</v>
      </c>
      <c r="J10202" s="2" t="str">
        <f ca="1">IFERROR(__xludf.DUMMYFUNCTION("""COMPUTED_VALUE"""),"0362760551")</f>
        <v>0362760551</v>
      </c>
      <c r="K10202" s="2">
        <f ca="1">IFERROR(__xludf.DUMMYFUNCTION("""COMPUTED_VALUE"""),106219080451)</f>
        <v>106219080451</v>
      </c>
    </row>
    <row r="10203" spans="1:11" ht="12.45">
      <c r="A10203" s="2">
        <f ca="1">IFERROR(__xludf.DUMMYFUNCTION("""COMPUTED_VALUE"""),106219080544)</f>
        <v>106219080544</v>
      </c>
      <c r="C10203" s="2" t="str">
        <v>0</v>
      </c>
      <c r="F10203" s="2" t="str">
        <v>0</v>
      </c>
      <c r="I10203" s="3" t="str">
        <f ca="1">IFERROR(__xludf.DUMMYFUNCTION("""COMPUTED_VALUE"""),"Phạm Hièn Anh")</f>
        <v>Phạm Hièn Anh</v>
      </c>
      <c r="J10203" s="2" t="str">
        <f ca="1">IFERROR(__xludf.DUMMYFUNCTION("""COMPUTED_VALUE"""),"0938134222")</f>
        <v>0938134222</v>
      </c>
      <c r="K10203" s="2">
        <f ca="1">IFERROR(__xludf.DUMMYFUNCTION("""COMPUTED_VALUE"""),106219080544)</f>
        <v>106219080544</v>
      </c>
    </row>
    <row r="10204" spans="1:11" ht="12.45">
      <c r="A10204" s="2">
        <f ca="1">IFERROR(__xludf.DUMMYFUNCTION("""COMPUTED_VALUE"""),106219080665)</f>
        <v>106219080665</v>
      </c>
      <c r="C10204" s="2" t="str">
        <v>0</v>
      </c>
      <c r="F10204" s="2" t="str">
        <v>0</v>
      </c>
      <c r="I10204" s="3" t="str">
        <f ca="1">IFERROR(__xludf.DUMMYFUNCTION("""COMPUTED_VALUE"""),"Nguyễn Hồng Huế ")</f>
        <v xml:space="preserve">Nguyễn Hồng Huế </v>
      </c>
      <c r="J10204" s="2" t="str">
        <f ca="1">IFERROR(__xludf.DUMMYFUNCTION("""COMPUTED_VALUE"""),"0969023177")</f>
        <v>0969023177</v>
      </c>
      <c r="K10204" s="2">
        <f ca="1">IFERROR(__xludf.DUMMYFUNCTION("""COMPUTED_VALUE"""),106219080665)</f>
        <v>106219080665</v>
      </c>
    </row>
    <row r="10205" spans="1:11" ht="12.45">
      <c r="A10205" s="2">
        <f ca="1">IFERROR(__xludf.DUMMYFUNCTION("""COMPUTED_VALUE"""),106219080721)</f>
        <v>106219080721</v>
      </c>
      <c r="C10205" s="2" t="str">
        <v>0</v>
      </c>
      <c r="F10205" s="2" t="str">
        <v>0</v>
      </c>
      <c r="I10205" s="3" t="str">
        <f ca="1">IFERROR(__xludf.DUMMYFUNCTION("""COMPUTED_VALUE"""),"Trần Phương Linh")</f>
        <v>Trần Phương Linh</v>
      </c>
      <c r="J10205" s="2" t="str">
        <f ca="1">IFERROR(__xludf.DUMMYFUNCTION("""COMPUTED_VALUE"""),"0337229541")</f>
        <v>0337229541</v>
      </c>
      <c r="K10205" s="2">
        <f ca="1">IFERROR(__xludf.DUMMYFUNCTION("""COMPUTED_VALUE"""),106219080721)</f>
        <v>106219080721</v>
      </c>
    </row>
    <row r="10206" spans="1:11" ht="12.45">
      <c r="A10206" s="2">
        <f ca="1">IFERROR(__xludf.DUMMYFUNCTION("""COMPUTED_VALUE"""),106219080851)</f>
        <v>106219080851</v>
      </c>
      <c r="C10206" s="2" t="str">
        <v>0</v>
      </c>
      <c r="F10206" s="2" t="str">
        <v>0</v>
      </c>
      <c r="I10206" s="3" t="str">
        <f ca="1">IFERROR(__xludf.DUMMYFUNCTION("""COMPUTED_VALUE"""),"Trần Thu Trang")</f>
        <v>Trần Thu Trang</v>
      </c>
      <c r="J10206" s="2" t="str">
        <f ca="1">IFERROR(__xludf.DUMMYFUNCTION("""COMPUTED_VALUE"""),"0369475454")</f>
        <v>0369475454</v>
      </c>
      <c r="K10206" s="2">
        <f ca="1">IFERROR(__xludf.DUMMYFUNCTION("""COMPUTED_VALUE"""),106219080851)</f>
        <v>106219080851</v>
      </c>
    </row>
    <row r="10207" spans="1:11" ht="12.45">
      <c r="A10207" s="2">
        <f ca="1">IFERROR(__xludf.DUMMYFUNCTION("""COMPUTED_VALUE"""),106219080949)</f>
        <v>106219080949</v>
      </c>
      <c r="C10207" s="2" t="str">
        <v>0</v>
      </c>
      <c r="F10207" s="2" t="str">
        <v>0</v>
      </c>
      <c r="I10207" s="3" t="str">
        <f ca="1">IFERROR(__xludf.DUMMYFUNCTION("""COMPUTED_VALUE"""),"Lê Thị Linh Chi")</f>
        <v>Lê Thị Linh Chi</v>
      </c>
      <c r="J10207" s="2" t="str">
        <f ca="1">IFERROR(__xludf.DUMMYFUNCTION("""COMPUTED_VALUE"""),"0357670175")</f>
        <v>0357670175</v>
      </c>
      <c r="K10207" s="2">
        <f ca="1">IFERROR(__xludf.DUMMYFUNCTION("""COMPUTED_VALUE"""),106219080949)</f>
        <v>106219080949</v>
      </c>
    </row>
    <row r="10208" spans="1:11" ht="12.45">
      <c r="A10208" s="2">
        <f ca="1">IFERROR(__xludf.DUMMYFUNCTION("""COMPUTED_VALUE"""),106219081196)</f>
        <v>106219081196</v>
      </c>
      <c r="C10208" s="2" t="str">
        <v>0</v>
      </c>
      <c r="F10208" s="2" t="str">
        <v>0</v>
      </c>
      <c r="I10208" s="3" t="str">
        <f ca="1">IFERROR(__xludf.DUMMYFUNCTION("""COMPUTED_VALUE"""),"Nguyễn Phương Bình")</f>
        <v>Nguyễn Phương Bình</v>
      </c>
      <c r="J10208" s="2" t="str">
        <f ca="1">IFERROR(__xludf.DUMMYFUNCTION("""COMPUTED_VALUE"""),"0943584653")</f>
        <v>0943584653</v>
      </c>
      <c r="K10208" s="2">
        <f ca="1">IFERROR(__xludf.DUMMYFUNCTION("""COMPUTED_VALUE"""),106219081196)</f>
        <v>106219081196</v>
      </c>
    </row>
    <row r="10209" spans="1:11" ht="12.45">
      <c r="A10209" s="2" t="str">
        <f ca="1">IFERROR(__xludf.DUMMYFUNCTION("""COMPUTED_VALUE"""),"106643736012")</f>
        <v>106643736012</v>
      </c>
      <c r="C10209" s="2" t="str">
        <v>0</v>
      </c>
      <c r="F10209" s="2" t="str">
        <v>0</v>
      </c>
      <c r="I10209" s="3" t="str">
        <f ca="1">IFERROR(__xludf.DUMMYFUNCTION("""COMPUTED_VALUE"""),"Nguyễn Thị Quỳnh Nhi ")</f>
        <v xml:space="preserve">Nguyễn Thị Quỳnh Nhi </v>
      </c>
      <c r="J10209" s="2" t="str">
        <f ca="1">IFERROR(__xludf.DUMMYFUNCTION("""COMPUTED_VALUE"""),"0867612990")</f>
        <v>0867612990</v>
      </c>
      <c r="K10209" s="2" t="str">
        <f ca="1">IFERROR(__xludf.DUMMYFUNCTION("""COMPUTED_VALUE"""),"106643736012")</f>
        <v>106643736012</v>
      </c>
    </row>
    <row r="10210" spans="1:11" ht="12.45">
      <c r="A10210" s="2" t="str">
        <f ca="1">IFERROR(__xludf.DUMMYFUNCTION("""COMPUTED_VALUE"""),"106855608777")</f>
        <v>106855608777</v>
      </c>
      <c r="C10210" s="2" t="str">
        <v>0</v>
      </c>
      <c r="F10210" s="2" t="str">
        <v>0</v>
      </c>
      <c r="I10210" s="3" t="str">
        <f ca="1">IFERROR(__xludf.DUMMYFUNCTION("""COMPUTED_VALUE"""),"Dương Yến Vy")</f>
        <v>Dương Yến Vy</v>
      </c>
      <c r="J10210" s="2" t="str">
        <f ca="1">IFERROR(__xludf.DUMMYFUNCTION("""COMPUTED_VALUE"""),"0326161748")</f>
        <v>0326161748</v>
      </c>
      <c r="K10210" s="2" t="str">
        <f ca="1">IFERROR(__xludf.DUMMYFUNCTION("""COMPUTED_VALUE"""),"106855608777")</f>
        <v>106855608777</v>
      </c>
    </row>
    <row r="10211" spans="1:11" ht="12.45">
      <c r="A10211" s="2" t="str">
        <f ca="1">IFERROR(__xludf.DUMMYFUNCTION("""COMPUTED_VALUE"""),"106643736328")</f>
        <v>106643736328</v>
      </c>
      <c r="C10211" s="2" t="str">
        <v>0</v>
      </c>
      <c r="F10211" s="2" t="str">
        <v>0</v>
      </c>
      <c r="I10211" s="3" t="str">
        <f ca="1">IFERROR(__xludf.DUMMYFUNCTION("""COMPUTED_VALUE"""),"Nguyễn Khánh Huyền ")</f>
        <v xml:space="preserve">Nguyễn Khánh Huyền </v>
      </c>
      <c r="J10211" s="2" t="str">
        <f ca="1">IFERROR(__xludf.DUMMYFUNCTION("""COMPUTED_VALUE"""),"0966835006")</f>
        <v>0966835006</v>
      </c>
      <c r="K10211" s="2" t="str">
        <f ca="1">IFERROR(__xludf.DUMMYFUNCTION("""COMPUTED_VALUE"""),"106643736328")</f>
        <v>106643736328</v>
      </c>
    </row>
    <row r="10212" spans="1:11" ht="12.45">
      <c r="A10212" s="2" t="str">
        <f ca="1">IFERROR(__xludf.DUMMYFUNCTION("""COMPUTED_VALUE"""),"106643736413")</f>
        <v>106643736413</v>
      </c>
      <c r="C10212" s="2" t="str">
        <v>0</v>
      </c>
      <c r="F10212" s="2" t="str">
        <v>0</v>
      </c>
      <c r="I10212" s="3" t="str">
        <f ca="1">IFERROR(__xludf.DUMMYFUNCTION("""COMPUTED_VALUE"""),"Trần Thanh Mai")</f>
        <v>Trần Thanh Mai</v>
      </c>
      <c r="J10212" s="2" t="str">
        <f ca="1">IFERROR(__xludf.DUMMYFUNCTION("""COMPUTED_VALUE"""),"0988289527")</f>
        <v>0988289527</v>
      </c>
      <c r="K10212" s="2" t="str">
        <f ca="1">IFERROR(__xludf.DUMMYFUNCTION("""COMPUTED_VALUE"""),"106643736413")</f>
        <v>106643736413</v>
      </c>
    </row>
    <row r="10213" spans="1:11" ht="12.45">
      <c r="A10213" s="2" t="str">
        <f ca="1">IFERROR(__xludf.DUMMYFUNCTION("""COMPUTED_VALUE"""),"106643736779")</f>
        <v>106643736779</v>
      </c>
      <c r="C10213" s="2" t="str">
        <v>0</v>
      </c>
      <c r="F10213" s="2" t="str">
        <v>0</v>
      </c>
      <c r="I10213" s="3" t="str">
        <f ca="1">IFERROR(__xludf.DUMMYFUNCTION("""COMPUTED_VALUE"""),"Triệu yến nhi")</f>
        <v>Triệu yến nhi</v>
      </c>
      <c r="J10213" s="2" t="str">
        <f ca="1">IFERROR(__xludf.DUMMYFUNCTION("""COMPUTED_VALUE"""),"0396250199")</f>
        <v>0396250199</v>
      </c>
      <c r="K10213" s="2" t="str">
        <f ca="1">IFERROR(__xludf.DUMMYFUNCTION("""COMPUTED_VALUE"""),"106643736779")</f>
        <v>106643736779</v>
      </c>
    </row>
    <row r="10214" spans="1:11" ht="12.45">
      <c r="A10214" s="2" t="str">
        <f ca="1">IFERROR(__xludf.DUMMYFUNCTION("""COMPUTED_VALUE"""),"106643736939")</f>
        <v>106643736939</v>
      </c>
      <c r="C10214" s="2" t="str">
        <v>0</v>
      </c>
      <c r="F10214" s="2" t="str">
        <v>0</v>
      </c>
      <c r="I10214" s="3" t="str">
        <f ca="1">IFERROR(__xludf.DUMMYFUNCTION("""COMPUTED_VALUE"""),"Nguyễn Anh Thư")</f>
        <v>Nguyễn Anh Thư</v>
      </c>
      <c r="J10214" s="2" t="str">
        <f ca="1">IFERROR(__xludf.DUMMYFUNCTION("""COMPUTED_VALUE"""),"0792162259")</f>
        <v>0792162259</v>
      </c>
      <c r="K10214" s="2" t="str">
        <f ca="1">IFERROR(__xludf.DUMMYFUNCTION("""COMPUTED_VALUE"""),"106643736939")</f>
        <v>106643736939</v>
      </c>
    </row>
    <row r="10215" spans="1:11" ht="12.45">
      <c r="A10215" s="2" t="str">
        <f ca="1">IFERROR(__xludf.DUMMYFUNCTION("""COMPUTED_VALUE"""),"106643737122")</f>
        <v>106643737122</v>
      </c>
      <c r="C10215" s="2" t="str">
        <v>0</v>
      </c>
      <c r="F10215" s="2" t="str">
        <v>0</v>
      </c>
      <c r="I10215" s="3" t="str">
        <f ca="1">IFERROR(__xludf.DUMMYFUNCTION("""COMPUTED_VALUE"""),"Nguyễn Thị Phương Thảo")</f>
        <v>Nguyễn Thị Phương Thảo</v>
      </c>
      <c r="J10215" s="2" t="str">
        <f ca="1">IFERROR(__xludf.DUMMYFUNCTION("""COMPUTED_VALUE"""),"0937182526")</f>
        <v>0937182526</v>
      </c>
      <c r="K10215" s="2" t="str">
        <f ca="1">IFERROR(__xludf.DUMMYFUNCTION("""COMPUTED_VALUE"""),"106643737122")</f>
        <v>106643737122</v>
      </c>
    </row>
    <row r="10216" spans="1:11" ht="12.45">
      <c r="A10216" s="2" t="str">
        <f ca="1">IFERROR(__xludf.DUMMYFUNCTION("""COMPUTED_VALUE"""),"106643737349")</f>
        <v>106643737349</v>
      </c>
      <c r="C10216" s="2" t="str">
        <v>0</v>
      </c>
      <c r="F10216" s="2" t="str">
        <v>0</v>
      </c>
      <c r="I10216" s="3" t="str">
        <f ca="1">IFERROR(__xludf.DUMMYFUNCTION("""COMPUTED_VALUE"""),"Nguyễn Thị Khánh Huyền ")</f>
        <v xml:space="preserve">Nguyễn Thị Khánh Huyền </v>
      </c>
      <c r="J10216" s="2" t="str">
        <f ca="1">IFERROR(__xludf.DUMMYFUNCTION("""COMPUTED_VALUE"""),"0917867197")</f>
        <v>0917867197</v>
      </c>
      <c r="K10216" s="2" t="str">
        <f ca="1">IFERROR(__xludf.DUMMYFUNCTION("""COMPUTED_VALUE"""),"106643737349")</f>
        <v>106643737349</v>
      </c>
    </row>
    <row r="10217" spans="1:11" ht="12.45">
      <c r="A10217" s="2" t="str">
        <f ca="1">IFERROR(__xludf.DUMMYFUNCTION("""COMPUTED_VALUE"""),"106643737514")</f>
        <v>106643737514</v>
      </c>
      <c r="C10217" s="2" t="str">
        <v>0</v>
      </c>
      <c r="F10217" s="2" t="str">
        <v>0</v>
      </c>
      <c r="I10217" s="3" t="str">
        <f ca="1">IFERROR(__xludf.DUMMYFUNCTION("""COMPUTED_VALUE"""),"Nguyễn Hồng Hạnh ")</f>
        <v xml:space="preserve">Nguyễn Hồng Hạnh </v>
      </c>
      <c r="J10217" s="2" t="str">
        <f ca="1">IFERROR(__xludf.DUMMYFUNCTION("""COMPUTED_VALUE"""),"0388533781")</f>
        <v>0388533781</v>
      </c>
      <c r="K10217" s="2" t="str">
        <f ca="1">IFERROR(__xludf.DUMMYFUNCTION("""COMPUTED_VALUE"""),"106643737514")</f>
        <v>106643737514</v>
      </c>
    </row>
    <row r="10218" spans="1:11" ht="12.45">
      <c r="A10218" s="2" t="str">
        <f ca="1">IFERROR(__xludf.DUMMYFUNCTION("""COMPUTED_VALUE"""),"106643737769")</f>
        <v>106643737769</v>
      </c>
      <c r="C10218" s="2" t="str">
        <v>0</v>
      </c>
      <c r="F10218" s="2" t="str">
        <v>0</v>
      </c>
      <c r="I10218" s="3" t="str">
        <f ca="1">IFERROR(__xludf.DUMMYFUNCTION("""COMPUTED_VALUE"""),"Vũ Minh Phương")</f>
        <v>Vũ Minh Phương</v>
      </c>
      <c r="J10218" s="2" t="str">
        <f ca="1">IFERROR(__xludf.DUMMYFUNCTION("""COMPUTED_VALUE"""),"0362886673")</f>
        <v>0362886673</v>
      </c>
      <c r="K10218" s="2" t="str">
        <f ca="1">IFERROR(__xludf.DUMMYFUNCTION("""COMPUTED_VALUE"""),"106643737769")</f>
        <v>106643737769</v>
      </c>
    </row>
    <row r="10219" spans="1:11" ht="12.45">
      <c r="A10219" s="2" t="str">
        <f ca="1">IFERROR(__xludf.DUMMYFUNCTION("""COMPUTED_VALUE"""),"106643738013")</f>
        <v>106643738013</v>
      </c>
      <c r="C10219" s="2" t="str">
        <v>0</v>
      </c>
      <c r="F10219" s="2" t="str">
        <v>0</v>
      </c>
      <c r="I10219" s="3" t="str">
        <f ca="1">IFERROR(__xludf.DUMMYFUNCTION("""COMPUTED_VALUE"""),"Lê Minh Châu")</f>
        <v>Lê Minh Châu</v>
      </c>
      <c r="J10219" s="2" t="str">
        <f ca="1">IFERROR(__xludf.DUMMYFUNCTION("""COMPUTED_VALUE"""),"0919588773")</f>
        <v>0919588773</v>
      </c>
      <c r="K10219" s="2" t="str">
        <f ca="1">IFERROR(__xludf.DUMMYFUNCTION("""COMPUTED_VALUE"""),"106643738013")</f>
        <v>106643738013</v>
      </c>
    </row>
    <row r="10220" spans="1:11" ht="12.45">
      <c r="A10220" s="2" t="str">
        <f ca="1">IFERROR(__xludf.DUMMYFUNCTION("""COMPUTED_VALUE"""),"106643738297")</f>
        <v>106643738297</v>
      </c>
      <c r="C10220" s="2" t="str">
        <v>0</v>
      </c>
      <c r="F10220" s="2" t="str">
        <v>0</v>
      </c>
      <c r="I10220" s="3" t="str">
        <f ca="1">IFERROR(__xludf.DUMMYFUNCTION("""COMPUTED_VALUE"""),"Lê Thị Ánh Tuyết")</f>
        <v>Lê Thị Ánh Tuyết</v>
      </c>
      <c r="J10220" s="2" t="str">
        <f ca="1">IFERROR(__xludf.DUMMYFUNCTION("""COMPUTED_VALUE"""),"0335753496")</f>
        <v>0335753496</v>
      </c>
      <c r="K10220" s="2" t="str">
        <f ca="1">IFERROR(__xludf.DUMMYFUNCTION("""COMPUTED_VALUE"""),"106643738297")</f>
        <v>106643738297</v>
      </c>
    </row>
    <row r="10221" spans="1:11" ht="12.45">
      <c r="A10221" s="2" t="str">
        <f ca="1">IFERROR(__xludf.DUMMYFUNCTION("""COMPUTED_VALUE"""),"106643738489")</f>
        <v>106643738489</v>
      </c>
      <c r="C10221" s="2" t="str">
        <v>0</v>
      </c>
      <c r="F10221" s="2" t="str">
        <v>0</v>
      </c>
      <c r="I10221" s="3" t="str">
        <f ca="1">IFERROR(__xludf.DUMMYFUNCTION("""COMPUTED_VALUE"""),"Tạ Kim Chi ")</f>
        <v xml:space="preserve">Tạ Kim Chi </v>
      </c>
      <c r="J10221" s="2" t="str">
        <f ca="1">IFERROR(__xludf.DUMMYFUNCTION("""COMPUTED_VALUE"""),"0902827897")</f>
        <v>0902827897</v>
      </c>
      <c r="K10221" s="2" t="str">
        <f ca="1">IFERROR(__xludf.DUMMYFUNCTION("""COMPUTED_VALUE"""),"106643738489")</f>
        <v>106643738489</v>
      </c>
    </row>
    <row r="10222" spans="1:11" ht="12.45">
      <c r="A10222" s="2" t="str">
        <f ca="1">IFERROR(__xludf.DUMMYFUNCTION("""COMPUTED_VALUE"""),"106855608837")</f>
        <v>106855608837</v>
      </c>
      <c r="C10222" s="2" t="str">
        <v>0</v>
      </c>
      <c r="F10222" s="2" t="str">
        <v>0</v>
      </c>
      <c r="I10222" s="3" t="str">
        <f ca="1">IFERROR(__xludf.DUMMYFUNCTION("""COMPUTED_VALUE"""),"Huỳnh Ngọc Bảo Thy")</f>
        <v>Huỳnh Ngọc Bảo Thy</v>
      </c>
      <c r="J10222" s="2" t="str">
        <f ca="1">IFERROR(__xludf.DUMMYFUNCTION("""COMPUTED_VALUE"""),"0777767276")</f>
        <v>0777767276</v>
      </c>
      <c r="K10222" s="2" t="str">
        <f ca="1">IFERROR(__xludf.DUMMYFUNCTION("""COMPUTED_VALUE"""),"106855608837")</f>
        <v>106855608837</v>
      </c>
    </row>
    <row r="10223" spans="1:11" ht="12.45">
      <c r="A10223" s="2" t="str">
        <f ca="1">IFERROR(__xludf.DUMMYFUNCTION("""COMPUTED_VALUE"""),"106643738637")</f>
        <v>106643738637</v>
      </c>
      <c r="C10223" s="2" t="str">
        <v>0</v>
      </c>
      <c r="F10223" s="2" t="str">
        <v>0</v>
      </c>
      <c r="I10223" s="3" t="str">
        <f ca="1">IFERROR(__xludf.DUMMYFUNCTION("""COMPUTED_VALUE"""),"Trần Minh Anh")</f>
        <v>Trần Minh Anh</v>
      </c>
      <c r="J10223" s="2" t="str">
        <f ca="1">IFERROR(__xludf.DUMMYFUNCTION("""COMPUTED_VALUE"""),"0961615986")</f>
        <v>0961615986</v>
      </c>
      <c r="K10223" s="2" t="str">
        <f ca="1">IFERROR(__xludf.DUMMYFUNCTION("""COMPUTED_VALUE"""),"106643738637")</f>
        <v>106643738637</v>
      </c>
    </row>
    <row r="10224" spans="1:11" ht="12.45">
      <c r="A10224" s="2" t="str">
        <f ca="1">IFERROR(__xludf.DUMMYFUNCTION("""COMPUTED_VALUE"""),"106855608994")</f>
        <v>106855608994</v>
      </c>
      <c r="C10224" s="2" t="str">
        <v>0</v>
      </c>
      <c r="F10224" s="2" t="str">
        <v>0</v>
      </c>
      <c r="I10224" s="3" t="str">
        <f ca="1">IFERROR(__xludf.DUMMYFUNCTION("""COMPUTED_VALUE"""),"hà thị linh")</f>
        <v>hà thị linh</v>
      </c>
      <c r="J10224" s="2" t="str">
        <f ca="1">IFERROR(__xludf.DUMMYFUNCTION("""COMPUTED_VALUE"""),"0826119468")</f>
        <v>0826119468</v>
      </c>
      <c r="K10224" s="2" t="str">
        <f ca="1">IFERROR(__xludf.DUMMYFUNCTION("""COMPUTED_VALUE"""),"106855608994")</f>
        <v>106855608994</v>
      </c>
    </row>
    <row r="10225" spans="1:11" ht="12.45">
      <c r="A10225" s="2" t="str">
        <f ca="1">IFERROR(__xludf.DUMMYFUNCTION("""COMPUTED_VALUE"""),"106643738894")</f>
        <v>106643738894</v>
      </c>
      <c r="C10225" s="2" t="str">
        <v>0</v>
      </c>
      <c r="F10225" s="2" t="str">
        <v>0</v>
      </c>
      <c r="I10225" s="3" t="str">
        <f ca="1">IFERROR(__xludf.DUMMYFUNCTION("""COMPUTED_VALUE"""),"Văn Phú Quý")</f>
        <v>Văn Phú Quý</v>
      </c>
      <c r="J10225" s="2" t="str">
        <f ca="1">IFERROR(__xludf.DUMMYFUNCTION("""COMPUTED_VALUE"""),"0913446537")</f>
        <v>0913446537</v>
      </c>
      <c r="K10225" s="2" t="str">
        <f ca="1">IFERROR(__xludf.DUMMYFUNCTION("""COMPUTED_VALUE"""),"106643738894")</f>
        <v>106643738894</v>
      </c>
    </row>
    <row r="10226" spans="1:11" ht="12.45">
      <c r="A10226" s="2" t="str">
        <f ca="1">IFERROR(__xludf.DUMMYFUNCTION("""COMPUTED_VALUE"""),"106643739248")</f>
        <v>106643739248</v>
      </c>
      <c r="C10226" s="2" t="str">
        <v>0</v>
      </c>
      <c r="F10226" s="2" t="str">
        <v>0</v>
      </c>
      <c r="I10226" s="3" t="str">
        <f ca="1">IFERROR(__xludf.DUMMYFUNCTION("""COMPUTED_VALUE"""),"Trần Minh Thành")</f>
        <v>Trần Minh Thành</v>
      </c>
      <c r="J10226" s="2" t="str">
        <f ca="1">IFERROR(__xludf.DUMMYFUNCTION("""COMPUTED_VALUE"""),"0827587679")</f>
        <v>0827587679</v>
      </c>
      <c r="K10226" s="2" t="str">
        <f ca="1">IFERROR(__xludf.DUMMYFUNCTION("""COMPUTED_VALUE"""),"106643739248")</f>
        <v>106643739248</v>
      </c>
    </row>
    <row r="10227" spans="1:11" ht="12.45">
      <c r="A10227" s="2" t="str">
        <f ca="1">IFERROR(__xludf.DUMMYFUNCTION("""COMPUTED_VALUE"""),"106643739594")</f>
        <v>106643739594</v>
      </c>
      <c r="C10227" s="2" t="str">
        <v>0</v>
      </c>
      <c r="F10227" s="2" t="str">
        <v>0</v>
      </c>
      <c r="I10227" s="3" t="str">
        <f ca="1">IFERROR(__xludf.DUMMYFUNCTION("""COMPUTED_VALUE"""),"Bùi Thị Anh Thơ ")</f>
        <v xml:space="preserve">Bùi Thị Anh Thơ </v>
      </c>
      <c r="J10227" s="2" t="str">
        <f ca="1">IFERROR(__xludf.DUMMYFUNCTION("""COMPUTED_VALUE"""),"0342661862")</f>
        <v>0342661862</v>
      </c>
      <c r="K10227" s="2" t="str">
        <f ca="1">IFERROR(__xludf.DUMMYFUNCTION("""COMPUTED_VALUE"""),"106643739594")</f>
        <v>106643739594</v>
      </c>
    </row>
    <row r="10228" spans="1:11" ht="12.45">
      <c r="A10228" s="2" t="str">
        <f ca="1">IFERROR(__xludf.DUMMYFUNCTION("""COMPUTED_VALUE"""),"106643739773")</f>
        <v>106643739773</v>
      </c>
      <c r="C10228" s="2" t="str">
        <v>0</v>
      </c>
      <c r="F10228" s="2" t="str">
        <v>0</v>
      </c>
      <c r="I10228" s="3" t="str">
        <f ca="1">IFERROR(__xludf.DUMMYFUNCTION("""COMPUTED_VALUE"""),"Hoàng Ánh Nguyệt ")</f>
        <v xml:space="preserve">Hoàng Ánh Nguyệt </v>
      </c>
      <c r="J10228" s="2" t="str">
        <f ca="1">IFERROR(__xludf.DUMMYFUNCTION("""COMPUTED_VALUE"""),"0349947083")</f>
        <v>0349947083</v>
      </c>
      <c r="K10228" s="2" t="str">
        <f ca="1">IFERROR(__xludf.DUMMYFUNCTION("""COMPUTED_VALUE"""),"106643739773")</f>
        <v>106643739773</v>
      </c>
    </row>
    <row r="10229" spans="1:11" ht="12.45">
      <c r="A10229" s="2" t="str">
        <f ca="1">IFERROR(__xludf.DUMMYFUNCTION("""COMPUTED_VALUE"""),"106643740042")</f>
        <v>106643740042</v>
      </c>
      <c r="C10229" s="2" t="str">
        <v>0</v>
      </c>
      <c r="F10229" s="2" t="str">
        <v>0</v>
      </c>
      <c r="I10229" s="3" t="str">
        <f ca="1">IFERROR(__xludf.DUMMYFUNCTION("""COMPUTED_VALUE"""),"Trần Anh Thư")</f>
        <v>Trần Anh Thư</v>
      </c>
      <c r="J10229" s="2" t="str">
        <f ca="1">IFERROR(__xludf.DUMMYFUNCTION("""COMPUTED_VALUE"""),"0826731721")</f>
        <v>0826731721</v>
      </c>
      <c r="K10229" s="2" t="str">
        <f ca="1">IFERROR(__xludf.DUMMYFUNCTION("""COMPUTED_VALUE"""),"106643740042")</f>
        <v>106643740042</v>
      </c>
    </row>
    <row r="10230" spans="1:11" ht="12.45">
      <c r="A10230" s="2" t="str">
        <f ca="1">IFERROR(__xludf.DUMMYFUNCTION("""COMPUTED_VALUE"""),"106643740215")</f>
        <v>106643740215</v>
      </c>
      <c r="C10230" s="2" t="str">
        <v>0</v>
      </c>
      <c r="F10230" s="2" t="str">
        <v>0</v>
      </c>
      <c r="I10230" s="3" t="str">
        <f ca="1">IFERROR(__xludf.DUMMYFUNCTION("""COMPUTED_VALUE"""),"Lê Anh Thư")</f>
        <v>Lê Anh Thư</v>
      </c>
      <c r="J10230" s="2" t="str">
        <f ca="1">IFERROR(__xludf.DUMMYFUNCTION("""COMPUTED_VALUE"""),"0986186123")</f>
        <v>0986186123</v>
      </c>
      <c r="K10230" s="2" t="str">
        <f ca="1">IFERROR(__xludf.DUMMYFUNCTION("""COMPUTED_VALUE"""),"106643740215")</f>
        <v>106643740215</v>
      </c>
    </row>
    <row r="10231" spans="1:11" ht="12.45">
      <c r="A10231" s="2" t="str">
        <f ca="1">IFERROR(__xludf.DUMMYFUNCTION("""COMPUTED_VALUE"""),"106643740587")</f>
        <v>106643740587</v>
      </c>
      <c r="C10231" s="2" t="str">
        <v>0</v>
      </c>
      <c r="F10231" s="2" t="str">
        <v>0</v>
      </c>
      <c r="I10231" s="3" t="str">
        <f ca="1">IFERROR(__xludf.DUMMYFUNCTION("""COMPUTED_VALUE"""),"Nguyễn Khả Hân")</f>
        <v>Nguyễn Khả Hân</v>
      </c>
      <c r="J10231" s="2" t="str">
        <f ca="1">IFERROR(__xludf.DUMMYFUNCTION("""COMPUTED_VALUE"""),"0961613016")</f>
        <v>0961613016</v>
      </c>
      <c r="K10231" s="2" t="str">
        <f ca="1">IFERROR(__xludf.DUMMYFUNCTION("""COMPUTED_VALUE"""),"106643740587")</f>
        <v>106643740587</v>
      </c>
    </row>
    <row r="10232" spans="1:11" ht="12.45">
      <c r="A10232" s="2" t="str">
        <f ca="1">IFERROR(__xludf.DUMMYFUNCTION("""COMPUTED_VALUE"""),"106643741838")</f>
        <v>106643741838</v>
      </c>
      <c r="C10232" s="2" t="str">
        <v>0</v>
      </c>
      <c r="F10232" s="2" t="str">
        <v>0</v>
      </c>
      <c r="I10232" s="3" t="str">
        <f ca="1">IFERROR(__xludf.DUMMYFUNCTION("""COMPUTED_VALUE"""),"Trầm Thị Ngọc Hân")</f>
        <v>Trầm Thị Ngọc Hân</v>
      </c>
      <c r="J10232" s="2" t="str">
        <f ca="1">IFERROR(__xludf.DUMMYFUNCTION("""COMPUTED_VALUE"""),"0364212269")</f>
        <v>0364212269</v>
      </c>
      <c r="K10232" s="2" t="str">
        <f ca="1">IFERROR(__xludf.DUMMYFUNCTION("""COMPUTED_VALUE"""),"106643741838")</f>
        <v>106643741838</v>
      </c>
    </row>
    <row r="10233" spans="1:11" ht="12.45">
      <c r="A10233" s="2" t="str">
        <f ca="1">IFERROR(__xludf.DUMMYFUNCTION("""COMPUTED_VALUE"""),"106643740862")</f>
        <v>106643740862</v>
      </c>
      <c r="C10233" s="2" t="str">
        <v>0</v>
      </c>
      <c r="F10233" s="2" t="str">
        <v>0</v>
      </c>
      <c r="I10233" s="3" t="str">
        <f ca="1">IFERROR(__xludf.DUMMYFUNCTION("""COMPUTED_VALUE"""),"Nguyễn Thị Thanh Thương")</f>
        <v>Nguyễn Thị Thanh Thương</v>
      </c>
      <c r="J10233" s="2" t="str">
        <f ca="1">IFERROR(__xludf.DUMMYFUNCTION("""COMPUTED_VALUE"""),"0818364558")</f>
        <v>0818364558</v>
      </c>
      <c r="K10233" s="2" t="str">
        <f ca="1">IFERROR(__xludf.DUMMYFUNCTION("""COMPUTED_VALUE"""),"106643740862")</f>
        <v>106643740862</v>
      </c>
    </row>
    <row r="10234" spans="1:11" ht="12.45">
      <c r="A10234" s="2" t="str">
        <f ca="1">IFERROR(__xludf.DUMMYFUNCTION("""COMPUTED_VALUE"""),"106643740939")</f>
        <v>106643740939</v>
      </c>
      <c r="C10234" s="2" t="str">
        <v>0</v>
      </c>
      <c r="F10234" s="2" t="str">
        <v>0</v>
      </c>
      <c r="I10234" s="3" t="str">
        <f ca="1">IFERROR(__xludf.DUMMYFUNCTION("""COMPUTED_VALUE"""),"Lô Thu Phương")</f>
        <v>Lô Thu Phương</v>
      </c>
      <c r="J10234" s="2" t="str">
        <f ca="1">IFERROR(__xludf.DUMMYFUNCTION("""COMPUTED_VALUE"""),"0886783007")</f>
        <v>0886783007</v>
      </c>
      <c r="K10234" s="2" t="str">
        <f ca="1">IFERROR(__xludf.DUMMYFUNCTION("""COMPUTED_VALUE"""),"106643740939")</f>
        <v>106643740939</v>
      </c>
    </row>
    <row r="10235" spans="1:11" ht="12.45">
      <c r="A10235" s="2" t="str">
        <f ca="1">IFERROR(__xludf.DUMMYFUNCTION("""COMPUTED_VALUE"""),"106643741046")</f>
        <v>106643741046</v>
      </c>
      <c r="C10235" s="2" t="str">
        <v>0</v>
      </c>
      <c r="F10235" s="2" t="str">
        <v>0</v>
      </c>
      <c r="I10235" s="3" t="str">
        <f ca="1">IFERROR(__xludf.DUMMYFUNCTION("""COMPUTED_VALUE"""),"Lý Tuyết Loan")</f>
        <v>Lý Tuyết Loan</v>
      </c>
      <c r="J10235" s="2" t="str">
        <f ca="1">IFERROR(__xludf.DUMMYFUNCTION("""COMPUTED_VALUE"""),"0854242152")</f>
        <v>0854242152</v>
      </c>
      <c r="K10235" s="2" t="str">
        <f ca="1">IFERROR(__xludf.DUMMYFUNCTION("""COMPUTED_VALUE"""),"106643741046")</f>
        <v>106643741046</v>
      </c>
    </row>
    <row r="10236" spans="1:11" ht="12.45">
      <c r="A10236" s="2" t="str">
        <f ca="1">IFERROR(__xludf.DUMMYFUNCTION("""COMPUTED_VALUE"""),"106643741249")</f>
        <v>106643741249</v>
      </c>
      <c r="C10236" s="2" t="str">
        <v>0</v>
      </c>
      <c r="F10236" s="2" t="str">
        <v>0</v>
      </c>
      <c r="I10236" s="3" t="str">
        <f ca="1">IFERROR(__xludf.DUMMYFUNCTION("""COMPUTED_VALUE"""),"Quách Hà My")</f>
        <v>Quách Hà My</v>
      </c>
      <c r="J10236" s="2" t="str">
        <f ca="1">IFERROR(__xludf.DUMMYFUNCTION("""COMPUTED_VALUE"""),"0383389556")</f>
        <v>0383389556</v>
      </c>
      <c r="K10236" s="2" t="str">
        <f ca="1">IFERROR(__xludf.DUMMYFUNCTION("""COMPUTED_VALUE"""),"106643741249")</f>
        <v>106643741249</v>
      </c>
    </row>
    <row r="10237" spans="1:11" ht="12.45">
      <c r="A10237" s="2" t="str">
        <f ca="1">IFERROR(__xludf.DUMMYFUNCTION("""COMPUTED_VALUE"""),"106643741344")</f>
        <v>106643741344</v>
      </c>
      <c r="C10237" s="2" t="str">
        <v>0</v>
      </c>
      <c r="F10237" s="2" t="str">
        <v>0</v>
      </c>
      <c r="I10237" s="3" t="str">
        <f ca="1">IFERROR(__xludf.DUMMYFUNCTION("""COMPUTED_VALUE"""),"Hoàng Khánh Hưng")</f>
        <v>Hoàng Khánh Hưng</v>
      </c>
      <c r="J10237" s="2" t="str">
        <f ca="1">IFERROR(__xludf.DUMMYFUNCTION("""COMPUTED_VALUE"""),"0829901383")</f>
        <v>0829901383</v>
      </c>
      <c r="K10237" s="2" t="str">
        <f ca="1">IFERROR(__xludf.DUMMYFUNCTION("""COMPUTED_VALUE"""),"106643741344")</f>
        <v>106643741344</v>
      </c>
    </row>
    <row r="10238" spans="1:11" ht="12.45">
      <c r="A10238" s="2" t="str">
        <f ca="1">IFERROR(__xludf.DUMMYFUNCTION("""COMPUTED_VALUE"""),"106643741432")</f>
        <v>106643741432</v>
      </c>
      <c r="C10238" s="2" t="str">
        <v>0</v>
      </c>
      <c r="F10238" s="2" t="str">
        <v>0</v>
      </c>
      <c r="I10238" s="3" t="str">
        <f ca="1">IFERROR(__xludf.DUMMYFUNCTION("""COMPUTED_VALUE"""),"Hoa mai ")</f>
        <v xml:space="preserve">Hoa mai </v>
      </c>
      <c r="J10238" s="2" t="str">
        <f ca="1">IFERROR(__xludf.DUMMYFUNCTION("""COMPUTED_VALUE"""),"0814740638")</f>
        <v>0814740638</v>
      </c>
      <c r="K10238" s="2" t="str">
        <f ca="1">IFERROR(__xludf.DUMMYFUNCTION("""COMPUTED_VALUE"""),"106643741432")</f>
        <v>106643741432</v>
      </c>
    </row>
    <row r="10239" spans="1:11" ht="12.45">
      <c r="A10239" s="2" t="str">
        <f ca="1">IFERROR(__xludf.DUMMYFUNCTION("""COMPUTED_VALUE"""),"106643741524")</f>
        <v>106643741524</v>
      </c>
      <c r="C10239" s="2" t="str">
        <v>0</v>
      </c>
      <c r="F10239" s="2" t="str">
        <v>0</v>
      </c>
      <c r="I10239" s="3" t="str">
        <f ca="1">IFERROR(__xludf.DUMMYFUNCTION("""COMPUTED_VALUE"""),"Trương Anh Thư")</f>
        <v>Trương Anh Thư</v>
      </c>
      <c r="J10239" s="2" t="str">
        <f ca="1">IFERROR(__xludf.DUMMYFUNCTION("""COMPUTED_VALUE"""),"0906079392")</f>
        <v>0906079392</v>
      </c>
      <c r="K10239" s="2" t="str">
        <f ca="1">IFERROR(__xludf.DUMMYFUNCTION("""COMPUTED_VALUE"""),"106643741524")</f>
        <v>106643741524</v>
      </c>
    </row>
    <row r="10240" spans="1:11" ht="12.45">
      <c r="A10240" s="2" t="str">
        <f ca="1">IFERROR(__xludf.DUMMYFUNCTION("""COMPUTED_VALUE"""),"106643741653")</f>
        <v>106643741653</v>
      </c>
      <c r="C10240" s="2" t="str">
        <v>0</v>
      </c>
      <c r="F10240" s="2" t="str">
        <v>0</v>
      </c>
      <c r="I10240" s="3" t="str">
        <f ca="1">IFERROR(__xludf.DUMMYFUNCTION("""COMPUTED_VALUE"""),"Diệp Minh Châu")</f>
        <v>Diệp Minh Châu</v>
      </c>
      <c r="J10240" s="2" t="str">
        <f ca="1">IFERROR(__xludf.DUMMYFUNCTION("""COMPUTED_VALUE"""),"0352023202")</f>
        <v>0352023202</v>
      </c>
      <c r="K10240" s="2" t="str">
        <f ca="1">IFERROR(__xludf.DUMMYFUNCTION("""COMPUTED_VALUE"""),"106643741653")</f>
        <v>106643741653</v>
      </c>
    </row>
    <row r="10241" spans="1:11" ht="12.45">
      <c r="A10241" s="2" t="str">
        <f ca="1">IFERROR(__xludf.DUMMYFUNCTION("""COMPUTED_VALUE"""),"106643741746")</f>
        <v>106643741746</v>
      </c>
      <c r="C10241" s="2" t="str">
        <v>0</v>
      </c>
      <c r="F10241" s="2" t="str">
        <v>0</v>
      </c>
      <c r="I10241" s="3" t="str">
        <f ca="1">IFERROR(__xludf.DUMMYFUNCTION("""COMPUTED_VALUE"""),"Nguyễn Trường Toàn")</f>
        <v>Nguyễn Trường Toàn</v>
      </c>
      <c r="J10241" s="2" t="str">
        <f ca="1">IFERROR(__xludf.DUMMYFUNCTION("""COMPUTED_VALUE"""),"0915506992")</f>
        <v>0915506992</v>
      </c>
      <c r="K10241" s="2" t="str">
        <f ca="1">IFERROR(__xludf.DUMMYFUNCTION("""COMPUTED_VALUE"""),"106643741746")</f>
        <v>106643741746</v>
      </c>
    </row>
    <row r="10242" spans="1:11" ht="12.45">
      <c r="A10242" s="2" t="str">
        <f ca="1">IFERROR(__xludf.DUMMYFUNCTION("""COMPUTED_VALUE"""),"106643741838")</f>
        <v>106643741838</v>
      </c>
      <c r="C10242" s="2" t="str">
        <v>0</v>
      </c>
      <c r="F10242" s="2" t="str">
        <v>0</v>
      </c>
      <c r="I10242" s="3" t="str">
        <f ca="1">IFERROR(__xludf.DUMMYFUNCTION("""COMPUTED_VALUE"""),"TRẦN ĐỨC MẠNH ")</f>
        <v xml:space="preserve">TRẦN ĐỨC MẠNH </v>
      </c>
      <c r="J10242" s="2" t="str">
        <f ca="1">IFERROR(__xludf.DUMMYFUNCTION("""COMPUTED_VALUE"""),"0901094354")</f>
        <v>0901094354</v>
      </c>
      <c r="K10242" s="2" t="str">
        <f ca="1">IFERROR(__xludf.DUMMYFUNCTION("""COMPUTED_VALUE"""),"106643741838")</f>
        <v>106643741838</v>
      </c>
    </row>
    <row r="10243" spans="1:11" ht="12.45">
      <c r="A10243" s="2" t="str">
        <f ca="1">IFERROR(__xludf.DUMMYFUNCTION("""COMPUTED_VALUE"""),"106643741941")</f>
        <v>106643741941</v>
      </c>
      <c r="C10243" s="2" t="str">
        <v>0</v>
      </c>
      <c r="F10243" s="2" t="str">
        <v>0</v>
      </c>
      <c r="I10243" s="3" t="str">
        <f ca="1">IFERROR(__xludf.DUMMYFUNCTION("""COMPUTED_VALUE"""),"Lê Gia Phong")</f>
        <v>Lê Gia Phong</v>
      </c>
      <c r="J10243" s="2" t="str">
        <f ca="1">IFERROR(__xludf.DUMMYFUNCTION("""COMPUTED_VALUE"""),"8432568510")</f>
        <v>8432568510</v>
      </c>
      <c r="K10243" s="2" t="str">
        <f ca="1">IFERROR(__xludf.DUMMYFUNCTION("""COMPUTED_VALUE"""),"106643741941")</f>
        <v>106643741941</v>
      </c>
    </row>
    <row r="10244" spans="1:11" ht="12.45">
      <c r="A10244" s="2" t="str">
        <f ca="1">IFERROR(__xludf.DUMMYFUNCTION("""COMPUTED_VALUE"""),"106643742041")</f>
        <v>106643742041</v>
      </c>
      <c r="C10244" s="2" t="str">
        <v>0</v>
      </c>
      <c r="F10244" s="2" t="str">
        <v>0</v>
      </c>
      <c r="I10244" s="3" t="str">
        <f ca="1">IFERROR(__xludf.DUMMYFUNCTION("""COMPUTED_VALUE"""),"Trần thị phương nhi ")</f>
        <v xml:space="preserve">Trần thị phương nhi </v>
      </c>
      <c r="J10244" s="2" t="str">
        <f ca="1">IFERROR(__xludf.DUMMYFUNCTION("""COMPUTED_VALUE"""),"0389132041")</f>
        <v>0389132041</v>
      </c>
      <c r="K10244" s="2" t="str">
        <f ca="1">IFERROR(__xludf.DUMMYFUNCTION("""COMPUTED_VALUE"""),"106643742041")</f>
        <v>106643742041</v>
      </c>
    </row>
    <row r="10245" spans="1:11" ht="12.45">
      <c r="A10245" s="2" t="str">
        <f ca="1">IFERROR(__xludf.DUMMYFUNCTION("""COMPUTED_VALUE"""),"106643742143")</f>
        <v>106643742143</v>
      </c>
      <c r="C10245" s="2" t="str">
        <v>0</v>
      </c>
      <c r="F10245" s="2" t="str">
        <v>0</v>
      </c>
      <c r="I10245" s="3" t="str">
        <f ca="1">IFERROR(__xludf.DUMMYFUNCTION("""COMPUTED_VALUE"""),"Trần Phương Linh")</f>
        <v>Trần Phương Linh</v>
      </c>
      <c r="J10245" s="2" t="str">
        <f ca="1">IFERROR(__xludf.DUMMYFUNCTION("""COMPUTED_VALUE"""),"8438761345")</f>
        <v>8438761345</v>
      </c>
      <c r="K10245" s="2" t="str">
        <f ca="1">IFERROR(__xludf.DUMMYFUNCTION("""COMPUTED_VALUE"""),"106643742143")</f>
        <v>106643742143</v>
      </c>
    </row>
    <row r="10246" spans="1:11" ht="12.45">
      <c r="A10246" s="2"/>
      <c r="C10246" s="2" t="str">
        <v>0</v>
      </c>
      <c r="F10246" s="2" t="str">
        <v>0</v>
      </c>
      <c r="I10246" s="3" t="str">
        <f ca="1">IFERROR(__xludf.DUMMYFUNCTION("""COMPUTED_VALUE"""),"Nguyễn Hoài Phương Thảo")</f>
        <v>Nguyễn Hoài Phương Thảo</v>
      </c>
      <c r="J10246" s="3" t="str">
        <f ca="1">IFERROR(__xludf.DUMMYFUNCTION("""COMPUTED_VALUE"""),"0902808977")</f>
        <v>0902808977</v>
      </c>
      <c r="K10246" s="2"/>
    </row>
    <row r="10247" spans="1:11" ht="12.45">
      <c r="A10247" s="2" t="str">
        <f ca="1">IFERROR(__xludf.DUMMYFUNCTION("""COMPUTED_VALUE"""),"106643742249")</f>
        <v>106643742249</v>
      </c>
      <c r="C10247" s="2" t="str">
        <v>0</v>
      </c>
      <c r="F10247" s="2" t="str">
        <v>0</v>
      </c>
      <c r="I10247" s="3" t="str">
        <f ca="1">IFERROR(__xludf.DUMMYFUNCTION("""COMPUTED_VALUE"""),"Nguyễn Quỳnh Mai")</f>
        <v>Nguyễn Quỳnh Mai</v>
      </c>
      <c r="J10247" s="2" t="str">
        <f ca="1">IFERROR(__xludf.DUMMYFUNCTION("""COMPUTED_VALUE"""),"0386297827")</f>
        <v>0386297827</v>
      </c>
      <c r="K10247" s="2" t="str">
        <f ca="1">IFERROR(__xludf.DUMMYFUNCTION("""COMPUTED_VALUE"""),"106643742249")</f>
        <v>106643742249</v>
      </c>
    </row>
    <row r="10248" spans="1:11" ht="12.45">
      <c r="A10248" s="2" t="str">
        <f ca="1">IFERROR(__xludf.DUMMYFUNCTION("""COMPUTED_VALUE"""),"106643742368")</f>
        <v>106643742368</v>
      </c>
      <c r="C10248" s="2" t="str">
        <v>0</v>
      </c>
      <c r="F10248" s="2" t="str">
        <v>0</v>
      </c>
      <c r="I10248" s="3" t="str">
        <f ca="1">IFERROR(__xludf.DUMMYFUNCTION("""COMPUTED_VALUE"""),"Phạm Trần Huyền Trang")</f>
        <v>Phạm Trần Huyền Trang</v>
      </c>
      <c r="J10248" s="2" t="str">
        <f ca="1">IFERROR(__xludf.DUMMYFUNCTION("""COMPUTED_VALUE"""),"0838209357")</f>
        <v>0838209357</v>
      </c>
      <c r="K10248" s="2" t="str">
        <f ca="1">IFERROR(__xludf.DUMMYFUNCTION("""COMPUTED_VALUE"""),"106643742368")</f>
        <v>106643742368</v>
      </c>
    </row>
    <row r="10249" spans="1:11" ht="12.45">
      <c r="A10249" s="2" t="str">
        <f ca="1">IFERROR(__xludf.DUMMYFUNCTION("""COMPUTED_VALUE"""),"106643742468")</f>
        <v>106643742468</v>
      </c>
      <c r="C10249" s="2" t="str">
        <v>0</v>
      </c>
      <c r="F10249" s="2" t="str">
        <v>0</v>
      </c>
      <c r="I10249" s="3" t="str">
        <f ca="1">IFERROR(__xludf.DUMMYFUNCTION("""COMPUTED_VALUE"""),"hoàng hà my")</f>
        <v>hoàng hà my</v>
      </c>
      <c r="J10249" s="2" t="str">
        <f ca="1">IFERROR(__xludf.DUMMYFUNCTION("""COMPUTED_VALUE"""),"036 3442213")</f>
        <v>036 3442213</v>
      </c>
      <c r="K10249" s="2" t="str">
        <f ca="1">IFERROR(__xludf.DUMMYFUNCTION("""COMPUTED_VALUE"""),"106643742468")</f>
        <v>106643742468</v>
      </c>
    </row>
    <row r="10250" spans="1:11" ht="12.45">
      <c r="A10250" s="2" t="str">
        <f ca="1">IFERROR(__xludf.DUMMYFUNCTION("""COMPUTED_VALUE"""),"106643742546")</f>
        <v>106643742546</v>
      </c>
      <c r="C10250" s="2" t="str">
        <v>0</v>
      </c>
      <c r="F10250" s="2" t="str">
        <v>0</v>
      </c>
      <c r="I10250" s="3" t="str">
        <f ca="1">IFERROR(__xludf.DUMMYFUNCTION("""COMPUTED_VALUE"""),"Vũ Thị Thanh Thảo")</f>
        <v>Vũ Thị Thanh Thảo</v>
      </c>
      <c r="J10250" s="2" t="str">
        <f ca="1">IFERROR(__xludf.DUMMYFUNCTION("""COMPUTED_VALUE"""),"0339420102")</f>
        <v>0339420102</v>
      </c>
      <c r="K10250" s="2" t="str">
        <f ca="1">IFERROR(__xludf.DUMMYFUNCTION("""COMPUTED_VALUE"""),"106643742546")</f>
        <v>106643742546</v>
      </c>
    </row>
    <row r="10251" spans="1:11" ht="12.45">
      <c r="A10251" s="2" t="str">
        <f ca="1">IFERROR(__xludf.DUMMYFUNCTION("""COMPUTED_VALUE"""),"106855609266")</f>
        <v>106855609266</v>
      </c>
      <c r="C10251" s="2" t="str">
        <v>0</v>
      </c>
      <c r="F10251" s="2" t="str">
        <v>0</v>
      </c>
      <c r="I10251" s="3" t="str">
        <f ca="1">IFERROR(__xludf.DUMMYFUNCTION("""COMPUTED_VALUE"""),"Nghiêm Minh Sơn")</f>
        <v>Nghiêm Minh Sơn</v>
      </c>
      <c r="J10251" s="2" t="str">
        <f ca="1">IFERROR(__xludf.DUMMYFUNCTION("""COMPUTED_VALUE"""),"0838820955")</f>
        <v>0838820955</v>
      </c>
      <c r="K10251" s="2" t="str">
        <f ca="1">IFERROR(__xludf.DUMMYFUNCTION("""COMPUTED_VALUE"""),"106855609266")</f>
        <v>106855609266</v>
      </c>
    </row>
    <row r="10252" spans="1:11" ht="12.45">
      <c r="A10252" s="2" t="str">
        <f ca="1">IFERROR(__xludf.DUMMYFUNCTION("""COMPUTED_VALUE"""),"106643742659")</f>
        <v>106643742659</v>
      </c>
      <c r="C10252" s="2" t="str">
        <v>0</v>
      </c>
      <c r="F10252" s="2" t="str">
        <v>0</v>
      </c>
      <c r="I10252" s="3" t="str">
        <f ca="1">IFERROR(__xludf.DUMMYFUNCTION("""COMPUTED_VALUE"""),"Nguyễn Thị Yến")</f>
        <v>Nguyễn Thị Yến</v>
      </c>
      <c r="J10252" s="2" t="str">
        <f ca="1">IFERROR(__xludf.DUMMYFUNCTION("""COMPUTED_VALUE"""),"0374437287")</f>
        <v>0374437287</v>
      </c>
      <c r="K10252" s="2" t="str">
        <f ca="1">IFERROR(__xludf.DUMMYFUNCTION("""COMPUTED_VALUE"""),"106643742659")</f>
        <v>106643742659</v>
      </c>
    </row>
    <row r="10253" spans="1:11" ht="12.45">
      <c r="A10253" s="2" t="str">
        <f ca="1">IFERROR(__xludf.DUMMYFUNCTION("""COMPUTED_VALUE"""),"106643742869")</f>
        <v>106643742869</v>
      </c>
      <c r="C10253" s="2" t="str">
        <v>0</v>
      </c>
      <c r="F10253" s="2" t="str">
        <v>0</v>
      </c>
      <c r="I10253" s="3" t="str">
        <f ca="1">IFERROR(__xludf.DUMMYFUNCTION("""COMPUTED_VALUE"""),"Nguyễn Phước Khánh Linh")</f>
        <v>Nguyễn Phước Khánh Linh</v>
      </c>
      <c r="J10253" s="2" t="str">
        <f ca="1">IFERROR(__xludf.DUMMYFUNCTION("""COMPUTED_VALUE"""),"0773321829")</f>
        <v>0773321829</v>
      </c>
      <c r="K10253" s="2" t="str">
        <f ca="1">IFERROR(__xludf.DUMMYFUNCTION("""COMPUTED_VALUE"""),"106643742869")</f>
        <v>106643742869</v>
      </c>
    </row>
    <row r="10254" spans="1:11" ht="12.45">
      <c r="A10254" s="2" t="str">
        <f ca="1">IFERROR(__xludf.DUMMYFUNCTION("""COMPUTED_VALUE"""),"106643742981")</f>
        <v>106643742981</v>
      </c>
      <c r="C10254" s="2" t="str">
        <v>0</v>
      </c>
      <c r="F10254" s="2" t="str">
        <v>0</v>
      </c>
      <c r="I10254" s="3" t="str">
        <f ca="1">IFERROR(__xludf.DUMMYFUNCTION("""COMPUTED_VALUE"""),"Nguyễn Lê Khánh Ly ")</f>
        <v xml:space="preserve">Nguyễn Lê Khánh Ly </v>
      </c>
      <c r="J10254" s="2" t="str">
        <f ca="1">IFERROR(__xludf.DUMMYFUNCTION("""COMPUTED_VALUE"""),"0379817532")</f>
        <v>0379817532</v>
      </c>
      <c r="K10254" s="2" t="str">
        <f ca="1">IFERROR(__xludf.DUMMYFUNCTION("""COMPUTED_VALUE"""),"106643742981")</f>
        <v>106643742981</v>
      </c>
    </row>
    <row r="10255" spans="1:11" ht="12.45">
      <c r="A10255" s="2" t="str">
        <f ca="1">IFERROR(__xludf.DUMMYFUNCTION("""COMPUTED_VALUE"""),"106643743093")</f>
        <v>106643743093</v>
      </c>
      <c r="C10255" s="2" t="str">
        <v>0</v>
      </c>
      <c r="F10255" s="2" t="str">
        <v>0</v>
      </c>
      <c r="I10255" s="3" t="str">
        <f ca="1">IFERROR(__xludf.DUMMYFUNCTION("""COMPUTED_VALUE"""),"Huỳnh Như Ý ")</f>
        <v xml:space="preserve">Huỳnh Như Ý </v>
      </c>
      <c r="J10255" s="2" t="str">
        <f ca="1">IFERROR(__xludf.DUMMYFUNCTION("""COMPUTED_VALUE"""),"0866151574")</f>
        <v>0866151574</v>
      </c>
      <c r="K10255" s="2" t="str">
        <f ca="1">IFERROR(__xludf.DUMMYFUNCTION("""COMPUTED_VALUE"""),"106643743093")</f>
        <v>106643743093</v>
      </c>
    </row>
    <row r="10256" spans="1:11" ht="12.45">
      <c r="A10256" s="2" t="str">
        <f ca="1">IFERROR(__xludf.DUMMYFUNCTION("""COMPUTED_VALUE"""),"106643743155")</f>
        <v>106643743155</v>
      </c>
      <c r="C10256" s="2" t="str">
        <v>0</v>
      </c>
      <c r="F10256" s="2" t="str">
        <v>0</v>
      </c>
      <c r="I10256" s="3" t="str">
        <f ca="1">IFERROR(__xludf.DUMMYFUNCTION("""COMPUTED_VALUE"""),"Trần Văn Duy")</f>
        <v>Trần Văn Duy</v>
      </c>
      <c r="J10256" s="2" t="str">
        <f ca="1">IFERROR(__xludf.DUMMYFUNCTION("""COMPUTED_VALUE"""),"0348458405")</f>
        <v>0348458405</v>
      </c>
      <c r="K10256" s="2" t="str">
        <f ca="1">IFERROR(__xludf.DUMMYFUNCTION("""COMPUTED_VALUE"""),"106643743155")</f>
        <v>106643743155</v>
      </c>
    </row>
    <row r="10257" spans="1:11" ht="12.45">
      <c r="A10257" s="2" t="str">
        <f ca="1">IFERROR(__xludf.DUMMYFUNCTION("""COMPUTED_VALUE"""),"106643743228")</f>
        <v>106643743228</v>
      </c>
      <c r="C10257" s="2" t="str">
        <v>0</v>
      </c>
      <c r="F10257" s="2" t="str">
        <v>0</v>
      </c>
      <c r="I10257" s="3" t="str">
        <f ca="1">IFERROR(__xludf.DUMMYFUNCTION("""COMPUTED_VALUE"""),"Lý Công Trịnh ")</f>
        <v xml:space="preserve">Lý Công Trịnh </v>
      </c>
      <c r="J10257" s="2" t="str">
        <f ca="1">IFERROR(__xludf.DUMMYFUNCTION("""COMPUTED_VALUE"""),"0375487398")</f>
        <v>0375487398</v>
      </c>
      <c r="K10257" s="2" t="str">
        <f ca="1">IFERROR(__xludf.DUMMYFUNCTION("""COMPUTED_VALUE"""),"106643743228")</f>
        <v>106643743228</v>
      </c>
    </row>
    <row r="10258" spans="1:11" ht="12.45">
      <c r="A10258" s="2" t="str">
        <f ca="1">IFERROR(__xludf.DUMMYFUNCTION("""COMPUTED_VALUE"""),"106643743338")</f>
        <v>106643743338</v>
      </c>
      <c r="C10258" s="2" t="str">
        <v>0</v>
      </c>
      <c r="F10258" s="2" t="str">
        <v>0</v>
      </c>
      <c r="I10258" s="3" t="str">
        <f ca="1">IFERROR(__xludf.DUMMYFUNCTION("""COMPUTED_VALUE"""),"Lương Tiểu Vy ")</f>
        <v xml:space="preserve">Lương Tiểu Vy </v>
      </c>
      <c r="J10258" s="2" t="str">
        <f ca="1">IFERROR(__xludf.DUMMYFUNCTION("""COMPUTED_VALUE"""),"0345296604")</f>
        <v>0345296604</v>
      </c>
      <c r="K10258" s="2" t="str">
        <f ca="1">IFERROR(__xludf.DUMMYFUNCTION("""COMPUTED_VALUE"""),"106643743338")</f>
        <v>106643743338</v>
      </c>
    </row>
    <row r="10259" spans="1:11" ht="12.45">
      <c r="A10259" s="2" t="str">
        <f ca="1">IFERROR(__xludf.DUMMYFUNCTION("""COMPUTED_VALUE"""),"106643743473")</f>
        <v>106643743473</v>
      </c>
      <c r="C10259" s="2" t="str">
        <v>0</v>
      </c>
      <c r="F10259" s="2" t="str">
        <v>0</v>
      </c>
      <c r="I10259" s="3" t="str">
        <f ca="1">IFERROR(__xludf.DUMMYFUNCTION("""COMPUTED_VALUE"""),"ĐÀO MINH KHANG ")</f>
        <v xml:space="preserve">ĐÀO MINH KHANG </v>
      </c>
      <c r="J10259" s="2" t="str">
        <f ca="1">IFERROR(__xludf.DUMMYFUNCTION("""COMPUTED_VALUE"""),"0374071016")</f>
        <v>0374071016</v>
      </c>
      <c r="K10259" s="2" t="str">
        <f ca="1">IFERROR(__xludf.DUMMYFUNCTION("""COMPUTED_VALUE"""),"106643743473")</f>
        <v>106643743473</v>
      </c>
    </row>
    <row r="10260" spans="1:11" ht="12.45">
      <c r="A10260" s="2" t="str">
        <f ca="1">IFERROR(__xludf.DUMMYFUNCTION("""COMPUTED_VALUE"""),"106643743554")</f>
        <v>106643743554</v>
      </c>
      <c r="C10260" s="2" t="str">
        <v>0</v>
      </c>
      <c r="F10260" s="2" t="str">
        <v>0</v>
      </c>
      <c r="I10260" s="3" t="str">
        <f ca="1">IFERROR(__xludf.DUMMYFUNCTION("""COMPUTED_VALUE"""),"Nông Gia Phú")</f>
        <v>Nông Gia Phú</v>
      </c>
      <c r="J10260" s="2" t="str">
        <f ca="1">IFERROR(__xludf.DUMMYFUNCTION("""COMPUTED_VALUE"""),"0365324729")</f>
        <v>0365324729</v>
      </c>
      <c r="K10260" s="2" t="str">
        <f ca="1">IFERROR(__xludf.DUMMYFUNCTION("""COMPUTED_VALUE"""),"106643743554")</f>
        <v>106643743554</v>
      </c>
    </row>
    <row r="10261" spans="1:11" ht="12.45">
      <c r="A10261" s="2" t="str">
        <f ca="1">IFERROR(__xludf.DUMMYFUNCTION("""COMPUTED_VALUE"""),"106643743685")</f>
        <v>106643743685</v>
      </c>
      <c r="C10261" s="2" t="str">
        <v>0</v>
      </c>
      <c r="F10261" s="2" t="str">
        <v>0</v>
      </c>
      <c r="I10261" s="3" t="str">
        <f ca="1">IFERROR(__xludf.DUMMYFUNCTION("""COMPUTED_VALUE"""),"TRẦN XUÂN THÀNH")</f>
        <v>TRẦN XUÂN THÀNH</v>
      </c>
      <c r="J10261" s="2" t="str">
        <f ca="1">IFERROR(__xludf.DUMMYFUNCTION("""COMPUTED_VALUE"""),"0328173253")</f>
        <v>0328173253</v>
      </c>
      <c r="K10261" s="2" t="str">
        <f ca="1">IFERROR(__xludf.DUMMYFUNCTION("""COMPUTED_VALUE"""),"106643743685")</f>
        <v>106643743685</v>
      </c>
    </row>
    <row r="10262" spans="1:11" ht="12.45">
      <c r="A10262" s="2" t="str">
        <f ca="1">IFERROR(__xludf.DUMMYFUNCTION("""COMPUTED_VALUE"""),"106643743750")</f>
        <v>106643743750</v>
      </c>
      <c r="C10262" s="2" t="str">
        <v>0</v>
      </c>
      <c r="F10262" s="2" t="str">
        <v>0</v>
      </c>
      <c r="I10262" s="3" t="str">
        <f ca="1">IFERROR(__xludf.DUMMYFUNCTION("""COMPUTED_VALUE"""),"Bùi Phương Anh")</f>
        <v>Bùi Phương Anh</v>
      </c>
      <c r="J10262" s="2" t="str">
        <f ca="1">IFERROR(__xludf.DUMMYFUNCTION("""COMPUTED_VALUE"""),"0868586297")</f>
        <v>0868586297</v>
      </c>
      <c r="K10262" s="2" t="str">
        <f ca="1">IFERROR(__xludf.DUMMYFUNCTION("""COMPUTED_VALUE"""),"106643743750")</f>
        <v>106643743750</v>
      </c>
    </row>
    <row r="10263" spans="1:11" ht="12.45">
      <c r="A10263" s="2" t="str">
        <f ca="1">IFERROR(__xludf.DUMMYFUNCTION("""COMPUTED_VALUE"""),"106643743825")</f>
        <v>106643743825</v>
      </c>
      <c r="C10263" s="2" t="str">
        <v>0</v>
      </c>
      <c r="F10263" s="2" t="str">
        <v>0</v>
      </c>
      <c r="I10263" s="3" t="str">
        <f ca="1">IFERROR(__xludf.DUMMYFUNCTION("""COMPUTED_VALUE"""),"Bùi Khánh Ly")</f>
        <v>Bùi Khánh Ly</v>
      </c>
      <c r="J10263" s="2" t="str">
        <f ca="1">IFERROR(__xludf.DUMMYFUNCTION("""COMPUTED_VALUE"""),"0395075112")</f>
        <v>0395075112</v>
      </c>
      <c r="K10263" s="2" t="str">
        <f ca="1">IFERROR(__xludf.DUMMYFUNCTION("""COMPUTED_VALUE"""),"106643743825")</f>
        <v>106643743825</v>
      </c>
    </row>
    <row r="10264" spans="1:11" ht="12.45">
      <c r="A10264" s="2" t="str">
        <f ca="1">IFERROR(__xludf.DUMMYFUNCTION("""COMPUTED_VALUE"""),"106643743956")</f>
        <v>106643743956</v>
      </c>
      <c r="C10264" s="2" t="str">
        <v>0</v>
      </c>
      <c r="F10264" s="2" t="str">
        <v>0</v>
      </c>
      <c r="I10264" s="3" t="str">
        <f ca="1">IFERROR(__xludf.DUMMYFUNCTION("""COMPUTED_VALUE"""),"Lê Trúc Gia Hân")</f>
        <v>Lê Trúc Gia Hân</v>
      </c>
      <c r="J10264" s="2" t="str">
        <f ca="1">IFERROR(__xludf.DUMMYFUNCTION("""COMPUTED_VALUE"""),"0931789079")</f>
        <v>0931789079</v>
      </c>
      <c r="K10264" s="2" t="str">
        <f ca="1">IFERROR(__xludf.DUMMYFUNCTION("""COMPUTED_VALUE"""),"106643743956")</f>
        <v>106643743956</v>
      </c>
    </row>
    <row r="10265" spans="1:11" ht="12.45">
      <c r="A10265" s="2" t="str">
        <f ca="1">IFERROR(__xludf.DUMMYFUNCTION("""COMPUTED_VALUE"""),"106643744014")</f>
        <v>106643744014</v>
      </c>
      <c r="C10265" s="2" t="str">
        <v>0</v>
      </c>
      <c r="F10265" s="2" t="str">
        <v>0</v>
      </c>
      <c r="I10265" s="3" t="str">
        <f ca="1">IFERROR(__xludf.DUMMYFUNCTION("""COMPUTED_VALUE"""),"Nguyễn Thanh Hiền")</f>
        <v>Nguyễn Thanh Hiền</v>
      </c>
      <c r="J10265" s="3" t="str">
        <f ca="1">IFERROR(__xludf.DUMMYFUNCTION("""COMPUTED_VALUE"""),"0353840466")</f>
        <v>0353840466</v>
      </c>
      <c r="K10265" s="2" t="str">
        <f ca="1">IFERROR(__xludf.DUMMYFUNCTION("""COMPUTED_VALUE"""),"106643744014")</f>
        <v>106643744014</v>
      </c>
    </row>
    <row r="10266" spans="1:11" ht="12.45">
      <c r="A10266" s="2" t="str">
        <f ca="1">IFERROR(__xludf.DUMMYFUNCTION("""COMPUTED_VALUE"""),"106643744124")</f>
        <v>106643744124</v>
      </c>
      <c r="C10266" s="2" t="str">
        <v>0</v>
      </c>
      <c r="F10266" s="2" t="str">
        <v>0</v>
      </c>
      <c r="I10266" s="3" t="str">
        <f ca="1">IFERROR(__xludf.DUMMYFUNCTION("""COMPUTED_VALUE"""),"Đặng T.Hồng Phương")</f>
        <v>Đặng T.Hồng Phương</v>
      </c>
      <c r="J10266" s="2" t="str">
        <f ca="1">IFERROR(__xludf.DUMMYFUNCTION("""COMPUTED_VALUE"""),"0394770615")</f>
        <v>0394770615</v>
      </c>
      <c r="K10266" s="2" t="str">
        <f ca="1">IFERROR(__xludf.DUMMYFUNCTION("""COMPUTED_VALUE"""),"106643744124")</f>
        <v>106643744124</v>
      </c>
    </row>
    <row r="10267" spans="1:11" ht="12.45">
      <c r="A10267" s="2" t="str">
        <f ca="1">IFERROR(__xludf.DUMMYFUNCTION("""COMPUTED_VALUE"""),"106643744255")</f>
        <v>106643744255</v>
      </c>
      <c r="C10267" s="2" t="str">
        <v>0</v>
      </c>
      <c r="F10267" s="2" t="str">
        <v>0</v>
      </c>
      <c r="I10267" s="3" t="str">
        <f ca="1">IFERROR(__xludf.DUMMYFUNCTION("""COMPUTED_VALUE"""),"Đặng đức điểm")</f>
        <v>Đặng đức điểm</v>
      </c>
      <c r="J10267" s="2" t="str">
        <f ca="1">IFERROR(__xludf.DUMMYFUNCTION("""COMPUTED_VALUE"""),"8439803891")</f>
        <v>8439803891</v>
      </c>
      <c r="K10267" s="2" t="str">
        <f ca="1">IFERROR(__xludf.DUMMYFUNCTION("""COMPUTED_VALUE"""),"106643744255")</f>
        <v>106643744255</v>
      </c>
    </row>
    <row r="10268" spans="1:11" ht="12.45">
      <c r="A10268" s="2" t="str">
        <f ca="1">IFERROR(__xludf.DUMMYFUNCTION("""COMPUTED_VALUE"""),"106643744494")</f>
        <v>106643744494</v>
      </c>
      <c r="C10268" s="2" t="str">
        <v>0</v>
      </c>
      <c r="F10268" s="2" t="str">
        <v>0</v>
      </c>
      <c r="I10268" s="3" t="str">
        <f ca="1">IFERROR(__xludf.DUMMYFUNCTION("""COMPUTED_VALUE"""),"Phạm Mai Trang")</f>
        <v>Phạm Mai Trang</v>
      </c>
      <c r="J10268" s="2" t="str">
        <f ca="1">IFERROR(__xludf.DUMMYFUNCTION("""COMPUTED_VALUE"""),"0866612117")</f>
        <v>0866612117</v>
      </c>
      <c r="K10268" s="2" t="str">
        <f ca="1">IFERROR(__xludf.DUMMYFUNCTION("""COMPUTED_VALUE"""),"106643744494")</f>
        <v>106643744494</v>
      </c>
    </row>
    <row r="10269" spans="1:11" ht="12.45">
      <c r="A10269" s="2" t="str">
        <f ca="1">IFERROR(__xludf.DUMMYFUNCTION("""COMPUTED_VALUE"""),"106643744667")</f>
        <v>106643744667</v>
      </c>
      <c r="C10269" s="2" t="str">
        <v>0</v>
      </c>
      <c r="F10269" s="2" t="str">
        <v>0</v>
      </c>
      <c r="I10269" s="3" t="str">
        <f ca="1">IFERROR(__xludf.DUMMYFUNCTION("""COMPUTED_VALUE"""),"Giản Hoài Phương ")</f>
        <v xml:space="preserve">Giản Hoài Phương </v>
      </c>
      <c r="J10269" s="2" t="str">
        <f ca="1">IFERROR(__xludf.DUMMYFUNCTION("""COMPUTED_VALUE"""),"0395579133")</f>
        <v>0395579133</v>
      </c>
      <c r="K10269" s="2" t="str">
        <f ca="1">IFERROR(__xludf.DUMMYFUNCTION("""COMPUTED_VALUE"""),"106643744667")</f>
        <v>106643744667</v>
      </c>
    </row>
    <row r="10270" spans="1:11" ht="12.45">
      <c r="A10270" s="2" t="str">
        <f ca="1">IFERROR(__xludf.DUMMYFUNCTION("""COMPUTED_VALUE"""),"106643744756")</f>
        <v>106643744756</v>
      </c>
      <c r="C10270" s="2" t="str">
        <v>0</v>
      </c>
      <c r="F10270" s="2" t="str">
        <v>0</v>
      </c>
      <c r="I10270" s="3" t="str">
        <f ca="1">IFERROR(__xludf.DUMMYFUNCTION("""COMPUTED_VALUE"""),"Nguyễn Tuấn Hải")</f>
        <v>Nguyễn Tuấn Hải</v>
      </c>
      <c r="J10270" s="2" t="str">
        <f ca="1">IFERROR(__xludf.DUMMYFUNCTION("""COMPUTED_VALUE"""),"0395659124")</f>
        <v>0395659124</v>
      </c>
      <c r="K10270" s="2" t="str">
        <f ca="1">IFERROR(__xludf.DUMMYFUNCTION("""COMPUTED_VALUE"""),"106643744756")</f>
        <v>106643744756</v>
      </c>
    </row>
    <row r="10271" spans="1:11" ht="12.45">
      <c r="A10271" s="2" t="str">
        <f ca="1">IFERROR(__xludf.DUMMYFUNCTION("""COMPUTED_VALUE"""),"106643744876")</f>
        <v>106643744876</v>
      </c>
      <c r="C10271" s="2" t="str">
        <v>0</v>
      </c>
      <c r="F10271" s="2" t="str">
        <v>0</v>
      </c>
      <c r="I10271" s="3" t="str">
        <f ca="1">IFERROR(__xludf.DUMMYFUNCTION("""COMPUTED_VALUE"""),"Đỗ Mai Quỳnh Anh")</f>
        <v>Đỗ Mai Quỳnh Anh</v>
      </c>
      <c r="J10271" s="2" t="str">
        <f ca="1">IFERROR(__xludf.DUMMYFUNCTION("""COMPUTED_VALUE"""),"0988707232")</f>
        <v>0988707232</v>
      </c>
      <c r="K10271" s="2" t="str">
        <f ca="1">IFERROR(__xludf.DUMMYFUNCTION("""COMPUTED_VALUE"""),"106643744876")</f>
        <v>106643744876</v>
      </c>
    </row>
    <row r="10272" spans="1:11" ht="12.45">
      <c r="A10272" s="2" t="str">
        <f ca="1">IFERROR(__xludf.DUMMYFUNCTION("""COMPUTED_VALUE"""),"106643744984")</f>
        <v>106643744984</v>
      </c>
      <c r="C10272" s="2" t="str">
        <v>0</v>
      </c>
      <c r="F10272" s="2" t="str">
        <v>0</v>
      </c>
      <c r="I10272" s="3" t="str">
        <f ca="1">IFERROR(__xludf.DUMMYFUNCTION("""COMPUTED_VALUE"""),"Nguyễn Thu Phương")</f>
        <v>Nguyễn Thu Phương</v>
      </c>
      <c r="J10272" s="2" t="str">
        <f ca="1">IFERROR(__xludf.DUMMYFUNCTION("""COMPUTED_VALUE"""),"0967288491")</f>
        <v>0967288491</v>
      </c>
      <c r="K10272" s="2" t="str">
        <f ca="1">IFERROR(__xludf.DUMMYFUNCTION("""COMPUTED_VALUE"""),"106643744984")</f>
        <v>106643744984</v>
      </c>
    </row>
    <row r="10273" spans="1:11" ht="12.45">
      <c r="A10273" s="2" t="str">
        <f ca="1">IFERROR(__xludf.DUMMYFUNCTION("""COMPUTED_VALUE"""),"106643745036")</f>
        <v>106643745036</v>
      </c>
      <c r="C10273" s="2" t="str">
        <v>0</v>
      </c>
      <c r="F10273" s="2" t="str">
        <v>0</v>
      </c>
      <c r="I10273" s="3" t="str">
        <f ca="1">IFERROR(__xludf.DUMMYFUNCTION("""COMPUTED_VALUE"""),"Nguyễn Trọng Bảo Ngọc ")</f>
        <v xml:space="preserve">Nguyễn Trọng Bảo Ngọc </v>
      </c>
      <c r="J10273" s="2" t="str">
        <f ca="1">IFERROR(__xludf.DUMMYFUNCTION("""COMPUTED_VALUE"""),"0967557408")</f>
        <v>0967557408</v>
      </c>
      <c r="K10273" s="2" t="str">
        <f ca="1">IFERROR(__xludf.DUMMYFUNCTION("""COMPUTED_VALUE"""),"106643745036")</f>
        <v>106643745036</v>
      </c>
    </row>
    <row r="10274" spans="1:11" ht="12.45">
      <c r="A10274" s="2" t="str">
        <f ca="1">IFERROR(__xludf.DUMMYFUNCTION("""COMPUTED_VALUE"""),"106643745141")</f>
        <v>106643745141</v>
      </c>
      <c r="C10274" s="2" t="str">
        <v>0</v>
      </c>
      <c r="F10274" s="2" t="str">
        <v>0</v>
      </c>
      <c r="I10274" s="3" t="str">
        <f ca="1">IFERROR(__xludf.DUMMYFUNCTION("""COMPUTED_VALUE"""),"Dương Mai Phương")</f>
        <v>Dương Mai Phương</v>
      </c>
      <c r="J10274" s="2" t="str">
        <f ca="1">IFERROR(__xludf.DUMMYFUNCTION("""COMPUTED_VALUE"""),"0868993910")</f>
        <v>0868993910</v>
      </c>
      <c r="K10274" s="2" t="str">
        <f ca="1">IFERROR(__xludf.DUMMYFUNCTION("""COMPUTED_VALUE"""),"106643745141")</f>
        <v>106643745141</v>
      </c>
    </row>
    <row r="10275" spans="1:11" ht="12.45">
      <c r="A10275" s="2" t="str">
        <f ca="1">IFERROR(__xludf.DUMMYFUNCTION("""COMPUTED_VALUE"""),"106855609384")</f>
        <v>106855609384</v>
      </c>
      <c r="C10275" s="2" t="str">
        <v>0</v>
      </c>
      <c r="F10275" s="2" t="str">
        <v>0</v>
      </c>
      <c r="I10275" s="3" t="str">
        <f ca="1">IFERROR(__xludf.DUMMYFUNCTION("""COMPUTED_VALUE"""),"Nông Thị Quỳnh Như")</f>
        <v>Nông Thị Quỳnh Như</v>
      </c>
      <c r="J10275" s="2" t="str">
        <f ca="1">IFERROR(__xludf.DUMMYFUNCTION("""COMPUTED_VALUE"""),"0839318868")</f>
        <v>0839318868</v>
      </c>
      <c r="K10275" s="2" t="str">
        <f ca="1">IFERROR(__xludf.DUMMYFUNCTION("""COMPUTED_VALUE"""),"106855609384")</f>
        <v>106855609384</v>
      </c>
    </row>
    <row r="10276" spans="1:11" ht="12.45">
      <c r="A10276" s="2" t="str">
        <f ca="1">IFERROR(__xludf.DUMMYFUNCTION("""COMPUTED_VALUE"""),"106643745348")</f>
        <v>106643745348</v>
      </c>
      <c r="C10276" s="2" t="str">
        <v>0</v>
      </c>
      <c r="F10276" s="2" t="str">
        <v>0</v>
      </c>
      <c r="I10276" s="3" t="str">
        <f ca="1">IFERROR(__xludf.DUMMYFUNCTION("""COMPUTED_VALUE"""),"Hoàng Lục Gia Hân ")</f>
        <v xml:space="preserve">Hoàng Lục Gia Hân </v>
      </c>
      <c r="J10276" s="2" t="str">
        <f ca="1">IFERROR(__xludf.DUMMYFUNCTION("""COMPUTED_VALUE"""),"0393452566")</f>
        <v>0393452566</v>
      </c>
      <c r="K10276" s="2" t="str">
        <f ca="1">IFERROR(__xludf.DUMMYFUNCTION("""COMPUTED_VALUE"""),"106643745348")</f>
        <v>106643745348</v>
      </c>
    </row>
    <row r="10277" spans="1:11" ht="12.45">
      <c r="A10277" s="2" t="str">
        <f ca="1">IFERROR(__xludf.DUMMYFUNCTION("""COMPUTED_VALUE"""),"106643745525")</f>
        <v>106643745525</v>
      </c>
      <c r="C10277" s="2" t="str">
        <v>0</v>
      </c>
      <c r="F10277" s="2" t="str">
        <v>0</v>
      </c>
      <c r="I10277" s="3" t="str">
        <f ca="1">IFERROR(__xludf.DUMMYFUNCTION("""COMPUTED_VALUE"""),"Nguyễn Nhật Vy")</f>
        <v>Nguyễn Nhật Vy</v>
      </c>
      <c r="J10277" s="2" t="str">
        <f ca="1">IFERROR(__xludf.DUMMYFUNCTION("""COMPUTED_VALUE"""),"0964243852")</f>
        <v>0964243852</v>
      </c>
      <c r="K10277" s="2" t="str">
        <f ca="1">IFERROR(__xludf.DUMMYFUNCTION("""COMPUTED_VALUE"""),"106643745525")</f>
        <v>106643745525</v>
      </c>
    </row>
    <row r="10278" spans="1:11" ht="12.45">
      <c r="A10278" s="2" t="str">
        <f ca="1">IFERROR(__xludf.DUMMYFUNCTION("""COMPUTED_VALUE"""),"106643745616")</f>
        <v>106643745616</v>
      </c>
      <c r="C10278" s="2" t="str">
        <v>0</v>
      </c>
      <c r="F10278" s="2" t="str">
        <v>0</v>
      </c>
      <c r="I10278" s="3" t="str">
        <f ca="1">IFERROR(__xludf.DUMMYFUNCTION("""COMPUTED_VALUE"""),"Nguyễn Thị Bích Thùy")</f>
        <v>Nguyễn Thị Bích Thùy</v>
      </c>
      <c r="J10278" s="2" t="str">
        <f ca="1">IFERROR(__xludf.DUMMYFUNCTION("""COMPUTED_VALUE"""),"0379486037")</f>
        <v>0379486037</v>
      </c>
      <c r="K10278" s="2" t="str">
        <f ca="1">IFERROR(__xludf.DUMMYFUNCTION("""COMPUTED_VALUE"""),"106643745616")</f>
        <v>106643745616</v>
      </c>
    </row>
    <row r="10279" spans="1:11" ht="12.45">
      <c r="A10279" s="2" t="str">
        <f ca="1">IFERROR(__xludf.DUMMYFUNCTION("""COMPUTED_VALUE"""),"106643745825")</f>
        <v>106643745825</v>
      </c>
      <c r="C10279" s="2" t="str">
        <v>0</v>
      </c>
      <c r="F10279" s="2" t="str">
        <v>0</v>
      </c>
      <c r="I10279" s="3" t="str">
        <f ca="1">IFERROR(__xludf.DUMMYFUNCTION("""COMPUTED_VALUE"""),"Hà Phương Thảo")</f>
        <v>Hà Phương Thảo</v>
      </c>
      <c r="J10279" s="2" t="str">
        <f ca="1">IFERROR(__xludf.DUMMYFUNCTION("""COMPUTED_VALUE"""),"0329255387")</f>
        <v>0329255387</v>
      </c>
      <c r="K10279" s="2" t="str">
        <f ca="1">IFERROR(__xludf.DUMMYFUNCTION("""COMPUTED_VALUE"""),"106643745825")</f>
        <v>106643745825</v>
      </c>
    </row>
    <row r="10280" spans="1:11" ht="12.45">
      <c r="A10280" s="2" t="str">
        <f ca="1">IFERROR(__xludf.DUMMYFUNCTION("""COMPUTED_VALUE"""),"106855609570")</f>
        <v>106855609570</v>
      </c>
      <c r="C10280" s="2" t="str">
        <v>0</v>
      </c>
      <c r="F10280" s="2" t="str">
        <v>0</v>
      </c>
      <c r="I10280" s="3" t="str">
        <f ca="1">IFERROR(__xludf.DUMMYFUNCTION("""COMPUTED_VALUE"""),"Nguyễn Thảo")</f>
        <v>Nguyễn Thảo</v>
      </c>
      <c r="J10280" s="2" t="str">
        <f ca="1">IFERROR(__xludf.DUMMYFUNCTION("""COMPUTED_VALUE"""),"0326188672")</f>
        <v>0326188672</v>
      </c>
      <c r="K10280" s="2" t="str">
        <f ca="1">IFERROR(__xludf.DUMMYFUNCTION("""COMPUTED_VALUE"""),"106855609570")</f>
        <v>106855609570</v>
      </c>
    </row>
    <row r="10281" spans="1:11" ht="12.45">
      <c r="A10281" s="2" t="str">
        <f ca="1">IFERROR(__xludf.DUMMYFUNCTION("""COMPUTED_VALUE"""),"106643745926")</f>
        <v>106643745926</v>
      </c>
      <c r="C10281" s="2" t="str">
        <v>0</v>
      </c>
      <c r="F10281" s="2" t="str">
        <v>0</v>
      </c>
      <c r="I10281" s="3" t="str">
        <f ca="1">IFERROR(__xludf.DUMMYFUNCTION("""COMPUTED_VALUE"""),"Trần Thức")</f>
        <v>Trần Thức</v>
      </c>
      <c r="J10281" s="2" t="str">
        <f ca="1">IFERROR(__xludf.DUMMYFUNCTION("""COMPUTED_VALUE"""),"0834306267")</f>
        <v>0834306267</v>
      </c>
      <c r="K10281" s="2" t="str">
        <f ca="1">IFERROR(__xludf.DUMMYFUNCTION("""COMPUTED_VALUE"""),"106643745926")</f>
        <v>106643745926</v>
      </c>
    </row>
    <row r="10282" spans="1:11" ht="12.45">
      <c r="A10282" s="2" t="str">
        <f ca="1">IFERROR(__xludf.DUMMYFUNCTION("""COMPUTED_VALUE"""),"106643746049")</f>
        <v>106643746049</v>
      </c>
      <c r="C10282" s="2" t="str">
        <v>0</v>
      </c>
      <c r="F10282" s="2" t="str">
        <v>0</v>
      </c>
      <c r="I10282" s="3" t="str">
        <f ca="1">IFERROR(__xludf.DUMMYFUNCTION("""COMPUTED_VALUE"""),"Trương Uyển Nghi")</f>
        <v>Trương Uyển Nghi</v>
      </c>
      <c r="J10282" s="2" t="str">
        <f ca="1">IFERROR(__xludf.DUMMYFUNCTION("""COMPUTED_VALUE"""),"0948630474")</f>
        <v>0948630474</v>
      </c>
      <c r="K10282" s="2" t="str">
        <f ca="1">IFERROR(__xludf.DUMMYFUNCTION("""COMPUTED_VALUE"""),"106643746049")</f>
        <v>106643746049</v>
      </c>
    </row>
    <row r="10283" spans="1:11" ht="12.45">
      <c r="A10283" s="2" t="str">
        <f ca="1">IFERROR(__xludf.DUMMYFUNCTION("""COMPUTED_VALUE"""),"106643746148")</f>
        <v>106643746148</v>
      </c>
      <c r="C10283" s="2" t="str">
        <v>0</v>
      </c>
      <c r="F10283" s="2" t="str">
        <v>0</v>
      </c>
      <c r="I10283" s="3" t="str">
        <f ca="1">IFERROR(__xludf.DUMMYFUNCTION("""COMPUTED_VALUE"""),"Nguyễn Hương Giang")</f>
        <v>Nguyễn Hương Giang</v>
      </c>
      <c r="J10283" s="2" t="str">
        <f ca="1">IFERROR(__xludf.DUMMYFUNCTION("""COMPUTED_VALUE"""),"0911916891")</f>
        <v>0911916891</v>
      </c>
      <c r="K10283" s="2" t="str">
        <f ca="1">IFERROR(__xludf.DUMMYFUNCTION("""COMPUTED_VALUE"""),"106643746148")</f>
        <v>106643746148</v>
      </c>
    </row>
    <row r="10284" spans="1:11" ht="12.45">
      <c r="A10284" s="2" t="str">
        <f ca="1">IFERROR(__xludf.DUMMYFUNCTION("""COMPUTED_VALUE"""),"106643746275")</f>
        <v>106643746275</v>
      </c>
      <c r="C10284" s="2" t="str">
        <v>0</v>
      </c>
      <c r="F10284" s="2" t="str">
        <v>0</v>
      </c>
      <c r="I10284" s="3" t="str">
        <f ca="1">IFERROR(__xludf.DUMMYFUNCTION("""COMPUTED_VALUE"""),"Nguyễn Thị Tố Nga")</f>
        <v>Nguyễn Thị Tố Nga</v>
      </c>
      <c r="J10284" s="2" t="str">
        <f ca="1">IFERROR(__xludf.DUMMYFUNCTION("""COMPUTED_VALUE"""),"0925144397")</f>
        <v>0925144397</v>
      </c>
      <c r="K10284" s="2" t="str">
        <f ca="1">IFERROR(__xludf.DUMMYFUNCTION("""COMPUTED_VALUE"""),"106643746275")</f>
        <v>106643746275</v>
      </c>
    </row>
    <row r="10285" spans="1:11" ht="12.45">
      <c r="A10285" s="2" t="str">
        <f ca="1">IFERROR(__xludf.DUMMYFUNCTION("""COMPUTED_VALUE"""),"106643746362")</f>
        <v>106643746362</v>
      </c>
      <c r="C10285" s="2" t="str">
        <v>0</v>
      </c>
      <c r="F10285" s="2" t="str">
        <v>0</v>
      </c>
      <c r="I10285" s="3" t="str">
        <f ca="1">IFERROR(__xludf.DUMMYFUNCTION("""COMPUTED_VALUE"""),"Trần Thị Ngọc Lan")</f>
        <v>Trần Thị Ngọc Lan</v>
      </c>
      <c r="J10285" s="2" t="str">
        <f ca="1">IFERROR(__xludf.DUMMYFUNCTION("""COMPUTED_VALUE"""),"0962532977")</f>
        <v>0962532977</v>
      </c>
      <c r="K10285" s="2" t="str">
        <f ca="1">IFERROR(__xludf.DUMMYFUNCTION("""COMPUTED_VALUE"""),"106643746362")</f>
        <v>106643746362</v>
      </c>
    </row>
    <row r="10286" spans="1:11" ht="12.45">
      <c r="A10286" s="2" t="str">
        <f ca="1">IFERROR(__xludf.DUMMYFUNCTION("""COMPUTED_VALUE"""),"106643746497")</f>
        <v>106643746497</v>
      </c>
      <c r="C10286" s="2" t="str">
        <v>0</v>
      </c>
      <c r="F10286" s="2" t="str">
        <v>0</v>
      </c>
      <c r="I10286" s="3" t="str">
        <f ca="1">IFERROR(__xludf.DUMMYFUNCTION("""COMPUTED_VALUE"""),"Vũ Thanh Hoà")</f>
        <v>Vũ Thanh Hoà</v>
      </c>
      <c r="J10286" s="2" t="str">
        <f ca="1">IFERROR(__xludf.DUMMYFUNCTION("""COMPUTED_VALUE"""),"0945238636")</f>
        <v>0945238636</v>
      </c>
      <c r="K10286" s="2" t="str">
        <f ca="1">IFERROR(__xludf.DUMMYFUNCTION("""COMPUTED_VALUE"""),"106643746497")</f>
        <v>106643746497</v>
      </c>
    </row>
    <row r="10287" spans="1:11" ht="12.45">
      <c r="A10287" s="2" t="str">
        <f ca="1">IFERROR(__xludf.DUMMYFUNCTION("""COMPUTED_VALUE"""),"106643746558")</f>
        <v>106643746558</v>
      </c>
      <c r="C10287" s="2" t="str">
        <v>0</v>
      </c>
      <c r="F10287" s="2" t="str">
        <v>0</v>
      </c>
      <c r="I10287" s="3" t="str">
        <f ca="1">IFERROR(__xludf.DUMMYFUNCTION("""COMPUTED_VALUE"""),"Nguyễn Ánh Ngọc Lam")</f>
        <v>Nguyễn Ánh Ngọc Lam</v>
      </c>
      <c r="J10287" s="2" t="str">
        <f ca="1">IFERROR(__xludf.DUMMYFUNCTION("""COMPUTED_VALUE"""),"0902226000")</f>
        <v>0902226000</v>
      </c>
      <c r="K10287" s="2" t="str">
        <f ca="1">IFERROR(__xludf.DUMMYFUNCTION("""COMPUTED_VALUE"""),"106643746558")</f>
        <v>106643746558</v>
      </c>
    </row>
    <row r="10288" spans="1:11" ht="12.45">
      <c r="A10288" s="2" t="str">
        <f ca="1">IFERROR(__xludf.DUMMYFUNCTION("""COMPUTED_VALUE"""),"106643746873")</f>
        <v>106643746873</v>
      </c>
      <c r="C10288" s="2" t="str">
        <v>0</v>
      </c>
      <c r="F10288" s="2" t="str">
        <v>0</v>
      </c>
      <c r="I10288" s="3" t="str">
        <f ca="1">IFERROR(__xludf.DUMMYFUNCTION("""COMPUTED_VALUE"""),"Hoàng Nguyễn An Khánh")</f>
        <v>Hoàng Nguyễn An Khánh</v>
      </c>
      <c r="J10288" s="2" t="str">
        <f ca="1">IFERROR(__xludf.DUMMYFUNCTION("""COMPUTED_VALUE"""),"0375503507")</f>
        <v>0375503507</v>
      </c>
      <c r="K10288" s="2" t="str">
        <f ca="1">IFERROR(__xludf.DUMMYFUNCTION("""COMPUTED_VALUE"""),"106643746873")</f>
        <v>106643746873</v>
      </c>
    </row>
    <row r="10289" spans="1:11" ht="12.45">
      <c r="A10289" s="2" t="str">
        <f ca="1">IFERROR(__xludf.DUMMYFUNCTION("""COMPUTED_VALUE"""),"106855609614")</f>
        <v>106855609614</v>
      </c>
      <c r="C10289" s="2" t="str">
        <v>0</v>
      </c>
      <c r="F10289" s="2" t="str">
        <v>0</v>
      </c>
      <c r="I10289" s="3" t="str">
        <f ca="1">IFERROR(__xludf.DUMMYFUNCTION("""COMPUTED_VALUE"""),"Hoàng Phương Anh")</f>
        <v>Hoàng Phương Anh</v>
      </c>
      <c r="J10289" s="2" t="str">
        <f ca="1">IFERROR(__xludf.DUMMYFUNCTION("""COMPUTED_VALUE"""),"0378496266")</f>
        <v>0378496266</v>
      </c>
      <c r="K10289" s="2" t="str">
        <f ca="1">IFERROR(__xludf.DUMMYFUNCTION("""COMPUTED_VALUE"""),"106855609614")</f>
        <v>106855609614</v>
      </c>
    </row>
    <row r="10290" spans="1:11" ht="12.45">
      <c r="A10290" s="2" t="str">
        <f ca="1">IFERROR(__xludf.DUMMYFUNCTION("""COMPUTED_VALUE"""),"106643747081")</f>
        <v>106643747081</v>
      </c>
      <c r="C10290" s="2" t="str">
        <v>0</v>
      </c>
      <c r="F10290" s="2" t="str">
        <v>0</v>
      </c>
      <c r="I10290" s="3" t="str">
        <f ca="1">IFERROR(__xludf.DUMMYFUNCTION("""COMPUTED_VALUE"""),"Đặng Phương Linh")</f>
        <v>Đặng Phương Linh</v>
      </c>
      <c r="J10290" s="2" t="str">
        <f ca="1">IFERROR(__xludf.DUMMYFUNCTION("""COMPUTED_VALUE"""),"0961971289")</f>
        <v>0961971289</v>
      </c>
      <c r="K10290" s="2" t="str">
        <f ca="1">IFERROR(__xludf.DUMMYFUNCTION("""COMPUTED_VALUE"""),"106643747081")</f>
        <v>106643747081</v>
      </c>
    </row>
    <row r="10291" spans="1:11" ht="12.45">
      <c r="A10291" s="2" t="str">
        <f ca="1">IFERROR(__xludf.DUMMYFUNCTION("""COMPUTED_VALUE"""),"106855609778")</f>
        <v>106855609778</v>
      </c>
      <c r="C10291" s="2" t="str">
        <v>0</v>
      </c>
      <c r="F10291" s="2" t="str">
        <v>0</v>
      </c>
      <c r="I10291" s="3" t="str">
        <f ca="1">IFERROR(__xludf.DUMMYFUNCTION("""COMPUTED_VALUE"""),"Bùi thuỳ trâm")</f>
        <v>Bùi thuỳ trâm</v>
      </c>
      <c r="J10291" s="2" t="str">
        <f ca="1">IFERROR(__xludf.DUMMYFUNCTION("""COMPUTED_VALUE"""),"0828205938")</f>
        <v>0828205938</v>
      </c>
      <c r="K10291" s="2" t="str">
        <f ca="1">IFERROR(__xludf.DUMMYFUNCTION("""COMPUTED_VALUE"""),"106855609778")</f>
        <v>106855609778</v>
      </c>
    </row>
    <row r="10292" spans="1:11" ht="12.45">
      <c r="A10292" s="2" t="str">
        <f ca="1">IFERROR(__xludf.DUMMYFUNCTION("""COMPUTED_VALUE"""),"106643747388")</f>
        <v>106643747388</v>
      </c>
      <c r="C10292" s="2" t="str">
        <v>0</v>
      </c>
      <c r="F10292" s="2" t="str">
        <v>0</v>
      </c>
      <c r="I10292" s="3" t="str">
        <f ca="1">IFERROR(__xludf.DUMMYFUNCTION("""COMPUTED_VALUE"""),"Danh Lý Minh Châu")</f>
        <v>Danh Lý Minh Châu</v>
      </c>
      <c r="J10292" s="2" t="str">
        <f ca="1">IFERROR(__xludf.DUMMYFUNCTION("""COMPUTED_VALUE"""),"0862626920")</f>
        <v>0862626920</v>
      </c>
      <c r="K10292" s="2" t="str">
        <f ca="1">IFERROR(__xludf.DUMMYFUNCTION("""COMPUTED_VALUE"""),"106643747388")</f>
        <v>106643747388</v>
      </c>
    </row>
    <row r="10293" spans="1:11" ht="12.45">
      <c r="A10293" s="2" t="str">
        <f ca="1">IFERROR(__xludf.DUMMYFUNCTION("""COMPUTED_VALUE"""),"106643747441")</f>
        <v>106643747441</v>
      </c>
      <c r="C10293" s="2" t="str">
        <v>0</v>
      </c>
      <c r="F10293" s="2" t="str">
        <v>0</v>
      </c>
      <c r="I10293" s="3" t="str">
        <f ca="1">IFERROR(__xludf.DUMMYFUNCTION("""COMPUTED_VALUE"""),"Nguyễn Thị Hồng Duyên")</f>
        <v>Nguyễn Thị Hồng Duyên</v>
      </c>
      <c r="J10293" s="2" t="str">
        <f ca="1">IFERROR(__xludf.DUMMYFUNCTION("""COMPUTED_VALUE"""),"0846225955")</f>
        <v>0846225955</v>
      </c>
      <c r="K10293" s="2" t="str">
        <f ca="1">IFERROR(__xludf.DUMMYFUNCTION("""COMPUTED_VALUE"""),"106643747441")</f>
        <v>106643747441</v>
      </c>
    </row>
    <row r="10294" spans="1:11" ht="12.45">
      <c r="A10294" s="2" t="str">
        <f ca="1">IFERROR(__xludf.DUMMYFUNCTION("""COMPUTED_VALUE"""),"106643747567")</f>
        <v>106643747567</v>
      </c>
      <c r="C10294" s="2" t="str">
        <v>0</v>
      </c>
      <c r="F10294" s="2" t="str">
        <v>0</v>
      </c>
      <c r="I10294" s="3" t="str">
        <f ca="1">IFERROR(__xludf.DUMMYFUNCTION("""COMPUTED_VALUE"""),"Điền Thị Thu Phương")</f>
        <v>Điền Thị Thu Phương</v>
      </c>
      <c r="J10294" s="2" t="str">
        <f ca="1">IFERROR(__xludf.DUMMYFUNCTION("""COMPUTED_VALUE"""),"0942661286")</f>
        <v>0942661286</v>
      </c>
      <c r="K10294" s="2" t="str">
        <f ca="1">IFERROR(__xludf.DUMMYFUNCTION("""COMPUTED_VALUE"""),"106643747567")</f>
        <v>106643747567</v>
      </c>
    </row>
    <row r="10295" spans="1:11" ht="12.45">
      <c r="A10295" s="2" t="str">
        <f ca="1">IFERROR(__xludf.DUMMYFUNCTION("""COMPUTED_VALUE"""),"106643747741")</f>
        <v>106643747741</v>
      </c>
      <c r="C10295" s="2" t="str">
        <v>0</v>
      </c>
      <c r="F10295" s="2" t="str">
        <v>0</v>
      </c>
      <c r="I10295" s="3" t="str">
        <f ca="1">IFERROR(__xludf.DUMMYFUNCTION("""COMPUTED_VALUE"""),"Vũ Trọng Hải")</f>
        <v>Vũ Trọng Hải</v>
      </c>
      <c r="J10295" s="2" t="str">
        <f ca="1">IFERROR(__xludf.DUMMYFUNCTION("""COMPUTED_VALUE"""),"0964002663")</f>
        <v>0964002663</v>
      </c>
      <c r="K10295" s="2" t="str">
        <f ca="1">IFERROR(__xludf.DUMMYFUNCTION("""COMPUTED_VALUE"""),"106643747741")</f>
        <v>106643747741</v>
      </c>
    </row>
    <row r="10296" spans="1:11" ht="12.45">
      <c r="A10296" s="2" t="str">
        <f ca="1">IFERROR(__xludf.DUMMYFUNCTION("""COMPUTED_VALUE"""),"106643747824")</f>
        <v>106643747824</v>
      </c>
      <c r="C10296" s="2" t="str">
        <v>0</v>
      </c>
      <c r="F10296" s="2" t="str">
        <v>0</v>
      </c>
      <c r="I10296" s="3" t="str">
        <f ca="1">IFERROR(__xludf.DUMMYFUNCTION("""COMPUTED_VALUE"""),"Lê Trần Yến Ly")</f>
        <v>Lê Trần Yến Ly</v>
      </c>
      <c r="J10296" s="2" t="str">
        <f ca="1">IFERROR(__xludf.DUMMYFUNCTION("""COMPUTED_VALUE"""),"0944525055")</f>
        <v>0944525055</v>
      </c>
      <c r="K10296" s="2" t="str">
        <f ca="1">IFERROR(__xludf.DUMMYFUNCTION("""COMPUTED_VALUE"""),"106643747824")</f>
        <v>106643747824</v>
      </c>
    </row>
    <row r="10297" spans="1:11" ht="12.45">
      <c r="A10297" s="2" t="str">
        <f ca="1">IFERROR(__xludf.DUMMYFUNCTION("""COMPUTED_VALUE"""),"106643747936")</f>
        <v>106643747936</v>
      </c>
      <c r="C10297" s="2" t="str">
        <v>0</v>
      </c>
      <c r="F10297" s="2" t="str">
        <v>0</v>
      </c>
      <c r="I10297" s="3" t="str">
        <f ca="1">IFERROR(__xludf.DUMMYFUNCTION("""COMPUTED_VALUE"""),"Phan Quốc Mạnh")</f>
        <v>Phan Quốc Mạnh</v>
      </c>
      <c r="J10297" s="2" t="str">
        <f ca="1">IFERROR(__xludf.DUMMYFUNCTION("""COMPUTED_VALUE"""),"0363379801")</f>
        <v>0363379801</v>
      </c>
      <c r="K10297" s="2" t="str">
        <f ca="1">IFERROR(__xludf.DUMMYFUNCTION("""COMPUTED_VALUE"""),"106643747936")</f>
        <v>106643747936</v>
      </c>
    </row>
    <row r="10298" spans="1:11" ht="12.45">
      <c r="A10298" s="2" t="str">
        <f ca="1">IFERROR(__xludf.DUMMYFUNCTION("""COMPUTED_VALUE"""),"106643748153")</f>
        <v>106643748153</v>
      </c>
      <c r="C10298" s="2" t="str">
        <v>0</v>
      </c>
      <c r="F10298" s="2" t="str">
        <v>0</v>
      </c>
      <c r="I10298" s="3" t="str">
        <f ca="1">IFERROR(__xludf.DUMMYFUNCTION("""COMPUTED_VALUE"""),"Nguyễn Thị Quỳnh ")</f>
        <v xml:space="preserve">Nguyễn Thị Quỳnh </v>
      </c>
      <c r="J10298" s="2" t="str">
        <f ca="1">IFERROR(__xludf.DUMMYFUNCTION("""COMPUTED_VALUE"""),"0963757613")</f>
        <v>0963757613</v>
      </c>
      <c r="K10298" s="2" t="str">
        <f ca="1">IFERROR(__xludf.DUMMYFUNCTION("""COMPUTED_VALUE"""),"106643748153")</f>
        <v>106643748153</v>
      </c>
    </row>
    <row r="10299" spans="1:11" ht="12.45">
      <c r="A10299" s="2" t="str">
        <f ca="1">IFERROR(__xludf.DUMMYFUNCTION("""COMPUTED_VALUE"""),"106643748250")</f>
        <v>106643748250</v>
      </c>
      <c r="C10299" s="2" t="str">
        <v>0</v>
      </c>
      <c r="F10299" s="2" t="str">
        <v>0</v>
      </c>
      <c r="I10299" s="3" t="str">
        <f ca="1">IFERROR(__xludf.DUMMYFUNCTION("""COMPUTED_VALUE"""),"Trương Ngọc Ánh ")</f>
        <v xml:space="preserve">Trương Ngọc Ánh </v>
      </c>
      <c r="J10299" s="2" t="str">
        <f ca="1">IFERROR(__xludf.DUMMYFUNCTION("""COMPUTED_VALUE"""),"0984526927")</f>
        <v>0984526927</v>
      </c>
      <c r="K10299" s="2" t="str">
        <f ca="1">IFERROR(__xludf.DUMMYFUNCTION("""COMPUTED_VALUE"""),"106643748250")</f>
        <v>106643748250</v>
      </c>
    </row>
    <row r="10300" spans="1:11" ht="12.45">
      <c r="A10300" s="2" t="str">
        <f ca="1">IFERROR(__xludf.DUMMYFUNCTION("""COMPUTED_VALUE"""),"106643748461")</f>
        <v>106643748461</v>
      </c>
      <c r="C10300" s="2" t="str">
        <v>0</v>
      </c>
      <c r="F10300" s="2" t="str">
        <v>0</v>
      </c>
      <c r="I10300" s="3" t="str">
        <f ca="1">IFERROR(__xludf.DUMMYFUNCTION("""COMPUTED_VALUE"""),"Lê Phương Nhi ")</f>
        <v xml:space="preserve">Lê Phương Nhi </v>
      </c>
      <c r="J10300" s="2" t="str">
        <f ca="1">IFERROR(__xludf.DUMMYFUNCTION("""COMPUTED_VALUE"""),"0902131082")</f>
        <v>0902131082</v>
      </c>
      <c r="K10300" s="2" t="str">
        <f ca="1">IFERROR(__xludf.DUMMYFUNCTION("""COMPUTED_VALUE"""),"106643748461")</f>
        <v>106643748461</v>
      </c>
    </row>
    <row r="10301" spans="1:11" ht="12.45">
      <c r="A10301" s="2" t="str">
        <f ca="1">IFERROR(__xludf.DUMMYFUNCTION("""COMPUTED_VALUE"""),"106643748634")</f>
        <v>106643748634</v>
      </c>
      <c r="C10301" s="2" t="str">
        <v>0</v>
      </c>
      <c r="F10301" s="2" t="str">
        <v>0</v>
      </c>
      <c r="I10301" s="3" t="str">
        <f ca="1">IFERROR(__xludf.DUMMYFUNCTION("""COMPUTED_VALUE"""),"Trịnh Tống Khánh Linh ")</f>
        <v xml:space="preserve">Trịnh Tống Khánh Linh </v>
      </c>
      <c r="J10301" s="2" t="str">
        <f ca="1">IFERROR(__xludf.DUMMYFUNCTION("""COMPUTED_VALUE"""),"0942860784")</f>
        <v>0942860784</v>
      </c>
      <c r="K10301" s="2" t="str">
        <f ca="1">IFERROR(__xludf.DUMMYFUNCTION("""COMPUTED_VALUE"""),"106643748634")</f>
        <v>106643748634</v>
      </c>
    </row>
    <row r="10302" spans="1:11" ht="12.45">
      <c r="A10302" s="2" t="str">
        <f ca="1">IFERROR(__xludf.DUMMYFUNCTION("""COMPUTED_VALUE"""),"106643748886")</f>
        <v>106643748886</v>
      </c>
      <c r="C10302" s="2" t="str">
        <v>0</v>
      </c>
      <c r="F10302" s="2" t="str">
        <v>0</v>
      </c>
      <c r="I10302" s="3" t="str">
        <f ca="1">IFERROR(__xludf.DUMMYFUNCTION("""COMPUTED_VALUE"""),"Nguyễn Anh Vũ")</f>
        <v>Nguyễn Anh Vũ</v>
      </c>
      <c r="J10302" s="2" t="str">
        <f ca="1">IFERROR(__xludf.DUMMYFUNCTION("""COMPUTED_VALUE"""),"0963365305")</f>
        <v>0963365305</v>
      </c>
      <c r="K10302" s="2" t="str">
        <f ca="1">IFERROR(__xludf.DUMMYFUNCTION("""COMPUTED_VALUE"""),"106643748886")</f>
        <v>106643748886</v>
      </c>
    </row>
    <row r="10303" spans="1:11" ht="12.45">
      <c r="A10303" s="2" t="str">
        <f ca="1">IFERROR(__xludf.DUMMYFUNCTION("""COMPUTED_VALUE"""),"106643749087")</f>
        <v>106643749087</v>
      </c>
      <c r="C10303" s="2" t="str">
        <v>0</v>
      </c>
      <c r="F10303" s="2" t="str">
        <v>0</v>
      </c>
      <c r="I10303" s="3" t="str">
        <f ca="1">IFERROR(__xludf.DUMMYFUNCTION("""COMPUTED_VALUE"""),"bùi thị hường")</f>
        <v>bùi thị hường</v>
      </c>
      <c r="J10303" s="2" t="str">
        <f ca="1">IFERROR(__xludf.DUMMYFUNCTION("""COMPUTED_VALUE"""),"0363699951")</f>
        <v>0363699951</v>
      </c>
      <c r="K10303" s="2" t="str">
        <f ca="1">IFERROR(__xludf.DUMMYFUNCTION("""COMPUTED_VALUE"""),"106643749087")</f>
        <v>106643749087</v>
      </c>
    </row>
    <row r="10304" spans="1:11" ht="12.45">
      <c r="A10304" s="2" t="str">
        <f ca="1">IFERROR(__xludf.DUMMYFUNCTION("""COMPUTED_VALUE"""),"106643749352")</f>
        <v>106643749352</v>
      </c>
      <c r="C10304" s="2" t="str">
        <v>0</v>
      </c>
      <c r="F10304" s="2" t="str">
        <v>0</v>
      </c>
      <c r="I10304" s="3" t="str">
        <f ca="1">IFERROR(__xludf.DUMMYFUNCTION("""COMPUTED_VALUE"""),"Nông Thị Ngân ")</f>
        <v xml:space="preserve">Nông Thị Ngân </v>
      </c>
      <c r="J10304" s="2" t="str">
        <f ca="1">IFERROR(__xludf.DUMMYFUNCTION("""COMPUTED_VALUE"""),"0334905146")</f>
        <v>0334905146</v>
      </c>
      <c r="K10304" s="2" t="str">
        <f ca="1">IFERROR(__xludf.DUMMYFUNCTION("""COMPUTED_VALUE"""),"106643749352")</f>
        <v>106643749352</v>
      </c>
    </row>
    <row r="10305" spans="1:11" ht="12.45">
      <c r="A10305" s="2"/>
      <c r="C10305" s="2" t="str">
        <v>0</v>
      </c>
      <c r="F10305" s="2" t="str">
        <v>0</v>
      </c>
      <c r="I10305" s="3" t="str">
        <f ca="1">IFERROR(__xludf.DUMMYFUNCTION("""COMPUTED_VALUE"""),"Đỗ Việt Ngọc Trâm ")</f>
        <v xml:space="preserve">Đỗ Việt Ngọc Trâm </v>
      </c>
      <c r="J10305" s="2" t="str">
        <f ca="1">IFERROR(__xludf.DUMMYFUNCTION("""COMPUTED_VALUE"""),"0344007545")</f>
        <v>0344007545</v>
      </c>
      <c r="K10305" s="2"/>
    </row>
    <row r="10306" spans="1:11" ht="12.45">
      <c r="A10306" s="2" t="str">
        <f ca="1">IFERROR(__xludf.DUMMYFUNCTION("""COMPUTED_VALUE"""),"106643749665")</f>
        <v>106643749665</v>
      </c>
      <c r="C10306" s="2" t="str">
        <v>0</v>
      </c>
      <c r="F10306" s="2" t="str">
        <v>0</v>
      </c>
      <c r="I10306" s="3" t="str">
        <f ca="1">IFERROR(__xludf.DUMMYFUNCTION("""COMPUTED_VALUE"""),"Châu Trần Mỹ Duyên ")</f>
        <v xml:space="preserve">Châu Trần Mỹ Duyên </v>
      </c>
      <c r="J10306" s="2" t="str">
        <f ca="1">IFERROR(__xludf.DUMMYFUNCTION("""COMPUTED_VALUE"""),"0978906278")</f>
        <v>0978906278</v>
      </c>
      <c r="K10306" s="2" t="str">
        <f ca="1">IFERROR(__xludf.DUMMYFUNCTION("""COMPUTED_VALUE"""),"106643749665")</f>
        <v>106643749665</v>
      </c>
    </row>
    <row r="10307" spans="1:11" ht="12.45">
      <c r="A10307" s="2" t="str">
        <f ca="1">IFERROR(__xludf.DUMMYFUNCTION("""COMPUTED_VALUE"""),"106855609876")</f>
        <v>106855609876</v>
      </c>
      <c r="C10307" s="2" t="str">
        <v>0</v>
      </c>
      <c r="F10307" s="2" t="str">
        <v>0</v>
      </c>
      <c r="I10307" s="3" t="str">
        <f ca="1">IFERROR(__xludf.DUMMYFUNCTION("""COMPUTED_VALUE"""),"Nguyễn Thị Cẩm Hồng ")</f>
        <v xml:space="preserve">Nguyễn Thị Cẩm Hồng </v>
      </c>
      <c r="J10307" s="2" t="str">
        <f ca="1">IFERROR(__xludf.DUMMYFUNCTION("""COMPUTED_VALUE"""),"0852457042")</f>
        <v>0852457042</v>
      </c>
      <c r="K10307" s="2" t="str">
        <f ca="1">IFERROR(__xludf.DUMMYFUNCTION("""COMPUTED_VALUE"""),"106855609876")</f>
        <v>106855609876</v>
      </c>
    </row>
    <row r="10308" spans="1:11" ht="12.45">
      <c r="A10308" s="2" t="str">
        <f ca="1">IFERROR(__xludf.DUMMYFUNCTION("""COMPUTED_VALUE"""),"106643749720")</f>
        <v>106643749720</v>
      </c>
      <c r="C10308" s="2" t="str">
        <v>0</v>
      </c>
      <c r="F10308" s="2" t="str">
        <v>0</v>
      </c>
      <c r="I10308" s="3" t="str">
        <f ca="1">IFERROR(__xludf.DUMMYFUNCTION("""COMPUTED_VALUE"""),"Đỗ huỳnh khánh uyên ")</f>
        <v xml:space="preserve">Đỗ huỳnh khánh uyên </v>
      </c>
      <c r="J10308" s="2" t="str">
        <f ca="1">IFERROR(__xludf.DUMMYFUNCTION("""COMPUTED_VALUE"""),"0329997325")</f>
        <v>0329997325</v>
      </c>
      <c r="K10308" s="2" t="str">
        <f ca="1">IFERROR(__xludf.DUMMYFUNCTION("""COMPUTED_VALUE"""),"106643749720")</f>
        <v>106643749720</v>
      </c>
    </row>
    <row r="10309" spans="1:11" ht="12.45">
      <c r="A10309" s="2" t="str">
        <f ca="1">IFERROR(__xludf.DUMMYFUNCTION("""COMPUTED_VALUE"""),"106643749890")</f>
        <v>106643749890</v>
      </c>
      <c r="C10309" s="2" t="str">
        <v>0</v>
      </c>
      <c r="F10309" s="2" t="str">
        <v>0</v>
      </c>
      <c r="I10309" s="3" t="str">
        <f ca="1">IFERROR(__xludf.DUMMYFUNCTION("""COMPUTED_VALUE"""),"Phạm Quang Sáng")</f>
        <v>Phạm Quang Sáng</v>
      </c>
      <c r="J10309" s="2" t="str">
        <f ca="1">IFERROR(__xludf.DUMMYFUNCTION("""COMPUTED_VALUE"""),"0563057664")</f>
        <v>0563057664</v>
      </c>
      <c r="K10309" s="2" t="str">
        <f ca="1">IFERROR(__xludf.DUMMYFUNCTION("""COMPUTED_VALUE"""),"106643749890")</f>
        <v>106643749890</v>
      </c>
    </row>
    <row r="10310" spans="1:11" ht="12.45">
      <c r="A10310" s="2" t="str">
        <f ca="1">IFERROR(__xludf.DUMMYFUNCTION("""COMPUTED_VALUE"""),"106643750027")</f>
        <v>106643750027</v>
      </c>
      <c r="C10310" s="2" t="str">
        <v>0</v>
      </c>
      <c r="F10310" s="2" t="str">
        <v>0</v>
      </c>
      <c r="I10310" s="3" t="str">
        <f ca="1">IFERROR(__xludf.DUMMYFUNCTION("""COMPUTED_VALUE"""),"Trương Thị Mỹ Ngọc")</f>
        <v>Trương Thị Mỹ Ngọc</v>
      </c>
      <c r="J10310" s="2" t="str">
        <f ca="1">IFERROR(__xludf.DUMMYFUNCTION("""COMPUTED_VALUE"""),"0337942336")</f>
        <v>0337942336</v>
      </c>
      <c r="K10310" s="2" t="str">
        <f ca="1">IFERROR(__xludf.DUMMYFUNCTION("""COMPUTED_VALUE"""),"106643750027")</f>
        <v>106643750027</v>
      </c>
    </row>
    <row r="10311" spans="1:11" ht="12.45">
      <c r="A10311" s="2" t="str">
        <f ca="1">IFERROR(__xludf.DUMMYFUNCTION("""COMPUTED_VALUE"""),"106643750256")</f>
        <v>106643750256</v>
      </c>
      <c r="C10311" s="2" t="str">
        <v>0</v>
      </c>
      <c r="F10311" s="2" t="str">
        <v>0</v>
      </c>
      <c r="I10311" s="3" t="str">
        <f ca="1">IFERROR(__xludf.DUMMYFUNCTION("""COMPUTED_VALUE"""),"Nguyễn Ngọc Bảo Thy")</f>
        <v>Nguyễn Ngọc Bảo Thy</v>
      </c>
      <c r="J10311" s="2" t="str">
        <f ca="1">IFERROR(__xludf.DUMMYFUNCTION("""COMPUTED_VALUE"""),"0344758961")</f>
        <v>0344758961</v>
      </c>
      <c r="K10311" s="2" t="str">
        <f ca="1">IFERROR(__xludf.DUMMYFUNCTION("""COMPUTED_VALUE"""),"106643750256")</f>
        <v>106643750256</v>
      </c>
    </row>
    <row r="10312" spans="1:11" ht="12.45">
      <c r="A10312" s="2" t="str">
        <f ca="1">IFERROR(__xludf.DUMMYFUNCTION("""COMPUTED_VALUE"""),"106643750481")</f>
        <v>106643750481</v>
      </c>
      <c r="C10312" s="2" t="str">
        <v>0</v>
      </c>
      <c r="F10312" s="2" t="str">
        <v>0</v>
      </c>
      <c r="I10312" s="3" t="str">
        <f ca="1">IFERROR(__xludf.DUMMYFUNCTION("""COMPUTED_VALUE"""),"Phạm Thị Linh Nhi")</f>
        <v>Phạm Thị Linh Nhi</v>
      </c>
      <c r="J10312" s="2" t="str">
        <f ca="1">IFERROR(__xludf.DUMMYFUNCTION("""COMPUTED_VALUE"""),"0839301107")</f>
        <v>0839301107</v>
      </c>
      <c r="K10312" s="2" t="str">
        <f ca="1">IFERROR(__xludf.DUMMYFUNCTION("""COMPUTED_VALUE"""),"106643750481")</f>
        <v>106643750481</v>
      </c>
    </row>
    <row r="10313" spans="1:11" ht="12.45">
      <c r="A10313" s="2" t="str">
        <f ca="1">IFERROR(__xludf.DUMMYFUNCTION("""COMPUTED_VALUE"""),"106643750540")</f>
        <v>106643750540</v>
      </c>
      <c r="C10313" s="2" t="str">
        <v>0</v>
      </c>
      <c r="F10313" s="2" t="str">
        <v>0</v>
      </c>
      <c r="I10313" s="3" t="str">
        <f ca="1">IFERROR(__xludf.DUMMYFUNCTION("""COMPUTED_VALUE"""),"Nguyễn Bá Quyến ")</f>
        <v xml:space="preserve">Nguyễn Bá Quyến </v>
      </c>
      <c r="J10313" s="2" t="str">
        <f ca="1">IFERROR(__xludf.DUMMYFUNCTION("""COMPUTED_VALUE"""),"0705890773")</f>
        <v>0705890773</v>
      </c>
      <c r="K10313" s="2" t="str">
        <f ca="1">IFERROR(__xludf.DUMMYFUNCTION("""COMPUTED_VALUE"""),"106643750540")</f>
        <v>106643750540</v>
      </c>
    </row>
    <row r="10314" spans="1:11" ht="12.45">
      <c r="A10314" s="2" t="str">
        <f ca="1">IFERROR(__xludf.DUMMYFUNCTION("""COMPUTED_VALUE"""),"106643750640")</f>
        <v>106643750640</v>
      </c>
      <c r="C10314" s="2" t="str">
        <v>0</v>
      </c>
      <c r="F10314" s="2" t="str">
        <v>0</v>
      </c>
      <c r="I10314" s="3" t="str">
        <f ca="1">IFERROR(__xludf.DUMMYFUNCTION("""COMPUTED_VALUE"""),"Đặng Lê Na")</f>
        <v>Đặng Lê Na</v>
      </c>
      <c r="J10314" s="2" t="str">
        <f ca="1">IFERROR(__xludf.DUMMYFUNCTION("""COMPUTED_VALUE"""),"0817428645")</f>
        <v>0817428645</v>
      </c>
      <c r="K10314" s="2" t="str">
        <f ca="1">IFERROR(__xludf.DUMMYFUNCTION("""COMPUTED_VALUE"""),"106643750640")</f>
        <v>106643750640</v>
      </c>
    </row>
    <row r="10315" spans="1:11" ht="12.45">
      <c r="A10315" s="2" t="str">
        <f ca="1">IFERROR(__xludf.DUMMYFUNCTION("""COMPUTED_VALUE"""),"106643750783")</f>
        <v>106643750783</v>
      </c>
      <c r="C10315" s="2" t="str">
        <v>0</v>
      </c>
      <c r="F10315" s="2" t="str">
        <v>0</v>
      </c>
      <c r="I10315" s="3" t="str">
        <f ca="1">IFERROR(__xludf.DUMMYFUNCTION("""COMPUTED_VALUE"""),"Vũ Hồng Quỳnh Như ")</f>
        <v xml:space="preserve">Vũ Hồng Quỳnh Như </v>
      </c>
      <c r="J10315" s="2" t="str">
        <f ca="1">IFERROR(__xludf.DUMMYFUNCTION("""COMPUTED_VALUE"""),"0769603934")</f>
        <v>0769603934</v>
      </c>
      <c r="K10315" s="2" t="str">
        <f ca="1">IFERROR(__xludf.DUMMYFUNCTION("""COMPUTED_VALUE"""),"106643750783")</f>
        <v>106643750783</v>
      </c>
    </row>
    <row r="10316" spans="1:11" ht="12.45">
      <c r="A10316" s="2" t="str">
        <f ca="1">IFERROR(__xludf.DUMMYFUNCTION("""COMPUTED_VALUE"""),"106643750872")</f>
        <v>106643750872</v>
      </c>
      <c r="C10316" s="2" t="str">
        <v>0</v>
      </c>
      <c r="F10316" s="2" t="str">
        <v>0</v>
      </c>
      <c r="I10316" s="3" t="str">
        <f ca="1">IFERROR(__xludf.DUMMYFUNCTION("""COMPUTED_VALUE"""),"Nguyễn Thúy Hiền")</f>
        <v>Nguyễn Thúy Hiền</v>
      </c>
      <c r="J10316" s="2" t="str">
        <f ca="1">IFERROR(__xludf.DUMMYFUNCTION("""COMPUTED_VALUE"""),"0928150575")</f>
        <v>0928150575</v>
      </c>
      <c r="K10316" s="2" t="str">
        <f ca="1">IFERROR(__xludf.DUMMYFUNCTION("""COMPUTED_VALUE"""),"106643750872")</f>
        <v>106643750872</v>
      </c>
    </row>
    <row r="10317" spans="1:11" ht="12.45">
      <c r="A10317" s="2" t="str">
        <f ca="1">IFERROR(__xludf.DUMMYFUNCTION("""COMPUTED_VALUE"""),"106643750944")</f>
        <v>106643750944</v>
      </c>
      <c r="C10317" s="2" t="str">
        <v>0</v>
      </c>
      <c r="F10317" s="2" t="str">
        <v>0</v>
      </c>
      <c r="I10317" s="3" t="str">
        <f ca="1">IFERROR(__xludf.DUMMYFUNCTION("""COMPUTED_VALUE"""),"Đinh Văn Phú")</f>
        <v>Đinh Văn Phú</v>
      </c>
      <c r="J10317" s="2" t="str">
        <f ca="1">IFERROR(__xludf.DUMMYFUNCTION("""COMPUTED_VALUE"""),"0332807277")</f>
        <v>0332807277</v>
      </c>
      <c r="K10317" s="2" t="str">
        <f ca="1">IFERROR(__xludf.DUMMYFUNCTION("""COMPUTED_VALUE"""),"106643750944")</f>
        <v>106643750944</v>
      </c>
    </row>
    <row r="10318" spans="1:11" ht="12.45">
      <c r="A10318" s="2"/>
      <c r="C10318" s="2" t="str">
        <v>0</v>
      </c>
      <c r="F10318" s="2" t="str">
        <v>0</v>
      </c>
      <c r="I10318" s="3" t="str">
        <f ca="1">IFERROR(__xludf.DUMMYFUNCTION("""COMPUTED_VALUE"""),"Ngô Hà My")</f>
        <v>Ngô Hà My</v>
      </c>
      <c r="J10318" s="2" t="str">
        <f ca="1">IFERROR(__xludf.DUMMYFUNCTION("""COMPUTED_VALUE"""),"0329019298")</f>
        <v>0329019298</v>
      </c>
      <c r="K10318" s="2"/>
    </row>
    <row r="10319" spans="1:11" ht="12.45">
      <c r="A10319" s="2" t="str">
        <f ca="1">IFERROR(__xludf.DUMMYFUNCTION("""COMPUTED_VALUE"""),"106643751114")</f>
        <v>106643751114</v>
      </c>
      <c r="C10319" s="2" t="str">
        <v>0</v>
      </c>
      <c r="F10319" s="2" t="str">
        <v>0</v>
      </c>
      <c r="I10319" s="3" t="str">
        <f ca="1">IFERROR(__xludf.DUMMYFUNCTION("""COMPUTED_VALUE"""),"Phạm Khánh Trinh ")</f>
        <v xml:space="preserve">Phạm Khánh Trinh </v>
      </c>
      <c r="J10319" s="2" t="str">
        <f ca="1">IFERROR(__xludf.DUMMYFUNCTION("""COMPUTED_VALUE"""),"0868247745")</f>
        <v>0868247745</v>
      </c>
      <c r="K10319" s="2" t="str">
        <f ca="1">IFERROR(__xludf.DUMMYFUNCTION("""COMPUTED_VALUE"""),"106643751114")</f>
        <v>106643751114</v>
      </c>
    </row>
    <row r="10320" spans="1:11" ht="12.45">
      <c r="A10320" s="2" t="str">
        <f ca="1">IFERROR(__xludf.DUMMYFUNCTION("""COMPUTED_VALUE"""),"106643835353")</f>
        <v>106643835353</v>
      </c>
      <c r="C10320" s="2" t="str">
        <v>0</v>
      </c>
      <c r="F10320" s="2" t="str">
        <v>0</v>
      </c>
      <c r="I10320" s="3" t="str">
        <f ca="1">IFERROR(__xludf.DUMMYFUNCTION("""COMPUTED_VALUE"""),"NGUYỄN VĂN PHÚC")</f>
        <v>NGUYỄN VĂN PHÚC</v>
      </c>
      <c r="J10320" s="2" t="str">
        <f ca="1">IFERROR(__xludf.DUMMYFUNCTION("""COMPUTED_VALUE"""),"0585873003")</f>
        <v>0585873003</v>
      </c>
      <c r="K10320" s="2" t="str">
        <f ca="1">IFERROR(__xludf.DUMMYFUNCTION("""COMPUTED_VALUE"""),"106643835353")</f>
        <v>106643835353</v>
      </c>
    </row>
    <row r="10321" spans="1:11" ht="12.45">
      <c r="A10321" s="2" t="str">
        <f ca="1">IFERROR(__xludf.DUMMYFUNCTION("""COMPUTED_VALUE"""),"106643835419")</f>
        <v>106643835419</v>
      </c>
      <c r="C10321" s="2" t="str">
        <v>0</v>
      </c>
      <c r="F10321" s="2" t="str">
        <v>0</v>
      </c>
      <c r="I10321" s="3" t="str">
        <f ca="1">IFERROR(__xludf.DUMMYFUNCTION("""COMPUTED_VALUE"""),"Nguyễn Huy Hoàng")</f>
        <v>Nguyễn Huy Hoàng</v>
      </c>
      <c r="J10321" s="2" t="str">
        <f ca="1">IFERROR(__xludf.DUMMYFUNCTION("""COMPUTED_VALUE"""),"0333131907")</f>
        <v>0333131907</v>
      </c>
      <c r="K10321" s="2" t="str">
        <f ca="1">IFERROR(__xludf.DUMMYFUNCTION("""COMPUTED_VALUE"""),"106643835419")</f>
        <v>106643835419</v>
      </c>
    </row>
    <row r="10322" spans="1:11" ht="12.45">
      <c r="A10322" s="2" t="str">
        <f ca="1">IFERROR(__xludf.DUMMYFUNCTION("""COMPUTED_VALUE"""),"106643835674")</f>
        <v>106643835674</v>
      </c>
      <c r="C10322" s="2" t="str">
        <v>0</v>
      </c>
      <c r="F10322" s="2" t="str">
        <v>0</v>
      </c>
      <c r="I10322" s="3" t="str">
        <f ca="1">IFERROR(__xludf.DUMMYFUNCTION("""COMPUTED_VALUE"""),"Hoàng Đặng Lan Phương ")</f>
        <v xml:space="preserve">Hoàng Đặng Lan Phương </v>
      </c>
      <c r="J10322" s="2" t="str">
        <f ca="1">IFERROR(__xludf.DUMMYFUNCTION("""COMPUTED_VALUE"""),"0989767250")</f>
        <v>0989767250</v>
      </c>
      <c r="K10322" s="2" t="str">
        <f ca="1">IFERROR(__xludf.DUMMYFUNCTION("""COMPUTED_VALUE"""),"106643835674")</f>
        <v>106643835674</v>
      </c>
    </row>
    <row r="10323" spans="1:11" ht="12.45">
      <c r="A10323" s="2" t="str">
        <f ca="1">IFERROR(__xludf.DUMMYFUNCTION("""COMPUTED_VALUE"""),"106643835869")</f>
        <v>106643835869</v>
      </c>
      <c r="C10323" s="2" t="str">
        <v>0</v>
      </c>
      <c r="F10323" s="2" t="str">
        <v>0</v>
      </c>
      <c r="I10323" s="3" t="str">
        <f ca="1">IFERROR(__xludf.DUMMYFUNCTION("""COMPUTED_VALUE"""),"Phạm Vũ Minh Anh ")</f>
        <v xml:space="preserve">Phạm Vũ Minh Anh </v>
      </c>
      <c r="J10323" s="2" t="str">
        <f ca="1">IFERROR(__xludf.DUMMYFUNCTION("""COMPUTED_VALUE"""),"0962647168")</f>
        <v>0962647168</v>
      </c>
      <c r="K10323" s="2" t="str">
        <f ca="1">IFERROR(__xludf.DUMMYFUNCTION("""COMPUTED_VALUE"""),"106643835869")</f>
        <v>106643835869</v>
      </c>
    </row>
    <row r="10324" spans="1:11" ht="12.45">
      <c r="A10324" s="2" t="str">
        <f ca="1">IFERROR(__xludf.DUMMYFUNCTION("""COMPUTED_VALUE"""),"106643836011")</f>
        <v>106643836011</v>
      </c>
      <c r="C10324" s="2" t="str">
        <v>0</v>
      </c>
      <c r="F10324" s="2" t="str">
        <v>0</v>
      </c>
      <c r="I10324" s="3" t="str">
        <f ca="1">IFERROR(__xludf.DUMMYFUNCTION("""COMPUTED_VALUE"""),"Vũ Thị Ngọc Linh ")</f>
        <v xml:space="preserve">Vũ Thị Ngọc Linh </v>
      </c>
      <c r="J10324" s="2" t="str">
        <f ca="1">IFERROR(__xludf.DUMMYFUNCTION("""COMPUTED_VALUE"""),"0876601892")</f>
        <v>0876601892</v>
      </c>
      <c r="K10324" s="2" t="str">
        <f ca="1">IFERROR(__xludf.DUMMYFUNCTION("""COMPUTED_VALUE"""),"106643836011")</f>
        <v>106643836011</v>
      </c>
    </row>
    <row r="10325" spans="1:11" ht="12.45">
      <c r="A10325" s="2" t="str">
        <f ca="1">IFERROR(__xludf.DUMMYFUNCTION("""COMPUTED_VALUE"""),"106643836121")</f>
        <v>106643836121</v>
      </c>
      <c r="C10325" s="2" t="str">
        <v>0</v>
      </c>
      <c r="F10325" s="2" t="str">
        <v>0</v>
      </c>
      <c r="I10325" s="3" t="str">
        <f ca="1">IFERROR(__xludf.DUMMYFUNCTION("""COMPUTED_VALUE"""),"Võ Phan Thuy Nhu")</f>
        <v>Võ Phan Thuy Nhu</v>
      </c>
      <c r="J10325" s="2" t="str">
        <f ca="1">IFERROR(__xludf.DUMMYFUNCTION("""COMPUTED_VALUE"""),"0889801785")</f>
        <v>0889801785</v>
      </c>
      <c r="K10325" s="2" t="str">
        <f ca="1">IFERROR(__xludf.DUMMYFUNCTION("""COMPUTED_VALUE"""),"106643836121")</f>
        <v>106643836121</v>
      </c>
    </row>
    <row r="10326" spans="1:11" ht="12.45">
      <c r="A10326" s="2" t="str">
        <f ca="1">IFERROR(__xludf.DUMMYFUNCTION("""COMPUTED_VALUE"""),"106643836332")</f>
        <v>106643836332</v>
      </c>
      <c r="C10326" s="2" t="str">
        <v>0</v>
      </c>
      <c r="F10326" s="2" t="str">
        <v>0</v>
      </c>
      <c r="I10326" s="3" t="str">
        <f ca="1">IFERROR(__xludf.DUMMYFUNCTION("""COMPUTED_VALUE"""),"Nguyễn Thị Trà My")</f>
        <v>Nguyễn Thị Trà My</v>
      </c>
      <c r="J10326" s="2" t="str">
        <f ca="1">IFERROR(__xludf.DUMMYFUNCTION("""COMPUTED_VALUE"""),"0787787002")</f>
        <v>0787787002</v>
      </c>
      <c r="K10326" s="2" t="str">
        <f ca="1">IFERROR(__xludf.DUMMYFUNCTION("""COMPUTED_VALUE"""),"106643836332")</f>
        <v>106643836332</v>
      </c>
    </row>
    <row r="10327" spans="1:11" ht="12.45">
      <c r="A10327" s="2" t="str">
        <f ca="1">IFERROR(__xludf.DUMMYFUNCTION("""COMPUTED_VALUE"""),"106643836457")</f>
        <v>106643836457</v>
      </c>
      <c r="C10327" s="2" t="str">
        <v>0</v>
      </c>
      <c r="F10327" s="2" t="str">
        <v>0</v>
      </c>
      <c r="I10327" s="3" t="str">
        <f ca="1">IFERROR(__xludf.DUMMYFUNCTION("""COMPUTED_VALUE"""),"Nguyễn Đức Phương Nguyên ")</f>
        <v xml:space="preserve">Nguyễn Đức Phương Nguyên </v>
      </c>
      <c r="J10327" s="2" t="str">
        <f ca="1">IFERROR(__xludf.DUMMYFUNCTION("""COMPUTED_VALUE"""),"0903562642")</f>
        <v>0903562642</v>
      </c>
      <c r="K10327" s="2" t="str">
        <f ca="1">IFERROR(__xludf.DUMMYFUNCTION("""COMPUTED_VALUE"""),"106643836457")</f>
        <v>106643836457</v>
      </c>
    </row>
    <row r="10328" spans="1:11" ht="12.45">
      <c r="A10328" s="2" t="str">
        <f ca="1">IFERROR(__xludf.DUMMYFUNCTION("""COMPUTED_VALUE"""),"106643836674")</f>
        <v>106643836674</v>
      </c>
      <c r="C10328" s="2" t="str">
        <v>0</v>
      </c>
      <c r="F10328" s="2" t="str">
        <v>0</v>
      </c>
      <c r="I10328" s="3" t="str">
        <f ca="1">IFERROR(__xludf.DUMMYFUNCTION("""COMPUTED_VALUE"""),"Đặng Thị Khánh Ly")</f>
        <v>Đặng Thị Khánh Ly</v>
      </c>
      <c r="J10328" s="2" t="str">
        <f ca="1">IFERROR(__xludf.DUMMYFUNCTION("""COMPUTED_VALUE"""),"0373214293")</f>
        <v>0373214293</v>
      </c>
      <c r="K10328" s="2" t="str">
        <f ca="1">IFERROR(__xludf.DUMMYFUNCTION("""COMPUTED_VALUE"""),"106643836674")</f>
        <v>106643836674</v>
      </c>
    </row>
    <row r="10329" spans="1:11" ht="12.45">
      <c r="A10329" s="2" t="str">
        <f ca="1">IFERROR(__xludf.DUMMYFUNCTION("""COMPUTED_VALUE"""),"106643836761")</f>
        <v>106643836761</v>
      </c>
      <c r="C10329" s="2" t="str">
        <v>0</v>
      </c>
      <c r="F10329" s="2" t="str">
        <v>0</v>
      </c>
      <c r="I10329" s="3" t="str">
        <f ca="1">IFERROR(__xludf.DUMMYFUNCTION("""COMPUTED_VALUE"""),"Ngô Đức Quang Trung ")</f>
        <v xml:space="preserve">Ngô Đức Quang Trung </v>
      </c>
      <c r="J10329" s="2" t="str">
        <f ca="1">IFERROR(__xludf.DUMMYFUNCTION("""COMPUTED_VALUE"""),"0343143575")</f>
        <v>0343143575</v>
      </c>
      <c r="K10329" s="2" t="str">
        <f ca="1">IFERROR(__xludf.DUMMYFUNCTION("""COMPUTED_VALUE"""),"106643836761")</f>
        <v>106643836761</v>
      </c>
    </row>
    <row r="10330" spans="1:11" ht="12.45">
      <c r="A10330" s="2" t="str">
        <f ca="1">IFERROR(__xludf.DUMMYFUNCTION("""COMPUTED_VALUE"""),"106643836838")</f>
        <v>106643836838</v>
      </c>
      <c r="C10330" s="2" t="str">
        <v>0</v>
      </c>
      <c r="F10330" s="2" t="str">
        <v>0</v>
      </c>
      <c r="I10330" s="3" t="str">
        <f ca="1">IFERROR(__xludf.DUMMYFUNCTION("""COMPUTED_VALUE"""),"Doãn Ý Nhi")</f>
        <v>Doãn Ý Nhi</v>
      </c>
      <c r="J10330" s="2" t="str">
        <f ca="1">IFERROR(__xludf.DUMMYFUNCTION("""COMPUTED_VALUE"""),"0366786396")</f>
        <v>0366786396</v>
      </c>
      <c r="K10330" s="2" t="str">
        <f ca="1">IFERROR(__xludf.DUMMYFUNCTION("""COMPUTED_VALUE"""),"106643836838")</f>
        <v>106643836838</v>
      </c>
    </row>
    <row r="10331" spans="1:11" ht="12.45">
      <c r="A10331" s="2" t="str">
        <f ca="1">IFERROR(__xludf.DUMMYFUNCTION("""COMPUTED_VALUE"""),"106643836971")</f>
        <v>106643836971</v>
      </c>
      <c r="C10331" s="2" t="str">
        <v>0</v>
      </c>
      <c r="F10331" s="2" t="str">
        <v>0</v>
      </c>
      <c r="I10331" s="3" t="str">
        <f ca="1">IFERROR(__xludf.DUMMYFUNCTION("""COMPUTED_VALUE"""),"Phạm Thị Diễm Thùy ")</f>
        <v xml:space="preserve">Phạm Thị Diễm Thùy </v>
      </c>
      <c r="J10331" s="2" t="str">
        <f ca="1">IFERROR(__xludf.DUMMYFUNCTION("""COMPUTED_VALUE"""),"0969034243")</f>
        <v>0969034243</v>
      </c>
      <c r="K10331" s="2" t="str">
        <f ca="1">IFERROR(__xludf.DUMMYFUNCTION("""COMPUTED_VALUE"""),"106643836971")</f>
        <v>106643836971</v>
      </c>
    </row>
    <row r="10332" spans="1:11" ht="12.45">
      <c r="A10332" s="2" t="str">
        <f ca="1">IFERROR(__xludf.DUMMYFUNCTION("""COMPUTED_VALUE"""),"106643837214")</f>
        <v>106643837214</v>
      </c>
      <c r="C10332" s="2" t="str">
        <v>0</v>
      </c>
      <c r="F10332" s="2" t="str">
        <v>0</v>
      </c>
      <c r="I10332" s="3" t="str">
        <f ca="1">IFERROR(__xludf.DUMMYFUNCTION("""COMPUTED_VALUE"""),"Lê Thị Hà Vy")</f>
        <v>Lê Thị Hà Vy</v>
      </c>
      <c r="J10332" s="2" t="str">
        <f ca="1">IFERROR(__xludf.DUMMYFUNCTION("""COMPUTED_VALUE"""),"0374310778")</f>
        <v>0374310778</v>
      </c>
      <c r="K10332" s="2" t="str">
        <f ca="1">IFERROR(__xludf.DUMMYFUNCTION("""COMPUTED_VALUE"""),"106643837214")</f>
        <v>106643837214</v>
      </c>
    </row>
    <row r="10333" spans="1:11" ht="12.45">
      <c r="A10333" s="2" t="str">
        <f ca="1">IFERROR(__xludf.DUMMYFUNCTION("""COMPUTED_VALUE"""),"106643837472")</f>
        <v>106643837472</v>
      </c>
      <c r="C10333" s="2" t="str">
        <v>0</v>
      </c>
      <c r="F10333" s="2" t="str">
        <v>0</v>
      </c>
      <c r="I10333" s="3" t="str">
        <f ca="1">IFERROR(__xludf.DUMMYFUNCTION("""COMPUTED_VALUE"""),"Trương Ngọc Thoa")</f>
        <v>Trương Ngọc Thoa</v>
      </c>
      <c r="J10333" s="2" t="str">
        <f ca="1">IFERROR(__xludf.DUMMYFUNCTION("""COMPUTED_VALUE"""),"0387042366")</f>
        <v>0387042366</v>
      </c>
      <c r="K10333" s="2" t="str">
        <f ca="1">IFERROR(__xludf.DUMMYFUNCTION("""COMPUTED_VALUE"""),"106643837472")</f>
        <v>106643837472</v>
      </c>
    </row>
    <row r="10334" spans="1:11" ht="12.45">
      <c r="A10334" s="2" t="str">
        <f ca="1">IFERROR(__xludf.DUMMYFUNCTION("""COMPUTED_VALUE"""),"106643837626")</f>
        <v>106643837626</v>
      </c>
      <c r="C10334" s="2" t="str">
        <v>0</v>
      </c>
      <c r="F10334" s="2" t="str">
        <v>0</v>
      </c>
      <c r="I10334" s="3" t="str">
        <f ca="1">IFERROR(__xludf.DUMMYFUNCTION("""COMPUTED_VALUE"""),"Nguyễn Nam Phương ")</f>
        <v xml:space="preserve">Nguyễn Nam Phương </v>
      </c>
      <c r="J10334" s="2" t="str">
        <f ca="1">IFERROR(__xludf.DUMMYFUNCTION("""COMPUTED_VALUE"""),"0812218207")</f>
        <v>0812218207</v>
      </c>
      <c r="K10334" s="2" t="str">
        <f ca="1">IFERROR(__xludf.DUMMYFUNCTION("""COMPUTED_VALUE"""),"106643837626")</f>
        <v>106643837626</v>
      </c>
    </row>
    <row r="10335" spans="1:11" ht="12.45">
      <c r="A10335" s="2" t="str">
        <f ca="1">IFERROR(__xludf.DUMMYFUNCTION("""COMPUTED_VALUE"""),"106643837733")</f>
        <v>106643837733</v>
      </c>
      <c r="C10335" s="2" t="str">
        <v>0</v>
      </c>
      <c r="F10335" s="2" t="str">
        <v>0</v>
      </c>
      <c r="I10335" s="3" t="str">
        <f ca="1">IFERROR(__xludf.DUMMYFUNCTION("""COMPUTED_VALUE"""),"Nguyễn Thị Hằng Ny")</f>
        <v>Nguyễn Thị Hằng Ny</v>
      </c>
      <c r="J10335" s="2" t="str">
        <f ca="1">IFERROR(__xludf.DUMMYFUNCTION("""COMPUTED_VALUE"""),"0389450266")</f>
        <v>0389450266</v>
      </c>
      <c r="K10335" s="2" t="str">
        <f ca="1">IFERROR(__xludf.DUMMYFUNCTION("""COMPUTED_VALUE"""),"106643837733")</f>
        <v>106643837733</v>
      </c>
    </row>
    <row r="10336" spans="1:11" ht="12.45">
      <c r="A10336" s="2" t="str">
        <f ca="1">IFERROR(__xludf.DUMMYFUNCTION("""COMPUTED_VALUE"""),"106643837853")</f>
        <v>106643837853</v>
      </c>
      <c r="C10336" s="2" t="str">
        <v>0</v>
      </c>
      <c r="F10336" s="2" t="str">
        <v>0</v>
      </c>
      <c r="I10336" s="3" t="str">
        <f ca="1">IFERROR(__xludf.DUMMYFUNCTION("""COMPUTED_VALUE"""),"Ngô Trung Anh")</f>
        <v>Ngô Trung Anh</v>
      </c>
      <c r="J10336" s="2" t="str">
        <f ca="1">IFERROR(__xludf.DUMMYFUNCTION("""COMPUTED_VALUE"""),"0339665647")</f>
        <v>0339665647</v>
      </c>
      <c r="K10336" s="2" t="str">
        <f ca="1">IFERROR(__xludf.DUMMYFUNCTION("""COMPUTED_VALUE"""),"106643837853")</f>
        <v>106643837853</v>
      </c>
    </row>
    <row r="10337" spans="1:11" ht="12.45">
      <c r="A10337" s="2" t="str">
        <f ca="1">IFERROR(__xludf.DUMMYFUNCTION("""COMPUTED_VALUE"""),"106643838086")</f>
        <v>106643838086</v>
      </c>
      <c r="C10337" s="2" t="str">
        <v>0</v>
      </c>
      <c r="F10337" s="2" t="str">
        <v>0</v>
      </c>
      <c r="I10337" s="3" t="str">
        <f ca="1">IFERROR(__xludf.DUMMYFUNCTION("""COMPUTED_VALUE"""),"Tạ Phương Hoa")</f>
        <v>Tạ Phương Hoa</v>
      </c>
      <c r="J10337" s="2" t="str">
        <f ca="1">IFERROR(__xludf.DUMMYFUNCTION("""COMPUTED_VALUE"""),"0912624461")</f>
        <v>0912624461</v>
      </c>
      <c r="K10337" s="2" t="str">
        <f ca="1">IFERROR(__xludf.DUMMYFUNCTION("""COMPUTED_VALUE"""),"106643838086")</f>
        <v>106643838086</v>
      </c>
    </row>
    <row r="10338" spans="1:11" ht="12.45">
      <c r="A10338" s="2" t="str">
        <f ca="1">IFERROR(__xludf.DUMMYFUNCTION("""COMPUTED_VALUE"""),"106643838244")</f>
        <v>106643838244</v>
      </c>
      <c r="C10338" s="2" t="str">
        <v>0</v>
      </c>
      <c r="F10338" s="2" t="str">
        <v>0</v>
      </c>
      <c r="I10338" s="3" t="str">
        <f ca="1">IFERROR(__xludf.DUMMYFUNCTION("""COMPUTED_VALUE"""),"Phạm Trần Khánh Huyền ")</f>
        <v xml:space="preserve">Phạm Trần Khánh Huyền </v>
      </c>
      <c r="J10338" s="2" t="str">
        <f ca="1">IFERROR(__xludf.DUMMYFUNCTION("""COMPUTED_VALUE"""),"0375237435")</f>
        <v>0375237435</v>
      </c>
      <c r="K10338" s="2" t="str">
        <f ca="1">IFERROR(__xludf.DUMMYFUNCTION("""COMPUTED_VALUE"""),"106643838244")</f>
        <v>106643838244</v>
      </c>
    </row>
    <row r="10339" spans="1:11" ht="12.45">
      <c r="A10339" s="2" t="str">
        <f ca="1">IFERROR(__xludf.DUMMYFUNCTION("""COMPUTED_VALUE"""),"106643838394")</f>
        <v>106643838394</v>
      </c>
      <c r="C10339" s="2" t="str">
        <v>0</v>
      </c>
      <c r="F10339" s="2" t="str">
        <v>0</v>
      </c>
      <c r="I10339" s="3" t="str">
        <f ca="1">IFERROR(__xludf.DUMMYFUNCTION("""COMPUTED_VALUE"""),"Nguyễn Đức Lộc ")</f>
        <v xml:space="preserve">Nguyễn Đức Lộc </v>
      </c>
      <c r="J10339" s="2" t="str">
        <f ca="1">IFERROR(__xludf.DUMMYFUNCTION("""COMPUTED_VALUE"""),"0365567930")</f>
        <v>0365567930</v>
      </c>
      <c r="K10339" s="2" t="str">
        <f ca="1">IFERROR(__xludf.DUMMYFUNCTION("""COMPUTED_VALUE"""),"106643838394")</f>
        <v>106643838394</v>
      </c>
    </row>
    <row r="10340" spans="1:11" ht="12.45">
      <c r="A10340" s="2" t="str">
        <f ca="1">IFERROR(__xludf.DUMMYFUNCTION("""COMPUTED_VALUE"""),"106643838539")</f>
        <v>106643838539</v>
      </c>
      <c r="C10340" s="2" t="str">
        <v>0</v>
      </c>
      <c r="F10340" s="2" t="str">
        <v>0</v>
      </c>
      <c r="I10340" s="3" t="str">
        <f ca="1">IFERROR(__xludf.DUMMYFUNCTION("""COMPUTED_VALUE"""),"Nguyễn Phương Mai ")</f>
        <v xml:space="preserve">Nguyễn Phương Mai </v>
      </c>
      <c r="J10340" s="2" t="str">
        <f ca="1">IFERROR(__xludf.DUMMYFUNCTION("""COMPUTED_VALUE"""),"0964427498")</f>
        <v>0964427498</v>
      </c>
      <c r="K10340" s="2" t="str">
        <f ca="1">IFERROR(__xludf.DUMMYFUNCTION("""COMPUTED_VALUE"""),"106643838539")</f>
        <v>106643838539</v>
      </c>
    </row>
    <row r="10341" spans="1:11" ht="12.45">
      <c r="A10341" s="2" t="str">
        <f ca="1">IFERROR(__xludf.DUMMYFUNCTION("""COMPUTED_VALUE"""),"106643838643")</f>
        <v>106643838643</v>
      </c>
      <c r="C10341" s="2" t="str">
        <v>0</v>
      </c>
      <c r="F10341" s="2" t="str">
        <v>0</v>
      </c>
      <c r="I10341" s="3" t="str">
        <f ca="1">IFERROR(__xludf.DUMMYFUNCTION("""COMPUTED_VALUE"""),"Nguyễn Trần Thu Phương ")</f>
        <v xml:space="preserve">Nguyễn Trần Thu Phương </v>
      </c>
      <c r="J10341" s="2" t="str">
        <f ca="1">IFERROR(__xludf.DUMMYFUNCTION("""COMPUTED_VALUE"""),"0386910063")</f>
        <v>0386910063</v>
      </c>
      <c r="K10341" s="2" t="str">
        <f ca="1">IFERROR(__xludf.DUMMYFUNCTION("""COMPUTED_VALUE"""),"106643838643")</f>
        <v>106643838643</v>
      </c>
    </row>
    <row r="10342" spans="1:11" ht="12.45">
      <c r="A10342" s="2" t="str">
        <f ca="1">IFERROR(__xludf.DUMMYFUNCTION("""COMPUTED_VALUE"""),"106643838729")</f>
        <v>106643838729</v>
      </c>
      <c r="C10342" s="2" t="str">
        <v>0</v>
      </c>
      <c r="F10342" s="2" t="str">
        <v>0</v>
      </c>
      <c r="I10342" s="3" t="str">
        <f ca="1">IFERROR(__xludf.DUMMYFUNCTION("""COMPUTED_VALUE"""),"Lê Thái Nguyên ")</f>
        <v xml:space="preserve">Lê Thái Nguyên </v>
      </c>
      <c r="J10342" s="2" t="str">
        <f ca="1">IFERROR(__xludf.DUMMYFUNCTION("""COMPUTED_VALUE"""),"0908624714")</f>
        <v>0908624714</v>
      </c>
      <c r="K10342" s="2" t="str">
        <f ca="1">IFERROR(__xludf.DUMMYFUNCTION("""COMPUTED_VALUE"""),"106643838729")</f>
        <v>106643838729</v>
      </c>
    </row>
    <row r="10343" spans="1:11" ht="12.45">
      <c r="A10343" s="2" t="str">
        <f ca="1">IFERROR(__xludf.DUMMYFUNCTION("""COMPUTED_VALUE"""),"106643838931")</f>
        <v>106643838931</v>
      </c>
      <c r="C10343" s="2" t="str">
        <v>0</v>
      </c>
      <c r="F10343" s="2" t="str">
        <v>0</v>
      </c>
      <c r="I10343" s="3" t="str">
        <f ca="1">IFERROR(__xludf.DUMMYFUNCTION("""COMPUTED_VALUE"""),"Nguyễn Thị Hà Linh")</f>
        <v>Nguyễn Thị Hà Linh</v>
      </c>
      <c r="J10343" s="2" t="str">
        <f ca="1">IFERROR(__xludf.DUMMYFUNCTION("""COMPUTED_VALUE"""),"0336703217")</f>
        <v>0336703217</v>
      </c>
      <c r="K10343" s="2" t="str">
        <f ca="1">IFERROR(__xludf.DUMMYFUNCTION("""COMPUTED_VALUE"""),"106643838931")</f>
        <v>106643838931</v>
      </c>
    </row>
    <row r="10344" spans="1:11" ht="12.45">
      <c r="A10344" s="2" t="str">
        <f ca="1">IFERROR(__xludf.DUMMYFUNCTION("""COMPUTED_VALUE"""),"106643839099")</f>
        <v>106643839099</v>
      </c>
      <c r="C10344" s="2" t="str">
        <v>0</v>
      </c>
      <c r="F10344" s="2" t="str">
        <v>0</v>
      </c>
      <c r="I10344" s="3" t="str">
        <f ca="1">IFERROR(__xludf.DUMMYFUNCTION("""COMPUTED_VALUE"""),"Nguyễn Diệu Thảo")</f>
        <v>Nguyễn Diệu Thảo</v>
      </c>
      <c r="J10344" s="2" t="str">
        <f ca="1">IFERROR(__xludf.DUMMYFUNCTION("""COMPUTED_VALUE"""),"0343639823")</f>
        <v>0343639823</v>
      </c>
      <c r="K10344" s="2" t="str">
        <f ca="1">IFERROR(__xludf.DUMMYFUNCTION("""COMPUTED_VALUE"""),"106643839099")</f>
        <v>106643839099</v>
      </c>
    </row>
    <row r="10345" spans="1:11" ht="12.45">
      <c r="A10345" s="2" t="str">
        <f ca="1">IFERROR(__xludf.DUMMYFUNCTION("""COMPUTED_VALUE"""),"106643839110")</f>
        <v>106643839110</v>
      </c>
      <c r="C10345" s="2" t="str">
        <v>0</v>
      </c>
      <c r="F10345" s="2" t="str">
        <v>0</v>
      </c>
      <c r="I10345" s="3" t="str">
        <f ca="1">IFERROR(__xludf.DUMMYFUNCTION("""COMPUTED_VALUE"""),"Nông Thị Diễm Quỳnh")</f>
        <v>Nông Thị Diễm Quỳnh</v>
      </c>
      <c r="J10345" s="2" t="str">
        <f ca="1">IFERROR(__xludf.DUMMYFUNCTION("""COMPUTED_VALUE"""),"0989988098")</f>
        <v>0989988098</v>
      </c>
      <c r="K10345" s="2" t="str">
        <f ca="1">IFERROR(__xludf.DUMMYFUNCTION("""COMPUTED_VALUE"""),"106643839110")</f>
        <v>106643839110</v>
      </c>
    </row>
    <row r="10346" spans="1:11" ht="12.45">
      <c r="A10346" s="2" t="str">
        <f ca="1">IFERROR(__xludf.DUMMYFUNCTION("""COMPUTED_VALUE"""),"106643839226")</f>
        <v>106643839226</v>
      </c>
      <c r="C10346" s="2" t="str">
        <v>0</v>
      </c>
      <c r="F10346" s="2" t="str">
        <v>0</v>
      </c>
      <c r="I10346" s="3" t="str">
        <f ca="1">IFERROR(__xludf.DUMMYFUNCTION("""COMPUTED_VALUE"""),"Đào Yến Nhi")</f>
        <v>Đào Yến Nhi</v>
      </c>
      <c r="J10346" s="2" t="str">
        <f ca="1">IFERROR(__xludf.DUMMYFUNCTION("""COMPUTED_VALUE"""),"0862011734")</f>
        <v>0862011734</v>
      </c>
      <c r="K10346" s="2" t="str">
        <f ca="1">IFERROR(__xludf.DUMMYFUNCTION("""COMPUTED_VALUE"""),"106643839226")</f>
        <v>106643839226</v>
      </c>
    </row>
    <row r="10347" spans="1:11" ht="12.45">
      <c r="A10347" s="2" t="str">
        <f ca="1">IFERROR(__xludf.DUMMYFUNCTION("""COMPUTED_VALUE"""),"106643839416")</f>
        <v>106643839416</v>
      </c>
      <c r="C10347" s="2" t="str">
        <v>0</v>
      </c>
      <c r="F10347" s="2" t="str">
        <v>0</v>
      </c>
      <c r="I10347" s="3" t="str">
        <f ca="1">IFERROR(__xludf.DUMMYFUNCTION("""COMPUTED_VALUE"""),"Hoàng Thị Khánh Thư")</f>
        <v>Hoàng Thị Khánh Thư</v>
      </c>
      <c r="J10347" s="2" t="str">
        <f ca="1">IFERROR(__xludf.DUMMYFUNCTION("""COMPUTED_VALUE"""),"0961390484")</f>
        <v>0961390484</v>
      </c>
      <c r="K10347" s="2" t="str">
        <f ca="1">IFERROR(__xludf.DUMMYFUNCTION("""COMPUTED_VALUE"""),"106643839416")</f>
        <v>106643839416</v>
      </c>
    </row>
    <row r="10348" spans="1:11" ht="12.45">
      <c r="A10348" s="2" t="str">
        <f ca="1">IFERROR(__xludf.DUMMYFUNCTION("""COMPUTED_VALUE"""),"106643839545")</f>
        <v>106643839545</v>
      </c>
      <c r="C10348" s="2" t="str">
        <v>0</v>
      </c>
      <c r="F10348" s="2" t="str">
        <v>0</v>
      </c>
      <c r="I10348" s="3" t="str">
        <f ca="1">IFERROR(__xludf.DUMMYFUNCTION("""COMPUTED_VALUE"""),"Ma Thị Diệu Hương")</f>
        <v>Ma Thị Diệu Hương</v>
      </c>
      <c r="J10348" s="2" t="str">
        <f ca="1">IFERROR(__xludf.DUMMYFUNCTION("""COMPUTED_VALUE"""),"0981349772")</f>
        <v>0981349772</v>
      </c>
      <c r="K10348" s="2" t="str">
        <f ca="1">IFERROR(__xludf.DUMMYFUNCTION("""COMPUTED_VALUE"""),"106643839545")</f>
        <v>106643839545</v>
      </c>
    </row>
    <row r="10349" spans="1:11" ht="12.45">
      <c r="A10349" s="2" t="str">
        <f ca="1">IFERROR(__xludf.DUMMYFUNCTION("""COMPUTED_VALUE"""),"106643839653")</f>
        <v>106643839653</v>
      </c>
      <c r="C10349" s="2" t="str">
        <v>0</v>
      </c>
      <c r="F10349" s="2" t="str">
        <v>0</v>
      </c>
      <c r="I10349" s="3" t="str">
        <f ca="1">IFERROR(__xludf.DUMMYFUNCTION("""COMPUTED_VALUE"""),"ĐẶNG NGỌC MINH THƯ")</f>
        <v>ĐẶNG NGỌC MINH THƯ</v>
      </c>
      <c r="J10349" s="2" t="str">
        <f ca="1">IFERROR(__xludf.DUMMYFUNCTION("""COMPUTED_VALUE"""),"0962247717")</f>
        <v>0962247717</v>
      </c>
      <c r="K10349" s="2" t="str">
        <f ca="1">IFERROR(__xludf.DUMMYFUNCTION("""COMPUTED_VALUE"""),"106643839653")</f>
        <v>106643839653</v>
      </c>
    </row>
    <row r="10350" spans="1:11" ht="12.45">
      <c r="A10350" s="2"/>
      <c r="C10350" s="2" t="str">
        <v>0</v>
      </c>
      <c r="F10350" s="2" t="str">
        <v>0</v>
      </c>
      <c r="I10350" s="3" t="str">
        <f ca="1">IFERROR(__xludf.DUMMYFUNCTION("""COMPUTED_VALUE"""),"Nguyễn Ngọc Y Linh")</f>
        <v>Nguyễn Ngọc Y Linh</v>
      </c>
      <c r="J10350" s="2" t="str">
        <f ca="1">IFERROR(__xludf.DUMMYFUNCTION("""COMPUTED_VALUE"""),"0975020807")</f>
        <v>0975020807</v>
      </c>
      <c r="K10350" s="2"/>
    </row>
    <row r="10351" spans="1:11" ht="12.45">
      <c r="A10351" s="2" t="str">
        <f ca="1">IFERROR(__xludf.DUMMYFUNCTION("""COMPUTED_VALUE"""),"106643839752")</f>
        <v>106643839752</v>
      </c>
      <c r="C10351" s="2" t="str">
        <v>0</v>
      </c>
      <c r="F10351" s="2" t="str">
        <v>0</v>
      </c>
      <c r="I10351" s="3" t="str">
        <f ca="1">IFERROR(__xludf.DUMMYFUNCTION("""COMPUTED_VALUE"""),"Đỗ Nguyễn Như Ý")</f>
        <v>Đỗ Nguyễn Như Ý</v>
      </c>
      <c r="J10351" s="2" t="str">
        <f ca="1">IFERROR(__xludf.DUMMYFUNCTION("""COMPUTED_VALUE"""),"0966646239")</f>
        <v>0966646239</v>
      </c>
      <c r="K10351" s="2" t="str">
        <f ca="1">IFERROR(__xludf.DUMMYFUNCTION("""COMPUTED_VALUE"""),"106643839752")</f>
        <v>106643839752</v>
      </c>
    </row>
    <row r="10352" spans="1:11" ht="12.45">
      <c r="A10352" s="2" t="str">
        <f ca="1">IFERROR(__xludf.DUMMYFUNCTION("""COMPUTED_VALUE"""),"106643839860")</f>
        <v>106643839860</v>
      </c>
      <c r="C10352" s="2" t="str">
        <v>0</v>
      </c>
      <c r="F10352" s="2" t="str">
        <v>0</v>
      </c>
      <c r="I10352" s="3" t="str">
        <f ca="1">IFERROR(__xludf.DUMMYFUNCTION("""COMPUTED_VALUE"""),"Phạm Ngọc Anh Thư")</f>
        <v>Phạm Ngọc Anh Thư</v>
      </c>
      <c r="J10352" s="2" t="str">
        <f ca="1">IFERROR(__xludf.DUMMYFUNCTION("""COMPUTED_VALUE"""),"0832535281")</f>
        <v>0832535281</v>
      </c>
      <c r="K10352" s="2" t="str">
        <f ca="1">IFERROR(__xludf.DUMMYFUNCTION("""COMPUTED_VALUE"""),"106643839860")</f>
        <v>106643839860</v>
      </c>
    </row>
    <row r="10353" spans="1:11" ht="12.45">
      <c r="A10353" s="2" t="str">
        <f ca="1">IFERROR(__xludf.DUMMYFUNCTION("""COMPUTED_VALUE"""),"106643840013")</f>
        <v>106643840013</v>
      </c>
      <c r="C10353" s="2" t="str">
        <v>0</v>
      </c>
      <c r="F10353" s="2" t="str">
        <v>0</v>
      </c>
      <c r="I10353" s="3" t="str">
        <f ca="1">IFERROR(__xludf.DUMMYFUNCTION("""COMPUTED_VALUE"""),"Nguyễn Phương Hải Băng")</f>
        <v>Nguyễn Phương Hải Băng</v>
      </c>
      <c r="J10353" s="2" t="str">
        <f ca="1">IFERROR(__xludf.DUMMYFUNCTION("""COMPUTED_VALUE"""),"0971723767")</f>
        <v>0971723767</v>
      </c>
      <c r="K10353" s="2" t="str">
        <f ca="1">IFERROR(__xludf.DUMMYFUNCTION("""COMPUTED_VALUE"""),"106643840013")</f>
        <v>106643840013</v>
      </c>
    </row>
    <row r="10354" spans="1:11" ht="12.45">
      <c r="A10354" s="2" t="str">
        <f ca="1">IFERROR(__xludf.DUMMYFUNCTION("""COMPUTED_VALUE"""),"106643840246")</f>
        <v>106643840246</v>
      </c>
      <c r="C10354" s="2" t="str">
        <v>0</v>
      </c>
      <c r="F10354" s="2" t="str">
        <v>0</v>
      </c>
      <c r="I10354" s="3" t="str">
        <f ca="1">IFERROR(__xludf.DUMMYFUNCTION("""COMPUTED_VALUE"""),"Nguyễn Thị Khánh Ly")</f>
        <v>Nguyễn Thị Khánh Ly</v>
      </c>
      <c r="J10354" s="2" t="str">
        <f ca="1">IFERROR(__xludf.DUMMYFUNCTION("""COMPUTED_VALUE"""),"0977695358")</f>
        <v>0977695358</v>
      </c>
      <c r="K10354" s="2" t="str">
        <f ca="1">IFERROR(__xludf.DUMMYFUNCTION("""COMPUTED_VALUE"""),"106643840246")</f>
        <v>106643840246</v>
      </c>
    </row>
    <row r="10355" spans="1:11" ht="12.45">
      <c r="A10355" s="2" t="str">
        <f ca="1">IFERROR(__xludf.DUMMYFUNCTION("""COMPUTED_VALUE"""),"106643840414")</f>
        <v>106643840414</v>
      </c>
      <c r="C10355" s="2" t="str">
        <v>0</v>
      </c>
      <c r="F10355" s="2" t="str">
        <v>0</v>
      </c>
      <c r="I10355" s="3" t="str">
        <f ca="1">IFERROR(__xludf.DUMMYFUNCTION("""COMPUTED_VALUE"""),"Đỗ Nguyễn Hà My")</f>
        <v>Đỗ Nguyễn Hà My</v>
      </c>
      <c r="J10355" s="2" t="str">
        <f ca="1">IFERROR(__xludf.DUMMYFUNCTION("""COMPUTED_VALUE"""),"0355276238")</f>
        <v>0355276238</v>
      </c>
      <c r="K10355" s="2" t="str">
        <f ca="1">IFERROR(__xludf.DUMMYFUNCTION("""COMPUTED_VALUE"""),"106643840414")</f>
        <v>106643840414</v>
      </c>
    </row>
    <row r="10356" spans="1:11" ht="12.45">
      <c r="A10356" s="2" t="str">
        <f ca="1">IFERROR(__xludf.DUMMYFUNCTION("""COMPUTED_VALUE"""),"106643840528")</f>
        <v>106643840528</v>
      </c>
      <c r="C10356" s="2" t="str">
        <v>0</v>
      </c>
      <c r="F10356" s="2" t="str">
        <v>0</v>
      </c>
      <c r="I10356" s="3" t="str">
        <f ca="1">IFERROR(__xludf.DUMMYFUNCTION("""COMPUTED_VALUE"""),"Võ Thuỳ Anh")</f>
        <v>Võ Thuỳ Anh</v>
      </c>
      <c r="J10356" s="2" t="str">
        <f ca="1">IFERROR(__xludf.DUMMYFUNCTION("""COMPUTED_VALUE"""),"0948071107")</f>
        <v>0948071107</v>
      </c>
      <c r="K10356" s="2" t="str">
        <f ca="1">IFERROR(__xludf.DUMMYFUNCTION("""COMPUTED_VALUE"""),"106643840528")</f>
        <v>106643840528</v>
      </c>
    </row>
    <row r="10357" spans="1:11" ht="12.45">
      <c r="A10357" s="2" t="str">
        <f ca="1">IFERROR(__xludf.DUMMYFUNCTION("""COMPUTED_VALUE"""),"106643840742")</f>
        <v>106643840742</v>
      </c>
      <c r="C10357" s="2" t="str">
        <v>0</v>
      </c>
      <c r="F10357" s="2" t="str">
        <v>0</v>
      </c>
      <c r="I10357" s="3" t="str">
        <f ca="1">IFERROR(__xludf.DUMMYFUNCTION("""COMPUTED_VALUE"""),"Nguyễn Thị Ngọc Mai")</f>
        <v>Nguyễn Thị Ngọc Mai</v>
      </c>
      <c r="J10357" s="2" t="str">
        <f ca="1">IFERROR(__xludf.DUMMYFUNCTION("""COMPUTED_VALUE"""),"0386207072")</f>
        <v>0386207072</v>
      </c>
      <c r="K10357" s="2" t="str">
        <f ca="1">IFERROR(__xludf.DUMMYFUNCTION("""COMPUTED_VALUE"""),"106643840742")</f>
        <v>106643840742</v>
      </c>
    </row>
    <row r="10358" spans="1:11" ht="12.45">
      <c r="A10358" s="2" t="str">
        <f ca="1">IFERROR(__xludf.DUMMYFUNCTION("""COMPUTED_VALUE"""),"106643840941")</f>
        <v>106643840941</v>
      </c>
      <c r="C10358" s="2" t="str">
        <v>0</v>
      </c>
      <c r="F10358" s="2" t="str">
        <v>0</v>
      </c>
      <c r="I10358" s="3" t="str">
        <f ca="1">IFERROR(__xludf.DUMMYFUNCTION("""COMPUTED_VALUE"""),"Hoàng Văn An")</f>
        <v>Hoàng Văn An</v>
      </c>
      <c r="J10358" s="2" t="str">
        <f ca="1">IFERROR(__xludf.DUMMYFUNCTION("""COMPUTED_VALUE"""),"0364672231")</f>
        <v>0364672231</v>
      </c>
      <c r="K10358" s="2" t="str">
        <f ca="1">IFERROR(__xludf.DUMMYFUNCTION("""COMPUTED_VALUE"""),"106643840941")</f>
        <v>106643840941</v>
      </c>
    </row>
    <row r="10359" spans="1:11" ht="12.45">
      <c r="A10359" s="2" t="str">
        <f ca="1">IFERROR(__xludf.DUMMYFUNCTION("""COMPUTED_VALUE"""),"106643841040")</f>
        <v>106643841040</v>
      </c>
      <c r="C10359" s="2" t="str">
        <v>0</v>
      </c>
      <c r="F10359" s="2" t="str">
        <v>0</v>
      </c>
      <c r="I10359" s="3" t="str">
        <f ca="1">IFERROR(__xludf.DUMMYFUNCTION("""COMPUTED_VALUE"""),"Lê Thanh Hằng")</f>
        <v>Lê Thanh Hằng</v>
      </c>
      <c r="J10359" s="2" t="str">
        <f ca="1">IFERROR(__xludf.DUMMYFUNCTION("""COMPUTED_VALUE"""),"0326435164")</f>
        <v>0326435164</v>
      </c>
      <c r="K10359" s="2" t="str">
        <f ca="1">IFERROR(__xludf.DUMMYFUNCTION("""COMPUTED_VALUE"""),"106643841040")</f>
        <v>106643841040</v>
      </c>
    </row>
    <row r="10360" spans="1:11" ht="12.45">
      <c r="A10360" s="2" t="str">
        <f ca="1">IFERROR(__xludf.DUMMYFUNCTION("""COMPUTED_VALUE"""),"106643841252")</f>
        <v>106643841252</v>
      </c>
      <c r="C10360" s="2" t="str">
        <v>0</v>
      </c>
      <c r="F10360" s="2" t="str">
        <v>0</v>
      </c>
      <c r="I10360" s="3" t="str">
        <f ca="1">IFERROR(__xludf.DUMMYFUNCTION("""COMPUTED_VALUE"""),"Đỗ Minh Anh ")</f>
        <v xml:space="preserve">Đỗ Minh Anh </v>
      </c>
      <c r="J10360" s="2" t="str">
        <f ca="1">IFERROR(__xludf.DUMMYFUNCTION("""COMPUTED_VALUE"""),"0966301690")</f>
        <v>0966301690</v>
      </c>
      <c r="K10360" s="2" t="str">
        <f ca="1">IFERROR(__xludf.DUMMYFUNCTION("""COMPUTED_VALUE"""),"106643841252")</f>
        <v>106643841252</v>
      </c>
    </row>
    <row r="10361" spans="1:11" ht="12.45">
      <c r="A10361" s="2" t="str">
        <f ca="1">IFERROR(__xludf.DUMMYFUNCTION("""COMPUTED_VALUE"""),"106643841310")</f>
        <v>106643841310</v>
      </c>
      <c r="C10361" s="2" t="str">
        <v>0</v>
      </c>
      <c r="F10361" s="2" t="str">
        <v>0</v>
      </c>
      <c r="I10361" s="3" t="str">
        <f ca="1">IFERROR(__xludf.DUMMYFUNCTION("""COMPUTED_VALUE"""),"Đặng Mạnh Tiến")</f>
        <v>Đặng Mạnh Tiến</v>
      </c>
      <c r="J10361" s="2" t="str">
        <f ca="1">IFERROR(__xludf.DUMMYFUNCTION("""COMPUTED_VALUE"""),"0398069741")</f>
        <v>0398069741</v>
      </c>
      <c r="K10361" s="2" t="str">
        <f ca="1">IFERROR(__xludf.DUMMYFUNCTION("""COMPUTED_VALUE"""),"106643841310")</f>
        <v>106643841310</v>
      </c>
    </row>
    <row r="10362" spans="1:11" ht="12.45">
      <c r="A10362" s="2" t="str">
        <f ca="1">IFERROR(__xludf.DUMMYFUNCTION("""COMPUTED_VALUE"""),"106643841427")</f>
        <v>106643841427</v>
      </c>
      <c r="C10362" s="2" t="str">
        <v>0</v>
      </c>
      <c r="F10362" s="2" t="str">
        <v>0</v>
      </c>
      <c r="I10362" s="3" t="str">
        <f ca="1">IFERROR(__xludf.DUMMYFUNCTION("""COMPUTED_VALUE"""),"Võ Trường Thành ")</f>
        <v xml:space="preserve">Võ Trường Thành </v>
      </c>
      <c r="J10362" s="2" t="str">
        <f ca="1">IFERROR(__xludf.DUMMYFUNCTION("""COMPUTED_VALUE"""),"0334813378")</f>
        <v>0334813378</v>
      </c>
      <c r="K10362" s="2" t="str">
        <f ca="1">IFERROR(__xludf.DUMMYFUNCTION("""COMPUTED_VALUE"""),"106643841427")</f>
        <v>106643841427</v>
      </c>
    </row>
    <row r="10363" spans="1:11" ht="12.45">
      <c r="A10363" s="2" t="str">
        <f ca="1">IFERROR(__xludf.DUMMYFUNCTION("""COMPUTED_VALUE"""),"106643841577")</f>
        <v>106643841577</v>
      </c>
      <c r="C10363" s="2" t="str">
        <v>0</v>
      </c>
      <c r="F10363" s="2" t="str">
        <v>0</v>
      </c>
      <c r="I10363" s="3" t="str">
        <f ca="1">IFERROR(__xludf.DUMMYFUNCTION("""COMPUTED_VALUE"""),"Trần Thị Yến Nhi")</f>
        <v>Trần Thị Yến Nhi</v>
      </c>
      <c r="J10363" s="2" t="str">
        <f ca="1">IFERROR(__xludf.DUMMYFUNCTION("""COMPUTED_VALUE"""),"8494608496")</f>
        <v>8494608496</v>
      </c>
      <c r="K10363" s="2" t="str">
        <f ca="1">IFERROR(__xludf.DUMMYFUNCTION("""COMPUTED_VALUE"""),"106643841577")</f>
        <v>106643841577</v>
      </c>
    </row>
    <row r="10364" spans="1:11" ht="12.45">
      <c r="A10364" s="2" t="str">
        <f ca="1">IFERROR(__xludf.DUMMYFUNCTION("""COMPUTED_VALUE"""),"106643841658")</f>
        <v>106643841658</v>
      </c>
      <c r="C10364" s="2" t="str">
        <v>0</v>
      </c>
      <c r="F10364" s="2" t="str">
        <v>0</v>
      </c>
      <c r="I10364" s="3" t="str">
        <f ca="1">IFERROR(__xludf.DUMMYFUNCTION("""COMPUTED_VALUE"""),"Nguyễn Quỳnh Anh")</f>
        <v>Nguyễn Quỳnh Anh</v>
      </c>
      <c r="J10364" s="2" t="str">
        <f ca="1">IFERROR(__xludf.DUMMYFUNCTION("""COMPUTED_VALUE"""),"0932730218")</f>
        <v>0932730218</v>
      </c>
      <c r="K10364" s="2" t="str">
        <f ca="1">IFERROR(__xludf.DUMMYFUNCTION("""COMPUTED_VALUE"""),"106643841658")</f>
        <v>106643841658</v>
      </c>
    </row>
    <row r="10365" spans="1:11" ht="12.45">
      <c r="A10365" s="2" t="str">
        <f ca="1">IFERROR(__xludf.DUMMYFUNCTION("""COMPUTED_VALUE"""),"106643841782")</f>
        <v>106643841782</v>
      </c>
      <c r="C10365" s="2" t="str">
        <v>0</v>
      </c>
      <c r="F10365" s="2" t="str">
        <v>0</v>
      </c>
      <c r="I10365" s="3" t="str">
        <f ca="1">IFERROR(__xludf.DUMMYFUNCTION("""COMPUTED_VALUE"""),"Trần Nguyễn Đoan Vy")</f>
        <v>Trần Nguyễn Đoan Vy</v>
      </c>
      <c r="J10365" s="2" t="str">
        <f ca="1">IFERROR(__xludf.DUMMYFUNCTION("""COMPUTED_VALUE"""),"0877887086")</f>
        <v>0877887086</v>
      </c>
      <c r="K10365" s="2" t="str">
        <f ca="1">IFERROR(__xludf.DUMMYFUNCTION("""COMPUTED_VALUE"""),"106643841782")</f>
        <v>106643841782</v>
      </c>
    </row>
    <row r="10366" spans="1:11" ht="12.45">
      <c r="A10366" s="2" t="str">
        <f ca="1">IFERROR(__xludf.DUMMYFUNCTION("""COMPUTED_VALUE"""),"106643842065")</f>
        <v>106643842065</v>
      </c>
      <c r="C10366" s="2" t="str">
        <v>0</v>
      </c>
      <c r="F10366" s="2" t="str">
        <v>0</v>
      </c>
      <c r="I10366" s="3" t="str">
        <f ca="1">IFERROR(__xludf.DUMMYFUNCTION("""COMPUTED_VALUE"""),"Lê Bích Ngọc")</f>
        <v>Lê Bích Ngọc</v>
      </c>
      <c r="J10366" s="2" t="str">
        <f ca="1">IFERROR(__xludf.DUMMYFUNCTION("""COMPUTED_VALUE"""),"0338959199")</f>
        <v>0338959199</v>
      </c>
      <c r="K10366" s="2" t="str">
        <f ca="1">IFERROR(__xludf.DUMMYFUNCTION("""COMPUTED_VALUE"""),"106643842065")</f>
        <v>106643842065</v>
      </c>
    </row>
    <row r="10367" spans="1:11" ht="12.45">
      <c r="A10367" s="2" t="str">
        <f ca="1">IFERROR(__xludf.DUMMYFUNCTION("""COMPUTED_VALUE"""),"106643842276")</f>
        <v>106643842276</v>
      </c>
      <c r="C10367" s="2" t="str">
        <v>0</v>
      </c>
      <c r="F10367" s="2" t="str">
        <v>0</v>
      </c>
      <c r="I10367" s="3" t="str">
        <f ca="1">IFERROR(__xludf.DUMMYFUNCTION("""COMPUTED_VALUE"""),"Nông Minh Phương")</f>
        <v>Nông Minh Phương</v>
      </c>
      <c r="J10367" s="2" t="str">
        <f ca="1">IFERROR(__xludf.DUMMYFUNCTION("""COMPUTED_VALUE"""),"0335895028")</f>
        <v>0335895028</v>
      </c>
      <c r="K10367" s="2" t="str">
        <f ca="1">IFERROR(__xludf.DUMMYFUNCTION("""COMPUTED_VALUE"""),"106643842276")</f>
        <v>106643842276</v>
      </c>
    </row>
    <row r="10368" spans="1:11" ht="12.45">
      <c r="A10368" s="2" t="str">
        <f ca="1">IFERROR(__xludf.DUMMYFUNCTION("""COMPUTED_VALUE"""),"106643842433")</f>
        <v>106643842433</v>
      </c>
      <c r="C10368" s="2" t="str">
        <v>0</v>
      </c>
      <c r="F10368" s="2" t="str">
        <v>0</v>
      </c>
      <c r="I10368" s="3" t="str">
        <f ca="1">IFERROR(__xludf.DUMMYFUNCTION("""COMPUTED_VALUE"""),"Lê Thị Như Ngọc")</f>
        <v>Lê Thị Như Ngọc</v>
      </c>
      <c r="J10368" s="2" t="str">
        <f ca="1">IFERROR(__xludf.DUMMYFUNCTION("""COMPUTED_VALUE"""),"0962336723")</f>
        <v>0962336723</v>
      </c>
      <c r="K10368" s="2" t="str">
        <f ca="1">IFERROR(__xludf.DUMMYFUNCTION("""COMPUTED_VALUE"""),"106643842433")</f>
        <v>106643842433</v>
      </c>
    </row>
    <row r="10369" spans="1:11" ht="12.45">
      <c r="A10369" s="2"/>
      <c r="C10369" s="2" t="str">
        <v>0</v>
      </c>
      <c r="F10369" s="2" t="str">
        <v>0</v>
      </c>
      <c r="I10369" s="3" t="str">
        <f ca="1">IFERROR(__xludf.DUMMYFUNCTION("""COMPUTED_VALUE"""),"Hồ Thị Như Ý ")</f>
        <v xml:space="preserve">Hồ Thị Như Ý </v>
      </c>
      <c r="J10369" s="2" t="str">
        <f ca="1">IFERROR(__xludf.DUMMYFUNCTION("""COMPUTED_VALUE"""),"0338072124")</f>
        <v>0338072124</v>
      </c>
      <c r="K10369" s="2"/>
    </row>
    <row r="10370" spans="1:11" ht="12.45">
      <c r="A10370" s="2" t="str">
        <f ca="1">IFERROR(__xludf.DUMMYFUNCTION("""COMPUTED_VALUE"""),"106643842563")</f>
        <v>106643842563</v>
      </c>
      <c r="C10370" s="2" t="str">
        <v>0</v>
      </c>
      <c r="F10370" s="2" t="str">
        <v>0</v>
      </c>
      <c r="I10370" s="3" t="str">
        <f ca="1">IFERROR(__xludf.DUMMYFUNCTION("""COMPUTED_VALUE"""),"Lê Nguyễn Bảo Thy")</f>
        <v>Lê Nguyễn Bảo Thy</v>
      </c>
      <c r="J10370" s="2" t="str">
        <f ca="1">IFERROR(__xludf.DUMMYFUNCTION("""COMPUTED_VALUE"""),"0938052362")</f>
        <v>0938052362</v>
      </c>
      <c r="K10370" s="2" t="str">
        <f ca="1">IFERROR(__xludf.DUMMYFUNCTION("""COMPUTED_VALUE"""),"106643842563")</f>
        <v>106643842563</v>
      </c>
    </row>
    <row r="10371" spans="1:11" ht="12.45">
      <c r="A10371" s="2" t="str">
        <f ca="1">IFERROR(__xludf.DUMMYFUNCTION("""COMPUTED_VALUE"""),"106643842690")</f>
        <v>106643842690</v>
      </c>
      <c r="C10371" s="2" t="str">
        <v>0</v>
      </c>
      <c r="F10371" s="2" t="str">
        <v>0</v>
      </c>
      <c r="I10371" s="3" t="str">
        <f ca="1">IFERROR(__xludf.DUMMYFUNCTION("""COMPUTED_VALUE"""),"Lê Đoàn Minh Chi")</f>
        <v>Lê Đoàn Minh Chi</v>
      </c>
      <c r="J10371" s="2" t="str">
        <f ca="1">IFERROR(__xludf.DUMMYFUNCTION("""COMPUTED_VALUE"""),"0353566366")</f>
        <v>0353566366</v>
      </c>
      <c r="K10371" s="2" t="str">
        <f ca="1">IFERROR(__xludf.DUMMYFUNCTION("""COMPUTED_VALUE"""),"106643842690")</f>
        <v>106643842690</v>
      </c>
    </row>
    <row r="10372" spans="1:11" ht="12.45">
      <c r="A10372" s="2" t="str">
        <f ca="1">IFERROR(__xludf.DUMMYFUNCTION("""COMPUTED_VALUE"""),"106643842757")</f>
        <v>106643842757</v>
      </c>
      <c r="C10372" s="2" t="str">
        <v>0</v>
      </c>
      <c r="F10372" s="2" t="str">
        <v>0</v>
      </c>
      <c r="I10372" s="3" t="str">
        <f ca="1">IFERROR(__xludf.DUMMYFUNCTION("""COMPUTED_VALUE"""),"nguyễn đào nhã cầm")</f>
        <v>nguyễn đào nhã cầm</v>
      </c>
      <c r="J10372" s="2" t="str">
        <f ca="1">IFERROR(__xludf.DUMMYFUNCTION("""COMPUTED_VALUE"""),"0905149146")</f>
        <v>0905149146</v>
      </c>
      <c r="K10372" s="2" t="str">
        <f ca="1">IFERROR(__xludf.DUMMYFUNCTION("""COMPUTED_VALUE"""),"106643842757")</f>
        <v>106643842757</v>
      </c>
    </row>
    <row r="10373" spans="1:11" ht="12.45">
      <c r="A10373" s="2" t="str">
        <f ca="1">IFERROR(__xludf.DUMMYFUNCTION("""COMPUTED_VALUE"""),"106643842888")</f>
        <v>106643842888</v>
      </c>
      <c r="C10373" s="2" t="str">
        <v>0</v>
      </c>
      <c r="F10373" s="2" t="str">
        <v>0</v>
      </c>
      <c r="I10373" s="3" t="str">
        <f ca="1">IFERROR(__xludf.DUMMYFUNCTION("""COMPUTED_VALUE"""),"Lê Thùy Mai Phương")</f>
        <v>Lê Thùy Mai Phương</v>
      </c>
      <c r="J10373" s="2" t="str">
        <f ca="1">IFERROR(__xludf.DUMMYFUNCTION("""COMPUTED_VALUE"""),"0365514994")</f>
        <v>0365514994</v>
      </c>
      <c r="K10373" s="2" t="str">
        <f ca="1">IFERROR(__xludf.DUMMYFUNCTION("""COMPUTED_VALUE"""),"106643842888")</f>
        <v>106643842888</v>
      </c>
    </row>
    <row r="10374" spans="1:11" ht="12.45">
      <c r="A10374" s="2" t="str">
        <f ca="1">IFERROR(__xludf.DUMMYFUNCTION("""COMPUTED_VALUE"""),"106643842961")</f>
        <v>106643842961</v>
      </c>
      <c r="C10374" s="2" t="str">
        <v>0</v>
      </c>
      <c r="F10374" s="2" t="str">
        <v>0</v>
      </c>
      <c r="I10374" s="3" t="str">
        <f ca="1">IFERROR(__xludf.DUMMYFUNCTION("""COMPUTED_VALUE"""),"Nguyễn Mạnh Hiếu ")</f>
        <v xml:space="preserve">Nguyễn Mạnh Hiếu </v>
      </c>
      <c r="J10374" s="2" t="str">
        <f ca="1">IFERROR(__xludf.DUMMYFUNCTION("""COMPUTED_VALUE"""),"0834354265")</f>
        <v>0834354265</v>
      </c>
      <c r="K10374" s="2" t="str">
        <f ca="1">IFERROR(__xludf.DUMMYFUNCTION("""COMPUTED_VALUE"""),"106643842961")</f>
        <v>106643842961</v>
      </c>
    </row>
    <row r="10375" spans="1:11" ht="12.45">
      <c r="A10375" s="2" t="str">
        <f ca="1">IFERROR(__xludf.DUMMYFUNCTION("""COMPUTED_VALUE"""),"106643843060")</f>
        <v>106643843060</v>
      </c>
      <c r="C10375" s="2" t="str">
        <v>0</v>
      </c>
      <c r="F10375" s="2" t="str">
        <v>0</v>
      </c>
      <c r="I10375" s="3" t="str">
        <f ca="1">IFERROR(__xludf.DUMMYFUNCTION("""COMPUTED_VALUE"""),"Vũ Nhật Minh")</f>
        <v>Vũ Nhật Minh</v>
      </c>
      <c r="J10375" s="2" t="str">
        <f ca="1">IFERROR(__xludf.DUMMYFUNCTION("""COMPUTED_VALUE"""),"0986941634")</f>
        <v>0986941634</v>
      </c>
      <c r="K10375" s="2" t="str">
        <f ca="1">IFERROR(__xludf.DUMMYFUNCTION("""COMPUTED_VALUE"""),"106643843060")</f>
        <v>106643843060</v>
      </c>
    </row>
    <row r="10376" spans="1:11" ht="12.45">
      <c r="A10376" s="2" t="str">
        <f ca="1">IFERROR(__xludf.DUMMYFUNCTION("""COMPUTED_VALUE"""),"106643843219")</f>
        <v>106643843219</v>
      </c>
      <c r="C10376" s="2" t="str">
        <v>0</v>
      </c>
      <c r="F10376" s="2" t="str">
        <v>0</v>
      </c>
      <c r="I10376" s="3" t="str">
        <f ca="1">IFERROR(__xludf.DUMMYFUNCTION("""COMPUTED_VALUE"""),"Nguyễn Thị Yến Vy")</f>
        <v>Nguyễn Thị Yến Vy</v>
      </c>
      <c r="J10376" s="2" t="str">
        <f ca="1">IFERROR(__xludf.DUMMYFUNCTION("""COMPUTED_VALUE"""),"0349709332")</f>
        <v>0349709332</v>
      </c>
      <c r="K10376" s="2" t="str">
        <f ca="1">IFERROR(__xludf.DUMMYFUNCTION("""COMPUTED_VALUE"""),"106643843219")</f>
        <v>106643843219</v>
      </c>
    </row>
    <row r="10377" spans="1:11" ht="12.45">
      <c r="A10377" s="2" t="str">
        <f ca="1">IFERROR(__xludf.DUMMYFUNCTION("""COMPUTED_VALUE"""),"106643843420")</f>
        <v>106643843420</v>
      </c>
      <c r="C10377" s="2" t="str">
        <v>0</v>
      </c>
      <c r="F10377" s="2" t="str">
        <v>0</v>
      </c>
      <c r="I10377" s="3" t="str">
        <f ca="1">IFERROR(__xludf.DUMMYFUNCTION("""COMPUTED_VALUE"""),"Trần Thị Mai Linh")</f>
        <v>Trần Thị Mai Linh</v>
      </c>
      <c r="J10377" s="2" t="str">
        <f ca="1">IFERROR(__xludf.DUMMYFUNCTION("""COMPUTED_VALUE"""),"0862102170")</f>
        <v>0862102170</v>
      </c>
      <c r="K10377" s="2" t="str">
        <f ca="1">IFERROR(__xludf.DUMMYFUNCTION("""COMPUTED_VALUE"""),"106643843420")</f>
        <v>106643843420</v>
      </c>
    </row>
    <row r="10378" spans="1:11" ht="12.45">
      <c r="A10378" s="2" t="str">
        <f ca="1">IFERROR(__xludf.DUMMYFUNCTION("""COMPUTED_VALUE"""),"106643843557")</f>
        <v>106643843557</v>
      </c>
      <c r="C10378" s="2" t="str">
        <v>0</v>
      </c>
      <c r="F10378" s="2" t="str">
        <v>0</v>
      </c>
      <c r="I10378" s="3" t="str">
        <f ca="1">IFERROR(__xludf.DUMMYFUNCTION("""COMPUTED_VALUE"""),"Nguyễn Thị Ánh ")</f>
        <v xml:space="preserve">Nguyễn Thị Ánh </v>
      </c>
      <c r="J10378" s="2" t="str">
        <f ca="1">IFERROR(__xludf.DUMMYFUNCTION("""COMPUTED_VALUE"""),"0869803508")</f>
        <v>0869803508</v>
      </c>
      <c r="K10378" s="2" t="str">
        <f ca="1">IFERROR(__xludf.DUMMYFUNCTION("""COMPUTED_VALUE"""),"106643843557")</f>
        <v>106643843557</v>
      </c>
    </row>
    <row r="10379" spans="1:11" ht="12.45">
      <c r="A10379" s="2" t="str">
        <f ca="1">IFERROR(__xludf.DUMMYFUNCTION("""COMPUTED_VALUE"""),"106643843737")</f>
        <v>106643843737</v>
      </c>
      <c r="C10379" s="2" t="str">
        <v>0</v>
      </c>
      <c r="F10379" s="2" t="str">
        <v>0</v>
      </c>
      <c r="I10379" s="3" t="str">
        <f ca="1">IFERROR(__xludf.DUMMYFUNCTION("""COMPUTED_VALUE"""),"Nguyễn Thị Kim Anh")</f>
        <v>Nguyễn Thị Kim Anh</v>
      </c>
      <c r="J10379" s="2" t="str">
        <f ca="1">IFERROR(__xludf.DUMMYFUNCTION("""COMPUTED_VALUE"""),"0382102835")</f>
        <v>0382102835</v>
      </c>
      <c r="K10379" s="2" t="str">
        <f ca="1">IFERROR(__xludf.DUMMYFUNCTION("""COMPUTED_VALUE"""),"106643843737")</f>
        <v>106643843737</v>
      </c>
    </row>
    <row r="10380" spans="1:11" ht="12.45">
      <c r="A10380" s="2" t="str">
        <f ca="1">IFERROR(__xludf.DUMMYFUNCTION("""COMPUTED_VALUE"""),"106643843884")</f>
        <v>106643843884</v>
      </c>
      <c r="C10380" s="2" t="str">
        <v>0</v>
      </c>
      <c r="F10380" s="2" t="str">
        <v>0</v>
      </c>
      <c r="I10380" s="3" t="str">
        <f ca="1">IFERROR(__xludf.DUMMYFUNCTION("""COMPUTED_VALUE"""),"Trịnh Hoài Anh Thy")</f>
        <v>Trịnh Hoài Anh Thy</v>
      </c>
      <c r="J10380" s="2" t="str">
        <f ca="1">IFERROR(__xludf.DUMMYFUNCTION("""COMPUTED_VALUE"""),"0983924414")</f>
        <v>0983924414</v>
      </c>
      <c r="K10380" s="2" t="str">
        <f ca="1">IFERROR(__xludf.DUMMYFUNCTION("""COMPUTED_VALUE"""),"106643843884")</f>
        <v>106643843884</v>
      </c>
    </row>
    <row r="10381" spans="1:11" ht="12.45">
      <c r="A10381" s="2" t="str">
        <f ca="1">IFERROR(__xludf.DUMMYFUNCTION("""COMPUTED_VALUE"""),"106855661634")</f>
        <v>106855661634</v>
      </c>
      <c r="C10381" s="2" t="str">
        <v>0</v>
      </c>
      <c r="F10381" s="2" t="str">
        <v>0</v>
      </c>
      <c r="I10381" s="3" t="str">
        <f ca="1">IFERROR(__xludf.DUMMYFUNCTION("""COMPUTED_VALUE"""),"Đinh Thu Hiền")</f>
        <v>Đinh Thu Hiền</v>
      </c>
      <c r="J10381" s="2" t="str">
        <f ca="1">IFERROR(__xludf.DUMMYFUNCTION("""COMPUTED_VALUE"""),"0369878457")</f>
        <v>0369878457</v>
      </c>
      <c r="K10381" s="2" t="str">
        <f ca="1">IFERROR(__xludf.DUMMYFUNCTION("""COMPUTED_VALUE"""),"106855661634")</f>
        <v>106855661634</v>
      </c>
    </row>
    <row r="10382" spans="1:11" ht="12.45">
      <c r="A10382" s="2" t="str">
        <f ca="1">IFERROR(__xludf.DUMMYFUNCTION("""COMPUTED_VALUE"""),"106643843910")</f>
        <v>106643843910</v>
      </c>
      <c r="C10382" s="2" t="str">
        <v>0</v>
      </c>
      <c r="F10382" s="2" t="str">
        <v>0</v>
      </c>
      <c r="I10382" s="3" t="str">
        <f ca="1">IFERROR(__xludf.DUMMYFUNCTION("""COMPUTED_VALUE"""),"Trần Quốc Hưng")</f>
        <v>Trần Quốc Hưng</v>
      </c>
      <c r="J10382" s="2" t="str">
        <f ca="1">IFERROR(__xludf.DUMMYFUNCTION("""COMPUTED_VALUE"""),"0344406791")</f>
        <v>0344406791</v>
      </c>
      <c r="K10382" s="2" t="str">
        <f ca="1">IFERROR(__xludf.DUMMYFUNCTION("""COMPUTED_VALUE"""),"106643843910")</f>
        <v>106643843910</v>
      </c>
    </row>
    <row r="10383" spans="1:11" ht="12.45">
      <c r="A10383" s="2" t="str">
        <f ca="1">IFERROR(__xludf.DUMMYFUNCTION("""COMPUTED_VALUE"""),"106643844189")</f>
        <v>106643844189</v>
      </c>
      <c r="C10383" s="2" t="str">
        <v>0</v>
      </c>
      <c r="F10383" s="2" t="str">
        <v>0</v>
      </c>
      <c r="I10383" s="3" t="str">
        <f ca="1">IFERROR(__xludf.DUMMYFUNCTION("""COMPUTED_VALUE"""),"Hoàng thu hạ ")</f>
        <v xml:space="preserve">Hoàng thu hạ </v>
      </c>
      <c r="J10383" s="2" t="str">
        <f ca="1">IFERROR(__xludf.DUMMYFUNCTION("""COMPUTED_VALUE"""),"0812885175")</f>
        <v>0812885175</v>
      </c>
      <c r="K10383" s="2" t="str">
        <f ca="1">IFERROR(__xludf.DUMMYFUNCTION("""COMPUTED_VALUE"""),"106643844189")</f>
        <v>106643844189</v>
      </c>
    </row>
    <row r="10384" spans="1:11" ht="12.45">
      <c r="A10384" s="2" t="str">
        <f ca="1">IFERROR(__xludf.DUMMYFUNCTION("""COMPUTED_VALUE"""),"106643844221")</f>
        <v>106643844221</v>
      </c>
      <c r="C10384" s="2" t="str">
        <v>0</v>
      </c>
      <c r="F10384" s="2" t="str">
        <v>0</v>
      </c>
      <c r="I10384" s="3" t="str">
        <f ca="1">IFERROR(__xludf.DUMMYFUNCTION("""COMPUTED_VALUE"""),"Cù Thị Tú Uyên")</f>
        <v>Cù Thị Tú Uyên</v>
      </c>
      <c r="J10384" s="2" t="str">
        <f ca="1">IFERROR(__xludf.DUMMYFUNCTION("""COMPUTED_VALUE"""),"0365734859")</f>
        <v>0365734859</v>
      </c>
      <c r="K10384" s="2" t="str">
        <f ca="1">IFERROR(__xludf.DUMMYFUNCTION("""COMPUTED_VALUE"""),"106643844221")</f>
        <v>106643844221</v>
      </c>
    </row>
    <row r="10385" spans="1:11" ht="12.45">
      <c r="A10385" s="2" t="str">
        <f ca="1">IFERROR(__xludf.DUMMYFUNCTION("""COMPUTED_VALUE"""),"106643844357")</f>
        <v>106643844357</v>
      </c>
      <c r="C10385" s="2" t="str">
        <v>0</v>
      </c>
      <c r="F10385" s="2" t="str">
        <v>0</v>
      </c>
      <c r="I10385" s="3" t="str">
        <f ca="1">IFERROR(__xludf.DUMMYFUNCTION("""COMPUTED_VALUE"""),"Lê Thị Ngọc Thắm ")</f>
        <v xml:space="preserve">Lê Thị Ngọc Thắm </v>
      </c>
      <c r="J10385" s="2" t="str">
        <f ca="1">IFERROR(__xludf.DUMMYFUNCTION("""COMPUTED_VALUE"""),"0338867434")</f>
        <v>0338867434</v>
      </c>
      <c r="K10385" s="2" t="str">
        <f ca="1">IFERROR(__xludf.DUMMYFUNCTION("""COMPUTED_VALUE"""),"106643844357")</f>
        <v>106643844357</v>
      </c>
    </row>
    <row r="10386" spans="1:11" ht="12.45">
      <c r="A10386" s="2" t="str">
        <f ca="1">IFERROR(__xludf.DUMMYFUNCTION("""COMPUTED_VALUE"""),"106643844410")</f>
        <v>106643844410</v>
      </c>
      <c r="C10386" s="2" t="str">
        <v>0</v>
      </c>
      <c r="F10386" s="2" t="str">
        <v>0</v>
      </c>
      <c r="I10386" s="3" t="str">
        <f ca="1">IFERROR(__xludf.DUMMYFUNCTION("""COMPUTED_VALUE"""),"Nguyễn Thanh Trúc ")</f>
        <v xml:space="preserve">Nguyễn Thanh Trúc </v>
      </c>
      <c r="J10386" s="2" t="str">
        <f ca="1">IFERROR(__xludf.DUMMYFUNCTION("""COMPUTED_VALUE"""),"0911086392")</f>
        <v>0911086392</v>
      </c>
      <c r="K10386" s="2" t="str">
        <f ca="1">IFERROR(__xludf.DUMMYFUNCTION("""COMPUTED_VALUE"""),"106643844410")</f>
        <v>106643844410</v>
      </c>
    </row>
    <row r="10387" spans="1:11" ht="12.45">
      <c r="A10387" s="2" t="str">
        <f ca="1">IFERROR(__xludf.DUMMYFUNCTION("""COMPUTED_VALUE"""),"106643844640")</f>
        <v>106643844640</v>
      </c>
      <c r="C10387" s="2" t="str">
        <v>0</v>
      </c>
      <c r="F10387" s="2" t="str">
        <v>0</v>
      </c>
      <c r="I10387" s="3" t="str">
        <f ca="1">IFERROR(__xludf.DUMMYFUNCTION("""COMPUTED_VALUE"""),"Phạm Minh Hoàng ")</f>
        <v xml:space="preserve">Phạm Minh Hoàng </v>
      </c>
      <c r="J10387" s="2" t="str">
        <f ca="1">IFERROR(__xludf.DUMMYFUNCTION("""COMPUTED_VALUE"""),"0829791049")</f>
        <v>0829791049</v>
      </c>
      <c r="K10387" s="2" t="str">
        <f ca="1">IFERROR(__xludf.DUMMYFUNCTION("""COMPUTED_VALUE"""),"106643844640")</f>
        <v>106643844640</v>
      </c>
    </row>
    <row r="10388" spans="1:11" ht="12.45">
      <c r="A10388" s="2" t="str">
        <f ca="1">IFERROR(__xludf.DUMMYFUNCTION("""COMPUTED_VALUE"""),"106643844788")</f>
        <v>106643844788</v>
      </c>
      <c r="C10388" s="2" t="str">
        <v>0</v>
      </c>
      <c r="F10388" s="2" t="str">
        <v>0</v>
      </c>
      <c r="I10388" s="3" t="str">
        <f ca="1">IFERROR(__xludf.DUMMYFUNCTION("""COMPUTED_VALUE"""),"Vi Thị Nhật Lệ")</f>
        <v>Vi Thị Nhật Lệ</v>
      </c>
      <c r="J10388" s="2" t="str">
        <f ca="1">IFERROR(__xludf.DUMMYFUNCTION("""COMPUTED_VALUE"""),"0399986940")</f>
        <v>0399986940</v>
      </c>
      <c r="K10388" s="2" t="str">
        <f ca="1">IFERROR(__xludf.DUMMYFUNCTION("""COMPUTED_VALUE"""),"106643844788")</f>
        <v>106643844788</v>
      </c>
    </row>
    <row r="10389" spans="1:11" ht="12.45">
      <c r="A10389" s="2" t="str">
        <f ca="1">IFERROR(__xludf.DUMMYFUNCTION("""COMPUTED_VALUE"""),"106643844894")</f>
        <v>106643844894</v>
      </c>
      <c r="C10389" s="2" t="str">
        <v>0</v>
      </c>
      <c r="F10389" s="2" t="str">
        <v>0</v>
      </c>
      <c r="I10389" s="3" t="str">
        <f ca="1">IFERROR(__xludf.DUMMYFUNCTION("""COMPUTED_VALUE"""),"Lê Thị Kim Anh ")</f>
        <v xml:space="preserve">Lê Thị Kim Anh </v>
      </c>
      <c r="J10389" s="2" t="str">
        <f ca="1">IFERROR(__xludf.DUMMYFUNCTION("""COMPUTED_VALUE"""),"0888029047")</f>
        <v>0888029047</v>
      </c>
      <c r="K10389" s="2" t="str">
        <f ca="1">IFERROR(__xludf.DUMMYFUNCTION("""COMPUTED_VALUE"""),"106643844894")</f>
        <v>106643844894</v>
      </c>
    </row>
    <row r="10390" spans="1:11" ht="12.45">
      <c r="A10390" s="2" t="str">
        <f ca="1">IFERROR(__xludf.DUMMYFUNCTION("""COMPUTED_VALUE"""),"106643845094")</f>
        <v>106643845094</v>
      </c>
      <c r="C10390" s="2" t="str">
        <v>0</v>
      </c>
      <c r="F10390" s="2" t="str">
        <v>0</v>
      </c>
      <c r="I10390" s="3" t="str">
        <f ca="1">IFERROR(__xludf.DUMMYFUNCTION("""COMPUTED_VALUE"""),"Trịnh Thu Huyền")</f>
        <v>Trịnh Thu Huyền</v>
      </c>
      <c r="J10390" s="2" t="str">
        <f ca="1">IFERROR(__xludf.DUMMYFUNCTION("""COMPUTED_VALUE"""),"0375566387")</f>
        <v>0375566387</v>
      </c>
      <c r="K10390" s="2" t="str">
        <f ca="1">IFERROR(__xludf.DUMMYFUNCTION("""COMPUTED_VALUE"""),"106643845094")</f>
        <v>106643845094</v>
      </c>
    </row>
    <row r="10391" spans="1:11" ht="12.45">
      <c r="A10391" s="2" t="str">
        <f ca="1">IFERROR(__xludf.DUMMYFUNCTION("""COMPUTED_VALUE"""),"106643845119")</f>
        <v>106643845119</v>
      </c>
      <c r="C10391" s="2" t="str">
        <v>0</v>
      </c>
      <c r="F10391" s="2" t="str">
        <v>0</v>
      </c>
      <c r="I10391" s="3" t="str">
        <f ca="1">IFERROR(__xludf.DUMMYFUNCTION("""COMPUTED_VALUE"""),"Nguyễn Hoàng Long")</f>
        <v>Nguyễn Hoàng Long</v>
      </c>
      <c r="J10391" s="2" t="str">
        <f ca="1">IFERROR(__xludf.DUMMYFUNCTION("""COMPUTED_VALUE"""),"0862398321")</f>
        <v>0862398321</v>
      </c>
      <c r="K10391" s="2" t="str">
        <f ca="1">IFERROR(__xludf.DUMMYFUNCTION("""COMPUTED_VALUE"""),"106643845119")</f>
        <v>106643845119</v>
      </c>
    </row>
    <row r="10392" spans="1:11" ht="12.45">
      <c r="A10392" s="2" t="str">
        <f ca="1">IFERROR(__xludf.DUMMYFUNCTION("""COMPUTED_VALUE"""),"106643845296")</f>
        <v>106643845296</v>
      </c>
      <c r="C10392" s="2" t="str">
        <v>0</v>
      </c>
      <c r="F10392" s="2" t="str">
        <v>0</v>
      </c>
      <c r="I10392" s="3" t="str">
        <f ca="1">IFERROR(__xludf.DUMMYFUNCTION("""COMPUTED_VALUE"""),"Hoàng Hà Nhi")</f>
        <v>Hoàng Hà Nhi</v>
      </c>
      <c r="J10392" s="2" t="str">
        <f ca="1">IFERROR(__xludf.DUMMYFUNCTION("""COMPUTED_VALUE"""),"0896124594")</f>
        <v>0896124594</v>
      </c>
      <c r="K10392" s="2" t="str">
        <f ca="1">IFERROR(__xludf.DUMMYFUNCTION("""COMPUTED_VALUE"""),"106643845296")</f>
        <v>106643845296</v>
      </c>
    </row>
    <row r="10393" spans="1:11" ht="12.45">
      <c r="A10393" s="2" t="str">
        <f ca="1">IFERROR(__xludf.DUMMYFUNCTION("""COMPUTED_VALUE"""),"106643845494")</f>
        <v>106643845494</v>
      </c>
      <c r="C10393" s="2" t="str">
        <v>0</v>
      </c>
      <c r="F10393" s="2" t="str">
        <v>0</v>
      </c>
      <c r="I10393" s="3" t="str">
        <f ca="1">IFERROR(__xludf.DUMMYFUNCTION("""COMPUTED_VALUE"""),"Lê Hạnh Mai")</f>
        <v>Lê Hạnh Mai</v>
      </c>
      <c r="J10393" s="2" t="str">
        <f ca="1">IFERROR(__xludf.DUMMYFUNCTION("""COMPUTED_VALUE"""),"0862443394")</f>
        <v>0862443394</v>
      </c>
      <c r="K10393" s="2" t="str">
        <f ca="1">IFERROR(__xludf.DUMMYFUNCTION("""COMPUTED_VALUE"""),"106643845494")</f>
        <v>106643845494</v>
      </c>
    </row>
    <row r="10394" spans="1:11" ht="12.45">
      <c r="A10394" s="2" t="str">
        <f ca="1">IFERROR(__xludf.DUMMYFUNCTION("""COMPUTED_VALUE"""),"106643845543")</f>
        <v>106643845543</v>
      </c>
      <c r="C10394" s="2" t="str">
        <v>0</v>
      </c>
      <c r="F10394" s="2" t="str">
        <v>0</v>
      </c>
      <c r="I10394" s="3" t="str">
        <f ca="1">IFERROR(__xludf.DUMMYFUNCTION("""COMPUTED_VALUE"""),"Nguyễn Dung Nhi ")</f>
        <v xml:space="preserve">Nguyễn Dung Nhi </v>
      </c>
      <c r="J10394" s="2" t="str">
        <f ca="1">IFERROR(__xludf.DUMMYFUNCTION("""COMPUTED_VALUE"""),"0394997008")</f>
        <v>0394997008</v>
      </c>
      <c r="K10394" s="2" t="str">
        <f ca="1">IFERROR(__xludf.DUMMYFUNCTION("""COMPUTED_VALUE"""),"106643845543")</f>
        <v>106643845543</v>
      </c>
    </row>
    <row r="10395" spans="1:11" ht="12.45">
      <c r="A10395" s="2" t="str">
        <f ca="1">IFERROR(__xludf.DUMMYFUNCTION("""COMPUTED_VALUE"""),"106643845664")</f>
        <v>106643845664</v>
      </c>
      <c r="C10395" s="2" t="str">
        <v>0</v>
      </c>
      <c r="F10395" s="2" t="str">
        <v>0</v>
      </c>
      <c r="I10395" s="3" t="str">
        <f ca="1">IFERROR(__xludf.DUMMYFUNCTION("""COMPUTED_VALUE"""),"ha hoang duc phi")</f>
        <v>ha hoang duc phi</v>
      </c>
      <c r="J10395" s="2" t="str">
        <f ca="1">IFERROR(__xludf.DUMMYFUNCTION("""COMPUTED_VALUE"""),"0867964136")</f>
        <v>0867964136</v>
      </c>
      <c r="K10395" s="2" t="str">
        <f ca="1">IFERROR(__xludf.DUMMYFUNCTION("""COMPUTED_VALUE"""),"106643845664")</f>
        <v>106643845664</v>
      </c>
    </row>
    <row r="10396" spans="1:11" ht="12.45">
      <c r="A10396" s="2" t="str">
        <f ca="1">IFERROR(__xludf.DUMMYFUNCTION("""COMPUTED_VALUE"""),"106643845872")</f>
        <v>106643845872</v>
      </c>
      <c r="C10396" s="2" t="str">
        <v>0</v>
      </c>
      <c r="F10396" s="2" t="str">
        <v>0</v>
      </c>
      <c r="I10396" s="3" t="str">
        <f ca="1">IFERROR(__xludf.DUMMYFUNCTION("""COMPUTED_VALUE"""),"Đỗ Cao Kỳ Diễm ")</f>
        <v xml:space="preserve">Đỗ Cao Kỳ Diễm </v>
      </c>
      <c r="J10396" s="2" t="str">
        <f ca="1">IFERROR(__xludf.DUMMYFUNCTION("""COMPUTED_VALUE"""),"0906394083")</f>
        <v>0906394083</v>
      </c>
      <c r="K10396" s="2" t="str">
        <f ca="1">IFERROR(__xludf.DUMMYFUNCTION("""COMPUTED_VALUE"""),"106643845872")</f>
        <v>106643845872</v>
      </c>
    </row>
    <row r="10397" spans="1:11" ht="12.45">
      <c r="A10397" s="2" t="str">
        <f ca="1">IFERROR(__xludf.DUMMYFUNCTION("""COMPUTED_VALUE"""),"106643845926")</f>
        <v>106643845926</v>
      </c>
      <c r="C10397" s="2" t="str">
        <v>0</v>
      </c>
      <c r="F10397" s="2" t="str">
        <v>0</v>
      </c>
      <c r="I10397" s="3" t="str">
        <f ca="1">IFERROR(__xludf.DUMMYFUNCTION("""COMPUTED_VALUE"""),"Phùng Thị Thảo Nguyên")</f>
        <v>Phùng Thị Thảo Nguyên</v>
      </c>
      <c r="J10397" s="2" t="str">
        <f ca="1">IFERROR(__xludf.DUMMYFUNCTION("""COMPUTED_VALUE"""),"0328123601")</f>
        <v>0328123601</v>
      </c>
      <c r="K10397" s="2" t="str">
        <f ca="1">IFERROR(__xludf.DUMMYFUNCTION("""COMPUTED_VALUE"""),"106643845926")</f>
        <v>106643845926</v>
      </c>
    </row>
    <row r="10398" spans="1:11" ht="12.45">
      <c r="A10398" s="2" t="str">
        <f ca="1">IFERROR(__xludf.DUMMYFUNCTION("""COMPUTED_VALUE"""),"106643846076")</f>
        <v>106643846076</v>
      </c>
      <c r="C10398" s="2" t="str">
        <v>0</v>
      </c>
      <c r="F10398" s="2" t="str">
        <v>0</v>
      </c>
      <c r="I10398" s="3" t="str">
        <f ca="1">IFERROR(__xludf.DUMMYFUNCTION("""COMPUTED_VALUE"""),"Trần Thị Bình Minh")</f>
        <v>Trần Thị Bình Minh</v>
      </c>
      <c r="J10398" s="2" t="str">
        <f ca="1">IFERROR(__xludf.DUMMYFUNCTION("""COMPUTED_VALUE"""),"0978055265")</f>
        <v>0978055265</v>
      </c>
      <c r="K10398" s="2" t="str">
        <f ca="1">IFERROR(__xludf.DUMMYFUNCTION("""COMPUTED_VALUE"""),"106643846076")</f>
        <v>106643846076</v>
      </c>
    </row>
    <row r="10399" spans="1:11" ht="12.45">
      <c r="A10399" s="2" t="str">
        <f ca="1">IFERROR(__xludf.DUMMYFUNCTION("""COMPUTED_VALUE"""),"106643846246")</f>
        <v>106643846246</v>
      </c>
      <c r="C10399" s="2" t="str">
        <v>0</v>
      </c>
      <c r="F10399" s="2" t="str">
        <v>0</v>
      </c>
      <c r="I10399" s="3" t="str">
        <f ca="1">IFERROR(__xludf.DUMMYFUNCTION("""COMPUTED_VALUE"""),"Đinh Thị Bạch Dương ")</f>
        <v xml:space="preserve">Đinh Thị Bạch Dương </v>
      </c>
      <c r="J10399" s="2" t="str">
        <f ca="1">IFERROR(__xludf.DUMMYFUNCTION("""COMPUTED_VALUE"""),"0862090307")</f>
        <v>0862090307</v>
      </c>
      <c r="K10399" s="2" t="str">
        <f ca="1">IFERROR(__xludf.DUMMYFUNCTION("""COMPUTED_VALUE"""),"106643846246")</f>
        <v>106643846246</v>
      </c>
    </row>
    <row r="10400" spans="1:11" ht="12.45">
      <c r="A10400" s="2" t="str">
        <f ca="1">IFERROR(__xludf.DUMMYFUNCTION("""COMPUTED_VALUE"""),"106643846317")</f>
        <v>106643846317</v>
      </c>
      <c r="C10400" s="2" t="str">
        <v>0</v>
      </c>
      <c r="F10400" s="2" t="str">
        <v>0</v>
      </c>
      <c r="I10400" s="3" t="str">
        <f ca="1">IFERROR(__xludf.DUMMYFUNCTION("""COMPUTED_VALUE"""),"Ninh Thị Như Quỳnh ")</f>
        <v xml:space="preserve">Ninh Thị Như Quỳnh </v>
      </c>
      <c r="J10400" s="2" t="str">
        <f ca="1">IFERROR(__xludf.DUMMYFUNCTION("""COMPUTED_VALUE"""),"0383725060")</f>
        <v>0383725060</v>
      </c>
      <c r="K10400" s="2" t="str">
        <f ca="1">IFERROR(__xludf.DUMMYFUNCTION("""COMPUTED_VALUE"""),"106643846317")</f>
        <v>106643846317</v>
      </c>
    </row>
    <row r="10401" spans="1:11" ht="12.45">
      <c r="A10401" s="2" t="str">
        <f ca="1">IFERROR(__xludf.DUMMYFUNCTION("""COMPUTED_VALUE"""),"106643846750")</f>
        <v>106643846750</v>
      </c>
      <c r="C10401" s="2" t="str">
        <v>0</v>
      </c>
      <c r="F10401" s="2" t="str">
        <v>0</v>
      </c>
      <c r="I10401" s="3" t="str">
        <f ca="1">IFERROR(__xludf.DUMMYFUNCTION("""COMPUTED_VALUE"""),"Vũ Như Ngọc")</f>
        <v>Vũ Như Ngọc</v>
      </c>
      <c r="J10401" s="2" t="str">
        <f ca="1">IFERROR(__xludf.DUMMYFUNCTION("""COMPUTED_VALUE"""),"0337387551")</f>
        <v>0337387551</v>
      </c>
      <c r="K10401" s="2" t="str">
        <f ca="1">IFERROR(__xludf.DUMMYFUNCTION("""COMPUTED_VALUE"""),"106643846750")</f>
        <v>106643846750</v>
      </c>
    </row>
    <row r="10402" spans="1:11" ht="12.45">
      <c r="A10402" s="2" t="str">
        <f ca="1">IFERROR(__xludf.DUMMYFUNCTION("""COMPUTED_VALUE"""),"106643846891")</f>
        <v>106643846891</v>
      </c>
      <c r="C10402" s="2" t="str">
        <v>0</v>
      </c>
      <c r="F10402" s="2" t="str">
        <v>0</v>
      </c>
      <c r="I10402" s="3" t="str">
        <f ca="1">IFERROR(__xludf.DUMMYFUNCTION("""COMPUTED_VALUE"""),"Trần Thị Yến Vy")</f>
        <v>Trần Thị Yến Vy</v>
      </c>
      <c r="J10402" s="2" t="str">
        <f ca="1">IFERROR(__xludf.DUMMYFUNCTION("""COMPUTED_VALUE"""),"0345788323")</f>
        <v>0345788323</v>
      </c>
      <c r="K10402" s="2" t="str">
        <f ca="1">IFERROR(__xludf.DUMMYFUNCTION("""COMPUTED_VALUE"""),"106643846891")</f>
        <v>106643846891</v>
      </c>
    </row>
    <row r="10403" spans="1:11" ht="12.45">
      <c r="A10403" s="2" t="str">
        <f ca="1">IFERROR(__xludf.DUMMYFUNCTION("""COMPUTED_VALUE"""),"106643847069")</f>
        <v>106643847069</v>
      </c>
      <c r="C10403" s="2" t="str">
        <v>0</v>
      </c>
      <c r="F10403" s="2" t="str">
        <v>0</v>
      </c>
      <c r="I10403" s="3" t="str">
        <f ca="1">IFERROR(__xludf.DUMMYFUNCTION("""COMPUTED_VALUE"""),"Nguyễn Phương Thuỳ ")</f>
        <v xml:space="preserve">Nguyễn Phương Thuỳ </v>
      </c>
      <c r="J10403" s="2" t="str">
        <f ca="1">IFERROR(__xludf.DUMMYFUNCTION("""COMPUTED_VALUE"""),"0859661768")</f>
        <v>0859661768</v>
      </c>
      <c r="K10403" s="2" t="str">
        <f ca="1">IFERROR(__xludf.DUMMYFUNCTION("""COMPUTED_VALUE"""),"106643847069")</f>
        <v>106643847069</v>
      </c>
    </row>
    <row r="10404" spans="1:11" ht="12.45">
      <c r="A10404" s="2" t="str">
        <f ca="1">IFERROR(__xludf.DUMMYFUNCTION("""COMPUTED_VALUE"""),"106643847152")</f>
        <v>106643847152</v>
      </c>
      <c r="C10404" s="2" t="str">
        <v>0</v>
      </c>
      <c r="F10404" s="2" t="str">
        <v>0</v>
      </c>
      <c r="I10404" s="3" t="str">
        <f ca="1">IFERROR(__xludf.DUMMYFUNCTION("""COMPUTED_VALUE"""),"Bùi Đào Phương Thảo")</f>
        <v>Bùi Đào Phương Thảo</v>
      </c>
      <c r="J10404" s="2" t="str">
        <f ca="1">IFERROR(__xludf.DUMMYFUNCTION("""COMPUTED_VALUE"""),"0385198403")</f>
        <v>0385198403</v>
      </c>
      <c r="K10404" s="2" t="str">
        <f ca="1">IFERROR(__xludf.DUMMYFUNCTION("""COMPUTED_VALUE"""),"106643847152")</f>
        <v>106643847152</v>
      </c>
    </row>
    <row r="10405" spans="1:11" ht="12.45">
      <c r="A10405" s="2" t="str">
        <f ca="1">IFERROR(__xludf.DUMMYFUNCTION("""COMPUTED_VALUE"""),"106643847249")</f>
        <v>106643847249</v>
      </c>
      <c r="C10405" s="2" t="str">
        <v>0</v>
      </c>
      <c r="F10405" s="2" t="str">
        <v>0</v>
      </c>
      <c r="I10405" s="2" t="str">
        <f ca="1">IFERROR(__xludf.DUMMYFUNCTION("""COMPUTED_VALUE"""),"Huỳnh Thị Quỳnh Như ")</f>
        <v xml:space="preserve">Huỳnh Thị Quỳnh Như </v>
      </c>
      <c r="J10405" s="3" t="str">
        <f ca="1">IFERROR(__xludf.DUMMYFUNCTION("""COMPUTED_VALUE"""),"0355484129")</f>
        <v>0355484129</v>
      </c>
      <c r="K10405" s="2" t="str">
        <f ca="1">IFERROR(__xludf.DUMMYFUNCTION("""COMPUTED_VALUE"""),"106643847249")</f>
        <v>106643847249</v>
      </c>
    </row>
    <row r="10406" spans="1:11" ht="12.45">
      <c r="A10406" s="2" t="str">
        <f ca="1">IFERROR(__xludf.DUMMYFUNCTION("""COMPUTED_VALUE"""),"106643847314")</f>
        <v>106643847314</v>
      </c>
      <c r="C10406" s="2" t="str">
        <v>0</v>
      </c>
      <c r="F10406" s="2" t="str">
        <v>0</v>
      </c>
      <c r="I10406" s="3" t="str">
        <f ca="1">IFERROR(__xludf.DUMMYFUNCTION("""COMPUTED_VALUE"""),"Phùng Đức Mạnh")</f>
        <v>Phùng Đức Mạnh</v>
      </c>
      <c r="J10406" s="2" t="str">
        <f ca="1">IFERROR(__xludf.DUMMYFUNCTION("""COMPUTED_VALUE"""),"0934302529")</f>
        <v>0934302529</v>
      </c>
      <c r="K10406" s="2" t="str">
        <f ca="1">IFERROR(__xludf.DUMMYFUNCTION("""COMPUTED_VALUE"""),"106643847314")</f>
        <v>106643847314</v>
      </c>
    </row>
    <row r="10407" spans="1:11" ht="12.45">
      <c r="A10407" s="2" t="str">
        <f ca="1">IFERROR(__xludf.DUMMYFUNCTION("""COMPUTED_VALUE"""),"106643847415")</f>
        <v>106643847415</v>
      </c>
      <c r="C10407" s="2" t="str">
        <v>0</v>
      </c>
      <c r="F10407" s="2" t="str">
        <v>0</v>
      </c>
      <c r="I10407" s="3" t="str">
        <f ca="1">IFERROR(__xludf.DUMMYFUNCTION("""COMPUTED_VALUE"""),"Trần Lê Phương Ny")</f>
        <v>Trần Lê Phương Ny</v>
      </c>
      <c r="J10407" s="2" t="str">
        <f ca="1">IFERROR(__xludf.DUMMYFUNCTION("""COMPUTED_VALUE"""),"0796712124")</f>
        <v>0796712124</v>
      </c>
      <c r="K10407" s="2" t="str">
        <f ca="1">IFERROR(__xludf.DUMMYFUNCTION("""COMPUTED_VALUE"""),"106643847415")</f>
        <v>106643847415</v>
      </c>
    </row>
    <row r="10408" spans="1:11" ht="12.45">
      <c r="A10408" s="2" t="str">
        <f ca="1">IFERROR(__xludf.DUMMYFUNCTION("""COMPUTED_VALUE"""),"106643847666")</f>
        <v>106643847666</v>
      </c>
      <c r="C10408" s="2" t="str">
        <v>0</v>
      </c>
      <c r="F10408" s="2" t="str">
        <v>0</v>
      </c>
      <c r="I10408" s="3" t="str">
        <f ca="1">IFERROR(__xludf.DUMMYFUNCTION("""COMPUTED_VALUE"""),"Hienee")</f>
        <v>Hienee</v>
      </c>
      <c r="J10408" s="2" t="str">
        <f ca="1">IFERROR(__xludf.DUMMYFUNCTION("""COMPUTED_VALUE"""),"0828196460")</f>
        <v>0828196460</v>
      </c>
      <c r="K10408" s="2" t="str">
        <f ca="1">IFERROR(__xludf.DUMMYFUNCTION("""COMPUTED_VALUE"""),"106643847666")</f>
        <v>106643847666</v>
      </c>
    </row>
    <row r="10409" spans="1:11" ht="12.45">
      <c r="A10409" s="2" t="str">
        <f ca="1">IFERROR(__xludf.DUMMYFUNCTION("""COMPUTED_VALUE"""),"106855610088")</f>
        <v>106855610088</v>
      </c>
      <c r="C10409" s="2" t="str">
        <v>0</v>
      </c>
      <c r="F10409" s="2" t="str">
        <v>0</v>
      </c>
      <c r="I10409" s="3" t="str">
        <f ca="1">IFERROR(__xludf.DUMMYFUNCTION("""COMPUTED_VALUE"""),"Phạm Hoài Phương ")</f>
        <v xml:space="preserve">Phạm Hoài Phương </v>
      </c>
      <c r="J10409" s="2" t="str">
        <f ca="1">IFERROR(__xludf.DUMMYFUNCTION("""COMPUTED_VALUE"""),"0367928018")</f>
        <v>0367928018</v>
      </c>
      <c r="K10409" s="2" t="str">
        <f ca="1">IFERROR(__xludf.DUMMYFUNCTION("""COMPUTED_VALUE"""),"106855610088")</f>
        <v>106855610088</v>
      </c>
    </row>
    <row r="10410" spans="1:11" ht="12.45">
      <c r="A10410" s="2"/>
      <c r="C10410" s="2" t="str">
        <v>0</v>
      </c>
      <c r="F10410" s="2" t="str">
        <v>0</v>
      </c>
      <c r="I10410" s="3" t="str">
        <f ca="1">IFERROR(__xludf.DUMMYFUNCTION("""COMPUTED_VALUE"""),"Nguyễn Khánh Huyền")</f>
        <v>Nguyễn Khánh Huyền</v>
      </c>
      <c r="J10410" s="2" t="str">
        <f ca="1">IFERROR(__xludf.DUMMYFUNCTION("""COMPUTED_VALUE"""),"0326128285")</f>
        <v>0326128285</v>
      </c>
      <c r="K10410" s="2"/>
    </row>
    <row r="10411" spans="1:11" ht="12.45">
      <c r="A10411" s="2" t="str">
        <f ca="1">IFERROR(__xludf.DUMMYFUNCTION("""COMPUTED_VALUE"""),"106643847785")</f>
        <v>106643847785</v>
      </c>
      <c r="C10411" s="2" t="str">
        <v>0</v>
      </c>
      <c r="F10411" s="2" t="str">
        <v>0</v>
      </c>
      <c r="I10411" s="3" t="str">
        <f ca="1">IFERROR(__xludf.DUMMYFUNCTION("""COMPUTED_VALUE"""),"Nguyễn Ngọc Bảo Châu")</f>
        <v>Nguyễn Ngọc Bảo Châu</v>
      </c>
      <c r="J10411" s="2" t="str">
        <f ca="1">IFERROR(__xludf.DUMMYFUNCTION("""COMPUTED_VALUE"""),"0355521236")</f>
        <v>0355521236</v>
      </c>
      <c r="K10411" s="2" t="str">
        <f ca="1">IFERROR(__xludf.DUMMYFUNCTION("""COMPUTED_VALUE"""),"106643847785")</f>
        <v>106643847785</v>
      </c>
    </row>
    <row r="10412" spans="1:11" ht="12.45">
      <c r="A10412" s="2" t="str">
        <f ca="1">IFERROR(__xludf.DUMMYFUNCTION("""COMPUTED_VALUE"""),"106643847975")</f>
        <v>106643847975</v>
      </c>
      <c r="C10412" s="2" t="str">
        <v>0</v>
      </c>
      <c r="F10412" s="2" t="str">
        <v>0</v>
      </c>
      <c r="I10412" s="3" t="str">
        <f ca="1">IFERROR(__xludf.DUMMYFUNCTION("""COMPUTED_VALUE"""),"Đào Thanh Thuý")</f>
        <v>Đào Thanh Thuý</v>
      </c>
      <c r="J10412" s="2" t="str">
        <f ca="1">IFERROR(__xludf.DUMMYFUNCTION("""COMPUTED_VALUE"""),"0869776285")</f>
        <v>0869776285</v>
      </c>
      <c r="K10412" s="2" t="str">
        <f ca="1">IFERROR(__xludf.DUMMYFUNCTION("""COMPUTED_VALUE"""),"106643847975")</f>
        <v>106643847975</v>
      </c>
    </row>
    <row r="10413" spans="1:11" ht="12.45">
      <c r="A10413" s="2" t="str">
        <f ca="1">IFERROR(__xludf.DUMMYFUNCTION("""COMPUTED_VALUE"""),"106643848016")</f>
        <v>106643848016</v>
      </c>
      <c r="C10413" s="2" t="str">
        <v>0</v>
      </c>
      <c r="F10413" s="2" t="str">
        <v>0</v>
      </c>
      <c r="I10413" s="3" t="str">
        <f ca="1">IFERROR(__xludf.DUMMYFUNCTION("""COMPUTED_VALUE"""),"Thanh Hảo")</f>
        <v>Thanh Hảo</v>
      </c>
      <c r="J10413" s="2" t="str">
        <f ca="1">IFERROR(__xludf.DUMMYFUNCTION("""COMPUTED_VALUE"""),"0356453564")</f>
        <v>0356453564</v>
      </c>
      <c r="K10413" s="2" t="str">
        <f ca="1">IFERROR(__xludf.DUMMYFUNCTION("""COMPUTED_VALUE"""),"106643848016")</f>
        <v>106643848016</v>
      </c>
    </row>
    <row r="10414" spans="1:11" ht="12.45">
      <c r="A10414" s="2" t="str">
        <f ca="1">IFERROR(__xludf.DUMMYFUNCTION("""COMPUTED_VALUE"""),"106643848290")</f>
        <v>106643848290</v>
      </c>
      <c r="C10414" s="2" t="str">
        <v>0</v>
      </c>
      <c r="F10414" s="2" t="str">
        <v>0</v>
      </c>
      <c r="I10414" s="3" t="str">
        <f ca="1">IFERROR(__xludf.DUMMYFUNCTION("""COMPUTED_VALUE"""),"Phạm Lại Thương Hoài")</f>
        <v>Phạm Lại Thương Hoài</v>
      </c>
      <c r="J10414" s="2" t="str">
        <f ca="1">IFERROR(__xludf.DUMMYFUNCTION("""COMPUTED_VALUE"""),"0847313895")</f>
        <v>0847313895</v>
      </c>
      <c r="K10414" s="2" t="str">
        <f ca="1">IFERROR(__xludf.DUMMYFUNCTION("""COMPUTED_VALUE"""),"106643848290")</f>
        <v>106643848290</v>
      </c>
    </row>
    <row r="10415" spans="1:11" ht="12.45">
      <c r="A10415" s="2"/>
      <c r="C10415" s="2" t="str">
        <v>0</v>
      </c>
      <c r="F10415" s="2" t="str">
        <v>0</v>
      </c>
      <c r="I10415" s="3" t="str">
        <f ca="1">IFERROR(__xludf.DUMMYFUNCTION("""COMPUTED_VALUE"""),"Mai Nhật Linh ")</f>
        <v xml:space="preserve">Mai Nhật Linh </v>
      </c>
      <c r="J10415" s="2" t="str">
        <f ca="1">IFERROR(__xludf.DUMMYFUNCTION("""COMPUTED_VALUE"""),"0344734120")</f>
        <v>0344734120</v>
      </c>
      <c r="K10415" s="2"/>
    </row>
    <row r="10416" spans="1:11" ht="12.45">
      <c r="A10416" s="2" t="str">
        <f ca="1">IFERROR(__xludf.DUMMYFUNCTION("""COMPUTED_VALUE"""),"106643848380")</f>
        <v>106643848380</v>
      </c>
      <c r="C10416" s="2" t="str">
        <v>0</v>
      </c>
      <c r="F10416" s="2" t="str">
        <v>0</v>
      </c>
      <c r="I10416" s="3" t="str">
        <f ca="1">IFERROR(__xludf.DUMMYFUNCTION("""COMPUTED_VALUE"""),"Võ Thị Kiều Vy")</f>
        <v>Võ Thị Kiều Vy</v>
      </c>
      <c r="J10416" s="2" t="str">
        <f ca="1">IFERROR(__xludf.DUMMYFUNCTION("""COMPUTED_VALUE"""),"0366111353")</f>
        <v>0366111353</v>
      </c>
      <c r="K10416" s="2" t="str">
        <f ca="1">IFERROR(__xludf.DUMMYFUNCTION("""COMPUTED_VALUE"""),"106643848380")</f>
        <v>106643848380</v>
      </c>
    </row>
    <row r="10417" spans="1:11" ht="12.45">
      <c r="A10417" s="2" t="str">
        <f ca="1">IFERROR(__xludf.DUMMYFUNCTION("""COMPUTED_VALUE"""),"106643848555")</f>
        <v>106643848555</v>
      </c>
      <c r="C10417" s="2" t="str">
        <v>0</v>
      </c>
      <c r="F10417" s="2" t="str">
        <v>0</v>
      </c>
      <c r="I10417" s="3" t="str">
        <f ca="1">IFERROR(__xludf.DUMMYFUNCTION("""COMPUTED_VALUE"""),"Mai Thanh Giang ")</f>
        <v xml:space="preserve">Mai Thanh Giang </v>
      </c>
      <c r="J10417" s="2" t="str">
        <f ca="1">IFERROR(__xludf.DUMMYFUNCTION("""COMPUTED_VALUE"""),"0767457861")</f>
        <v>0767457861</v>
      </c>
      <c r="K10417" s="2" t="str">
        <f ca="1">IFERROR(__xludf.DUMMYFUNCTION("""COMPUTED_VALUE"""),"106643848555")</f>
        <v>106643848555</v>
      </c>
    </row>
    <row r="10418" spans="1:11" ht="12.45">
      <c r="A10418" s="2" t="str">
        <f ca="1">IFERROR(__xludf.DUMMYFUNCTION("""COMPUTED_VALUE"""),"106643848684")</f>
        <v>106643848684</v>
      </c>
      <c r="C10418" s="2" t="str">
        <v>0</v>
      </c>
      <c r="F10418" s="2" t="str">
        <v>0</v>
      </c>
      <c r="I10418" s="3" t="str">
        <f ca="1">IFERROR(__xludf.DUMMYFUNCTION("""COMPUTED_VALUE"""),"Nguyễn Thị Thu Phương")</f>
        <v>Nguyễn Thị Thu Phương</v>
      </c>
      <c r="J10418" s="2" t="str">
        <f ca="1">IFERROR(__xludf.DUMMYFUNCTION("""COMPUTED_VALUE"""),"0915119486")</f>
        <v>0915119486</v>
      </c>
      <c r="K10418" s="2" t="str">
        <f ca="1">IFERROR(__xludf.DUMMYFUNCTION("""COMPUTED_VALUE"""),"106643848684")</f>
        <v>106643848684</v>
      </c>
    </row>
    <row r="10419" spans="1:11" ht="12.45">
      <c r="A10419" s="2" t="str">
        <f ca="1">IFERROR(__xludf.DUMMYFUNCTION("""COMPUTED_VALUE"""),"106643848857")</f>
        <v>106643848857</v>
      </c>
      <c r="C10419" s="2" t="str">
        <v>0</v>
      </c>
      <c r="F10419" s="2" t="str">
        <v>0</v>
      </c>
      <c r="I10419" s="3" t="str">
        <f ca="1">IFERROR(__xludf.DUMMYFUNCTION("""COMPUTED_VALUE"""),"Cao Thị Ngọc Ánh")</f>
        <v>Cao Thị Ngọc Ánh</v>
      </c>
      <c r="J10419" s="2" t="str">
        <f ca="1">IFERROR(__xludf.DUMMYFUNCTION("""COMPUTED_VALUE"""),"0382532107")</f>
        <v>0382532107</v>
      </c>
      <c r="K10419" s="2" t="str">
        <f ca="1">IFERROR(__xludf.DUMMYFUNCTION("""COMPUTED_VALUE"""),"106643848857")</f>
        <v>106643848857</v>
      </c>
    </row>
    <row r="10420" spans="1:11" ht="12.45">
      <c r="A10420" s="2" t="str">
        <f ca="1">IFERROR(__xludf.DUMMYFUNCTION("""COMPUTED_VALUE"""),"106643848979")</f>
        <v>106643848979</v>
      </c>
      <c r="C10420" s="2" t="str">
        <v>0</v>
      </c>
      <c r="F10420" s="2" t="str">
        <v>0</v>
      </c>
      <c r="I10420" s="3" t="str">
        <f ca="1">IFERROR(__xludf.DUMMYFUNCTION("""COMPUTED_VALUE"""),"Nguyễn Minh Ánh")</f>
        <v>Nguyễn Minh Ánh</v>
      </c>
      <c r="J10420" s="2" t="str">
        <f ca="1">IFERROR(__xludf.DUMMYFUNCTION("""COMPUTED_VALUE"""),"0902215973")</f>
        <v>0902215973</v>
      </c>
      <c r="K10420" s="2" t="str">
        <f ca="1">IFERROR(__xludf.DUMMYFUNCTION("""COMPUTED_VALUE"""),"106643848979")</f>
        <v>106643848979</v>
      </c>
    </row>
    <row r="10421" spans="1:11" ht="12.45">
      <c r="A10421" s="2" t="str">
        <f ca="1">IFERROR(__xludf.DUMMYFUNCTION("""COMPUTED_VALUE"""),"106643849159")</f>
        <v>106643849159</v>
      </c>
      <c r="C10421" s="2" t="str">
        <v>0</v>
      </c>
      <c r="F10421" s="2" t="str">
        <v>0</v>
      </c>
      <c r="I10421" s="3" t="str">
        <f ca="1">IFERROR(__xludf.DUMMYFUNCTION("""COMPUTED_VALUE"""),"Nguyễn Trần Bình Nguyên ")</f>
        <v xml:space="preserve">Nguyễn Trần Bình Nguyên </v>
      </c>
      <c r="J10421" s="2" t="str">
        <f ca="1">IFERROR(__xludf.DUMMYFUNCTION("""COMPUTED_VALUE"""),"0368356129")</f>
        <v>0368356129</v>
      </c>
      <c r="K10421" s="2" t="str">
        <f ca="1">IFERROR(__xludf.DUMMYFUNCTION("""COMPUTED_VALUE"""),"106643849159")</f>
        <v>106643849159</v>
      </c>
    </row>
    <row r="10422" spans="1:11" ht="12.45">
      <c r="A10422" s="2"/>
      <c r="C10422" s="2" t="str">
        <v>0</v>
      </c>
      <c r="F10422" s="2" t="str">
        <v>0</v>
      </c>
      <c r="I10422" s="3" t="str">
        <f ca="1">IFERROR(__xludf.DUMMYFUNCTION("""COMPUTED_VALUE"""),"Bùi Quỳnh")</f>
        <v>Bùi Quỳnh</v>
      </c>
      <c r="J10422" s="2" t="str">
        <f ca="1">IFERROR(__xludf.DUMMYFUNCTION("""COMPUTED_VALUE"""),"0333053117")</f>
        <v>0333053117</v>
      </c>
      <c r="K10422" s="2"/>
    </row>
    <row r="10423" spans="1:11" ht="12.45">
      <c r="A10423" s="2" t="str">
        <f ca="1">IFERROR(__xludf.DUMMYFUNCTION("""COMPUTED_VALUE"""),"106643849593")</f>
        <v>106643849593</v>
      </c>
      <c r="C10423" s="2" t="str">
        <v>0</v>
      </c>
      <c r="F10423" s="2" t="str">
        <v>0</v>
      </c>
      <c r="I10423" s="3" t="str">
        <f ca="1">IFERROR(__xludf.DUMMYFUNCTION("""COMPUTED_VALUE"""),"LÒ MINH ĐỨC ")</f>
        <v xml:space="preserve">LÒ MINH ĐỨC </v>
      </c>
      <c r="J10423" s="2" t="str">
        <f ca="1">IFERROR(__xludf.DUMMYFUNCTION("""COMPUTED_VALUE"""),"0335065219")</f>
        <v>0335065219</v>
      </c>
      <c r="K10423" s="2" t="str">
        <f ca="1">IFERROR(__xludf.DUMMYFUNCTION("""COMPUTED_VALUE"""),"106643849593")</f>
        <v>106643849593</v>
      </c>
    </row>
    <row r="10424" spans="1:11" ht="12.45">
      <c r="A10424" s="2" t="str">
        <f ca="1">IFERROR(__xludf.DUMMYFUNCTION("""COMPUTED_VALUE"""),"106643849676")</f>
        <v>106643849676</v>
      </c>
      <c r="C10424" s="2" t="str">
        <v>0</v>
      </c>
      <c r="F10424" s="2" t="str">
        <v>0</v>
      </c>
      <c r="I10424" s="3" t="str">
        <f ca="1">IFERROR(__xludf.DUMMYFUNCTION("""COMPUTED_VALUE"""),"Nguyễn Quỳnh Anh")</f>
        <v>Nguyễn Quỳnh Anh</v>
      </c>
      <c r="J10424" s="2" t="str">
        <f ca="1">IFERROR(__xludf.DUMMYFUNCTION("""COMPUTED_VALUE"""),"0973919375")</f>
        <v>0973919375</v>
      </c>
      <c r="K10424" s="2" t="str">
        <f ca="1">IFERROR(__xludf.DUMMYFUNCTION("""COMPUTED_VALUE"""),"106643849676")</f>
        <v>106643849676</v>
      </c>
    </row>
    <row r="10425" spans="1:11" ht="12.45">
      <c r="A10425" s="2" t="str">
        <f ca="1">IFERROR(__xludf.DUMMYFUNCTION("""COMPUTED_VALUE"""),"106643850058")</f>
        <v>106643850058</v>
      </c>
      <c r="C10425" s="2" t="str">
        <v>0</v>
      </c>
      <c r="F10425" s="2" t="str">
        <v>0</v>
      </c>
      <c r="I10425" s="3" t="str">
        <f ca="1">IFERROR(__xludf.DUMMYFUNCTION("""COMPUTED_VALUE"""),"Võ Lệ Trúc Quyên")</f>
        <v>Võ Lệ Trúc Quyên</v>
      </c>
      <c r="J10425" s="2" t="str">
        <f ca="1">IFERROR(__xludf.DUMMYFUNCTION("""COMPUTED_VALUE"""),"0796760447")</f>
        <v>0796760447</v>
      </c>
      <c r="K10425" s="2" t="str">
        <f ca="1">IFERROR(__xludf.DUMMYFUNCTION("""COMPUTED_VALUE"""),"106643850058")</f>
        <v>106643850058</v>
      </c>
    </row>
    <row r="10426" spans="1:11" ht="12.45">
      <c r="A10426" s="2" t="str">
        <f ca="1">IFERROR(__xludf.DUMMYFUNCTION("""COMPUTED_VALUE"""),"106643849279")</f>
        <v>106643849279</v>
      </c>
      <c r="C10426" s="2" t="str">
        <v>0</v>
      </c>
      <c r="F10426" s="2" t="str">
        <v>0</v>
      </c>
      <c r="I10426" s="3" t="str">
        <f ca="1">IFERROR(__xludf.DUMMYFUNCTION("""COMPUTED_VALUE"""),"Lê Hồng Ánh ")</f>
        <v xml:space="preserve">Lê Hồng Ánh </v>
      </c>
      <c r="J10426" s="2" t="str">
        <f ca="1">IFERROR(__xludf.DUMMYFUNCTION("""COMPUTED_VALUE"""),"0345910534")</f>
        <v>0345910534</v>
      </c>
      <c r="K10426" s="2" t="str">
        <f ca="1">IFERROR(__xludf.DUMMYFUNCTION("""COMPUTED_VALUE"""),"106643849279")</f>
        <v>106643849279</v>
      </c>
    </row>
    <row r="10427" spans="1:11" ht="12.45">
      <c r="A10427" s="2" t="str">
        <f ca="1">IFERROR(__xludf.DUMMYFUNCTION("""COMPUTED_VALUE"""),"106855610296")</f>
        <v>106855610296</v>
      </c>
      <c r="C10427" s="2" t="str">
        <v>0</v>
      </c>
      <c r="F10427" s="2" t="str">
        <v>0</v>
      </c>
      <c r="I10427" s="3" t="str">
        <f ca="1">IFERROR(__xludf.DUMMYFUNCTION("""COMPUTED_VALUE"""),"nguyễn hương ly")</f>
        <v>nguyễn hương ly</v>
      </c>
      <c r="J10427" s="2" t="str">
        <f ca="1">IFERROR(__xludf.DUMMYFUNCTION("""COMPUTED_VALUE"""),"0981120600")</f>
        <v>0981120600</v>
      </c>
      <c r="K10427" s="2" t="str">
        <f ca="1">IFERROR(__xludf.DUMMYFUNCTION("""COMPUTED_VALUE"""),"106855610296")</f>
        <v>106855610296</v>
      </c>
    </row>
    <row r="10428" spans="1:11" ht="12.45">
      <c r="A10428" s="2"/>
      <c r="C10428" s="2" t="str">
        <v>0</v>
      </c>
      <c r="F10428" s="2" t="str">
        <v>0</v>
      </c>
      <c r="I10428" s="3" t="str">
        <f ca="1">IFERROR(__xludf.DUMMYFUNCTION("""COMPUTED_VALUE"""),"Nguyễn Ngân")</f>
        <v>Nguyễn Ngân</v>
      </c>
      <c r="J10428" s="2" t="str">
        <f ca="1">IFERROR(__xludf.DUMMYFUNCTION("""COMPUTED_VALUE"""),"0356517922")</f>
        <v>0356517922</v>
      </c>
      <c r="K10428" s="2"/>
    </row>
    <row r="10429" spans="1:11" ht="12.45">
      <c r="A10429" s="2" t="str">
        <f ca="1">IFERROR(__xludf.DUMMYFUNCTION("""COMPUTED_VALUE"""),"106855610311")</f>
        <v>106855610311</v>
      </c>
      <c r="C10429" s="2" t="str">
        <v>0</v>
      </c>
      <c r="F10429" s="2" t="str">
        <v>0</v>
      </c>
      <c r="I10429" s="3" t="str">
        <f ca="1">IFERROR(__xludf.DUMMYFUNCTION("""COMPUTED_VALUE"""),"Nguyễn Chí Hào ")</f>
        <v xml:space="preserve">Nguyễn Chí Hào </v>
      </c>
      <c r="J10429" s="2" t="str">
        <f ca="1">IFERROR(__xludf.DUMMYFUNCTION("""COMPUTED_VALUE"""),"0876601909")</f>
        <v>0876601909</v>
      </c>
      <c r="K10429" s="2" t="str">
        <f ca="1">IFERROR(__xludf.DUMMYFUNCTION("""COMPUTED_VALUE"""),"106855610311")</f>
        <v>106855610311</v>
      </c>
    </row>
    <row r="10430" spans="1:11" ht="12.45">
      <c r="A10430" s="2" t="str">
        <f ca="1">IFERROR(__xludf.DUMMYFUNCTION("""COMPUTED_VALUE"""),"106855610543")</f>
        <v>106855610543</v>
      </c>
      <c r="C10430" s="2" t="str">
        <v>0</v>
      </c>
      <c r="F10430" s="2" t="str">
        <v>0</v>
      </c>
      <c r="I10430" s="3" t="str">
        <f ca="1">IFERROR(__xludf.DUMMYFUNCTION("""COMPUTED_VALUE"""),"Vương Thị Kim Yến")</f>
        <v>Vương Thị Kim Yến</v>
      </c>
      <c r="J10430" s="2" t="str">
        <f ca="1">IFERROR(__xludf.DUMMYFUNCTION("""COMPUTED_VALUE"""),"0988908639")</f>
        <v>0988908639</v>
      </c>
      <c r="K10430" s="2" t="str">
        <f ca="1">IFERROR(__xludf.DUMMYFUNCTION("""COMPUTED_VALUE"""),"106855610543")</f>
        <v>106855610543</v>
      </c>
    </row>
    <row r="10431" spans="1:11" ht="12.45">
      <c r="A10431" s="2"/>
      <c r="C10431" s="2" t="str">
        <v>0</v>
      </c>
      <c r="F10431" s="2" t="str">
        <v>0</v>
      </c>
      <c r="I10431" s="3" t="str">
        <f ca="1">IFERROR(__xludf.DUMMYFUNCTION("""COMPUTED_VALUE"""),"Phan Thanh Thảo")</f>
        <v>Phan Thanh Thảo</v>
      </c>
      <c r="J10431" s="2" t="str">
        <f ca="1">IFERROR(__xludf.DUMMYFUNCTION("""COMPUTED_VALUE"""),"0823281686")</f>
        <v>0823281686</v>
      </c>
      <c r="K10431" s="2"/>
    </row>
    <row r="10432" spans="1:11" ht="12.45">
      <c r="A10432" s="2" t="str">
        <f ca="1">IFERROR(__xludf.DUMMYFUNCTION("""COMPUTED_VALUE"""),"106855610624")</f>
        <v>106855610624</v>
      </c>
      <c r="C10432" s="2" t="str">
        <v>0</v>
      </c>
      <c r="F10432" s="2" t="str">
        <v>0</v>
      </c>
      <c r="I10432" s="3" t="str">
        <f ca="1">IFERROR(__xludf.DUMMYFUNCTION("""COMPUTED_VALUE"""),"Phùng Mai Giang")</f>
        <v>Phùng Mai Giang</v>
      </c>
      <c r="J10432" s="2" t="str">
        <f ca="1">IFERROR(__xludf.DUMMYFUNCTION("""COMPUTED_VALUE"""),"0976421507")</f>
        <v>0976421507</v>
      </c>
      <c r="K10432" s="2" t="str">
        <f ca="1">IFERROR(__xludf.DUMMYFUNCTION("""COMPUTED_VALUE"""),"106855610624")</f>
        <v>106855610624</v>
      </c>
    </row>
    <row r="10433" spans="1:11" ht="12.45">
      <c r="A10433" s="2" t="str">
        <f ca="1">IFERROR(__xludf.DUMMYFUNCTION("""COMPUTED_VALUE"""),"106855610723")</f>
        <v>106855610723</v>
      </c>
      <c r="C10433" s="2" t="str">
        <v>0</v>
      </c>
      <c r="F10433" s="2" t="str">
        <v>0</v>
      </c>
      <c r="I10433" s="3" t="str">
        <f ca="1">IFERROR(__xludf.DUMMYFUNCTION("""COMPUTED_VALUE"""),"Nguyễn Thị Hương Giang")</f>
        <v>Nguyễn Thị Hương Giang</v>
      </c>
      <c r="J10433" s="2" t="str">
        <f ca="1">IFERROR(__xludf.DUMMYFUNCTION("""COMPUTED_VALUE"""),"0865626191")</f>
        <v>0865626191</v>
      </c>
      <c r="K10433" s="2" t="str">
        <f ca="1">IFERROR(__xludf.DUMMYFUNCTION("""COMPUTED_VALUE"""),"106855610723")</f>
        <v>106855610723</v>
      </c>
    </row>
    <row r="10434" spans="1:11" ht="12.45">
      <c r="A10434" s="2" t="str">
        <f ca="1">IFERROR(__xludf.DUMMYFUNCTION("""COMPUTED_VALUE"""),"106855610852")</f>
        <v>106855610852</v>
      </c>
      <c r="C10434" s="2" t="str">
        <v>0</v>
      </c>
      <c r="F10434" s="2" t="str">
        <v>0</v>
      </c>
      <c r="I10434" s="3" t="str">
        <f ca="1">IFERROR(__xludf.DUMMYFUNCTION("""COMPUTED_VALUE"""),"Nguyễn Võ Hà An")</f>
        <v>Nguyễn Võ Hà An</v>
      </c>
      <c r="J10434" s="2" t="str">
        <f ca="1">IFERROR(__xludf.DUMMYFUNCTION("""COMPUTED_VALUE"""),"0986713865")</f>
        <v>0986713865</v>
      </c>
      <c r="K10434" s="2" t="str">
        <f ca="1">IFERROR(__xludf.DUMMYFUNCTION("""COMPUTED_VALUE"""),"106855610852")</f>
        <v>106855610852</v>
      </c>
    </row>
    <row r="10435" spans="1:11" ht="12.45">
      <c r="A10435" s="2" t="str">
        <f ca="1">IFERROR(__xludf.DUMMYFUNCTION("""COMPUTED_VALUE"""),"106855610994")</f>
        <v>106855610994</v>
      </c>
      <c r="C10435" s="2" t="str">
        <v>0</v>
      </c>
      <c r="F10435" s="2" t="str">
        <v>0</v>
      </c>
      <c r="I10435" s="3" t="str">
        <f ca="1">IFERROR(__xludf.DUMMYFUNCTION("""COMPUTED_VALUE"""),"Hoàng Thị Lành")</f>
        <v>Hoàng Thị Lành</v>
      </c>
      <c r="J10435" s="2" t="str">
        <f ca="1">IFERROR(__xludf.DUMMYFUNCTION("""COMPUTED_VALUE"""),"0961261050")</f>
        <v>0961261050</v>
      </c>
      <c r="K10435" s="2" t="str">
        <f ca="1">IFERROR(__xludf.DUMMYFUNCTION("""COMPUTED_VALUE"""),"106855610994")</f>
        <v>106855610994</v>
      </c>
    </row>
    <row r="10436" spans="1:11" ht="12.45">
      <c r="A10436" s="2" t="str">
        <f ca="1">IFERROR(__xludf.DUMMYFUNCTION("""COMPUTED_VALUE"""),"106855611024")</f>
        <v>106855611024</v>
      </c>
      <c r="C10436" s="2" t="str">
        <v>0</v>
      </c>
      <c r="F10436" s="2" t="str">
        <v>0</v>
      </c>
      <c r="I10436" s="3" t="str">
        <f ca="1">IFERROR(__xludf.DUMMYFUNCTION("""COMPUTED_VALUE"""),"Hoàng Hồng Giang ")</f>
        <v xml:space="preserve">Hoàng Hồng Giang </v>
      </c>
      <c r="J10436" s="2" t="str">
        <f ca="1">IFERROR(__xludf.DUMMYFUNCTION("""COMPUTED_VALUE"""),"0878220159")</f>
        <v>0878220159</v>
      </c>
      <c r="K10436" s="2" t="str">
        <f ca="1">IFERROR(__xludf.DUMMYFUNCTION("""COMPUTED_VALUE"""),"106855611024")</f>
        <v>106855611024</v>
      </c>
    </row>
    <row r="10437" spans="1:11" ht="12.45">
      <c r="A10437" s="2" t="str">
        <f ca="1">IFERROR(__xludf.DUMMYFUNCTION("""COMPUTED_VALUE"""),"106855611232")</f>
        <v>106855611232</v>
      </c>
      <c r="C10437" s="2" t="str">
        <v>0</v>
      </c>
      <c r="F10437" s="2" t="str">
        <v>0</v>
      </c>
      <c r="I10437" s="3" t="str">
        <f ca="1">IFERROR(__xludf.DUMMYFUNCTION("""COMPUTED_VALUE"""),"Bùi Xuân Duy")</f>
        <v>Bùi Xuân Duy</v>
      </c>
      <c r="J10437" s="2" t="str">
        <f ca="1">IFERROR(__xludf.DUMMYFUNCTION("""COMPUTED_VALUE"""),"0396640509")</f>
        <v>0396640509</v>
      </c>
      <c r="K10437" s="2" t="str">
        <f ca="1">IFERROR(__xludf.DUMMYFUNCTION("""COMPUTED_VALUE"""),"106855611232")</f>
        <v>106855611232</v>
      </c>
    </row>
    <row r="10438" spans="1:11" ht="12.45">
      <c r="A10438" s="2" t="str">
        <f ca="1">IFERROR(__xludf.DUMMYFUNCTION("""COMPUTED_VALUE"""),"106855611487")</f>
        <v>106855611487</v>
      </c>
      <c r="C10438" s="2" t="str">
        <v>0</v>
      </c>
      <c r="F10438" s="2" t="str">
        <v>0</v>
      </c>
      <c r="I10438" s="3" t="str">
        <f ca="1">IFERROR(__xludf.DUMMYFUNCTION("""COMPUTED_VALUE"""),"Đặng Ngọc Hải Yến")</f>
        <v>Đặng Ngọc Hải Yến</v>
      </c>
      <c r="J10438" s="2" t="str">
        <f ca="1">IFERROR(__xludf.DUMMYFUNCTION("""COMPUTED_VALUE"""),"0786023127")</f>
        <v>0786023127</v>
      </c>
      <c r="K10438" s="2" t="str">
        <f ca="1">IFERROR(__xludf.DUMMYFUNCTION("""COMPUTED_VALUE"""),"106855611487")</f>
        <v>106855611487</v>
      </c>
    </row>
    <row r="10439" spans="1:11" ht="12.45">
      <c r="A10439" s="2" t="str">
        <f ca="1">IFERROR(__xludf.DUMMYFUNCTION("""COMPUTED_VALUE"""),"106855611563")</f>
        <v>106855611563</v>
      </c>
      <c r="C10439" s="2" t="str">
        <v>0</v>
      </c>
      <c r="F10439" s="2" t="str">
        <v>0</v>
      </c>
      <c r="I10439" s="3" t="str">
        <f ca="1">IFERROR(__xludf.DUMMYFUNCTION("""COMPUTED_VALUE"""),"Nguyễn Quế Ngân")</f>
        <v>Nguyễn Quế Ngân</v>
      </c>
      <c r="J10439" s="2" t="str">
        <f ca="1">IFERROR(__xludf.DUMMYFUNCTION("""COMPUTED_VALUE"""),"0928303909")</f>
        <v>0928303909</v>
      </c>
      <c r="K10439" s="2" t="str">
        <f ca="1">IFERROR(__xludf.DUMMYFUNCTION("""COMPUTED_VALUE"""),"106855611563")</f>
        <v>106855611563</v>
      </c>
    </row>
    <row r="10440" spans="1:11" ht="12.45">
      <c r="A10440" s="2" t="str">
        <f ca="1">IFERROR(__xludf.DUMMYFUNCTION("""COMPUTED_VALUE"""),"106855611645")</f>
        <v>106855611645</v>
      </c>
      <c r="C10440" s="2" t="str">
        <v>0</v>
      </c>
      <c r="F10440" s="2" t="str">
        <v>0</v>
      </c>
      <c r="I10440" s="3" t="str">
        <f ca="1">IFERROR(__xludf.DUMMYFUNCTION("""COMPUTED_VALUE"""),"Phan Thị Như Quỳnh")</f>
        <v>Phan Thị Như Quỳnh</v>
      </c>
      <c r="J10440" s="2" t="str">
        <f ca="1">IFERROR(__xludf.DUMMYFUNCTION("""COMPUTED_VALUE"""),"0396891012")</f>
        <v>0396891012</v>
      </c>
      <c r="K10440" s="2" t="str">
        <f ca="1">IFERROR(__xludf.DUMMYFUNCTION("""COMPUTED_VALUE"""),"106855611645")</f>
        <v>106855611645</v>
      </c>
    </row>
    <row r="10441" spans="1:11" ht="12.45">
      <c r="A10441" s="2" t="str">
        <f ca="1">IFERROR(__xludf.DUMMYFUNCTION("""COMPUTED_VALUE"""),"106855611816")</f>
        <v>106855611816</v>
      </c>
      <c r="C10441" s="2" t="str">
        <v>0</v>
      </c>
      <c r="F10441" s="2" t="str">
        <v>0</v>
      </c>
      <c r="I10441" s="3" t="str">
        <f ca="1">IFERROR(__xludf.DUMMYFUNCTION("""COMPUTED_VALUE"""),"Nguyễn Thế Vinh")</f>
        <v>Nguyễn Thế Vinh</v>
      </c>
      <c r="J10441" s="2" t="str">
        <f ca="1">IFERROR(__xludf.DUMMYFUNCTION("""COMPUTED_VALUE"""),"0816050252")</f>
        <v>0816050252</v>
      </c>
      <c r="K10441" s="2" t="str">
        <f ca="1">IFERROR(__xludf.DUMMYFUNCTION("""COMPUTED_VALUE"""),"106855611816")</f>
        <v>106855611816</v>
      </c>
    </row>
    <row r="10442" spans="1:11" ht="12.45">
      <c r="A10442" s="2" t="str">
        <f ca="1">IFERROR(__xludf.DUMMYFUNCTION("""COMPUTED_VALUE"""),"106855612044")</f>
        <v>106855612044</v>
      </c>
      <c r="C10442" s="2" t="str">
        <v>0</v>
      </c>
      <c r="F10442" s="2" t="str">
        <v>0</v>
      </c>
      <c r="I10442" s="3" t="str">
        <f ca="1">IFERROR(__xludf.DUMMYFUNCTION("""COMPUTED_VALUE"""),"Nguyễn Thị Thanh Vy")</f>
        <v>Nguyễn Thị Thanh Vy</v>
      </c>
      <c r="J10442" s="2" t="str">
        <f ca="1">IFERROR(__xludf.DUMMYFUNCTION("""COMPUTED_VALUE"""),"0399810807")</f>
        <v>0399810807</v>
      </c>
      <c r="K10442" s="2" t="str">
        <f ca="1">IFERROR(__xludf.DUMMYFUNCTION("""COMPUTED_VALUE"""),"106855612044")</f>
        <v>106855612044</v>
      </c>
    </row>
    <row r="10443" spans="1:11" ht="12.45">
      <c r="A10443" s="2" t="str">
        <f ca="1">IFERROR(__xludf.DUMMYFUNCTION("""COMPUTED_VALUE"""),"106855612133")</f>
        <v>106855612133</v>
      </c>
      <c r="C10443" s="2" t="str">
        <v>0</v>
      </c>
      <c r="F10443" s="2" t="str">
        <v>0</v>
      </c>
      <c r="I10443" s="3" t="str">
        <f ca="1">IFERROR(__xludf.DUMMYFUNCTION("""COMPUTED_VALUE"""),"Mai Ngọc Trâm")</f>
        <v>Mai Ngọc Trâm</v>
      </c>
      <c r="J10443" s="2" t="str">
        <f ca="1">IFERROR(__xludf.DUMMYFUNCTION("""COMPUTED_VALUE"""),"0938715701")</f>
        <v>0938715701</v>
      </c>
      <c r="K10443" s="2" t="str">
        <f ca="1">IFERROR(__xludf.DUMMYFUNCTION("""COMPUTED_VALUE"""),"106855612133")</f>
        <v>106855612133</v>
      </c>
    </row>
    <row r="10444" spans="1:11" ht="12.45">
      <c r="A10444" s="2" t="str">
        <f ca="1">IFERROR(__xludf.DUMMYFUNCTION("""COMPUTED_VALUE"""),"106855612281")</f>
        <v>106855612281</v>
      </c>
      <c r="C10444" s="2" t="str">
        <v>0</v>
      </c>
      <c r="F10444" s="2" t="str">
        <v>0</v>
      </c>
      <c r="I10444" s="3" t="str">
        <f ca="1">IFERROR(__xludf.DUMMYFUNCTION("""COMPUTED_VALUE"""),"Hoàng Diệu Linh ")</f>
        <v xml:space="preserve">Hoàng Diệu Linh </v>
      </c>
      <c r="J10444" s="2" t="str">
        <f ca="1">IFERROR(__xludf.DUMMYFUNCTION("""COMPUTED_VALUE"""),"0904451293")</f>
        <v>0904451293</v>
      </c>
      <c r="K10444" s="2" t="str">
        <f ca="1">IFERROR(__xludf.DUMMYFUNCTION("""COMPUTED_VALUE"""),"106855612281")</f>
        <v>106855612281</v>
      </c>
    </row>
    <row r="10445" spans="1:11" ht="12.45">
      <c r="A10445" s="2" t="str">
        <f ca="1">IFERROR(__xludf.DUMMYFUNCTION("""COMPUTED_VALUE"""),"106855612666")</f>
        <v>106855612666</v>
      </c>
      <c r="C10445" s="2" t="str">
        <v>0</v>
      </c>
      <c r="F10445" s="2" t="str">
        <v>0</v>
      </c>
      <c r="I10445" s="3" t="str">
        <f ca="1">IFERROR(__xludf.DUMMYFUNCTION("""COMPUTED_VALUE"""),"Hà Diệp Chi")</f>
        <v>Hà Diệp Chi</v>
      </c>
      <c r="J10445" s="2" t="str">
        <f ca="1">IFERROR(__xludf.DUMMYFUNCTION("""COMPUTED_VALUE"""),"0837697089")</f>
        <v>0837697089</v>
      </c>
      <c r="K10445" s="2" t="str">
        <f ca="1">IFERROR(__xludf.DUMMYFUNCTION("""COMPUTED_VALUE"""),"106855612666")</f>
        <v>106855612666</v>
      </c>
    </row>
    <row r="10446" spans="1:11" ht="12.45">
      <c r="A10446" s="2" t="str">
        <f ca="1">IFERROR(__xludf.DUMMYFUNCTION("""COMPUTED_VALUE"""),"106855612998")</f>
        <v>106855612998</v>
      </c>
      <c r="C10446" s="2" t="str">
        <v>0</v>
      </c>
      <c r="F10446" s="2" t="str">
        <v>0</v>
      </c>
      <c r="I10446" s="3" t="str">
        <f ca="1">IFERROR(__xludf.DUMMYFUNCTION("""COMPUTED_VALUE"""),"Lê Thu Hà")</f>
        <v>Lê Thu Hà</v>
      </c>
      <c r="J10446" s="2" t="str">
        <f ca="1">IFERROR(__xludf.DUMMYFUNCTION("""COMPUTED_VALUE"""),"0339583882")</f>
        <v>0339583882</v>
      </c>
      <c r="K10446" s="2" t="str">
        <f ca="1">IFERROR(__xludf.DUMMYFUNCTION("""COMPUTED_VALUE"""),"106855612998")</f>
        <v>106855612998</v>
      </c>
    </row>
    <row r="10447" spans="1:11" ht="12.45">
      <c r="A10447" s="2" t="str">
        <f ca="1">IFERROR(__xludf.DUMMYFUNCTION("""COMPUTED_VALUE"""),"106855613139")</f>
        <v>106855613139</v>
      </c>
      <c r="C10447" s="2" t="str">
        <v>0</v>
      </c>
      <c r="F10447" s="2" t="str">
        <v>0</v>
      </c>
      <c r="I10447" s="3" t="str">
        <f ca="1">IFERROR(__xludf.DUMMYFUNCTION("""COMPUTED_VALUE"""),"Trần Như Quỳnh ")</f>
        <v xml:space="preserve">Trần Như Quỳnh </v>
      </c>
      <c r="J10447" s="2" t="str">
        <f ca="1">IFERROR(__xludf.DUMMYFUNCTION("""COMPUTED_VALUE"""),"0932501037")</f>
        <v>0932501037</v>
      </c>
      <c r="K10447" s="2" t="str">
        <f ca="1">IFERROR(__xludf.DUMMYFUNCTION("""COMPUTED_VALUE"""),"106855613139")</f>
        <v>106855613139</v>
      </c>
    </row>
    <row r="10448" spans="1:11" ht="12.45">
      <c r="A10448" s="2" t="str">
        <f ca="1">IFERROR(__xludf.DUMMYFUNCTION("""COMPUTED_VALUE"""),"106855613282")</f>
        <v>106855613282</v>
      </c>
      <c r="C10448" s="2" t="str">
        <v>0</v>
      </c>
      <c r="F10448" s="2" t="str">
        <v>0</v>
      </c>
      <c r="I10448" s="3" t="str">
        <f ca="1">IFERROR(__xludf.DUMMYFUNCTION("""COMPUTED_VALUE"""),"Nguyễn Ngọc Yến Nhi ")</f>
        <v xml:space="preserve">Nguyễn Ngọc Yến Nhi </v>
      </c>
      <c r="J10448" s="2" t="str">
        <f ca="1">IFERROR(__xludf.DUMMYFUNCTION("""COMPUTED_VALUE"""),"0899943086")</f>
        <v>0899943086</v>
      </c>
      <c r="K10448" s="2" t="str">
        <f ca="1">IFERROR(__xludf.DUMMYFUNCTION("""COMPUTED_VALUE"""),"106855613282")</f>
        <v>106855613282</v>
      </c>
    </row>
    <row r="10449" spans="1:11" ht="12.45">
      <c r="A10449" s="2" t="str">
        <f ca="1">IFERROR(__xludf.DUMMYFUNCTION("""COMPUTED_VALUE"""),"106855613426")</f>
        <v>106855613426</v>
      </c>
      <c r="C10449" s="2" t="str">
        <v>0</v>
      </c>
      <c r="F10449" s="2" t="str">
        <v>0</v>
      </c>
      <c r="I10449" s="3" t="str">
        <f ca="1">IFERROR(__xludf.DUMMYFUNCTION("""COMPUTED_VALUE"""),"Lò Quốc Hưng")</f>
        <v>Lò Quốc Hưng</v>
      </c>
      <c r="J10449" s="2" t="str">
        <f ca="1">IFERROR(__xludf.DUMMYFUNCTION("""COMPUTED_VALUE"""),"0355454142")</f>
        <v>0355454142</v>
      </c>
      <c r="K10449" s="2" t="str">
        <f ca="1">IFERROR(__xludf.DUMMYFUNCTION("""COMPUTED_VALUE"""),"106855613426")</f>
        <v>106855613426</v>
      </c>
    </row>
    <row r="10450" spans="1:11" ht="12.45">
      <c r="A10450" s="2" t="str">
        <f ca="1">IFERROR(__xludf.DUMMYFUNCTION("""COMPUTED_VALUE"""),"106855613530")</f>
        <v>106855613530</v>
      </c>
      <c r="C10450" s="2" t="str">
        <v>0</v>
      </c>
      <c r="F10450" s="2" t="str">
        <v>0</v>
      </c>
      <c r="I10450" s="3" t="str">
        <f ca="1">IFERROR(__xludf.DUMMYFUNCTION("""COMPUTED_VALUE"""),"Trần Quang Bằng ")</f>
        <v xml:space="preserve">Trần Quang Bằng </v>
      </c>
      <c r="J10450" s="2" t="str">
        <f ca="1">IFERROR(__xludf.DUMMYFUNCTION("""COMPUTED_VALUE"""),"0969958827")</f>
        <v>0969958827</v>
      </c>
      <c r="K10450" s="2" t="str">
        <f ca="1">IFERROR(__xludf.DUMMYFUNCTION("""COMPUTED_VALUE"""),"106855613530")</f>
        <v>106855613530</v>
      </c>
    </row>
    <row r="10451" spans="1:11" ht="12.45">
      <c r="A10451" s="2" t="str">
        <f ca="1">IFERROR(__xludf.DUMMYFUNCTION("""COMPUTED_VALUE"""),"106855613766")</f>
        <v>106855613766</v>
      </c>
      <c r="C10451" s="2" t="str">
        <v>0</v>
      </c>
      <c r="F10451" s="2" t="str">
        <v>0</v>
      </c>
      <c r="I10451" s="3" t="str">
        <f ca="1">IFERROR(__xludf.DUMMYFUNCTION("""COMPUTED_VALUE"""),"Nguyễn Đỗ Hoàng Anh")</f>
        <v>Nguyễn Đỗ Hoàng Anh</v>
      </c>
      <c r="J10451" s="2" t="str">
        <f ca="1">IFERROR(__xludf.DUMMYFUNCTION("""COMPUTED_VALUE"""),"0396718675")</f>
        <v>0396718675</v>
      </c>
      <c r="K10451" s="2" t="str">
        <f ca="1">IFERROR(__xludf.DUMMYFUNCTION("""COMPUTED_VALUE"""),"106855613766")</f>
        <v>106855613766</v>
      </c>
    </row>
    <row r="10452" spans="1:11" ht="12.45">
      <c r="A10452" s="2" t="str">
        <f ca="1">IFERROR(__xludf.DUMMYFUNCTION("""COMPUTED_VALUE"""),"106855613843")</f>
        <v>106855613843</v>
      </c>
      <c r="C10452" s="2" t="str">
        <v>0</v>
      </c>
      <c r="F10452" s="2" t="str">
        <v>0</v>
      </c>
      <c r="I10452" s="3" t="str">
        <f ca="1">IFERROR(__xludf.DUMMYFUNCTION("""COMPUTED_VALUE"""),"Lý Thùy Linh")</f>
        <v>Lý Thùy Linh</v>
      </c>
      <c r="J10452" s="2" t="str">
        <f ca="1">IFERROR(__xludf.DUMMYFUNCTION("""COMPUTED_VALUE"""),"0393087293")</f>
        <v>0393087293</v>
      </c>
      <c r="K10452" s="2" t="str">
        <f ca="1">IFERROR(__xludf.DUMMYFUNCTION("""COMPUTED_VALUE"""),"106855613843")</f>
        <v>106855613843</v>
      </c>
    </row>
    <row r="10453" spans="1:11" ht="12.45">
      <c r="A10453" s="2" t="str">
        <f ca="1">IFERROR(__xludf.DUMMYFUNCTION("""COMPUTED_VALUE"""),"106855614044")</f>
        <v>106855614044</v>
      </c>
      <c r="C10453" s="2" t="str">
        <v>0</v>
      </c>
      <c r="F10453" s="2" t="str">
        <v>0</v>
      </c>
      <c r="I10453" s="3" t="str">
        <f ca="1">IFERROR(__xludf.DUMMYFUNCTION("""COMPUTED_VALUE"""),"Ngô Hoàng Mai Thy")</f>
        <v>Ngô Hoàng Mai Thy</v>
      </c>
      <c r="J10453" s="2" t="str">
        <f ca="1">IFERROR(__xludf.DUMMYFUNCTION("""COMPUTED_VALUE"""),"0944985116")</f>
        <v>0944985116</v>
      </c>
      <c r="K10453" s="2" t="str">
        <f ca="1">IFERROR(__xludf.DUMMYFUNCTION("""COMPUTED_VALUE"""),"106855614044")</f>
        <v>106855614044</v>
      </c>
    </row>
    <row r="10454" spans="1:11" ht="12.45">
      <c r="A10454" s="2" t="str">
        <f ca="1">IFERROR(__xludf.DUMMYFUNCTION("""COMPUTED_VALUE"""),"106855614194")</f>
        <v>106855614194</v>
      </c>
      <c r="C10454" s="2" t="str">
        <v>0</v>
      </c>
      <c r="F10454" s="2" t="str">
        <v>0</v>
      </c>
      <c r="I10454" s="3" t="str">
        <f ca="1">IFERROR(__xludf.DUMMYFUNCTION("""COMPUTED_VALUE"""),"Nguyễn Thị Trà My")</f>
        <v>Nguyễn Thị Trà My</v>
      </c>
      <c r="J10454" s="2" t="str">
        <f ca="1">IFERROR(__xludf.DUMMYFUNCTION("""COMPUTED_VALUE"""),"0988018838")</f>
        <v>0988018838</v>
      </c>
      <c r="K10454" s="2" t="str">
        <f ca="1">IFERROR(__xludf.DUMMYFUNCTION("""COMPUTED_VALUE"""),"106855614194")</f>
        <v>106855614194</v>
      </c>
    </row>
    <row r="10455" spans="1:11" ht="12.45">
      <c r="A10455" s="2" t="str">
        <f ca="1">IFERROR(__xludf.DUMMYFUNCTION("""COMPUTED_VALUE"""),"106855614289")</f>
        <v>106855614289</v>
      </c>
      <c r="C10455" s="2" t="str">
        <v>0</v>
      </c>
      <c r="F10455" s="2" t="str">
        <v>0</v>
      </c>
      <c r="I10455" s="3" t="str">
        <f ca="1">IFERROR(__xludf.DUMMYFUNCTION("""COMPUTED_VALUE"""),"Khương Gia Linh")</f>
        <v>Khương Gia Linh</v>
      </c>
      <c r="J10455" s="2" t="str">
        <f ca="1">IFERROR(__xludf.DUMMYFUNCTION("""COMPUTED_VALUE"""),"0987967658")</f>
        <v>0987967658</v>
      </c>
      <c r="K10455" s="2" t="str">
        <f ca="1">IFERROR(__xludf.DUMMYFUNCTION("""COMPUTED_VALUE"""),"106855614289")</f>
        <v>106855614289</v>
      </c>
    </row>
    <row r="10456" spans="1:11" ht="12.45">
      <c r="A10456" s="2" t="str">
        <f ca="1">IFERROR(__xludf.DUMMYFUNCTION("""COMPUTED_VALUE"""),"106855614323")</f>
        <v>106855614323</v>
      </c>
      <c r="C10456" s="2" t="str">
        <v>0</v>
      </c>
      <c r="F10456" s="2" t="str">
        <v>0</v>
      </c>
      <c r="I10456" s="3" t="str">
        <f ca="1">IFERROR(__xludf.DUMMYFUNCTION("""COMPUTED_VALUE"""),"Lê Thị Kim Nhung ")</f>
        <v xml:space="preserve">Lê Thị Kim Nhung </v>
      </c>
      <c r="J10456" s="2" t="str">
        <f ca="1">IFERROR(__xludf.DUMMYFUNCTION("""COMPUTED_VALUE"""),"0974952215")</f>
        <v>0974952215</v>
      </c>
      <c r="K10456" s="2" t="str">
        <f ca="1">IFERROR(__xludf.DUMMYFUNCTION("""COMPUTED_VALUE"""),"106855614323")</f>
        <v>106855614323</v>
      </c>
    </row>
    <row r="10457" spans="1:11" ht="12.45">
      <c r="A10457" s="2" t="str">
        <f ca="1">IFERROR(__xludf.DUMMYFUNCTION("""COMPUTED_VALUE"""),"106855614456")</f>
        <v>106855614456</v>
      </c>
      <c r="C10457" s="2" t="str">
        <v>0</v>
      </c>
      <c r="F10457" s="2" t="str">
        <v>0</v>
      </c>
      <c r="I10457" s="3" t="str">
        <f ca="1">IFERROR(__xludf.DUMMYFUNCTION("""COMPUTED_VALUE"""),"Võ Văn Tiên")</f>
        <v>Võ Văn Tiên</v>
      </c>
      <c r="J10457" s="2" t="str">
        <f ca="1">IFERROR(__xludf.DUMMYFUNCTION("""COMPUTED_VALUE"""),"0355556033")</f>
        <v>0355556033</v>
      </c>
      <c r="K10457" s="2" t="str">
        <f ca="1">IFERROR(__xludf.DUMMYFUNCTION("""COMPUTED_VALUE"""),"106855614456")</f>
        <v>106855614456</v>
      </c>
    </row>
    <row r="10458" spans="1:11" ht="12.45">
      <c r="A10458" s="2"/>
      <c r="C10458" s="2" t="str">
        <v>0</v>
      </c>
      <c r="F10458" s="2" t="str">
        <v>0</v>
      </c>
      <c r="I10458" s="3" t="str">
        <f ca="1">IFERROR(__xludf.DUMMYFUNCTION("""COMPUTED_VALUE"""),"Nguyễn Thị Kim Hương")</f>
        <v>Nguyễn Thị Kim Hương</v>
      </c>
      <c r="J10458" s="2" t="str">
        <f ca="1">IFERROR(__xludf.DUMMYFUNCTION("""COMPUTED_VALUE"""),"0986405007")</f>
        <v>0986405007</v>
      </c>
      <c r="K10458" s="2"/>
    </row>
    <row r="10459" spans="1:11" ht="12.45">
      <c r="A10459" s="2" t="str">
        <f ca="1">IFERROR(__xludf.DUMMYFUNCTION("""COMPUTED_VALUE"""),"106855614521")</f>
        <v>106855614521</v>
      </c>
      <c r="C10459" s="2" t="str">
        <v>0</v>
      </c>
      <c r="F10459" s="2" t="str">
        <v>0</v>
      </c>
      <c r="I10459" s="3" t="str">
        <f ca="1">IFERROR(__xludf.DUMMYFUNCTION("""COMPUTED_VALUE"""),"Tằng Việt Nam ")</f>
        <v xml:space="preserve">Tằng Việt Nam </v>
      </c>
      <c r="J10459" s="2" t="str">
        <f ca="1">IFERROR(__xludf.DUMMYFUNCTION("""COMPUTED_VALUE"""),"0793326402")</f>
        <v>0793326402</v>
      </c>
      <c r="K10459" s="2" t="str">
        <f ca="1">IFERROR(__xludf.DUMMYFUNCTION("""COMPUTED_VALUE"""),"106855614521")</f>
        <v>106855614521</v>
      </c>
    </row>
    <row r="10460" spans="1:11" ht="12.45">
      <c r="A10460" s="2" t="str">
        <f ca="1">IFERROR(__xludf.DUMMYFUNCTION("""COMPUTED_VALUE"""),"106855614730")</f>
        <v>106855614730</v>
      </c>
      <c r="C10460" s="2" t="str">
        <v>0</v>
      </c>
      <c r="F10460" s="2" t="str">
        <v>0</v>
      </c>
      <c r="I10460" s="3" t="str">
        <f ca="1">IFERROR(__xludf.DUMMYFUNCTION("""COMPUTED_VALUE"""),"Lê Thiện Mỹ")</f>
        <v>Lê Thiện Mỹ</v>
      </c>
      <c r="J10460" s="2" t="str">
        <f ca="1">IFERROR(__xludf.DUMMYFUNCTION("""COMPUTED_VALUE"""),"0876190907")</f>
        <v>0876190907</v>
      </c>
      <c r="K10460" s="2" t="str">
        <f ca="1">IFERROR(__xludf.DUMMYFUNCTION("""COMPUTED_VALUE"""),"106855614730")</f>
        <v>106855614730</v>
      </c>
    </row>
    <row r="10461" spans="1:11" ht="12.45">
      <c r="A10461" s="2" t="str">
        <f ca="1">IFERROR(__xludf.DUMMYFUNCTION("""COMPUTED_VALUE"""),"106855614869")</f>
        <v>106855614869</v>
      </c>
      <c r="C10461" s="2" t="str">
        <v>0</v>
      </c>
      <c r="F10461" s="2" t="str">
        <v>0</v>
      </c>
      <c r="I10461" s="3" t="str">
        <f ca="1">IFERROR(__xludf.DUMMYFUNCTION("""COMPUTED_VALUE"""),"Nguyễn Thanh Tuệ")</f>
        <v>Nguyễn Thanh Tuệ</v>
      </c>
      <c r="J10461" s="2" t="str">
        <f ca="1">IFERROR(__xludf.DUMMYFUNCTION("""COMPUTED_VALUE"""),"0978498221")</f>
        <v>0978498221</v>
      </c>
      <c r="K10461" s="2" t="str">
        <f ca="1">IFERROR(__xludf.DUMMYFUNCTION("""COMPUTED_VALUE"""),"106855614869")</f>
        <v>106855614869</v>
      </c>
    </row>
    <row r="10462" spans="1:11" ht="12.45">
      <c r="A10462" s="2" t="str">
        <f ca="1">IFERROR(__xludf.DUMMYFUNCTION("""COMPUTED_VALUE"""),"106855614915")</f>
        <v>106855614915</v>
      </c>
      <c r="C10462" s="2" t="str">
        <v>0</v>
      </c>
      <c r="F10462" s="2" t="str">
        <v>0</v>
      </c>
      <c r="I10462" s="3" t="str">
        <f ca="1">IFERROR(__xludf.DUMMYFUNCTION("""COMPUTED_VALUE"""),"Trường An")</f>
        <v>Trường An</v>
      </c>
      <c r="J10462" s="2" t="str">
        <f ca="1">IFERROR(__xludf.DUMMYFUNCTION("""COMPUTED_VALUE"""),"0394397206")</f>
        <v>0394397206</v>
      </c>
      <c r="K10462" s="2" t="str">
        <f ca="1">IFERROR(__xludf.DUMMYFUNCTION("""COMPUTED_VALUE"""),"106855614915")</f>
        <v>106855614915</v>
      </c>
    </row>
    <row r="10463" spans="1:11" ht="12.45">
      <c r="A10463" s="2" t="str">
        <f ca="1">IFERROR(__xludf.DUMMYFUNCTION("""COMPUTED_VALUE"""),"106855615194")</f>
        <v>106855615194</v>
      </c>
      <c r="C10463" s="2" t="str">
        <v>0</v>
      </c>
      <c r="F10463" s="2" t="str">
        <v>0</v>
      </c>
      <c r="I10463" s="3" t="str">
        <f ca="1">IFERROR(__xludf.DUMMYFUNCTION("""COMPUTED_VALUE"""),"Mã Tuấn Anh")</f>
        <v>Mã Tuấn Anh</v>
      </c>
      <c r="J10463" s="2" t="str">
        <f ca="1">IFERROR(__xludf.DUMMYFUNCTION("""COMPUTED_VALUE"""),"0338610050")</f>
        <v>0338610050</v>
      </c>
      <c r="K10463" s="2" t="str">
        <f ca="1">IFERROR(__xludf.DUMMYFUNCTION("""COMPUTED_VALUE"""),"106855615194")</f>
        <v>106855615194</v>
      </c>
    </row>
    <row r="10464" spans="1:11" ht="12.45">
      <c r="A10464" s="2" t="str">
        <f ca="1">IFERROR(__xludf.DUMMYFUNCTION("""COMPUTED_VALUE"""),"106855615447")</f>
        <v>106855615447</v>
      </c>
      <c r="C10464" s="2" t="str">
        <v>0</v>
      </c>
      <c r="F10464" s="2" t="str">
        <v>0</v>
      </c>
      <c r="I10464" s="3" t="str">
        <f ca="1">IFERROR(__xludf.DUMMYFUNCTION("""COMPUTED_VALUE"""),"Nguyễn Ngọc Trâm Anh")</f>
        <v>Nguyễn Ngọc Trâm Anh</v>
      </c>
      <c r="J10464" s="2" t="str">
        <f ca="1">IFERROR(__xludf.DUMMYFUNCTION("""COMPUTED_VALUE"""),"0968481928")</f>
        <v>0968481928</v>
      </c>
      <c r="K10464" s="2" t="str">
        <f ca="1">IFERROR(__xludf.DUMMYFUNCTION("""COMPUTED_VALUE"""),"106855615447")</f>
        <v>106855615447</v>
      </c>
    </row>
    <row r="10465" spans="1:11" ht="12.45">
      <c r="A10465" s="2" t="str">
        <f ca="1">IFERROR(__xludf.DUMMYFUNCTION("""COMPUTED_VALUE"""),"106855615677")</f>
        <v>106855615677</v>
      </c>
      <c r="C10465" s="2" t="str">
        <v>0</v>
      </c>
      <c r="F10465" s="2" t="str">
        <v>0</v>
      </c>
      <c r="I10465" s="3" t="str">
        <f ca="1">IFERROR(__xludf.DUMMYFUNCTION("""COMPUTED_VALUE"""),"Hoàng Thị Diệu Linh ")</f>
        <v xml:space="preserve">Hoàng Thị Diệu Linh </v>
      </c>
      <c r="J10465" s="2" t="str">
        <f ca="1">IFERROR(__xludf.DUMMYFUNCTION("""COMPUTED_VALUE"""),"0377794729")</f>
        <v>0377794729</v>
      </c>
      <c r="K10465" s="2" t="str">
        <f ca="1">IFERROR(__xludf.DUMMYFUNCTION("""COMPUTED_VALUE"""),"106855615677")</f>
        <v>106855615677</v>
      </c>
    </row>
    <row r="10466" spans="1:11" ht="12.45">
      <c r="A10466" s="2" t="str">
        <f ca="1">IFERROR(__xludf.DUMMYFUNCTION("""COMPUTED_VALUE"""),"106855615712")</f>
        <v>106855615712</v>
      </c>
      <c r="C10466" s="2" t="str">
        <v>0</v>
      </c>
      <c r="F10466" s="2" t="str">
        <v>0</v>
      </c>
      <c r="I10466" s="3" t="str">
        <f ca="1">IFERROR(__xludf.DUMMYFUNCTION("""COMPUTED_VALUE"""),"Trần Thị Yến Linh")</f>
        <v>Trần Thị Yến Linh</v>
      </c>
      <c r="J10466" s="2" t="str">
        <f ca="1">IFERROR(__xludf.DUMMYFUNCTION("""COMPUTED_VALUE"""),"0964524897")</f>
        <v>0964524897</v>
      </c>
      <c r="K10466" s="2" t="str">
        <f ca="1">IFERROR(__xludf.DUMMYFUNCTION("""COMPUTED_VALUE"""),"106855615712")</f>
        <v>106855615712</v>
      </c>
    </row>
    <row r="10467" spans="1:11" ht="12.45">
      <c r="A10467" s="2" t="str">
        <f ca="1">IFERROR(__xludf.DUMMYFUNCTION("""COMPUTED_VALUE"""),"106855615823")</f>
        <v>106855615823</v>
      </c>
      <c r="C10467" s="2" t="str">
        <v>0</v>
      </c>
      <c r="F10467" s="2" t="str">
        <v>0</v>
      </c>
      <c r="I10467" s="3" t="str">
        <f ca="1">IFERROR(__xludf.DUMMYFUNCTION("""COMPUTED_VALUE"""),"Hà công nguyên ")</f>
        <v xml:space="preserve">Hà công nguyên </v>
      </c>
      <c r="J10467" s="2" t="str">
        <f ca="1">IFERROR(__xludf.DUMMYFUNCTION("""COMPUTED_VALUE"""),"0347779597")</f>
        <v>0347779597</v>
      </c>
      <c r="K10467" s="2" t="str">
        <f ca="1">IFERROR(__xludf.DUMMYFUNCTION("""COMPUTED_VALUE"""),"106855615823")</f>
        <v>106855615823</v>
      </c>
    </row>
    <row r="10468" spans="1:11" ht="12.45">
      <c r="A10468" s="2" t="str">
        <f ca="1">IFERROR(__xludf.DUMMYFUNCTION("""COMPUTED_VALUE"""),"106855615993")</f>
        <v>106855615993</v>
      </c>
      <c r="C10468" s="2" t="str">
        <v>0</v>
      </c>
      <c r="F10468" s="2" t="str">
        <v>0</v>
      </c>
      <c r="I10468" s="3" t="str">
        <f ca="1">IFERROR(__xludf.DUMMYFUNCTION("""COMPUTED_VALUE"""),"Trần Huỳnh Bảo Ngọc ")</f>
        <v xml:space="preserve">Trần Huỳnh Bảo Ngọc </v>
      </c>
      <c r="J10468" s="2" t="str">
        <f ca="1">IFERROR(__xludf.DUMMYFUNCTION("""COMPUTED_VALUE"""),"0867950717")</f>
        <v>0867950717</v>
      </c>
      <c r="K10468" s="2" t="str">
        <f ca="1">IFERROR(__xludf.DUMMYFUNCTION("""COMPUTED_VALUE"""),"106855615993")</f>
        <v>106855615993</v>
      </c>
    </row>
    <row r="10469" spans="1:11" ht="12.45">
      <c r="A10469" s="2" t="str">
        <f ca="1">IFERROR(__xludf.DUMMYFUNCTION("""COMPUTED_VALUE"""),"106855616033")</f>
        <v>106855616033</v>
      </c>
      <c r="C10469" s="2" t="str">
        <v>0</v>
      </c>
      <c r="F10469" s="2" t="str">
        <v>0</v>
      </c>
      <c r="I10469" s="3" t="str">
        <f ca="1">IFERROR(__xludf.DUMMYFUNCTION("""COMPUTED_VALUE"""),"Hà Bảo Quyên")</f>
        <v>Hà Bảo Quyên</v>
      </c>
      <c r="J10469" s="2" t="str">
        <f ca="1">IFERROR(__xludf.DUMMYFUNCTION("""COMPUTED_VALUE"""),"0845181989")</f>
        <v>0845181989</v>
      </c>
      <c r="K10469" s="2" t="str">
        <f ca="1">IFERROR(__xludf.DUMMYFUNCTION("""COMPUTED_VALUE"""),"106855616033")</f>
        <v>106855616033</v>
      </c>
    </row>
    <row r="10470" spans="1:11" ht="12.45">
      <c r="A10470" s="2" t="str">
        <f ca="1">IFERROR(__xludf.DUMMYFUNCTION("""COMPUTED_VALUE"""),"106855616197")</f>
        <v>106855616197</v>
      </c>
      <c r="C10470" s="2" t="str">
        <v>0</v>
      </c>
      <c r="F10470" s="2" t="str">
        <v>0</v>
      </c>
      <c r="I10470" s="3" t="str">
        <f ca="1">IFERROR(__xludf.DUMMYFUNCTION("""COMPUTED_VALUE"""),"Thái Hoàng Lê My")</f>
        <v>Thái Hoàng Lê My</v>
      </c>
      <c r="J10470" s="2" t="str">
        <f ca="1">IFERROR(__xludf.DUMMYFUNCTION("""COMPUTED_VALUE"""),"0329569014")</f>
        <v>0329569014</v>
      </c>
      <c r="K10470" s="2" t="str">
        <f ca="1">IFERROR(__xludf.DUMMYFUNCTION("""COMPUTED_VALUE"""),"106855616197")</f>
        <v>106855616197</v>
      </c>
    </row>
    <row r="10471" spans="1:11" ht="12.45">
      <c r="A10471" s="2" t="str">
        <f ca="1">IFERROR(__xludf.DUMMYFUNCTION("""COMPUTED_VALUE"""),"106855616245")</f>
        <v>106855616245</v>
      </c>
      <c r="C10471" s="2" t="str">
        <v>0</v>
      </c>
      <c r="F10471" s="2" t="str">
        <v>0</v>
      </c>
      <c r="I10471" s="3" t="str">
        <f ca="1">IFERROR(__xludf.DUMMYFUNCTION("""COMPUTED_VALUE"""),"Lê Thị Hoài Mơ")</f>
        <v>Lê Thị Hoài Mơ</v>
      </c>
      <c r="J10471" s="2" t="str">
        <f ca="1">IFERROR(__xludf.DUMMYFUNCTION("""COMPUTED_VALUE"""),"0374359575")</f>
        <v>0374359575</v>
      </c>
      <c r="K10471" s="2" t="str">
        <f ca="1">IFERROR(__xludf.DUMMYFUNCTION("""COMPUTED_VALUE"""),"106855616245")</f>
        <v>106855616245</v>
      </c>
    </row>
    <row r="10472" spans="1:11" ht="12.45">
      <c r="A10472" s="2" t="str">
        <f ca="1">IFERROR(__xludf.DUMMYFUNCTION("""COMPUTED_VALUE"""),"106855616316")</f>
        <v>106855616316</v>
      </c>
      <c r="C10472" s="2" t="str">
        <v>0</v>
      </c>
      <c r="F10472" s="2" t="str">
        <v>0</v>
      </c>
      <c r="I10472" s="3" t="str">
        <f ca="1">IFERROR(__xludf.DUMMYFUNCTION("""COMPUTED_VALUE"""),"Lê Thị Thu Hằng ")</f>
        <v xml:space="preserve">Lê Thị Thu Hằng </v>
      </c>
      <c r="J10472" s="2" t="str">
        <f ca="1">IFERROR(__xludf.DUMMYFUNCTION("""COMPUTED_VALUE"""),"0394528936")</f>
        <v>0394528936</v>
      </c>
      <c r="K10472" s="2" t="str">
        <f ca="1">IFERROR(__xludf.DUMMYFUNCTION("""COMPUTED_VALUE"""),"106855616316")</f>
        <v>106855616316</v>
      </c>
    </row>
    <row r="10473" spans="1:11" ht="12.45">
      <c r="A10473" s="2" t="str">
        <f ca="1">IFERROR(__xludf.DUMMYFUNCTION("""COMPUTED_VALUE"""),"106855616439")</f>
        <v>106855616439</v>
      </c>
      <c r="C10473" s="2" t="str">
        <v>0</v>
      </c>
      <c r="F10473" s="2" t="str">
        <v>0</v>
      </c>
      <c r="I10473" s="3" t="str">
        <f ca="1">IFERROR(__xludf.DUMMYFUNCTION("""COMPUTED_VALUE"""),"Dương Hoa Thảo Viên")</f>
        <v>Dương Hoa Thảo Viên</v>
      </c>
      <c r="J10473" s="2" t="str">
        <f ca="1">IFERROR(__xludf.DUMMYFUNCTION("""COMPUTED_VALUE"""),"0396366440")</f>
        <v>0396366440</v>
      </c>
      <c r="K10473" s="2" t="str">
        <f ca="1">IFERROR(__xludf.DUMMYFUNCTION("""COMPUTED_VALUE"""),"106855616439")</f>
        <v>106855616439</v>
      </c>
    </row>
    <row r="10474" spans="1:11" ht="12.45">
      <c r="A10474" s="2" t="str">
        <f ca="1">IFERROR(__xludf.DUMMYFUNCTION("""COMPUTED_VALUE"""),"106855616526")</f>
        <v>106855616526</v>
      </c>
      <c r="C10474" s="2" t="str">
        <v>0</v>
      </c>
      <c r="F10474" s="2" t="str">
        <v>0</v>
      </c>
      <c r="I10474" s="3" t="str">
        <f ca="1">IFERROR(__xludf.DUMMYFUNCTION("""COMPUTED_VALUE"""),"Lê Thị Hạnh Phúc")</f>
        <v>Lê Thị Hạnh Phúc</v>
      </c>
      <c r="J10474" s="2" t="str">
        <f ca="1">IFERROR(__xludf.DUMMYFUNCTION("""COMPUTED_VALUE"""),"0335998139")</f>
        <v>0335998139</v>
      </c>
      <c r="K10474" s="2" t="str">
        <f ca="1">IFERROR(__xludf.DUMMYFUNCTION("""COMPUTED_VALUE"""),"106855616526")</f>
        <v>106855616526</v>
      </c>
    </row>
    <row r="10475" spans="1:11" ht="12.45">
      <c r="A10475" s="2" t="str">
        <f ca="1">IFERROR(__xludf.DUMMYFUNCTION("""COMPUTED_VALUE"""),"106855616626")</f>
        <v>106855616626</v>
      </c>
      <c r="C10475" s="2" t="str">
        <v>0</v>
      </c>
      <c r="F10475" s="2" t="str">
        <v>0</v>
      </c>
      <c r="I10475" s="3" t="str">
        <f ca="1">IFERROR(__xludf.DUMMYFUNCTION("""COMPUTED_VALUE"""),"Cao Phi Phụng")</f>
        <v>Cao Phi Phụng</v>
      </c>
      <c r="J10475" s="2" t="str">
        <f ca="1">IFERROR(__xludf.DUMMYFUNCTION("""COMPUTED_VALUE"""),"0898487036")</f>
        <v>0898487036</v>
      </c>
      <c r="K10475" s="2" t="str">
        <f ca="1">IFERROR(__xludf.DUMMYFUNCTION("""COMPUTED_VALUE"""),"106855616626")</f>
        <v>106855616626</v>
      </c>
    </row>
    <row r="10476" spans="1:11" ht="12.45">
      <c r="A10476" s="2" t="str">
        <f ca="1">IFERROR(__xludf.DUMMYFUNCTION("""COMPUTED_VALUE"""),"106855616885")</f>
        <v>106855616885</v>
      </c>
      <c r="C10476" s="2" t="str">
        <v>0</v>
      </c>
      <c r="F10476" s="2" t="str">
        <v>0</v>
      </c>
      <c r="I10476" s="3" t="str">
        <f ca="1">IFERROR(__xludf.DUMMYFUNCTION("""COMPUTED_VALUE"""),"Trần Phạm Thảo Vy")</f>
        <v>Trần Phạm Thảo Vy</v>
      </c>
      <c r="J10476" s="2" t="str">
        <f ca="1">IFERROR(__xludf.DUMMYFUNCTION("""COMPUTED_VALUE"""),"0855781506")</f>
        <v>0855781506</v>
      </c>
      <c r="K10476" s="2" t="str">
        <f ca="1">IFERROR(__xludf.DUMMYFUNCTION("""COMPUTED_VALUE"""),"106855616885")</f>
        <v>106855616885</v>
      </c>
    </row>
    <row r="10477" spans="1:11" ht="12.45">
      <c r="A10477" s="2" t="str">
        <f ca="1">IFERROR(__xludf.DUMMYFUNCTION("""COMPUTED_VALUE"""),"106854719652")</f>
        <v>106854719652</v>
      </c>
      <c r="C10477" s="2" t="str">
        <v>0</v>
      </c>
      <c r="F10477" s="2" t="str">
        <v>0</v>
      </c>
      <c r="I10477" s="3" t="str">
        <f ca="1">IFERROR(__xludf.DUMMYFUNCTION("""COMPUTED_VALUE"""),"Phạm Thị Thu")</f>
        <v>Phạm Thị Thu</v>
      </c>
      <c r="J10477" s="2" t="str">
        <f ca="1">IFERROR(__xludf.DUMMYFUNCTION("""COMPUTED_VALUE"""),"0798274187")</f>
        <v>0798274187</v>
      </c>
      <c r="K10477" s="2" t="str">
        <f ca="1">IFERROR(__xludf.DUMMYFUNCTION("""COMPUTED_VALUE"""),"106854719652")</f>
        <v>106854719652</v>
      </c>
    </row>
    <row r="10478" spans="1:11" ht="12.45">
      <c r="A10478" s="2" t="str">
        <f ca="1">IFERROR(__xludf.DUMMYFUNCTION("""COMPUTED_VALUE"""),"106854719855")</f>
        <v>106854719855</v>
      </c>
      <c r="C10478" s="2" t="str">
        <v>0</v>
      </c>
      <c r="F10478" s="2" t="str">
        <v>0</v>
      </c>
      <c r="I10478" s="3" t="str">
        <f ca="1">IFERROR(__xludf.DUMMYFUNCTION("""COMPUTED_VALUE"""),"Hứa Đào Hồng Ngân")</f>
        <v>Hứa Đào Hồng Ngân</v>
      </c>
      <c r="J10478" s="2" t="str">
        <f ca="1">IFERROR(__xludf.DUMMYFUNCTION("""COMPUTED_VALUE"""),"0939228380")</f>
        <v>0939228380</v>
      </c>
      <c r="K10478" s="2" t="str">
        <f ca="1">IFERROR(__xludf.DUMMYFUNCTION("""COMPUTED_VALUE"""),"106854719855")</f>
        <v>106854719855</v>
      </c>
    </row>
    <row r="10479" spans="1:11" ht="12.45">
      <c r="A10479" s="2" t="str">
        <f ca="1">IFERROR(__xludf.DUMMYFUNCTION("""COMPUTED_VALUE"""),"106854719931")</f>
        <v>106854719931</v>
      </c>
      <c r="C10479" s="2" t="str">
        <v>0</v>
      </c>
      <c r="F10479" s="2" t="str">
        <v>0</v>
      </c>
      <c r="I10479" s="3" t="str">
        <f ca="1">IFERROR(__xludf.DUMMYFUNCTION("""COMPUTED_VALUE"""),"Nguyễn Hoàng Huy")</f>
        <v>Nguyễn Hoàng Huy</v>
      </c>
      <c r="J10479" s="2" t="str">
        <f ca="1">IFERROR(__xludf.DUMMYFUNCTION("""COMPUTED_VALUE"""),"0979004614")</f>
        <v>0979004614</v>
      </c>
      <c r="K10479" s="2" t="str">
        <f ca="1">IFERROR(__xludf.DUMMYFUNCTION("""COMPUTED_VALUE"""),"106854719931")</f>
        <v>106854719931</v>
      </c>
    </row>
    <row r="10480" spans="1:11" ht="12.45">
      <c r="A10480" s="2" t="str">
        <f ca="1">IFERROR(__xludf.DUMMYFUNCTION("""COMPUTED_VALUE"""),"106854720125")</f>
        <v>106854720125</v>
      </c>
      <c r="C10480" s="2" t="str">
        <v>0</v>
      </c>
      <c r="F10480" s="2" t="str">
        <v>0</v>
      </c>
      <c r="I10480" s="3" t="str">
        <f ca="1">IFERROR(__xludf.DUMMYFUNCTION("""COMPUTED_VALUE"""),"Lương Vĩ")</f>
        <v>Lương Vĩ</v>
      </c>
      <c r="J10480" s="2" t="str">
        <f ca="1">IFERROR(__xludf.DUMMYFUNCTION("""COMPUTED_VALUE"""),"0917710341")</f>
        <v>0917710341</v>
      </c>
      <c r="K10480" s="2" t="str">
        <f ca="1">IFERROR(__xludf.DUMMYFUNCTION("""COMPUTED_VALUE"""),"106854720125")</f>
        <v>106854720125</v>
      </c>
    </row>
    <row r="10481" spans="1:11" ht="12.45">
      <c r="A10481" s="2" t="str">
        <f ca="1">IFERROR(__xludf.DUMMYFUNCTION("""COMPUTED_VALUE"""),"106854720218")</f>
        <v>106854720218</v>
      </c>
      <c r="C10481" s="2" t="str">
        <v>0</v>
      </c>
      <c r="F10481" s="2" t="str">
        <v>0</v>
      </c>
      <c r="I10481" s="3" t="str">
        <f ca="1">IFERROR(__xludf.DUMMYFUNCTION("""COMPUTED_VALUE"""),"Lại Trâm Anh")</f>
        <v>Lại Trâm Anh</v>
      </c>
      <c r="J10481" s="2" t="str">
        <f ca="1">IFERROR(__xludf.DUMMYFUNCTION("""COMPUTED_VALUE"""),"0338304497")</f>
        <v>0338304497</v>
      </c>
      <c r="K10481" s="2" t="str">
        <f ca="1">IFERROR(__xludf.DUMMYFUNCTION("""COMPUTED_VALUE"""),"106854720218")</f>
        <v>106854720218</v>
      </c>
    </row>
    <row r="10482" spans="1:11" ht="12.45">
      <c r="A10482" s="2" t="str">
        <f ca="1">IFERROR(__xludf.DUMMYFUNCTION("""COMPUTED_VALUE"""),"106854720370")</f>
        <v>106854720370</v>
      </c>
      <c r="C10482" s="2" t="str">
        <v>0</v>
      </c>
      <c r="F10482" s="2" t="str">
        <v>0</v>
      </c>
      <c r="I10482" s="3" t="str">
        <f ca="1">IFERROR(__xludf.DUMMYFUNCTION("""COMPUTED_VALUE"""),"Đoàn Thanh Thảo")</f>
        <v>Đoàn Thanh Thảo</v>
      </c>
      <c r="J10482" s="2" t="str">
        <f ca="1">IFERROR(__xludf.DUMMYFUNCTION("""COMPUTED_VALUE"""),"0967900886")</f>
        <v>0967900886</v>
      </c>
      <c r="K10482" s="2" t="str">
        <f ca="1">IFERROR(__xludf.DUMMYFUNCTION("""COMPUTED_VALUE"""),"106854720370")</f>
        <v>106854720370</v>
      </c>
    </row>
    <row r="10483" spans="1:11" ht="12.45">
      <c r="A10483" s="2" t="str">
        <f ca="1">IFERROR(__xludf.DUMMYFUNCTION("""COMPUTED_VALUE"""),"106854720445")</f>
        <v>106854720445</v>
      </c>
      <c r="C10483" s="2" t="str">
        <v>0</v>
      </c>
      <c r="F10483" s="2" t="str">
        <v>0</v>
      </c>
      <c r="I10483" s="3" t="str">
        <f ca="1">IFERROR(__xludf.DUMMYFUNCTION("""COMPUTED_VALUE"""),"Đào Linh Chi")</f>
        <v>Đào Linh Chi</v>
      </c>
      <c r="J10483" s="2" t="str">
        <f ca="1">IFERROR(__xludf.DUMMYFUNCTION("""COMPUTED_VALUE"""),"0337224544")</f>
        <v>0337224544</v>
      </c>
      <c r="K10483" s="2" t="str">
        <f ca="1">IFERROR(__xludf.DUMMYFUNCTION("""COMPUTED_VALUE"""),"106854720445")</f>
        <v>106854720445</v>
      </c>
    </row>
    <row r="10484" spans="1:11" ht="12.45">
      <c r="A10484" s="2" t="str">
        <f ca="1">IFERROR(__xludf.DUMMYFUNCTION("""COMPUTED_VALUE"""),"106854720566")</f>
        <v>106854720566</v>
      </c>
      <c r="C10484" s="2" t="str">
        <v>0</v>
      </c>
      <c r="F10484" s="2" t="str">
        <v>0</v>
      </c>
      <c r="I10484" s="3" t="str">
        <f ca="1">IFERROR(__xludf.DUMMYFUNCTION("""COMPUTED_VALUE"""),"Bùi Huyền Trinh")</f>
        <v>Bùi Huyền Trinh</v>
      </c>
      <c r="J10484" s="2" t="str">
        <f ca="1">IFERROR(__xludf.DUMMYFUNCTION("""COMPUTED_VALUE"""),"0335614335")</f>
        <v>0335614335</v>
      </c>
      <c r="K10484" s="2" t="str">
        <f ca="1">IFERROR(__xludf.DUMMYFUNCTION("""COMPUTED_VALUE"""),"106854720566")</f>
        <v>106854720566</v>
      </c>
    </row>
    <row r="10485" spans="1:11" ht="12.45">
      <c r="A10485" s="2" t="str">
        <f ca="1">IFERROR(__xludf.DUMMYFUNCTION("""COMPUTED_VALUE"""),"106854720673")</f>
        <v>106854720673</v>
      </c>
      <c r="C10485" s="2" t="str">
        <v>0</v>
      </c>
      <c r="F10485" s="2" t="str">
        <v>0</v>
      </c>
      <c r="I10485" s="3" t="str">
        <f ca="1">IFERROR(__xludf.DUMMYFUNCTION("""COMPUTED_VALUE"""),"Hà Bảo Ngọc ")</f>
        <v xml:space="preserve">Hà Bảo Ngọc </v>
      </c>
      <c r="J10485" s="2" t="str">
        <f ca="1">IFERROR(__xludf.DUMMYFUNCTION("""COMPUTED_VALUE"""),"0961085212")</f>
        <v>0961085212</v>
      </c>
      <c r="K10485" s="2" t="str">
        <f ca="1">IFERROR(__xludf.DUMMYFUNCTION("""COMPUTED_VALUE"""),"106854720673")</f>
        <v>106854720673</v>
      </c>
    </row>
    <row r="10486" spans="1:11" ht="12.45">
      <c r="A10486" s="2" t="str">
        <f ca="1">IFERROR(__xludf.DUMMYFUNCTION("""COMPUTED_VALUE"""),"106854720763")</f>
        <v>106854720763</v>
      </c>
      <c r="C10486" s="2" t="str">
        <v>0</v>
      </c>
      <c r="F10486" s="2" t="str">
        <v>0</v>
      </c>
      <c r="I10486" s="3" t="str">
        <f ca="1">IFERROR(__xludf.DUMMYFUNCTION("""COMPUTED_VALUE"""),"Nguyễn Hữu Thành ")</f>
        <v xml:space="preserve">Nguyễn Hữu Thành </v>
      </c>
      <c r="J10486" s="2" t="str">
        <f ca="1">IFERROR(__xludf.DUMMYFUNCTION("""COMPUTED_VALUE"""),"0398024260")</f>
        <v>0398024260</v>
      </c>
      <c r="K10486" s="2" t="str">
        <f ca="1">IFERROR(__xludf.DUMMYFUNCTION("""COMPUTED_VALUE"""),"106854720763")</f>
        <v>106854720763</v>
      </c>
    </row>
    <row r="10487" spans="1:11" ht="12.45">
      <c r="A10487" s="2" t="str">
        <f ca="1">IFERROR(__xludf.DUMMYFUNCTION("""COMPUTED_VALUE"""),"106854720858")</f>
        <v>106854720858</v>
      </c>
      <c r="C10487" s="2" t="str">
        <v>0</v>
      </c>
      <c r="F10487" s="2" t="str">
        <v>0</v>
      </c>
      <c r="I10487" s="3" t="str">
        <f ca="1">IFERROR(__xludf.DUMMYFUNCTION("""COMPUTED_VALUE"""),"Lê Phan Anh")</f>
        <v>Lê Phan Anh</v>
      </c>
      <c r="J10487" s="2" t="str">
        <f ca="1">IFERROR(__xludf.DUMMYFUNCTION("""COMPUTED_VALUE"""),"0399914490")</f>
        <v>0399914490</v>
      </c>
      <c r="K10487" s="2" t="str">
        <f ca="1">IFERROR(__xludf.DUMMYFUNCTION("""COMPUTED_VALUE"""),"106854720858")</f>
        <v>106854720858</v>
      </c>
    </row>
    <row r="10488" spans="1:11" ht="12.45">
      <c r="A10488" s="2" t="str">
        <f ca="1">IFERROR(__xludf.DUMMYFUNCTION("""COMPUTED_VALUE"""),"106854720921")</f>
        <v>106854720921</v>
      </c>
      <c r="C10488" s="2" t="str">
        <v>0</v>
      </c>
      <c r="F10488" s="2" t="str">
        <v>0</v>
      </c>
      <c r="I10488" s="3" t="str">
        <f ca="1">IFERROR(__xludf.DUMMYFUNCTION("""COMPUTED_VALUE"""),"Đỗ Thị Thanh Hương ")</f>
        <v xml:space="preserve">Đỗ Thị Thanh Hương </v>
      </c>
      <c r="J10488" s="2" t="str">
        <f ca="1">IFERROR(__xludf.DUMMYFUNCTION("""COMPUTED_VALUE"""),"0902079226")</f>
        <v>0902079226</v>
      </c>
      <c r="K10488" s="2" t="str">
        <f ca="1">IFERROR(__xludf.DUMMYFUNCTION("""COMPUTED_VALUE"""),"106854720921")</f>
        <v>106854720921</v>
      </c>
    </row>
    <row r="10489" spans="1:11" ht="12.45">
      <c r="A10489" s="2" t="str">
        <f ca="1">IFERROR(__xludf.DUMMYFUNCTION("""COMPUTED_VALUE"""),"106854721085")</f>
        <v>106854721085</v>
      </c>
      <c r="C10489" s="2" t="str">
        <v>0</v>
      </c>
      <c r="F10489" s="2" t="str">
        <v>0</v>
      </c>
      <c r="I10489" s="3" t="str">
        <f ca="1">IFERROR(__xludf.DUMMYFUNCTION("""COMPUTED_VALUE"""),"Huỳnh Nhựt Thảo")</f>
        <v>Huỳnh Nhựt Thảo</v>
      </c>
      <c r="J10489" s="2" t="str">
        <f ca="1">IFERROR(__xludf.DUMMYFUNCTION("""COMPUTED_VALUE"""),"0328822761")</f>
        <v>0328822761</v>
      </c>
      <c r="K10489" s="2" t="str">
        <f ca="1">IFERROR(__xludf.DUMMYFUNCTION("""COMPUTED_VALUE"""),"106854721085")</f>
        <v>106854721085</v>
      </c>
    </row>
    <row r="10490" spans="1:11" ht="12.45">
      <c r="A10490" s="2" t="str">
        <f ca="1">IFERROR(__xludf.DUMMYFUNCTION("""COMPUTED_VALUE"""),"106854721117")</f>
        <v>106854721117</v>
      </c>
      <c r="C10490" s="2" t="str">
        <v>0</v>
      </c>
      <c r="F10490" s="2" t="str">
        <v>0</v>
      </c>
      <c r="I10490" s="3" t="str">
        <f ca="1">IFERROR(__xludf.DUMMYFUNCTION("""COMPUTED_VALUE"""),"Đỗ Phương Linh")</f>
        <v>Đỗ Phương Linh</v>
      </c>
      <c r="J10490" s="2" t="str">
        <f ca="1">IFERROR(__xludf.DUMMYFUNCTION("""COMPUTED_VALUE"""),"0392731406")</f>
        <v>0392731406</v>
      </c>
      <c r="K10490" s="2" t="str">
        <f ca="1">IFERROR(__xludf.DUMMYFUNCTION("""COMPUTED_VALUE"""),"106854721117")</f>
        <v>106854721117</v>
      </c>
    </row>
    <row r="10491" spans="1:11" ht="12.45">
      <c r="A10491" s="2" t="str">
        <f ca="1">IFERROR(__xludf.DUMMYFUNCTION("""COMPUTED_VALUE"""),"106854721368")</f>
        <v>106854721368</v>
      </c>
      <c r="C10491" s="2" t="str">
        <v>0</v>
      </c>
      <c r="F10491" s="2" t="str">
        <v>0</v>
      </c>
      <c r="I10491" s="3" t="str">
        <f ca="1">IFERROR(__xludf.DUMMYFUNCTION("""COMPUTED_VALUE"""),"Phạm Nguyên Giang")</f>
        <v>Phạm Nguyên Giang</v>
      </c>
      <c r="J10491" s="2" t="str">
        <f ca="1">IFERROR(__xludf.DUMMYFUNCTION("""COMPUTED_VALUE"""),"0866910362")</f>
        <v>0866910362</v>
      </c>
      <c r="K10491" s="2" t="str">
        <f ca="1">IFERROR(__xludf.DUMMYFUNCTION("""COMPUTED_VALUE"""),"106854721368")</f>
        <v>106854721368</v>
      </c>
    </row>
    <row r="10492" spans="1:11" ht="12.45">
      <c r="A10492" s="2" t="str">
        <f ca="1">IFERROR(__xludf.DUMMYFUNCTION("""COMPUTED_VALUE"""),"106854721444")</f>
        <v>106854721444</v>
      </c>
      <c r="C10492" s="2" t="str">
        <v>0</v>
      </c>
      <c r="F10492" s="2" t="str">
        <v>0</v>
      </c>
      <c r="I10492" s="3" t="str">
        <f ca="1">IFERROR(__xludf.DUMMYFUNCTION("""COMPUTED_VALUE"""),"Đỗ Vũ Thuỳ Trang")</f>
        <v>Đỗ Vũ Thuỳ Trang</v>
      </c>
      <c r="J10492" s="2" t="str">
        <f ca="1">IFERROR(__xludf.DUMMYFUNCTION("""COMPUTED_VALUE"""),"0852265333")</f>
        <v>0852265333</v>
      </c>
      <c r="K10492" s="2" t="str">
        <f ca="1">IFERROR(__xludf.DUMMYFUNCTION("""COMPUTED_VALUE"""),"106854721444")</f>
        <v>106854721444</v>
      </c>
    </row>
    <row r="10493" spans="1:11" ht="12.45">
      <c r="A10493" s="2" t="str">
        <f ca="1">IFERROR(__xludf.DUMMYFUNCTION("""COMPUTED_VALUE"""),"106854721535")</f>
        <v>106854721535</v>
      </c>
      <c r="C10493" s="2" t="str">
        <v>0</v>
      </c>
      <c r="F10493" s="2" t="str">
        <v>0</v>
      </c>
      <c r="I10493" s="3" t="str">
        <f ca="1">IFERROR(__xludf.DUMMYFUNCTION("""COMPUTED_VALUE"""),"Hồ Quỳnh Hương")</f>
        <v>Hồ Quỳnh Hương</v>
      </c>
      <c r="J10493" s="2" t="str">
        <f ca="1">IFERROR(__xludf.DUMMYFUNCTION("""COMPUTED_VALUE"""),"0388702515")</f>
        <v>0388702515</v>
      </c>
      <c r="K10493" s="2" t="str">
        <f ca="1">IFERROR(__xludf.DUMMYFUNCTION("""COMPUTED_VALUE"""),"106854721535")</f>
        <v>106854721535</v>
      </c>
    </row>
    <row r="10494" spans="1:11" ht="12.45">
      <c r="A10494" s="2" t="str">
        <f ca="1">IFERROR(__xludf.DUMMYFUNCTION("""COMPUTED_VALUE"""),"106854721615")</f>
        <v>106854721615</v>
      </c>
      <c r="C10494" s="2" t="str">
        <v>0</v>
      </c>
      <c r="F10494" s="2" t="str">
        <v>0</v>
      </c>
      <c r="I10494" s="3" t="str">
        <f ca="1">IFERROR(__xludf.DUMMYFUNCTION("""COMPUTED_VALUE"""),"Phạm Hoàng Khánh Duy")</f>
        <v>Phạm Hoàng Khánh Duy</v>
      </c>
      <c r="J10494" s="2" t="str">
        <f ca="1">IFERROR(__xludf.DUMMYFUNCTION("""COMPUTED_VALUE"""),"0966447872")</f>
        <v>0966447872</v>
      </c>
      <c r="K10494" s="2" t="str">
        <f ca="1">IFERROR(__xludf.DUMMYFUNCTION("""COMPUTED_VALUE"""),"106854721615")</f>
        <v>106854721615</v>
      </c>
    </row>
    <row r="10495" spans="1:11" ht="12.45">
      <c r="A10495" s="2" t="str">
        <f ca="1">IFERROR(__xludf.DUMMYFUNCTION("""COMPUTED_VALUE"""),"106854721866")</f>
        <v>106854721866</v>
      </c>
      <c r="C10495" s="2" t="str">
        <v>0</v>
      </c>
      <c r="F10495" s="2" t="str">
        <v>0</v>
      </c>
      <c r="I10495" s="3" t="str">
        <f ca="1">IFERROR(__xludf.DUMMYFUNCTION("""COMPUTED_VALUE"""),"Phạm Thị Hoài Thương")</f>
        <v>Phạm Thị Hoài Thương</v>
      </c>
      <c r="J10495" s="2" t="str">
        <f ca="1">IFERROR(__xludf.DUMMYFUNCTION("""COMPUTED_VALUE"""),"0396515371")</f>
        <v>0396515371</v>
      </c>
      <c r="K10495" s="2" t="str">
        <f ca="1">IFERROR(__xludf.DUMMYFUNCTION("""COMPUTED_VALUE"""),"106854721866")</f>
        <v>106854721866</v>
      </c>
    </row>
    <row r="10496" spans="1:11" ht="12.45">
      <c r="A10496" s="2" t="str">
        <f ca="1">IFERROR(__xludf.DUMMYFUNCTION("""COMPUTED_VALUE"""),"106854722023")</f>
        <v>106854722023</v>
      </c>
      <c r="C10496" s="2" t="str">
        <v>0</v>
      </c>
      <c r="F10496" s="2" t="str">
        <v>0</v>
      </c>
      <c r="I10496" s="3" t="str">
        <f ca="1">IFERROR(__xludf.DUMMYFUNCTION("""COMPUTED_VALUE"""),"Đào Thị Gia Lệ")</f>
        <v>Đào Thị Gia Lệ</v>
      </c>
      <c r="J10496" s="2" t="str">
        <f ca="1">IFERROR(__xludf.DUMMYFUNCTION("""COMPUTED_VALUE"""),"0376040368")</f>
        <v>0376040368</v>
      </c>
      <c r="K10496" s="2" t="str">
        <f ca="1">IFERROR(__xludf.DUMMYFUNCTION("""COMPUTED_VALUE"""),"106854722023")</f>
        <v>106854722023</v>
      </c>
    </row>
    <row r="10497" spans="1:11" ht="12.45">
      <c r="A10497" s="2" t="str">
        <f ca="1">IFERROR(__xludf.DUMMYFUNCTION("""COMPUTED_VALUE"""),"106854722157")</f>
        <v>106854722157</v>
      </c>
      <c r="C10497" s="2" t="str">
        <v>0</v>
      </c>
      <c r="F10497" s="2" t="str">
        <v>0</v>
      </c>
      <c r="I10497" s="3" t="str">
        <f ca="1">IFERROR(__xludf.DUMMYFUNCTION("""COMPUTED_VALUE"""),"Nguyễn Hoàng Linh")</f>
        <v>Nguyễn Hoàng Linh</v>
      </c>
      <c r="J10497" s="2" t="str">
        <f ca="1">IFERROR(__xludf.DUMMYFUNCTION("""COMPUTED_VALUE"""),"0349479629")</f>
        <v>0349479629</v>
      </c>
      <c r="K10497" s="2" t="str">
        <f ca="1">IFERROR(__xludf.DUMMYFUNCTION("""COMPUTED_VALUE"""),"106854722157")</f>
        <v>106854722157</v>
      </c>
    </row>
    <row r="10498" spans="1:11" ht="12.45">
      <c r="A10498" s="2" t="str">
        <f ca="1">IFERROR(__xludf.DUMMYFUNCTION("""COMPUTED_VALUE"""),"106854722264")</f>
        <v>106854722264</v>
      </c>
      <c r="C10498" s="2" t="str">
        <v>0</v>
      </c>
      <c r="F10498" s="2" t="str">
        <v>0</v>
      </c>
      <c r="I10498" s="3" t="str">
        <f ca="1">IFERROR(__xludf.DUMMYFUNCTION("""COMPUTED_VALUE"""),"Đào Phương Linh")</f>
        <v>Đào Phương Linh</v>
      </c>
      <c r="J10498" s="2" t="str">
        <f ca="1">IFERROR(__xludf.DUMMYFUNCTION("""COMPUTED_VALUE"""),"0372418286")</f>
        <v>0372418286</v>
      </c>
      <c r="K10498" s="2" t="str">
        <f ca="1">IFERROR(__xludf.DUMMYFUNCTION("""COMPUTED_VALUE"""),"106854722264")</f>
        <v>106854722264</v>
      </c>
    </row>
    <row r="10499" spans="1:11" ht="12.45">
      <c r="A10499" s="2" t="str">
        <f ca="1">IFERROR(__xludf.DUMMYFUNCTION("""COMPUTED_VALUE"""),"106854722454")</f>
        <v>106854722454</v>
      </c>
      <c r="C10499" s="2" t="str">
        <v>0</v>
      </c>
      <c r="F10499" s="2" t="str">
        <v>0</v>
      </c>
      <c r="I10499" s="3" t="str">
        <f ca="1">IFERROR(__xludf.DUMMYFUNCTION("""COMPUTED_VALUE"""),"Trần Anh Thư")</f>
        <v>Trần Anh Thư</v>
      </c>
      <c r="J10499" s="2" t="str">
        <f ca="1">IFERROR(__xludf.DUMMYFUNCTION("""COMPUTED_VALUE"""),"0968500688")</f>
        <v>0968500688</v>
      </c>
      <c r="K10499" s="2" t="str">
        <f ca="1">IFERROR(__xludf.DUMMYFUNCTION("""COMPUTED_VALUE"""),"106854722454")</f>
        <v>106854722454</v>
      </c>
    </row>
    <row r="10500" spans="1:11" ht="12.45">
      <c r="A10500" s="2" t="str">
        <f ca="1">IFERROR(__xludf.DUMMYFUNCTION("""COMPUTED_VALUE"""),"106854722538")</f>
        <v>106854722538</v>
      </c>
      <c r="C10500" s="2" t="str">
        <v>0</v>
      </c>
      <c r="F10500" s="2" t="str">
        <v>0</v>
      </c>
      <c r="I10500" s="3" t="str">
        <f ca="1">IFERROR(__xludf.DUMMYFUNCTION("""COMPUTED_VALUE"""),"Lê Thảo Nguyên ")</f>
        <v xml:space="preserve">Lê Thảo Nguyên </v>
      </c>
      <c r="J10500" s="2" t="str">
        <f ca="1">IFERROR(__xludf.DUMMYFUNCTION("""COMPUTED_VALUE"""),"0793572391")</f>
        <v>0793572391</v>
      </c>
      <c r="K10500" s="2" t="str">
        <f ca="1">IFERROR(__xludf.DUMMYFUNCTION("""COMPUTED_VALUE"""),"106854722538")</f>
        <v>106854722538</v>
      </c>
    </row>
    <row r="10501" spans="1:11" ht="12.45">
      <c r="A10501" s="2" t="str">
        <f ca="1">IFERROR(__xludf.DUMMYFUNCTION("""COMPUTED_VALUE"""),"106854722696")</f>
        <v>106854722696</v>
      </c>
      <c r="C10501" s="2" t="str">
        <v>0</v>
      </c>
      <c r="F10501" s="2" t="str">
        <v>0</v>
      </c>
      <c r="I10501" s="3" t="str">
        <f ca="1">IFERROR(__xludf.DUMMYFUNCTION("""COMPUTED_VALUE"""),"Nguyễn Văn Dũng ")</f>
        <v xml:space="preserve">Nguyễn Văn Dũng </v>
      </c>
      <c r="J10501" s="2" t="str">
        <f ca="1">IFERROR(__xludf.DUMMYFUNCTION("""COMPUTED_VALUE"""),"0377915931")</f>
        <v>0377915931</v>
      </c>
      <c r="K10501" s="2" t="str">
        <f ca="1">IFERROR(__xludf.DUMMYFUNCTION("""COMPUTED_VALUE"""),"106854722696")</f>
        <v>106854722696</v>
      </c>
    </row>
    <row r="10502" spans="1:11" ht="12.45">
      <c r="A10502" s="2" t="str">
        <f ca="1">IFERROR(__xludf.DUMMYFUNCTION("""COMPUTED_VALUE"""),"106854722843")</f>
        <v>106854722843</v>
      </c>
      <c r="C10502" s="2" t="str">
        <v>0</v>
      </c>
      <c r="F10502" s="2" t="str">
        <v>0</v>
      </c>
      <c r="I10502" s="3" t="str">
        <f ca="1">IFERROR(__xludf.DUMMYFUNCTION("""COMPUTED_VALUE"""),"Trương Bạt Tụy")</f>
        <v>Trương Bạt Tụy</v>
      </c>
      <c r="J10502" s="2" t="str">
        <f ca="1">IFERROR(__xludf.DUMMYFUNCTION("""COMPUTED_VALUE"""),"0764472798")</f>
        <v>0764472798</v>
      </c>
      <c r="K10502" s="2" t="str">
        <f ca="1">IFERROR(__xludf.DUMMYFUNCTION("""COMPUTED_VALUE"""),"106854722843")</f>
        <v>106854722843</v>
      </c>
    </row>
    <row r="10503" spans="1:11" ht="12.45">
      <c r="A10503" s="2" t="str">
        <f ca="1">IFERROR(__xludf.DUMMYFUNCTION("""COMPUTED_VALUE"""),"106854723033")</f>
        <v>106854723033</v>
      </c>
      <c r="C10503" s="2" t="str">
        <v>0</v>
      </c>
      <c r="F10503" s="2" t="str">
        <v>0</v>
      </c>
      <c r="I10503" s="3" t="str">
        <f ca="1">IFERROR(__xludf.DUMMYFUNCTION("""COMPUTED_VALUE"""),"Nguyễn Thị Ngọc Duy")</f>
        <v>Nguyễn Thị Ngọc Duy</v>
      </c>
      <c r="J10503" s="2" t="str">
        <f ca="1">IFERROR(__xludf.DUMMYFUNCTION("""COMPUTED_VALUE"""),"0942754980")</f>
        <v>0942754980</v>
      </c>
      <c r="K10503" s="2" t="str">
        <f ca="1">IFERROR(__xludf.DUMMYFUNCTION("""COMPUTED_VALUE"""),"106854723033")</f>
        <v>106854723033</v>
      </c>
    </row>
    <row r="10504" spans="1:11" ht="12.45">
      <c r="A10504" s="2"/>
      <c r="C10504" s="2" t="str">
        <v>0</v>
      </c>
      <c r="F10504" s="2" t="str">
        <v>0</v>
      </c>
      <c r="I10504" s="3" t="str">
        <f ca="1">IFERROR(__xludf.DUMMYFUNCTION("""COMPUTED_VALUE"""),"Lương Gia Bảo")</f>
        <v>Lương Gia Bảo</v>
      </c>
      <c r="J10504" s="2" t="str">
        <f ca="1">IFERROR(__xludf.DUMMYFUNCTION("""COMPUTED_VALUE"""),"0395632456")</f>
        <v>0395632456</v>
      </c>
      <c r="K10504" s="2"/>
    </row>
    <row r="10505" spans="1:11" ht="12.45">
      <c r="A10505" s="2" t="str">
        <f ca="1">IFERROR(__xludf.DUMMYFUNCTION("""COMPUTED_VALUE"""),"106854723141")</f>
        <v>106854723141</v>
      </c>
      <c r="C10505" s="2" t="str">
        <v>0</v>
      </c>
      <c r="F10505" s="2" t="str">
        <v>0</v>
      </c>
      <c r="I10505" s="3" t="str">
        <f ca="1">IFERROR(__xludf.DUMMYFUNCTION("""COMPUTED_VALUE"""),"Nguyễn Uyên Trang")</f>
        <v>Nguyễn Uyên Trang</v>
      </c>
      <c r="J10505" s="2" t="str">
        <f ca="1">IFERROR(__xludf.DUMMYFUNCTION("""COMPUTED_VALUE"""),"0868130108")</f>
        <v>0868130108</v>
      </c>
      <c r="K10505" s="2" t="str">
        <f ca="1">IFERROR(__xludf.DUMMYFUNCTION("""COMPUTED_VALUE"""),"106854723141")</f>
        <v>106854723141</v>
      </c>
    </row>
    <row r="10506" spans="1:11" ht="12.45">
      <c r="A10506" s="2" t="str">
        <f ca="1">IFERROR(__xludf.DUMMYFUNCTION("""COMPUTED_VALUE"""),"106854723227")</f>
        <v>106854723227</v>
      </c>
      <c r="C10506" s="2" t="str">
        <v>0</v>
      </c>
      <c r="F10506" s="2" t="str">
        <v>0</v>
      </c>
      <c r="I10506" s="3" t="str">
        <f ca="1">IFERROR(__xludf.DUMMYFUNCTION("""COMPUTED_VALUE"""),"Hải Yến")</f>
        <v>Hải Yến</v>
      </c>
      <c r="J10506" s="2" t="str">
        <f ca="1">IFERROR(__xludf.DUMMYFUNCTION("""COMPUTED_VALUE"""),"0963992391")</f>
        <v>0963992391</v>
      </c>
      <c r="K10506" s="2" t="str">
        <f ca="1">IFERROR(__xludf.DUMMYFUNCTION("""COMPUTED_VALUE"""),"106854723227")</f>
        <v>106854723227</v>
      </c>
    </row>
    <row r="10507" spans="1:11" ht="12.45">
      <c r="A10507" s="2" t="str">
        <f ca="1">IFERROR(__xludf.DUMMYFUNCTION("""COMPUTED_VALUE"""),"106854723378")</f>
        <v>106854723378</v>
      </c>
      <c r="C10507" s="2" t="str">
        <v>0</v>
      </c>
      <c r="F10507" s="2" t="str">
        <v>0</v>
      </c>
      <c r="I10507" s="3" t="str">
        <f ca="1">IFERROR(__xludf.DUMMYFUNCTION("""COMPUTED_VALUE"""),"Vũ Hải Đăng")</f>
        <v>Vũ Hải Đăng</v>
      </c>
      <c r="J10507" s="2" t="str">
        <f ca="1">IFERROR(__xludf.DUMMYFUNCTION("""COMPUTED_VALUE"""),"0384552077")</f>
        <v>0384552077</v>
      </c>
      <c r="K10507" s="2" t="str">
        <f ca="1">IFERROR(__xludf.DUMMYFUNCTION("""COMPUTED_VALUE"""),"106854723378")</f>
        <v>106854723378</v>
      </c>
    </row>
    <row r="10508" spans="1:11" ht="12.45">
      <c r="A10508" s="2" t="str">
        <f ca="1">IFERROR(__xludf.DUMMYFUNCTION("""COMPUTED_VALUE"""),"106854723464")</f>
        <v>106854723464</v>
      </c>
      <c r="C10508" s="2" t="str">
        <v>0</v>
      </c>
      <c r="F10508" s="2" t="str">
        <v>0</v>
      </c>
      <c r="I10508" s="3" t="str">
        <f ca="1">IFERROR(__xludf.DUMMYFUNCTION("""COMPUTED_VALUE"""),"LÊ THỊ PHƯƠNG LY")</f>
        <v>LÊ THỊ PHƯƠNG LY</v>
      </c>
      <c r="J10508" s="2" t="str">
        <f ca="1">IFERROR(__xludf.DUMMYFUNCTION("""COMPUTED_VALUE"""),"0986788063")</f>
        <v>0986788063</v>
      </c>
      <c r="K10508" s="2" t="str">
        <f ca="1">IFERROR(__xludf.DUMMYFUNCTION("""COMPUTED_VALUE"""),"106854723464")</f>
        <v>106854723464</v>
      </c>
    </row>
    <row r="10509" spans="1:11" ht="12.45">
      <c r="A10509" s="2" t="str">
        <f ca="1">IFERROR(__xludf.DUMMYFUNCTION("""COMPUTED_VALUE"""),"106854723537")</f>
        <v>106854723537</v>
      </c>
      <c r="C10509" s="2" t="str">
        <v>0</v>
      </c>
      <c r="F10509" s="2" t="str">
        <v>0</v>
      </c>
      <c r="I10509" s="3" t="str">
        <f ca="1">IFERROR(__xludf.DUMMYFUNCTION("""COMPUTED_VALUE"""),"Ngô Nguyệt Anh")</f>
        <v>Ngô Nguyệt Anh</v>
      </c>
      <c r="J10509" s="2" t="str">
        <f ca="1">IFERROR(__xludf.DUMMYFUNCTION("""COMPUTED_VALUE"""),"0862588516")</f>
        <v>0862588516</v>
      </c>
      <c r="K10509" s="2" t="str">
        <f ca="1">IFERROR(__xludf.DUMMYFUNCTION("""COMPUTED_VALUE"""),"106854723537")</f>
        <v>106854723537</v>
      </c>
    </row>
    <row r="10510" spans="1:11" ht="12.45">
      <c r="A10510" s="2" t="str">
        <f ca="1">IFERROR(__xludf.DUMMYFUNCTION("""COMPUTED_VALUE"""),"106854723681")</f>
        <v>106854723681</v>
      </c>
      <c r="C10510" s="2" t="str">
        <v>0</v>
      </c>
      <c r="F10510" s="2" t="str">
        <v>0</v>
      </c>
      <c r="I10510" s="3" t="str">
        <f ca="1">IFERROR(__xludf.DUMMYFUNCTION("""COMPUTED_VALUE"""),"Lưu Thị Thùy Dương")</f>
        <v>Lưu Thị Thùy Dương</v>
      </c>
      <c r="J10510" s="2" t="str">
        <f ca="1">IFERROR(__xludf.DUMMYFUNCTION("""COMPUTED_VALUE"""),"0367514174")</f>
        <v>0367514174</v>
      </c>
      <c r="K10510" s="2" t="str">
        <f ca="1">IFERROR(__xludf.DUMMYFUNCTION("""COMPUTED_VALUE"""),"106854723681")</f>
        <v>106854723681</v>
      </c>
    </row>
    <row r="10511" spans="1:11" ht="12.45">
      <c r="A10511" s="2" t="str">
        <f ca="1">IFERROR(__xludf.DUMMYFUNCTION("""COMPUTED_VALUE"""),"106854723785")</f>
        <v>106854723785</v>
      </c>
      <c r="C10511" s="2" t="str">
        <v>0</v>
      </c>
      <c r="F10511" s="2" t="str">
        <v>0</v>
      </c>
      <c r="I10511" s="3" t="str">
        <f ca="1">IFERROR(__xludf.DUMMYFUNCTION("""COMPUTED_VALUE"""),"Lê thành đạt")</f>
        <v>Lê thành đạt</v>
      </c>
      <c r="J10511" s="2" t="str">
        <f ca="1">IFERROR(__xludf.DUMMYFUNCTION("""COMPUTED_VALUE"""),"0385496076")</f>
        <v>0385496076</v>
      </c>
      <c r="K10511" s="2" t="str">
        <f ca="1">IFERROR(__xludf.DUMMYFUNCTION("""COMPUTED_VALUE"""),"106854723785")</f>
        <v>106854723785</v>
      </c>
    </row>
    <row r="10512" spans="1:11" ht="12.45">
      <c r="A10512" s="2" t="str">
        <f ca="1">IFERROR(__xludf.DUMMYFUNCTION("""COMPUTED_VALUE"""),"106854723890")</f>
        <v>106854723890</v>
      </c>
      <c r="C10512" s="2" t="str">
        <v>0</v>
      </c>
      <c r="F10512" s="2" t="str">
        <v>0</v>
      </c>
      <c r="I10512" s="3" t="str">
        <f ca="1">IFERROR(__xludf.DUMMYFUNCTION("""COMPUTED_VALUE"""),"Nông Bảo Phúc")</f>
        <v>Nông Bảo Phúc</v>
      </c>
      <c r="J10512" s="2" t="str">
        <f ca="1">IFERROR(__xludf.DUMMYFUNCTION("""COMPUTED_VALUE"""),"0912958176")</f>
        <v>0912958176</v>
      </c>
      <c r="K10512" s="2" t="str">
        <f ca="1">IFERROR(__xludf.DUMMYFUNCTION("""COMPUTED_VALUE"""),"106854723890")</f>
        <v>106854723890</v>
      </c>
    </row>
    <row r="10513" spans="1:11" ht="12.45">
      <c r="A10513" s="2" t="str">
        <f ca="1">IFERROR(__xludf.DUMMYFUNCTION("""COMPUTED_VALUE"""),"106854724037")</f>
        <v>106854724037</v>
      </c>
      <c r="C10513" s="2" t="str">
        <v>0</v>
      </c>
      <c r="F10513" s="2" t="str">
        <v>0</v>
      </c>
      <c r="I10513" s="3" t="str">
        <f ca="1">IFERROR(__xludf.DUMMYFUNCTION("""COMPUTED_VALUE"""),"Trịnh Hải Quân")</f>
        <v>Trịnh Hải Quân</v>
      </c>
      <c r="J10513" s="2" t="str">
        <f ca="1">IFERROR(__xludf.DUMMYFUNCTION("""COMPUTED_VALUE"""),"0368281225")</f>
        <v>0368281225</v>
      </c>
      <c r="K10513" s="2" t="str">
        <f ca="1">IFERROR(__xludf.DUMMYFUNCTION("""COMPUTED_VALUE"""),"106854724037")</f>
        <v>106854724037</v>
      </c>
    </row>
    <row r="10514" spans="1:11" ht="12.45">
      <c r="A10514" s="2" t="str">
        <f ca="1">IFERROR(__xludf.DUMMYFUNCTION("""COMPUTED_VALUE"""),"106854724298")</f>
        <v>106854724298</v>
      </c>
      <c r="C10514" s="2" t="str">
        <v>0</v>
      </c>
      <c r="F10514" s="2" t="str">
        <v>0</v>
      </c>
      <c r="I10514" s="3" t="str">
        <f ca="1">IFERROR(__xludf.DUMMYFUNCTION("""COMPUTED_VALUE"""),"đới minh phương")</f>
        <v>đới minh phương</v>
      </c>
      <c r="J10514" s="2" t="str">
        <f ca="1">IFERROR(__xludf.DUMMYFUNCTION("""COMPUTED_VALUE"""),"0967217892")</f>
        <v>0967217892</v>
      </c>
      <c r="K10514" s="2" t="str">
        <f ca="1">IFERROR(__xludf.DUMMYFUNCTION("""COMPUTED_VALUE"""),"106854724298")</f>
        <v>106854724298</v>
      </c>
    </row>
    <row r="10515" spans="1:11" ht="12.45">
      <c r="A10515" s="2" t="str">
        <f ca="1">IFERROR(__xludf.DUMMYFUNCTION("""COMPUTED_VALUE"""),"106854724377")</f>
        <v>106854724377</v>
      </c>
      <c r="C10515" s="2" t="str">
        <v>0</v>
      </c>
      <c r="F10515" s="2" t="str">
        <v>0</v>
      </c>
      <c r="I10515" s="3" t="str">
        <f ca="1">IFERROR(__xludf.DUMMYFUNCTION("""COMPUTED_VALUE"""),"Đồng Phúc Việt ")</f>
        <v xml:space="preserve">Đồng Phúc Việt </v>
      </c>
      <c r="J10515" s="2" t="str">
        <f ca="1">IFERROR(__xludf.DUMMYFUNCTION("""COMPUTED_VALUE"""),"0367067007")</f>
        <v>0367067007</v>
      </c>
      <c r="K10515" s="2" t="str">
        <f ca="1">IFERROR(__xludf.DUMMYFUNCTION("""COMPUTED_VALUE"""),"106854724377")</f>
        <v>106854724377</v>
      </c>
    </row>
    <row r="10516" spans="1:11" ht="12.45">
      <c r="A10516" s="2" t="str">
        <f ca="1">IFERROR(__xludf.DUMMYFUNCTION("""COMPUTED_VALUE"""),"106854724499")</f>
        <v>106854724499</v>
      </c>
      <c r="C10516" s="2" t="str">
        <v>0</v>
      </c>
      <c r="F10516" s="2" t="str">
        <v>0</v>
      </c>
      <c r="I10516" s="3" t="str">
        <f ca="1">IFERROR(__xludf.DUMMYFUNCTION("""COMPUTED_VALUE"""),"Ngô Nhật Linh")</f>
        <v>Ngô Nhật Linh</v>
      </c>
      <c r="J10516" s="2" t="str">
        <f ca="1">IFERROR(__xludf.DUMMYFUNCTION("""COMPUTED_VALUE"""),"0358929577")</f>
        <v>0358929577</v>
      </c>
      <c r="K10516" s="2" t="str">
        <f ca="1">IFERROR(__xludf.DUMMYFUNCTION("""COMPUTED_VALUE"""),"106854724499")</f>
        <v>106854724499</v>
      </c>
    </row>
    <row r="10517" spans="1:11" ht="12.45">
      <c r="A10517" s="2" t="str">
        <f ca="1">IFERROR(__xludf.DUMMYFUNCTION("""COMPUTED_VALUE"""),"106854724515")</f>
        <v>106854724515</v>
      </c>
      <c r="C10517" s="2" t="str">
        <v>0</v>
      </c>
      <c r="F10517" s="2" t="str">
        <v>0</v>
      </c>
      <c r="I10517" s="3" t="str">
        <f ca="1">IFERROR(__xludf.DUMMYFUNCTION("""COMPUTED_VALUE"""),"Đỗ Thị Hương Ly")</f>
        <v>Đỗ Thị Hương Ly</v>
      </c>
      <c r="J10517" s="2" t="str">
        <f ca="1">IFERROR(__xludf.DUMMYFUNCTION("""COMPUTED_VALUE"""),"0337881430")</f>
        <v>0337881430</v>
      </c>
      <c r="K10517" s="2" t="str">
        <f ca="1">IFERROR(__xludf.DUMMYFUNCTION("""COMPUTED_VALUE"""),"106854724515")</f>
        <v>106854724515</v>
      </c>
    </row>
    <row r="10518" spans="1:11" ht="12.45">
      <c r="A10518" s="2" t="str">
        <f ca="1">IFERROR(__xludf.DUMMYFUNCTION("""COMPUTED_VALUE"""),"106854724635")</f>
        <v>106854724635</v>
      </c>
      <c r="C10518" s="2" t="str">
        <v>0</v>
      </c>
      <c r="F10518" s="2" t="str">
        <v>0</v>
      </c>
      <c r="I10518" s="3" t="str">
        <f ca="1">IFERROR(__xludf.DUMMYFUNCTION("""COMPUTED_VALUE"""),"Trần Thảo Nguyên")</f>
        <v>Trần Thảo Nguyên</v>
      </c>
      <c r="J10518" s="2" t="str">
        <f ca="1">IFERROR(__xludf.DUMMYFUNCTION("""COMPUTED_VALUE"""),"0903564725")</f>
        <v>0903564725</v>
      </c>
      <c r="K10518" s="2" t="str">
        <f ca="1">IFERROR(__xludf.DUMMYFUNCTION("""COMPUTED_VALUE"""),"106854724635")</f>
        <v>106854724635</v>
      </c>
    </row>
    <row r="10519" spans="1:11" ht="12.45">
      <c r="A10519" s="2" t="str">
        <f ca="1">IFERROR(__xludf.DUMMYFUNCTION("""COMPUTED_VALUE"""),"106854724742")</f>
        <v>106854724742</v>
      </c>
      <c r="C10519" s="2" t="str">
        <v>0</v>
      </c>
      <c r="F10519" s="2" t="str">
        <v>0</v>
      </c>
      <c r="I10519" s="3" t="str">
        <f ca="1">IFERROR(__xludf.DUMMYFUNCTION("""COMPUTED_VALUE"""),"Đặng Quỳnh Trang")</f>
        <v>Đặng Quỳnh Trang</v>
      </c>
      <c r="J10519" s="2" t="str">
        <f ca="1">IFERROR(__xludf.DUMMYFUNCTION("""COMPUTED_VALUE"""),"0981895207")</f>
        <v>0981895207</v>
      </c>
      <c r="K10519" s="2" t="str">
        <f ca="1">IFERROR(__xludf.DUMMYFUNCTION("""COMPUTED_VALUE"""),"106854724742")</f>
        <v>106854724742</v>
      </c>
    </row>
    <row r="10520" spans="1:11" ht="12.45">
      <c r="A10520" s="2" t="str">
        <f ca="1">IFERROR(__xludf.DUMMYFUNCTION("""COMPUTED_VALUE"""),"106854892789")</f>
        <v>106854892789</v>
      </c>
      <c r="C10520" s="2" t="str">
        <v>0</v>
      </c>
      <c r="F10520" s="2" t="str">
        <v>0</v>
      </c>
      <c r="I10520" s="3" t="str">
        <f ca="1">IFERROR(__xludf.DUMMYFUNCTION("""COMPUTED_VALUE"""),"Lê Hồ Bảo Trâm")</f>
        <v>Lê Hồ Bảo Trâm</v>
      </c>
      <c r="J10520" s="2" t="str">
        <f ca="1">IFERROR(__xludf.DUMMYFUNCTION("""COMPUTED_VALUE"""),"0967692067")</f>
        <v>0967692067</v>
      </c>
      <c r="K10520" s="2" t="str">
        <f ca="1">IFERROR(__xludf.DUMMYFUNCTION("""COMPUTED_VALUE"""),"106854892789")</f>
        <v>106854892789</v>
      </c>
    </row>
    <row r="10521" spans="1:11" ht="12.45">
      <c r="A10521" s="2" t="str">
        <f ca="1">IFERROR(__xludf.DUMMYFUNCTION("""COMPUTED_VALUE"""),"106854892870")</f>
        <v>106854892870</v>
      </c>
      <c r="C10521" s="2" t="str">
        <v>0</v>
      </c>
      <c r="F10521" s="2" t="str">
        <v>0</v>
      </c>
      <c r="I10521" s="3" t="str">
        <f ca="1">IFERROR(__xludf.DUMMYFUNCTION("""COMPUTED_VALUE"""),"Nguyễn Ngọc Anh ")</f>
        <v xml:space="preserve">Nguyễn Ngọc Anh </v>
      </c>
      <c r="J10521" s="2" t="str">
        <f ca="1">IFERROR(__xludf.DUMMYFUNCTION("""COMPUTED_VALUE"""),"0339127507")</f>
        <v>0339127507</v>
      </c>
      <c r="K10521" s="2" t="str">
        <f ca="1">IFERROR(__xludf.DUMMYFUNCTION("""COMPUTED_VALUE"""),"106854892870")</f>
        <v>106854892870</v>
      </c>
    </row>
    <row r="10522" spans="1:11" ht="12.45">
      <c r="A10522" s="2" t="str">
        <f ca="1">IFERROR(__xludf.DUMMYFUNCTION("""COMPUTED_VALUE"""),"106854892992")</f>
        <v>106854892992</v>
      </c>
      <c r="C10522" s="2" t="str">
        <v>0</v>
      </c>
      <c r="F10522" s="2" t="str">
        <v>0</v>
      </c>
      <c r="I10522" s="3" t="str">
        <f ca="1">IFERROR(__xludf.DUMMYFUNCTION("""COMPUTED_VALUE"""),"Nguyễn Thị Hồng Na")</f>
        <v>Nguyễn Thị Hồng Na</v>
      </c>
      <c r="J10522" s="2" t="str">
        <f ca="1">IFERROR(__xludf.DUMMYFUNCTION("""COMPUTED_VALUE"""),"0357806457")</f>
        <v>0357806457</v>
      </c>
      <c r="K10522" s="2" t="str">
        <f ca="1">IFERROR(__xludf.DUMMYFUNCTION("""COMPUTED_VALUE"""),"106854892992")</f>
        <v>106854892992</v>
      </c>
    </row>
    <row r="10523" spans="1:11" ht="12.45">
      <c r="A10523" s="2" t="str">
        <f ca="1">IFERROR(__xludf.DUMMYFUNCTION("""COMPUTED_VALUE"""),"106854893134")</f>
        <v>106854893134</v>
      </c>
      <c r="C10523" s="2" t="str">
        <v>0</v>
      </c>
      <c r="F10523" s="2" t="str">
        <v>0</v>
      </c>
      <c r="I10523" s="3" t="str">
        <f ca="1">IFERROR(__xludf.DUMMYFUNCTION("""COMPUTED_VALUE"""),"Nguyễn Lâm Nhi")</f>
        <v>Nguyễn Lâm Nhi</v>
      </c>
      <c r="J10523" s="2" t="str">
        <f ca="1">IFERROR(__xludf.DUMMYFUNCTION("""COMPUTED_VALUE"""),"0394807598")</f>
        <v>0394807598</v>
      </c>
      <c r="K10523" s="2" t="str">
        <f ca="1">IFERROR(__xludf.DUMMYFUNCTION("""COMPUTED_VALUE"""),"106854893134")</f>
        <v>106854893134</v>
      </c>
    </row>
    <row r="10524" spans="1:11" ht="12.45">
      <c r="A10524" s="2" t="str">
        <f ca="1">IFERROR(__xludf.DUMMYFUNCTION("""COMPUTED_VALUE"""),"106854893265")</f>
        <v>106854893265</v>
      </c>
      <c r="C10524" s="2" t="str">
        <v>0</v>
      </c>
      <c r="F10524" s="2" t="str">
        <v>0</v>
      </c>
      <c r="I10524" s="3" t="str">
        <f ca="1">IFERROR(__xludf.DUMMYFUNCTION("""COMPUTED_VALUE"""),"Lưu Xuân Hoa")</f>
        <v>Lưu Xuân Hoa</v>
      </c>
      <c r="J10524" s="2" t="str">
        <f ca="1">IFERROR(__xludf.DUMMYFUNCTION("""COMPUTED_VALUE"""),"0936845229")</f>
        <v>0936845229</v>
      </c>
      <c r="K10524" s="2" t="str">
        <f ca="1">IFERROR(__xludf.DUMMYFUNCTION("""COMPUTED_VALUE"""),"106854893265")</f>
        <v>106854893265</v>
      </c>
    </row>
    <row r="10525" spans="1:11" ht="12.45">
      <c r="A10525" s="2" t="str">
        <f ca="1">IFERROR(__xludf.DUMMYFUNCTION("""COMPUTED_VALUE"""),"106854893373")</f>
        <v>106854893373</v>
      </c>
      <c r="C10525" s="2" t="str">
        <v>0</v>
      </c>
      <c r="F10525" s="2" t="str">
        <v>0</v>
      </c>
      <c r="I10525" s="3" t="str">
        <f ca="1">IFERROR(__xludf.DUMMYFUNCTION("""COMPUTED_VALUE"""),"Huỳnh Võ Ngọc Trâm ")</f>
        <v xml:space="preserve">Huỳnh Võ Ngọc Trâm </v>
      </c>
      <c r="J10525" s="2" t="str">
        <f ca="1">IFERROR(__xludf.DUMMYFUNCTION("""COMPUTED_VALUE"""),"0913447075")</f>
        <v>0913447075</v>
      </c>
      <c r="K10525" s="2" t="str">
        <f ca="1">IFERROR(__xludf.DUMMYFUNCTION("""COMPUTED_VALUE"""),"106854893373")</f>
        <v>106854893373</v>
      </c>
    </row>
    <row r="10526" spans="1:11" ht="12.45">
      <c r="A10526" s="2" t="str">
        <f ca="1">IFERROR(__xludf.DUMMYFUNCTION("""COMPUTED_VALUE"""),"106854893487")</f>
        <v>106854893487</v>
      </c>
      <c r="C10526" s="2" t="str">
        <v>0</v>
      </c>
      <c r="F10526" s="2" t="str">
        <v>0</v>
      </c>
      <c r="I10526" s="3" t="str">
        <f ca="1">IFERROR(__xludf.DUMMYFUNCTION("""COMPUTED_VALUE"""),"VŨ THỊ HOA")</f>
        <v>VŨ THỊ HOA</v>
      </c>
      <c r="J10526" s="2" t="str">
        <f ca="1">IFERROR(__xludf.DUMMYFUNCTION("""COMPUTED_VALUE"""),"0344238739")</f>
        <v>0344238739</v>
      </c>
      <c r="K10526" s="2" t="str">
        <f ca="1">IFERROR(__xludf.DUMMYFUNCTION("""COMPUTED_VALUE"""),"106854893487")</f>
        <v>106854893487</v>
      </c>
    </row>
    <row r="10527" spans="1:11" ht="12.45">
      <c r="A10527" s="2" t="str">
        <f ca="1">IFERROR(__xludf.DUMMYFUNCTION("""COMPUTED_VALUE"""),"106854893515")</f>
        <v>106854893515</v>
      </c>
      <c r="C10527" s="2" t="str">
        <v>0</v>
      </c>
      <c r="F10527" s="2" t="str">
        <v>0</v>
      </c>
      <c r="I10527" s="3" t="str">
        <f ca="1">IFERROR(__xludf.DUMMYFUNCTION("""COMPUTED_VALUE"""),"NGUYỄN CHÍ KHÁNH")</f>
        <v>NGUYỄN CHÍ KHÁNH</v>
      </c>
      <c r="J10527" s="2" t="str">
        <f ca="1">IFERROR(__xludf.DUMMYFUNCTION("""COMPUTED_VALUE"""),"0399298870")</f>
        <v>0399298870</v>
      </c>
      <c r="K10527" s="2" t="str">
        <f ca="1">IFERROR(__xludf.DUMMYFUNCTION("""COMPUTED_VALUE"""),"106854893515")</f>
        <v>106854893515</v>
      </c>
    </row>
    <row r="10528" spans="1:11" ht="12.45">
      <c r="A10528" s="2" t="str">
        <f ca="1">IFERROR(__xludf.DUMMYFUNCTION("""COMPUTED_VALUE"""),"106854893618")</f>
        <v>106854893618</v>
      </c>
      <c r="C10528" s="2" t="str">
        <v>0</v>
      </c>
      <c r="F10528" s="2" t="str">
        <v>0</v>
      </c>
      <c r="I10528" s="3" t="str">
        <f ca="1">IFERROR(__xludf.DUMMYFUNCTION("""COMPUTED_VALUE"""),"Nguyễn Lê Anh Thư")</f>
        <v>Nguyễn Lê Anh Thư</v>
      </c>
      <c r="J10528" s="2" t="str">
        <f ca="1">IFERROR(__xludf.DUMMYFUNCTION("""COMPUTED_VALUE"""),"0769224747")</f>
        <v>0769224747</v>
      </c>
      <c r="K10528" s="2" t="str">
        <f ca="1">IFERROR(__xludf.DUMMYFUNCTION("""COMPUTED_VALUE"""),"106854893618")</f>
        <v>106854893618</v>
      </c>
    </row>
    <row r="10529" spans="1:11" ht="12.45">
      <c r="A10529" s="2" t="str">
        <f ca="1">IFERROR(__xludf.DUMMYFUNCTION("""COMPUTED_VALUE"""),"106854893786")</f>
        <v>106854893786</v>
      </c>
      <c r="C10529" s="2" t="str">
        <v>0</v>
      </c>
      <c r="F10529" s="2" t="str">
        <v>0</v>
      </c>
      <c r="I10529" s="3" t="str">
        <f ca="1">IFERROR(__xludf.DUMMYFUNCTION("""COMPUTED_VALUE"""),"Cao Bích Ngọc")</f>
        <v>Cao Bích Ngọc</v>
      </c>
      <c r="J10529" s="2" t="str">
        <f ca="1">IFERROR(__xludf.DUMMYFUNCTION("""COMPUTED_VALUE"""),"0961740600")</f>
        <v>0961740600</v>
      </c>
      <c r="K10529" s="2" t="str">
        <f ca="1">IFERROR(__xludf.DUMMYFUNCTION("""COMPUTED_VALUE"""),"106854893786")</f>
        <v>106854893786</v>
      </c>
    </row>
    <row r="10530" spans="1:11" ht="12.45">
      <c r="A10530" s="2" t="str">
        <f ca="1">IFERROR(__xludf.DUMMYFUNCTION("""COMPUTED_VALUE"""),"106854893843")</f>
        <v>106854893843</v>
      </c>
      <c r="C10530" s="2" t="str">
        <v>0</v>
      </c>
      <c r="F10530" s="2" t="str">
        <v>0</v>
      </c>
      <c r="I10530" s="3" t="str">
        <f ca="1">IFERROR(__xludf.DUMMYFUNCTION("""COMPUTED_VALUE"""),"Nguyễn Ngọc Bảo Thy")</f>
        <v>Nguyễn Ngọc Bảo Thy</v>
      </c>
      <c r="J10530" s="2" t="str">
        <f ca="1">IFERROR(__xludf.DUMMYFUNCTION("""COMPUTED_VALUE"""),"0946090959")</f>
        <v>0946090959</v>
      </c>
      <c r="K10530" s="2" t="str">
        <f ca="1">IFERROR(__xludf.DUMMYFUNCTION("""COMPUTED_VALUE"""),"106854893843")</f>
        <v>106854893843</v>
      </c>
    </row>
    <row r="10531" spans="1:11" ht="12.45">
      <c r="A10531" s="2" t="str">
        <f ca="1">IFERROR(__xludf.DUMMYFUNCTION("""COMPUTED_VALUE"""),"106854893967")</f>
        <v>106854893967</v>
      </c>
      <c r="C10531" s="2" t="str">
        <v>0</v>
      </c>
      <c r="F10531" s="2" t="str">
        <v>0</v>
      </c>
      <c r="I10531" s="2" t="str">
        <f ca="1">IFERROR(__xludf.DUMMYFUNCTION("""COMPUTED_VALUE"""),"Nguyễn Huỳnh Nhã Uyên")</f>
        <v>Nguyễn Huỳnh Nhã Uyên</v>
      </c>
      <c r="J10531" s="3" t="str">
        <f ca="1">IFERROR(__xludf.DUMMYFUNCTION("""COMPUTED_VALUE"""),"0852069808")</f>
        <v>0852069808</v>
      </c>
      <c r="K10531" s="2" t="str">
        <f ca="1">IFERROR(__xludf.DUMMYFUNCTION("""COMPUTED_VALUE"""),"106854893967")</f>
        <v>106854893967</v>
      </c>
    </row>
    <row r="10532" spans="1:11" ht="12.45">
      <c r="A10532" s="2" t="str">
        <f ca="1">IFERROR(__xludf.DUMMYFUNCTION("""COMPUTED_VALUE"""),"106854894022")</f>
        <v>106854894022</v>
      </c>
      <c r="C10532" s="2" t="str">
        <v>0</v>
      </c>
      <c r="F10532" s="2" t="str">
        <v>0</v>
      </c>
      <c r="I10532" s="3" t="str">
        <f ca="1">IFERROR(__xludf.DUMMYFUNCTION("""COMPUTED_VALUE"""),"Nguyễn Ngọc Phương")</f>
        <v>Nguyễn Ngọc Phương</v>
      </c>
      <c r="J10532" s="2" t="str">
        <f ca="1">IFERROR(__xludf.DUMMYFUNCTION("""COMPUTED_VALUE"""),"0886291976")</f>
        <v>0886291976</v>
      </c>
      <c r="K10532" s="2" t="str">
        <f ca="1">IFERROR(__xludf.DUMMYFUNCTION("""COMPUTED_VALUE"""),"106854894022")</f>
        <v>106854894022</v>
      </c>
    </row>
    <row r="10533" spans="1:11" ht="12.45">
      <c r="A10533" s="2" t="str">
        <f ca="1">IFERROR(__xludf.DUMMYFUNCTION("""COMPUTED_VALUE"""),"106854894130")</f>
        <v>106854894130</v>
      </c>
      <c r="C10533" s="2" t="str">
        <v>0</v>
      </c>
      <c r="F10533" s="2" t="str">
        <v>0</v>
      </c>
      <c r="I10533" s="3" t="str">
        <f ca="1">IFERROR(__xludf.DUMMYFUNCTION("""COMPUTED_VALUE"""),"Lê Vũ Lan Anh")</f>
        <v>Lê Vũ Lan Anh</v>
      </c>
      <c r="J10533" s="2" t="str">
        <f ca="1">IFERROR(__xludf.DUMMYFUNCTION("""COMPUTED_VALUE"""),"0856949838")</f>
        <v>0856949838</v>
      </c>
      <c r="K10533" s="2" t="str">
        <f ca="1">IFERROR(__xludf.DUMMYFUNCTION("""COMPUTED_VALUE"""),"106854894130")</f>
        <v>106854894130</v>
      </c>
    </row>
    <row r="10534" spans="1:11" ht="12.45">
      <c r="A10534" s="2" t="str">
        <f ca="1">IFERROR(__xludf.DUMMYFUNCTION("""COMPUTED_VALUE"""),"106854894288")</f>
        <v>106854894288</v>
      </c>
      <c r="C10534" s="2" t="str">
        <v>0</v>
      </c>
      <c r="F10534" s="2" t="str">
        <v>0</v>
      </c>
      <c r="I10534" s="3" t="str">
        <f ca="1">IFERROR(__xludf.DUMMYFUNCTION("""COMPUTED_VALUE"""),"Đặng Thuỳ Nhi")</f>
        <v>Đặng Thuỳ Nhi</v>
      </c>
      <c r="J10534" s="2" t="str">
        <f ca="1">IFERROR(__xludf.DUMMYFUNCTION("""COMPUTED_VALUE"""),"0383883048")</f>
        <v>0383883048</v>
      </c>
      <c r="K10534" s="2" t="str">
        <f ca="1">IFERROR(__xludf.DUMMYFUNCTION("""COMPUTED_VALUE"""),"106854894288")</f>
        <v>106854894288</v>
      </c>
    </row>
    <row r="10535" spans="1:11" ht="12.45">
      <c r="A10535" s="2" t="str">
        <f ca="1">IFERROR(__xludf.DUMMYFUNCTION("""COMPUTED_VALUE"""),"106854894310")</f>
        <v>106854894310</v>
      </c>
      <c r="C10535" s="2" t="str">
        <v>0</v>
      </c>
      <c r="F10535" s="2" t="str">
        <v>0</v>
      </c>
      <c r="I10535" s="3" t="str">
        <f ca="1">IFERROR(__xludf.DUMMYFUNCTION("""COMPUTED_VALUE"""),"Nguyễn Hoàng Phương Vy ")</f>
        <v xml:space="preserve">Nguyễn Hoàng Phương Vy </v>
      </c>
      <c r="J10535" s="2" t="str">
        <f ca="1">IFERROR(__xludf.DUMMYFUNCTION("""COMPUTED_VALUE"""),"0353695784")</f>
        <v>0353695784</v>
      </c>
      <c r="K10535" s="2" t="str">
        <f ca="1">IFERROR(__xludf.DUMMYFUNCTION("""COMPUTED_VALUE"""),"106854894310")</f>
        <v>106854894310</v>
      </c>
    </row>
    <row r="10536" spans="1:11" ht="12.45">
      <c r="A10536" s="2" t="str">
        <f ca="1">IFERROR(__xludf.DUMMYFUNCTION("""COMPUTED_VALUE"""),"106854894527")</f>
        <v>106854894527</v>
      </c>
      <c r="C10536" s="2" t="str">
        <v>0</v>
      </c>
      <c r="F10536" s="2" t="str">
        <v>0</v>
      </c>
      <c r="I10536" s="3" t="str">
        <f ca="1">IFERROR(__xludf.DUMMYFUNCTION("""COMPUTED_VALUE"""),"Nguyễn Phạm Lê Ni")</f>
        <v>Nguyễn Phạm Lê Ni</v>
      </c>
      <c r="J10536" s="2" t="str">
        <f ca="1">IFERROR(__xludf.DUMMYFUNCTION("""COMPUTED_VALUE"""),"0986501208")</f>
        <v>0986501208</v>
      </c>
      <c r="K10536" s="2" t="str">
        <f ca="1">IFERROR(__xludf.DUMMYFUNCTION("""COMPUTED_VALUE"""),"106854894527")</f>
        <v>106854894527</v>
      </c>
    </row>
    <row r="10537" spans="1:11" ht="12.45">
      <c r="A10537" s="2" t="str">
        <f ca="1">IFERROR(__xludf.DUMMYFUNCTION("""COMPUTED_VALUE"""),"106854894688")</f>
        <v>106854894688</v>
      </c>
      <c r="C10537" s="2" t="str">
        <v>0</v>
      </c>
      <c r="F10537" s="2" t="str">
        <v>0</v>
      </c>
      <c r="I10537" s="3" t="str">
        <f ca="1">IFERROR(__xludf.DUMMYFUNCTION("""COMPUTED_VALUE"""),"Trương Phúc Hiền ")</f>
        <v xml:space="preserve">Trương Phúc Hiền </v>
      </c>
      <c r="J10537" s="2" t="str">
        <f ca="1">IFERROR(__xludf.DUMMYFUNCTION("""COMPUTED_VALUE"""),"0901448364")</f>
        <v>0901448364</v>
      </c>
      <c r="K10537" s="2" t="str">
        <f ca="1">IFERROR(__xludf.DUMMYFUNCTION("""COMPUTED_VALUE"""),"106854894688")</f>
        <v>106854894688</v>
      </c>
    </row>
    <row r="10538" spans="1:11" ht="12.45">
      <c r="A10538" s="2" t="str">
        <f ca="1">IFERROR(__xludf.DUMMYFUNCTION("""COMPUTED_VALUE"""),"107260912196")</f>
        <v>107260912196</v>
      </c>
      <c r="C10538" s="2" t="str">
        <v>0</v>
      </c>
      <c r="F10538" s="2" t="str">
        <v>0</v>
      </c>
      <c r="I10538" s="3" t="str">
        <f ca="1">IFERROR(__xludf.DUMMYFUNCTION("""COMPUTED_VALUE"""),"Phạm Văn Bình")</f>
        <v>Phạm Văn Bình</v>
      </c>
      <c r="J10538" s="2" t="str">
        <f ca="1">IFERROR(__xludf.DUMMYFUNCTION("""COMPUTED_VALUE"""),"0342918909")</f>
        <v>0342918909</v>
      </c>
      <c r="K10538" s="2" t="str">
        <f ca="1">IFERROR(__xludf.DUMMYFUNCTION("""COMPUTED_VALUE"""),"107260912196")</f>
        <v>107260912196</v>
      </c>
    </row>
    <row r="10539" spans="1:11" ht="12.45">
      <c r="A10539" s="2" t="str">
        <f ca="1">IFERROR(__xludf.DUMMYFUNCTION("""COMPUTED_VALUE"""),"106854894991")</f>
        <v>106854894991</v>
      </c>
      <c r="C10539" s="2" t="str">
        <v>0</v>
      </c>
      <c r="F10539" s="2" t="str">
        <v>0</v>
      </c>
      <c r="I10539" s="3" t="str">
        <f ca="1">IFERROR(__xludf.DUMMYFUNCTION("""COMPUTED_VALUE"""),"Nguyễn Quốc Bảo")</f>
        <v>Nguyễn Quốc Bảo</v>
      </c>
      <c r="J10539" s="2" t="str">
        <f ca="1">IFERROR(__xludf.DUMMYFUNCTION("""COMPUTED_VALUE"""),"0327621391")</f>
        <v>0327621391</v>
      </c>
      <c r="K10539" s="2" t="str">
        <f ca="1">IFERROR(__xludf.DUMMYFUNCTION("""COMPUTED_VALUE"""),"106854894991")</f>
        <v>106854894991</v>
      </c>
    </row>
    <row r="10540" spans="1:11" ht="12.45">
      <c r="A10540" s="2" t="str">
        <f ca="1">IFERROR(__xludf.DUMMYFUNCTION("""COMPUTED_VALUE"""),"106854895059")</f>
        <v>106854895059</v>
      </c>
      <c r="C10540" s="2" t="str">
        <v>0</v>
      </c>
      <c r="F10540" s="2" t="str">
        <v>0</v>
      </c>
      <c r="I10540" s="3" t="str">
        <f ca="1">IFERROR(__xludf.DUMMYFUNCTION("""COMPUTED_VALUE"""),"Nguyễn Trọng Phúc")</f>
        <v>Nguyễn Trọng Phúc</v>
      </c>
      <c r="J10540" s="2" t="str">
        <f ca="1">IFERROR(__xludf.DUMMYFUNCTION("""COMPUTED_VALUE"""),"0326526198")</f>
        <v>0326526198</v>
      </c>
      <c r="K10540" s="2" t="str">
        <f ca="1">IFERROR(__xludf.DUMMYFUNCTION("""COMPUTED_VALUE"""),"106854895059")</f>
        <v>106854895059</v>
      </c>
    </row>
    <row r="10541" spans="1:11" ht="12.45">
      <c r="A10541" s="2" t="str">
        <f ca="1">IFERROR(__xludf.DUMMYFUNCTION("""COMPUTED_VALUE"""),"106854895250")</f>
        <v>106854895250</v>
      </c>
      <c r="C10541" s="2" t="str">
        <v>0</v>
      </c>
      <c r="F10541" s="2" t="str">
        <v>0</v>
      </c>
      <c r="I10541" s="3" t="str">
        <f ca="1">IFERROR(__xludf.DUMMYFUNCTION("""COMPUTED_VALUE"""),"Nguyễn Thị Tuyết Nhi")</f>
        <v>Nguyễn Thị Tuyết Nhi</v>
      </c>
      <c r="J10541" s="2" t="str">
        <f ca="1">IFERROR(__xludf.DUMMYFUNCTION("""COMPUTED_VALUE"""),"0384265154")</f>
        <v>0384265154</v>
      </c>
      <c r="K10541" s="2" t="str">
        <f ca="1">IFERROR(__xludf.DUMMYFUNCTION("""COMPUTED_VALUE"""),"106854895250")</f>
        <v>106854895250</v>
      </c>
    </row>
    <row r="10542" spans="1:11" ht="12.45">
      <c r="A10542" s="2" t="str">
        <f ca="1">IFERROR(__xludf.DUMMYFUNCTION("""COMPUTED_VALUE"""),"106854895360")</f>
        <v>106854895360</v>
      </c>
      <c r="C10542" s="2" t="str">
        <v>0</v>
      </c>
      <c r="F10542" s="2" t="str">
        <v>0</v>
      </c>
      <c r="I10542" s="3" t="str">
        <f ca="1">IFERROR(__xludf.DUMMYFUNCTION("""COMPUTED_VALUE"""),"Trương Quang Vinh")</f>
        <v>Trương Quang Vinh</v>
      </c>
      <c r="J10542" s="2" t="str">
        <f ca="1">IFERROR(__xludf.DUMMYFUNCTION("""COMPUTED_VALUE"""),"0707054758")</f>
        <v>0707054758</v>
      </c>
      <c r="K10542" s="2" t="str">
        <f ca="1">IFERROR(__xludf.DUMMYFUNCTION("""COMPUTED_VALUE"""),"106854895360")</f>
        <v>106854895360</v>
      </c>
    </row>
    <row r="10543" spans="1:11" ht="12.45">
      <c r="A10543" s="2" t="str">
        <f ca="1">IFERROR(__xludf.DUMMYFUNCTION("""COMPUTED_VALUE"""),"106854895418")</f>
        <v>106854895418</v>
      </c>
      <c r="C10543" s="2" t="str">
        <v>0</v>
      </c>
      <c r="F10543" s="2" t="str">
        <v>0</v>
      </c>
      <c r="I10543" s="3" t="str">
        <f ca="1">IFERROR(__xludf.DUMMYFUNCTION("""COMPUTED_VALUE"""),"Phạm Vũ Quỳnh Chi")</f>
        <v>Phạm Vũ Quỳnh Chi</v>
      </c>
      <c r="J10543" s="2" t="str">
        <f ca="1">IFERROR(__xludf.DUMMYFUNCTION("""COMPUTED_VALUE"""),"0915956764")</f>
        <v>0915956764</v>
      </c>
      <c r="K10543" s="2" t="str">
        <f ca="1">IFERROR(__xludf.DUMMYFUNCTION("""COMPUTED_VALUE"""),"106854895418")</f>
        <v>106854895418</v>
      </c>
    </row>
    <row r="10544" spans="1:11" ht="12.45">
      <c r="A10544" s="2" t="str">
        <f ca="1">IFERROR(__xludf.DUMMYFUNCTION("""COMPUTED_VALUE"""),"106854895594")</f>
        <v>106854895594</v>
      </c>
      <c r="C10544" s="2" t="str">
        <v>0</v>
      </c>
      <c r="F10544" s="2" t="str">
        <v>0</v>
      </c>
      <c r="I10544" s="3" t="str">
        <f ca="1">IFERROR(__xludf.DUMMYFUNCTION("""COMPUTED_VALUE"""),"Nguyễn Thùy Dương ")</f>
        <v xml:space="preserve">Nguyễn Thùy Dương </v>
      </c>
      <c r="J10544" s="2" t="str">
        <f ca="1">IFERROR(__xludf.DUMMYFUNCTION("""COMPUTED_VALUE"""),"0925221791")</f>
        <v>0925221791</v>
      </c>
      <c r="K10544" s="2" t="str">
        <f ca="1">IFERROR(__xludf.DUMMYFUNCTION("""COMPUTED_VALUE"""),"106854895594")</f>
        <v>106854895594</v>
      </c>
    </row>
    <row r="10545" spans="1:11" ht="12.45">
      <c r="A10545" s="2" t="str">
        <f ca="1">IFERROR(__xludf.DUMMYFUNCTION("""COMPUTED_VALUE"""),"106854895677")</f>
        <v>106854895677</v>
      </c>
      <c r="C10545" s="2" t="str">
        <v>0</v>
      </c>
      <c r="F10545" s="2" t="str">
        <v>0</v>
      </c>
      <c r="I10545" s="3" t="str">
        <f ca="1">IFERROR(__xludf.DUMMYFUNCTION("""COMPUTED_VALUE"""),"Bàn Văn Doanh")</f>
        <v>Bàn Văn Doanh</v>
      </c>
      <c r="J10545" s="2" t="str">
        <f ca="1">IFERROR(__xludf.DUMMYFUNCTION("""COMPUTED_VALUE"""),"0704121581")</f>
        <v>0704121581</v>
      </c>
      <c r="K10545" s="2" t="str">
        <f ca="1">IFERROR(__xludf.DUMMYFUNCTION("""COMPUTED_VALUE"""),"106854895677")</f>
        <v>106854895677</v>
      </c>
    </row>
    <row r="10546" spans="1:11" ht="12.45">
      <c r="A10546" s="2" t="str">
        <f ca="1">IFERROR(__xludf.DUMMYFUNCTION("""COMPUTED_VALUE"""),"106854895926")</f>
        <v>106854895926</v>
      </c>
      <c r="C10546" s="2" t="str">
        <v>0</v>
      </c>
      <c r="F10546" s="2" t="str">
        <v>0</v>
      </c>
      <c r="I10546" s="3" t="str">
        <f ca="1">IFERROR(__xludf.DUMMYFUNCTION("""COMPUTED_VALUE"""),"Nguyễn Anh Khoa ")</f>
        <v xml:space="preserve">Nguyễn Anh Khoa </v>
      </c>
      <c r="J10546" s="2" t="str">
        <f ca="1">IFERROR(__xludf.DUMMYFUNCTION("""COMPUTED_VALUE"""),"0988337206")</f>
        <v>0988337206</v>
      </c>
      <c r="K10546" s="2" t="str">
        <f ca="1">IFERROR(__xludf.DUMMYFUNCTION("""COMPUTED_VALUE"""),"106854895926")</f>
        <v>106854895926</v>
      </c>
    </row>
    <row r="10547" spans="1:11" ht="12.45">
      <c r="A10547" s="2" t="str">
        <f ca="1">IFERROR(__xludf.DUMMYFUNCTION("""COMPUTED_VALUE"""),"106854896017")</f>
        <v>106854896017</v>
      </c>
      <c r="C10547" s="2" t="str">
        <v>0</v>
      </c>
      <c r="F10547" s="2" t="str">
        <v>0</v>
      </c>
      <c r="I10547" s="3" t="str">
        <f ca="1">IFERROR(__xludf.DUMMYFUNCTION("""COMPUTED_VALUE"""),"phùng thị hồng vân")</f>
        <v>phùng thị hồng vân</v>
      </c>
      <c r="J10547" s="2" t="str">
        <f ca="1">IFERROR(__xludf.DUMMYFUNCTION("""COMPUTED_VALUE"""),"0388475721")</f>
        <v>0388475721</v>
      </c>
      <c r="K10547" s="2" t="str">
        <f ca="1">IFERROR(__xludf.DUMMYFUNCTION("""COMPUTED_VALUE"""),"106854896017")</f>
        <v>106854896017</v>
      </c>
    </row>
    <row r="10548" spans="1:11" ht="12.45">
      <c r="A10548" s="2" t="str">
        <f ca="1">IFERROR(__xludf.DUMMYFUNCTION("""COMPUTED_VALUE"""),"106854896269")</f>
        <v>106854896269</v>
      </c>
      <c r="C10548" s="2" t="str">
        <v>0</v>
      </c>
      <c r="F10548" s="2" t="str">
        <v>0</v>
      </c>
      <c r="I10548" s="3" t="str">
        <f ca="1">IFERROR(__xludf.DUMMYFUNCTION("""COMPUTED_VALUE"""),"Nguyễn Việt Hùng")</f>
        <v>Nguyễn Việt Hùng</v>
      </c>
      <c r="J10548" s="2" t="str">
        <f ca="1">IFERROR(__xludf.DUMMYFUNCTION("""COMPUTED_VALUE"""),"0389928773")</f>
        <v>0389928773</v>
      </c>
      <c r="K10548" s="2" t="str">
        <f ca="1">IFERROR(__xludf.DUMMYFUNCTION("""COMPUTED_VALUE"""),"106854896269")</f>
        <v>106854896269</v>
      </c>
    </row>
    <row r="10549" spans="1:11" ht="12.45">
      <c r="A10549" s="2" t="str">
        <f ca="1">IFERROR(__xludf.DUMMYFUNCTION("""COMPUTED_VALUE"""),"106854896319")</f>
        <v>106854896319</v>
      </c>
      <c r="C10549" s="2" t="str">
        <v>0</v>
      </c>
      <c r="F10549" s="2" t="str">
        <v>0</v>
      </c>
      <c r="I10549" s="3" t="str">
        <f ca="1">IFERROR(__xludf.DUMMYFUNCTION("""COMPUTED_VALUE"""),"Trần Thị Thuỳ Ngân")</f>
        <v>Trần Thị Thuỳ Ngân</v>
      </c>
      <c r="J10549" s="2" t="str">
        <f ca="1">IFERROR(__xludf.DUMMYFUNCTION("""COMPUTED_VALUE"""),"0778396443")</f>
        <v>0778396443</v>
      </c>
      <c r="K10549" s="2" t="str">
        <f ca="1">IFERROR(__xludf.DUMMYFUNCTION("""COMPUTED_VALUE"""),"106854896319")</f>
        <v>106854896319</v>
      </c>
    </row>
    <row r="10550" spans="1:11" ht="12.45">
      <c r="A10550" s="2" t="str">
        <f ca="1">IFERROR(__xludf.DUMMYFUNCTION("""COMPUTED_VALUE"""),"106854896496")</f>
        <v>106854896496</v>
      </c>
      <c r="C10550" s="2" t="str">
        <v>0</v>
      </c>
      <c r="F10550" s="2" t="str">
        <v>0</v>
      </c>
      <c r="I10550" s="3" t="str">
        <f ca="1">IFERROR(__xludf.DUMMYFUNCTION("""COMPUTED_VALUE"""),"Bùi Thuỷ Tiên")</f>
        <v>Bùi Thuỷ Tiên</v>
      </c>
      <c r="J10550" s="2" t="str">
        <f ca="1">IFERROR(__xludf.DUMMYFUNCTION("""COMPUTED_VALUE"""),"0338302007")</f>
        <v>0338302007</v>
      </c>
      <c r="K10550" s="2" t="str">
        <f ca="1">IFERROR(__xludf.DUMMYFUNCTION("""COMPUTED_VALUE"""),"106854896496")</f>
        <v>106854896496</v>
      </c>
    </row>
    <row r="10551" spans="1:11" ht="12.45">
      <c r="A10551" s="2" t="str">
        <f ca="1">IFERROR(__xludf.DUMMYFUNCTION("""COMPUTED_VALUE"""),"106854896541")</f>
        <v>106854896541</v>
      </c>
      <c r="C10551" s="2" t="str">
        <v>0</v>
      </c>
      <c r="F10551" s="2" t="str">
        <v>0</v>
      </c>
      <c r="I10551" s="3" t="str">
        <f ca="1">IFERROR(__xludf.DUMMYFUNCTION("""COMPUTED_VALUE"""),"Lê Lều Diệu Linh")</f>
        <v>Lê Lều Diệu Linh</v>
      </c>
      <c r="J10551" s="2" t="str">
        <f ca="1">IFERROR(__xludf.DUMMYFUNCTION("""COMPUTED_VALUE"""),"0987541074")</f>
        <v>0987541074</v>
      </c>
      <c r="K10551" s="2" t="str">
        <f ca="1">IFERROR(__xludf.DUMMYFUNCTION("""COMPUTED_VALUE"""),"106854896541")</f>
        <v>106854896541</v>
      </c>
    </row>
    <row r="10552" spans="1:11" ht="12.45">
      <c r="A10552" s="2" t="str">
        <f ca="1">IFERROR(__xludf.DUMMYFUNCTION("""COMPUTED_VALUE"""),"106854896621")</f>
        <v>106854896621</v>
      </c>
      <c r="C10552" s="2" t="str">
        <v>0</v>
      </c>
      <c r="F10552" s="2" t="str">
        <v>0</v>
      </c>
      <c r="I10552" s="3" t="str">
        <f ca="1">IFERROR(__xludf.DUMMYFUNCTION("""COMPUTED_VALUE"""),"Nguyễn Phương Anh")</f>
        <v>Nguyễn Phương Anh</v>
      </c>
      <c r="J10552" s="2" t="str">
        <f ca="1">IFERROR(__xludf.DUMMYFUNCTION("""COMPUTED_VALUE"""),"0868415854")</f>
        <v>0868415854</v>
      </c>
      <c r="K10552" s="2" t="str">
        <f ca="1">IFERROR(__xludf.DUMMYFUNCTION("""COMPUTED_VALUE"""),"106854896621")</f>
        <v>106854896621</v>
      </c>
    </row>
    <row r="10553" spans="1:11" ht="12.45">
      <c r="A10553" s="2"/>
      <c r="C10553" s="2" t="str">
        <v>0</v>
      </c>
      <c r="F10553" s="2" t="str">
        <v>0</v>
      </c>
      <c r="I10553" s="3" t="str">
        <f ca="1">IFERROR(__xludf.DUMMYFUNCTION("""COMPUTED_VALUE"""),"ĐINH THU HẰNG")</f>
        <v>ĐINH THU HẰNG</v>
      </c>
      <c r="J10553" s="2" t="str">
        <f ca="1">IFERROR(__xludf.DUMMYFUNCTION("""COMPUTED_VALUE"""),"0969874036")</f>
        <v>0969874036</v>
      </c>
      <c r="K10553" s="2"/>
    </row>
    <row r="10554" spans="1:11" ht="12.45">
      <c r="A10554" s="2" t="str">
        <f ca="1">IFERROR(__xludf.DUMMYFUNCTION("""COMPUTED_VALUE"""),"107260912245")</f>
        <v>107260912245</v>
      </c>
      <c r="C10554" s="2" t="str">
        <v>0</v>
      </c>
      <c r="F10554" s="2" t="str">
        <v>0</v>
      </c>
      <c r="I10554" s="3" t="str">
        <f ca="1">IFERROR(__xludf.DUMMYFUNCTION("""COMPUTED_VALUE"""),"Lâm Ngọc")</f>
        <v>Lâm Ngọc</v>
      </c>
      <c r="J10554" s="2" t="str">
        <f ca="1">IFERROR(__xludf.DUMMYFUNCTION("""COMPUTED_VALUE"""),"0347665627")</f>
        <v>0347665627</v>
      </c>
      <c r="K10554" s="2" t="str">
        <f ca="1">IFERROR(__xludf.DUMMYFUNCTION("""COMPUTED_VALUE"""),"107260912245")</f>
        <v>107260912245</v>
      </c>
    </row>
    <row r="10555" spans="1:11" ht="12.45">
      <c r="A10555" s="2" t="str">
        <f ca="1">IFERROR(__xludf.DUMMYFUNCTION("""COMPUTED_VALUE"""),"106854896818")</f>
        <v>106854896818</v>
      </c>
      <c r="C10555" s="2" t="str">
        <v>0</v>
      </c>
      <c r="F10555" s="2" t="str">
        <v>0</v>
      </c>
      <c r="I10555" s="3" t="str">
        <f ca="1">IFERROR(__xludf.DUMMYFUNCTION("""COMPUTED_VALUE"""),"Nguyễn Thị Bảo Ngọc")</f>
        <v>Nguyễn Thị Bảo Ngọc</v>
      </c>
      <c r="J10555" s="2" t="str">
        <f ca="1">IFERROR(__xludf.DUMMYFUNCTION("""COMPUTED_VALUE"""),"0849548948")</f>
        <v>0849548948</v>
      </c>
      <c r="K10555" s="2" t="str">
        <f ca="1">IFERROR(__xludf.DUMMYFUNCTION("""COMPUTED_VALUE"""),"106854896818")</f>
        <v>106854896818</v>
      </c>
    </row>
    <row r="10556" spans="1:11" ht="12.45">
      <c r="A10556" s="2" t="str">
        <f ca="1">IFERROR(__xludf.DUMMYFUNCTION("""COMPUTED_VALUE"""),"106854896965")</f>
        <v>106854896965</v>
      </c>
      <c r="C10556" s="2" t="str">
        <v>0</v>
      </c>
      <c r="F10556" s="2" t="str">
        <v>0</v>
      </c>
      <c r="I10556" s="3" t="str">
        <f ca="1">IFERROR(__xludf.DUMMYFUNCTION("""COMPUTED_VALUE"""),"Đỗ Thanh Huyền")</f>
        <v>Đỗ Thanh Huyền</v>
      </c>
      <c r="J10556" s="2" t="str">
        <f ca="1">IFERROR(__xludf.DUMMYFUNCTION("""COMPUTED_VALUE"""),"0368956762")</f>
        <v>0368956762</v>
      </c>
      <c r="K10556" s="2" t="str">
        <f ca="1">IFERROR(__xludf.DUMMYFUNCTION("""COMPUTED_VALUE"""),"106854896965")</f>
        <v>106854896965</v>
      </c>
    </row>
    <row r="10557" spans="1:11" ht="12.45">
      <c r="A10557" s="2" t="str">
        <f ca="1">IFERROR(__xludf.DUMMYFUNCTION("""COMPUTED_VALUE"""),"106854897148")</f>
        <v>106854897148</v>
      </c>
      <c r="C10557" s="2" t="str">
        <v>0</v>
      </c>
      <c r="F10557" s="2" t="str">
        <v>0</v>
      </c>
      <c r="I10557" s="3" t="str">
        <f ca="1">IFERROR(__xludf.DUMMYFUNCTION("""COMPUTED_VALUE"""),"Nguyễn Đình Bảo Khanh")</f>
        <v>Nguyễn Đình Bảo Khanh</v>
      </c>
      <c r="J10557" s="2" t="str">
        <f ca="1">IFERROR(__xludf.DUMMYFUNCTION("""COMPUTED_VALUE"""),"0708148327")</f>
        <v>0708148327</v>
      </c>
      <c r="K10557" s="2" t="str">
        <f ca="1">IFERROR(__xludf.DUMMYFUNCTION("""COMPUTED_VALUE"""),"106854897148")</f>
        <v>106854897148</v>
      </c>
    </row>
    <row r="10558" spans="1:11" ht="12.45">
      <c r="A10558" s="2" t="str">
        <f ca="1">IFERROR(__xludf.DUMMYFUNCTION("""COMPUTED_VALUE"""),"106854897245")</f>
        <v>106854897245</v>
      </c>
      <c r="C10558" s="2" t="str">
        <v>0</v>
      </c>
      <c r="F10558" s="2" t="str">
        <v>0</v>
      </c>
      <c r="I10558" s="3" t="str">
        <f ca="1">IFERROR(__xludf.DUMMYFUNCTION("""COMPUTED_VALUE"""),"Phạm Ngọc Phương Mai")</f>
        <v>Phạm Ngọc Phương Mai</v>
      </c>
      <c r="J10558" s="2" t="str">
        <f ca="1">IFERROR(__xludf.DUMMYFUNCTION("""COMPUTED_VALUE"""),"0986326898")</f>
        <v>0986326898</v>
      </c>
      <c r="K10558" s="2" t="str">
        <f ca="1">IFERROR(__xludf.DUMMYFUNCTION("""COMPUTED_VALUE"""),"106854897245")</f>
        <v>106854897245</v>
      </c>
    </row>
    <row r="10559" spans="1:11" ht="12.45">
      <c r="A10559" s="2" t="str">
        <f ca="1">IFERROR(__xludf.DUMMYFUNCTION("""COMPUTED_VALUE"""),"106854897456")</f>
        <v>106854897456</v>
      </c>
      <c r="C10559" s="2" t="str">
        <v>0</v>
      </c>
      <c r="F10559" s="2" t="str">
        <v>0</v>
      </c>
      <c r="I10559" s="3" t="str">
        <f ca="1">IFERROR(__xludf.DUMMYFUNCTION("""COMPUTED_VALUE"""),"Lê Huỳnh Thị Phương Thảo")</f>
        <v>Lê Huỳnh Thị Phương Thảo</v>
      </c>
      <c r="J10559" s="2" t="str">
        <f ca="1">IFERROR(__xludf.DUMMYFUNCTION("""COMPUTED_VALUE"""),"0764185067")</f>
        <v>0764185067</v>
      </c>
      <c r="K10559" s="2" t="str">
        <f ca="1">IFERROR(__xludf.DUMMYFUNCTION("""COMPUTED_VALUE"""),"106854897456")</f>
        <v>106854897456</v>
      </c>
    </row>
    <row r="10560" spans="1:11" ht="12.45">
      <c r="A10560" s="2" t="str">
        <f ca="1">IFERROR(__xludf.DUMMYFUNCTION("""COMPUTED_VALUE"""),"106854897587")</f>
        <v>106854897587</v>
      </c>
      <c r="C10560" s="2" t="str">
        <v>0</v>
      </c>
      <c r="F10560" s="2" t="str">
        <v>0</v>
      </c>
      <c r="I10560" s="3" t="str">
        <f ca="1">IFERROR(__xludf.DUMMYFUNCTION("""COMPUTED_VALUE"""),"Đinh Ngọc Ánh ")</f>
        <v xml:space="preserve">Đinh Ngọc Ánh </v>
      </c>
      <c r="J10560" s="2" t="str">
        <f ca="1">IFERROR(__xludf.DUMMYFUNCTION("""COMPUTED_VALUE"""),"0852942966")</f>
        <v>0852942966</v>
      </c>
      <c r="K10560" s="2" t="str">
        <f ca="1">IFERROR(__xludf.DUMMYFUNCTION("""COMPUTED_VALUE"""),"106854897587")</f>
        <v>106854897587</v>
      </c>
    </row>
    <row r="10561" spans="1:11" ht="12.45">
      <c r="A10561" s="2" t="str">
        <f ca="1">IFERROR(__xludf.DUMMYFUNCTION("""COMPUTED_VALUE"""),"106854897679")</f>
        <v>106854897679</v>
      </c>
      <c r="C10561" s="2" t="str">
        <v>0</v>
      </c>
      <c r="F10561" s="2" t="str">
        <v>0</v>
      </c>
      <c r="I10561" s="3" t="str">
        <f ca="1">IFERROR(__xludf.DUMMYFUNCTION("""COMPUTED_VALUE"""),"Đặng Hiểu Phương ")</f>
        <v xml:space="preserve">Đặng Hiểu Phương </v>
      </c>
      <c r="J10561" s="2" t="str">
        <f ca="1">IFERROR(__xludf.DUMMYFUNCTION("""COMPUTED_VALUE"""),"0939837658")</f>
        <v>0939837658</v>
      </c>
      <c r="K10561" s="2" t="str">
        <f ca="1">IFERROR(__xludf.DUMMYFUNCTION("""COMPUTED_VALUE"""),"106854897679")</f>
        <v>106854897679</v>
      </c>
    </row>
    <row r="10562" spans="1:11" ht="12.45">
      <c r="A10562" s="2" t="str">
        <f ca="1">IFERROR(__xludf.DUMMYFUNCTION("""COMPUTED_VALUE"""),"106854897742")</f>
        <v>106854897742</v>
      </c>
      <c r="C10562" s="2" t="str">
        <v>0</v>
      </c>
      <c r="F10562" s="2" t="str">
        <v>0</v>
      </c>
      <c r="I10562" s="3" t="str">
        <f ca="1">IFERROR(__xludf.DUMMYFUNCTION("""COMPUTED_VALUE"""),"Nguyễn Đức Duy")</f>
        <v>Nguyễn Đức Duy</v>
      </c>
      <c r="J10562" s="2" t="str">
        <f ca="1">IFERROR(__xludf.DUMMYFUNCTION("""COMPUTED_VALUE"""),"0815992159")</f>
        <v>0815992159</v>
      </c>
      <c r="K10562" s="2" t="str">
        <f ca="1">IFERROR(__xludf.DUMMYFUNCTION("""COMPUTED_VALUE"""),"106854897742")</f>
        <v>106854897742</v>
      </c>
    </row>
    <row r="10563" spans="1:11" ht="12.45">
      <c r="A10563" s="2" t="str">
        <f ca="1">IFERROR(__xludf.DUMMYFUNCTION("""COMPUTED_VALUE"""),"106854897832")</f>
        <v>106854897832</v>
      </c>
      <c r="C10563" s="2" t="str">
        <v>0</v>
      </c>
      <c r="F10563" s="2" t="str">
        <v>0</v>
      </c>
      <c r="I10563" s="3" t="str">
        <f ca="1">IFERROR(__xludf.DUMMYFUNCTION("""COMPUTED_VALUE"""),"Nguyễn đỗ thu ngân")</f>
        <v>Nguyễn đỗ thu ngân</v>
      </c>
      <c r="J10563" s="2" t="str">
        <f ca="1">IFERROR(__xludf.DUMMYFUNCTION("""COMPUTED_VALUE"""),"0818375377")</f>
        <v>0818375377</v>
      </c>
      <c r="K10563" s="2" t="str">
        <f ca="1">IFERROR(__xludf.DUMMYFUNCTION("""COMPUTED_VALUE"""),"106854897832")</f>
        <v>106854897832</v>
      </c>
    </row>
    <row r="10564" spans="1:11" ht="12.45">
      <c r="A10564" s="2" t="str">
        <f ca="1">IFERROR(__xludf.DUMMYFUNCTION("""COMPUTED_VALUE"""),"106854897961")</f>
        <v>106854897961</v>
      </c>
      <c r="C10564" s="2" t="str">
        <v>0</v>
      </c>
      <c r="F10564" s="2" t="str">
        <v>0</v>
      </c>
      <c r="I10564" s="3" t="str">
        <f ca="1">IFERROR(__xludf.DUMMYFUNCTION("""COMPUTED_VALUE"""),"Lê Xuân An")</f>
        <v>Lê Xuân An</v>
      </c>
      <c r="J10564" s="2" t="str">
        <f ca="1">IFERROR(__xludf.DUMMYFUNCTION("""COMPUTED_VALUE"""),"0983066107")</f>
        <v>0983066107</v>
      </c>
      <c r="K10564" s="2" t="str">
        <f ca="1">IFERROR(__xludf.DUMMYFUNCTION("""COMPUTED_VALUE"""),"106854897961")</f>
        <v>106854897961</v>
      </c>
    </row>
    <row r="10565" spans="1:11" ht="12.45">
      <c r="A10565" s="2" t="str">
        <f ca="1">IFERROR(__xludf.DUMMYFUNCTION("""COMPUTED_VALUE"""),"106854898060")</f>
        <v>106854898060</v>
      </c>
      <c r="C10565" s="2" t="str">
        <v>0</v>
      </c>
      <c r="F10565" s="2" t="str">
        <v>0</v>
      </c>
      <c r="I10565" s="3" t="str">
        <f ca="1">IFERROR(__xludf.DUMMYFUNCTION("""COMPUTED_VALUE"""),"Võ Hoàng Tâm Đan")</f>
        <v>Võ Hoàng Tâm Đan</v>
      </c>
      <c r="J10565" s="2" t="str">
        <f ca="1">IFERROR(__xludf.DUMMYFUNCTION("""COMPUTED_VALUE"""),"0977489261")</f>
        <v>0977489261</v>
      </c>
      <c r="K10565" s="2" t="str">
        <f ca="1">IFERROR(__xludf.DUMMYFUNCTION("""COMPUTED_VALUE"""),"106854898060")</f>
        <v>106854898060</v>
      </c>
    </row>
    <row r="10566" spans="1:11" ht="12.45">
      <c r="A10566" s="2" t="str">
        <f ca="1">IFERROR(__xludf.DUMMYFUNCTION("""COMPUTED_VALUE"""),"106854898146")</f>
        <v>106854898146</v>
      </c>
      <c r="C10566" s="2" t="str">
        <v>0</v>
      </c>
      <c r="F10566" s="2" t="str">
        <v>0</v>
      </c>
      <c r="I10566" s="3" t="str">
        <f ca="1">IFERROR(__xludf.DUMMYFUNCTION("""COMPUTED_VALUE"""),"Nguyễn Mai Phương")</f>
        <v>Nguyễn Mai Phương</v>
      </c>
      <c r="J10566" s="2" t="str">
        <f ca="1">IFERROR(__xludf.DUMMYFUNCTION("""COMPUTED_VALUE"""),"0911598631")</f>
        <v>0911598631</v>
      </c>
      <c r="K10566" s="2" t="str">
        <f ca="1">IFERROR(__xludf.DUMMYFUNCTION("""COMPUTED_VALUE"""),"106854898146")</f>
        <v>106854898146</v>
      </c>
    </row>
    <row r="10567" spans="1:11" ht="12.45">
      <c r="A10567" s="2" t="str">
        <f ca="1">IFERROR(__xludf.DUMMYFUNCTION("""COMPUTED_VALUE"""),"106854898232")</f>
        <v>106854898232</v>
      </c>
      <c r="C10567" s="2" t="str">
        <v>0</v>
      </c>
      <c r="F10567" s="2" t="str">
        <v>0</v>
      </c>
      <c r="I10567" s="3" t="str">
        <f ca="1">IFERROR(__xludf.DUMMYFUNCTION("""COMPUTED_VALUE"""),"Nguyễn Đoàn Anh Thư")</f>
        <v>Nguyễn Đoàn Anh Thư</v>
      </c>
      <c r="J10567" s="2" t="str">
        <f ca="1">IFERROR(__xludf.DUMMYFUNCTION("""COMPUTED_VALUE"""),"0354417478")</f>
        <v>0354417478</v>
      </c>
      <c r="K10567" s="2" t="str">
        <f ca="1">IFERROR(__xludf.DUMMYFUNCTION("""COMPUTED_VALUE"""),"106854898232")</f>
        <v>106854898232</v>
      </c>
    </row>
    <row r="10568" spans="1:11" ht="12.45">
      <c r="A10568" s="2" t="str">
        <f ca="1">IFERROR(__xludf.DUMMYFUNCTION("""COMPUTED_VALUE"""),"106854898459")</f>
        <v>106854898459</v>
      </c>
      <c r="C10568" s="2" t="str">
        <v>0</v>
      </c>
      <c r="F10568" s="2" t="str">
        <v>0</v>
      </c>
      <c r="I10568" s="3" t="str">
        <f ca="1">IFERROR(__xludf.DUMMYFUNCTION("""COMPUTED_VALUE"""),"Nguyễn Việt Hoàng")</f>
        <v>Nguyễn Việt Hoàng</v>
      </c>
      <c r="J10568" s="2" t="str">
        <f ca="1">IFERROR(__xludf.DUMMYFUNCTION("""COMPUTED_VALUE"""),"0976651812")</f>
        <v>0976651812</v>
      </c>
      <c r="K10568" s="2" t="str">
        <f ca="1">IFERROR(__xludf.DUMMYFUNCTION("""COMPUTED_VALUE"""),"106854898459")</f>
        <v>106854898459</v>
      </c>
    </row>
    <row r="10569" spans="1:11" ht="12.45">
      <c r="A10569" s="2" t="str">
        <f ca="1">IFERROR(__xludf.DUMMYFUNCTION("""COMPUTED_VALUE"""),"106854898599")</f>
        <v>106854898599</v>
      </c>
      <c r="C10569" s="2" t="str">
        <v>0</v>
      </c>
      <c r="F10569" s="2" t="str">
        <v>0</v>
      </c>
      <c r="I10569" s="3" t="str">
        <f ca="1">IFERROR(__xludf.DUMMYFUNCTION("""COMPUTED_VALUE"""),"Nguyễn Thị Phương Uyên")</f>
        <v>Nguyễn Thị Phương Uyên</v>
      </c>
      <c r="J10569" s="2" t="str">
        <f ca="1">IFERROR(__xludf.DUMMYFUNCTION("""COMPUTED_VALUE"""),"0702329023")</f>
        <v>0702329023</v>
      </c>
      <c r="K10569" s="2" t="str">
        <f ca="1">IFERROR(__xludf.DUMMYFUNCTION("""COMPUTED_VALUE"""),"106854898599")</f>
        <v>106854898599</v>
      </c>
    </row>
    <row r="10570" spans="1:11" ht="12.45">
      <c r="A10570" s="2" t="str">
        <f ca="1">IFERROR(__xludf.DUMMYFUNCTION("""COMPUTED_VALUE"""),"106854898671")</f>
        <v>106854898671</v>
      </c>
      <c r="C10570" s="2" t="str">
        <v>0</v>
      </c>
      <c r="F10570" s="2" t="str">
        <v>0</v>
      </c>
      <c r="I10570" s="3" t="str">
        <f ca="1">IFERROR(__xludf.DUMMYFUNCTION("""COMPUTED_VALUE"""),"Nguyễn Thị Hồng Thắm ")</f>
        <v xml:space="preserve">Nguyễn Thị Hồng Thắm </v>
      </c>
      <c r="J10570" s="2" t="str">
        <f ca="1">IFERROR(__xludf.DUMMYFUNCTION("""COMPUTED_VALUE"""),"0565234116")</f>
        <v>0565234116</v>
      </c>
      <c r="K10570" s="2" t="str">
        <f ca="1">IFERROR(__xludf.DUMMYFUNCTION("""COMPUTED_VALUE"""),"106854898671")</f>
        <v>106854898671</v>
      </c>
    </row>
    <row r="10571" spans="1:11" ht="12.45">
      <c r="A10571" s="2"/>
      <c r="C10571" s="2" t="str">
        <v>0</v>
      </c>
      <c r="F10571" s="2" t="str">
        <v>0</v>
      </c>
      <c r="I10571" s="3" t="str">
        <f ca="1">IFERROR(__xludf.DUMMYFUNCTION("""COMPUTED_VALUE"""),"Lão thị nhung")</f>
        <v>Lão thị nhung</v>
      </c>
      <c r="J10571" s="2" t="str">
        <f ca="1">IFERROR(__xludf.DUMMYFUNCTION("""COMPUTED_VALUE"""),"0329980500")</f>
        <v>0329980500</v>
      </c>
      <c r="K10571" s="2"/>
    </row>
    <row r="10572" spans="1:11" ht="12.45">
      <c r="A10572" s="2" t="str">
        <f ca="1">IFERROR(__xludf.DUMMYFUNCTION("""COMPUTED_VALUE"""),"106854898940")</f>
        <v>106854898940</v>
      </c>
      <c r="C10572" s="2" t="str">
        <v>0</v>
      </c>
      <c r="F10572" s="2" t="str">
        <v>0</v>
      </c>
      <c r="I10572" s="3" t="str">
        <f ca="1">IFERROR(__xludf.DUMMYFUNCTION("""COMPUTED_VALUE"""),"Trần Văn Thành")</f>
        <v>Trần Văn Thành</v>
      </c>
      <c r="J10572" s="2" t="str">
        <f ca="1">IFERROR(__xludf.DUMMYFUNCTION("""COMPUTED_VALUE"""),"0943660907")</f>
        <v>0943660907</v>
      </c>
      <c r="K10572" s="2" t="str">
        <f ca="1">IFERROR(__xludf.DUMMYFUNCTION("""COMPUTED_VALUE"""),"106854898940")</f>
        <v>106854898940</v>
      </c>
    </row>
    <row r="10573" spans="1:11" ht="12.45">
      <c r="A10573" s="2" t="str">
        <f ca="1">IFERROR(__xludf.DUMMYFUNCTION("""COMPUTED_VALUE"""),"106854899076")</f>
        <v>106854899076</v>
      </c>
      <c r="C10573" s="2" t="str">
        <v>0</v>
      </c>
      <c r="F10573" s="2" t="str">
        <v>0</v>
      </c>
      <c r="I10573" s="3" t="str">
        <f ca="1">IFERROR(__xludf.DUMMYFUNCTION("""COMPUTED_VALUE"""),"Lê Quỳnh Anh ")</f>
        <v xml:space="preserve">Lê Quỳnh Anh </v>
      </c>
      <c r="J10573" s="2" t="str">
        <f ca="1">IFERROR(__xludf.DUMMYFUNCTION("""COMPUTED_VALUE"""),"0386648894")</f>
        <v>0386648894</v>
      </c>
      <c r="K10573" s="2" t="str">
        <f ca="1">IFERROR(__xludf.DUMMYFUNCTION("""COMPUTED_VALUE"""),"106854899076")</f>
        <v>106854899076</v>
      </c>
    </row>
    <row r="10574" spans="1:11" ht="12.45">
      <c r="A10574" s="2" t="str">
        <f ca="1">IFERROR(__xludf.DUMMYFUNCTION("""COMPUTED_VALUE"""),"107260912365")</f>
        <v>107260912365</v>
      </c>
      <c r="C10574" s="2" t="str">
        <v>0</v>
      </c>
      <c r="F10574" s="2" t="str">
        <v>0</v>
      </c>
      <c r="I10574" s="3" t="str">
        <f ca="1">IFERROR(__xludf.DUMMYFUNCTION("""COMPUTED_VALUE"""),"Nguyễn Thị Ngọc Linh ")</f>
        <v xml:space="preserve">Nguyễn Thị Ngọc Linh </v>
      </c>
      <c r="J10574" s="2" t="str">
        <f ca="1">IFERROR(__xludf.DUMMYFUNCTION("""COMPUTED_VALUE"""),"0335328118")</f>
        <v>0335328118</v>
      </c>
      <c r="K10574" s="2" t="str">
        <f ca="1">IFERROR(__xludf.DUMMYFUNCTION("""COMPUTED_VALUE"""),"107260912365")</f>
        <v>107260912365</v>
      </c>
    </row>
    <row r="10575" spans="1:11" ht="12.45">
      <c r="A10575" s="2" t="str">
        <f ca="1">IFERROR(__xludf.DUMMYFUNCTION("""COMPUTED_VALUE"""),"107260912628")</f>
        <v>107260912628</v>
      </c>
      <c r="C10575" s="2" t="str">
        <v>0</v>
      </c>
      <c r="F10575" s="2" t="str">
        <v>0</v>
      </c>
      <c r="I10575" s="3" t="str">
        <f ca="1">IFERROR(__xludf.DUMMYFUNCTION("""COMPUTED_VALUE"""),"Trần Thị Hạnh")</f>
        <v>Trần Thị Hạnh</v>
      </c>
      <c r="J10575" s="2" t="str">
        <f ca="1">IFERROR(__xludf.DUMMYFUNCTION("""COMPUTED_VALUE"""),"0338532530")</f>
        <v>0338532530</v>
      </c>
      <c r="K10575" s="2" t="str">
        <f ca="1">IFERROR(__xludf.DUMMYFUNCTION("""COMPUTED_VALUE"""),"107260912628")</f>
        <v>107260912628</v>
      </c>
    </row>
    <row r="10576" spans="1:11" ht="12.45">
      <c r="A10576" s="2" t="str">
        <f ca="1">IFERROR(__xludf.DUMMYFUNCTION("""COMPUTED_VALUE"""),"107260912854")</f>
        <v>107260912854</v>
      </c>
      <c r="C10576" s="2" t="str">
        <v>0</v>
      </c>
      <c r="F10576" s="2" t="str">
        <v>0</v>
      </c>
      <c r="I10576" s="3" t="str">
        <f ca="1">IFERROR(__xludf.DUMMYFUNCTION("""COMPUTED_VALUE"""),"Nguyễn Thu Ngân")</f>
        <v>Nguyễn Thu Ngân</v>
      </c>
      <c r="J10576" s="2" t="str">
        <f ca="1">IFERROR(__xludf.DUMMYFUNCTION("""COMPUTED_VALUE"""),"0966640185")</f>
        <v>0966640185</v>
      </c>
      <c r="K10576" s="2" t="str">
        <f ca="1">IFERROR(__xludf.DUMMYFUNCTION("""COMPUTED_VALUE"""),"107260912854")</f>
        <v>107260912854</v>
      </c>
    </row>
    <row r="10577" spans="1:11" ht="12.45">
      <c r="A10577" s="2" t="str">
        <f ca="1">IFERROR(__xludf.DUMMYFUNCTION("""COMPUTED_VALUE"""),"107260913069")</f>
        <v>107260913069</v>
      </c>
      <c r="C10577" s="2" t="str">
        <v>0</v>
      </c>
      <c r="F10577" s="2" t="str">
        <v>0</v>
      </c>
      <c r="I10577" s="3" t="str">
        <f ca="1">IFERROR(__xludf.DUMMYFUNCTION("""COMPUTED_VALUE"""),"Lê Mai Phương ")</f>
        <v xml:space="preserve">Lê Mai Phương </v>
      </c>
      <c r="J10577" s="2" t="str">
        <f ca="1">IFERROR(__xludf.DUMMYFUNCTION("""COMPUTED_VALUE"""),"0972247410")</f>
        <v>0972247410</v>
      </c>
      <c r="K10577" s="2" t="str">
        <f ca="1">IFERROR(__xludf.DUMMYFUNCTION("""COMPUTED_VALUE"""),"107260913069")</f>
        <v>107260913069</v>
      </c>
    </row>
    <row r="10578" spans="1:11" ht="12.45">
      <c r="A10578" s="2" t="str">
        <f ca="1">IFERROR(__xludf.DUMMYFUNCTION("""COMPUTED_VALUE"""),"107260913181")</f>
        <v>107260913181</v>
      </c>
      <c r="C10578" s="2" t="str">
        <v>0</v>
      </c>
      <c r="F10578" s="2" t="str">
        <v>0</v>
      </c>
      <c r="I10578" s="3" t="str">
        <f ca="1">IFERROR(__xludf.DUMMYFUNCTION("""COMPUTED_VALUE"""),"Lê Lâm Trường An")</f>
        <v>Lê Lâm Trường An</v>
      </c>
      <c r="J10578" s="2" t="str">
        <f ca="1">IFERROR(__xludf.DUMMYFUNCTION("""COMPUTED_VALUE"""),"0944700910")</f>
        <v>0944700910</v>
      </c>
      <c r="K10578" s="2" t="str">
        <f ca="1">IFERROR(__xludf.DUMMYFUNCTION("""COMPUTED_VALUE"""),"107260913181")</f>
        <v>107260913181</v>
      </c>
    </row>
    <row r="10579" spans="1:11" ht="12.45">
      <c r="A10579" s="2" t="str">
        <f ca="1">IFERROR(__xludf.DUMMYFUNCTION("""COMPUTED_VALUE"""),"107260913211")</f>
        <v>107260913211</v>
      </c>
      <c r="C10579" s="2" t="str">
        <v>0</v>
      </c>
      <c r="F10579" s="2" t="str">
        <v>0</v>
      </c>
      <c r="I10579" s="3" t="str">
        <f ca="1">IFERROR(__xludf.DUMMYFUNCTION("""COMPUTED_VALUE"""),"Nguyễn Ngọc Châu Anh")</f>
        <v>Nguyễn Ngọc Châu Anh</v>
      </c>
      <c r="J10579" s="2" t="str">
        <f ca="1">IFERROR(__xludf.DUMMYFUNCTION("""COMPUTED_VALUE"""),"0964880458")</f>
        <v>0964880458</v>
      </c>
      <c r="K10579" s="2" t="str">
        <f ca="1">IFERROR(__xludf.DUMMYFUNCTION("""COMPUTED_VALUE"""),"107260913211")</f>
        <v>107260913211</v>
      </c>
    </row>
    <row r="10580" spans="1:11" ht="12.45">
      <c r="A10580" s="2" t="str">
        <f ca="1">IFERROR(__xludf.DUMMYFUNCTION("""COMPUTED_VALUE"""),"107260913314")</f>
        <v>107260913314</v>
      </c>
      <c r="C10580" s="2" t="str">
        <v>0</v>
      </c>
      <c r="F10580" s="2" t="str">
        <v>0</v>
      </c>
      <c r="I10580" s="3" t="str">
        <f ca="1">IFERROR(__xludf.DUMMYFUNCTION("""COMPUTED_VALUE"""),"nguyễn ngọc ánh")</f>
        <v>nguyễn ngọc ánh</v>
      </c>
      <c r="J10580" s="2" t="str">
        <f ca="1">IFERROR(__xludf.DUMMYFUNCTION("""COMPUTED_VALUE"""),"0865858659")</f>
        <v>0865858659</v>
      </c>
      <c r="K10580" s="2" t="str">
        <f ca="1">IFERROR(__xludf.DUMMYFUNCTION("""COMPUTED_VALUE"""),"107260913314")</f>
        <v>107260913314</v>
      </c>
    </row>
    <row r="10581" spans="1:11" ht="12.45">
      <c r="A10581" s="2" t="str">
        <f ca="1">IFERROR(__xludf.DUMMYFUNCTION("""COMPUTED_VALUE"""),"107260913444")</f>
        <v>107260913444</v>
      </c>
      <c r="C10581" s="2" t="str">
        <v>0</v>
      </c>
      <c r="F10581" s="2" t="str">
        <v>0</v>
      </c>
      <c r="I10581" s="3" t="str">
        <f ca="1">IFERROR(__xludf.DUMMYFUNCTION("""COMPUTED_VALUE"""),"Trần Khánh Linh")</f>
        <v>Trần Khánh Linh</v>
      </c>
      <c r="J10581" s="2" t="str">
        <f ca="1">IFERROR(__xludf.DUMMYFUNCTION("""COMPUTED_VALUE"""),"0977767028")</f>
        <v>0977767028</v>
      </c>
      <c r="K10581" s="2" t="str">
        <f ca="1">IFERROR(__xludf.DUMMYFUNCTION("""COMPUTED_VALUE"""),"107260913444")</f>
        <v>107260913444</v>
      </c>
    </row>
    <row r="10582" spans="1:11" ht="12.45">
      <c r="A10582" s="2" t="str">
        <f ca="1">IFERROR(__xludf.DUMMYFUNCTION("""COMPUTED_VALUE"""),"107260913583")</f>
        <v>107260913583</v>
      </c>
      <c r="C10582" s="2" t="str">
        <v>0</v>
      </c>
      <c r="F10582" s="2" t="str">
        <v>0</v>
      </c>
      <c r="I10582" s="3" t="str">
        <f ca="1">IFERROR(__xludf.DUMMYFUNCTION("""COMPUTED_VALUE"""),"Hồ Cẫm Hiên")</f>
        <v>Hồ Cẫm Hiên</v>
      </c>
      <c r="J10582" s="2" t="str">
        <f ca="1">IFERROR(__xludf.DUMMYFUNCTION("""COMPUTED_VALUE"""),"0812043330")</f>
        <v>0812043330</v>
      </c>
      <c r="K10582" s="2" t="str">
        <f ca="1">IFERROR(__xludf.DUMMYFUNCTION("""COMPUTED_VALUE"""),"107260913583")</f>
        <v>107260913583</v>
      </c>
    </row>
    <row r="10583" spans="1:11" ht="12.45">
      <c r="A10583" s="2" t="str">
        <f ca="1">IFERROR(__xludf.DUMMYFUNCTION("""COMPUTED_VALUE"""),"107260913697")</f>
        <v>107260913697</v>
      </c>
      <c r="C10583" s="2" t="str">
        <v>0</v>
      </c>
      <c r="F10583" s="2" t="str">
        <v>0</v>
      </c>
      <c r="I10583" s="3" t="str">
        <f ca="1">IFERROR(__xludf.DUMMYFUNCTION("""COMPUTED_VALUE"""),"Nguyễn Công Lập")</f>
        <v>Nguyễn Công Lập</v>
      </c>
      <c r="J10583" s="2" t="str">
        <f ca="1">IFERROR(__xludf.DUMMYFUNCTION("""COMPUTED_VALUE"""),"0395739528")</f>
        <v>0395739528</v>
      </c>
      <c r="K10583" s="2" t="str">
        <f ca="1">IFERROR(__xludf.DUMMYFUNCTION("""COMPUTED_VALUE"""),"107260913697")</f>
        <v>107260913697</v>
      </c>
    </row>
    <row r="10584" spans="1:11" ht="12.45">
      <c r="A10584" s="2" t="str">
        <f ca="1">IFERROR(__xludf.DUMMYFUNCTION("""COMPUTED_VALUE"""),"107260913761")</f>
        <v>107260913761</v>
      </c>
      <c r="C10584" s="2" t="str">
        <v>0</v>
      </c>
      <c r="F10584" s="2" t="str">
        <v>0</v>
      </c>
      <c r="I10584" s="3" t="str">
        <f ca="1">IFERROR(__xludf.DUMMYFUNCTION("""COMPUTED_VALUE"""),"Trần Thảo Vy")</f>
        <v>Trần Thảo Vy</v>
      </c>
      <c r="J10584" s="2" t="str">
        <f ca="1">IFERROR(__xludf.DUMMYFUNCTION("""COMPUTED_VALUE"""),"0367609883")</f>
        <v>0367609883</v>
      </c>
      <c r="K10584" s="2" t="str">
        <f ca="1">IFERROR(__xludf.DUMMYFUNCTION("""COMPUTED_VALUE"""),"107260913761")</f>
        <v>107260913761</v>
      </c>
    </row>
    <row r="10585" spans="1:11" ht="12.45">
      <c r="A10585" s="2" t="str">
        <f ca="1">IFERROR(__xludf.DUMMYFUNCTION("""COMPUTED_VALUE"""),"107260913852")</f>
        <v>107260913852</v>
      </c>
      <c r="C10585" s="2" t="str">
        <v>0</v>
      </c>
      <c r="F10585" s="2" t="str">
        <v>0</v>
      </c>
      <c r="I10585" s="3" t="str">
        <f ca="1">IFERROR(__xludf.DUMMYFUNCTION("""COMPUTED_VALUE"""),"Lương Trúc Anh")</f>
        <v>Lương Trúc Anh</v>
      </c>
      <c r="J10585" s="2" t="str">
        <f ca="1">IFERROR(__xludf.DUMMYFUNCTION("""COMPUTED_VALUE"""),"0934055801")</f>
        <v>0934055801</v>
      </c>
      <c r="K10585" s="2" t="str">
        <f ca="1">IFERROR(__xludf.DUMMYFUNCTION("""COMPUTED_VALUE"""),"107260913852")</f>
        <v>107260913852</v>
      </c>
    </row>
    <row r="10586" spans="1:11" ht="12.45">
      <c r="A10586" s="2" t="str">
        <f ca="1">IFERROR(__xludf.DUMMYFUNCTION("""COMPUTED_VALUE"""),"107260913991")</f>
        <v>107260913991</v>
      </c>
      <c r="C10586" s="2" t="str">
        <v>0</v>
      </c>
      <c r="F10586" s="2" t="str">
        <v>0</v>
      </c>
      <c r="I10586" s="3" t="str">
        <f ca="1">IFERROR(__xludf.DUMMYFUNCTION("""COMPUTED_VALUE"""),"Ngô Văn Huy")</f>
        <v>Ngô Văn Huy</v>
      </c>
      <c r="J10586" s="2" t="str">
        <f ca="1">IFERROR(__xludf.DUMMYFUNCTION("""COMPUTED_VALUE"""),"0986574426")</f>
        <v>0986574426</v>
      </c>
      <c r="K10586" s="2" t="str">
        <f ca="1">IFERROR(__xludf.DUMMYFUNCTION("""COMPUTED_VALUE"""),"107260913991")</f>
        <v>107260913991</v>
      </c>
    </row>
    <row r="10587" spans="1:11" ht="12.45">
      <c r="A10587" s="2" t="str">
        <f ca="1">IFERROR(__xludf.DUMMYFUNCTION("""COMPUTED_VALUE"""),"107260914092")</f>
        <v>107260914092</v>
      </c>
      <c r="C10587" s="2" t="str">
        <v>0</v>
      </c>
      <c r="F10587" s="2" t="str">
        <v>0</v>
      </c>
      <c r="I10587" s="3" t="str">
        <f ca="1">IFERROR(__xludf.DUMMYFUNCTION("""COMPUTED_VALUE"""),"Trương Lê Hiểu Mai")</f>
        <v>Trương Lê Hiểu Mai</v>
      </c>
      <c r="J10587" s="2" t="str">
        <f ca="1">IFERROR(__xludf.DUMMYFUNCTION("""COMPUTED_VALUE"""),"0343563038")</f>
        <v>0343563038</v>
      </c>
      <c r="K10587" s="2" t="str">
        <f ca="1">IFERROR(__xludf.DUMMYFUNCTION("""COMPUTED_VALUE"""),"107260914092")</f>
        <v>107260914092</v>
      </c>
    </row>
    <row r="10588" spans="1:11" ht="12.45">
      <c r="A10588" s="2"/>
      <c r="C10588" s="2" t="str">
        <v>0</v>
      </c>
      <c r="F10588" s="2" t="str">
        <v>0</v>
      </c>
      <c r="I10588" s="3" t="str">
        <f ca="1">IFERROR(__xludf.DUMMYFUNCTION("""COMPUTED_VALUE"""),"Nguyễn Khánh Ly")</f>
        <v>Nguyễn Khánh Ly</v>
      </c>
      <c r="J10588" s="2" t="str">
        <f ca="1">IFERROR(__xludf.DUMMYFUNCTION("""COMPUTED_VALUE"""),"0325331204")</f>
        <v>0325331204</v>
      </c>
      <c r="K10588" s="2"/>
    </row>
    <row r="10589" spans="1:11" ht="12.45">
      <c r="A10589" s="2" t="str">
        <f ca="1">IFERROR(__xludf.DUMMYFUNCTION("""COMPUTED_VALUE"""),"107260914165")</f>
        <v>107260914165</v>
      </c>
      <c r="C10589" s="2" t="str">
        <v>0</v>
      </c>
      <c r="F10589" s="2" t="str">
        <v>0</v>
      </c>
      <c r="I10589" s="3" t="str">
        <f ca="1">IFERROR(__xludf.DUMMYFUNCTION("""COMPUTED_VALUE"""),"Đặng Huyền Trang")</f>
        <v>Đặng Huyền Trang</v>
      </c>
      <c r="J10589" s="2" t="str">
        <f ca="1">IFERROR(__xludf.DUMMYFUNCTION("""COMPUTED_VALUE"""),"0704440207")</f>
        <v>0704440207</v>
      </c>
      <c r="K10589" s="2" t="str">
        <f ca="1">IFERROR(__xludf.DUMMYFUNCTION("""COMPUTED_VALUE"""),"107260914165")</f>
        <v>107260914165</v>
      </c>
    </row>
    <row r="10590" spans="1:11" ht="12.45">
      <c r="A10590" s="2" t="str">
        <f ca="1">IFERROR(__xludf.DUMMYFUNCTION("""COMPUTED_VALUE"""),"107260914342")</f>
        <v>107260914342</v>
      </c>
      <c r="C10590" s="2" t="str">
        <v>0</v>
      </c>
      <c r="F10590" s="2" t="str">
        <v>0</v>
      </c>
      <c r="I10590" s="3" t="str">
        <f ca="1">IFERROR(__xludf.DUMMYFUNCTION("""COMPUTED_VALUE"""),"Bùi Công Hiếu ")</f>
        <v xml:space="preserve">Bùi Công Hiếu </v>
      </c>
      <c r="J10590" s="2" t="str">
        <f ca="1">IFERROR(__xludf.DUMMYFUNCTION("""COMPUTED_VALUE"""),"0702586278")</f>
        <v>0702586278</v>
      </c>
      <c r="K10590" s="2" t="str">
        <f ca="1">IFERROR(__xludf.DUMMYFUNCTION("""COMPUTED_VALUE"""),"107260914342")</f>
        <v>107260914342</v>
      </c>
    </row>
    <row r="10591" spans="1:11" ht="12.45">
      <c r="A10591" s="2" t="str">
        <f ca="1">IFERROR(__xludf.DUMMYFUNCTION("""COMPUTED_VALUE"""),"107260914463")</f>
        <v>107260914463</v>
      </c>
      <c r="C10591" s="2" t="str">
        <v>0</v>
      </c>
      <c r="F10591" s="2" t="str">
        <v>0</v>
      </c>
      <c r="I10591" s="3" t="str">
        <f ca="1">IFERROR(__xludf.DUMMYFUNCTION("""COMPUTED_VALUE"""),"Phạm Thị Thanh Huyền ")</f>
        <v xml:space="preserve">Phạm Thị Thanh Huyền </v>
      </c>
      <c r="J10591" s="2" t="str">
        <f ca="1">IFERROR(__xludf.DUMMYFUNCTION("""COMPUTED_VALUE"""),"0945337047")</f>
        <v>0945337047</v>
      </c>
      <c r="K10591" s="2" t="str">
        <f ca="1">IFERROR(__xludf.DUMMYFUNCTION("""COMPUTED_VALUE"""),"107260914463")</f>
        <v>107260914463</v>
      </c>
    </row>
    <row r="10592" spans="1:11" ht="12.45">
      <c r="A10592" s="2" t="str">
        <f ca="1">IFERROR(__xludf.DUMMYFUNCTION("""COMPUTED_VALUE"""),"107260914515")</f>
        <v>107260914515</v>
      </c>
      <c r="C10592" s="2" t="str">
        <v>0</v>
      </c>
      <c r="F10592" s="2" t="str">
        <v>0</v>
      </c>
      <c r="I10592" s="3" t="str">
        <f ca="1">IFERROR(__xludf.DUMMYFUNCTION("""COMPUTED_VALUE"""),"Lương Thị Mai Anh")</f>
        <v>Lương Thị Mai Anh</v>
      </c>
      <c r="J10592" s="2" t="str">
        <f ca="1">IFERROR(__xludf.DUMMYFUNCTION("""COMPUTED_VALUE"""),"0968946788")</f>
        <v>0968946788</v>
      </c>
      <c r="K10592" s="2" t="str">
        <f ca="1">IFERROR(__xludf.DUMMYFUNCTION("""COMPUTED_VALUE"""),"107260914515")</f>
        <v>107260914515</v>
      </c>
    </row>
    <row r="10593" spans="1:11" ht="12.45">
      <c r="A10593" s="2" t="str">
        <f ca="1">IFERROR(__xludf.DUMMYFUNCTION("""COMPUTED_VALUE"""),"107260914655")</f>
        <v>107260914655</v>
      </c>
      <c r="C10593" s="2" t="str">
        <v>0</v>
      </c>
      <c r="F10593" s="2" t="str">
        <v>0</v>
      </c>
      <c r="I10593" s="3" t="str">
        <f ca="1">IFERROR(__xludf.DUMMYFUNCTION("""COMPUTED_VALUE"""),"Bùi Thuỳ Trâm ")</f>
        <v xml:space="preserve">Bùi Thuỳ Trâm </v>
      </c>
      <c r="J10593" s="2" t="str">
        <f ca="1">IFERROR(__xludf.DUMMYFUNCTION("""COMPUTED_VALUE"""),"0901759029")</f>
        <v>0901759029</v>
      </c>
      <c r="K10593" s="2" t="str">
        <f ca="1">IFERROR(__xludf.DUMMYFUNCTION("""COMPUTED_VALUE"""),"107260914655")</f>
        <v>107260914655</v>
      </c>
    </row>
    <row r="10594" spans="1:11" ht="12.45">
      <c r="A10594" s="2" t="str">
        <f ca="1">IFERROR(__xludf.DUMMYFUNCTION("""COMPUTED_VALUE"""),"107260914894")</f>
        <v>107260914894</v>
      </c>
      <c r="C10594" s="2" t="str">
        <v>0</v>
      </c>
      <c r="F10594" s="2" t="str">
        <v>0</v>
      </c>
      <c r="I10594" s="3" t="str">
        <f ca="1">IFERROR(__xludf.DUMMYFUNCTION("""COMPUTED_VALUE"""),"Vũ Quỳnh Như ")</f>
        <v xml:space="preserve">Vũ Quỳnh Như </v>
      </c>
      <c r="J10594" s="2" t="str">
        <f ca="1">IFERROR(__xludf.DUMMYFUNCTION("""COMPUTED_VALUE"""),"0353708790")</f>
        <v>0353708790</v>
      </c>
      <c r="K10594" s="2" t="str">
        <f ca="1">IFERROR(__xludf.DUMMYFUNCTION("""COMPUTED_VALUE"""),"107260914894")</f>
        <v>107260914894</v>
      </c>
    </row>
    <row r="10595" spans="1:11" ht="12.45">
      <c r="A10595" s="2" t="str">
        <f ca="1">IFERROR(__xludf.DUMMYFUNCTION("""COMPUTED_VALUE"""),"107260914951")</f>
        <v>107260914951</v>
      </c>
      <c r="C10595" s="2" t="str">
        <v>0</v>
      </c>
      <c r="F10595" s="2" t="str">
        <v>0</v>
      </c>
      <c r="I10595" s="3" t="str">
        <f ca="1">IFERROR(__xludf.DUMMYFUNCTION("""COMPUTED_VALUE"""),"Lê Văn Trung")</f>
        <v>Lê Văn Trung</v>
      </c>
      <c r="J10595" s="2" t="str">
        <f ca="1">IFERROR(__xludf.DUMMYFUNCTION("""COMPUTED_VALUE"""),"0973063371")</f>
        <v>0973063371</v>
      </c>
      <c r="K10595" s="2" t="str">
        <f ca="1">IFERROR(__xludf.DUMMYFUNCTION("""COMPUTED_VALUE"""),"107260914951")</f>
        <v>107260914951</v>
      </c>
    </row>
    <row r="10596" spans="1:11" ht="12.45">
      <c r="A10596" s="2" t="str">
        <f ca="1">IFERROR(__xludf.DUMMYFUNCTION("""COMPUTED_VALUE"""),"107260915039")</f>
        <v>107260915039</v>
      </c>
      <c r="C10596" s="2" t="str">
        <v>0</v>
      </c>
      <c r="F10596" s="2" t="str">
        <v>0</v>
      </c>
      <c r="I10596" s="3" t="str">
        <f ca="1">IFERROR(__xludf.DUMMYFUNCTION("""COMPUTED_VALUE"""),"Trần Thị Trà My ")</f>
        <v xml:space="preserve">Trần Thị Trà My </v>
      </c>
      <c r="J10596" s="2" t="str">
        <f ca="1">IFERROR(__xludf.DUMMYFUNCTION("""COMPUTED_VALUE"""),"0969472653")</f>
        <v>0969472653</v>
      </c>
      <c r="K10596" s="2" t="str">
        <f ca="1">IFERROR(__xludf.DUMMYFUNCTION("""COMPUTED_VALUE"""),"107260915039")</f>
        <v>107260915039</v>
      </c>
    </row>
    <row r="10597" spans="1:11" ht="12.45">
      <c r="A10597" s="2"/>
      <c r="C10597" s="2" t="str">
        <v>0</v>
      </c>
      <c r="F10597" s="2" t="str">
        <v>0</v>
      </c>
      <c r="I10597" s="3" t="str">
        <f ca="1">IFERROR(__xludf.DUMMYFUNCTION("""COMPUTED_VALUE"""),"Lô Thị Tấm")</f>
        <v>Lô Thị Tấm</v>
      </c>
      <c r="J10597" s="2" t="str">
        <f ca="1">IFERROR(__xludf.DUMMYFUNCTION("""COMPUTED_VALUE"""),"0337327026")</f>
        <v>0337327026</v>
      </c>
      <c r="K10597" s="2"/>
    </row>
    <row r="10598" spans="1:11" ht="12.45">
      <c r="A10598" s="2" t="str">
        <f ca="1">IFERROR(__xludf.DUMMYFUNCTION("""COMPUTED_VALUE"""),"107260915196")</f>
        <v>107260915196</v>
      </c>
      <c r="C10598" s="2" t="str">
        <v>0</v>
      </c>
      <c r="F10598" s="2" t="str">
        <v>0</v>
      </c>
      <c r="I10598" s="3" t="str">
        <f ca="1">IFERROR(__xludf.DUMMYFUNCTION("""COMPUTED_VALUE"""),"Nguyễn Minh Hà")</f>
        <v>Nguyễn Minh Hà</v>
      </c>
      <c r="J10598" s="2" t="str">
        <f ca="1">IFERROR(__xludf.DUMMYFUNCTION("""COMPUTED_VALUE"""),"0978154875")</f>
        <v>0978154875</v>
      </c>
      <c r="K10598" s="2" t="str">
        <f ca="1">IFERROR(__xludf.DUMMYFUNCTION("""COMPUTED_VALUE"""),"107260915196")</f>
        <v>107260915196</v>
      </c>
    </row>
    <row r="10599" spans="1:11" ht="12.45">
      <c r="A10599" s="2" t="str">
        <f ca="1">IFERROR(__xludf.DUMMYFUNCTION("""COMPUTED_VALUE"""),"107260915238")</f>
        <v>107260915238</v>
      </c>
      <c r="C10599" s="2" t="str">
        <v>0</v>
      </c>
      <c r="F10599" s="2" t="str">
        <v>0</v>
      </c>
      <c r="I10599" s="3" t="str">
        <f ca="1">IFERROR(__xludf.DUMMYFUNCTION("""COMPUTED_VALUE"""),"Hoàng Mai Tâm Như")</f>
        <v>Hoàng Mai Tâm Như</v>
      </c>
      <c r="J10599" s="2" t="str">
        <f ca="1">IFERROR(__xludf.DUMMYFUNCTION("""COMPUTED_VALUE"""),"0372555817")</f>
        <v>0372555817</v>
      </c>
      <c r="K10599" s="2" t="str">
        <f ca="1">IFERROR(__xludf.DUMMYFUNCTION("""COMPUTED_VALUE"""),"107260915238")</f>
        <v>107260915238</v>
      </c>
    </row>
    <row r="10600" spans="1:11" ht="12.45">
      <c r="A10600" s="2" t="str">
        <f ca="1">IFERROR(__xludf.DUMMYFUNCTION("""COMPUTED_VALUE"""),"107260915561")</f>
        <v>107260915561</v>
      </c>
      <c r="C10600" s="2" t="str">
        <v>0</v>
      </c>
      <c r="F10600" s="2" t="str">
        <v>0</v>
      </c>
      <c r="I10600" s="3" t="str">
        <f ca="1">IFERROR(__xludf.DUMMYFUNCTION("""COMPUTED_VALUE"""),"Đặng Vũ Huyền Anh")</f>
        <v>Đặng Vũ Huyền Anh</v>
      </c>
      <c r="J10600" s="2" t="str">
        <f ca="1">IFERROR(__xludf.DUMMYFUNCTION("""COMPUTED_VALUE"""),"0378014385")</f>
        <v>0378014385</v>
      </c>
      <c r="K10600" s="2" t="str">
        <f ca="1">IFERROR(__xludf.DUMMYFUNCTION("""COMPUTED_VALUE"""),"107260915561")</f>
        <v>107260915561</v>
      </c>
    </row>
    <row r="10601" spans="1:11" ht="12.45">
      <c r="A10601" s="2" t="str">
        <f ca="1">IFERROR(__xludf.DUMMYFUNCTION("""COMPUTED_VALUE"""),"107260915683")</f>
        <v>107260915683</v>
      </c>
      <c r="C10601" s="2" t="str">
        <v>0</v>
      </c>
      <c r="F10601" s="2" t="str">
        <v>0</v>
      </c>
      <c r="I10601" s="3" t="str">
        <f ca="1">IFERROR(__xludf.DUMMYFUNCTION("""COMPUTED_VALUE"""),"Lê Nhật Lộc")</f>
        <v>Lê Nhật Lộc</v>
      </c>
      <c r="J10601" s="2" t="str">
        <f ca="1">IFERROR(__xludf.DUMMYFUNCTION("""COMPUTED_VALUE"""),"0978543973")</f>
        <v>0978543973</v>
      </c>
      <c r="K10601" s="2" t="str">
        <f ca="1">IFERROR(__xludf.DUMMYFUNCTION("""COMPUTED_VALUE"""),"107260915683")</f>
        <v>107260915683</v>
      </c>
    </row>
    <row r="10602" spans="1:11" ht="12.45">
      <c r="A10602" s="2" t="str">
        <f ca="1">IFERROR(__xludf.DUMMYFUNCTION("""COMPUTED_VALUE"""),"107260915733")</f>
        <v>107260915733</v>
      </c>
      <c r="C10602" s="2" t="str">
        <v>0</v>
      </c>
      <c r="F10602" s="2" t="str">
        <v>0</v>
      </c>
      <c r="I10602" s="3" t="str">
        <f ca="1">IFERROR(__xludf.DUMMYFUNCTION("""COMPUTED_VALUE"""),"Nguyễn Lê Duy Hưng ")</f>
        <v xml:space="preserve">Nguyễn Lê Duy Hưng </v>
      </c>
      <c r="J10602" s="2" t="str">
        <f ca="1">IFERROR(__xludf.DUMMYFUNCTION("""COMPUTED_VALUE"""),"0967304896")</f>
        <v>0967304896</v>
      </c>
      <c r="K10602" s="2" t="str">
        <f ca="1">IFERROR(__xludf.DUMMYFUNCTION("""COMPUTED_VALUE"""),"107260915733")</f>
        <v>107260915733</v>
      </c>
    </row>
    <row r="10603" spans="1:11" ht="12.45">
      <c r="A10603" s="2" t="str">
        <f ca="1">IFERROR(__xludf.DUMMYFUNCTION("""COMPUTED_VALUE"""),"107260915867")</f>
        <v>107260915867</v>
      </c>
      <c r="C10603" s="2" t="str">
        <v>0</v>
      </c>
      <c r="F10603" s="2" t="str">
        <v>0</v>
      </c>
      <c r="I10603" s="3" t="str">
        <f ca="1">IFERROR(__xludf.DUMMYFUNCTION("""COMPUTED_VALUE"""),"Nguyễn Thị Vân Tiên ")</f>
        <v xml:space="preserve">Nguyễn Thị Vân Tiên </v>
      </c>
      <c r="J10603" s="2" t="str">
        <f ca="1">IFERROR(__xludf.DUMMYFUNCTION("""COMPUTED_VALUE"""),"0865187906")</f>
        <v>0865187906</v>
      </c>
      <c r="K10603" s="2" t="str">
        <f ca="1">IFERROR(__xludf.DUMMYFUNCTION("""COMPUTED_VALUE"""),"107260915867")</f>
        <v>107260915867</v>
      </c>
    </row>
    <row r="10604" spans="1:11" ht="12.45">
      <c r="A10604" s="2"/>
      <c r="C10604" s="2" t="str">
        <v>0</v>
      </c>
      <c r="F10604" s="2" t="str">
        <v>0</v>
      </c>
      <c r="I10604" s="3" t="str">
        <f ca="1">IFERROR(__xludf.DUMMYFUNCTION("""COMPUTED_VALUE"""),"Bùi Phạm Quỳnh Như ")</f>
        <v xml:space="preserve">Bùi Phạm Quỳnh Như </v>
      </c>
      <c r="J10604" s="2" t="str">
        <f ca="1">IFERROR(__xludf.DUMMYFUNCTION("""COMPUTED_VALUE"""),"0326269760")</f>
        <v>0326269760</v>
      </c>
      <c r="K10604" s="2"/>
    </row>
    <row r="10605" spans="1:11" ht="12.45">
      <c r="A10605" s="2" t="str">
        <f ca="1">IFERROR(__xludf.DUMMYFUNCTION("""COMPUTED_VALUE"""),"107260915947")</f>
        <v>107260915947</v>
      </c>
      <c r="C10605" s="2" t="str">
        <v>0</v>
      </c>
      <c r="F10605" s="2" t="str">
        <v>0</v>
      </c>
      <c r="I10605" s="3" t="str">
        <f ca="1">IFERROR(__xludf.DUMMYFUNCTION("""COMPUTED_VALUE"""),"Lê Nhật vy ")</f>
        <v xml:space="preserve">Lê Nhật vy </v>
      </c>
      <c r="J10605" s="2" t="str">
        <f ca="1">IFERROR(__xludf.DUMMYFUNCTION("""COMPUTED_VALUE"""),"0866972477")</f>
        <v>0866972477</v>
      </c>
      <c r="K10605" s="2" t="str">
        <f ca="1">IFERROR(__xludf.DUMMYFUNCTION("""COMPUTED_VALUE"""),"107260915947")</f>
        <v>107260915947</v>
      </c>
    </row>
    <row r="10606" spans="1:11" ht="12.45">
      <c r="A10606" s="2" t="str">
        <f ca="1">IFERROR(__xludf.DUMMYFUNCTION("""COMPUTED_VALUE"""),"107260916024")</f>
        <v>107260916024</v>
      </c>
      <c r="C10606" s="2" t="str">
        <v>0</v>
      </c>
      <c r="F10606" s="2" t="str">
        <v>0</v>
      </c>
      <c r="I10606" s="3" t="str">
        <f ca="1">IFERROR(__xludf.DUMMYFUNCTION("""COMPUTED_VALUE"""),"Nguyễn thanh thuỷ")</f>
        <v>Nguyễn thanh thuỷ</v>
      </c>
      <c r="J10606" s="2" t="str">
        <f ca="1">IFERROR(__xludf.DUMMYFUNCTION("""COMPUTED_VALUE"""),"0949507900")</f>
        <v>0949507900</v>
      </c>
      <c r="K10606" s="2" t="str">
        <f ca="1">IFERROR(__xludf.DUMMYFUNCTION("""COMPUTED_VALUE"""),"107260916024")</f>
        <v>107260916024</v>
      </c>
    </row>
    <row r="10607" spans="1:11" ht="12.45">
      <c r="A10607" s="2" t="str">
        <f ca="1">IFERROR(__xludf.DUMMYFUNCTION("""COMPUTED_VALUE"""),"107260916148")</f>
        <v>107260916148</v>
      </c>
      <c r="C10607" s="2" t="str">
        <v>0</v>
      </c>
      <c r="F10607" s="2" t="str">
        <v>0</v>
      </c>
      <c r="I10607" s="3" t="str">
        <f ca="1">IFERROR(__xludf.DUMMYFUNCTION("""COMPUTED_VALUE"""),"Lê Ngân Hà")</f>
        <v>Lê Ngân Hà</v>
      </c>
      <c r="J10607" s="2" t="str">
        <f ca="1">IFERROR(__xludf.DUMMYFUNCTION("""COMPUTED_VALUE"""),"0966450124")</f>
        <v>0966450124</v>
      </c>
      <c r="K10607" s="2" t="str">
        <f ca="1">IFERROR(__xludf.DUMMYFUNCTION("""COMPUTED_VALUE"""),"107260916148")</f>
        <v>107260916148</v>
      </c>
    </row>
    <row r="10608" spans="1:11" ht="12.45">
      <c r="A10608" s="2" t="str">
        <f ca="1">IFERROR(__xludf.DUMMYFUNCTION("""COMPUTED_VALUE"""),"107260916243")</f>
        <v>107260916243</v>
      </c>
      <c r="C10608" s="2" t="str">
        <v>0</v>
      </c>
      <c r="F10608" s="2" t="str">
        <v>0</v>
      </c>
      <c r="I10608" s="3" t="str">
        <f ca="1">IFERROR(__xludf.DUMMYFUNCTION("""COMPUTED_VALUE"""),"Huỳnh Minh Huy")</f>
        <v>Huỳnh Minh Huy</v>
      </c>
      <c r="J10608" s="2" t="str">
        <f ca="1">IFERROR(__xludf.DUMMYFUNCTION("""COMPUTED_VALUE"""),"0369102724")</f>
        <v>0369102724</v>
      </c>
      <c r="K10608" s="2" t="str">
        <f ca="1">IFERROR(__xludf.DUMMYFUNCTION("""COMPUTED_VALUE"""),"107260916243")</f>
        <v>107260916243</v>
      </c>
    </row>
    <row r="10609" spans="1:11" ht="12.45">
      <c r="A10609" s="2" t="str">
        <f ca="1">IFERROR(__xludf.DUMMYFUNCTION("""COMPUTED_VALUE"""),"107260916376")</f>
        <v>107260916376</v>
      </c>
      <c r="C10609" s="2" t="str">
        <v>0</v>
      </c>
      <c r="F10609" s="2" t="str">
        <v>0</v>
      </c>
      <c r="I10609" s="3" t="str">
        <f ca="1">IFERROR(__xludf.DUMMYFUNCTION("""COMPUTED_VALUE"""),"Nguyễn Thị Thanh Bình")</f>
        <v>Nguyễn Thị Thanh Bình</v>
      </c>
      <c r="J10609" s="2" t="str">
        <f ca="1">IFERROR(__xludf.DUMMYFUNCTION("""COMPUTED_VALUE"""),"0912537356")</f>
        <v>0912537356</v>
      </c>
      <c r="K10609" s="2" t="str">
        <f ca="1">IFERROR(__xludf.DUMMYFUNCTION("""COMPUTED_VALUE"""),"107260916376")</f>
        <v>107260916376</v>
      </c>
    </row>
    <row r="10610" spans="1:11" ht="12.45">
      <c r="A10610" s="2" t="str">
        <f ca="1">IFERROR(__xludf.DUMMYFUNCTION("""COMPUTED_VALUE"""),"107260916434")</f>
        <v>107260916434</v>
      </c>
      <c r="C10610" s="2" t="str">
        <v>0</v>
      </c>
      <c r="F10610" s="2" t="str">
        <v>0</v>
      </c>
      <c r="I10610" s="3" t="str">
        <f ca="1">IFERROR(__xludf.DUMMYFUNCTION("""COMPUTED_VALUE"""),"Đặng Đức Hiếu")</f>
        <v>Đặng Đức Hiếu</v>
      </c>
      <c r="J10610" s="2" t="str">
        <f ca="1">IFERROR(__xludf.DUMMYFUNCTION("""COMPUTED_VALUE"""),"0339028234")</f>
        <v>0339028234</v>
      </c>
      <c r="K10610" s="2" t="str">
        <f ca="1">IFERROR(__xludf.DUMMYFUNCTION("""COMPUTED_VALUE"""),"107260916434")</f>
        <v>107260916434</v>
      </c>
    </row>
    <row r="10611" spans="1:11" ht="12.45">
      <c r="A10611" s="2" t="str">
        <f ca="1">IFERROR(__xludf.DUMMYFUNCTION("""COMPUTED_VALUE"""),"107260916510")</f>
        <v>107260916510</v>
      </c>
      <c r="C10611" s="2" t="str">
        <v>0</v>
      </c>
      <c r="F10611" s="2" t="str">
        <v>0</v>
      </c>
      <c r="I10611" s="3" t="str">
        <f ca="1">IFERROR(__xludf.DUMMYFUNCTION("""COMPUTED_VALUE"""),"Phạm Ngọc Quỳnh Anh ")</f>
        <v xml:space="preserve">Phạm Ngọc Quỳnh Anh </v>
      </c>
      <c r="J10611" s="2" t="str">
        <f ca="1">IFERROR(__xludf.DUMMYFUNCTION("""COMPUTED_VALUE"""),"0902613696")</f>
        <v>0902613696</v>
      </c>
      <c r="K10611" s="2" t="str">
        <f ca="1">IFERROR(__xludf.DUMMYFUNCTION("""COMPUTED_VALUE"""),"107260916510")</f>
        <v>107260916510</v>
      </c>
    </row>
    <row r="10612" spans="1:11" ht="12.45">
      <c r="A10612" s="2" t="str">
        <f ca="1">IFERROR(__xludf.DUMMYFUNCTION("""COMPUTED_VALUE"""),"107260916660")</f>
        <v>107260916660</v>
      </c>
      <c r="C10612" s="2" t="str">
        <v>0</v>
      </c>
      <c r="F10612" s="2" t="str">
        <v>0</v>
      </c>
      <c r="I10612" s="3" t="str">
        <f ca="1">IFERROR(__xludf.DUMMYFUNCTION("""COMPUTED_VALUE"""),"Nguyễn thị thu trang")</f>
        <v>Nguyễn thị thu trang</v>
      </c>
      <c r="J10612" s="2" t="str">
        <f ca="1">IFERROR(__xludf.DUMMYFUNCTION("""COMPUTED_VALUE"""),"0339962007")</f>
        <v>0339962007</v>
      </c>
      <c r="K10612" s="2" t="str">
        <f ca="1">IFERROR(__xludf.DUMMYFUNCTION("""COMPUTED_VALUE"""),"107260916660")</f>
        <v>107260916660</v>
      </c>
    </row>
    <row r="10613" spans="1:11" ht="12.45">
      <c r="A10613" s="2"/>
      <c r="C10613" s="2" t="str">
        <v>0</v>
      </c>
      <c r="F10613" s="2" t="str">
        <v>0</v>
      </c>
      <c r="I10613" s="3" t="str">
        <f ca="1">IFERROR(__xludf.DUMMYFUNCTION("""COMPUTED_VALUE"""),"Nguyễn thị ngọc hằng")</f>
        <v>Nguyễn thị ngọc hằng</v>
      </c>
      <c r="J10613" s="2" t="str">
        <f ca="1">IFERROR(__xludf.DUMMYFUNCTION("""COMPUTED_VALUE"""),"0949416454")</f>
        <v>0949416454</v>
      </c>
      <c r="K10613" s="2"/>
    </row>
    <row r="10614" spans="1:11" ht="12.45">
      <c r="A10614" s="2" t="str">
        <f ca="1">IFERROR(__xludf.DUMMYFUNCTION("""COMPUTED_VALUE"""),"107260916780")</f>
        <v>107260916780</v>
      </c>
      <c r="C10614" s="2" t="str">
        <v>0</v>
      </c>
      <c r="F10614" s="2" t="str">
        <v>0</v>
      </c>
      <c r="I10614" s="3" t="str">
        <f ca="1">IFERROR(__xludf.DUMMYFUNCTION("""COMPUTED_VALUE"""),"Bùi Hoàng Hà Phương")</f>
        <v>Bùi Hoàng Hà Phương</v>
      </c>
      <c r="J10614" s="2" t="str">
        <f ca="1">IFERROR(__xludf.DUMMYFUNCTION("""COMPUTED_VALUE"""),"0366989526")</f>
        <v>0366989526</v>
      </c>
      <c r="K10614" s="2" t="str">
        <f ca="1">IFERROR(__xludf.DUMMYFUNCTION("""COMPUTED_VALUE"""),"107260916780")</f>
        <v>107260916780</v>
      </c>
    </row>
    <row r="10615" spans="1:11" ht="12.45">
      <c r="A10615" s="2" t="str">
        <f ca="1">IFERROR(__xludf.DUMMYFUNCTION("""COMPUTED_VALUE"""),"107260916885")</f>
        <v>107260916885</v>
      </c>
      <c r="C10615" s="2" t="str">
        <v>0</v>
      </c>
      <c r="F10615" s="2" t="str">
        <v>0</v>
      </c>
      <c r="I10615" s="3" t="str">
        <f ca="1">IFERROR(__xludf.DUMMYFUNCTION("""COMPUTED_VALUE"""),"Bùi Ngọc Mai")</f>
        <v>Bùi Ngọc Mai</v>
      </c>
      <c r="J10615" s="2" t="str">
        <f ca="1">IFERROR(__xludf.DUMMYFUNCTION("""COMPUTED_VALUE"""),"0834038856")</f>
        <v>0834038856</v>
      </c>
      <c r="K10615" s="2" t="str">
        <f ca="1">IFERROR(__xludf.DUMMYFUNCTION("""COMPUTED_VALUE"""),"107260916885")</f>
        <v>107260916885</v>
      </c>
    </row>
    <row r="10616" spans="1:11" ht="12.45">
      <c r="A10616" s="2" t="str">
        <f ca="1">IFERROR(__xludf.DUMMYFUNCTION("""COMPUTED_VALUE"""),"107260917040")</f>
        <v>107260917040</v>
      </c>
      <c r="C10616" s="2" t="str">
        <v>0</v>
      </c>
      <c r="F10616" s="2" t="str">
        <v>0</v>
      </c>
      <c r="I10616" s="3" t="str">
        <f ca="1">IFERROR(__xludf.DUMMYFUNCTION("""COMPUTED_VALUE"""),"Đặng Thị Hương Giang")</f>
        <v>Đặng Thị Hương Giang</v>
      </c>
      <c r="J10616" s="2" t="str">
        <f ca="1">IFERROR(__xludf.DUMMYFUNCTION("""COMPUTED_VALUE"""),"0339550187")</f>
        <v>0339550187</v>
      </c>
      <c r="K10616" s="2" t="str">
        <f ca="1">IFERROR(__xludf.DUMMYFUNCTION("""COMPUTED_VALUE"""),"107260917040")</f>
        <v>107260917040</v>
      </c>
    </row>
    <row r="10617" spans="1:11" ht="12.45">
      <c r="A10617" s="2" t="str">
        <f ca="1">IFERROR(__xludf.DUMMYFUNCTION("""COMPUTED_VALUE"""),"107260917170")</f>
        <v>107260917170</v>
      </c>
      <c r="C10617" s="2" t="str">
        <v>0</v>
      </c>
      <c r="F10617" s="2" t="str">
        <v>0</v>
      </c>
      <c r="I10617" s="3" t="str">
        <f ca="1">IFERROR(__xludf.DUMMYFUNCTION("""COMPUTED_VALUE"""),"Lê Nguyễn Hoàng Yến ")</f>
        <v xml:space="preserve">Lê Nguyễn Hoàng Yến </v>
      </c>
      <c r="J10617" s="2" t="str">
        <f ca="1">IFERROR(__xludf.DUMMYFUNCTION("""COMPUTED_VALUE"""),"0931873302")</f>
        <v>0931873302</v>
      </c>
      <c r="K10617" s="2" t="str">
        <f ca="1">IFERROR(__xludf.DUMMYFUNCTION("""COMPUTED_VALUE"""),"107260917170")</f>
        <v>107260917170</v>
      </c>
    </row>
    <row r="10618" spans="1:11" ht="12.45">
      <c r="A10618" s="2" t="str">
        <f ca="1">IFERROR(__xludf.DUMMYFUNCTION("""COMPUTED_VALUE"""),"107260917231")</f>
        <v>107260917231</v>
      </c>
      <c r="C10618" s="2" t="str">
        <v>0</v>
      </c>
      <c r="F10618" s="2" t="str">
        <v>0</v>
      </c>
      <c r="I10618" s="3" t="str">
        <f ca="1">IFERROR(__xludf.DUMMYFUNCTION("""COMPUTED_VALUE"""),"Vũ Ngọc Bảo Nhi")</f>
        <v>Vũ Ngọc Bảo Nhi</v>
      </c>
      <c r="J10618" s="2" t="str">
        <f ca="1">IFERROR(__xludf.DUMMYFUNCTION("""COMPUTED_VALUE"""),"0974134434")</f>
        <v>0974134434</v>
      </c>
      <c r="K10618" s="2" t="str">
        <f ca="1">IFERROR(__xludf.DUMMYFUNCTION("""COMPUTED_VALUE"""),"107260917231")</f>
        <v>107260917231</v>
      </c>
    </row>
    <row r="10619" spans="1:11" ht="12.45">
      <c r="A10619" s="2" t="str">
        <f ca="1">IFERROR(__xludf.DUMMYFUNCTION("""COMPUTED_VALUE"""),"107260917395")</f>
        <v>107260917395</v>
      </c>
      <c r="C10619" s="2" t="str">
        <v>0</v>
      </c>
      <c r="F10619" s="2" t="str">
        <v>0</v>
      </c>
      <c r="I10619" s="3" t="str">
        <f ca="1">IFERROR(__xludf.DUMMYFUNCTION("""COMPUTED_VALUE"""),"Nguyễn Khánh Duy")</f>
        <v>Nguyễn Khánh Duy</v>
      </c>
      <c r="J10619" s="2" t="str">
        <f ca="1">IFERROR(__xludf.DUMMYFUNCTION("""COMPUTED_VALUE"""),"0943947658")</f>
        <v>0943947658</v>
      </c>
      <c r="K10619" s="2" t="str">
        <f ca="1">IFERROR(__xludf.DUMMYFUNCTION("""COMPUTED_VALUE"""),"107260917395")</f>
        <v>107260917395</v>
      </c>
    </row>
    <row r="10620" spans="1:11" ht="12.45">
      <c r="A10620" s="2" t="str">
        <f ca="1">IFERROR(__xludf.DUMMYFUNCTION("""COMPUTED_VALUE"""),"107260917461")</f>
        <v>107260917461</v>
      </c>
      <c r="C10620" s="2" t="str">
        <v>0</v>
      </c>
      <c r="F10620" s="2" t="str">
        <v>0</v>
      </c>
      <c r="I10620" s="3" t="str">
        <f ca="1">IFERROR(__xludf.DUMMYFUNCTION("""COMPUTED_VALUE"""),"Lê Đình Việt Hoàng ")</f>
        <v xml:space="preserve">Lê Đình Việt Hoàng </v>
      </c>
      <c r="J10620" s="2" t="str">
        <f ca="1">IFERROR(__xludf.DUMMYFUNCTION("""COMPUTED_VALUE"""),"0963019840")</f>
        <v>0963019840</v>
      </c>
      <c r="K10620" s="2" t="str">
        <f ca="1">IFERROR(__xludf.DUMMYFUNCTION("""COMPUTED_VALUE"""),"107260917461")</f>
        <v>107260917461</v>
      </c>
    </row>
    <row r="10621" spans="1:11" ht="12.45">
      <c r="A10621" s="2" t="str">
        <f ca="1">IFERROR(__xludf.DUMMYFUNCTION("""COMPUTED_VALUE"""),"107260917515")</f>
        <v>107260917515</v>
      </c>
      <c r="C10621" s="2" t="str">
        <v>0</v>
      </c>
      <c r="F10621" s="2" t="str">
        <v>0</v>
      </c>
      <c r="I10621" s="3" t="str">
        <f ca="1">IFERROR(__xludf.DUMMYFUNCTION("""COMPUTED_VALUE"""),"Nông Minh Hiếu ")</f>
        <v xml:space="preserve">Nông Minh Hiếu </v>
      </c>
      <c r="J10621" s="2" t="str">
        <f ca="1">IFERROR(__xludf.DUMMYFUNCTION("""COMPUTED_VALUE"""),"0868146528")</f>
        <v>0868146528</v>
      </c>
      <c r="K10621" s="2" t="str">
        <f ca="1">IFERROR(__xludf.DUMMYFUNCTION("""COMPUTED_VALUE"""),"107260917515")</f>
        <v>107260917515</v>
      </c>
    </row>
    <row r="10622" spans="1:11" ht="12.45">
      <c r="A10622" s="2" t="str">
        <f ca="1">IFERROR(__xludf.DUMMYFUNCTION("""COMPUTED_VALUE"""),"107260917626")</f>
        <v>107260917626</v>
      </c>
      <c r="C10622" s="2" t="str">
        <v>0</v>
      </c>
      <c r="F10622" s="2" t="str">
        <v>0</v>
      </c>
      <c r="I10622" s="3" t="str">
        <f ca="1">IFERROR(__xludf.DUMMYFUNCTION("""COMPUTED_VALUE"""),"Lê Gia Hân")</f>
        <v>Lê Gia Hân</v>
      </c>
      <c r="J10622" s="2" t="str">
        <f ca="1">IFERROR(__xludf.DUMMYFUNCTION("""COMPUTED_VALUE"""),"0933452821")</f>
        <v>0933452821</v>
      </c>
      <c r="K10622" s="2" t="str">
        <f ca="1">IFERROR(__xludf.DUMMYFUNCTION("""COMPUTED_VALUE"""),"107260917626")</f>
        <v>107260917626</v>
      </c>
    </row>
    <row r="10623" spans="1:11" ht="12.45">
      <c r="A10623" s="2" t="str">
        <f ca="1">IFERROR(__xludf.DUMMYFUNCTION("""COMPUTED_VALUE"""),"107260917745")</f>
        <v>107260917745</v>
      </c>
      <c r="C10623" s="2" t="str">
        <v>0</v>
      </c>
      <c r="F10623" s="2" t="str">
        <v>0</v>
      </c>
      <c r="I10623" s="3" t="str">
        <f ca="1">IFERROR(__xludf.DUMMYFUNCTION("""COMPUTED_VALUE"""),"Hoàng Mai Khôi")</f>
        <v>Hoàng Mai Khôi</v>
      </c>
      <c r="J10623" s="2" t="str">
        <f ca="1">IFERROR(__xludf.DUMMYFUNCTION("""COMPUTED_VALUE"""),"0834852626")</f>
        <v>0834852626</v>
      </c>
      <c r="K10623" s="2" t="str">
        <f ca="1">IFERROR(__xludf.DUMMYFUNCTION("""COMPUTED_VALUE"""),"107260917745")</f>
        <v>107260917745</v>
      </c>
    </row>
    <row r="10624" spans="1:11" ht="12.45">
      <c r="A10624" s="2" t="str">
        <f ca="1">IFERROR(__xludf.DUMMYFUNCTION("""COMPUTED_VALUE"""),"107260917837")</f>
        <v>107260917837</v>
      </c>
      <c r="C10624" s="2" t="str">
        <v>0</v>
      </c>
      <c r="F10624" s="2" t="str">
        <v>0</v>
      </c>
      <c r="I10624" s="3" t="str">
        <f ca="1">IFERROR(__xludf.DUMMYFUNCTION("""COMPUTED_VALUE"""),"Đặng Thị Ngọc Diệp")</f>
        <v>Đặng Thị Ngọc Diệp</v>
      </c>
      <c r="J10624" s="2" t="str">
        <f ca="1">IFERROR(__xludf.DUMMYFUNCTION("""COMPUTED_VALUE"""),"0343491719")</f>
        <v>0343491719</v>
      </c>
      <c r="K10624" s="2" t="str">
        <f ca="1">IFERROR(__xludf.DUMMYFUNCTION("""COMPUTED_VALUE"""),"107260917837")</f>
        <v>107260917837</v>
      </c>
    </row>
    <row r="10625" spans="1:11" ht="12.45">
      <c r="A10625" s="2" t="str">
        <f ca="1">IFERROR(__xludf.DUMMYFUNCTION("""COMPUTED_VALUE"""),"107260917973")</f>
        <v>107260917973</v>
      </c>
      <c r="C10625" s="2" t="str">
        <v>0</v>
      </c>
      <c r="F10625" s="2" t="str">
        <v>0</v>
      </c>
      <c r="I10625" s="3" t="str">
        <f ca="1">IFERROR(__xludf.DUMMYFUNCTION("""COMPUTED_VALUE"""),"Nguyễn Minh Thư")</f>
        <v>Nguyễn Minh Thư</v>
      </c>
      <c r="J10625" s="2" t="str">
        <f ca="1">IFERROR(__xludf.DUMMYFUNCTION("""COMPUTED_VALUE"""),"0971965874")</f>
        <v>0971965874</v>
      </c>
      <c r="K10625" s="2" t="str">
        <f ca="1">IFERROR(__xludf.DUMMYFUNCTION("""COMPUTED_VALUE"""),"107260917973")</f>
        <v>107260917973</v>
      </c>
    </row>
    <row r="10626" spans="1:11" ht="12.45">
      <c r="A10626" s="2" t="str">
        <f ca="1">IFERROR(__xludf.DUMMYFUNCTION("""COMPUTED_VALUE"""),"107260918058")</f>
        <v>107260918058</v>
      </c>
      <c r="C10626" s="2" t="str">
        <v>0</v>
      </c>
      <c r="F10626" s="2" t="str">
        <v>0</v>
      </c>
      <c r="I10626" s="3" t="str">
        <f ca="1">IFERROR(__xludf.DUMMYFUNCTION("""COMPUTED_VALUE"""),"Lò Văn Lực")</f>
        <v>Lò Văn Lực</v>
      </c>
      <c r="J10626" s="2" t="str">
        <f ca="1">IFERROR(__xludf.DUMMYFUNCTION("""COMPUTED_VALUE"""),"0968515824")</f>
        <v>0968515824</v>
      </c>
      <c r="K10626" s="2" t="str">
        <f ca="1">IFERROR(__xludf.DUMMYFUNCTION("""COMPUTED_VALUE"""),"107260918058")</f>
        <v>107260918058</v>
      </c>
    </row>
    <row r="10627" spans="1:11" ht="12.45">
      <c r="A10627" s="2" t="str">
        <f ca="1">IFERROR(__xludf.DUMMYFUNCTION("""COMPUTED_VALUE"""),"107260918145")</f>
        <v>107260918145</v>
      </c>
      <c r="C10627" s="2" t="str">
        <v>0</v>
      </c>
      <c r="F10627" s="2" t="str">
        <v>0</v>
      </c>
      <c r="I10627" s="3" t="str">
        <f ca="1">IFERROR(__xludf.DUMMYFUNCTION("""COMPUTED_VALUE"""),"Đặng Thị Như Quỳnh")</f>
        <v>Đặng Thị Như Quỳnh</v>
      </c>
      <c r="J10627" s="2" t="str">
        <f ca="1">IFERROR(__xludf.DUMMYFUNCTION("""COMPUTED_VALUE"""),"0862629275")</f>
        <v>0862629275</v>
      </c>
      <c r="K10627" s="2" t="str">
        <f ca="1">IFERROR(__xludf.DUMMYFUNCTION("""COMPUTED_VALUE"""),"107260918145")</f>
        <v>107260918145</v>
      </c>
    </row>
    <row r="10628" spans="1:11" ht="12.45">
      <c r="A10628" s="2" t="str">
        <f ca="1">IFERROR(__xludf.DUMMYFUNCTION("""COMPUTED_VALUE"""),"107260918396")</f>
        <v>107260918396</v>
      </c>
      <c r="C10628" s="2" t="str">
        <v>0</v>
      </c>
      <c r="F10628" s="2" t="str">
        <v>0</v>
      </c>
      <c r="I10628" s="3" t="str">
        <f ca="1">IFERROR(__xludf.DUMMYFUNCTION("""COMPUTED_VALUE"""),"Lê Thị Kim Anh")</f>
        <v>Lê Thị Kim Anh</v>
      </c>
      <c r="J10628" s="2" t="str">
        <f ca="1">IFERROR(__xludf.DUMMYFUNCTION("""COMPUTED_VALUE"""),"0394902098")</f>
        <v>0394902098</v>
      </c>
      <c r="K10628" s="2" t="str">
        <f ca="1">IFERROR(__xludf.DUMMYFUNCTION("""COMPUTED_VALUE"""),"107260918396")</f>
        <v>107260918396</v>
      </c>
    </row>
    <row r="10629" spans="1:11" ht="12.45">
      <c r="A10629" s="2" t="str">
        <f ca="1">IFERROR(__xludf.DUMMYFUNCTION("""COMPUTED_VALUE"""),"107260918472")</f>
        <v>107260918472</v>
      </c>
      <c r="C10629" s="2" t="str">
        <v>0</v>
      </c>
      <c r="F10629" s="2" t="str">
        <v>0</v>
      </c>
      <c r="I10629" s="3" t="str">
        <f ca="1">IFERROR(__xludf.DUMMYFUNCTION("""COMPUTED_VALUE"""),"Nguyễn Trương Trọng Phúc")</f>
        <v>Nguyễn Trương Trọng Phúc</v>
      </c>
      <c r="J10629" s="2" t="str">
        <f ca="1">IFERROR(__xludf.DUMMYFUNCTION("""COMPUTED_VALUE"""),"0824488820")</f>
        <v>0824488820</v>
      </c>
      <c r="K10629" s="2" t="str">
        <f ca="1">IFERROR(__xludf.DUMMYFUNCTION("""COMPUTED_VALUE"""),"107260918472")</f>
        <v>107260918472</v>
      </c>
    </row>
    <row r="10630" spans="1:11" ht="12.45">
      <c r="A10630" s="2" t="str">
        <f ca="1">IFERROR(__xludf.DUMMYFUNCTION("""COMPUTED_VALUE"""),"107260918568")</f>
        <v>107260918568</v>
      </c>
      <c r="C10630" s="2" t="str">
        <v>0</v>
      </c>
      <c r="F10630" s="2" t="str">
        <v>0</v>
      </c>
      <c r="I10630" s="3" t="str">
        <f ca="1">IFERROR(__xludf.DUMMYFUNCTION("""COMPUTED_VALUE"""),"Bùi Trịnh Hương Giang ")</f>
        <v xml:space="preserve">Bùi Trịnh Hương Giang </v>
      </c>
      <c r="J10630" s="2" t="str">
        <f ca="1">IFERROR(__xludf.DUMMYFUNCTION("""COMPUTED_VALUE"""),"0762094479")</f>
        <v>0762094479</v>
      </c>
      <c r="K10630" s="2" t="str">
        <f ca="1">IFERROR(__xludf.DUMMYFUNCTION("""COMPUTED_VALUE"""),"107260918568")</f>
        <v>107260918568</v>
      </c>
    </row>
    <row r="10631" spans="1:11" ht="12.45">
      <c r="A10631" s="2" t="str">
        <f ca="1">IFERROR(__xludf.DUMMYFUNCTION("""COMPUTED_VALUE"""),"107260918822")</f>
        <v>107260918822</v>
      </c>
      <c r="C10631" s="2" t="str">
        <v>0</v>
      </c>
      <c r="F10631" s="2" t="str">
        <v>0</v>
      </c>
      <c r="I10631" s="3" t="str">
        <f ca="1">IFERROR(__xludf.DUMMYFUNCTION("""COMPUTED_VALUE"""),"Nguyễn Đặng Thảo My")</f>
        <v>Nguyễn Đặng Thảo My</v>
      </c>
      <c r="J10631" s="2" t="str">
        <f ca="1">IFERROR(__xludf.DUMMYFUNCTION("""COMPUTED_VALUE"""),"0912970048")</f>
        <v>0912970048</v>
      </c>
      <c r="K10631" s="2" t="str">
        <f ca="1">IFERROR(__xludf.DUMMYFUNCTION("""COMPUTED_VALUE"""),"107260918822")</f>
        <v>107260918822</v>
      </c>
    </row>
    <row r="10632" spans="1:11" ht="12.45">
      <c r="A10632" s="2" t="str">
        <f ca="1">IFERROR(__xludf.DUMMYFUNCTION("""COMPUTED_VALUE"""),"107260918935")</f>
        <v>107260918935</v>
      </c>
      <c r="C10632" s="2" t="str">
        <v>0</v>
      </c>
      <c r="F10632" s="2" t="str">
        <v>0</v>
      </c>
      <c r="I10632" s="3" t="str">
        <f ca="1">IFERROR(__xludf.DUMMYFUNCTION("""COMPUTED_VALUE"""),"Tẩn Ngọc Tuấn ")</f>
        <v xml:space="preserve">Tẩn Ngọc Tuấn </v>
      </c>
      <c r="J10632" s="2" t="str">
        <f ca="1">IFERROR(__xludf.DUMMYFUNCTION("""COMPUTED_VALUE"""),"0343386235")</f>
        <v>0343386235</v>
      </c>
      <c r="K10632" s="2" t="str">
        <f ca="1">IFERROR(__xludf.DUMMYFUNCTION("""COMPUTED_VALUE"""),"107260918935")</f>
        <v>107260918935</v>
      </c>
    </row>
    <row r="10633" spans="1:11" ht="12.45">
      <c r="A10633" s="2" t="str">
        <f ca="1">IFERROR(__xludf.DUMMYFUNCTION("""COMPUTED_VALUE"""),"107260919259")</f>
        <v>107260919259</v>
      </c>
      <c r="C10633" s="2" t="str">
        <v>0</v>
      </c>
      <c r="F10633" s="2" t="str">
        <v>0</v>
      </c>
      <c r="I10633" s="3" t="str">
        <f ca="1">IFERROR(__xludf.DUMMYFUNCTION("""COMPUTED_VALUE"""),"Lương Kim Tây")</f>
        <v>Lương Kim Tây</v>
      </c>
      <c r="J10633" s="2" t="str">
        <f ca="1">IFERROR(__xludf.DUMMYFUNCTION("""COMPUTED_VALUE"""),"0338295173")</f>
        <v>0338295173</v>
      </c>
      <c r="K10633" s="2" t="str">
        <f ca="1">IFERROR(__xludf.DUMMYFUNCTION("""COMPUTED_VALUE"""),"107260919259")</f>
        <v>107260919259</v>
      </c>
    </row>
    <row r="10634" spans="1:11" ht="12.45">
      <c r="A10634" s="2" t="str">
        <f ca="1">IFERROR(__xludf.DUMMYFUNCTION("""COMPUTED_VALUE"""),"107260919343")</f>
        <v>107260919343</v>
      </c>
      <c r="C10634" s="2" t="str">
        <v>0</v>
      </c>
      <c r="F10634" s="2" t="str">
        <v>0</v>
      </c>
      <c r="I10634" s="3" t="str">
        <f ca="1">IFERROR(__xludf.DUMMYFUNCTION("""COMPUTED_VALUE"""),"Nguyễn Thị Ngọc Nhi")</f>
        <v>Nguyễn Thị Ngọc Nhi</v>
      </c>
      <c r="J10634" s="2" t="str">
        <f ca="1">IFERROR(__xludf.DUMMYFUNCTION("""COMPUTED_VALUE"""),"0382861190")</f>
        <v>0382861190</v>
      </c>
      <c r="K10634" s="2" t="str">
        <f ca="1">IFERROR(__xludf.DUMMYFUNCTION("""COMPUTED_VALUE"""),"107260919343")</f>
        <v>107260919343</v>
      </c>
    </row>
    <row r="10635" spans="1:11" ht="12.45">
      <c r="A10635" s="2" t="str">
        <f ca="1">IFERROR(__xludf.DUMMYFUNCTION("""COMPUTED_VALUE"""),"107260919418")</f>
        <v>107260919418</v>
      </c>
      <c r="C10635" s="2" t="str">
        <v>0</v>
      </c>
      <c r="F10635" s="2" t="str">
        <v>0</v>
      </c>
      <c r="I10635" s="3" t="str">
        <f ca="1">IFERROR(__xludf.DUMMYFUNCTION("""COMPUTED_VALUE"""),"Nguyễn Văn Nguyên")</f>
        <v>Nguyễn Văn Nguyên</v>
      </c>
      <c r="J10635" s="2" t="str">
        <f ca="1">IFERROR(__xludf.DUMMYFUNCTION("""COMPUTED_VALUE"""),"0764535114")</f>
        <v>0764535114</v>
      </c>
      <c r="K10635" s="2" t="str">
        <f ca="1">IFERROR(__xludf.DUMMYFUNCTION("""COMPUTED_VALUE"""),"107260919418")</f>
        <v>107260919418</v>
      </c>
    </row>
    <row r="10636" spans="1:11" ht="12.45">
      <c r="A10636" s="2" t="str">
        <f ca="1">IFERROR(__xludf.DUMMYFUNCTION("""COMPUTED_VALUE"""),"107260919621")</f>
        <v>107260919621</v>
      </c>
      <c r="C10636" s="2" t="str">
        <v>0</v>
      </c>
      <c r="F10636" s="2" t="str">
        <v>0</v>
      </c>
      <c r="I10636" s="3" t="str">
        <f ca="1">IFERROR(__xludf.DUMMYFUNCTION("""COMPUTED_VALUE"""),"Phạm Trâm Nhật Hằng")</f>
        <v>Phạm Trâm Nhật Hằng</v>
      </c>
      <c r="J10636" s="2" t="str">
        <f ca="1">IFERROR(__xludf.DUMMYFUNCTION("""COMPUTED_VALUE"""),"0389418754")</f>
        <v>0389418754</v>
      </c>
      <c r="K10636" s="2" t="str">
        <f ca="1">IFERROR(__xludf.DUMMYFUNCTION("""COMPUTED_VALUE"""),"107260919621")</f>
        <v>107260919621</v>
      </c>
    </row>
    <row r="10637" spans="1:11" ht="12.45">
      <c r="A10637" s="2" t="str">
        <f ca="1">IFERROR(__xludf.DUMMYFUNCTION("""COMPUTED_VALUE"""),"107260919753")</f>
        <v>107260919753</v>
      </c>
      <c r="C10637" s="2" t="str">
        <v>0</v>
      </c>
      <c r="F10637" s="2" t="str">
        <v>0</v>
      </c>
      <c r="I10637" s="3" t="str">
        <f ca="1">IFERROR(__xludf.DUMMYFUNCTION("""COMPUTED_VALUE"""),"Lê Minh Châu ")</f>
        <v xml:space="preserve">Lê Minh Châu </v>
      </c>
      <c r="J10637" s="2" t="str">
        <f ca="1">IFERROR(__xludf.DUMMYFUNCTION("""COMPUTED_VALUE"""),"0357451025")</f>
        <v>0357451025</v>
      </c>
      <c r="K10637" s="2" t="str">
        <f ca="1">IFERROR(__xludf.DUMMYFUNCTION("""COMPUTED_VALUE"""),"107260919753")</f>
        <v>107260919753</v>
      </c>
    </row>
    <row r="10638" spans="1:11" ht="12.45">
      <c r="A10638" s="2" t="str">
        <f ca="1">IFERROR(__xludf.DUMMYFUNCTION("""COMPUTED_VALUE"""),"107260919879")</f>
        <v>107260919879</v>
      </c>
      <c r="C10638" s="2" t="str">
        <v>0</v>
      </c>
      <c r="F10638" s="2" t="str">
        <v>0</v>
      </c>
      <c r="I10638" s="3" t="str">
        <f ca="1">IFERROR(__xludf.DUMMYFUNCTION("""COMPUTED_VALUE"""),"Nguyễn Như Nhung")</f>
        <v>Nguyễn Như Nhung</v>
      </c>
      <c r="J10638" s="2" t="str">
        <f ca="1">IFERROR(__xludf.DUMMYFUNCTION("""COMPUTED_VALUE"""),"8496322074")</f>
        <v>8496322074</v>
      </c>
      <c r="K10638" s="2" t="str">
        <f ca="1">IFERROR(__xludf.DUMMYFUNCTION("""COMPUTED_VALUE"""),"107260919879")</f>
        <v>107260919879</v>
      </c>
    </row>
    <row r="10639" spans="1:11" ht="12.45">
      <c r="A10639" s="2" t="str">
        <f ca="1">IFERROR(__xludf.DUMMYFUNCTION("""COMPUTED_VALUE"""),"107260920018")</f>
        <v>107260920018</v>
      </c>
      <c r="C10639" s="2" t="str">
        <v>0</v>
      </c>
      <c r="F10639" s="2" t="str">
        <v>0</v>
      </c>
      <c r="I10639" s="3" t="str">
        <f ca="1">IFERROR(__xludf.DUMMYFUNCTION("""COMPUTED_VALUE"""),"Nguyễn thị Huyền ")</f>
        <v xml:space="preserve">Nguyễn thị Huyền </v>
      </c>
      <c r="J10639" s="2" t="str">
        <f ca="1">IFERROR(__xludf.DUMMYFUNCTION("""COMPUTED_VALUE"""),"0981801217")</f>
        <v>0981801217</v>
      </c>
      <c r="K10639" s="2" t="str">
        <f ca="1">IFERROR(__xludf.DUMMYFUNCTION("""COMPUTED_VALUE"""),"107260920018")</f>
        <v>107260920018</v>
      </c>
    </row>
    <row r="10640" spans="1:11" ht="12.45">
      <c r="A10640" s="2" t="str">
        <f ca="1">IFERROR(__xludf.DUMMYFUNCTION("""COMPUTED_VALUE"""),"107260920173")</f>
        <v>107260920173</v>
      </c>
      <c r="C10640" s="2" t="str">
        <v>0</v>
      </c>
      <c r="F10640" s="2" t="str">
        <v>0</v>
      </c>
      <c r="I10640" s="3" t="str">
        <f ca="1">IFERROR(__xludf.DUMMYFUNCTION("""COMPUTED_VALUE"""),"Nguyễn Phương Thanh")</f>
        <v>Nguyễn Phương Thanh</v>
      </c>
      <c r="J10640" s="2" t="str">
        <f ca="1">IFERROR(__xludf.DUMMYFUNCTION("""COMPUTED_VALUE"""),"0365313584")</f>
        <v>0365313584</v>
      </c>
      <c r="K10640" s="2" t="str">
        <f ca="1">IFERROR(__xludf.DUMMYFUNCTION("""COMPUTED_VALUE"""),"107260920173")</f>
        <v>107260920173</v>
      </c>
    </row>
    <row r="10641" spans="1:11" ht="12.45">
      <c r="A10641" s="2" t="str">
        <f ca="1">IFERROR(__xludf.DUMMYFUNCTION("""COMPUTED_VALUE"""),"107260920261")</f>
        <v>107260920261</v>
      </c>
      <c r="C10641" s="2" t="str">
        <v>0</v>
      </c>
      <c r="F10641" s="2" t="str">
        <v>0</v>
      </c>
      <c r="I10641" s="3" t="str">
        <f ca="1">IFERROR(__xludf.DUMMYFUNCTION("""COMPUTED_VALUE"""),"Dương Phương Anh")</f>
        <v>Dương Phương Anh</v>
      </c>
      <c r="J10641" s="2" t="str">
        <f ca="1">IFERROR(__xludf.DUMMYFUNCTION("""COMPUTED_VALUE"""),"0967915326")</f>
        <v>0967915326</v>
      </c>
      <c r="K10641" s="2" t="str">
        <f ca="1">IFERROR(__xludf.DUMMYFUNCTION("""COMPUTED_VALUE"""),"107260920261")</f>
        <v>107260920261</v>
      </c>
    </row>
    <row r="10642" spans="1:11" ht="12.45">
      <c r="A10642" s="2" t="str">
        <f ca="1">IFERROR(__xludf.DUMMYFUNCTION("""COMPUTED_VALUE"""),"107260920452")</f>
        <v>107260920452</v>
      </c>
      <c r="C10642" s="2" t="str">
        <v>0</v>
      </c>
      <c r="F10642" s="2" t="str">
        <v>0</v>
      </c>
      <c r="I10642" s="3" t="str">
        <f ca="1">IFERROR(__xludf.DUMMYFUNCTION("""COMPUTED_VALUE"""),"Mai Vân Ngân")</f>
        <v>Mai Vân Ngân</v>
      </c>
      <c r="J10642" s="2" t="str">
        <f ca="1">IFERROR(__xludf.DUMMYFUNCTION("""COMPUTED_VALUE"""),"0366125414")</f>
        <v>0366125414</v>
      </c>
      <c r="K10642" s="2" t="str">
        <f ca="1">IFERROR(__xludf.DUMMYFUNCTION("""COMPUTED_VALUE"""),"107260920452")</f>
        <v>107260920452</v>
      </c>
    </row>
    <row r="10643" spans="1:11" ht="12.45">
      <c r="A10643" s="2" t="str">
        <f ca="1">IFERROR(__xludf.DUMMYFUNCTION("""COMPUTED_VALUE"""),"107260920555")</f>
        <v>107260920555</v>
      </c>
      <c r="C10643" s="2" t="str">
        <v>0</v>
      </c>
      <c r="F10643" s="2" t="str">
        <v>0</v>
      </c>
      <c r="I10643" s="3" t="str">
        <f ca="1">IFERROR(__xludf.DUMMYFUNCTION("""COMPUTED_VALUE"""),"Đàm Việt Trinh")</f>
        <v>Đàm Việt Trinh</v>
      </c>
      <c r="J10643" s="2" t="str">
        <f ca="1">IFERROR(__xludf.DUMMYFUNCTION("""COMPUTED_VALUE"""),"0961242007")</f>
        <v>0961242007</v>
      </c>
      <c r="K10643" s="2" t="str">
        <f ca="1">IFERROR(__xludf.DUMMYFUNCTION("""COMPUTED_VALUE"""),"107260920555")</f>
        <v>107260920555</v>
      </c>
    </row>
    <row r="10644" spans="1:11" ht="12.45">
      <c r="A10644" s="2"/>
      <c r="C10644" s="2" t="str">
        <v>0</v>
      </c>
      <c r="F10644" s="2" t="str">
        <v>0</v>
      </c>
      <c r="I10644" s="3" t="str">
        <f ca="1">IFERROR(__xludf.DUMMYFUNCTION("""COMPUTED_VALUE"""),"Nguyễn Thị Minh Thư")</f>
        <v>Nguyễn Thị Minh Thư</v>
      </c>
      <c r="J10644" s="2" t="str">
        <f ca="1">IFERROR(__xludf.DUMMYFUNCTION("""COMPUTED_VALUE"""),"0787620679")</f>
        <v>0787620679</v>
      </c>
      <c r="K10644" s="2"/>
    </row>
    <row r="10645" spans="1:11" ht="12.45">
      <c r="A10645" s="2" t="str">
        <f ca="1">IFERROR(__xludf.DUMMYFUNCTION("""COMPUTED_VALUE"""),"107260920681")</f>
        <v>107260920681</v>
      </c>
      <c r="C10645" s="2" t="str">
        <v>0</v>
      </c>
      <c r="F10645" s="2" t="str">
        <v>0</v>
      </c>
      <c r="I10645" s="3" t="str">
        <f ca="1">IFERROR(__xludf.DUMMYFUNCTION("""COMPUTED_VALUE"""),"Hoàng Tuấn Anh")</f>
        <v>Hoàng Tuấn Anh</v>
      </c>
      <c r="J10645" s="2" t="str">
        <f ca="1">IFERROR(__xludf.DUMMYFUNCTION("""COMPUTED_VALUE"""),"0356898023")</f>
        <v>0356898023</v>
      </c>
      <c r="K10645" s="2" t="str">
        <f ca="1">IFERROR(__xludf.DUMMYFUNCTION("""COMPUTED_VALUE"""),"107260920681")</f>
        <v>107260920681</v>
      </c>
    </row>
    <row r="10646" spans="1:11" ht="12.45">
      <c r="A10646" s="2" t="str">
        <f ca="1">IFERROR(__xludf.DUMMYFUNCTION("""COMPUTED_VALUE"""),"107260920892")</f>
        <v>107260920892</v>
      </c>
      <c r="C10646" s="2" t="str">
        <v>0</v>
      </c>
      <c r="F10646" s="2" t="str">
        <v>0</v>
      </c>
      <c r="I10646" s="3" t="str">
        <f ca="1">IFERROR(__xludf.DUMMYFUNCTION("""COMPUTED_VALUE"""),"Quàng Thanh Tuyển")</f>
        <v>Quàng Thanh Tuyển</v>
      </c>
      <c r="J10646" s="2" t="str">
        <f ca="1">IFERROR(__xludf.DUMMYFUNCTION("""COMPUTED_VALUE"""),"0387863530")</f>
        <v>0387863530</v>
      </c>
      <c r="K10646" s="2" t="str">
        <f ca="1">IFERROR(__xludf.DUMMYFUNCTION("""COMPUTED_VALUE"""),"107260920892")</f>
        <v>107260920892</v>
      </c>
    </row>
    <row r="10647" spans="1:11" ht="12.45">
      <c r="A10647" s="2" t="str">
        <f ca="1">IFERROR(__xludf.DUMMYFUNCTION("""COMPUTED_VALUE"""),"107260920993")</f>
        <v>107260920993</v>
      </c>
      <c r="C10647" s="2" t="str">
        <v>0</v>
      </c>
      <c r="F10647" s="2" t="str">
        <v>0</v>
      </c>
      <c r="I10647" s="3" t="str">
        <f ca="1">IFERROR(__xludf.DUMMYFUNCTION("""COMPUTED_VALUE"""),"Nguyễn Thị Hoa")</f>
        <v>Nguyễn Thị Hoa</v>
      </c>
      <c r="J10647" s="2" t="str">
        <f ca="1">IFERROR(__xludf.DUMMYFUNCTION("""COMPUTED_VALUE"""),"0327213906")</f>
        <v>0327213906</v>
      </c>
      <c r="K10647" s="2" t="str">
        <f ca="1">IFERROR(__xludf.DUMMYFUNCTION("""COMPUTED_VALUE"""),"107260920993")</f>
        <v>107260920993</v>
      </c>
    </row>
    <row r="10648" spans="1:11" ht="12.45">
      <c r="A10648" s="2" t="str">
        <f ca="1">IFERROR(__xludf.DUMMYFUNCTION("""COMPUTED_VALUE"""),"107260921017")</f>
        <v>107260921017</v>
      </c>
      <c r="C10648" s="2" t="str">
        <v>0</v>
      </c>
      <c r="F10648" s="2" t="str">
        <v>0</v>
      </c>
      <c r="I10648" s="3" t="str">
        <f ca="1">IFERROR(__xludf.DUMMYFUNCTION("""COMPUTED_VALUE"""),"Phương Anh ")</f>
        <v xml:space="preserve">Phương Anh </v>
      </c>
      <c r="J10648" s="2" t="str">
        <f ca="1">IFERROR(__xludf.DUMMYFUNCTION("""COMPUTED_VALUE"""),"0326312556")</f>
        <v>0326312556</v>
      </c>
      <c r="K10648" s="2" t="str">
        <f ca="1">IFERROR(__xludf.DUMMYFUNCTION("""COMPUTED_VALUE"""),"107260921017")</f>
        <v>107260921017</v>
      </c>
    </row>
    <row r="10649" spans="1:11" ht="12.45">
      <c r="A10649" s="2" t="str">
        <f ca="1">IFERROR(__xludf.DUMMYFUNCTION("""COMPUTED_VALUE"""),"107260921291")</f>
        <v>107260921291</v>
      </c>
      <c r="C10649" s="2" t="str">
        <v>0</v>
      </c>
      <c r="F10649" s="2" t="str">
        <v>0</v>
      </c>
      <c r="I10649" s="3" t="str">
        <f ca="1">IFERROR(__xludf.DUMMYFUNCTION("""COMPUTED_VALUE"""),"Võ Tiểu Vy")</f>
        <v>Võ Tiểu Vy</v>
      </c>
      <c r="J10649" s="2" t="str">
        <f ca="1">IFERROR(__xludf.DUMMYFUNCTION("""COMPUTED_VALUE"""),"0372553556")</f>
        <v>0372553556</v>
      </c>
      <c r="K10649" s="2" t="str">
        <f ca="1">IFERROR(__xludf.DUMMYFUNCTION("""COMPUTED_VALUE"""),"107260921291")</f>
        <v>107260921291</v>
      </c>
    </row>
    <row r="10650" spans="1:11" ht="12.45">
      <c r="A10650" s="2" t="str">
        <f ca="1">IFERROR(__xludf.DUMMYFUNCTION("""COMPUTED_VALUE"""),"107260921435")</f>
        <v>107260921435</v>
      </c>
      <c r="C10650" s="2" t="str">
        <v>0</v>
      </c>
      <c r="F10650" s="2" t="str">
        <v>0</v>
      </c>
      <c r="I10650" s="3" t="str">
        <f ca="1">IFERROR(__xludf.DUMMYFUNCTION("""COMPUTED_VALUE"""),"NGUYỄN HỮU HOÀI THƯƠNG")</f>
        <v>NGUYỄN HỮU HOÀI THƯƠNG</v>
      </c>
      <c r="J10650" s="2" t="str">
        <f ca="1">IFERROR(__xludf.DUMMYFUNCTION("""COMPUTED_VALUE"""),"0374394748")</f>
        <v>0374394748</v>
      </c>
      <c r="K10650" s="2" t="str">
        <f ca="1">IFERROR(__xludf.DUMMYFUNCTION("""COMPUTED_VALUE"""),"107260921435")</f>
        <v>107260921435</v>
      </c>
    </row>
    <row r="10651" spans="1:11" ht="12.45">
      <c r="A10651" s="2" t="str">
        <f ca="1">IFERROR(__xludf.DUMMYFUNCTION("""COMPUTED_VALUE"""),"107260921739")</f>
        <v>107260921739</v>
      </c>
      <c r="C10651" s="2" t="str">
        <v>0</v>
      </c>
      <c r="F10651" s="2" t="str">
        <v>0</v>
      </c>
      <c r="I10651" s="3" t="str">
        <f ca="1">IFERROR(__xludf.DUMMYFUNCTION("""COMPUTED_VALUE"""),"Dương Như Quỳnh")</f>
        <v>Dương Như Quỳnh</v>
      </c>
      <c r="J10651" s="2" t="str">
        <f ca="1">IFERROR(__xludf.DUMMYFUNCTION("""COMPUTED_VALUE"""),"0983953137")</f>
        <v>0983953137</v>
      </c>
      <c r="K10651" s="2" t="str">
        <f ca="1">IFERROR(__xludf.DUMMYFUNCTION("""COMPUTED_VALUE"""),"107260921739")</f>
        <v>107260921739</v>
      </c>
    </row>
    <row r="10652" spans="1:11" ht="12.45">
      <c r="A10652" s="2" t="str">
        <f ca="1">IFERROR(__xludf.DUMMYFUNCTION("""COMPUTED_VALUE"""),"107260921918")</f>
        <v>107260921918</v>
      </c>
      <c r="C10652" s="2" t="str">
        <v>0</v>
      </c>
      <c r="F10652" s="2" t="str">
        <v>0</v>
      </c>
      <c r="I10652" s="3" t="str">
        <f ca="1">IFERROR(__xludf.DUMMYFUNCTION("""COMPUTED_VALUE"""),"Đặng Thị Khánh Ly")</f>
        <v>Đặng Thị Khánh Ly</v>
      </c>
      <c r="J10652" s="2" t="str">
        <f ca="1">IFERROR(__xludf.DUMMYFUNCTION("""COMPUTED_VALUE"""),"0948035081")</f>
        <v>0948035081</v>
      </c>
      <c r="K10652" s="2" t="str">
        <f ca="1">IFERROR(__xludf.DUMMYFUNCTION("""COMPUTED_VALUE"""),"107260921918")</f>
        <v>107260921918</v>
      </c>
    </row>
    <row r="10653" spans="1:11" ht="12.45">
      <c r="A10653" s="2" t="str">
        <f ca="1">IFERROR(__xludf.DUMMYFUNCTION("""COMPUTED_VALUE"""),"107260922082")</f>
        <v>107260922082</v>
      </c>
      <c r="C10653" s="2" t="str">
        <v>0</v>
      </c>
      <c r="F10653" s="2" t="str">
        <v>0</v>
      </c>
      <c r="I10653" s="3" t="str">
        <f ca="1">IFERROR(__xludf.DUMMYFUNCTION("""COMPUTED_VALUE"""),"Trịnh Hà Khuê")</f>
        <v>Trịnh Hà Khuê</v>
      </c>
      <c r="J10653" s="2" t="str">
        <f ca="1">IFERROR(__xludf.DUMMYFUNCTION("""COMPUTED_VALUE"""),"0859146146")</f>
        <v>0859146146</v>
      </c>
      <c r="K10653" s="2" t="str">
        <f ca="1">IFERROR(__xludf.DUMMYFUNCTION("""COMPUTED_VALUE"""),"107260922082")</f>
        <v>107260922082</v>
      </c>
    </row>
    <row r="10654" spans="1:11" ht="12.45">
      <c r="A10654" s="2" t="str">
        <f ca="1">IFERROR(__xludf.DUMMYFUNCTION("""COMPUTED_VALUE"""),"107260922173")</f>
        <v>107260922173</v>
      </c>
      <c r="C10654" s="2" t="str">
        <v>0</v>
      </c>
      <c r="F10654" s="2" t="str">
        <v>0</v>
      </c>
      <c r="I10654" s="3" t="str">
        <f ca="1">IFERROR(__xludf.DUMMYFUNCTION("""COMPUTED_VALUE"""),"Trần Lê Thảo Nguyên")</f>
        <v>Trần Lê Thảo Nguyên</v>
      </c>
      <c r="J10654" s="2" t="str">
        <f ca="1">IFERROR(__xludf.DUMMYFUNCTION("""COMPUTED_VALUE"""),"0332949887")</f>
        <v>0332949887</v>
      </c>
      <c r="K10654" s="2" t="str">
        <f ca="1">IFERROR(__xludf.DUMMYFUNCTION("""COMPUTED_VALUE"""),"107260922173")</f>
        <v>107260922173</v>
      </c>
    </row>
    <row r="10655" spans="1:11" ht="12.45">
      <c r="A10655" s="2" t="str">
        <f ca="1">IFERROR(__xludf.DUMMYFUNCTION("""COMPUTED_VALUE"""),"107260922389")</f>
        <v>107260922389</v>
      </c>
      <c r="C10655" s="2" t="str">
        <v>0</v>
      </c>
      <c r="F10655" s="2" t="str">
        <v>0</v>
      </c>
      <c r="I10655" s="3" t="str">
        <f ca="1">IFERROR(__xludf.DUMMYFUNCTION("""COMPUTED_VALUE"""),"Bùi Hoàng Yến")</f>
        <v>Bùi Hoàng Yến</v>
      </c>
      <c r="J10655" s="2" t="str">
        <f ca="1">IFERROR(__xludf.DUMMYFUNCTION("""COMPUTED_VALUE"""),"0329577974")</f>
        <v>0329577974</v>
      </c>
      <c r="K10655" s="2" t="str">
        <f ca="1">IFERROR(__xludf.DUMMYFUNCTION("""COMPUTED_VALUE"""),"107260922389")</f>
        <v>107260922389</v>
      </c>
    </row>
    <row r="10656" spans="1:11" ht="12.45">
      <c r="A10656" s="2" t="str">
        <f ca="1">IFERROR(__xludf.DUMMYFUNCTION("""COMPUTED_VALUE"""),"107260922434")</f>
        <v>107260922434</v>
      </c>
      <c r="C10656" s="2" t="str">
        <v>0</v>
      </c>
      <c r="F10656" s="2" t="str">
        <v>0</v>
      </c>
      <c r="I10656" s="3" t="str">
        <f ca="1">IFERROR(__xludf.DUMMYFUNCTION("""COMPUTED_VALUE"""),"Lường Quang Huy ")</f>
        <v xml:space="preserve">Lường Quang Huy </v>
      </c>
      <c r="J10656" s="2" t="str">
        <f ca="1">IFERROR(__xludf.DUMMYFUNCTION("""COMPUTED_VALUE"""),"0394721926")</f>
        <v>0394721926</v>
      </c>
      <c r="K10656" s="2" t="str">
        <f ca="1">IFERROR(__xludf.DUMMYFUNCTION("""COMPUTED_VALUE"""),"107260922434")</f>
        <v>107260922434</v>
      </c>
    </row>
    <row r="10657" spans="1:11" ht="12.45">
      <c r="A10657" s="2" t="str">
        <f ca="1">IFERROR(__xludf.DUMMYFUNCTION("""COMPUTED_VALUE"""),"107260922632")</f>
        <v>107260922632</v>
      </c>
      <c r="C10657" s="2" t="str">
        <v>0</v>
      </c>
      <c r="F10657" s="2" t="str">
        <v>0</v>
      </c>
      <c r="I10657" s="3" t="str">
        <f ca="1">IFERROR(__xludf.DUMMYFUNCTION("""COMPUTED_VALUE"""),"Nguyễn Thanh Hải")</f>
        <v>Nguyễn Thanh Hải</v>
      </c>
      <c r="J10657" s="2" t="str">
        <f ca="1">IFERROR(__xludf.DUMMYFUNCTION("""COMPUTED_VALUE"""),"0365089528")</f>
        <v>0365089528</v>
      </c>
      <c r="K10657" s="2" t="str">
        <f ca="1">IFERROR(__xludf.DUMMYFUNCTION("""COMPUTED_VALUE"""),"107260922632")</f>
        <v>107260922632</v>
      </c>
    </row>
    <row r="10658" spans="1:11" ht="12.45">
      <c r="A10658" s="2" t="str">
        <f ca="1">IFERROR(__xludf.DUMMYFUNCTION("""COMPUTED_VALUE"""),"107260922778")</f>
        <v>107260922778</v>
      </c>
      <c r="C10658" s="2" t="str">
        <v>0</v>
      </c>
      <c r="F10658" s="2" t="str">
        <v>0</v>
      </c>
      <c r="I10658" s="3" t="str">
        <f ca="1">IFERROR(__xludf.DUMMYFUNCTION("""COMPUTED_VALUE"""),"Lưu Gia Linh")</f>
        <v>Lưu Gia Linh</v>
      </c>
      <c r="J10658" s="2" t="str">
        <f ca="1">IFERROR(__xludf.DUMMYFUNCTION("""COMPUTED_VALUE"""),"0869607573")</f>
        <v>0869607573</v>
      </c>
      <c r="K10658" s="2" t="str">
        <f ca="1">IFERROR(__xludf.DUMMYFUNCTION("""COMPUTED_VALUE"""),"107260922778")</f>
        <v>107260922778</v>
      </c>
    </row>
    <row r="10659" spans="1:11" ht="12.45">
      <c r="A10659" s="2" t="str">
        <f ca="1">IFERROR(__xludf.DUMMYFUNCTION("""COMPUTED_VALUE"""),"107260922847")</f>
        <v>107260922847</v>
      </c>
      <c r="C10659" s="2" t="str">
        <v>0</v>
      </c>
      <c r="F10659" s="2" t="str">
        <v>0</v>
      </c>
      <c r="I10659" s="3" t="str">
        <f ca="1">IFERROR(__xludf.DUMMYFUNCTION("""COMPUTED_VALUE"""),"Trần Ngọc Hà")</f>
        <v>Trần Ngọc Hà</v>
      </c>
      <c r="J10659" s="2" t="str">
        <f ca="1">IFERROR(__xludf.DUMMYFUNCTION("""COMPUTED_VALUE"""),"0785191135")</f>
        <v>0785191135</v>
      </c>
      <c r="K10659" s="2" t="str">
        <f ca="1">IFERROR(__xludf.DUMMYFUNCTION("""COMPUTED_VALUE"""),"107260922847")</f>
        <v>107260922847</v>
      </c>
    </row>
    <row r="10660" spans="1:11" ht="12.45">
      <c r="A10660" s="2" t="str">
        <f ca="1">IFERROR(__xludf.DUMMYFUNCTION("""COMPUTED_VALUE"""),"107260923111")</f>
        <v>107260923111</v>
      </c>
      <c r="C10660" s="2" t="str">
        <v>0</v>
      </c>
      <c r="F10660" s="2" t="str">
        <v>0</v>
      </c>
      <c r="I10660" s="3" t="str">
        <f ca="1">IFERROR(__xludf.DUMMYFUNCTION("""COMPUTED_VALUE"""),"Nguyễn Thị Mỹ Quyên")</f>
        <v>Nguyễn Thị Mỹ Quyên</v>
      </c>
      <c r="J10660" s="2" t="str">
        <f ca="1">IFERROR(__xludf.DUMMYFUNCTION("""COMPUTED_VALUE"""),"0984331140")</f>
        <v>0984331140</v>
      </c>
      <c r="K10660" s="2" t="str">
        <f ca="1">IFERROR(__xludf.DUMMYFUNCTION("""COMPUTED_VALUE"""),"107260923111")</f>
        <v>107260923111</v>
      </c>
    </row>
    <row r="10661" spans="1:11" ht="12.45">
      <c r="A10661" s="2" t="str">
        <f ca="1">IFERROR(__xludf.DUMMYFUNCTION("""COMPUTED_VALUE"""),"107260923232")</f>
        <v>107260923232</v>
      </c>
      <c r="C10661" s="2" t="str">
        <v>0</v>
      </c>
      <c r="F10661" s="2" t="str">
        <v>0</v>
      </c>
      <c r="I10661" s="3" t="str">
        <f ca="1">IFERROR(__xludf.DUMMYFUNCTION("""COMPUTED_VALUE"""),"Phạm Trần Thảo Vy")</f>
        <v>Phạm Trần Thảo Vy</v>
      </c>
      <c r="J10661" s="2" t="str">
        <f ca="1">IFERROR(__xludf.DUMMYFUNCTION("""COMPUTED_VALUE"""),"0342990684")</f>
        <v>0342990684</v>
      </c>
      <c r="K10661" s="2" t="str">
        <f ca="1">IFERROR(__xludf.DUMMYFUNCTION("""COMPUTED_VALUE"""),"107260923232")</f>
        <v>107260923232</v>
      </c>
    </row>
    <row r="10662" spans="1:11" ht="12.45">
      <c r="A10662" s="2" t="str">
        <f ca="1">IFERROR(__xludf.DUMMYFUNCTION("""COMPUTED_VALUE"""),"107260923323")</f>
        <v>107260923323</v>
      </c>
      <c r="C10662" s="2" t="str">
        <v>0</v>
      </c>
      <c r="F10662" s="2" t="str">
        <v>0</v>
      </c>
      <c r="I10662" s="3" t="str">
        <f ca="1">IFERROR(__xludf.DUMMYFUNCTION("""COMPUTED_VALUE"""),"Nguyễn Ngọc Bảo ")</f>
        <v xml:space="preserve">Nguyễn Ngọc Bảo </v>
      </c>
      <c r="J10662" s="2" t="str">
        <f ca="1">IFERROR(__xludf.DUMMYFUNCTION("""COMPUTED_VALUE"""),"0344998285")</f>
        <v>0344998285</v>
      </c>
      <c r="K10662" s="2" t="str">
        <f ca="1">IFERROR(__xludf.DUMMYFUNCTION("""COMPUTED_VALUE"""),"107260923323")</f>
        <v>107260923323</v>
      </c>
    </row>
    <row r="10663" spans="1:11" ht="12.45">
      <c r="A10663" s="2" t="str">
        <f ca="1">IFERROR(__xludf.DUMMYFUNCTION("""COMPUTED_VALUE"""),"107260923574")</f>
        <v>107260923574</v>
      </c>
      <c r="C10663" s="2" t="str">
        <v>0</v>
      </c>
      <c r="F10663" s="2" t="str">
        <v>0</v>
      </c>
      <c r="I10663" s="3" t="str">
        <f ca="1">IFERROR(__xludf.DUMMYFUNCTION("""COMPUTED_VALUE"""),"Ngô Nhật Anh")</f>
        <v>Ngô Nhật Anh</v>
      </c>
      <c r="J10663" s="2" t="str">
        <f ca="1">IFERROR(__xludf.DUMMYFUNCTION("""COMPUTED_VALUE"""),"0836341007")</f>
        <v>0836341007</v>
      </c>
      <c r="K10663" s="2" t="str">
        <f ca="1">IFERROR(__xludf.DUMMYFUNCTION("""COMPUTED_VALUE"""),"107260923574")</f>
        <v>107260923574</v>
      </c>
    </row>
    <row r="10664" spans="1:11" ht="12.45">
      <c r="A10664" s="2" t="str">
        <f ca="1">IFERROR(__xludf.DUMMYFUNCTION("""COMPUTED_VALUE"""),"107260923710")</f>
        <v>107260923710</v>
      </c>
      <c r="C10664" s="2" t="str">
        <v>0</v>
      </c>
      <c r="F10664" s="2" t="str">
        <v>0</v>
      </c>
      <c r="I10664" s="3" t="str">
        <f ca="1">IFERROR(__xludf.DUMMYFUNCTION("""COMPUTED_VALUE"""),"Châu Khánh Ngọc")</f>
        <v>Châu Khánh Ngọc</v>
      </c>
      <c r="J10664" s="2" t="str">
        <f ca="1">IFERROR(__xludf.DUMMYFUNCTION("""COMPUTED_VALUE"""),"0393985219")</f>
        <v>0393985219</v>
      </c>
      <c r="K10664" s="2" t="str">
        <f ca="1">IFERROR(__xludf.DUMMYFUNCTION("""COMPUTED_VALUE"""),"107260923710")</f>
        <v>107260923710</v>
      </c>
    </row>
    <row r="10665" spans="1:11" ht="12.45">
      <c r="A10665" s="2" t="str">
        <f ca="1">IFERROR(__xludf.DUMMYFUNCTION("""COMPUTED_VALUE"""),"107260923819")</f>
        <v>107260923819</v>
      </c>
      <c r="C10665" s="2" t="str">
        <v>0</v>
      </c>
      <c r="F10665" s="2" t="str">
        <v>0</v>
      </c>
      <c r="I10665" s="3" t="str">
        <f ca="1">IFERROR(__xludf.DUMMYFUNCTION("""COMPUTED_VALUE"""),"Nguyễn Thanh Lan ")</f>
        <v xml:space="preserve">Nguyễn Thanh Lan </v>
      </c>
      <c r="J10665" s="2" t="str">
        <f ca="1">IFERROR(__xludf.DUMMYFUNCTION("""COMPUTED_VALUE"""),"0842710799")</f>
        <v>0842710799</v>
      </c>
      <c r="K10665" s="2" t="str">
        <f ca="1">IFERROR(__xludf.DUMMYFUNCTION("""COMPUTED_VALUE"""),"107260923819")</f>
        <v>107260923819</v>
      </c>
    </row>
    <row r="10666" spans="1:11" ht="12.45">
      <c r="A10666" s="2" t="str">
        <f ca="1">IFERROR(__xludf.DUMMYFUNCTION("""COMPUTED_VALUE"""),"107260923958")</f>
        <v>107260923958</v>
      </c>
      <c r="C10666" s="2" t="str">
        <v>0</v>
      </c>
      <c r="F10666" s="2" t="str">
        <v>0</v>
      </c>
      <c r="I10666" s="3" t="str">
        <f ca="1">IFERROR(__xludf.DUMMYFUNCTION("""COMPUTED_VALUE"""),"Phạm Bảo Ngọc")</f>
        <v>Phạm Bảo Ngọc</v>
      </c>
      <c r="J10666" s="2" t="str">
        <f ca="1">IFERROR(__xludf.DUMMYFUNCTION("""COMPUTED_VALUE"""),"0942277089")</f>
        <v>0942277089</v>
      </c>
      <c r="K10666" s="2" t="str">
        <f ca="1">IFERROR(__xludf.DUMMYFUNCTION("""COMPUTED_VALUE"""),"107260923958")</f>
        <v>107260923958</v>
      </c>
    </row>
    <row r="10667" spans="1:11" ht="12.45">
      <c r="A10667" s="2" t="str">
        <f ca="1">IFERROR(__xludf.DUMMYFUNCTION("""COMPUTED_VALUE"""),"107260924032")</f>
        <v>107260924032</v>
      </c>
      <c r="C10667" s="2" t="str">
        <v>0</v>
      </c>
      <c r="F10667" s="2" t="str">
        <v>0</v>
      </c>
      <c r="I10667" s="3" t="str">
        <f ca="1">IFERROR(__xludf.DUMMYFUNCTION("""COMPUTED_VALUE"""),"Lò Văn Tư ")</f>
        <v xml:space="preserve">Lò Văn Tư </v>
      </c>
      <c r="J10667" s="2" t="str">
        <f ca="1">IFERROR(__xludf.DUMMYFUNCTION("""COMPUTED_VALUE"""),"0868228346")</f>
        <v>0868228346</v>
      </c>
      <c r="K10667" s="2" t="str">
        <f ca="1">IFERROR(__xludf.DUMMYFUNCTION("""COMPUTED_VALUE"""),"107260924032")</f>
        <v>107260924032</v>
      </c>
    </row>
    <row r="10668" spans="1:11" ht="12.45">
      <c r="A10668" s="2"/>
      <c r="C10668" s="2" t="str">
        <v>0</v>
      </c>
      <c r="F10668" s="2" t="str">
        <v>0</v>
      </c>
      <c r="I10668" s="3" t="str">
        <f ca="1">IFERROR(__xludf.DUMMYFUNCTION("""COMPUTED_VALUE"""),"Nguyễn Thị Thu Trang")</f>
        <v>Nguyễn Thị Thu Trang</v>
      </c>
      <c r="J10668" s="2" t="str">
        <f ca="1">IFERROR(__xludf.DUMMYFUNCTION("""COMPUTED_VALUE"""),"0383548403")</f>
        <v>0383548403</v>
      </c>
      <c r="K10668" s="2"/>
    </row>
    <row r="10669" spans="1:11" ht="12.45">
      <c r="A10669" s="2" t="str">
        <f ca="1">IFERROR(__xludf.DUMMYFUNCTION("""COMPUTED_VALUE"""),"107260924135")</f>
        <v>107260924135</v>
      </c>
      <c r="C10669" s="2" t="str">
        <v>0</v>
      </c>
      <c r="F10669" s="2" t="str">
        <v>0</v>
      </c>
      <c r="I10669" s="3" t="str">
        <f ca="1">IFERROR(__xludf.DUMMYFUNCTION("""COMPUTED_VALUE"""),"Tạ Hà Trang")</f>
        <v>Tạ Hà Trang</v>
      </c>
      <c r="J10669" s="2" t="str">
        <f ca="1">IFERROR(__xludf.DUMMYFUNCTION("""COMPUTED_VALUE"""),"0329399257")</f>
        <v>0329399257</v>
      </c>
      <c r="K10669" s="2" t="str">
        <f ca="1">IFERROR(__xludf.DUMMYFUNCTION("""COMPUTED_VALUE"""),"107260924135")</f>
        <v>107260924135</v>
      </c>
    </row>
    <row r="10670" spans="1:11" ht="12.45">
      <c r="A10670" s="2" t="str">
        <f ca="1">IFERROR(__xludf.DUMMYFUNCTION("""COMPUTED_VALUE"""),"107260924416")</f>
        <v>107260924416</v>
      </c>
      <c r="C10670" s="2" t="str">
        <v>0</v>
      </c>
      <c r="F10670" s="2" t="str">
        <v>0</v>
      </c>
      <c r="I10670" s="3" t="str">
        <f ca="1">IFERROR(__xludf.DUMMYFUNCTION("""COMPUTED_VALUE"""),"Nguyễn Thị Hải Yến")</f>
        <v>Nguyễn Thị Hải Yến</v>
      </c>
      <c r="J10670" s="2" t="str">
        <f ca="1">IFERROR(__xludf.DUMMYFUNCTION("""COMPUTED_VALUE"""),"0343750025")</f>
        <v>0343750025</v>
      </c>
      <c r="K10670" s="2" t="str">
        <f ca="1">IFERROR(__xludf.DUMMYFUNCTION("""COMPUTED_VALUE"""),"107260924416")</f>
        <v>107260924416</v>
      </c>
    </row>
    <row r="10671" spans="1:11" ht="12.45">
      <c r="A10671" s="2" t="str">
        <f ca="1">IFERROR(__xludf.DUMMYFUNCTION("""COMPUTED_VALUE"""),"107260924574")</f>
        <v>107260924574</v>
      </c>
      <c r="C10671" s="2" t="str">
        <v>0</v>
      </c>
      <c r="F10671" s="2" t="str">
        <v>0</v>
      </c>
      <c r="I10671" s="3" t="str">
        <f ca="1">IFERROR(__xludf.DUMMYFUNCTION("""COMPUTED_VALUE"""),"Nguyễn Dương Hiếu Ngân")</f>
        <v>Nguyễn Dương Hiếu Ngân</v>
      </c>
      <c r="J10671" s="2" t="str">
        <f ca="1">IFERROR(__xludf.DUMMYFUNCTION("""COMPUTED_VALUE"""),"0935135569")</f>
        <v>0935135569</v>
      </c>
      <c r="K10671" s="2" t="str">
        <f ca="1">IFERROR(__xludf.DUMMYFUNCTION("""COMPUTED_VALUE"""),"107260924574")</f>
        <v>107260924574</v>
      </c>
    </row>
    <row r="10672" spans="1:11" ht="12.45">
      <c r="A10672" s="2" t="str">
        <f ca="1">IFERROR(__xludf.DUMMYFUNCTION("""COMPUTED_VALUE"""),"107260924682")</f>
        <v>107260924682</v>
      </c>
      <c r="C10672" s="2" t="str">
        <v>0</v>
      </c>
      <c r="F10672" s="2" t="str">
        <v>0</v>
      </c>
      <c r="I10672" s="3" t="str">
        <f ca="1">IFERROR(__xludf.DUMMYFUNCTION("""COMPUTED_VALUE"""),"Vu nguyen ngoc diep")</f>
        <v>Vu nguyen ngoc diep</v>
      </c>
      <c r="J10672" s="2" t="str">
        <f ca="1">IFERROR(__xludf.DUMMYFUNCTION("""COMPUTED_VALUE"""),"0978186688")</f>
        <v>0978186688</v>
      </c>
      <c r="K10672" s="2" t="str">
        <f ca="1">IFERROR(__xludf.DUMMYFUNCTION("""COMPUTED_VALUE"""),"107260924682")</f>
        <v>107260924682</v>
      </c>
    </row>
    <row r="10673" spans="1:11" ht="12.45">
      <c r="A10673" s="2" t="str">
        <f ca="1">IFERROR(__xludf.DUMMYFUNCTION("""COMPUTED_VALUE"""),"107260924756")</f>
        <v>107260924756</v>
      </c>
      <c r="C10673" s="2" t="str">
        <v>0</v>
      </c>
      <c r="F10673" s="2" t="str">
        <v>0</v>
      </c>
      <c r="I10673" s="3" t="str">
        <f ca="1">IFERROR(__xludf.DUMMYFUNCTION("""COMPUTED_VALUE"""),"Trương Mỹ Dung")</f>
        <v>Trương Mỹ Dung</v>
      </c>
      <c r="J10673" s="2" t="str">
        <f ca="1">IFERROR(__xludf.DUMMYFUNCTION("""COMPUTED_VALUE"""),"0789816518")</f>
        <v>0789816518</v>
      </c>
      <c r="K10673" s="2" t="str">
        <f ca="1">IFERROR(__xludf.DUMMYFUNCTION("""COMPUTED_VALUE"""),"107260924756")</f>
        <v>107260924756</v>
      </c>
    </row>
    <row r="10674" spans="1:11" ht="12.45">
      <c r="A10674" s="2" t="str">
        <f ca="1">IFERROR(__xludf.DUMMYFUNCTION("""COMPUTED_VALUE"""),"107260924829")</f>
        <v>107260924829</v>
      </c>
      <c r="C10674" s="2" t="str">
        <v>0</v>
      </c>
      <c r="F10674" s="2" t="str">
        <v>0</v>
      </c>
      <c r="I10674" s="3" t="str">
        <f ca="1">IFERROR(__xludf.DUMMYFUNCTION("""COMPUTED_VALUE"""),"Nguyễn Minh Phương")</f>
        <v>Nguyễn Minh Phương</v>
      </c>
      <c r="J10674" s="2" t="str">
        <f ca="1">IFERROR(__xludf.DUMMYFUNCTION("""COMPUTED_VALUE"""),"0363425817")</f>
        <v>0363425817</v>
      </c>
      <c r="K10674" s="2" t="str">
        <f ca="1">IFERROR(__xludf.DUMMYFUNCTION("""COMPUTED_VALUE"""),"107260924829")</f>
        <v>107260924829</v>
      </c>
    </row>
    <row r="10675" spans="1:11" ht="12.45">
      <c r="A10675" s="2" t="str">
        <f ca="1">IFERROR(__xludf.DUMMYFUNCTION("""COMPUTED_VALUE"""),"107260924920")</f>
        <v>107260924920</v>
      </c>
      <c r="C10675" s="2" t="str">
        <v>0</v>
      </c>
      <c r="F10675" s="2" t="str">
        <v>0</v>
      </c>
      <c r="I10675" s="3" t="str">
        <f ca="1">IFERROR(__xludf.DUMMYFUNCTION("""COMPUTED_VALUE"""),"Đoàn Huỳnh Pha Lê")</f>
        <v>Đoàn Huỳnh Pha Lê</v>
      </c>
      <c r="J10675" s="2" t="str">
        <f ca="1">IFERROR(__xludf.DUMMYFUNCTION("""COMPUTED_VALUE"""),"0704585407")</f>
        <v>0704585407</v>
      </c>
      <c r="K10675" s="2" t="str">
        <f ca="1">IFERROR(__xludf.DUMMYFUNCTION("""COMPUTED_VALUE"""),"107260924920")</f>
        <v>107260924920</v>
      </c>
    </row>
    <row r="10676" spans="1:11" ht="12.45">
      <c r="A10676" s="2" t="str">
        <f ca="1">IFERROR(__xludf.DUMMYFUNCTION("""COMPUTED_VALUE"""),"107260925080")</f>
        <v>107260925080</v>
      </c>
      <c r="C10676" s="2" t="str">
        <v>0</v>
      </c>
      <c r="F10676" s="2" t="str">
        <v>0</v>
      </c>
      <c r="I10676" s="3" t="str">
        <f ca="1">IFERROR(__xludf.DUMMYFUNCTION("""COMPUTED_VALUE"""),"Nguyễn Thế Vương")</f>
        <v>Nguyễn Thế Vương</v>
      </c>
      <c r="J10676" s="2" t="str">
        <f ca="1">IFERROR(__xludf.DUMMYFUNCTION("""COMPUTED_VALUE"""),"0974250722")</f>
        <v>0974250722</v>
      </c>
      <c r="K10676" s="2" t="str">
        <f ca="1">IFERROR(__xludf.DUMMYFUNCTION("""COMPUTED_VALUE"""),"107260925080")</f>
        <v>107260925080</v>
      </c>
    </row>
    <row r="10677" spans="1:11" ht="12.45">
      <c r="A10677" s="2" t="str">
        <f ca="1">IFERROR(__xludf.DUMMYFUNCTION("""COMPUTED_VALUE"""),"107260925213")</f>
        <v>107260925213</v>
      </c>
      <c r="C10677" s="2" t="str">
        <v>0</v>
      </c>
      <c r="F10677" s="2" t="str">
        <v>0</v>
      </c>
      <c r="I10677" s="3" t="str">
        <f ca="1">IFERROR(__xludf.DUMMYFUNCTION("""COMPUTED_VALUE"""),"Liêu Hồng Diệp")</f>
        <v>Liêu Hồng Diệp</v>
      </c>
      <c r="J10677" s="2" t="str">
        <f ca="1">IFERROR(__xludf.DUMMYFUNCTION("""COMPUTED_VALUE"""),"0942710695")</f>
        <v>0942710695</v>
      </c>
      <c r="K10677" s="2" t="str">
        <f ca="1">IFERROR(__xludf.DUMMYFUNCTION("""COMPUTED_VALUE"""),"107260925213")</f>
        <v>107260925213</v>
      </c>
    </row>
    <row r="10678" spans="1:11" ht="12.45">
      <c r="A10678" s="2" t="str">
        <f ca="1">IFERROR(__xludf.DUMMYFUNCTION("""COMPUTED_VALUE"""),"107262197311")</f>
        <v>107262197311</v>
      </c>
      <c r="C10678" s="2" t="str">
        <v>0</v>
      </c>
      <c r="F10678" s="2" t="str">
        <v>0</v>
      </c>
      <c r="I10678" s="3" t="str">
        <f ca="1">IFERROR(__xludf.DUMMYFUNCTION("""COMPUTED_VALUE"""),"Nguyễn Bích Thảo")</f>
        <v>Nguyễn Bích Thảo</v>
      </c>
      <c r="J10678" s="2" t="str">
        <f ca="1">IFERROR(__xludf.DUMMYFUNCTION("""COMPUTED_VALUE"""),"0936355098")</f>
        <v>0936355098</v>
      </c>
      <c r="K10678" s="2" t="str">
        <f ca="1">IFERROR(__xludf.DUMMYFUNCTION("""COMPUTED_VALUE"""),"107262197311")</f>
        <v>107262197311</v>
      </c>
    </row>
    <row r="10679" spans="1:11" ht="12.45">
      <c r="A10679" s="2" t="str">
        <f ca="1">IFERROR(__xludf.DUMMYFUNCTION("""COMPUTED_VALUE"""),"107262197524")</f>
        <v>107262197524</v>
      </c>
      <c r="C10679" s="2" t="str">
        <v>0</v>
      </c>
      <c r="F10679" s="2" t="str">
        <v>0</v>
      </c>
      <c r="I10679" s="3" t="str">
        <f ca="1">IFERROR(__xludf.DUMMYFUNCTION("""COMPUTED_VALUE"""),"Lê Thị Linh Đan")</f>
        <v>Lê Thị Linh Đan</v>
      </c>
      <c r="J10679" s="2" t="str">
        <f ca="1">IFERROR(__xludf.DUMMYFUNCTION("""COMPUTED_VALUE"""),"0968288609")</f>
        <v>0968288609</v>
      </c>
      <c r="K10679" s="2" t="str">
        <f ca="1">IFERROR(__xludf.DUMMYFUNCTION("""COMPUTED_VALUE"""),"107262197524")</f>
        <v>107262197524</v>
      </c>
    </row>
    <row r="10680" spans="1:11" ht="12.45">
      <c r="A10680" s="2" t="str">
        <f ca="1">IFERROR(__xludf.DUMMYFUNCTION("""COMPUTED_VALUE"""),"107262197674")</f>
        <v>107262197674</v>
      </c>
      <c r="C10680" s="2" t="str">
        <v>0</v>
      </c>
      <c r="F10680" s="2" t="str">
        <v>0</v>
      </c>
      <c r="I10680" s="3" t="str">
        <f ca="1">IFERROR(__xludf.DUMMYFUNCTION("""COMPUTED_VALUE"""),"Nguyễn Thảo Linh")</f>
        <v>Nguyễn Thảo Linh</v>
      </c>
      <c r="J10680" s="2" t="str">
        <f ca="1">IFERROR(__xludf.DUMMYFUNCTION("""COMPUTED_VALUE"""),"0981542656")</f>
        <v>0981542656</v>
      </c>
      <c r="K10680" s="2" t="str">
        <f ca="1">IFERROR(__xludf.DUMMYFUNCTION("""COMPUTED_VALUE"""),"107262197674")</f>
        <v>107262197674</v>
      </c>
    </row>
    <row r="10681" spans="1:11" ht="12.45">
      <c r="A10681" s="2" t="str">
        <f ca="1">IFERROR(__xludf.DUMMYFUNCTION("""COMPUTED_VALUE"""),"107262197817")</f>
        <v>107262197817</v>
      </c>
      <c r="C10681" s="2" t="str">
        <v>0</v>
      </c>
      <c r="F10681" s="2" t="str">
        <v>0</v>
      </c>
      <c r="I10681" s="3" t="str">
        <f ca="1">IFERROR(__xludf.DUMMYFUNCTION("""COMPUTED_VALUE"""),"Đào Thanh Thư")</f>
        <v>Đào Thanh Thư</v>
      </c>
      <c r="J10681" s="2" t="str">
        <f ca="1">IFERROR(__xludf.DUMMYFUNCTION("""COMPUTED_VALUE"""),"0968271159")</f>
        <v>0968271159</v>
      </c>
      <c r="K10681" s="2" t="str">
        <f ca="1">IFERROR(__xludf.DUMMYFUNCTION("""COMPUTED_VALUE"""),"107262197817")</f>
        <v>107262197817</v>
      </c>
    </row>
    <row r="10682" spans="1:11" ht="12.45">
      <c r="A10682" s="2" t="str">
        <f ca="1">IFERROR(__xludf.DUMMYFUNCTION("""COMPUTED_VALUE"""),"107262198248")</f>
        <v>107262198248</v>
      </c>
      <c r="C10682" s="2" t="str">
        <v>0</v>
      </c>
      <c r="F10682" s="2" t="str">
        <v>0</v>
      </c>
      <c r="I10682" s="3" t="str">
        <f ca="1">IFERROR(__xludf.DUMMYFUNCTION("""COMPUTED_VALUE"""),"Nguyễn Mạnh Cường")</f>
        <v>Nguyễn Mạnh Cường</v>
      </c>
      <c r="J10682" s="2" t="str">
        <f ca="1">IFERROR(__xludf.DUMMYFUNCTION("""COMPUTED_VALUE"""),"0981987348")</f>
        <v>0981987348</v>
      </c>
      <c r="K10682" s="2" t="str">
        <f ca="1">IFERROR(__xludf.DUMMYFUNCTION("""COMPUTED_VALUE"""),"107262198248")</f>
        <v>107262198248</v>
      </c>
    </row>
    <row r="10683" spans="1:11" ht="12.45">
      <c r="A10683" s="2" t="str">
        <f ca="1">IFERROR(__xludf.DUMMYFUNCTION("""COMPUTED_VALUE"""),"107262198360")</f>
        <v>107262198360</v>
      </c>
      <c r="C10683" s="2" t="str">
        <v>0</v>
      </c>
      <c r="F10683" s="2" t="str">
        <v>0</v>
      </c>
      <c r="I10683" s="3" t="str">
        <f ca="1">IFERROR(__xludf.DUMMYFUNCTION("""COMPUTED_VALUE"""),"Lý Tú Linh")</f>
        <v>Lý Tú Linh</v>
      </c>
      <c r="J10683" s="2" t="str">
        <f ca="1">IFERROR(__xludf.DUMMYFUNCTION("""COMPUTED_VALUE"""),"0962731168")</f>
        <v>0962731168</v>
      </c>
      <c r="K10683" s="2" t="str">
        <f ca="1">IFERROR(__xludf.DUMMYFUNCTION("""COMPUTED_VALUE"""),"107262198360")</f>
        <v>107262198360</v>
      </c>
    </row>
    <row r="10684" spans="1:11" ht="12.45">
      <c r="A10684" s="2" t="str">
        <f ca="1">IFERROR(__xludf.DUMMYFUNCTION("""COMPUTED_VALUE"""),"107262198515")</f>
        <v>107262198515</v>
      </c>
      <c r="C10684" s="2" t="str">
        <v>0</v>
      </c>
      <c r="F10684" s="2" t="str">
        <v>0</v>
      </c>
      <c r="I10684" s="3" t="str">
        <f ca="1">IFERROR(__xludf.DUMMYFUNCTION("""COMPUTED_VALUE"""),"Trần Thị Trà My")</f>
        <v>Trần Thị Trà My</v>
      </c>
      <c r="J10684" s="2" t="str">
        <f ca="1">IFERROR(__xludf.DUMMYFUNCTION("""COMPUTED_VALUE"""),"0384816098")</f>
        <v>0384816098</v>
      </c>
      <c r="K10684" s="2" t="str">
        <f ca="1">IFERROR(__xludf.DUMMYFUNCTION("""COMPUTED_VALUE"""),"107262198515")</f>
        <v>107262198515</v>
      </c>
    </row>
    <row r="10685" spans="1:11" ht="12.45">
      <c r="A10685" s="2" t="str">
        <f ca="1">IFERROR(__xludf.DUMMYFUNCTION("""COMPUTED_VALUE"""),"107262198811")</f>
        <v>107262198811</v>
      </c>
      <c r="C10685" s="2" t="str">
        <v>0</v>
      </c>
      <c r="F10685" s="2" t="str">
        <v>0</v>
      </c>
      <c r="I10685" s="3" t="str">
        <f ca="1">IFERROR(__xludf.DUMMYFUNCTION("""COMPUTED_VALUE"""),"Nguyễn Ngọc Bảo Trâm")</f>
        <v>Nguyễn Ngọc Bảo Trâm</v>
      </c>
      <c r="J10685" s="2" t="str">
        <f ca="1">IFERROR(__xludf.DUMMYFUNCTION("""COMPUTED_VALUE"""),"0379973173")</f>
        <v>0379973173</v>
      </c>
      <c r="K10685" s="2" t="str">
        <f ca="1">IFERROR(__xludf.DUMMYFUNCTION("""COMPUTED_VALUE"""),"107262198811")</f>
        <v>107262198811</v>
      </c>
    </row>
    <row r="10686" spans="1:11" ht="12.45">
      <c r="A10686" s="2" t="str">
        <f ca="1">IFERROR(__xludf.DUMMYFUNCTION("""COMPUTED_VALUE"""),"107262198955")</f>
        <v>107262198955</v>
      </c>
      <c r="C10686" s="2" t="str">
        <v>0</v>
      </c>
      <c r="F10686" s="2" t="str">
        <v>0</v>
      </c>
      <c r="I10686" s="3" t="str">
        <f ca="1">IFERROR(__xludf.DUMMYFUNCTION("""COMPUTED_VALUE"""),"Nguyễn Trà My")</f>
        <v>Nguyễn Trà My</v>
      </c>
      <c r="J10686" s="2" t="str">
        <f ca="1">IFERROR(__xludf.DUMMYFUNCTION("""COMPUTED_VALUE"""),"0966955759")</f>
        <v>0966955759</v>
      </c>
      <c r="K10686" s="2" t="str">
        <f ca="1">IFERROR(__xludf.DUMMYFUNCTION("""COMPUTED_VALUE"""),"107262198955")</f>
        <v>107262198955</v>
      </c>
    </row>
    <row r="10687" spans="1:11" ht="12.45">
      <c r="A10687" s="2" t="str">
        <f ca="1">IFERROR(__xludf.DUMMYFUNCTION("""COMPUTED_VALUE"""),"107262199077")</f>
        <v>107262199077</v>
      </c>
      <c r="C10687" s="2" t="str">
        <v>0</v>
      </c>
      <c r="F10687" s="2" t="str">
        <v>0</v>
      </c>
      <c r="I10687" s="3" t="str">
        <f ca="1">IFERROR(__xludf.DUMMYFUNCTION("""COMPUTED_VALUE"""),"Nguyễn Kim Anh")</f>
        <v>Nguyễn Kim Anh</v>
      </c>
      <c r="J10687" s="2" t="str">
        <f ca="1">IFERROR(__xludf.DUMMYFUNCTION("""COMPUTED_VALUE"""),"0394169148")</f>
        <v>0394169148</v>
      </c>
      <c r="K10687" s="2" t="str">
        <f ca="1">IFERROR(__xludf.DUMMYFUNCTION("""COMPUTED_VALUE"""),"107262199077")</f>
        <v>107262199077</v>
      </c>
    </row>
    <row r="10688" spans="1:11" ht="12.45">
      <c r="A10688" s="2" t="str">
        <f ca="1">IFERROR(__xludf.DUMMYFUNCTION("""COMPUTED_VALUE"""),"107262199127")</f>
        <v>107262199127</v>
      </c>
      <c r="C10688" s="2" t="str">
        <v>0</v>
      </c>
      <c r="F10688" s="2" t="str">
        <v>0</v>
      </c>
      <c r="I10688" s="3" t="str">
        <f ca="1">IFERROR(__xludf.DUMMYFUNCTION("""COMPUTED_VALUE"""),"Phan Hiếu Ngân")</f>
        <v>Phan Hiếu Ngân</v>
      </c>
      <c r="J10688" s="2" t="str">
        <f ca="1">IFERROR(__xludf.DUMMYFUNCTION("""COMPUTED_VALUE"""),"0866995929")</f>
        <v>0866995929</v>
      </c>
      <c r="K10688" s="2" t="str">
        <f ca="1">IFERROR(__xludf.DUMMYFUNCTION("""COMPUTED_VALUE"""),"107262199127")</f>
        <v>107262199127</v>
      </c>
    </row>
    <row r="10689" spans="1:11" ht="12.45">
      <c r="A10689" s="2" t="str">
        <f ca="1">IFERROR(__xludf.DUMMYFUNCTION("""COMPUTED_VALUE"""),"107262199268")</f>
        <v>107262199268</v>
      </c>
      <c r="C10689" s="2" t="str">
        <v>0</v>
      </c>
      <c r="F10689" s="2" t="str">
        <v>0</v>
      </c>
      <c r="I10689" s="3" t="str">
        <f ca="1">IFERROR(__xludf.DUMMYFUNCTION("""COMPUTED_VALUE"""),"Võ Tuấn Khang")</f>
        <v>Võ Tuấn Khang</v>
      </c>
      <c r="J10689" s="2" t="str">
        <f ca="1">IFERROR(__xludf.DUMMYFUNCTION("""COMPUTED_VALUE"""),"0795350379")</f>
        <v>0795350379</v>
      </c>
      <c r="K10689" s="2" t="str">
        <f ca="1">IFERROR(__xludf.DUMMYFUNCTION("""COMPUTED_VALUE"""),"107262199268")</f>
        <v>107262199268</v>
      </c>
    </row>
    <row r="10690" spans="1:11" ht="12.45">
      <c r="A10690" s="2" t="str">
        <f ca="1">IFERROR(__xludf.DUMMYFUNCTION("""COMPUTED_VALUE"""),"107262199371")</f>
        <v>107262199371</v>
      </c>
      <c r="C10690" s="2" t="str">
        <v>0</v>
      </c>
      <c r="F10690" s="2" t="str">
        <v>0</v>
      </c>
      <c r="I10690" s="3" t="str">
        <f ca="1">IFERROR(__xludf.DUMMYFUNCTION("""COMPUTED_VALUE"""),"Nguyễn Xuân Mai")</f>
        <v>Nguyễn Xuân Mai</v>
      </c>
      <c r="J10690" s="2" t="str">
        <f ca="1">IFERROR(__xludf.DUMMYFUNCTION("""COMPUTED_VALUE"""),"0822279206")</f>
        <v>0822279206</v>
      </c>
      <c r="K10690" s="2" t="str">
        <f ca="1">IFERROR(__xludf.DUMMYFUNCTION("""COMPUTED_VALUE"""),"107262199371")</f>
        <v>107262199371</v>
      </c>
    </row>
    <row r="10691" spans="1:11" ht="12.45">
      <c r="A10691" s="2" t="str">
        <f ca="1">IFERROR(__xludf.DUMMYFUNCTION("""COMPUTED_VALUE"""),"107262199592")</f>
        <v>107262199592</v>
      </c>
      <c r="C10691" s="2" t="str">
        <v>0</v>
      </c>
      <c r="F10691" s="2" t="str">
        <v>0</v>
      </c>
      <c r="I10691" s="3" t="str">
        <f ca="1">IFERROR(__xludf.DUMMYFUNCTION("""COMPUTED_VALUE"""),"Trần Bảo Châu")</f>
        <v>Trần Bảo Châu</v>
      </c>
      <c r="J10691" s="2" t="str">
        <f ca="1">IFERROR(__xludf.DUMMYFUNCTION("""COMPUTED_VALUE"""),"0981798278")</f>
        <v>0981798278</v>
      </c>
      <c r="K10691" s="2" t="str">
        <f ca="1">IFERROR(__xludf.DUMMYFUNCTION("""COMPUTED_VALUE"""),"107262199592")</f>
        <v>107262199592</v>
      </c>
    </row>
    <row r="10692" spans="1:11" ht="12.45">
      <c r="A10692" s="2" t="str">
        <f ca="1">IFERROR(__xludf.DUMMYFUNCTION("""COMPUTED_VALUE"""),"107262199793")</f>
        <v>107262199793</v>
      </c>
      <c r="C10692" s="2" t="str">
        <v>0</v>
      </c>
      <c r="F10692" s="2" t="str">
        <v>0</v>
      </c>
      <c r="I10692" s="3" t="str">
        <f ca="1">IFERROR(__xludf.DUMMYFUNCTION("""COMPUTED_VALUE"""),"Nông Thị Sính")</f>
        <v>Nông Thị Sính</v>
      </c>
      <c r="J10692" s="2" t="str">
        <f ca="1">IFERROR(__xludf.DUMMYFUNCTION("""COMPUTED_VALUE"""),"0357594682")</f>
        <v>0357594682</v>
      </c>
      <c r="K10692" s="2" t="str">
        <f ca="1">IFERROR(__xludf.DUMMYFUNCTION("""COMPUTED_VALUE"""),"107262199793")</f>
        <v>107262199793</v>
      </c>
    </row>
    <row r="10693" spans="1:11" ht="12.45">
      <c r="A10693" s="2" t="str">
        <f ca="1">IFERROR(__xludf.DUMMYFUNCTION("""COMPUTED_VALUE"""),"107262199834")</f>
        <v>107262199834</v>
      </c>
      <c r="C10693" s="2" t="str">
        <v>0</v>
      </c>
      <c r="F10693" s="2" t="str">
        <v>0</v>
      </c>
      <c r="I10693" s="3" t="str">
        <f ca="1">IFERROR(__xludf.DUMMYFUNCTION("""COMPUTED_VALUE"""),"Thân Văn Quốc Anh")</f>
        <v>Thân Văn Quốc Anh</v>
      </c>
      <c r="J10693" s="2" t="str">
        <f ca="1">IFERROR(__xludf.DUMMYFUNCTION("""COMPUTED_VALUE"""),"0941572818")</f>
        <v>0941572818</v>
      </c>
      <c r="K10693" s="2" t="str">
        <f ca="1">IFERROR(__xludf.DUMMYFUNCTION("""COMPUTED_VALUE"""),"107262199834")</f>
        <v>107262199834</v>
      </c>
    </row>
    <row r="10694" spans="1:11" ht="12.45">
      <c r="A10694" s="2" t="str">
        <f ca="1">IFERROR(__xludf.DUMMYFUNCTION("""COMPUTED_VALUE"""),"107262199930")</f>
        <v>107262199930</v>
      </c>
      <c r="C10694" s="2" t="str">
        <v>0</v>
      </c>
      <c r="F10694" s="2" t="str">
        <v>0</v>
      </c>
      <c r="I10694" s="3" t="str">
        <f ca="1">IFERROR(__xludf.DUMMYFUNCTION("""COMPUTED_VALUE"""),"Lê Tiểu Khánh Ly")</f>
        <v>Lê Tiểu Khánh Ly</v>
      </c>
      <c r="J10694" s="2" t="str">
        <f ca="1">IFERROR(__xludf.DUMMYFUNCTION("""COMPUTED_VALUE"""),"0978806264")</f>
        <v>0978806264</v>
      </c>
      <c r="K10694" s="2" t="str">
        <f ca="1">IFERROR(__xludf.DUMMYFUNCTION("""COMPUTED_VALUE"""),"107262199930")</f>
        <v>107262199930</v>
      </c>
    </row>
    <row r="10695" spans="1:11" ht="12.45">
      <c r="A10695" s="2" t="str">
        <f ca="1">IFERROR(__xludf.DUMMYFUNCTION("""COMPUTED_VALUE"""),"107262200114")</f>
        <v>107262200114</v>
      </c>
      <c r="C10695" s="2" t="str">
        <v>0</v>
      </c>
      <c r="F10695" s="2" t="str">
        <v>0</v>
      </c>
      <c r="I10695" s="3" t="str">
        <f ca="1">IFERROR(__xludf.DUMMYFUNCTION("""COMPUTED_VALUE"""),"Trần Đức Cương")</f>
        <v>Trần Đức Cương</v>
      </c>
      <c r="J10695" s="2" t="str">
        <f ca="1">IFERROR(__xludf.DUMMYFUNCTION("""COMPUTED_VALUE"""),"0397645177")</f>
        <v>0397645177</v>
      </c>
      <c r="K10695" s="2" t="str">
        <f ca="1">IFERROR(__xludf.DUMMYFUNCTION("""COMPUTED_VALUE"""),"107262200114")</f>
        <v>107262200114</v>
      </c>
    </row>
    <row r="10696" spans="1:11" ht="12.45">
      <c r="A10696" s="2" t="str">
        <f ca="1">IFERROR(__xludf.DUMMYFUNCTION("""COMPUTED_VALUE"""),"107262200374")</f>
        <v>107262200374</v>
      </c>
      <c r="C10696" s="2" t="str">
        <v>0</v>
      </c>
      <c r="F10696" s="2" t="str">
        <v>0</v>
      </c>
      <c r="I10696" s="3" t="str">
        <f ca="1">IFERROR(__xludf.DUMMYFUNCTION("""COMPUTED_VALUE"""),"Hoàng Phương Thảo")</f>
        <v>Hoàng Phương Thảo</v>
      </c>
      <c r="J10696" s="2" t="str">
        <f ca="1">IFERROR(__xludf.DUMMYFUNCTION("""COMPUTED_VALUE"""),"0965269986")</f>
        <v>0965269986</v>
      </c>
      <c r="K10696" s="2" t="str">
        <f ca="1">IFERROR(__xludf.DUMMYFUNCTION("""COMPUTED_VALUE"""),"107262200374")</f>
        <v>107262200374</v>
      </c>
    </row>
    <row r="10697" spans="1:11" ht="12.45">
      <c r="A10697" s="2" t="str">
        <f ca="1">IFERROR(__xludf.DUMMYFUNCTION("""COMPUTED_VALUE"""),"107262200415")</f>
        <v>107262200415</v>
      </c>
      <c r="C10697" s="2" t="str">
        <v>0</v>
      </c>
      <c r="F10697" s="2" t="str">
        <v>0</v>
      </c>
      <c r="I10697" s="3" t="str">
        <f ca="1">IFERROR(__xludf.DUMMYFUNCTION("""COMPUTED_VALUE"""),"Hoàng Ngọc Ánh")</f>
        <v>Hoàng Ngọc Ánh</v>
      </c>
      <c r="J10697" s="2" t="str">
        <f ca="1">IFERROR(__xludf.DUMMYFUNCTION("""COMPUTED_VALUE"""),"0374314908")</f>
        <v>0374314908</v>
      </c>
      <c r="K10697" s="2" t="str">
        <f ca="1">IFERROR(__xludf.DUMMYFUNCTION("""COMPUTED_VALUE"""),"107262200415")</f>
        <v>107262200415</v>
      </c>
    </row>
    <row r="10698" spans="1:11" ht="12.45">
      <c r="A10698" s="2" t="str">
        <f ca="1">IFERROR(__xludf.DUMMYFUNCTION("""COMPUTED_VALUE"""),"107262200577")</f>
        <v>107262200577</v>
      </c>
      <c r="C10698" s="2" t="str">
        <v>0</v>
      </c>
      <c r="F10698" s="2" t="str">
        <v>0</v>
      </c>
      <c r="I10698" s="3" t="str">
        <f ca="1">IFERROR(__xludf.DUMMYFUNCTION("""COMPUTED_VALUE"""),"Phạm Thị Vân Anh")</f>
        <v>Phạm Thị Vân Anh</v>
      </c>
      <c r="J10698" s="2" t="str">
        <f ca="1">IFERROR(__xludf.DUMMYFUNCTION("""COMPUTED_VALUE"""),"0971907824")</f>
        <v>0971907824</v>
      </c>
      <c r="K10698" s="2" t="str">
        <f ca="1">IFERROR(__xludf.DUMMYFUNCTION("""COMPUTED_VALUE"""),"107262200577")</f>
        <v>107262200577</v>
      </c>
    </row>
    <row r="10699" spans="1:11" ht="12.45">
      <c r="A10699" s="2" t="str">
        <f ca="1">IFERROR(__xludf.DUMMYFUNCTION("""COMPUTED_VALUE"""),"107262200625")</f>
        <v>107262200625</v>
      </c>
      <c r="C10699" s="2" t="str">
        <v>0</v>
      </c>
      <c r="F10699" s="2" t="str">
        <v>0</v>
      </c>
      <c r="I10699" s="3" t="str">
        <f ca="1">IFERROR(__xludf.DUMMYFUNCTION("""COMPUTED_VALUE"""),"Nguyễn An Nam")</f>
        <v>Nguyễn An Nam</v>
      </c>
      <c r="J10699" s="2" t="str">
        <f ca="1">IFERROR(__xludf.DUMMYFUNCTION("""COMPUTED_VALUE"""),"0327445565")</f>
        <v>0327445565</v>
      </c>
      <c r="K10699" s="2" t="str">
        <f ca="1">IFERROR(__xludf.DUMMYFUNCTION("""COMPUTED_VALUE"""),"107262200625")</f>
        <v>107262200625</v>
      </c>
    </row>
    <row r="10700" spans="1:11" ht="12.45">
      <c r="A10700" s="2" t="str">
        <f ca="1">IFERROR(__xludf.DUMMYFUNCTION("""COMPUTED_VALUE"""),"107262200745")</f>
        <v>107262200745</v>
      </c>
      <c r="C10700" s="2" t="str">
        <v>0</v>
      </c>
      <c r="F10700" s="2" t="str">
        <v>0</v>
      </c>
      <c r="I10700" s="3" t="str">
        <f ca="1">IFERROR(__xludf.DUMMYFUNCTION("""COMPUTED_VALUE"""),"Đinh Thị Ngọc Diệp")</f>
        <v>Đinh Thị Ngọc Diệp</v>
      </c>
      <c r="J10700" s="2" t="str">
        <f ca="1">IFERROR(__xludf.DUMMYFUNCTION("""COMPUTED_VALUE"""),"0967073655")</f>
        <v>0967073655</v>
      </c>
      <c r="K10700" s="2" t="str">
        <f ca="1">IFERROR(__xludf.DUMMYFUNCTION("""COMPUTED_VALUE"""),"107262200745")</f>
        <v>107262200745</v>
      </c>
    </row>
    <row r="10701" spans="1:11" ht="12.45">
      <c r="A10701" s="2" t="str">
        <f ca="1">IFERROR(__xludf.DUMMYFUNCTION("""COMPUTED_VALUE"""),"107262201062")</f>
        <v>107262201062</v>
      </c>
      <c r="C10701" s="2" t="str">
        <v>0</v>
      </c>
      <c r="F10701" s="2" t="str">
        <v>0</v>
      </c>
      <c r="I10701" s="3" t="str">
        <f ca="1">IFERROR(__xludf.DUMMYFUNCTION("""COMPUTED_VALUE"""),"Nguyễn Phương Anh")</f>
        <v>Nguyễn Phương Anh</v>
      </c>
      <c r="J10701" s="2" t="str">
        <f ca="1">IFERROR(__xludf.DUMMYFUNCTION("""COMPUTED_VALUE"""),"0977392288")</f>
        <v>0977392288</v>
      </c>
      <c r="K10701" s="2" t="str">
        <f ca="1">IFERROR(__xludf.DUMMYFUNCTION("""COMPUTED_VALUE"""),"107262201062")</f>
        <v>107262201062</v>
      </c>
    </row>
    <row r="10702" spans="1:11" ht="12.45">
      <c r="A10702" s="2" t="str">
        <f ca="1">IFERROR(__xludf.DUMMYFUNCTION("""COMPUTED_VALUE"""),"107262201375")</f>
        <v>107262201375</v>
      </c>
      <c r="C10702" s="2" t="str">
        <v>0</v>
      </c>
      <c r="F10702" s="2" t="str">
        <v>0</v>
      </c>
      <c r="I10702" s="3" t="str">
        <f ca="1">IFERROR(__xludf.DUMMYFUNCTION("""COMPUTED_VALUE"""),"Trần Lệ Quyên")</f>
        <v>Trần Lệ Quyên</v>
      </c>
      <c r="J10702" s="2" t="str">
        <f ca="1">IFERROR(__xludf.DUMMYFUNCTION("""COMPUTED_VALUE"""),"0913480708")</f>
        <v>0913480708</v>
      </c>
      <c r="K10702" s="2" t="str">
        <f ca="1">IFERROR(__xludf.DUMMYFUNCTION("""COMPUTED_VALUE"""),"107262201375")</f>
        <v>107262201375</v>
      </c>
    </row>
    <row r="10703" spans="1:11" ht="12.45">
      <c r="A10703" s="2" t="str">
        <f ca="1">IFERROR(__xludf.DUMMYFUNCTION("""COMPUTED_VALUE"""),"107262201626")</f>
        <v>107262201626</v>
      </c>
      <c r="C10703" s="2" t="str">
        <v>0</v>
      </c>
      <c r="F10703" s="2" t="str">
        <v>0</v>
      </c>
      <c r="I10703" s="3" t="str">
        <f ca="1">IFERROR(__xludf.DUMMYFUNCTION("""COMPUTED_VALUE"""),"Lưu Trường Thành ")</f>
        <v xml:space="preserve">Lưu Trường Thành </v>
      </c>
      <c r="J10703" s="2" t="str">
        <f ca="1">IFERROR(__xludf.DUMMYFUNCTION("""COMPUTED_VALUE"""),"0916008196")</f>
        <v>0916008196</v>
      </c>
      <c r="K10703" s="2" t="str">
        <f ca="1">IFERROR(__xludf.DUMMYFUNCTION("""COMPUTED_VALUE"""),"107262201626")</f>
        <v>107262201626</v>
      </c>
    </row>
    <row r="10704" spans="1:11" ht="12.45">
      <c r="A10704" s="2" t="str">
        <f ca="1">IFERROR(__xludf.DUMMYFUNCTION("""COMPUTED_VALUE"""),"107262201771")</f>
        <v>107262201771</v>
      </c>
      <c r="C10704" s="2" t="str">
        <v>0</v>
      </c>
      <c r="F10704" s="2" t="str">
        <v>0</v>
      </c>
      <c r="I10704" s="3" t="str">
        <f ca="1">IFERROR(__xludf.DUMMYFUNCTION("""COMPUTED_VALUE"""),"Nguyễn Thị Thu Ngân ")</f>
        <v xml:space="preserve">Nguyễn Thị Thu Ngân </v>
      </c>
      <c r="J10704" s="2" t="str">
        <f ca="1">IFERROR(__xludf.DUMMYFUNCTION("""COMPUTED_VALUE"""),"0336496088")</f>
        <v>0336496088</v>
      </c>
      <c r="K10704" s="2" t="str">
        <f ca="1">IFERROR(__xludf.DUMMYFUNCTION("""COMPUTED_VALUE"""),"107262201771")</f>
        <v>107262201771</v>
      </c>
    </row>
    <row r="10705" spans="1:11" ht="12.45">
      <c r="A10705" s="2" t="str">
        <f ca="1">IFERROR(__xludf.DUMMYFUNCTION("""COMPUTED_VALUE"""),"107262201846")</f>
        <v>107262201846</v>
      </c>
      <c r="C10705" s="2" t="str">
        <v>0</v>
      </c>
      <c r="F10705" s="2" t="str">
        <v>0</v>
      </c>
      <c r="I10705" s="3" t="str">
        <f ca="1">IFERROR(__xludf.DUMMYFUNCTION("""COMPUTED_VALUE"""),"phạm phương thảo")</f>
        <v>phạm phương thảo</v>
      </c>
      <c r="J10705" s="2" t="str">
        <f ca="1">IFERROR(__xludf.DUMMYFUNCTION("""COMPUTED_VALUE"""),"0325891700")</f>
        <v>0325891700</v>
      </c>
      <c r="K10705" s="2" t="str">
        <f ca="1">IFERROR(__xludf.DUMMYFUNCTION("""COMPUTED_VALUE"""),"107262201846")</f>
        <v>107262201846</v>
      </c>
    </row>
    <row r="10706" spans="1:11" ht="12.45">
      <c r="A10706" s="2" t="str">
        <f ca="1">IFERROR(__xludf.DUMMYFUNCTION("""COMPUTED_VALUE"""),"107262201915")</f>
        <v>107262201915</v>
      </c>
      <c r="C10706" s="2" t="str">
        <v>0</v>
      </c>
      <c r="F10706" s="2" t="str">
        <v>0</v>
      </c>
      <c r="I10706" s="3" t="str">
        <f ca="1">IFERROR(__xludf.DUMMYFUNCTION("""COMPUTED_VALUE"""),"Phùng Lê Thu Hà")</f>
        <v>Phùng Lê Thu Hà</v>
      </c>
      <c r="J10706" s="2" t="str">
        <f ca="1">IFERROR(__xludf.DUMMYFUNCTION("""COMPUTED_VALUE"""),"0968435491")</f>
        <v>0968435491</v>
      </c>
      <c r="K10706" s="2" t="str">
        <f ca="1">IFERROR(__xludf.DUMMYFUNCTION("""COMPUTED_VALUE"""),"107262201915")</f>
        <v>107262201915</v>
      </c>
    </row>
    <row r="10707" spans="1:11" ht="12.45">
      <c r="A10707" s="2" t="str">
        <f ca="1">IFERROR(__xludf.DUMMYFUNCTION("""COMPUTED_VALUE"""),"107262202047")</f>
        <v>107262202047</v>
      </c>
      <c r="C10707" s="2" t="str">
        <v>0</v>
      </c>
      <c r="F10707" s="2" t="str">
        <v>0</v>
      </c>
      <c r="I10707" s="3" t="str">
        <f ca="1">IFERROR(__xludf.DUMMYFUNCTION("""COMPUTED_VALUE"""),"Đoàn Anh Minh")</f>
        <v>Đoàn Anh Minh</v>
      </c>
      <c r="J10707" s="2" t="str">
        <f ca="1">IFERROR(__xludf.DUMMYFUNCTION("""COMPUTED_VALUE"""),"0899383700")</f>
        <v>0899383700</v>
      </c>
      <c r="K10707" s="2" t="str">
        <f ca="1">IFERROR(__xludf.DUMMYFUNCTION("""COMPUTED_VALUE"""),"107262202047")</f>
        <v>107262202047</v>
      </c>
    </row>
    <row r="10708" spans="1:11" ht="12.45">
      <c r="A10708" s="2" t="str">
        <f ca="1">IFERROR(__xludf.DUMMYFUNCTION("""COMPUTED_VALUE"""),"107262202141")</f>
        <v>107262202141</v>
      </c>
      <c r="C10708" s="2" t="str">
        <v>0</v>
      </c>
      <c r="F10708" s="2" t="str">
        <v>0</v>
      </c>
      <c r="I10708" s="3" t="str">
        <f ca="1">IFERROR(__xludf.DUMMYFUNCTION("""COMPUTED_VALUE"""),"Nguyễn Thị Huyền Trang ")</f>
        <v xml:space="preserve">Nguyễn Thị Huyền Trang </v>
      </c>
      <c r="J10708" s="2" t="str">
        <f ca="1">IFERROR(__xludf.DUMMYFUNCTION("""COMPUTED_VALUE"""),"0989616696")</f>
        <v>0989616696</v>
      </c>
      <c r="K10708" s="2" t="str">
        <f ca="1">IFERROR(__xludf.DUMMYFUNCTION("""COMPUTED_VALUE"""),"107262202141")</f>
        <v>107262202141</v>
      </c>
    </row>
    <row r="10709" spans="1:11" ht="12.45">
      <c r="A10709" s="2" t="str">
        <f ca="1">IFERROR(__xludf.DUMMYFUNCTION("""COMPUTED_VALUE"""),"107262202273")</f>
        <v>107262202273</v>
      </c>
      <c r="C10709" s="2" t="str">
        <v>0</v>
      </c>
      <c r="F10709" s="2" t="str">
        <v>0</v>
      </c>
      <c r="I10709" s="3" t="str">
        <f ca="1">IFERROR(__xludf.DUMMYFUNCTION("""COMPUTED_VALUE"""),"Hoàng Trung Sơn")</f>
        <v>Hoàng Trung Sơn</v>
      </c>
      <c r="J10709" s="2" t="str">
        <f ca="1">IFERROR(__xludf.DUMMYFUNCTION("""COMPUTED_VALUE"""),"0816864643")</f>
        <v>0816864643</v>
      </c>
      <c r="K10709" s="2" t="str">
        <f ca="1">IFERROR(__xludf.DUMMYFUNCTION("""COMPUTED_VALUE"""),"107262202273")</f>
        <v>107262202273</v>
      </c>
    </row>
    <row r="10710" spans="1:11" ht="12.45">
      <c r="A10710" s="2" t="str">
        <f ca="1">IFERROR(__xludf.DUMMYFUNCTION("""COMPUTED_VALUE"""),"107262202540")</f>
        <v>107262202540</v>
      </c>
      <c r="C10710" s="2" t="str">
        <v>0</v>
      </c>
      <c r="F10710" s="2" t="str">
        <v>0</v>
      </c>
      <c r="I10710" s="3" t="str">
        <f ca="1">IFERROR(__xludf.DUMMYFUNCTION("""COMPUTED_VALUE"""),"Dương Thị Ninh")</f>
        <v>Dương Thị Ninh</v>
      </c>
      <c r="J10710" s="2" t="str">
        <f ca="1">IFERROR(__xludf.DUMMYFUNCTION("""COMPUTED_VALUE"""),"0399745478")</f>
        <v>0399745478</v>
      </c>
      <c r="K10710" s="2" t="str">
        <f ca="1">IFERROR(__xludf.DUMMYFUNCTION("""COMPUTED_VALUE"""),"107262202540")</f>
        <v>107262202540</v>
      </c>
    </row>
    <row r="10711" spans="1:11" ht="12.45">
      <c r="A10711" s="2" t="str">
        <f ca="1">IFERROR(__xludf.DUMMYFUNCTION("""COMPUTED_VALUE"""),"107262202649")</f>
        <v>107262202649</v>
      </c>
      <c r="C10711" s="2" t="str">
        <v>0</v>
      </c>
      <c r="F10711" s="2" t="str">
        <v>0</v>
      </c>
      <c r="I10711" s="3" t="str">
        <f ca="1">IFERROR(__xludf.DUMMYFUNCTION("""COMPUTED_VALUE"""),"Nguyễn Trần Tường Vy ")</f>
        <v xml:space="preserve">Nguyễn Trần Tường Vy </v>
      </c>
      <c r="J10711" s="2" t="str">
        <f ca="1">IFERROR(__xludf.DUMMYFUNCTION("""COMPUTED_VALUE"""),"0392525409")</f>
        <v>0392525409</v>
      </c>
      <c r="K10711" s="2" t="str">
        <f ca="1">IFERROR(__xludf.DUMMYFUNCTION("""COMPUTED_VALUE"""),"107262202649")</f>
        <v>107262202649</v>
      </c>
    </row>
    <row r="10712" spans="1:11" ht="12.45">
      <c r="A10712" s="2" t="str">
        <f ca="1">IFERROR(__xludf.DUMMYFUNCTION("""COMPUTED_VALUE"""),"107262202969")</f>
        <v>107262202969</v>
      </c>
      <c r="C10712" s="2" t="str">
        <v>0</v>
      </c>
      <c r="F10712" s="2" t="str">
        <v>0</v>
      </c>
      <c r="I10712" s="3" t="str">
        <f ca="1">IFERROR(__xludf.DUMMYFUNCTION("""COMPUTED_VALUE"""),"Phan Lê Như Quỳnh")</f>
        <v>Phan Lê Như Quỳnh</v>
      </c>
      <c r="J10712" s="2" t="str">
        <f ca="1">IFERROR(__xludf.DUMMYFUNCTION("""COMPUTED_VALUE"""),"0908062473")</f>
        <v>0908062473</v>
      </c>
      <c r="K10712" s="2" t="str">
        <f ca="1">IFERROR(__xludf.DUMMYFUNCTION("""COMPUTED_VALUE"""),"107262202969")</f>
        <v>107262202969</v>
      </c>
    </row>
    <row r="10713" spans="1:11" ht="12.45">
      <c r="A10713" s="2" t="str">
        <f ca="1">IFERROR(__xludf.DUMMYFUNCTION("""COMPUTED_VALUE"""),"107262203032")</f>
        <v>107262203032</v>
      </c>
      <c r="C10713" s="2" t="str">
        <v>0</v>
      </c>
      <c r="F10713" s="2" t="str">
        <v>0</v>
      </c>
      <c r="I10713" s="3" t="str">
        <f ca="1">IFERROR(__xludf.DUMMYFUNCTION("""COMPUTED_VALUE"""),"Vũ Thị Minh Anh")</f>
        <v>Vũ Thị Minh Anh</v>
      </c>
      <c r="J10713" s="2" t="str">
        <f ca="1">IFERROR(__xludf.DUMMYFUNCTION("""COMPUTED_VALUE"""),"0912502581")</f>
        <v>0912502581</v>
      </c>
      <c r="K10713" s="2" t="str">
        <f ca="1">IFERROR(__xludf.DUMMYFUNCTION("""COMPUTED_VALUE"""),"107262203032")</f>
        <v>107262203032</v>
      </c>
    </row>
    <row r="10714" spans="1:11" ht="12.45">
      <c r="A10714" s="2" t="str">
        <f ca="1">IFERROR(__xludf.DUMMYFUNCTION("""COMPUTED_VALUE"""),"107262203158")</f>
        <v>107262203158</v>
      </c>
      <c r="C10714" s="2" t="str">
        <v>0</v>
      </c>
      <c r="F10714" s="2" t="str">
        <v>0</v>
      </c>
      <c r="I10714" s="3" t="str">
        <f ca="1">IFERROR(__xludf.DUMMYFUNCTION("""COMPUTED_VALUE"""),"Nguyễn Phan Việt Chinh ")</f>
        <v xml:space="preserve">Nguyễn Phan Việt Chinh </v>
      </c>
      <c r="J10714" s="2" t="str">
        <f ca="1">IFERROR(__xludf.DUMMYFUNCTION("""COMPUTED_VALUE"""),"0981535549")</f>
        <v>0981535549</v>
      </c>
      <c r="K10714" s="2" t="str">
        <f ca="1">IFERROR(__xludf.DUMMYFUNCTION("""COMPUTED_VALUE"""),"107262203158")</f>
        <v>107262203158</v>
      </c>
    </row>
    <row r="10715" spans="1:11" ht="12.45">
      <c r="A10715" s="2" t="str">
        <f ca="1">IFERROR(__xludf.DUMMYFUNCTION("""COMPUTED_VALUE"""),"107262203258")</f>
        <v>107262203258</v>
      </c>
      <c r="C10715" s="2" t="str">
        <v>0</v>
      </c>
      <c r="F10715" s="2" t="str">
        <v>0</v>
      </c>
      <c r="I10715" s="3" t="str">
        <f ca="1">IFERROR(__xludf.DUMMYFUNCTION("""COMPUTED_VALUE"""),"Nguyễn Thị Như Thảo")</f>
        <v>Nguyễn Thị Như Thảo</v>
      </c>
      <c r="J10715" s="2" t="str">
        <f ca="1">IFERROR(__xludf.DUMMYFUNCTION("""COMPUTED_VALUE"""),"0333904577")</f>
        <v>0333904577</v>
      </c>
      <c r="K10715" s="2" t="str">
        <f ca="1">IFERROR(__xludf.DUMMYFUNCTION("""COMPUTED_VALUE"""),"107262203258")</f>
        <v>107262203258</v>
      </c>
    </row>
    <row r="10716" spans="1:11" ht="12.45">
      <c r="A10716" s="2" t="str">
        <f ca="1">IFERROR(__xludf.DUMMYFUNCTION("""COMPUTED_VALUE"""),"107262203314")</f>
        <v>107262203314</v>
      </c>
      <c r="C10716" s="2" t="str">
        <v>0</v>
      </c>
      <c r="F10716" s="2" t="str">
        <v>0</v>
      </c>
      <c r="I10716" s="3" t="str">
        <f ca="1">IFERROR(__xludf.DUMMYFUNCTION("""COMPUTED_VALUE"""),"Nguyễn Thị Bội Châu ")</f>
        <v xml:space="preserve">Nguyễn Thị Bội Châu </v>
      </c>
      <c r="J10716" s="2" t="str">
        <f ca="1">IFERROR(__xludf.DUMMYFUNCTION("""COMPUTED_VALUE"""),"0704628983")</f>
        <v>0704628983</v>
      </c>
      <c r="K10716" s="2" t="str">
        <f ca="1">IFERROR(__xludf.DUMMYFUNCTION("""COMPUTED_VALUE"""),"107262203314")</f>
        <v>107262203314</v>
      </c>
    </row>
    <row r="10717" spans="1:11" ht="12.45">
      <c r="A10717" s="2" t="str">
        <f ca="1">IFERROR(__xludf.DUMMYFUNCTION("""COMPUTED_VALUE"""),"107262203575")</f>
        <v>107262203575</v>
      </c>
      <c r="C10717" s="2" t="str">
        <v>0</v>
      </c>
      <c r="F10717" s="2" t="str">
        <v>0</v>
      </c>
      <c r="I10717" s="3" t="str">
        <f ca="1">IFERROR(__xludf.DUMMYFUNCTION("""COMPUTED_VALUE"""),"Nguyễn Thu Trang")</f>
        <v>Nguyễn Thu Trang</v>
      </c>
      <c r="J10717" s="2" t="str">
        <f ca="1">IFERROR(__xludf.DUMMYFUNCTION("""COMPUTED_VALUE"""),"0988919848")</f>
        <v>0988919848</v>
      </c>
      <c r="K10717" s="2" t="str">
        <f ca="1">IFERROR(__xludf.DUMMYFUNCTION("""COMPUTED_VALUE"""),"107262203575")</f>
        <v>107262203575</v>
      </c>
    </row>
    <row r="10718" spans="1:11" ht="12.45">
      <c r="A10718" s="2" t="str">
        <f ca="1">IFERROR(__xludf.DUMMYFUNCTION("""COMPUTED_VALUE"""),"107262203654")</f>
        <v>107262203654</v>
      </c>
      <c r="C10718" s="2" t="str">
        <v>0</v>
      </c>
      <c r="F10718" s="2" t="str">
        <v>0</v>
      </c>
      <c r="I10718" s="3" t="str">
        <f ca="1">IFERROR(__xludf.DUMMYFUNCTION("""COMPUTED_VALUE"""),"Nguyễn Thu Trang")</f>
        <v>Nguyễn Thu Trang</v>
      </c>
      <c r="J10718" s="2" t="str">
        <f ca="1">IFERROR(__xludf.DUMMYFUNCTION("""COMPUTED_VALUE"""),"0989384915")</f>
        <v>0989384915</v>
      </c>
      <c r="K10718" s="2" t="str">
        <f ca="1">IFERROR(__xludf.DUMMYFUNCTION("""COMPUTED_VALUE"""),"107262203654")</f>
        <v>107262203654</v>
      </c>
    </row>
    <row r="10719" spans="1:11" ht="12.45">
      <c r="A10719" s="2" t="str">
        <f ca="1">IFERROR(__xludf.DUMMYFUNCTION("""COMPUTED_VALUE"""),"107262203934")</f>
        <v>107262203934</v>
      </c>
      <c r="C10719" s="2" t="str">
        <v>0</v>
      </c>
      <c r="F10719" s="2" t="str">
        <v>0</v>
      </c>
      <c r="I10719" s="3" t="str">
        <f ca="1">IFERROR(__xludf.DUMMYFUNCTION("""COMPUTED_VALUE"""),"Nguyễn Hữu Hoà")</f>
        <v>Nguyễn Hữu Hoà</v>
      </c>
      <c r="J10719" s="2" t="str">
        <f ca="1">IFERROR(__xludf.DUMMYFUNCTION("""COMPUTED_VALUE"""),"0911678556")</f>
        <v>0911678556</v>
      </c>
      <c r="K10719" s="2" t="str">
        <f ca="1">IFERROR(__xludf.DUMMYFUNCTION("""COMPUTED_VALUE"""),"107262203934")</f>
        <v>107262203934</v>
      </c>
    </row>
    <row r="10720" spans="1:11" ht="12.45">
      <c r="A10720" s="2" t="str">
        <f ca="1">IFERROR(__xludf.DUMMYFUNCTION("""COMPUTED_VALUE"""),"107262204037")</f>
        <v>107262204037</v>
      </c>
      <c r="C10720" s="2" t="str">
        <v>0</v>
      </c>
      <c r="F10720" s="2" t="str">
        <v>0</v>
      </c>
      <c r="I10720" s="3" t="str">
        <f ca="1">IFERROR(__xludf.DUMMYFUNCTION("""COMPUTED_VALUE"""),"Trần Văn Toản")</f>
        <v>Trần Văn Toản</v>
      </c>
      <c r="J10720" s="2" t="str">
        <f ca="1">IFERROR(__xludf.DUMMYFUNCTION("""COMPUTED_VALUE"""),"0355004038")</f>
        <v>0355004038</v>
      </c>
      <c r="K10720" s="2" t="str">
        <f ca="1">IFERROR(__xludf.DUMMYFUNCTION("""COMPUTED_VALUE"""),"107262204037")</f>
        <v>107262204037</v>
      </c>
    </row>
    <row r="10721" spans="1:11" ht="12.45">
      <c r="A10721" s="2" t="str">
        <f ca="1">IFERROR(__xludf.DUMMYFUNCTION("""COMPUTED_VALUE"""),"107262204176")</f>
        <v>107262204176</v>
      </c>
      <c r="C10721" s="2" t="str">
        <v>0</v>
      </c>
      <c r="F10721" s="2" t="str">
        <v>0</v>
      </c>
      <c r="I10721" s="3" t="str">
        <f ca="1">IFERROR(__xludf.DUMMYFUNCTION("""COMPUTED_VALUE"""),"Đào Phú Bình")</f>
        <v>Đào Phú Bình</v>
      </c>
      <c r="J10721" s="2" t="str">
        <f ca="1">IFERROR(__xludf.DUMMYFUNCTION("""COMPUTED_VALUE"""),"0827730506")</f>
        <v>0827730506</v>
      </c>
      <c r="K10721" s="2" t="str">
        <f ca="1">IFERROR(__xludf.DUMMYFUNCTION("""COMPUTED_VALUE"""),"107262204176")</f>
        <v>107262204176</v>
      </c>
    </row>
    <row r="10722" spans="1:11" ht="12.45">
      <c r="A10722" s="2" t="str">
        <f ca="1">IFERROR(__xludf.DUMMYFUNCTION("""COMPUTED_VALUE"""),"107262204264")</f>
        <v>107262204264</v>
      </c>
      <c r="C10722" s="2" t="str">
        <v>0</v>
      </c>
      <c r="F10722" s="2" t="str">
        <v>0</v>
      </c>
      <c r="I10722" s="3" t="str">
        <f ca="1">IFERROR(__xludf.DUMMYFUNCTION("""COMPUTED_VALUE"""),"Nguyễn Quang Vũ ")</f>
        <v xml:space="preserve">Nguyễn Quang Vũ </v>
      </c>
      <c r="J10722" s="2" t="str">
        <f ca="1">IFERROR(__xludf.DUMMYFUNCTION("""COMPUTED_VALUE"""),"0869165344")</f>
        <v>0869165344</v>
      </c>
      <c r="K10722" s="2" t="str">
        <f ca="1">IFERROR(__xludf.DUMMYFUNCTION("""COMPUTED_VALUE"""),"107262204264")</f>
        <v>107262204264</v>
      </c>
    </row>
    <row r="10723" spans="1:11" ht="12.45">
      <c r="A10723" s="2" t="str">
        <f ca="1">IFERROR(__xludf.DUMMYFUNCTION("""COMPUTED_VALUE"""),"107262204420")</f>
        <v>107262204420</v>
      </c>
      <c r="C10723" s="2" t="str">
        <v>0</v>
      </c>
      <c r="F10723" s="2" t="str">
        <v>0</v>
      </c>
      <c r="I10723" s="3" t="str">
        <f ca="1">IFERROR(__xludf.DUMMYFUNCTION("""COMPUTED_VALUE"""),"Phạm Thanh Huyền Trang")</f>
        <v>Phạm Thanh Huyền Trang</v>
      </c>
      <c r="J10723" s="2" t="str">
        <f ca="1">IFERROR(__xludf.DUMMYFUNCTION("""COMPUTED_VALUE"""),"0838055829")</f>
        <v>0838055829</v>
      </c>
      <c r="K10723" s="2" t="str">
        <f ca="1">IFERROR(__xludf.DUMMYFUNCTION("""COMPUTED_VALUE"""),"107262204420")</f>
        <v>107262204420</v>
      </c>
    </row>
    <row r="10724" spans="1:11" ht="12.45">
      <c r="A10724" s="2" t="str">
        <f ca="1">IFERROR(__xludf.DUMMYFUNCTION("""COMPUTED_VALUE"""),"107262204645")</f>
        <v>107262204645</v>
      </c>
      <c r="C10724" s="2" t="str">
        <v>0</v>
      </c>
      <c r="F10724" s="2" t="str">
        <v>0</v>
      </c>
      <c r="I10724" s="3" t="str">
        <f ca="1">IFERROR(__xludf.DUMMYFUNCTION("""COMPUTED_VALUE"""),"Cao Hà Kiều Anh")</f>
        <v>Cao Hà Kiều Anh</v>
      </c>
      <c r="J10724" s="2" t="str">
        <f ca="1">IFERROR(__xludf.DUMMYFUNCTION("""COMPUTED_VALUE"""),"0934413668")</f>
        <v>0934413668</v>
      </c>
      <c r="K10724" s="2" t="str">
        <f ca="1">IFERROR(__xludf.DUMMYFUNCTION("""COMPUTED_VALUE"""),"107262204645")</f>
        <v>107262204645</v>
      </c>
    </row>
    <row r="10725" spans="1:11" ht="12.45">
      <c r="A10725" s="2" t="str">
        <f ca="1">IFERROR(__xludf.DUMMYFUNCTION("""COMPUTED_VALUE"""),"107262204958")</f>
        <v>107262204958</v>
      </c>
      <c r="C10725" s="2" t="str">
        <v>0</v>
      </c>
      <c r="F10725" s="2" t="str">
        <v>0</v>
      </c>
      <c r="I10725" s="3" t="str">
        <f ca="1">IFERROR(__xludf.DUMMYFUNCTION("""COMPUTED_VALUE"""),"Nguyễn Ngọc Yến Nhi ")</f>
        <v xml:space="preserve">Nguyễn Ngọc Yến Nhi </v>
      </c>
      <c r="J10725" s="2" t="str">
        <f ca="1">IFERROR(__xludf.DUMMYFUNCTION("""COMPUTED_VALUE"""),"0798039140")</f>
        <v>0798039140</v>
      </c>
      <c r="K10725" s="2" t="str">
        <f ca="1">IFERROR(__xludf.DUMMYFUNCTION("""COMPUTED_VALUE"""),"107262204958")</f>
        <v>107262204958</v>
      </c>
    </row>
    <row r="10726" spans="1:11" ht="12.45">
      <c r="A10726" s="2" t="str">
        <f ca="1">IFERROR(__xludf.DUMMYFUNCTION("""COMPUTED_VALUE"""),"107262205131")</f>
        <v>107262205131</v>
      </c>
      <c r="C10726" s="2" t="str">
        <v>0</v>
      </c>
      <c r="F10726" s="2" t="str">
        <v>0</v>
      </c>
      <c r="I10726" s="3" t="str">
        <f ca="1">IFERROR(__xludf.DUMMYFUNCTION("""COMPUTED_VALUE"""),"Nguyễn Thảo Nhi")</f>
        <v>Nguyễn Thảo Nhi</v>
      </c>
      <c r="J10726" s="2" t="str">
        <f ca="1">IFERROR(__xludf.DUMMYFUNCTION("""COMPUTED_VALUE"""),"0815172949")</f>
        <v>0815172949</v>
      </c>
      <c r="K10726" s="2" t="str">
        <f ca="1">IFERROR(__xludf.DUMMYFUNCTION("""COMPUTED_VALUE"""),"107262205131")</f>
        <v>107262205131</v>
      </c>
    </row>
    <row r="10727" spans="1:11" ht="12.45">
      <c r="A10727" s="2" t="str">
        <f ca="1">IFERROR(__xludf.DUMMYFUNCTION("""COMPUTED_VALUE"""),"107262205536")</f>
        <v>107262205536</v>
      </c>
      <c r="C10727" s="2" t="str">
        <v>0</v>
      </c>
      <c r="F10727" s="2" t="str">
        <v>0</v>
      </c>
      <c r="I10727" s="3" t="str">
        <f ca="1">IFERROR(__xludf.DUMMYFUNCTION("""COMPUTED_VALUE"""),"Lương Thúy Hằng ")</f>
        <v xml:space="preserve">Lương Thúy Hằng </v>
      </c>
      <c r="J10727" s="2" t="str">
        <f ca="1">IFERROR(__xludf.DUMMYFUNCTION("""COMPUTED_VALUE"""),"0963852449")</f>
        <v>0963852449</v>
      </c>
      <c r="K10727" s="2" t="str">
        <f ca="1">IFERROR(__xludf.DUMMYFUNCTION("""COMPUTED_VALUE"""),"107262205536")</f>
        <v>107262205536</v>
      </c>
    </row>
    <row r="10728" spans="1:11" ht="12.45">
      <c r="A10728" s="2"/>
      <c r="C10728" s="2" t="str">
        <v>0</v>
      </c>
      <c r="F10728" s="2" t="str">
        <v>0</v>
      </c>
      <c r="I10728" s="3" t="str">
        <f ca="1">IFERROR(__xludf.DUMMYFUNCTION("""COMPUTED_VALUE"""),"Hà Thu Hiền")</f>
        <v>Hà Thu Hiền</v>
      </c>
      <c r="J10728" s="2" t="str">
        <f ca="1">IFERROR(__xludf.DUMMYFUNCTION("""COMPUTED_VALUE"""),"0966349704")</f>
        <v>0966349704</v>
      </c>
      <c r="K10728" s="2"/>
    </row>
    <row r="10729" spans="1:11" ht="12.45">
      <c r="A10729" s="2"/>
      <c r="C10729" s="2" t="str">
        <v>0</v>
      </c>
      <c r="F10729" s="2" t="str">
        <v>0</v>
      </c>
      <c r="I10729" s="3" t="str">
        <f ca="1">IFERROR(__xludf.DUMMYFUNCTION("""COMPUTED_VALUE"""),"Nguyễn Thị Ngọc Thiện")</f>
        <v>Nguyễn Thị Ngọc Thiện</v>
      </c>
      <c r="J10729" s="2" t="str">
        <f ca="1">IFERROR(__xludf.DUMMYFUNCTION("""COMPUTED_VALUE"""),"0325669503")</f>
        <v>0325669503</v>
      </c>
      <c r="K10729" s="2"/>
    </row>
    <row r="10730" spans="1:11" ht="12.45">
      <c r="A10730" s="2"/>
      <c r="C10730" s="2" t="str">
        <v>0</v>
      </c>
      <c r="F10730" s="2" t="str">
        <v>0</v>
      </c>
      <c r="I10730" s="3" t="str">
        <f ca="1">IFERROR(__xludf.DUMMYFUNCTION("""COMPUTED_VALUE"""),"Bùi Xuân Hồng Ánh")</f>
        <v>Bùi Xuân Hồng Ánh</v>
      </c>
      <c r="J10730" s="2" t="str">
        <f ca="1">IFERROR(__xludf.DUMMYFUNCTION("""COMPUTED_VALUE"""),"0392971028")</f>
        <v>0392971028</v>
      </c>
      <c r="K10730" s="2"/>
    </row>
    <row r="10731" spans="1:11" ht="12.45">
      <c r="A10731" s="2"/>
      <c r="C10731" s="2" t="str">
        <v>0</v>
      </c>
      <c r="F10731" s="2" t="str">
        <v>0</v>
      </c>
      <c r="I10731" s="3" t="str">
        <f ca="1">IFERROR(__xludf.DUMMYFUNCTION("""COMPUTED_VALUE"""),"Hoàng Tuyết Mai ")</f>
        <v xml:space="preserve">Hoàng Tuyết Mai </v>
      </c>
      <c r="J10731" s="2" t="str">
        <f ca="1">IFERROR(__xludf.DUMMYFUNCTION("""COMPUTED_VALUE"""),"0395920265")</f>
        <v>0395920265</v>
      </c>
      <c r="K10731" s="2"/>
    </row>
    <row r="10732" spans="1:11" ht="12.45">
      <c r="A10732" s="2"/>
      <c r="C10732" s="2" t="str">
        <v>0</v>
      </c>
      <c r="F10732" s="2" t="str">
        <v>0</v>
      </c>
      <c r="I10732" s="3" t="str">
        <f ca="1">IFERROR(__xludf.DUMMYFUNCTION("""COMPUTED_VALUE"""),"Bùi Yến chi ")</f>
        <v xml:space="preserve">Bùi Yến chi </v>
      </c>
      <c r="J10732" s="2" t="str">
        <f ca="1">IFERROR(__xludf.DUMMYFUNCTION("""COMPUTED_VALUE"""),"0989580076")</f>
        <v>0989580076</v>
      </c>
      <c r="K10732" s="2"/>
    </row>
    <row r="10733" spans="1:11" ht="12.45">
      <c r="A10733" s="2"/>
      <c r="C10733" s="2" t="str">
        <v>0</v>
      </c>
      <c r="F10733" s="2" t="str">
        <v>0</v>
      </c>
      <c r="I10733" s="3" t="str">
        <f ca="1">IFERROR(__xludf.DUMMYFUNCTION("""COMPUTED_VALUE"""),"Nguyễn Thúy Lan Anh ")</f>
        <v xml:space="preserve">Nguyễn Thúy Lan Anh </v>
      </c>
      <c r="J10733" s="2" t="str">
        <f ca="1">IFERROR(__xludf.DUMMYFUNCTION("""COMPUTED_VALUE"""),"0333830664")</f>
        <v>0333830664</v>
      </c>
      <c r="K10733" s="2"/>
    </row>
    <row r="10734" spans="1:11" ht="12.45">
      <c r="A10734" s="2"/>
      <c r="C10734" s="2" t="str">
        <v>0</v>
      </c>
      <c r="F10734" s="2" t="str">
        <v>0</v>
      </c>
      <c r="I10734" s="3" t="str">
        <f ca="1">IFERROR(__xludf.DUMMYFUNCTION("""COMPUTED_VALUE"""),"Phạm Văn Trường")</f>
        <v>Phạm Văn Trường</v>
      </c>
      <c r="J10734" s="2" t="str">
        <f ca="1">IFERROR(__xludf.DUMMYFUNCTION("""COMPUTED_VALUE"""),"0961626851")</f>
        <v>0961626851</v>
      </c>
      <c r="K10734" s="2"/>
    </row>
    <row r="10735" spans="1:11" ht="12.45">
      <c r="A10735" s="2"/>
      <c r="C10735" s="2" t="str">
        <v>0</v>
      </c>
      <c r="F10735" s="2" t="str">
        <v>0</v>
      </c>
      <c r="I10735" s="3" t="str">
        <f ca="1">IFERROR(__xludf.DUMMYFUNCTION("""COMPUTED_VALUE"""),"Đỗ Thanh Hiền ")</f>
        <v xml:space="preserve">Đỗ Thanh Hiền </v>
      </c>
      <c r="J10735" s="2" t="str">
        <f ca="1">IFERROR(__xludf.DUMMYFUNCTION("""COMPUTED_VALUE"""),"0362358644")</f>
        <v>0362358644</v>
      </c>
      <c r="K10735" s="2"/>
    </row>
    <row r="10736" spans="1:11" ht="12.45">
      <c r="A10736" s="2"/>
      <c r="C10736" s="2" t="str">
        <v>0</v>
      </c>
      <c r="F10736" s="2" t="str">
        <v>0</v>
      </c>
      <c r="I10736" s="3" t="str">
        <f ca="1">IFERROR(__xludf.DUMMYFUNCTION("""COMPUTED_VALUE"""),"Trần Đỗ Vân Anh")</f>
        <v>Trần Đỗ Vân Anh</v>
      </c>
      <c r="J10736" s="2" t="str">
        <f ca="1">IFERROR(__xludf.DUMMYFUNCTION("""COMPUTED_VALUE"""),"0359652850")</f>
        <v>0359652850</v>
      </c>
      <c r="K10736" s="2"/>
    </row>
    <row r="10737" spans="1:11" ht="12.45">
      <c r="A10737" s="2"/>
      <c r="C10737" s="2" t="str">
        <v>0</v>
      </c>
      <c r="F10737" s="2" t="str">
        <v>0</v>
      </c>
      <c r="I10737" s="3" t="str">
        <f ca="1">IFERROR(__xludf.DUMMYFUNCTION("""COMPUTED_VALUE"""),"Trần Nhựt Hào")</f>
        <v>Trần Nhựt Hào</v>
      </c>
      <c r="J10737" s="2" t="str">
        <f ca="1">IFERROR(__xludf.DUMMYFUNCTION("""COMPUTED_VALUE"""),"0862161304")</f>
        <v>0862161304</v>
      </c>
      <c r="K10737" s="2"/>
    </row>
    <row r="10738" spans="1:11" ht="12.45">
      <c r="A10738" s="2"/>
      <c r="C10738" s="2" t="str">
        <v>0</v>
      </c>
      <c r="F10738" s="2" t="str">
        <v>0</v>
      </c>
      <c r="I10738" s="3" t="str">
        <f ca="1">IFERROR(__xludf.DUMMYFUNCTION("""COMPUTED_VALUE"""),"TRẦN HỒNG QUANG ")</f>
        <v xml:space="preserve">TRẦN HỒNG QUANG </v>
      </c>
      <c r="J10738" s="2" t="str">
        <f ca="1">IFERROR(__xludf.DUMMYFUNCTION("""COMPUTED_VALUE"""),"0919476239")</f>
        <v>0919476239</v>
      </c>
      <c r="K10738" s="2"/>
    </row>
    <row r="10739" spans="1:11" ht="12.45">
      <c r="A10739" s="2"/>
      <c r="C10739" s="2" t="str">
        <v>0</v>
      </c>
      <c r="F10739" s="2" t="str">
        <v>0</v>
      </c>
      <c r="I10739" s="3" t="str">
        <f ca="1">IFERROR(__xludf.DUMMYFUNCTION("""COMPUTED_VALUE"""),"Nguyễn Ngọc Thảo Như ")</f>
        <v xml:space="preserve">Nguyễn Ngọc Thảo Như </v>
      </c>
      <c r="J10739" s="2" t="str">
        <f ca="1">IFERROR(__xludf.DUMMYFUNCTION("""COMPUTED_VALUE"""),"0931057695")</f>
        <v>0931057695</v>
      </c>
      <c r="K10739" s="2"/>
    </row>
    <row r="10740" spans="1:11" ht="12.45">
      <c r="A10740" s="2"/>
      <c r="C10740" s="2" t="str">
        <v>0</v>
      </c>
      <c r="F10740" s="2" t="str">
        <v>0</v>
      </c>
      <c r="I10740" s="3" t="str">
        <f ca="1">IFERROR(__xludf.DUMMYFUNCTION("""COMPUTED_VALUE"""),"Nguyễn Thị Vân Anh")</f>
        <v>Nguyễn Thị Vân Anh</v>
      </c>
      <c r="J10740" s="2" t="str">
        <f ca="1">IFERROR(__xludf.DUMMYFUNCTION("""COMPUTED_VALUE"""),"0913509228")</f>
        <v>0913509228</v>
      </c>
      <c r="K10740" s="2"/>
    </row>
    <row r="10741" spans="1:11" ht="12.45">
      <c r="A10741" s="2"/>
      <c r="C10741" s="2" t="str">
        <v>0</v>
      </c>
      <c r="F10741" s="2" t="str">
        <v>0</v>
      </c>
      <c r="I10741" s="3" t="str">
        <f ca="1">IFERROR(__xludf.DUMMYFUNCTION("""COMPUTED_VALUE"""),"Lò văn Tứ")</f>
        <v>Lò văn Tứ</v>
      </c>
      <c r="J10741" s="2" t="str">
        <f ca="1">IFERROR(__xludf.DUMMYFUNCTION("""COMPUTED_VALUE"""),"0329460435")</f>
        <v>0329460435</v>
      </c>
      <c r="K10741" s="2"/>
    </row>
    <row r="10742" spans="1:11" ht="12.45">
      <c r="A10742" s="2"/>
      <c r="C10742" s="2" t="str">
        <v>0</v>
      </c>
      <c r="F10742" s="2" t="str">
        <v>0</v>
      </c>
      <c r="I10742" s="3" t="str">
        <f ca="1">IFERROR(__xludf.DUMMYFUNCTION("""COMPUTED_VALUE"""),"Trần Bảo Yến")</f>
        <v>Trần Bảo Yến</v>
      </c>
      <c r="J10742" s="2" t="str">
        <f ca="1">IFERROR(__xludf.DUMMYFUNCTION("""COMPUTED_VALUE"""),"0926874757")</f>
        <v>0926874757</v>
      </c>
      <c r="K10742" s="2"/>
    </row>
    <row r="10743" spans="1:11" ht="12.45">
      <c r="A10743" s="2"/>
      <c r="C10743" s="2" t="str">
        <v>0</v>
      </c>
      <c r="F10743" s="2" t="str">
        <v>0</v>
      </c>
      <c r="I10743" s="3" t="str">
        <f ca="1">IFERROR(__xludf.DUMMYFUNCTION("""COMPUTED_VALUE"""),"Trần Quỳnh Anh")</f>
        <v>Trần Quỳnh Anh</v>
      </c>
      <c r="J10743" s="2" t="str">
        <f ca="1">IFERROR(__xludf.DUMMYFUNCTION("""COMPUTED_VALUE"""),"0904691985")</f>
        <v>0904691985</v>
      </c>
      <c r="K10743" s="2"/>
    </row>
    <row r="10744" spans="1:11" ht="12.45">
      <c r="A10744" s="2"/>
      <c r="C10744" s="2" t="str">
        <v>0</v>
      </c>
      <c r="F10744" s="2" t="str">
        <v>0</v>
      </c>
      <c r="I10744" s="3" t="str">
        <f ca="1">IFERROR(__xludf.DUMMYFUNCTION("""COMPUTED_VALUE"""),"Lương Thị Quỳnh Chi")</f>
        <v>Lương Thị Quỳnh Chi</v>
      </c>
      <c r="J10744" s="2" t="str">
        <f ca="1">IFERROR(__xludf.DUMMYFUNCTION("""COMPUTED_VALUE"""),"0383650323")</f>
        <v>0383650323</v>
      </c>
      <c r="K10744" s="2"/>
    </row>
    <row r="10745" spans="1:11" ht="12.45">
      <c r="A10745" s="2"/>
      <c r="C10745" s="2" t="str">
        <v>0</v>
      </c>
      <c r="F10745" s="2" t="str">
        <v>0</v>
      </c>
      <c r="I10745" s="3" t="str">
        <f ca="1">IFERROR(__xludf.DUMMYFUNCTION("""COMPUTED_VALUE"""),"Huỳnh Thanh Anh ")</f>
        <v xml:space="preserve">Huỳnh Thanh Anh </v>
      </c>
      <c r="J10745" s="3" t="str">
        <f ca="1">IFERROR(__xludf.DUMMYFUNCTION("""COMPUTED_VALUE"""),"0942003341")</f>
        <v>0942003341</v>
      </c>
      <c r="K10745" s="2"/>
    </row>
    <row r="10746" spans="1:11" ht="12.45">
      <c r="A10746" s="2"/>
      <c r="C10746" s="2" t="str">
        <v>0</v>
      </c>
      <c r="F10746" s="2" t="str">
        <v>0</v>
      </c>
      <c r="I10746" s="3" t="str">
        <f ca="1">IFERROR(__xludf.DUMMYFUNCTION("""COMPUTED_VALUE"""),"trần thị khánh linh")</f>
        <v>trần thị khánh linh</v>
      </c>
      <c r="J10746" s="2" t="str">
        <f ca="1">IFERROR(__xludf.DUMMYFUNCTION("""COMPUTED_VALUE"""),"0898632827")</f>
        <v>0898632827</v>
      </c>
      <c r="K10746" s="2"/>
    </row>
    <row r="10747" spans="1:11" ht="12.45">
      <c r="A10747" s="2"/>
      <c r="C10747" s="2" t="str">
        <v>0</v>
      </c>
      <c r="F10747" s="2" t="str">
        <v>0</v>
      </c>
      <c r="I10747" s="3" t="str">
        <f ca="1">IFERROR(__xludf.DUMMYFUNCTION("""COMPUTED_VALUE"""),"Nguyễn Thị Quỳnh Trang")</f>
        <v>Nguyễn Thị Quỳnh Trang</v>
      </c>
      <c r="J10747" s="2" t="str">
        <f ca="1">IFERROR(__xludf.DUMMYFUNCTION("""COMPUTED_VALUE"""),"0853619016")</f>
        <v>0853619016</v>
      </c>
      <c r="K10747" s="2"/>
    </row>
    <row r="10748" spans="1:11" ht="12.45">
      <c r="A10748" s="2"/>
      <c r="C10748" s="2" t="str">
        <v>0</v>
      </c>
      <c r="F10748" s="2" t="str">
        <v>0</v>
      </c>
      <c r="I10748" s="3" t="str">
        <f ca="1">IFERROR(__xludf.DUMMYFUNCTION("""COMPUTED_VALUE"""),"Nguyễn Ngọc Minh Thư")</f>
        <v>Nguyễn Ngọc Minh Thư</v>
      </c>
      <c r="J10748" s="2" t="str">
        <f ca="1">IFERROR(__xludf.DUMMYFUNCTION("""COMPUTED_VALUE"""),"0918441864")</f>
        <v>0918441864</v>
      </c>
      <c r="K10748" s="2"/>
    </row>
    <row r="10749" spans="1:11" ht="12.45">
      <c r="A10749" s="2"/>
      <c r="C10749" s="2" t="str">
        <v>0</v>
      </c>
      <c r="F10749" s="2" t="str">
        <v>0</v>
      </c>
      <c r="I10749" s="3" t="str">
        <f ca="1">IFERROR(__xludf.DUMMYFUNCTION("""COMPUTED_VALUE"""),"Nguyễn Hoàng Nhã Uyên")</f>
        <v>Nguyễn Hoàng Nhã Uyên</v>
      </c>
      <c r="J10749" s="2" t="str">
        <f ca="1">IFERROR(__xludf.DUMMYFUNCTION("""COMPUTED_VALUE"""),"0944951505")</f>
        <v>0944951505</v>
      </c>
      <c r="K10749" s="2"/>
    </row>
    <row r="10750" spans="1:11" ht="12.45">
      <c r="A10750" s="2"/>
      <c r="C10750" s="2" t="str">
        <v>0</v>
      </c>
      <c r="F10750" s="2" t="str">
        <v>0</v>
      </c>
      <c r="I10750" s="3" t="str">
        <f ca="1">IFERROR(__xludf.DUMMYFUNCTION("""COMPUTED_VALUE"""),"Vũ Thuỳ Trang")</f>
        <v>Vũ Thuỳ Trang</v>
      </c>
      <c r="J10750" s="2" t="str">
        <f ca="1">IFERROR(__xludf.DUMMYFUNCTION("""COMPUTED_VALUE"""),"0949893936")</f>
        <v>0949893936</v>
      </c>
      <c r="K10750" s="2"/>
    </row>
    <row r="10751" spans="1:11" ht="12.45">
      <c r="A10751" s="2"/>
      <c r="C10751" s="2" t="str">
        <v>0</v>
      </c>
      <c r="F10751" s="2" t="str">
        <v>0</v>
      </c>
      <c r="I10751" s="3" t="str">
        <f ca="1">IFERROR(__xludf.DUMMYFUNCTION("""COMPUTED_VALUE"""),"Hoàng Bảo Nhi")</f>
        <v>Hoàng Bảo Nhi</v>
      </c>
      <c r="J10751" s="2" t="str">
        <f ca="1">IFERROR(__xludf.DUMMYFUNCTION("""COMPUTED_VALUE"""),"0877802007")</f>
        <v>0877802007</v>
      </c>
      <c r="K10751" s="2"/>
    </row>
    <row r="10752" spans="1:11" ht="12.45">
      <c r="A10752" s="2"/>
      <c r="C10752" s="2" t="str">
        <v>0</v>
      </c>
      <c r="F10752" s="2" t="str">
        <v>0</v>
      </c>
      <c r="I10752" s="3" t="str">
        <f ca="1">IFERROR(__xludf.DUMMYFUNCTION("""COMPUTED_VALUE"""),"Ngô Ngọc Anh")</f>
        <v>Ngô Ngọc Anh</v>
      </c>
      <c r="J10752" s="2" t="str">
        <f ca="1">IFERROR(__xludf.DUMMYFUNCTION("""COMPUTED_VALUE"""),"0396144594")</f>
        <v>0396144594</v>
      </c>
      <c r="K10752" s="2"/>
    </row>
    <row r="10753" spans="1:11" ht="12.45">
      <c r="A10753" s="2"/>
      <c r="C10753" s="2" t="str">
        <v>0</v>
      </c>
      <c r="F10753" s="2" t="str">
        <v>0</v>
      </c>
      <c r="I10753" s="3" t="str">
        <f ca="1">IFERROR(__xludf.DUMMYFUNCTION("""COMPUTED_VALUE"""),"Trần Nguyễn Minh Anh")</f>
        <v>Trần Nguyễn Minh Anh</v>
      </c>
      <c r="J10753" s="2" t="str">
        <f ca="1">IFERROR(__xludf.DUMMYFUNCTION("""COMPUTED_VALUE"""),"0942930891")</f>
        <v>0942930891</v>
      </c>
      <c r="K10753" s="2"/>
    </row>
    <row r="10754" spans="1:11" ht="12.45">
      <c r="A10754" s="2"/>
      <c r="C10754" s="2" t="str">
        <v>0</v>
      </c>
      <c r="F10754" s="2" t="str">
        <v>0</v>
      </c>
      <c r="I10754" s="3" t="str">
        <f ca="1">IFERROR(__xludf.DUMMYFUNCTION("""COMPUTED_VALUE"""),"Nguyễn Vũ Linh ")</f>
        <v xml:space="preserve">Nguyễn Vũ Linh </v>
      </c>
      <c r="J10754" s="2" t="str">
        <f ca="1">IFERROR(__xludf.DUMMYFUNCTION("""COMPUTED_VALUE"""),"0375925122")</f>
        <v>0375925122</v>
      </c>
      <c r="K10754" s="2"/>
    </row>
    <row r="10755" spans="1:11" ht="12.45">
      <c r="A10755" s="2"/>
      <c r="C10755" s="2" t="str">
        <v>0</v>
      </c>
      <c r="F10755" s="2" t="str">
        <v>0</v>
      </c>
      <c r="I10755" s="3" t="str">
        <f ca="1">IFERROR(__xludf.DUMMYFUNCTION("""COMPUTED_VALUE"""),"Nguyễn Đình Thiện ")</f>
        <v xml:space="preserve">Nguyễn Đình Thiện </v>
      </c>
      <c r="J10755" s="2" t="str">
        <f ca="1">IFERROR(__xludf.DUMMYFUNCTION("""COMPUTED_VALUE"""),"0338274719")</f>
        <v>0338274719</v>
      </c>
      <c r="K10755" s="2"/>
    </row>
    <row r="10756" spans="1:11" ht="12.45">
      <c r="A10756" s="2"/>
      <c r="C10756" s="2" t="str">
        <v>0</v>
      </c>
      <c r="F10756" s="2" t="str">
        <v>0</v>
      </c>
      <c r="I10756" s="3" t="str">
        <f ca="1">IFERROR(__xludf.DUMMYFUNCTION("""COMPUTED_VALUE"""),"Lê Mai Linn")</f>
        <v>Lê Mai Linn</v>
      </c>
      <c r="J10756" s="2" t="str">
        <f ca="1">IFERROR(__xludf.DUMMYFUNCTION("""COMPUTED_VALUE"""),"0889286515")</f>
        <v>0889286515</v>
      </c>
      <c r="K10756" s="2"/>
    </row>
    <row r="10757" spans="1:11" ht="12.45">
      <c r="A10757" s="2"/>
      <c r="C10757" s="2" t="str">
        <v>0</v>
      </c>
      <c r="F10757" s="2" t="str">
        <v>0</v>
      </c>
      <c r="I10757" s="3" t="str">
        <f ca="1">IFERROR(__xludf.DUMMYFUNCTION("""COMPUTED_VALUE"""),"Đinh Thị Quỳnh Anh")</f>
        <v>Đinh Thị Quỳnh Anh</v>
      </c>
      <c r="J10757" s="2" t="str">
        <f ca="1">IFERROR(__xludf.DUMMYFUNCTION("""COMPUTED_VALUE"""),"0373434878")</f>
        <v>0373434878</v>
      </c>
      <c r="K10757" s="2"/>
    </row>
    <row r="10758" spans="1:11" ht="12.45">
      <c r="A10758" s="2"/>
      <c r="C10758" s="2" t="str">
        <v>0</v>
      </c>
      <c r="F10758" s="2" t="str">
        <v>0</v>
      </c>
      <c r="I10758" s="3" t="str">
        <f ca="1">IFERROR(__xludf.DUMMYFUNCTION("""COMPUTED_VALUE"""),"Nguyễn Thị Hà Trang")</f>
        <v>Nguyễn Thị Hà Trang</v>
      </c>
      <c r="J10758" s="2" t="str">
        <f ca="1">IFERROR(__xludf.DUMMYFUNCTION("""COMPUTED_VALUE"""),"0346909824")</f>
        <v>0346909824</v>
      </c>
      <c r="K10758" s="2"/>
    </row>
    <row r="10759" spans="1:11" ht="12.45">
      <c r="A10759" s="2"/>
      <c r="C10759" s="2" t="str">
        <v>0</v>
      </c>
      <c r="F10759" s="2" t="str">
        <v>0</v>
      </c>
      <c r="I10759" s="3" t="str">
        <f ca="1">IFERROR(__xludf.DUMMYFUNCTION("""COMPUTED_VALUE"""),"Nguyễn Lê Thảo Vân ")</f>
        <v xml:space="preserve">Nguyễn Lê Thảo Vân </v>
      </c>
      <c r="J10759" s="2" t="str">
        <f ca="1">IFERROR(__xludf.DUMMYFUNCTION("""COMPUTED_VALUE"""),"0764318398")</f>
        <v>0764318398</v>
      </c>
      <c r="K10759" s="2"/>
    </row>
    <row r="10760" spans="1:11" ht="12.45">
      <c r="A10760" s="2"/>
      <c r="C10760" s="2" t="str">
        <v>0</v>
      </c>
      <c r="F10760" s="2" t="str">
        <v>0</v>
      </c>
      <c r="I10760" s="3" t="str">
        <f ca="1">IFERROR(__xludf.DUMMYFUNCTION("""COMPUTED_VALUE"""),"Vàng A Dao")</f>
        <v>Vàng A Dao</v>
      </c>
      <c r="J10760" s="2" t="str">
        <f ca="1">IFERROR(__xludf.DUMMYFUNCTION("""COMPUTED_VALUE"""),"0848134327")</f>
        <v>0848134327</v>
      </c>
      <c r="K10760" s="2"/>
    </row>
    <row r="10761" spans="1:11" ht="12.45">
      <c r="A10761" s="2"/>
      <c r="C10761" s="2" t="str">
        <v>0</v>
      </c>
      <c r="F10761" s="2" t="str">
        <v>0</v>
      </c>
      <c r="I10761" s="3" t="str">
        <f ca="1">IFERROR(__xludf.DUMMYFUNCTION("""COMPUTED_VALUE"""),"Phan Đăng Duy")</f>
        <v>Phan Đăng Duy</v>
      </c>
      <c r="J10761" s="2" t="str">
        <f ca="1">IFERROR(__xludf.DUMMYFUNCTION("""COMPUTED_VALUE"""),"0347415481")</f>
        <v>0347415481</v>
      </c>
      <c r="K10761" s="2"/>
    </row>
    <row r="10762" spans="1:11" ht="12.45">
      <c r="A10762" s="2"/>
      <c r="C10762" s="2" t="str">
        <v>0</v>
      </c>
      <c r="F10762" s="2" t="str">
        <v>0</v>
      </c>
      <c r="I10762" s="3" t="str">
        <f ca="1">IFERROR(__xludf.DUMMYFUNCTION("""COMPUTED_VALUE"""),"Vũ Trọng Tấn")</f>
        <v>Vũ Trọng Tấn</v>
      </c>
      <c r="J10762" s="2" t="str">
        <f ca="1">IFERROR(__xludf.DUMMYFUNCTION("""COMPUTED_VALUE"""),"0364268690")</f>
        <v>0364268690</v>
      </c>
      <c r="K10762" s="2"/>
    </row>
    <row r="10763" spans="1:11" ht="12.45">
      <c r="A10763" s="2"/>
      <c r="C10763" s="2" t="str">
        <v>0</v>
      </c>
      <c r="F10763" s="2" t="str">
        <v>0</v>
      </c>
      <c r="I10763" s="3" t="str">
        <f ca="1">IFERROR(__xludf.DUMMYFUNCTION("""COMPUTED_VALUE"""),"Nguyễn Bích Tuyền")</f>
        <v>Nguyễn Bích Tuyền</v>
      </c>
      <c r="J10763" s="2" t="str">
        <f ca="1">IFERROR(__xludf.DUMMYFUNCTION("""COMPUTED_VALUE"""),"0358740765")</f>
        <v>0358740765</v>
      </c>
      <c r="K10763" s="2"/>
    </row>
    <row r="10764" spans="1:11" ht="12.45">
      <c r="A10764" s="2"/>
      <c r="C10764" s="2" t="str">
        <v>0</v>
      </c>
      <c r="F10764" s="2" t="str">
        <v>0</v>
      </c>
      <c r="I10764" s="3" t="str">
        <f ca="1">IFERROR(__xludf.DUMMYFUNCTION("""COMPUTED_VALUE"""),"Nguyễn Bùi Khánh Ly")</f>
        <v>Nguyễn Bùi Khánh Ly</v>
      </c>
      <c r="J10764" s="2" t="str">
        <f ca="1">IFERROR(__xludf.DUMMYFUNCTION("""COMPUTED_VALUE"""),"0869392384")</f>
        <v>0869392384</v>
      </c>
      <c r="K10764" s="2"/>
    </row>
    <row r="10765" spans="1:11" ht="12.45">
      <c r="A10765" s="2"/>
      <c r="C10765" s="2" t="str">
        <v>0</v>
      </c>
      <c r="F10765" s="2" t="str">
        <v>0</v>
      </c>
      <c r="I10765" s="3" t="str">
        <f ca="1">IFERROR(__xludf.DUMMYFUNCTION("""COMPUTED_VALUE"""),"Hoàng Thị Lan Hương ")</f>
        <v xml:space="preserve">Hoàng Thị Lan Hương </v>
      </c>
      <c r="J10765" s="2" t="str">
        <f ca="1">IFERROR(__xludf.DUMMYFUNCTION("""COMPUTED_VALUE"""),"0975965934")</f>
        <v>0975965934</v>
      </c>
      <c r="K10765" s="2"/>
    </row>
    <row r="10766" spans="1:11" ht="12.45">
      <c r="A10766" s="2"/>
      <c r="C10766" s="2" t="str">
        <v>0</v>
      </c>
      <c r="F10766" s="2" t="str">
        <v>0</v>
      </c>
      <c r="I10766" s="3" t="str">
        <f ca="1">IFERROR(__xludf.DUMMYFUNCTION("""COMPUTED_VALUE"""),"Trần Lê Thuý An")</f>
        <v>Trần Lê Thuý An</v>
      </c>
      <c r="J10766" s="2" t="str">
        <f ca="1">IFERROR(__xludf.DUMMYFUNCTION("""COMPUTED_VALUE"""),"0836694345")</f>
        <v>0836694345</v>
      </c>
      <c r="K10766" s="2"/>
    </row>
    <row r="10767" spans="1:11" ht="12.45">
      <c r="A10767" s="2"/>
      <c r="C10767" s="2" t="str">
        <v>0</v>
      </c>
      <c r="F10767" s="2" t="str">
        <v>0</v>
      </c>
      <c r="I10767" s="3" t="str">
        <f ca="1">IFERROR(__xludf.DUMMYFUNCTION("""COMPUTED_VALUE"""),"Nguyễn hữu thắng")</f>
        <v>Nguyễn hữu thắng</v>
      </c>
      <c r="J10767" s="2" t="str">
        <f ca="1">IFERROR(__xludf.DUMMYFUNCTION("""COMPUTED_VALUE"""),"0973429585")</f>
        <v>0973429585</v>
      </c>
      <c r="K10767" s="2"/>
    </row>
    <row r="10768" spans="1:11" ht="12.45">
      <c r="A10768" s="2"/>
      <c r="C10768" s="2" t="str">
        <v>0</v>
      </c>
      <c r="F10768" s="2" t="str">
        <v>0</v>
      </c>
      <c r="I10768" s="3" t="str">
        <f ca="1">IFERROR(__xludf.DUMMYFUNCTION("""COMPUTED_VALUE"""),"Võ Thị Thảo Nguyên")</f>
        <v>Võ Thị Thảo Nguyên</v>
      </c>
      <c r="J10768" s="2" t="str">
        <f ca="1">IFERROR(__xludf.DUMMYFUNCTION("""COMPUTED_VALUE"""),"0916511699")</f>
        <v>0916511699</v>
      </c>
      <c r="K10768" s="2"/>
    </row>
    <row r="10769" spans="1:11" ht="12.45">
      <c r="A10769" s="2"/>
      <c r="C10769" s="2" t="str">
        <v>0</v>
      </c>
      <c r="F10769" s="2" t="str">
        <v>0</v>
      </c>
      <c r="I10769" s="3" t="str">
        <f ca="1">IFERROR(__xludf.DUMMYFUNCTION("""COMPUTED_VALUE"""),"Nguyễn Thị Hà Nguyên ")</f>
        <v xml:space="preserve">Nguyễn Thị Hà Nguyên </v>
      </c>
      <c r="J10769" s="2" t="str">
        <f ca="1">IFERROR(__xludf.DUMMYFUNCTION("""COMPUTED_VALUE"""),"0372800673")</f>
        <v>0372800673</v>
      </c>
      <c r="K10769" s="2"/>
    </row>
    <row r="10770" spans="1:11" ht="12.45">
      <c r="A10770" s="2"/>
      <c r="C10770" s="2" t="str">
        <v>0</v>
      </c>
      <c r="F10770" s="2" t="str">
        <v>0</v>
      </c>
      <c r="I10770" s="3" t="str">
        <f ca="1">IFERROR(__xludf.DUMMYFUNCTION("""COMPUTED_VALUE"""),"Phạm Trần Dạ Thảo")</f>
        <v>Phạm Trần Dạ Thảo</v>
      </c>
      <c r="J10770" s="2" t="str">
        <f ca="1">IFERROR(__xludf.DUMMYFUNCTION("""COMPUTED_VALUE"""),"0944465299")</f>
        <v>0944465299</v>
      </c>
      <c r="K10770" s="2"/>
    </row>
    <row r="10771" spans="1:11" ht="12.45">
      <c r="A10771" s="2"/>
      <c r="C10771" s="2" t="str">
        <v>0</v>
      </c>
      <c r="F10771" s="2" t="str">
        <v>0</v>
      </c>
      <c r="I10771" s="3" t="str">
        <f ca="1">IFERROR(__xludf.DUMMYFUNCTION("""COMPUTED_VALUE"""),"Nguyễn Vân Giang")</f>
        <v>Nguyễn Vân Giang</v>
      </c>
      <c r="J10771" s="2" t="str">
        <f ca="1">IFERROR(__xludf.DUMMYFUNCTION("""COMPUTED_VALUE"""),"0393412069")</f>
        <v>0393412069</v>
      </c>
      <c r="K10771" s="2"/>
    </row>
    <row r="10772" spans="1:11" ht="12.45">
      <c r="A10772" s="2"/>
      <c r="C10772" s="2" t="str">
        <v>0</v>
      </c>
      <c r="F10772" s="2" t="str">
        <v>0</v>
      </c>
      <c r="I10772" s="3" t="str">
        <f ca="1">IFERROR(__xludf.DUMMYFUNCTION("""COMPUTED_VALUE"""),"Nguyễn Duy Cường")</f>
        <v>Nguyễn Duy Cường</v>
      </c>
      <c r="J10772" s="2" t="str">
        <f ca="1">IFERROR(__xludf.DUMMYFUNCTION("""COMPUTED_VALUE"""),"0889154796")</f>
        <v>0889154796</v>
      </c>
      <c r="K10772" s="2"/>
    </row>
    <row r="10773" spans="1:11" ht="12.45">
      <c r="A10773" s="2"/>
      <c r="C10773" s="2" t="str">
        <v>0</v>
      </c>
      <c r="F10773" s="2" t="str">
        <v>0</v>
      </c>
      <c r="I10773" s="3" t="str">
        <f ca="1">IFERROR(__xludf.DUMMYFUNCTION("""COMPUTED_VALUE"""),"Lê Thị Huyền Thương ")</f>
        <v xml:space="preserve">Lê Thị Huyền Thương </v>
      </c>
      <c r="J10773" s="2" t="str">
        <f ca="1">IFERROR(__xludf.DUMMYFUNCTION("""COMPUTED_VALUE"""),"0987304735")</f>
        <v>0987304735</v>
      </c>
      <c r="K10773" s="2"/>
    </row>
    <row r="10774" spans="1:11" ht="12.45">
      <c r="A10774" s="2"/>
      <c r="C10774" s="2" t="str">
        <v>0</v>
      </c>
      <c r="F10774" s="2" t="str">
        <v>0</v>
      </c>
      <c r="I10774" s="3" t="str">
        <f ca="1">IFERROR(__xludf.DUMMYFUNCTION("""COMPUTED_VALUE"""),"Phan Khánh Linh")</f>
        <v>Phan Khánh Linh</v>
      </c>
      <c r="J10774" s="2" t="str">
        <f ca="1">IFERROR(__xludf.DUMMYFUNCTION("""COMPUTED_VALUE"""),"0396638808")</f>
        <v>0396638808</v>
      </c>
      <c r="K10774" s="2"/>
    </row>
    <row r="10775" spans="1:11" ht="12.45">
      <c r="A10775" s="2"/>
      <c r="C10775" s="2" t="str">
        <v>0</v>
      </c>
      <c r="F10775" s="2" t="str">
        <v>0</v>
      </c>
      <c r="I10775" s="3" t="str">
        <f ca="1">IFERROR(__xludf.DUMMYFUNCTION("""COMPUTED_VALUE"""),"Lê Cẩm Anh")</f>
        <v>Lê Cẩm Anh</v>
      </c>
      <c r="J10775" s="2" t="str">
        <f ca="1">IFERROR(__xludf.DUMMYFUNCTION("""COMPUTED_VALUE"""),"0922383968")</f>
        <v>0922383968</v>
      </c>
      <c r="K10775" s="2"/>
    </row>
    <row r="10776" spans="1:11" ht="12.45">
      <c r="A10776" s="2"/>
      <c r="C10776" s="2" t="str">
        <v>0</v>
      </c>
      <c r="F10776" s="2" t="str">
        <v>0</v>
      </c>
      <c r="I10776" s="3" t="str">
        <f ca="1">IFERROR(__xludf.DUMMYFUNCTION("""COMPUTED_VALUE"""),"Đỗ Trần Nhật Anh ")</f>
        <v xml:space="preserve">Đỗ Trần Nhật Anh </v>
      </c>
      <c r="J10776" s="2" t="str">
        <f ca="1">IFERROR(__xludf.DUMMYFUNCTION("""COMPUTED_VALUE"""),"0947652566")</f>
        <v>0947652566</v>
      </c>
      <c r="K10776" s="2"/>
    </row>
    <row r="10777" spans="1:11" ht="12.45">
      <c r="A10777" s="2"/>
      <c r="C10777" s="2" t="str">
        <v>0</v>
      </c>
      <c r="F10777" s="2" t="str">
        <v>0</v>
      </c>
      <c r="I10777" s="3" t="str">
        <f ca="1">IFERROR(__xludf.DUMMYFUNCTION("""COMPUTED_VALUE"""),"Lương Nguyễn Minh Anh")</f>
        <v>Lương Nguyễn Minh Anh</v>
      </c>
      <c r="J10777" s="2" t="str">
        <f ca="1">IFERROR(__xludf.DUMMYFUNCTION("""COMPUTED_VALUE"""),"0937398273")</f>
        <v>0937398273</v>
      </c>
      <c r="K10777" s="2"/>
    </row>
    <row r="10778" spans="1:11" ht="12.45">
      <c r="A10778" s="2"/>
      <c r="C10778" s="2" t="str">
        <v>0</v>
      </c>
      <c r="F10778" s="2" t="str">
        <v>0</v>
      </c>
      <c r="I10778" s="3" t="str">
        <f ca="1">IFERROR(__xludf.DUMMYFUNCTION("""COMPUTED_VALUE"""),"Phạm Ánh Hồng")</f>
        <v>Phạm Ánh Hồng</v>
      </c>
      <c r="J10778" s="2" t="str">
        <f ca="1">IFERROR(__xludf.DUMMYFUNCTION("""COMPUTED_VALUE"""),"0973272021")</f>
        <v>0973272021</v>
      </c>
      <c r="K10778" s="2"/>
    </row>
    <row r="10779" spans="1:11" ht="12.45">
      <c r="A10779" s="2"/>
      <c r="C10779" s="2" t="str">
        <v>0</v>
      </c>
      <c r="F10779" s="2" t="str">
        <v>0</v>
      </c>
      <c r="I10779" s="3" t="str">
        <f ca="1">IFERROR(__xludf.DUMMYFUNCTION("""COMPUTED_VALUE"""),"Nguyễn Thị Mai Ca")</f>
        <v>Nguyễn Thị Mai Ca</v>
      </c>
      <c r="J10779" s="2" t="str">
        <f ca="1">IFERROR(__xludf.DUMMYFUNCTION("""COMPUTED_VALUE"""),"0563188988")</f>
        <v>0563188988</v>
      </c>
      <c r="K10779" s="2"/>
    </row>
    <row r="10780" spans="1:11" ht="12.45">
      <c r="A10780" s="2"/>
      <c r="C10780" s="2" t="str">
        <v>0</v>
      </c>
      <c r="F10780" s="2" t="str">
        <v>0</v>
      </c>
      <c r="I10780" s="3" t="str">
        <f ca="1">IFERROR(__xludf.DUMMYFUNCTION("""COMPUTED_VALUE"""),"Nguyễn Kim Ngân")</f>
        <v>Nguyễn Kim Ngân</v>
      </c>
      <c r="J10780" s="2" t="str">
        <f ca="1">IFERROR(__xludf.DUMMYFUNCTION("""COMPUTED_VALUE"""),"0393488532")</f>
        <v>0393488532</v>
      </c>
      <c r="K10780" s="2"/>
    </row>
    <row r="10781" spans="1:11" ht="12.45">
      <c r="A10781" s="2"/>
      <c r="C10781" s="2" t="str">
        <v>0</v>
      </c>
      <c r="F10781" s="2" t="str">
        <v>0</v>
      </c>
      <c r="I10781" s="3" t="str">
        <f ca="1">IFERROR(__xludf.DUMMYFUNCTION("""COMPUTED_VALUE"""),"Nguyễn Vũ Hà Thi")</f>
        <v>Nguyễn Vũ Hà Thi</v>
      </c>
      <c r="J10781" s="2" t="str">
        <f ca="1">IFERROR(__xludf.DUMMYFUNCTION("""COMPUTED_VALUE"""),"0394468059")</f>
        <v>0394468059</v>
      </c>
      <c r="K10781" s="2"/>
    </row>
    <row r="10782" spans="1:11" ht="12.45">
      <c r="A10782" s="2"/>
      <c r="C10782" s="2" t="str">
        <v>0</v>
      </c>
      <c r="F10782" s="2" t="str">
        <v>0</v>
      </c>
      <c r="I10782" s="3" t="str">
        <f ca="1">IFERROR(__xludf.DUMMYFUNCTION("""COMPUTED_VALUE"""),"Phạm Hoàng Nam Khánh ")</f>
        <v xml:space="preserve">Phạm Hoàng Nam Khánh </v>
      </c>
      <c r="J10782" s="2" t="str">
        <f ca="1">IFERROR(__xludf.DUMMYFUNCTION("""COMPUTED_VALUE"""),"0981687790")</f>
        <v>0981687790</v>
      </c>
      <c r="K10782" s="2"/>
    </row>
    <row r="10783" spans="1:11" ht="12.45">
      <c r="A10783" s="2"/>
      <c r="C10783" s="2" t="str">
        <v>0</v>
      </c>
      <c r="F10783" s="2" t="str">
        <v>0</v>
      </c>
      <c r="I10783" s="3" t="str">
        <f ca="1">IFERROR(__xludf.DUMMYFUNCTION("""COMPUTED_VALUE"""),"Hằng Vũ")</f>
        <v>Hằng Vũ</v>
      </c>
      <c r="J10783" s="2" t="str">
        <f ca="1">IFERROR(__xludf.DUMMYFUNCTION("""COMPUTED_VALUE"""),"0345442216")</f>
        <v>0345442216</v>
      </c>
      <c r="K10783" s="2"/>
    </row>
    <row r="10784" spans="1:11" ht="12.45">
      <c r="A10784" s="2"/>
      <c r="C10784" s="2" t="str">
        <v>0</v>
      </c>
      <c r="F10784" s="2" t="str">
        <v>0</v>
      </c>
      <c r="I10784" s="3" t="str">
        <f ca="1">IFERROR(__xludf.DUMMYFUNCTION("""COMPUTED_VALUE"""),"Đỗ Việt Hưng")</f>
        <v>Đỗ Việt Hưng</v>
      </c>
      <c r="J10784" s="2" t="str">
        <f ca="1">IFERROR(__xludf.DUMMYFUNCTION("""COMPUTED_VALUE"""),"0906283113")</f>
        <v>0906283113</v>
      </c>
      <c r="K10784" s="2"/>
    </row>
    <row r="10785" spans="1:11" ht="12.45">
      <c r="A10785" s="2"/>
      <c r="C10785" s="2" t="str">
        <v>0</v>
      </c>
      <c r="F10785" s="2" t="str">
        <v>0</v>
      </c>
      <c r="I10785" s="3" t="str">
        <f ca="1">IFERROR(__xludf.DUMMYFUNCTION("""COMPUTED_VALUE"""),"Vòng Thảo Nguyên")</f>
        <v>Vòng Thảo Nguyên</v>
      </c>
      <c r="J10785" s="2" t="str">
        <f ca="1">IFERROR(__xludf.DUMMYFUNCTION("""COMPUTED_VALUE"""),"0949770098")</f>
        <v>0949770098</v>
      </c>
      <c r="K10785" s="2"/>
    </row>
    <row r="10786" spans="1:11" ht="12.45">
      <c r="A10786" s="2"/>
      <c r="C10786" s="2" t="str">
        <v>0</v>
      </c>
      <c r="F10786" s="2" t="str">
        <v>0</v>
      </c>
      <c r="I10786" s="3" t="str">
        <f ca="1">IFERROR(__xludf.DUMMYFUNCTION("""COMPUTED_VALUE"""),"Dương Mạnh Thế ")</f>
        <v xml:space="preserve">Dương Mạnh Thế </v>
      </c>
      <c r="J10786" s="2" t="str">
        <f ca="1">IFERROR(__xludf.DUMMYFUNCTION("""COMPUTED_VALUE"""),"0818830131")</f>
        <v>0818830131</v>
      </c>
      <c r="K10786" s="2"/>
    </row>
    <row r="10787" spans="1:11" ht="12.45">
      <c r="A10787" s="2"/>
      <c r="C10787" s="2" t="str">
        <v>0</v>
      </c>
      <c r="F10787" s="2" t="str">
        <v>0</v>
      </c>
      <c r="I10787" s="3" t="str">
        <f ca="1">IFERROR(__xludf.DUMMYFUNCTION("""COMPUTED_VALUE"""),"Trần Ngọc anh thư ")</f>
        <v xml:space="preserve">Trần Ngọc anh thư </v>
      </c>
      <c r="J10787" s="2" t="str">
        <f ca="1">IFERROR(__xludf.DUMMYFUNCTION("""COMPUTED_VALUE"""),"0969956746")</f>
        <v>0969956746</v>
      </c>
      <c r="K10787" s="2"/>
    </row>
    <row r="10788" spans="1:11" ht="12.45">
      <c r="A10788" s="2"/>
      <c r="C10788" s="2" t="str">
        <v>0</v>
      </c>
      <c r="F10788" s="2" t="str">
        <v>0</v>
      </c>
      <c r="I10788" s="3" t="str">
        <f ca="1">IFERROR(__xludf.DUMMYFUNCTION("""COMPUTED_VALUE"""),"Trần Phương Thúy")</f>
        <v>Trần Phương Thúy</v>
      </c>
      <c r="J10788" s="2" t="str">
        <f ca="1">IFERROR(__xludf.DUMMYFUNCTION("""COMPUTED_VALUE"""),"0848365450")</f>
        <v>0848365450</v>
      </c>
      <c r="K10788" s="2"/>
    </row>
    <row r="10789" spans="1:11" ht="12.45">
      <c r="A10789" s="2"/>
      <c r="C10789" s="2" t="str">
        <v>0</v>
      </c>
      <c r="F10789" s="2" t="str">
        <v>0</v>
      </c>
      <c r="I10789" s="3" t="str">
        <f ca="1">IFERROR(__xludf.DUMMYFUNCTION("""COMPUTED_VALUE"""),"Hà Phương Linh ")</f>
        <v xml:space="preserve">Hà Phương Linh </v>
      </c>
      <c r="J10789" s="2" t="str">
        <f ca="1">IFERROR(__xludf.DUMMYFUNCTION("""COMPUTED_VALUE"""),"0334238280")</f>
        <v>0334238280</v>
      </c>
      <c r="K10789" s="2"/>
    </row>
    <row r="10790" spans="1:11" ht="12.45">
      <c r="A10790" s="2"/>
      <c r="C10790" s="2" t="str">
        <v>0</v>
      </c>
      <c r="F10790" s="2" t="str">
        <v>0</v>
      </c>
      <c r="I10790" s="3" t="str">
        <f ca="1">IFERROR(__xludf.DUMMYFUNCTION("""COMPUTED_VALUE"""),"Nguyễn Ngọc Anh Thư")</f>
        <v>Nguyễn Ngọc Anh Thư</v>
      </c>
      <c r="J10790" s="2" t="str">
        <f ca="1">IFERROR(__xludf.DUMMYFUNCTION("""COMPUTED_VALUE"""),"0906404909")</f>
        <v>0906404909</v>
      </c>
      <c r="K10790" s="2"/>
    </row>
    <row r="10791" spans="1:11" ht="12.45">
      <c r="A10791" s="2"/>
      <c r="C10791" s="2" t="str">
        <v>0</v>
      </c>
      <c r="F10791" s="2" t="str">
        <v>0</v>
      </c>
      <c r="I10791" s="3" t="str">
        <f ca="1">IFERROR(__xludf.DUMMYFUNCTION("""COMPUTED_VALUE"""),"Nguyễn Hồng Anh")</f>
        <v>Nguyễn Hồng Anh</v>
      </c>
      <c r="J10791" s="2" t="str">
        <f ca="1">IFERROR(__xludf.DUMMYFUNCTION("""COMPUTED_VALUE"""),"0326176167")</f>
        <v>0326176167</v>
      </c>
      <c r="K10791" s="2"/>
    </row>
    <row r="10792" spans="1:11" ht="12.45">
      <c r="A10792" s="2"/>
      <c r="C10792" s="2" t="str">
        <v>0</v>
      </c>
      <c r="F10792" s="2" t="str">
        <v>0</v>
      </c>
      <c r="I10792" s="3" t="str">
        <f ca="1">IFERROR(__xludf.DUMMYFUNCTION("""COMPUTED_VALUE"""),"Lâm Bảo Vy")</f>
        <v>Lâm Bảo Vy</v>
      </c>
      <c r="J10792" s="2" t="str">
        <f ca="1">IFERROR(__xludf.DUMMYFUNCTION("""COMPUTED_VALUE"""),"0356900818")</f>
        <v>0356900818</v>
      </c>
      <c r="K10792" s="2"/>
    </row>
    <row r="10793" spans="1:11" ht="12.45">
      <c r="A10793" s="2"/>
      <c r="C10793" s="2" t="str">
        <v>0</v>
      </c>
      <c r="F10793" s="2" t="str">
        <v>0</v>
      </c>
      <c r="I10793" s="3" t="str">
        <f ca="1">IFERROR(__xludf.DUMMYFUNCTION("""COMPUTED_VALUE"""),"Nguyễn Thị Hương Giang ")</f>
        <v xml:space="preserve">Nguyễn Thị Hương Giang </v>
      </c>
      <c r="J10793" s="2" t="str">
        <f ca="1">IFERROR(__xludf.DUMMYFUNCTION("""COMPUTED_VALUE"""),"0362745617")</f>
        <v>0362745617</v>
      </c>
      <c r="K10793" s="2"/>
    </row>
    <row r="10794" spans="1:11" ht="12.45">
      <c r="A10794" s="2"/>
      <c r="C10794" s="2" t="str">
        <v>0</v>
      </c>
      <c r="F10794" s="2" t="str">
        <v>0</v>
      </c>
      <c r="I10794" s="3" t="str">
        <f ca="1">IFERROR(__xludf.DUMMYFUNCTION("""COMPUTED_VALUE"""),"Trần Nguyễn Bích Diệp")</f>
        <v>Trần Nguyễn Bích Diệp</v>
      </c>
      <c r="J10794" s="2" t="str">
        <f ca="1">IFERROR(__xludf.DUMMYFUNCTION("""COMPUTED_VALUE"""),"0965083107")</f>
        <v>0965083107</v>
      </c>
      <c r="K10794" s="2"/>
    </row>
    <row r="10795" spans="1:11" ht="12.45">
      <c r="A10795" s="2"/>
      <c r="C10795" s="2" t="str">
        <v>0</v>
      </c>
      <c r="F10795" s="2" t="str">
        <v>0</v>
      </c>
      <c r="I10795" s="3" t="str">
        <f ca="1">IFERROR(__xludf.DUMMYFUNCTION("""COMPUTED_VALUE"""),"Phạm Khánh Huyền ")</f>
        <v xml:space="preserve">Phạm Khánh Huyền </v>
      </c>
      <c r="J10795" s="2" t="str">
        <f ca="1">IFERROR(__xludf.DUMMYFUNCTION("""COMPUTED_VALUE"""),"0389123372")</f>
        <v>0389123372</v>
      </c>
      <c r="K10795" s="2"/>
    </row>
    <row r="10796" spans="1:11" ht="12.45">
      <c r="A10796" s="2"/>
      <c r="C10796" s="2" t="str">
        <v>0</v>
      </c>
      <c r="F10796" s="2" t="str">
        <v>0</v>
      </c>
      <c r="I10796" s="3" t="str">
        <f ca="1">IFERROR(__xludf.DUMMYFUNCTION("""COMPUTED_VALUE"""),"Nguyễn Thanh Hiền ")</f>
        <v xml:space="preserve">Nguyễn Thanh Hiền </v>
      </c>
      <c r="J10796" s="2" t="str">
        <f ca="1">IFERROR(__xludf.DUMMYFUNCTION("""COMPUTED_VALUE"""),"0393998707")</f>
        <v>0393998707</v>
      </c>
      <c r="K10796" s="2"/>
    </row>
    <row r="10797" spans="1:11" ht="12.45">
      <c r="A10797" s="2"/>
      <c r="C10797" s="2" t="str">
        <v>0</v>
      </c>
      <c r="F10797" s="2" t="str">
        <v>0</v>
      </c>
      <c r="I10797" s="3" t="str">
        <f ca="1">IFERROR(__xludf.DUMMYFUNCTION("""COMPUTED_VALUE"""),"Nguyễn Thị Phương Lan")</f>
        <v>Nguyễn Thị Phương Lan</v>
      </c>
      <c r="J10797" s="2" t="str">
        <f ca="1">IFERROR(__xludf.DUMMYFUNCTION("""COMPUTED_VALUE"""),"0869388163")</f>
        <v>0869388163</v>
      </c>
      <c r="K10797" s="2"/>
    </row>
    <row r="10798" spans="1:11" ht="12.45">
      <c r="A10798" s="2"/>
      <c r="C10798" s="2" t="str">
        <v>0</v>
      </c>
      <c r="F10798" s="2" t="str">
        <v>0</v>
      </c>
      <c r="I10798" s="3" t="str">
        <f ca="1">IFERROR(__xludf.DUMMYFUNCTION("""COMPUTED_VALUE"""),"Trần Minh Ánh")</f>
        <v>Trần Minh Ánh</v>
      </c>
      <c r="J10798" s="2" t="str">
        <f ca="1">IFERROR(__xludf.DUMMYFUNCTION("""COMPUTED_VALUE"""),"0328649031")</f>
        <v>0328649031</v>
      </c>
      <c r="K10798" s="2"/>
    </row>
    <row r="10799" spans="1:11" ht="12.45">
      <c r="A10799" s="2"/>
      <c r="C10799" s="2" t="str">
        <v>0</v>
      </c>
      <c r="F10799" s="2" t="str">
        <v>0</v>
      </c>
      <c r="I10799" s="3" t="str">
        <f ca="1">IFERROR(__xludf.DUMMYFUNCTION("""COMPUTED_VALUE"""),"Hoàng Ngọc Bảo Trâm")</f>
        <v>Hoàng Ngọc Bảo Trâm</v>
      </c>
      <c r="J10799" s="2" t="str">
        <f ca="1">IFERROR(__xludf.DUMMYFUNCTION("""COMPUTED_VALUE"""),"0378622902")</f>
        <v>0378622902</v>
      </c>
      <c r="K10799" s="2"/>
    </row>
    <row r="10800" spans="1:11" ht="12.45">
      <c r="A10800" s="2"/>
      <c r="C10800" s="2" t="str">
        <v>0</v>
      </c>
      <c r="F10800" s="2" t="str">
        <v>0</v>
      </c>
      <c r="I10800" s="3" t="str">
        <f ca="1">IFERROR(__xludf.DUMMYFUNCTION("""COMPUTED_VALUE"""),"Phạm Trần Ngọc Trà ")</f>
        <v xml:space="preserve">Phạm Trần Ngọc Trà </v>
      </c>
      <c r="J10800" s="2" t="str">
        <f ca="1">IFERROR(__xludf.DUMMYFUNCTION("""COMPUTED_VALUE"""),"0795630067")</f>
        <v>0795630067</v>
      </c>
      <c r="K10800" s="2"/>
    </row>
    <row r="10801" spans="1:11" ht="12.45">
      <c r="A10801" s="2"/>
      <c r="C10801" s="2" t="str">
        <v>0</v>
      </c>
      <c r="F10801" s="2" t="str">
        <v>0</v>
      </c>
      <c r="I10801" s="3" t="str">
        <f ca="1">IFERROR(__xludf.DUMMYFUNCTION("""COMPUTED_VALUE"""),"Phạm Văn Tiến")</f>
        <v>Phạm Văn Tiến</v>
      </c>
      <c r="J10801" s="2" t="str">
        <f ca="1">IFERROR(__xludf.DUMMYFUNCTION("""COMPUTED_VALUE"""),"0905263045")</f>
        <v>0905263045</v>
      </c>
      <c r="K10801" s="2"/>
    </row>
    <row r="10802" spans="1:11" ht="12.45">
      <c r="A10802" s="2"/>
      <c r="C10802" s="2" t="str">
        <v>0</v>
      </c>
      <c r="F10802" s="2" t="str">
        <v>0</v>
      </c>
      <c r="I10802" s="3" t="str">
        <f ca="1">IFERROR(__xludf.DUMMYFUNCTION("""COMPUTED_VALUE"""),"Nguyễn Duy Khánh")</f>
        <v>Nguyễn Duy Khánh</v>
      </c>
      <c r="J10802" s="2" t="str">
        <f ca="1">IFERROR(__xludf.DUMMYFUNCTION("""COMPUTED_VALUE"""),"0853036317")</f>
        <v>0853036317</v>
      </c>
      <c r="K10802" s="2"/>
    </row>
    <row r="10803" spans="1:11" ht="12.45">
      <c r="A10803" s="2"/>
      <c r="C10803" s="2" t="str">
        <v>0</v>
      </c>
      <c r="F10803" s="2" t="str">
        <v>0</v>
      </c>
      <c r="I10803" s="3" t="str">
        <f ca="1">IFERROR(__xludf.DUMMYFUNCTION("""COMPUTED_VALUE"""),"Phan Thị Phương Anh")</f>
        <v>Phan Thị Phương Anh</v>
      </c>
      <c r="J10803" s="2" t="str">
        <f ca="1">IFERROR(__xludf.DUMMYFUNCTION("""COMPUTED_VALUE"""),"0918389580")</f>
        <v>0918389580</v>
      </c>
      <c r="K10803" s="2"/>
    </row>
    <row r="10804" spans="1:11" ht="12.45">
      <c r="A10804" s="2"/>
      <c r="C10804" s="2" t="str">
        <v>0</v>
      </c>
      <c r="F10804" s="2" t="str">
        <v>0</v>
      </c>
      <c r="I10804" s="3" t="str">
        <f ca="1">IFERROR(__xludf.DUMMYFUNCTION("""COMPUTED_VALUE"""),"Đinh Trà My")</f>
        <v>Đinh Trà My</v>
      </c>
      <c r="J10804" s="2" t="str">
        <f ca="1">IFERROR(__xludf.DUMMYFUNCTION("""COMPUTED_VALUE"""),"0823307258")</f>
        <v>0823307258</v>
      </c>
      <c r="K10804" s="2"/>
    </row>
    <row r="10805" spans="1:11" ht="12.45">
      <c r="A10805" s="2"/>
      <c r="C10805" s="2" t="str">
        <v>0</v>
      </c>
      <c r="F10805" s="2" t="str">
        <v>0</v>
      </c>
      <c r="I10805" s="3" t="str">
        <f ca="1">IFERROR(__xludf.DUMMYFUNCTION("""COMPUTED_VALUE"""),"Trần Thị Ngọc Dung")</f>
        <v>Trần Thị Ngọc Dung</v>
      </c>
      <c r="J10805" s="2" t="str">
        <f ca="1">IFERROR(__xludf.DUMMYFUNCTION("""COMPUTED_VALUE"""),"0782983695")</f>
        <v>0782983695</v>
      </c>
      <c r="K10805" s="2"/>
    </row>
    <row r="10806" spans="1:11" ht="12.45">
      <c r="A10806" s="2"/>
      <c r="C10806" s="2" t="str">
        <v>0</v>
      </c>
      <c r="F10806" s="2" t="str">
        <v>0</v>
      </c>
      <c r="I10806" s="3" t="str">
        <f ca="1">IFERROR(__xludf.DUMMYFUNCTION("""COMPUTED_VALUE"""),"Nguyễn Phương Anh")</f>
        <v>Nguyễn Phương Anh</v>
      </c>
      <c r="J10806" s="2" t="str">
        <f ca="1">IFERROR(__xludf.DUMMYFUNCTION("""COMPUTED_VALUE"""),"0762152369")</f>
        <v>0762152369</v>
      </c>
      <c r="K10806" s="2"/>
    </row>
    <row r="10807" spans="1:11" ht="12.45">
      <c r="A10807" s="2"/>
      <c r="C10807" s="2" t="str">
        <v>0</v>
      </c>
      <c r="F10807" s="2" t="str">
        <v>0</v>
      </c>
      <c r="I10807" s="3" t="str">
        <f ca="1">IFERROR(__xludf.DUMMYFUNCTION("""COMPUTED_VALUE"""),"Hoàng Quỳnh Trang")</f>
        <v>Hoàng Quỳnh Trang</v>
      </c>
      <c r="J10807" s="2" t="str">
        <f ca="1">IFERROR(__xludf.DUMMYFUNCTION("""COMPUTED_VALUE"""),"0986232764")</f>
        <v>0986232764</v>
      </c>
      <c r="K10807" s="2"/>
    </row>
    <row r="10808" spans="1:11" ht="12.45">
      <c r="A10808" s="2"/>
      <c r="C10808" s="2" t="str">
        <v>0</v>
      </c>
      <c r="F10808" s="2" t="str">
        <v>0</v>
      </c>
      <c r="I10808" s="3" t="str">
        <f ca="1">IFERROR(__xludf.DUMMYFUNCTION("""COMPUTED_VALUE"""),"Bùi Đặng Thành Long ")</f>
        <v xml:space="preserve">Bùi Đặng Thành Long </v>
      </c>
      <c r="J10808" s="2" t="str">
        <f ca="1">IFERROR(__xludf.DUMMYFUNCTION("""COMPUTED_VALUE"""),"0342613900")</f>
        <v>0342613900</v>
      </c>
      <c r="K10808" s="2"/>
    </row>
    <row r="10809" spans="1:11" ht="12.45">
      <c r="A10809" s="2"/>
      <c r="C10809" s="2" t="str">
        <v>0</v>
      </c>
      <c r="F10809" s="2" t="str">
        <v>0</v>
      </c>
      <c r="I10809" s="3" t="str">
        <f ca="1">IFERROR(__xludf.DUMMYFUNCTION("""COMPUTED_VALUE"""),"Bùi Hạnh Trang")</f>
        <v>Bùi Hạnh Trang</v>
      </c>
      <c r="J10809" s="2" t="str">
        <f ca="1">IFERROR(__xludf.DUMMYFUNCTION("""COMPUTED_VALUE"""),"0868724518")</f>
        <v>0868724518</v>
      </c>
      <c r="K10809" s="2"/>
    </row>
    <row r="10810" spans="1:11" ht="12.45">
      <c r="A10810" s="2"/>
      <c r="C10810" s="2" t="str">
        <v>0</v>
      </c>
      <c r="F10810" s="2" t="str">
        <v>0</v>
      </c>
      <c r="I10810" s="3" t="str">
        <f ca="1">IFERROR(__xludf.DUMMYFUNCTION("""COMPUTED_VALUE"""),"Nguyễn Thị Thanh Mai")</f>
        <v>Nguyễn Thị Thanh Mai</v>
      </c>
      <c r="J10810" s="2" t="str">
        <f ca="1">IFERROR(__xludf.DUMMYFUNCTION("""COMPUTED_VALUE"""),"0901228192")</f>
        <v>0901228192</v>
      </c>
      <c r="K10810" s="2"/>
    </row>
    <row r="10811" spans="1:11" ht="12.45">
      <c r="A10811" s="2"/>
      <c r="C10811" s="2" t="str">
        <v>0</v>
      </c>
      <c r="F10811" s="2" t="str">
        <v>0</v>
      </c>
      <c r="I10811" s="3" t="str">
        <f ca="1">IFERROR(__xludf.DUMMYFUNCTION("""COMPUTED_VALUE"""),"Phạm Thị Diệu Linh")</f>
        <v>Phạm Thị Diệu Linh</v>
      </c>
      <c r="J10811" s="2" t="str">
        <f ca="1">IFERROR(__xludf.DUMMYFUNCTION("""COMPUTED_VALUE"""),"0776450372")</f>
        <v>0776450372</v>
      </c>
      <c r="K10811" s="2"/>
    </row>
    <row r="10812" spans="1:11" ht="12.45">
      <c r="A10812" s="2"/>
      <c r="C10812" s="2" t="str">
        <v>0</v>
      </c>
      <c r="F10812" s="2" t="str">
        <v>0</v>
      </c>
      <c r="I10812" s="3" t="str">
        <f ca="1">IFERROR(__xludf.DUMMYFUNCTION("""COMPUTED_VALUE"""),"Triệu Khánh Huyền")</f>
        <v>Triệu Khánh Huyền</v>
      </c>
      <c r="J10812" s="2" t="str">
        <f ca="1">IFERROR(__xludf.DUMMYFUNCTION("""COMPUTED_VALUE"""),"0392468622")</f>
        <v>0392468622</v>
      </c>
      <c r="K10812" s="2"/>
    </row>
    <row r="10813" spans="1:11" ht="12.45">
      <c r="A10813" s="2"/>
      <c r="C10813" s="2" t="str">
        <v>0</v>
      </c>
      <c r="F10813" s="2" t="str">
        <v>0</v>
      </c>
      <c r="I10813" s="3" t="str">
        <f ca="1">IFERROR(__xludf.DUMMYFUNCTION("""COMPUTED_VALUE"""),"Lê Gia Huy")</f>
        <v>Lê Gia Huy</v>
      </c>
      <c r="J10813" s="2" t="str">
        <f ca="1">IFERROR(__xludf.DUMMYFUNCTION("""COMPUTED_VALUE"""),"0918977236")</f>
        <v>0918977236</v>
      </c>
      <c r="K10813" s="2"/>
    </row>
    <row r="10814" spans="1:11" ht="12.45">
      <c r="A10814" s="2"/>
      <c r="C10814" s="2" t="str">
        <v>0</v>
      </c>
      <c r="F10814" s="2" t="str">
        <v>0</v>
      </c>
      <c r="I10814" s="3" t="str">
        <f ca="1">IFERROR(__xludf.DUMMYFUNCTION("""COMPUTED_VALUE"""),"Mai Phương Thảo")</f>
        <v>Mai Phương Thảo</v>
      </c>
      <c r="J10814" s="2" t="str">
        <f ca="1">IFERROR(__xludf.DUMMYFUNCTION("""COMPUTED_VALUE"""),"0944787329")</f>
        <v>0944787329</v>
      </c>
      <c r="K10814" s="2"/>
    </row>
    <row r="10815" spans="1:11" ht="12.45">
      <c r="A10815" s="2"/>
      <c r="C10815" s="2" t="str">
        <v>0</v>
      </c>
      <c r="F10815" s="2" t="str">
        <v>0</v>
      </c>
      <c r="I10815" s="3" t="str">
        <f ca="1">IFERROR(__xludf.DUMMYFUNCTION("""COMPUTED_VALUE"""),"Phan Thị Thanh Nhàn ")</f>
        <v xml:space="preserve">Phan Thị Thanh Nhàn </v>
      </c>
      <c r="J10815" s="2" t="str">
        <f ca="1">IFERROR(__xludf.DUMMYFUNCTION("""COMPUTED_VALUE"""),"0348025867")</f>
        <v>0348025867</v>
      </c>
      <c r="K10815" s="2"/>
    </row>
    <row r="10816" spans="1:11" ht="12.45">
      <c r="A10816" s="2"/>
      <c r="C10816" s="2" t="str">
        <v>0</v>
      </c>
      <c r="F10816" s="2" t="str">
        <v>0</v>
      </c>
      <c r="I10816" s="3" t="str">
        <f ca="1">IFERROR(__xludf.DUMMYFUNCTION("""COMPUTED_VALUE"""),"Huỳnh Khánh Đan")</f>
        <v>Huỳnh Khánh Đan</v>
      </c>
      <c r="J10816" s="2" t="str">
        <f ca="1">IFERROR(__xludf.DUMMYFUNCTION("""COMPUTED_VALUE"""),"0896223650")</f>
        <v>0896223650</v>
      </c>
      <c r="K10816" s="2"/>
    </row>
    <row r="10817" spans="1:11" ht="12.45">
      <c r="A10817" s="2"/>
      <c r="C10817" s="2" t="str">
        <v>0</v>
      </c>
      <c r="F10817" s="2" t="str">
        <v>0</v>
      </c>
      <c r="I10817" s="3" t="str">
        <f ca="1">IFERROR(__xludf.DUMMYFUNCTION("""COMPUTED_VALUE"""),"Phạm Nguyên Hạ")</f>
        <v>Phạm Nguyên Hạ</v>
      </c>
      <c r="J10817" s="2" t="str">
        <f ca="1">IFERROR(__xludf.DUMMYFUNCTION("""COMPUTED_VALUE"""),"0363138672")</f>
        <v>0363138672</v>
      </c>
      <c r="K10817" s="2"/>
    </row>
    <row r="10818" spans="1:11" ht="12.45">
      <c r="A10818" s="2"/>
      <c r="C10818" s="2" t="str">
        <v>0</v>
      </c>
      <c r="F10818" s="2" t="str">
        <v>0</v>
      </c>
      <c r="I10818" s="3" t="str">
        <f ca="1">IFERROR(__xludf.DUMMYFUNCTION("""COMPUTED_VALUE"""),"Nguyễn Võ Gia Huy ")</f>
        <v xml:space="preserve">Nguyễn Võ Gia Huy </v>
      </c>
      <c r="J10818" s="2" t="str">
        <f ca="1">IFERROR(__xludf.DUMMYFUNCTION("""COMPUTED_VALUE"""),"0798655891")</f>
        <v>0798655891</v>
      </c>
      <c r="K10818" s="2"/>
    </row>
    <row r="10819" spans="1:11" ht="12.45">
      <c r="A10819" s="2"/>
      <c r="C10819" s="2" t="str">
        <v>0</v>
      </c>
      <c r="F10819" s="2" t="str">
        <v>0</v>
      </c>
      <c r="I10819" s="3" t="str">
        <f ca="1">IFERROR(__xludf.DUMMYFUNCTION("""COMPUTED_VALUE"""),"Nguyễn Minh Anh")</f>
        <v>Nguyễn Minh Anh</v>
      </c>
      <c r="J10819" s="2" t="str">
        <f ca="1">IFERROR(__xludf.DUMMYFUNCTION("""COMPUTED_VALUE"""),"0377862928")</f>
        <v>0377862928</v>
      </c>
      <c r="K10819" s="2"/>
    </row>
    <row r="10820" spans="1:11" ht="12.45">
      <c r="A10820" s="2"/>
      <c r="C10820" s="2" t="str">
        <v>0</v>
      </c>
      <c r="F10820" s="2" t="str">
        <v>0</v>
      </c>
      <c r="I10820" s="3" t="str">
        <f ca="1">IFERROR(__xludf.DUMMYFUNCTION("""COMPUTED_VALUE"""),"Phạm Uyên Nhi")</f>
        <v>Phạm Uyên Nhi</v>
      </c>
      <c r="J10820" s="2" t="str">
        <f ca="1">IFERROR(__xludf.DUMMYFUNCTION("""COMPUTED_VALUE"""),"0915281425")</f>
        <v>0915281425</v>
      </c>
      <c r="K10820" s="2"/>
    </row>
    <row r="10821" spans="1:11" ht="12.45">
      <c r="A10821" s="2"/>
      <c r="C10821" s="2" t="str">
        <v>0</v>
      </c>
      <c r="F10821" s="2" t="str">
        <v>0</v>
      </c>
      <c r="I10821" s="3" t="str">
        <f ca="1">IFERROR(__xludf.DUMMYFUNCTION("""COMPUTED_VALUE"""),"Nguyễn Thị Thuỳ Dương")</f>
        <v>Nguyễn Thị Thuỳ Dương</v>
      </c>
      <c r="J10821" s="2" t="str">
        <f ca="1">IFERROR(__xludf.DUMMYFUNCTION("""COMPUTED_VALUE"""),"0376159507")</f>
        <v>0376159507</v>
      </c>
      <c r="K10821" s="2"/>
    </row>
    <row r="10822" spans="1:11" ht="12.45">
      <c r="A10822" s="2"/>
      <c r="C10822" s="2" t="str">
        <v>0</v>
      </c>
      <c r="F10822" s="2" t="str">
        <v>0</v>
      </c>
      <c r="I10822" s="3" t="str">
        <f ca="1">IFERROR(__xludf.DUMMYFUNCTION("""COMPUTED_VALUE"""),"Nguyễn Mai Anh")</f>
        <v>Nguyễn Mai Anh</v>
      </c>
      <c r="J10822" s="2" t="str">
        <f ca="1">IFERROR(__xludf.DUMMYFUNCTION("""COMPUTED_VALUE"""),"0968087625")</f>
        <v>0968087625</v>
      </c>
      <c r="K10822" s="2"/>
    </row>
    <row r="10823" spans="1:11" ht="12.45">
      <c r="A10823" s="2"/>
      <c r="C10823" s="2" t="str">
        <v>0</v>
      </c>
      <c r="F10823" s="2" t="str">
        <v>0</v>
      </c>
      <c r="I10823" s="3" t="str">
        <f ca="1">IFERROR(__xludf.DUMMYFUNCTION("""COMPUTED_VALUE"""),"Vũ Lê Cẩm Tú")</f>
        <v>Vũ Lê Cẩm Tú</v>
      </c>
      <c r="J10823" s="2" t="str">
        <f ca="1">IFERROR(__xludf.DUMMYFUNCTION("""COMPUTED_VALUE"""),"0964297181")</f>
        <v>0964297181</v>
      </c>
      <c r="K10823" s="2"/>
    </row>
    <row r="10824" spans="1:11" ht="12.45">
      <c r="A10824" s="2"/>
      <c r="C10824" s="2" t="str">
        <v>0</v>
      </c>
      <c r="F10824" s="2" t="str">
        <v>0</v>
      </c>
      <c r="I10824" s="3" t="str">
        <f ca="1">IFERROR(__xludf.DUMMYFUNCTION("""COMPUTED_VALUE"""),"Nguyễn Thị Tuyết Mai")</f>
        <v>Nguyễn Thị Tuyết Mai</v>
      </c>
      <c r="J10824" s="2" t="str">
        <f ca="1">IFERROR(__xludf.DUMMYFUNCTION("""COMPUTED_VALUE"""),"0966447994")</f>
        <v>0966447994</v>
      </c>
      <c r="K10824" s="2"/>
    </row>
    <row r="10825" spans="1:11" ht="12.45">
      <c r="A10825" s="2"/>
      <c r="C10825" s="2" t="str">
        <v>0</v>
      </c>
      <c r="F10825" s="2" t="str">
        <v>0</v>
      </c>
      <c r="I10825" s="3" t="str">
        <f ca="1">IFERROR(__xludf.DUMMYFUNCTION("""COMPUTED_VALUE"""),"Hà Thị Quỳnh Như ")</f>
        <v xml:space="preserve">Hà Thị Quỳnh Như </v>
      </c>
      <c r="J10825" s="2" t="str">
        <f ca="1">IFERROR(__xludf.DUMMYFUNCTION("""COMPUTED_VALUE"""),"0866186308")</f>
        <v>0866186308</v>
      </c>
      <c r="K10825" s="2"/>
    </row>
    <row r="10826" spans="1:11" ht="12.45">
      <c r="A10826" s="2"/>
      <c r="C10826" s="2" t="str">
        <v>0</v>
      </c>
      <c r="F10826" s="2" t="str">
        <v>0</v>
      </c>
      <c r="I10826" s="3" t="str">
        <f ca="1">IFERROR(__xludf.DUMMYFUNCTION("""COMPUTED_VALUE"""),"Vũ Quỳnh Anh")</f>
        <v>Vũ Quỳnh Anh</v>
      </c>
      <c r="J10826" s="2" t="str">
        <f ca="1">IFERROR(__xludf.DUMMYFUNCTION("""COMPUTED_VALUE"""),"0355589046")</f>
        <v>0355589046</v>
      </c>
      <c r="K10826" s="2"/>
    </row>
    <row r="10827" spans="1:11" ht="12.45">
      <c r="A10827" s="2"/>
      <c r="C10827" s="2" t="str">
        <v>0</v>
      </c>
      <c r="F10827" s="2" t="str">
        <v>0</v>
      </c>
      <c r="I10827" s="3" t="str">
        <f ca="1">IFERROR(__xludf.DUMMYFUNCTION("""COMPUTED_VALUE"""),"Đào Thị Thu Trang")</f>
        <v>Đào Thị Thu Trang</v>
      </c>
      <c r="J10827" s="2" t="str">
        <f ca="1">IFERROR(__xludf.DUMMYFUNCTION("""COMPUTED_VALUE"""),"0368532796")</f>
        <v>0368532796</v>
      </c>
      <c r="K10827" s="2"/>
    </row>
    <row r="10828" spans="1:11" ht="12.45">
      <c r="A10828" s="2"/>
      <c r="C10828" s="2" t="str">
        <v>0</v>
      </c>
      <c r="F10828" s="2" t="str">
        <v>0</v>
      </c>
      <c r="I10828" s="3" t="str">
        <f ca="1">IFERROR(__xludf.DUMMYFUNCTION("""COMPUTED_VALUE"""),"Nguyễn Hoàng Thu Anh ")</f>
        <v xml:space="preserve">Nguyễn Hoàng Thu Anh </v>
      </c>
      <c r="J10828" s="2" t="str">
        <f ca="1">IFERROR(__xludf.DUMMYFUNCTION("""COMPUTED_VALUE"""),"0915220907")</f>
        <v>0915220907</v>
      </c>
      <c r="K10828" s="2"/>
    </row>
    <row r="10829" spans="1:11" ht="12.45">
      <c r="A10829" s="2"/>
      <c r="C10829" s="2" t="str">
        <v>0</v>
      </c>
      <c r="F10829" s="2" t="str">
        <v>0</v>
      </c>
      <c r="I10829" s="3" t="str">
        <f ca="1">IFERROR(__xludf.DUMMYFUNCTION("""COMPUTED_VALUE"""),"Nguyễn Thị Thu Phương")</f>
        <v>Nguyễn Thị Thu Phương</v>
      </c>
      <c r="J10829" s="2" t="str">
        <f ca="1">IFERROR(__xludf.DUMMYFUNCTION("""COMPUTED_VALUE"""),"0326911613")</f>
        <v>0326911613</v>
      </c>
      <c r="K10829" s="2"/>
    </row>
    <row r="10830" spans="1:11" ht="12.45">
      <c r="A10830" s="2"/>
      <c r="C10830" s="2" t="str">
        <v>0</v>
      </c>
      <c r="F10830" s="2" t="str">
        <v>0</v>
      </c>
      <c r="I10830" s="3" t="str">
        <f ca="1">IFERROR(__xludf.DUMMYFUNCTION("""COMPUTED_VALUE"""),"Nguyễn Thanh Trúc")</f>
        <v>Nguyễn Thanh Trúc</v>
      </c>
      <c r="J10830" s="2" t="str">
        <f ca="1">IFERROR(__xludf.DUMMYFUNCTION("""COMPUTED_VALUE"""),"0797637727")</f>
        <v>0797637727</v>
      </c>
      <c r="K10830" s="2"/>
    </row>
    <row r="10831" spans="1:11" ht="12.45">
      <c r="A10831" s="2"/>
      <c r="C10831" s="2" t="str">
        <v>0</v>
      </c>
      <c r="F10831" s="2" t="str">
        <v>0</v>
      </c>
      <c r="I10831" s="3" t="str">
        <f ca="1">IFERROR(__xludf.DUMMYFUNCTION("""COMPUTED_VALUE"""),"Mào Văn Thủy ")</f>
        <v xml:space="preserve">Mào Văn Thủy </v>
      </c>
      <c r="J10831" s="2" t="str">
        <f ca="1">IFERROR(__xludf.DUMMYFUNCTION("""COMPUTED_VALUE"""),"0358875780")</f>
        <v>0358875780</v>
      </c>
      <c r="K10831" s="2"/>
    </row>
    <row r="10832" spans="1:11" ht="12.45">
      <c r="A10832" s="2"/>
      <c r="C10832" s="2" t="str">
        <v>0</v>
      </c>
      <c r="F10832" s="2" t="str">
        <v>0</v>
      </c>
      <c r="I10832" s="3" t="str">
        <f ca="1">IFERROR(__xludf.DUMMYFUNCTION("""COMPUTED_VALUE"""),"Mai Anh Thảo ")</f>
        <v xml:space="preserve">Mai Anh Thảo </v>
      </c>
      <c r="J10832" s="2" t="str">
        <f ca="1">IFERROR(__xludf.DUMMYFUNCTION("""COMPUTED_VALUE"""),"0962409805")</f>
        <v>0962409805</v>
      </c>
      <c r="K10832" s="2"/>
    </row>
    <row r="10833" spans="1:11" ht="12.45">
      <c r="A10833" s="2"/>
      <c r="C10833" s="2" t="str">
        <v>0</v>
      </c>
      <c r="F10833" s="2" t="str">
        <v>0</v>
      </c>
      <c r="I10833" s="3" t="str">
        <f ca="1">IFERROR(__xludf.DUMMYFUNCTION("""COMPUTED_VALUE"""),"Lương Thị Lệ Quyên ")</f>
        <v xml:space="preserve">Lương Thị Lệ Quyên </v>
      </c>
      <c r="J10833" s="2" t="str">
        <f ca="1">IFERROR(__xludf.DUMMYFUNCTION("""COMPUTED_VALUE"""),"0332880922")</f>
        <v>0332880922</v>
      </c>
      <c r="K10833" s="2"/>
    </row>
    <row r="10834" spans="1:11" ht="12.45">
      <c r="A10834" s="2"/>
      <c r="C10834" s="2" t="str">
        <v>0</v>
      </c>
      <c r="F10834" s="2" t="str">
        <v>0</v>
      </c>
      <c r="I10834" s="3" t="str">
        <f ca="1">IFERROR(__xludf.DUMMYFUNCTION("""COMPUTED_VALUE"""),"Đỗ Vũ Trúc Lâm")</f>
        <v>Đỗ Vũ Trúc Lâm</v>
      </c>
      <c r="J10834" s="2" t="str">
        <f ca="1">IFERROR(__xludf.DUMMYFUNCTION("""COMPUTED_VALUE"""),"0838310202")</f>
        <v>0838310202</v>
      </c>
      <c r="K10834" s="2"/>
    </row>
    <row r="10835" spans="1:11" ht="12.45">
      <c r="A10835" s="2"/>
      <c r="C10835" s="2" t="str">
        <v>0</v>
      </c>
      <c r="F10835" s="2" t="str">
        <v>0</v>
      </c>
      <c r="I10835" s="3" t="str">
        <f ca="1">IFERROR(__xludf.DUMMYFUNCTION("""COMPUTED_VALUE"""),"Hồ Khánh Huyền")</f>
        <v>Hồ Khánh Huyền</v>
      </c>
      <c r="J10835" s="2" t="str">
        <f ca="1">IFERROR(__xludf.DUMMYFUNCTION("""COMPUTED_VALUE"""),"0368256503")</f>
        <v>0368256503</v>
      </c>
      <c r="K10835" s="2"/>
    </row>
    <row r="10836" spans="1:11" ht="12.45">
      <c r="A10836" s="2"/>
      <c r="C10836" s="2" t="str">
        <v>0</v>
      </c>
      <c r="F10836" s="2" t="str">
        <v>0</v>
      </c>
      <c r="I10836" s="3" t="str">
        <f ca="1">IFERROR(__xludf.DUMMYFUNCTION("""COMPUTED_VALUE"""),"Phạm Xuân An")</f>
        <v>Phạm Xuân An</v>
      </c>
      <c r="J10836" s="2" t="str">
        <f ca="1">IFERROR(__xludf.DUMMYFUNCTION("""COMPUTED_VALUE"""),"0943477738")</f>
        <v>0943477738</v>
      </c>
      <c r="K10836" s="2"/>
    </row>
    <row r="10837" spans="1:11" ht="12.45">
      <c r="A10837" s="2"/>
      <c r="C10837" s="2" t="str">
        <v>0</v>
      </c>
      <c r="F10837" s="2" t="str">
        <v>0</v>
      </c>
      <c r="I10837" s="3" t="str">
        <f ca="1">IFERROR(__xludf.DUMMYFUNCTION("""COMPUTED_VALUE"""),"Lê Diệp Khuê")</f>
        <v>Lê Diệp Khuê</v>
      </c>
      <c r="J10837" s="2" t="str">
        <f ca="1">IFERROR(__xludf.DUMMYFUNCTION("""COMPUTED_VALUE"""),"0918850296")</f>
        <v>0918850296</v>
      </c>
      <c r="K10837" s="2"/>
    </row>
    <row r="10838" spans="1:11" ht="12.45">
      <c r="A10838" s="2"/>
      <c r="C10838" s="2" t="str">
        <v>0</v>
      </c>
      <c r="F10838" s="2" t="str">
        <v>0</v>
      </c>
      <c r="I10838" s="3" t="str">
        <f ca="1">IFERROR(__xludf.DUMMYFUNCTION("""COMPUTED_VALUE"""),"NGUYỄN PHẠM HOÀI ANH ")</f>
        <v xml:space="preserve">NGUYỄN PHẠM HOÀI ANH </v>
      </c>
      <c r="J10838" s="2" t="str">
        <f ca="1">IFERROR(__xludf.DUMMYFUNCTION("""COMPUTED_VALUE"""),"0963758425")</f>
        <v>0963758425</v>
      </c>
      <c r="K10838" s="2"/>
    </row>
    <row r="10839" spans="1:11" ht="12.45">
      <c r="A10839" s="2"/>
      <c r="C10839" s="2" t="str">
        <v>0</v>
      </c>
      <c r="F10839" s="2" t="str">
        <v>0</v>
      </c>
      <c r="I10839" s="3" t="str">
        <f ca="1">IFERROR(__xludf.DUMMYFUNCTION("""COMPUTED_VALUE"""),"Đỗ Thị Nhung ")</f>
        <v xml:space="preserve">Đỗ Thị Nhung </v>
      </c>
      <c r="J10839" s="2" t="str">
        <f ca="1">IFERROR(__xludf.DUMMYFUNCTION("""COMPUTED_VALUE"""),"0774377225")</f>
        <v>0774377225</v>
      </c>
      <c r="K10839" s="2"/>
    </row>
    <row r="10840" spans="1:11" ht="12.45">
      <c r="A10840" s="2"/>
      <c r="C10840" s="2" t="str">
        <v>0</v>
      </c>
      <c r="F10840" s="2" t="str">
        <v>0</v>
      </c>
      <c r="I10840" s="3" t="str">
        <f ca="1">IFERROR(__xludf.DUMMYFUNCTION("""COMPUTED_VALUE"""),"Nguyễn Quang Bình")</f>
        <v>Nguyễn Quang Bình</v>
      </c>
      <c r="J10840" s="2" t="str">
        <f ca="1">IFERROR(__xludf.DUMMYFUNCTION("""COMPUTED_VALUE"""),"0334466363")</f>
        <v>0334466363</v>
      </c>
      <c r="K10840" s="2"/>
    </row>
    <row r="10841" spans="1:11" ht="12.45">
      <c r="A10841" s="2"/>
      <c r="C10841" s="2" t="str">
        <v>0</v>
      </c>
      <c r="F10841" s="2" t="str">
        <v>0</v>
      </c>
      <c r="I10841" s="3" t="str">
        <f ca="1">IFERROR(__xludf.DUMMYFUNCTION("""COMPUTED_VALUE"""),"Nguyễn Lê Phúc An ")</f>
        <v xml:space="preserve">Nguyễn Lê Phúc An </v>
      </c>
      <c r="J10841" s="2" t="str">
        <f ca="1">IFERROR(__xludf.DUMMYFUNCTION("""COMPUTED_VALUE"""),"0907304303")</f>
        <v>0907304303</v>
      </c>
      <c r="K10841" s="2"/>
    </row>
    <row r="10842" spans="1:11" ht="12.45">
      <c r="A10842" s="2"/>
      <c r="C10842" s="2" t="str">
        <v>0</v>
      </c>
      <c r="F10842" s="2" t="str">
        <v>0</v>
      </c>
      <c r="I10842" s="3" t="str">
        <f ca="1">IFERROR(__xludf.DUMMYFUNCTION("""COMPUTED_VALUE"""),"Lường Khánh Huyền")</f>
        <v>Lường Khánh Huyền</v>
      </c>
      <c r="J10842" s="2" t="str">
        <f ca="1">IFERROR(__xludf.DUMMYFUNCTION("""COMPUTED_VALUE"""),"0362454426")</f>
        <v>0362454426</v>
      </c>
      <c r="K10842" s="2"/>
    </row>
    <row r="10843" spans="1:11" ht="12.45">
      <c r="A10843" s="2"/>
      <c r="C10843" s="2" t="str">
        <v>0</v>
      </c>
      <c r="F10843" s="2" t="str">
        <v>0</v>
      </c>
      <c r="I10843" s="3" t="str">
        <f ca="1">IFERROR(__xludf.DUMMYFUNCTION("""COMPUTED_VALUE"""),"Đỗ Minh Châu")</f>
        <v>Đỗ Minh Châu</v>
      </c>
      <c r="J10843" s="2" t="str">
        <f ca="1">IFERROR(__xludf.DUMMYFUNCTION("""COMPUTED_VALUE"""),"0886969358")</f>
        <v>0886969358</v>
      </c>
      <c r="K10843" s="2"/>
    </row>
    <row r="10844" spans="1:11" ht="12.45">
      <c r="A10844" s="2"/>
      <c r="C10844" s="2" t="str">
        <v>0</v>
      </c>
      <c r="F10844" s="2" t="str">
        <v>0</v>
      </c>
      <c r="I10844" s="3" t="str">
        <f ca="1">IFERROR(__xludf.DUMMYFUNCTION("""COMPUTED_VALUE"""),"Hoàng Thị Hà Giang")</f>
        <v>Hoàng Thị Hà Giang</v>
      </c>
      <c r="J10844" s="2" t="str">
        <f ca="1">IFERROR(__xludf.DUMMYFUNCTION("""COMPUTED_VALUE"""),"0906001532")</f>
        <v>0906001532</v>
      </c>
      <c r="K10844" s="2"/>
    </row>
    <row r="10845" spans="1:11" ht="12.45">
      <c r="A10845" s="2"/>
      <c r="C10845" s="2" t="str">
        <v>0</v>
      </c>
      <c r="F10845" s="2" t="str">
        <v>0</v>
      </c>
      <c r="I10845" s="3" t="str">
        <f ca="1">IFERROR(__xludf.DUMMYFUNCTION("""COMPUTED_VALUE"""),"Lê Hùng Đại Dương ")</f>
        <v xml:space="preserve">Lê Hùng Đại Dương </v>
      </c>
      <c r="J10845" s="2" t="str">
        <f ca="1">IFERROR(__xludf.DUMMYFUNCTION("""COMPUTED_VALUE"""),"0345786463")</f>
        <v>0345786463</v>
      </c>
      <c r="K10845" s="2"/>
    </row>
    <row r="10846" spans="1:11" ht="12.45">
      <c r="A10846" s="2"/>
      <c r="C10846" s="2" t="str">
        <v>0</v>
      </c>
      <c r="F10846" s="2" t="str">
        <v>0</v>
      </c>
      <c r="I10846" s="3" t="str">
        <f ca="1">IFERROR(__xludf.DUMMYFUNCTION("""COMPUTED_VALUE"""),"Trần Thị Thu Hà")</f>
        <v>Trần Thị Thu Hà</v>
      </c>
      <c r="J10846" s="2" t="str">
        <f ca="1">IFERROR(__xludf.DUMMYFUNCTION("""COMPUTED_VALUE"""),"0979843661")</f>
        <v>0979843661</v>
      </c>
      <c r="K10846" s="2"/>
    </row>
    <row r="10847" spans="1:11" ht="12.45">
      <c r="A10847" s="2"/>
      <c r="C10847" s="2" t="str">
        <v>0</v>
      </c>
      <c r="F10847" s="2" t="str">
        <v>0</v>
      </c>
      <c r="I10847" s="3" t="str">
        <f ca="1">IFERROR(__xludf.DUMMYFUNCTION("""COMPUTED_VALUE"""),"Nguyễn Phương Thái")</f>
        <v>Nguyễn Phương Thái</v>
      </c>
      <c r="J10847" s="2" t="str">
        <f ca="1">IFERROR(__xludf.DUMMYFUNCTION("""COMPUTED_VALUE"""),"0976646460")</f>
        <v>0976646460</v>
      </c>
      <c r="K10847" s="2"/>
    </row>
    <row r="10848" spans="1:11" ht="12.45">
      <c r="A10848" s="2"/>
      <c r="C10848" s="2" t="str">
        <v>0</v>
      </c>
      <c r="F10848" s="2" t="str">
        <v>0</v>
      </c>
      <c r="I10848" s="3" t="str">
        <f ca="1">IFERROR(__xludf.DUMMYFUNCTION("""COMPUTED_VALUE"""),"Trần Thu Thuỷ")</f>
        <v>Trần Thu Thuỷ</v>
      </c>
      <c r="J10848" s="2" t="str">
        <f ca="1">IFERROR(__xludf.DUMMYFUNCTION("""COMPUTED_VALUE"""),"0983634132")</f>
        <v>0983634132</v>
      </c>
      <c r="K10848" s="2"/>
    </row>
    <row r="10849" spans="1:11" ht="12.45">
      <c r="A10849" s="2"/>
      <c r="C10849" s="2" t="str">
        <v>0</v>
      </c>
      <c r="F10849" s="2" t="str">
        <v>0</v>
      </c>
      <c r="I10849" s="3" t="str">
        <f ca="1">IFERROR(__xludf.DUMMYFUNCTION("""COMPUTED_VALUE"""),"Hoàng Văn Hiếu")</f>
        <v>Hoàng Văn Hiếu</v>
      </c>
      <c r="J10849" s="2" t="str">
        <f ca="1">IFERROR(__xludf.DUMMYFUNCTION("""COMPUTED_VALUE"""),"0989483894")</f>
        <v>0989483894</v>
      </c>
      <c r="K10849" s="2"/>
    </row>
    <row r="10850" spans="1:11" ht="12.45">
      <c r="A10850" s="2"/>
      <c r="C10850" s="2" t="str">
        <v>0</v>
      </c>
      <c r="F10850" s="2" t="str">
        <v>0</v>
      </c>
      <c r="I10850" s="3" t="str">
        <f ca="1">IFERROR(__xludf.DUMMYFUNCTION("""COMPUTED_VALUE"""),"Lê Thị Thuý An")</f>
        <v>Lê Thị Thuý An</v>
      </c>
      <c r="J10850" s="2" t="str">
        <f ca="1">IFERROR(__xludf.DUMMYFUNCTION("""COMPUTED_VALUE"""),"0948031461")</f>
        <v>0948031461</v>
      </c>
      <c r="K10850" s="2"/>
    </row>
    <row r="10851" spans="1:11" ht="12.45">
      <c r="A10851" s="2"/>
      <c r="C10851" s="2" t="str">
        <v>0</v>
      </c>
      <c r="F10851" s="2" t="str">
        <v>0</v>
      </c>
      <c r="I10851" s="3" t="str">
        <f ca="1">IFERROR(__xludf.DUMMYFUNCTION("""COMPUTED_VALUE"""),"Dương Thị Ngọc Huyền ")</f>
        <v xml:space="preserve">Dương Thị Ngọc Huyền </v>
      </c>
      <c r="J10851" s="2" t="str">
        <f ca="1">IFERROR(__xludf.DUMMYFUNCTION("""COMPUTED_VALUE"""),"0969227606")</f>
        <v>0969227606</v>
      </c>
      <c r="K10851" s="2"/>
    </row>
    <row r="10852" spans="1:11" ht="12.45">
      <c r="A10852" s="2"/>
      <c r="C10852" s="2" t="str">
        <v>0</v>
      </c>
      <c r="F10852" s="2" t="str">
        <v>0</v>
      </c>
      <c r="I10852" s="3" t="str">
        <f ca="1">IFERROR(__xludf.DUMMYFUNCTION("""COMPUTED_VALUE"""),"Ngô Khánh Chi")</f>
        <v>Ngô Khánh Chi</v>
      </c>
      <c r="J10852" s="2" t="str">
        <f ca="1">IFERROR(__xludf.DUMMYFUNCTION("""COMPUTED_VALUE"""),"0888762602")</f>
        <v>0888762602</v>
      </c>
      <c r="K10852" s="2"/>
    </row>
    <row r="10853" spans="1:11" ht="12.45">
      <c r="A10853" s="2"/>
      <c r="C10853" s="2" t="str">
        <v>0</v>
      </c>
      <c r="F10853" s="2" t="str">
        <v>0</v>
      </c>
      <c r="I10853" s="3" t="str">
        <f ca="1">IFERROR(__xludf.DUMMYFUNCTION("""COMPUTED_VALUE"""),"Nguyễn Minh Anh")</f>
        <v>Nguyễn Minh Anh</v>
      </c>
      <c r="J10853" s="2" t="str">
        <f ca="1">IFERROR(__xludf.DUMMYFUNCTION("""COMPUTED_VALUE"""),"0348883085")</f>
        <v>0348883085</v>
      </c>
      <c r="K10853" s="2"/>
    </row>
    <row r="10854" spans="1:11" ht="12.45">
      <c r="A10854" s="2"/>
      <c r="C10854" s="2" t="str">
        <v>0</v>
      </c>
      <c r="F10854" s="2" t="str">
        <v>0</v>
      </c>
      <c r="I10854" s="3" t="str">
        <f ca="1">IFERROR(__xludf.DUMMYFUNCTION("""COMPUTED_VALUE"""),"Phạm Văn Đạt")</f>
        <v>Phạm Văn Đạt</v>
      </c>
      <c r="J10854" s="2" t="str">
        <f ca="1">IFERROR(__xludf.DUMMYFUNCTION("""COMPUTED_VALUE"""),"0353610835")</f>
        <v>0353610835</v>
      </c>
      <c r="K10854" s="2"/>
    </row>
    <row r="10855" spans="1:11" ht="12.45">
      <c r="A10855" s="2"/>
      <c r="C10855" s="2" t="str">
        <v>0</v>
      </c>
      <c r="F10855" s="2" t="str">
        <v>0</v>
      </c>
      <c r="I10855" s="2"/>
      <c r="J10855" s="2"/>
      <c r="K10855" s="2"/>
    </row>
    <row r="10856" spans="1:11" ht="12.45">
      <c r="A10856" s="2"/>
      <c r="C10856" s="2" t="str">
        <v>0</v>
      </c>
      <c r="F10856" s="2" t="str">
        <v>0</v>
      </c>
      <c r="I10856" s="2"/>
      <c r="J10856" s="2"/>
      <c r="K10856" s="2"/>
    </row>
    <row r="10857" spans="1:11" ht="12.45">
      <c r="A10857" s="2"/>
      <c r="C10857" s="2" t="str">
        <v>0</v>
      </c>
      <c r="F10857" s="2" t="str">
        <v>0</v>
      </c>
      <c r="I10857" s="2"/>
      <c r="J10857" s="2"/>
      <c r="K10857" s="2"/>
    </row>
    <row r="10858" spans="1:11" ht="12.45">
      <c r="A10858" s="2"/>
      <c r="C10858" s="2" t="str">
        <v>0</v>
      </c>
      <c r="F10858" s="2" t="str">
        <v>0</v>
      </c>
      <c r="I10858" s="2"/>
      <c r="J10858" s="2"/>
      <c r="K10858" s="2"/>
    </row>
    <row r="10859" spans="1:11" ht="12.45">
      <c r="A10859" s="2"/>
      <c r="C10859" s="2" t="str">
        <v>0</v>
      </c>
      <c r="F10859" s="2" t="str">
        <v>0</v>
      </c>
      <c r="I10859" s="2"/>
      <c r="J10859" s="2"/>
      <c r="K10859" s="2"/>
    </row>
    <row r="10860" spans="1:11" ht="12.45">
      <c r="A10860" s="2"/>
      <c r="C10860" s="2" t="str">
        <v>0</v>
      </c>
      <c r="F10860" s="2" t="str">
        <v>0</v>
      </c>
      <c r="I10860" s="2"/>
      <c r="J10860" s="2"/>
      <c r="K10860" s="2"/>
    </row>
    <row r="10861" spans="1:11" ht="12.45">
      <c r="A10861" s="2"/>
      <c r="C10861" s="2" t="str">
        <v>0</v>
      </c>
      <c r="F10861" s="2" t="str">
        <v>0</v>
      </c>
      <c r="I10861" s="2"/>
      <c r="J10861" s="2"/>
      <c r="K10861" s="2"/>
    </row>
    <row r="10862" spans="1:11" ht="12.45">
      <c r="A10862" s="2"/>
      <c r="C10862" s="2" t="str">
        <v>0</v>
      </c>
      <c r="F10862" s="2" t="str">
        <v>0</v>
      </c>
      <c r="I10862" s="2"/>
      <c r="J10862" s="2"/>
      <c r="K10862" s="2"/>
    </row>
    <row r="10863" spans="1:11" ht="12.45">
      <c r="A10863" s="2"/>
      <c r="C10863" s="2" t="str">
        <v>0</v>
      </c>
      <c r="F10863" s="2" t="str">
        <v>0</v>
      </c>
      <c r="I10863" s="2"/>
      <c r="J10863" s="2"/>
      <c r="K10863" s="2"/>
    </row>
    <row r="10864" spans="1:11" ht="12.45">
      <c r="A10864" s="2"/>
      <c r="C10864" s="2" t="str">
        <v>0</v>
      </c>
      <c r="F10864" s="2" t="str">
        <v>0</v>
      </c>
      <c r="I10864" s="2"/>
      <c r="J10864" s="2"/>
      <c r="K10864" s="2"/>
    </row>
    <row r="10865" spans="1:11" ht="12.45">
      <c r="A10865" s="2"/>
      <c r="C10865" s="2" t="str">
        <v>0</v>
      </c>
      <c r="F10865" s="2" t="str">
        <v>0</v>
      </c>
      <c r="I10865" s="2"/>
      <c r="J10865" s="2"/>
      <c r="K10865" s="2"/>
    </row>
    <row r="10866" spans="1:11" ht="12.45">
      <c r="A10866" s="2"/>
      <c r="C10866" s="2" t="str">
        <v>0</v>
      </c>
      <c r="F10866" s="2" t="str">
        <v>0</v>
      </c>
      <c r="I10866" s="2"/>
      <c r="J10866" s="2"/>
      <c r="K10866" s="2"/>
    </row>
    <row r="10867" spans="1:11" ht="12.45">
      <c r="A10867" s="2"/>
      <c r="C10867" s="2" t="str">
        <v>0</v>
      </c>
      <c r="F10867" s="2" t="str">
        <v>0</v>
      </c>
      <c r="I10867" s="2"/>
      <c r="J10867" s="2"/>
      <c r="K10867" s="2"/>
    </row>
    <row r="10868" spans="1:11" ht="12.45">
      <c r="A10868" s="2"/>
      <c r="C10868" s="2" t="str">
        <v>0</v>
      </c>
      <c r="F10868" s="2" t="str">
        <v>0</v>
      </c>
      <c r="I10868" s="2"/>
      <c r="J10868" s="2"/>
      <c r="K10868" s="2"/>
    </row>
    <row r="10869" spans="1:11" ht="12.45">
      <c r="A10869" s="2"/>
      <c r="C10869" s="2" t="str">
        <v>0</v>
      </c>
      <c r="F10869" s="2" t="str">
        <v>0</v>
      </c>
      <c r="I10869" s="2"/>
      <c r="J10869" s="2"/>
      <c r="K10869" s="2"/>
    </row>
    <row r="10870" spans="1:11" ht="12.45">
      <c r="A10870" s="2"/>
      <c r="C10870" s="2" t="str">
        <v>0</v>
      </c>
      <c r="F10870" s="2" t="str">
        <v>0</v>
      </c>
      <c r="I10870" s="2"/>
      <c r="J10870" s="2"/>
      <c r="K10870" s="2"/>
    </row>
    <row r="10871" spans="1:11" ht="12.45">
      <c r="A10871" s="2"/>
      <c r="C10871" s="2" t="str">
        <v>0</v>
      </c>
      <c r="F10871" s="2" t="str">
        <v>0</v>
      </c>
      <c r="I10871" s="2"/>
      <c r="J10871" s="2"/>
      <c r="K10871" s="2"/>
    </row>
    <row r="10872" spans="1:11" ht="12.45">
      <c r="A10872" s="2"/>
      <c r="C10872" s="2" t="str">
        <v>0</v>
      </c>
      <c r="F10872" s="2" t="str">
        <v>0</v>
      </c>
      <c r="I10872" s="2"/>
      <c r="J10872" s="2"/>
      <c r="K10872" s="2"/>
    </row>
    <row r="10873" spans="1:11" ht="12.45">
      <c r="A10873" s="2"/>
      <c r="C10873" s="2" t="str">
        <v>0</v>
      </c>
      <c r="F10873" s="2" t="str">
        <v>0</v>
      </c>
      <c r="I10873" s="2"/>
      <c r="J10873" s="2"/>
      <c r="K10873" s="2"/>
    </row>
    <row r="10874" spans="1:11" ht="12.45">
      <c r="A10874" s="2"/>
      <c r="C10874" s="2" t="str">
        <v>0</v>
      </c>
      <c r="F10874" s="2" t="str">
        <v>0</v>
      </c>
      <c r="I10874" s="2"/>
      <c r="J10874" s="2"/>
      <c r="K10874" s="2"/>
    </row>
    <row r="10875" spans="1:11" ht="12.45">
      <c r="A10875" s="2"/>
      <c r="C10875" s="2" t="str">
        <v>0</v>
      </c>
      <c r="F10875" s="2" t="str">
        <v>0</v>
      </c>
      <c r="I10875" s="2"/>
      <c r="J10875" s="2"/>
      <c r="K10875" s="2"/>
    </row>
    <row r="10876" spans="1:11" ht="12.45">
      <c r="A10876" s="2"/>
      <c r="C10876" s="2" t="str">
        <v>0</v>
      </c>
      <c r="F10876" s="2" t="str">
        <v>0</v>
      </c>
      <c r="I10876" s="2"/>
      <c r="J10876" s="2"/>
      <c r="K10876" s="2"/>
    </row>
    <row r="10877" spans="1:11" ht="12.45">
      <c r="A10877" s="2"/>
      <c r="C10877" s="2" t="str">
        <v>0</v>
      </c>
      <c r="F10877" s="2" t="str">
        <v>0</v>
      </c>
      <c r="I10877" s="2"/>
      <c r="J10877" s="2"/>
      <c r="K10877" s="2"/>
    </row>
    <row r="10878" spans="1:11" ht="12.45">
      <c r="A10878" s="2"/>
      <c r="C10878" s="2" t="str">
        <v>0</v>
      </c>
      <c r="F10878" s="2" t="str">
        <v>0</v>
      </c>
      <c r="I10878" s="2"/>
      <c r="J10878" s="2"/>
      <c r="K10878" s="2"/>
    </row>
    <row r="10879" spans="1:11" ht="12.45">
      <c r="A10879" s="2"/>
      <c r="C10879" s="2" t="str">
        <v>0</v>
      </c>
      <c r="F10879" s="2" t="str">
        <v>0</v>
      </c>
      <c r="I10879" s="2"/>
      <c r="J10879" s="2"/>
      <c r="K10879" s="2"/>
    </row>
    <row r="10880" spans="1:11" ht="12.45">
      <c r="A10880" s="2"/>
      <c r="C10880" s="2" t="str">
        <v>0</v>
      </c>
      <c r="F10880" s="2" t="str">
        <v>0</v>
      </c>
      <c r="I10880" s="2"/>
      <c r="J10880" s="2"/>
      <c r="K10880" s="2"/>
    </row>
    <row r="10881" spans="1:11" ht="12.45">
      <c r="A10881" s="2"/>
      <c r="C10881" s="2" t="str">
        <v>0</v>
      </c>
      <c r="F10881" s="2" t="str">
        <v>0</v>
      </c>
      <c r="I10881" s="2"/>
      <c r="J10881" s="2"/>
      <c r="K10881" s="2"/>
    </row>
    <row r="10882" spans="1:11" ht="12.45">
      <c r="A10882" s="2"/>
      <c r="C10882" s="2" t="str">
        <v>0</v>
      </c>
      <c r="F10882" s="2" t="str">
        <v>0</v>
      </c>
      <c r="I10882" s="2"/>
      <c r="J10882" s="2"/>
      <c r="K10882" s="2"/>
    </row>
    <row r="10883" spans="1:11" ht="12.45">
      <c r="A10883" s="2"/>
      <c r="C10883" s="2" t="str">
        <v>0</v>
      </c>
      <c r="F10883" s="2" t="str">
        <v>0</v>
      </c>
      <c r="I10883" s="2"/>
      <c r="J10883" s="2"/>
      <c r="K10883" s="2"/>
    </row>
    <row r="10884" spans="1:11" ht="12.45">
      <c r="A10884" s="2"/>
      <c r="C10884" s="2" t="str">
        <v>0</v>
      </c>
      <c r="F10884" s="2" t="str">
        <v>0</v>
      </c>
      <c r="I10884" s="2"/>
      <c r="J10884" s="2"/>
      <c r="K10884" s="2"/>
    </row>
    <row r="10885" spans="1:11" ht="12.45">
      <c r="A10885" s="2"/>
      <c r="C10885" s="2" t="str">
        <v>0</v>
      </c>
      <c r="F10885" s="2" t="str">
        <v>0</v>
      </c>
      <c r="I10885" s="2"/>
      <c r="J10885" s="2"/>
      <c r="K10885" s="2"/>
    </row>
    <row r="10886" spans="1:11" ht="12.45">
      <c r="A10886" s="2"/>
      <c r="C10886" s="2" t="str">
        <v>0</v>
      </c>
      <c r="F10886" s="2" t="str">
        <v>0</v>
      </c>
      <c r="I10886" s="2"/>
      <c r="J10886" s="2"/>
      <c r="K10886" s="2"/>
    </row>
    <row r="10887" spans="1:11" ht="12.45">
      <c r="A10887" s="2"/>
      <c r="C10887" s="2" t="str">
        <v>0</v>
      </c>
      <c r="F10887" s="2" t="str">
        <v>0</v>
      </c>
      <c r="I10887" s="2"/>
      <c r="J10887" s="2"/>
      <c r="K10887" s="2"/>
    </row>
    <row r="10888" spans="1:11" ht="12.45">
      <c r="A10888" s="2"/>
      <c r="C10888" s="2" t="str">
        <v>0</v>
      </c>
      <c r="F10888" s="2" t="str">
        <v>0</v>
      </c>
      <c r="I10888" s="2"/>
      <c r="J10888" s="2"/>
      <c r="K10888" s="2"/>
    </row>
    <row r="10889" spans="1:11" ht="12.45">
      <c r="A10889" s="2"/>
      <c r="C10889" s="2" t="str">
        <v>0</v>
      </c>
      <c r="F10889" s="2" t="str">
        <v>0</v>
      </c>
      <c r="I10889" s="2"/>
      <c r="J10889" s="2"/>
      <c r="K10889" s="2"/>
    </row>
    <row r="10890" spans="1:11" ht="12.45">
      <c r="A10890" s="2"/>
      <c r="C10890" s="2" t="str">
        <v>0</v>
      </c>
      <c r="F10890" s="2" t="str">
        <v>0</v>
      </c>
      <c r="I10890" s="2"/>
      <c r="J10890" s="2"/>
      <c r="K10890" s="2"/>
    </row>
    <row r="10891" spans="1:11" ht="12.45">
      <c r="A10891" s="2"/>
      <c r="C10891" s="2" t="str">
        <v>0</v>
      </c>
      <c r="F10891" s="2" t="str">
        <v>0</v>
      </c>
      <c r="I10891" s="2"/>
      <c r="J10891" s="2"/>
      <c r="K10891" s="2"/>
    </row>
    <row r="10892" spans="1:11" ht="12.45">
      <c r="A10892" s="2"/>
      <c r="C10892" s="2" t="str">
        <v>0</v>
      </c>
      <c r="F10892" s="2" t="str">
        <v>0</v>
      </c>
      <c r="I10892" s="2"/>
      <c r="J10892" s="2"/>
      <c r="K10892" s="2"/>
    </row>
    <row r="10893" spans="1:11" ht="12.45">
      <c r="A10893" s="2"/>
      <c r="C10893" s="2" t="str">
        <v>0</v>
      </c>
      <c r="F10893" s="2" t="str">
        <v>0</v>
      </c>
      <c r="I10893" s="2"/>
      <c r="J10893" s="2"/>
      <c r="K10893" s="2"/>
    </row>
    <row r="10894" spans="1:11" ht="12.45">
      <c r="A10894" s="2"/>
      <c r="C10894" s="2" t="str">
        <v>0</v>
      </c>
      <c r="F10894" s="2" t="str">
        <v>0</v>
      </c>
      <c r="I10894" s="2"/>
      <c r="J10894" s="2"/>
      <c r="K10894" s="2"/>
    </row>
    <row r="10895" spans="1:11" ht="12.45">
      <c r="A10895" s="2"/>
      <c r="C10895" s="2" t="str">
        <v>0</v>
      </c>
      <c r="F10895" s="2" t="str">
        <v>0</v>
      </c>
      <c r="I10895" s="2"/>
      <c r="J10895" s="2"/>
      <c r="K10895" s="2"/>
    </row>
    <row r="10896" spans="1:11" ht="12.45">
      <c r="A10896" s="2"/>
      <c r="C10896" s="2" t="str">
        <v>0</v>
      </c>
      <c r="F10896" s="2" t="str">
        <v>0</v>
      </c>
      <c r="I10896" s="2"/>
      <c r="J10896" s="2"/>
      <c r="K10896" s="2"/>
    </row>
    <row r="10897" spans="1:11" ht="12.45">
      <c r="A10897" s="2"/>
      <c r="C10897" s="2" t="str">
        <v>0</v>
      </c>
      <c r="F10897" s="2" t="str">
        <v>0</v>
      </c>
      <c r="I10897" s="2"/>
      <c r="J10897" s="2"/>
      <c r="K10897" s="2"/>
    </row>
    <row r="10898" spans="1:11" ht="12.45">
      <c r="A10898" s="2"/>
      <c r="C10898" s="2" t="str">
        <v>0</v>
      </c>
      <c r="F10898" s="2" t="str">
        <v>0</v>
      </c>
      <c r="I10898" s="2"/>
      <c r="J10898" s="2"/>
      <c r="K10898" s="2"/>
    </row>
    <row r="10899" spans="1:11" ht="12.45">
      <c r="A10899" s="2"/>
      <c r="C10899" s="2" t="str">
        <v>0</v>
      </c>
      <c r="F10899" s="2" t="str">
        <v>0</v>
      </c>
      <c r="I10899" s="2"/>
      <c r="J10899" s="2"/>
      <c r="K10899" s="2"/>
    </row>
    <row r="10900" spans="1:11" ht="12.45">
      <c r="A10900" s="2"/>
      <c r="C10900" s="2" t="str">
        <v>0</v>
      </c>
      <c r="F10900" s="2" t="str">
        <v>0</v>
      </c>
      <c r="I10900" s="2"/>
      <c r="J10900" s="2"/>
      <c r="K10900" s="2"/>
    </row>
    <row r="10901" spans="1:11" ht="12.45">
      <c r="A10901" s="2"/>
      <c r="C10901" s="2" t="str">
        <v>0</v>
      </c>
      <c r="F10901" s="2" t="str">
        <v>0</v>
      </c>
      <c r="I10901" s="2"/>
      <c r="J10901" s="2"/>
      <c r="K10901" s="2"/>
    </row>
    <row r="10902" spans="1:11" ht="12.45">
      <c r="A10902" s="2"/>
      <c r="C10902" s="2" t="str">
        <v>0</v>
      </c>
      <c r="F10902" s="2" t="str">
        <v>0</v>
      </c>
      <c r="I10902" s="2"/>
      <c r="J10902" s="2"/>
      <c r="K10902" s="2"/>
    </row>
    <row r="10903" spans="1:11" ht="12.45">
      <c r="A10903" s="2"/>
      <c r="C10903" s="2" t="str">
        <v>0</v>
      </c>
      <c r="F10903" s="2" t="str">
        <v>0</v>
      </c>
      <c r="I10903" s="2"/>
      <c r="J10903" s="2"/>
      <c r="K10903" s="2"/>
    </row>
    <row r="10904" spans="1:11" ht="12.45">
      <c r="A10904" s="2"/>
      <c r="C10904" s="2" t="str">
        <v>0</v>
      </c>
      <c r="F10904" s="2" t="str">
        <v>0</v>
      </c>
      <c r="I10904" s="2"/>
      <c r="J10904" s="2"/>
      <c r="K10904" s="2"/>
    </row>
    <row r="10905" spans="1:11" ht="12.45">
      <c r="A10905" s="2"/>
      <c r="C10905" s="2" t="str">
        <v>0</v>
      </c>
      <c r="F10905" s="2" t="str">
        <v>0</v>
      </c>
      <c r="I10905" s="2"/>
      <c r="J10905" s="2"/>
      <c r="K10905" s="2"/>
    </row>
    <row r="10906" spans="1:11" ht="12.45">
      <c r="A10906" s="2"/>
      <c r="C10906" s="2" t="str">
        <v>0</v>
      </c>
      <c r="F10906" s="2" t="str">
        <v>0</v>
      </c>
      <c r="I10906" s="2"/>
      <c r="J10906" s="2"/>
      <c r="K10906" s="2"/>
    </row>
    <row r="10907" spans="1:11" ht="12.45">
      <c r="A10907" s="2"/>
      <c r="C10907" s="2" t="str">
        <v>0</v>
      </c>
      <c r="F10907" s="2" t="str">
        <v>0</v>
      </c>
      <c r="I10907" s="2"/>
      <c r="J10907" s="2"/>
      <c r="K10907" s="2"/>
    </row>
    <row r="10908" spans="1:11" ht="12.45">
      <c r="A10908" s="2"/>
      <c r="C10908" s="2" t="str">
        <v>0</v>
      </c>
      <c r="F10908" s="2" t="str">
        <v>0</v>
      </c>
      <c r="I10908" s="2"/>
      <c r="J10908" s="2"/>
      <c r="K10908" s="2"/>
    </row>
    <row r="10909" spans="1:11" ht="12.45">
      <c r="A10909" s="2"/>
      <c r="C10909" s="2" t="str">
        <v>0</v>
      </c>
      <c r="F10909" s="2" t="str">
        <v>0</v>
      </c>
      <c r="I10909" s="2"/>
      <c r="J10909" s="2"/>
      <c r="K10909" s="2"/>
    </row>
    <row r="10910" spans="1:11" ht="12.45">
      <c r="A10910" s="2"/>
      <c r="C10910" s="2" t="str">
        <v>0</v>
      </c>
      <c r="F10910" s="2" t="str">
        <v>0</v>
      </c>
      <c r="I10910" s="2"/>
      <c r="J10910" s="2"/>
      <c r="K10910" s="2"/>
    </row>
    <row r="10911" spans="1:11" ht="12.45">
      <c r="A10911" s="2"/>
      <c r="C10911" s="2" t="str">
        <v>0</v>
      </c>
      <c r="F10911" s="2" t="str">
        <v>0</v>
      </c>
      <c r="I10911" s="2"/>
      <c r="J10911" s="2"/>
      <c r="K10911" s="2"/>
    </row>
    <row r="10912" spans="1:11" ht="12.45">
      <c r="A10912" s="2"/>
      <c r="C10912" s="2" t="str">
        <v>0</v>
      </c>
      <c r="F10912" s="2" t="str">
        <v>0</v>
      </c>
      <c r="I10912" s="2"/>
      <c r="J10912" s="2"/>
      <c r="K10912" s="2"/>
    </row>
    <row r="10913" spans="1:11" ht="12.45">
      <c r="A10913" s="2"/>
      <c r="C10913" s="2" t="str">
        <v>0</v>
      </c>
      <c r="F10913" s="2" t="str">
        <v>0</v>
      </c>
      <c r="I10913" s="2"/>
      <c r="J10913" s="2"/>
      <c r="K10913" s="2"/>
    </row>
    <row r="10914" spans="1:11" ht="12.45">
      <c r="A10914" s="2"/>
      <c r="C10914" s="2" t="str">
        <v>0</v>
      </c>
      <c r="F10914" s="2" t="str">
        <v>0</v>
      </c>
      <c r="I10914" s="2"/>
      <c r="J10914" s="2"/>
      <c r="K10914" s="2"/>
    </row>
    <row r="10915" spans="1:11" ht="12.45">
      <c r="A10915" s="2"/>
      <c r="C10915" s="2" t="str">
        <v>0</v>
      </c>
      <c r="F10915" s="2" t="str">
        <v>0</v>
      </c>
      <c r="I10915" s="2"/>
      <c r="J10915" s="2"/>
      <c r="K10915" s="2"/>
    </row>
    <row r="10916" spans="1:11" ht="12.45">
      <c r="A10916" s="2"/>
      <c r="C10916" s="2" t="str">
        <v>0</v>
      </c>
      <c r="F10916" s="2" t="str">
        <v>0</v>
      </c>
      <c r="I10916" s="2"/>
      <c r="J10916" s="2"/>
      <c r="K10916" s="2"/>
    </row>
    <row r="10917" spans="1:11" ht="12.45">
      <c r="A10917" s="2"/>
      <c r="C10917" s="2" t="str">
        <v>0</v>
      </c>
      <c r="F10917" s="2" t="str">
        <v>0</v>
      </c>
      <c r="I10917" s="2"/>
      <c r="J10917" s="2"/>
      <c r="K10917" s="2"/>
    </row>
    <row r="10918" spans="1:11" ht="12.45">
      <c r="A10918" s="2"/>
      <c r="C10918" s="2" t="str">
        <v>0</v>
      </c>
      <c r="F10918" s="2" t="str">
        <v>0</v>
      </c>
      <c r="I10918" s="2"/>
      <c r="J10918" s="2"/>
      <c r="K10918" s="2"/>
    </row>
    <row r="10919" spans="1:11" ht="12.45">
      <c r="A10919" s="2"/>
      <c r="C10919" s="2" t="str">
        <v>0</v>
      </c>
      <c r="F10919" s="2" t="str">
        <v>0</v>
      </c>
      <c r="I10919" s="2"/>
      <c r="J10919" s="2"/>
      <c r="K10919" s="2"/>
    </row>
    <row r="10920" spans="1:11" ht="12.45">
      <c r="A10920" s="2"/>
      <c r="C10920" s="2" t="str">
        <v>0</v>
      </c>
      <c r="F10920" s="2" t="str">
        <v>0</v>
      </c>
      <c r="I10920" s="2"/>
      <c r="J10920" s="2"/>
      <c r="K10920" s="2"/>
    </row>
    <row r="10921" spans="1:11" ht="12.45">
      <c r="A10921" s="2"/>
      <c r="C10921" s="2" t="str">
        <v>0</v>
      </c>
      <c r="F10921" s="2" t="str">
        <v>0</v>
      </c>
      <c r="I10921" s="2"/>
      <c r="J10921" s="2"/>
      <c r="K10921" s="2"/>
    </row>
    <row r="10922" spans="1:11" ht="12.45">
      <c r="A10922" s="2"/>
      <c r="C10922" s="2" t="str">
        <v>0</v>
      </c>
      <c r="F10922" s="2" t="str">
        <v>0</v>
      </c>
      <c r="I10922" s="2"/>
      <c r="J10922" s="2"/>
      <c r="K10922" s="2"/>
    </row>
    <row r="10923" spans="1:11" ht="12.45">
      <c r="A10923" s="2"/>
      <c r="C10923" s="2" t="str">
        <v>0</v>
      </c>
      <c r="F10923" s="2" t="str">
        <v>0</v>
      </c>
      <c r="I10923" s="2"/>
      <c r="J10923" s="2"/>
      <c r="K10923" s="2"/>
    </row>
    <row r="10924" spans="1:11" ht="12.45">
      <c r="A10924" s="2"/>
      <c r="C10924" s="2" t="str">
        <v>0</v>
      </c>
      <c r="F10924" s="2" t="str">
        <v>0</v>
      </c>
      <c r="I10924" s="2"/>
      <c r="J10924" s="2"/>
      <c r="K10924" s="2"/>
    </row>
    <row r="10925" spans="1:11" ht="12.45">
      <c r="A10925" s="2"/>
      <c r="C10925" s="2" t="str">
        <v>0</v>
      </c>
      <c r="F10925" s="2" t="str">
        <v>0</v>
      </c>
      <c r="I10925" s="2"/>
      <c r="J10925" s="2"/>
      <c r="K10925" s="2"/>
    </row>
    <row r="10926" spans="1:11" ht="12.45">
      <c r="A10926" s="2"/>
      <c r="C10926" s="2" t="str">
        <v>0</v>
      </c>
      <c r="F10926" s="2" t="str">
        <v>0</v>
      </c>
      <c r="I10926" s="2"/>
      <c r="J10926" s="2"/>
      <c r="K10926" s="2"/>
    </row>
    <row r="10927" spans="1:11" ht="12.45">
      <c r="A10927" s="2"/>
      <c r="C10927" s="2" t="str">
        <v>0</v>
      </c>
      <c r="F10927" s="2" t="str">
        <v>0</v>
      </c>
      <c r="I10927" s="2"/>
      <c r="J10927" s="2"/>
      <c r="K10927" s="2"/>
    </row>
    <row r="10928" spans="1:11" ht="12.45">
      <c r="A10928" s="2"/>
      <c r="C10928" s="2" t="str">
        <v>0</v>
      </c>
      <c r="F10928" s="2" t="str">
        <v>0</v>
      </c>
      <c r="I10928" s="2"/>
      <c r="J10928" s="2"/>
      <c r="K10928" s="2"/>
    </row>
    <row r="10929" spans="1:11" ht="12.45">
      <c r="A10929" s="2"/>
      <c r="C10929" s="2" t="str">
        <v>0</v>
      </c>
      <c r="F10929" s="2" t="str">
        <v>0</v>
      </c>
      <c r="I10929" s="2"/>
      <c r="J10929" s="2"/>
      <c r="K10929" s="2"/>
    </row>
    <row r="10930" spans="1:11" ht="12.45">
      <c r="A10930" s="2"/>
      <c r="C10930" s="2" t="str">
        <v>0</v>
      </c>
      <c r="F10930" s="2" t="str">
        <v>0</v>
      </c>
      <c r="I10930" s="2"/>
      <c r="J10930" s="2"/>
      <c r="K10930" s="2"/>
    </row>
    <row r="10931" spans="1:11" ht="12.45">
      <c r="A10931" s="2"/>
      <c r="C10931" s="2" t="str">
        <v>0</v>
      </c>
      <c r="F10931" s="2" t="str">
        <v>0</v>
      </c>
      <c r="I10931" s="2"/>
      <c r="J10931" s="2"/>
      <c r="K10931" s="2"/>
    </row>
    <row r="10932" spans="1:11" ht="12.45">
      <c r="A10932" s="2"/>
      <c r="C10932" s="2" t="str">
        <v>0</v>
      </c>
      <c r="F10932" s="2" t="str">
        <v>0</v>
      </c>
      <c r="I10932" s="2"/>
      <c r="J10932" s="2"/>
      <c r="K10932" s="2"/>
    </row>
    <row r="10933" spans="1:11" ht="12.45">
      <c r="A10933" s="2"/>
      <c r="C10933" s="2" t="str">
        <v>0</v>
      </c>
      <c r="F10933" s="2" t="str">
        <v>0</v>
      </c>
      <c r="I10933" s="2"/>
      <c r="J10933" s="2"/>
      <c r="K10933" s="2"/>
    </row>
    <row r="10934" spans="1:11" ht="12.45">
      <c r="A10934" s="2"/>
      <c r="C10934" s="2" t="str">
        <v>0</v>
      </c>
      <c r="F10934" s="2" t="str">
        <v>0</v>
      </c>
      <c r="I10934" s="2"/>
      <c r="J10934" s="2"/>
      <c r="K10934" s="2"/>
    </row>
    <row r="10935" spans="1:11" ht="12.45">
      <c r="A10935" s="2"/>
      <c r="C10935" s="2" t="str">
        <v>0</v>
      </c>
      <c r="F10935" s="2" t="str">
        <v>0</v>
      </c>
      <c r="I10935" s="2"/>
      <c r="J10935" s="2"/>
      <c r="K10935" s="2"/>
    </row>
    <row r="10936" spans="1:11" ht="12.45">
      <c r="A10936" s="2"/>
      <c r="C10936" s="2" t="str">
        <v>0</v>
      </c>
      <c r="F10936" s="2" t="str">
        <v>0</v>
      </c>
      <c r="I10936" s="2"/>
      <c r="J10936" s="2"/>
      <c r="K10936" s="2"/>
    </row>
    <row r="10937" spans="1:11" ht="12.45">
      <c r="A10937" s="2"/>
      <c r="C10937" s="2" t="str">
        <v>0</v>
      </c>
      <c r="F10937" s="2" t="str">
        <v>0</v>
      </c>
      <c r="I10937" s="2"/>
      <c r="J10937" s="2"/>
      <c r="K10937" s="2"/>
    </row>
    <row r="10938" spans="1:11" ht="12.45">
      <c r="A10938" s="2"/>
      <c r="C10938" s="2" t="str">
        <v>0</v>
      </c>
      <c r="F10938" s="2" t="str">
        <v>0</v>
      </c>
      <c r="I10938" s="2"/>
      <c r="J10938" s="2"/>
      <c r="K10938" s="2"/>
    </row>
    <row r="10939" spans="1:11" ht="12.45">
      <c r="A10939" s="2"/>
      <c r="C10939" s="2" t="str">
        <v>0</v>
      </c>
      <c r="F10939" s="2" t="str">
        <v>0</v>
      </c>
      <c r="I10939" s="2"/>
      <c r="J10939" s="2"/>
      <c r="K10939" s="2"/>
    </row>
    <row r="10940" spans="1:11" ht="12.45">
      <c r="A10940" s="2"/>
      <c r="C10940" s="2" t="str">
        <v>0</v>
      </c>
      <c r="F10940" s="2" t="str">
        <v>0</v>
      </c>
      <c r="I10940" s="2"/>
      <c r="J10940" s="2"/>
      <c r="K10940" s="2"/>
    </row>
    <row r="10941" spans="1:11" ht="12.45">
      <c r="A10941" s="2"/>
      <c r="C10941" s="2" t="str">
        <v>0</v>
      </c>
      <c r="F10941" s="2" t="str">
        <v>0</v>
      </c>
      <c r="I10941" s="2"/>
      <c r="J10941" s="2"/>
      <c r="K10941" s="2"/>
    </row>
    <row r="10942" spans="1:11" ht="12.45">
      <c r="A10942" s="2"/>
      <c r="C10942" s="2" t="str">
        <v>0</v>
      </c>
      <c r="F10942" s="2" t="str">
        <v>0</v>
      </c>
      <c r="I10942" s="2"/>
      <c r="J10942" s="2"/>
      <c r="K10942" s="2"/>
    </row>
    <row r="10943" spans="1:11" ht="12.45">
      <c r="A10943" s="2"/>
      <c r="C10943" s="2" t="str">
        <v>0</v>
      </c>
      <c r="F10943" s="2" t="str">
        <v>0</v>
      </c>
      <c r="I10943" s="2"/>
      <c r="J10943" s="2"/>
      <c r="K10943" s="2"/>
    </row>
    <row r="10944" spans="1:11" ht="12.45">
      <c r="A10944" s="2"/>
      <c r="C10944" s="2" t="str">
        <v>0</v>
      </c>
      <c r="F10944" s="2" t="str">
        <v>0</v>
      </c>
      <c r="I10944" s="2"/>
      <c r="J10944" s="2"/>
      <c r="K10944" s="2"/>
    </row>
    <row r="10945" spans="1:11" ht="12.45">
      <c r="A10945" s="2"/>
      <c r="C10945" s="2" t="str">
        <v>0</v>
      </c>
      <c r="F10945" s="2" t="str">
        <v>0</v>
      </c>
      <c r="I10945" s="2"/>
      <c r="J10945" s="2"/>
      <c r="K10945" s="2"/>
    </row>
    <row r="10946" spans="1:11" ht="12.45">
      <c r="A10946" s="2"/>
      <c r="C10946" s="2" t="str">
        <v>0</v>
      </c>
      <c r="F10946" s="2" t="str">
        <v>0</v>
      </c>
      <c r="I10946" s="2"/>
      <c r="J10946" s="2"/>
      <c r="K10946" s="2"/>
    </row>
    <row r="10947" spans="1:11" ht="12.45">
      <c r="A10947" s="2"/>
      <c r="C10947" s="2" t="str">
        <v>0</v>
      </c>
      <c r="F10947" s="2" t="str">
        <v>0</v>
      </c>
      <c r="I10947" s="2"/>
      <c r="J10947" s="2"/>
      <c r="K10947" s="2"/>
    </row>
    <row r="10948" spans="1:11" ht="12.45">
      <c r="A10948" s="2"/>
      <c r="C10948" s="2" t="str">
        <v>0</v>
      </c>
      <c r="F10948" s="2" t="str">
        <v>0</v>
      </c>
      <c r="I10948" s="2"/>
      <c r="J10948" s="2"/>
      <c r="K10948" s="2"/>
    </row>
    <row r="10949" spans="1:11" ht="12.45">
      <c r="A10949" s="2"/>
      <c r="C10949" s="2" t="str">
        <v>0</v>
      </c>
      <c r="F10949" s="2" t="str">
        <v>0</v>
      </c>
      <c r="I10949" s="2"/>
      <c r="J10949" s="2"/>
      <c r="K10949" s="2"/>
    </row>
    <row r="10950" spans="1:11" ht="12.45">
      <c r="A10950" s="2"/>
      <c r="C10950" s="2" t="str">
        <v>0</v>
      </c>
      <c r="F10950" s="2" t="str">
        <v>0</v>
      </c>
      <c r="I10950" s="2"/>
      <c r="J10950" s="2"/>
      <c r="K10950" s="2"/>
    </row>
    <row r="10951" spans="1:11" ht="12.45">
      <c r="A10951" s="2"/>
      <c r="C10951" s="2" t="str">
        <v>0</v>
      </c>
      <c r="F10951" s="2" t="str">
        <v>0</v>
      </c>
      <c r="I10951" s="2"/>
      <c r="J10951" s="2"/>
      <c r="K10951" s="2"/>
    </row>
    <row r="10952" spans="1:11" ht="12.45">
      <c r="A10952" s="2"/>
      <c r="C10952" s="2" t="str">
        <v>0</v>
      </c>
      <c r="F10952" s="2" t="str">
        <v>0</v>
      </c>
      <c r="I10952" s="2"/>
      <c r="J10952" s="2"/>
      <c r="K10952" s="2"/>
    </row>
    <row r="10953" spans="1:11" ht="12.45">
      <c r="A10953" s="2"/>
      <c r="C10953" s="2" t="str">
        <v>0</v>
      </c>
      <c r="F10953" s="2" t="str">
        <v>0</v>
      </c>
      <c r="I10953" s="2"/>
      <c r="J10953" s="2"/>
      <c r="K10953" s="2"/>
    </row>
    <row r="10954" spans="1:11" ht="12.45">
      <c r="A10954" s="2"/>
      <c r="C10954" s="2" t="str">
        <v>0</v>
      </c>
      <c r="F10954" s="2" t="str">
        <v>0</v>
      </c>
      <c r="I10954" s="2"/>
      <c r="J10954" s="2"/>
      <c r="K10954" s="2"/>
    </row>
    <row r="10955" spans="1:11" ht="12.45">
      <c r="A10955" s="2"/>
      <c r="C10955" s="2" t="str">
        <v>0</v>
      </c>
      <c r="F10955" s="2" t="str">
        <v>0</v>
      </c>
      <c r="I10955" s="2"/>
      <c r="J10955" s="2"/>
      <c r="K10955" s="2"/>
    </row>
    <row r="10956" spans="1:11" ht="12.45">
      <c r="A10956" s="2"/>
      <c r="C10956" s="2" t="str">
        <v>0</v>
      </c>
      <c r="F10956" s="2" t="str">
        <v>0</v>
      </c>
      <c r="I10956" s="2"/>
      <c r="J10956" s="2"/>
      <c r="K10956" s="2"/>
    </row>
    <row r="10957" spans="1:11" ht="12.45">
      <c r="A10957" s="2"/>
      <c r="C10957" s="2" t="str">
        <v>0</v>
      </c>
      <c r="F10957" s="2" t="str">
        <v>0</v>
      </c>
      <c r="I10957" s="2"/>
      <c r="J10957" s="2"/>
      <c r="K10957" s="2"/>
    </row>
    <row r="10958" spans="1:11" ht="12.45">
      <c r="A10958" s="2"/>
      <c r="C10958" s="2" t="str">
        <v>0</v>
      </c>
      <c r="F10958" s="2" t="str">
        <v>0</v>
      </c>
      <c r="I10958" s="2"/>
      <c r="J10958" s="2"/>
      <c r="K10958" s="2"/>
    </row>
    <row r="10959" spans="1:11" ht="12.45">
      <c r="A10959" s="2"/>
      <c r="C10959" s="2" t="str">
        <v>0</v>
      </c>
      <c r="F10959" s="2" t="str">
        <v>0</v>
      </c>
      <c r="I10959" s="2"/>
      <c r="J10959" s="2"/>
      <c r="K10959" s="2"/>
    </row>
    <row r="10960" spans="1:11" ht="12.45">
      <c r="A10960" s="2"/>
      <c r="C10960" s="2" t="str">
        <v>0</v>
      </c>
      <c r="F10960" s="2" t="str">
        <v>0</v>
      </c>
      <c r="I10960" s="2"/>
      <c r="J10960" s="2"/>
      <c r="K10960" s="2"/>
    </row>
    <row r="10961" spans="1:11" ht="12.45">
      <c r="A10961" s="2"/>
      <c r="C10961" s="2" t="str">
        <v>0</v>
      </c>
      <c r="F10961" s="2" t="str">
        <v>0</v>
      </c>
      <c r="I10961" s="2"/>
      <c r="J10961" s="2"/>
      <c r="K10961" s="2"/>
    </row>
    <row r="10962" spans="1:11" ht="12.45">
      <c r="A10962" s="2"/>
      <c r="C10962" s="2" t="str">
        <v>0</v>
      </c>
      <c r="F10962" s="2" t="str">
        <v>0</v>
      </c>
      <c r="I10962" s="2"/>
      <c r="J10962" s="2"/>
      <c r="K10962" s="2"/>
    </row>
    <row r="10963" spans="1:11" ht="12.45">
      <c r="A10963" s="2"/>
      <c r="C10963" s="2" t="str">
        <v>0</v>
      </c>
      <c r="F10963" s="2" t="str">
        <v>0</v>
      </c>
      <c r="I10963" s="2"/>
      <c r="J10963" s="2"/>
      <c r="K10963" s="2"/>
    </row>
    <row r="10964" spans="1:11" ht="12.45">
      <c r="A10964" s="2"/>
      <c r="C10964" s="2" t="str">
        <v>0</v>
      </c>
      <c r="F10964" s="2" t="str">
        <v>0</v>
      </c>
      <c r="I10964" s="2"/>
      <c r="J10964" s="2"/>
      <c r="K10964" s="2"/>
    </row>
    <row r="10965" spans="1:11" ht="12.45">
      <c r="A10965" s="2"/>
      <c r="C10965" s="2" t="str">
        <v>0</v>
      </c>
      <c r="F10965" s="2" t="str">
        <v>0</v>
      </c>
      <c r="I10965" s="2"/>
      <c r="J10965" s="2"/>
      <c r="K10965" s="2"/>
    </row>
    <row r="10966" spans="1:11" ht="12.45">
      <c r="A10966" s="2"/>
      <c r="C10966" s="2" t="str">
        <v>0</v>
      </c>
      <c r="F10966" s="2" t="str">
        <v>0</v>
      </c>
      <c r="I10966" s="2"/>
      <c r="J10966" s="2"/>
      <c r="K10966" s="2"/>
    </row>
    <row r="10967" spans="1:11" ht="12.45">
      <c r="A10967" s="2"/>
      <c r="C10967" s="2" t="str">
        <v>0</v>
      </c>
      <c r="F10967" s="2" t="str">
        <v>0</v>
      </c>
      <c r="I10967" s="2"/>
      <c r="J10967" s="2"/>
      <c r="K10967" s="2"/>
    </row>
    <row r="10968" spans="1:11" ht="12.45">
      <c r="A10968" s="2"/>
      <c r="C10968" s="2" t="str">
        <v>0</v>
      </c>
      <c r="F10968" s="2" t="str">
        <v>0</v>
      </c>
      <c r="I10968" s="2"/>
      <c r="J10968" s="2"/>
      <c r="K10968" s="2"/>
    </row>
    <row r="10969" spans="1:11" ht="12.45">
      <c r="A10969" s="2"/>
      <c r="C10969" s="2" t="str">
        <v>0</v>
      </c>
      <c r="F10969" s="2" t="str">
        <v>0</v>
      </c>
      <c r="I10969" s="2"/>
      <c r="J10969" s="2"/>
      <c r="K10969" s="2"/>
    </row>
    <row r="10970" spans="1:11" ht="12.45">
      <c r="A10970" s="2"/>
      <c r="C10970" s="2" t="str">
        <v>0</v>
      </c>
      <c r="F10970" s="2" t="str">
        <v>0</v>
      </c>
      <c r="I10970" s="2"/>
      <c r="J10970" s="2"/>
      <c r="K10970" s="2"/>
    </row>
    <row r="10971" spans="1:11" ht="12.45">
      <c r="A10971" s="2"/>
      <c r="C10971" s="2" t="str">
        <v>0</v>
      </c>
      <c r="F10971" s="2" t="str">
        <v>0</v>
      </c>
      <c r="I10971" s="2"/>
      <c r="J10971" s="2"/>
      <c r="K10971" s="2"/>
    </row>
    <row r="10972" spans="1:11" ht="12.45">
      <c r="A10972" s="2"/>
      <c r="C10972" s="2" t="str">
        <v>0</v>
      </c>
      <c r="F10972" s="2" t="str">
        <v>0</v>
      </c>
      <c r="I10972" s="2"/>
      <c r="J10972" s="2"/>
      <c r="K10972" s="2"/>
    </row>
    <row r="10973" spans="1:11" ht="12.45">
      <c r="A10973" s="2"/>
      <c r="C10973" s="2" t="str">
        <v>0</v>
      </c>
      <c r="F10973" s="2" t="str">
        <v>0</v>
      </c>
      <c r="I10973" s="2"/>
      <c r="J10973" s="2"/>
      <c r="K10973" s="2"/>
    </row>
    <row r="10974" spans="1:11" ht="12.45">
      <c r="A10974" s="2"/>
      <c r="C10974" s="2" t="str">
        <v>0</v>
      </c>
      <c r="F10974" s="2" t="str">
        <v>0</v>
      </c>
      <c r="I10974" s="2"/>
      <c r="J10974" s="2"/>
      <c r="K10974" s="2"/>
    </row>
    <row r="10975" spans="1:11" ht="12.45">
      <c r="A10975" s="2"/>
      <c r="C10975" s="2" t="str">
        <v>0</v>
      </c>
      <c r="F10975" s="2" t="str">
        <v>0</v>
      </c>
      <c r="I10975" s="2"/>
      <c r="J10975" s="2"/>
      <c r="K10975" s="2"/>
    </row>
    <row r="10976" spans="1:11" ht="12.45">
      <c r="A10976" s="2"/>
      <c r="C10976" s="2" t="str">
        <v>0</v>
      </c>
      <c r="F10976" s="2" t="str">
        <v>0</v>
      </c>
      <c r="I10976" s="2"/>
      <c r="J10976" s="2"/>
      <c r="K10976" s="2"/>
    </row>
    <row r="10977" spans="1:11" ht="12.45">
      <c r="A10977" s="2"/>
      <c r="C10977" s="2" t="str">
        <v>0</v>
      </c>
      <c r="F10977" s="2" t="str">
        <v>0</v>
      </c>
      <c r="I10977" s="2"/>
      <c r="J10977" s="2"/>
      <c r="K10977" s="2"/>
    </row>
    <row r="10978" spans="1:11" ht="12.45">
      <c r="A10978" s="2"/>
      <c r="C10978" s="2" t="str">
        <v>0</v>
      </c>
      <c r="F10978" s="2" t="str">
        <v>0</v>
      </c>
      <c r="I10978" s="2"/>
      <c r="J10978" s="2"/>
      <c r="K10978" s="2"/>
    </row>
    <row r="10979" spans="1:11" ht="12.45">
      <c r="A10979" s="2"/>
      <c r="C10979" s="2" t="str">
        <v>0</v>
      </c>
      <c r="F10979" s="2" t="str">
        <v>0</v>
      </c>
      <c r="I10979" s="2"/>
      <c r="J10979" s="2"/>
      <c r="K10979" s="2"/>
    </row>
    <row r="10980" spans="1:11" ht="12.45">
      <c r="A10980" s="2"/>
      <c r="C10980" s="2" t="str">
        <v>0</v>
      </c>
      <c r="F10980" s="2" t="str">
        <v>0</v>
      </c>
      <c r="I10980" s="2"/>
      <c r="J10980" s="2"/>
      <c r="K10980" s="2"/>
    </row>
    <row r="10981" spans="1:11" ht="12.45">
      <c r="A10981" s="2"/>
      <c r="C10981" s="2" t="str">
        <v>0</v>
      </c>
      <c r="F10981" s="2" t="str">
        <v>0</v>
      </c>
      <c r="I10981" s="2"/>
      <c r="J10981" s="2"/>
      <c r="K10981" s="2"/>
    </row>
    <row r="10982" spans="1:11" ht="12.45">
      <c r="A10982" s="2"/>
      <c r="C10982" s="2" t="str">
        <v>0</v>
      </c>
      <c r="F10982" s="2" t="str">
        <v>0</v>
      </c>
      <c r="I10982" s="2"/>
      <c r="J10982" s="2"/>
      <c r="K10982" s="2"/>
    </row>
    <row r="10983" spans="1:11" ht="12.45">
      <c r="A10983" s="2"/>
      <c r="C10983" s="2" t="str">
        <v>0</v>
      </c>
      <c r="F10983" s="2" t="str">
        <v>0</v>
      </c>
      <c r="I10983" s="2"/>
      <c r="J10983" s="2"/>
      <c r="K10983" s="2"/>
    </row>
    <row r="10984" spans="1:11" ht="12.45">
      <c r="A10984" s="2"/>
      <c r="C10984" s="2" t="str">
        <v>0</v>
      </c>
      <c r="F10984" s="2" t="str">
        <v>0</v>
      </c>
      <c r="I10984" s="2"/>
      <c r="J10984" s="2"/>
      <c r="K10984" s="2"/>
    </row>
    <row r="10985" spans="1:11" ht="12.45">
      <c r="A10985" s="2"/>
      <c r="C10985" s="2" t="str">
        <v>0</v>
      </c>
      <c r="F10985" s="2" t="str">
        <v>0</v>
      </c>
      <c r="I10985" s="2"/>
      <c r="J10985" s="2"/>
      <c r="K10985" s="2"/>
    </row>
    <row r="10986" spans="1:11" ht="12.45">
      <c r="A10986" s="2"/>
      <c r="C10986" s="2" t="str">
        <v>0</v>
      </c>
      <c r="F10986" s="2" t="str">
        <v>0</v>
      </c>
      <c r="I10986" s="2"/>
      <c r="J10986" s="2"/>
      <c r="K10986" s="2"/>
    </row>
    <row r="10987" spans="1:11" ht="12.45">
      <c r="A10987" s="2"/>
      <c r="C10987" s="2" t="str">
        <v>0</v>
      </c>
      <c r="F10987" s="2" t="str">
        <v>0</v>
      </c>
      <c r="I10987" s="2"/>
      <c r="J10987" s="2"/>
      <c r="K10987" s="2"/>
    </row>
    <row r="10988" spans="1:11" ht="12.45">
      <c r="A10988" s="2"/>
      <c r="C10988" s="2" t="str">
        <v>0</v>
      </c>
      <c r="F10988" s="2" t="str">
        <v>0</v>
      </c>
      <c r="I10988" s="2"/>
      <c r="J10988" s="2"/>
      <c r="K10988" s="2"/>
    </row>
    <row r="10989" spans="1:11" ht="12.45">
      <c r="A10989" s="2"/>
      <c r="C10989" s="2" t="str">
        <v>0</v>
      </c>
      <c r="F10989" s="2" t="str">
        <v>0</v>
      </c>
      <c r="I10989" s="2"/>
      <c r="J10989" s="2"/>
      <c r="K10989" s="2"/>
    </row>
    <row r="10990" spans="1:11" ht="12.45">
      <c r="A10990" s="2"/>
      <c r="C10990" s="2" t="str">
        <v>0</v>
      </c>
      <c r="F10990" s="2" t="str">
        <v>0</v>
      </c>
      <c r="I10990" s="2"/>
      <c r="J10990" s="2"/>
      <c r="K10990" s="2"/>
    </row>
    <row r="10991" spans="1:11" ht="12.45">
      <c r="A10991" s="2"/>
      <c r="C10991" s="2" t="str">
        <v>0</v>
      </c>
      <c r="F10991" s="2" t="str">
        <v>0</v>
      </c>
      <c r="I10991" s="2"/>
      <c r="J10991" s="2"/>
      <c r="K10991" s="2"/>
    </row>
    <row r="10992" spans="1:11" ht="12.45">
      <c r="A10992" s="2"/>
      <c r="C10992" s="2" t="str">
        <v>0</v>
      </c>
      <c r="F10992" s="2" t="str">
        <v>0</v>
      </c>
      <c r="I10992" s="2"/>
      <c r="J10992" s="2"/>
      <c r="K10992" s="2"/>
    </row>
    <row r="10993" spans="1:11" ht="12.45">
      <c r="A10993" s="2"/>
      <c r="C10993" s="2" t="str">
        <v>0</v>
      </c>
      <c r="F10993" s="2" t="str">
        <v>0</v>
      </c>
      <c r="I10993" s="2"/>
      <c r="J10993" s="2"/>
      <c r="K10993" s="2"/>
    </row>
    <row r="10994" spans="1:11" ht="12.45">
      <c r="A10994" s="2"/>
      <c r="C10994" s="2" t="str">
        <v>0</v>
      </c>
      <c r="F10994" s="2" t="str">
        <v>0</v>
      </c>
      <c r="I10994" s="2"/>
      <c r="J10994" s="2"/>
      <c r="K10994" s="2"/>
    </row>
    <row r="10995" spans="1:11" ht="12.45">
      <c r="A10995" s="2"/>
      <c r="C10995" s="2" t="str">
        <v>0</v>
      </c>
      <c r="F10995" s="2" t="str">
        <v>0</v>
      </c>
      <c r="I10995" s="2"/>
      <c r="J10995" s="2"/>
      <c r="K10995" s="2"/>
    </row>
    <row r="10996" spans="1:11" ht="12.45">
      <c r="A10996" s="2"/>
      <c r="C10996" s="2" t="str">
        <v>0</v>
      </c>
      <c r="F10996" s="2" t="str">
        <v>0</v>
      </c>
      <c r="I10996" s="2"/>
      <c r="J10996" s="2"/>
      <c r="K10996" s="2"/>
    </row>
    <row r="10997" spans="1:11" ht="12.45">
      <c r="A10997" s="2"/>
      <c r="C10997" s="2" t="str">
        <v>0</v>
      </c>
      <c r="F10997" s="2" t="str">
        <v>0</v>
      </c>
      <c r="I10997" s="2"/>
      <c r="J10997" s="2"/>
      <c r="K10997" s="2"/>
    </row>
    <row r="10998" spans="1:11" ht="12.45">
      <c r="A10998" s="2"/>
      <c r="C10998" s="2" t="str">
        <v>0</v>
      </c>
      <c r="F10998" s="2" t="str">
        <v>0</v>
      </c>
      <c r="I10998" s="2"/>
      <c r="J10998" s="2"/>
      <c r="K10998" s="2"/>
    </row>
    <row r="10999" spans="1:11" ht="12.45">
      <c r="A10999" s="2"/>
      <c r="C10999" s="2" t="str">
        <v>0</v>
      </c>
      <c r="F10999" s="2" t="str">
        <v>0</v>
      </c>
      <c r="I10999" s="2"/>
      <c r="J10999" s="2"/>
      <c r="K10999" s="2"/>
    </row>
    <row r="11000" spans="1:11" ht="12.45">
      <c r="A11000" s="2"/>
      <c r="C11000" s="2" t="str">
        <v>0</v>
      </c>
      <c r="F11000" s="2" t="str">
        <v>0</v>
      </c>
      <c r="I11000" s="2"/>
      <c r="J11000" s="2"/>
      <c r="K11000" s="2"/>
    </row>
    <row r="11001" spans="1:11" ht="12.45">
      <c r="A11001" s="2"/>
      <c r="C11001" s="2" t="str">
        <v>0</v>
      </c>
      <c r="F11001" s="2" t="str">
        <v>0</v>
      </c>
      <c r="I11001" s="2"/>
      <c r="J11001" s="2"/>
      <c r="K11001" s="2"/>
    </row>
    <row r="11002" spans="1:11" ht="12.45">
      <c r="A11002" s="2"/>
      <c r="C11002" s="2" t="str">
        <v>0</v>
      </c>
      <c r="F11002" s="2" t="str">
        <v>0</v>
      </c>
      <c r="I11002" s="2"/>
      <c r="J11002" s="2"/>
      <c r="K11002" s="2"/>
    </row>
    <row r="11003" spans="1:11" ht="12.45">
      <c r="A11003" s="2"/>
      <c r="C11003" s="2" t="str">
        <v>0</v>
      </c>
      <c r="F11003" s="2" t="str">
        <v>0</v>
      </c>
      <c r="I11003" s="2"/>
      <c r="J11003" s="2"/>
      <c r="K11003" s="2"/>
    </row>
    <row r="11004" spans="1:11" ht="12.45">
      <c r="A11004" s="2"/>
      <c r="C11004" s="2" t="str">
        <v>0</v>
      </c>
      <c r="F11004" s="2" t="str">
        <v>0</v>
      </c>
      <c r="I11004" s="2"/>
      <c r="J11004" s="2"/>
      <c r="K11004" s="2"/>
    </row>
    <row r="11005" spans="1:11" ht="12.45">
      <c r="A11005" s="2"/>
      <c r="C11005" s="2" t="str">
        <v>0</v>
      </c>
      <c r="F11005" s="2" t="str">
        <v>0</v>
      </c>
      <c r="I11005" s="2"/>
      <c r="J11005" s="2"/>
      <c r="K11005" s="2"/>
    </row>
    <row r="11006" spans="1:11" ht="12.45">
      <c r="A11006" s="2"/>
      <c r="C11006" s="2" t="str">
        <v>0</v>
      </c>
      <c r="F11006" s="2" t="str">
        <v>0</v>
      </c>
      <c r="I11006" s="2"/>
      <c r="J11006" s="2"/>
      <c r="K11006" s="2"/>
    </row>
    <row r="11007" spans="1:11" ht="12.45">
      <c r="A11007" s="2"/>
      <c r="C11007" s="2" t="str">
        <v>0</v>
      </c>
      <c r="F11007" s="2" t="str">
        <v>0</v>
      </c>
      <c r="I11007" s="2"/>
      <c r="J11007" s="2"/>
      <c r="K11007" s="2"/>
    </row>
    <row r="11008" spans="1:11" ht="12.45">
      <c r="A11008" s="2"/>
      <c r="C11008" s="2" t="str">
        <v>0</v>
      </c>
      <c r="F11008" s="2" t="str">
        <v>0</v>
      </c>
      <c r="I11008" s="2"/>
      <c r="J11008" s="2"/>
      <c r="K11008" s="2"/>
    </row>
    <row r="11009" spans="1:11" ht="12.45">
      <c r="A11009" s="2"/>
      <c r="C11009" s="2" t="str">
        <v>0</v>
      </c>
      <c r="F11009" s="2" t="str">
        <v>0</v>
      </c>
      <c r="I11009" s="2"/>
      <c r="J11009" s="2"/>
      <c r="K11009" s="2"/>
    </row>
    <row r="11010" spans="1:11" ht="12.45">
      <c r="A11010" s="2"/>
      <c r="C11010" s="2" t="str">
        <v>0</v>
      </c>
      <c r="F11010" s="2" t="str">
        <v>0</v>
      </c>
      <c r="I11010" s="2"/>
      <c r="J11010" s="2"/>
      <c r="K11010" s="2"/>
    </row>
    <row r="11011" spans="1:11" ht="12.45">
      <c r="A11011" s="2"/>
      <c r="C11011" s="2" t="str">
        <v>0</v>
      </c>
      <c r="F11011" s="2" t="str">
        <v>0</v>
      </c>
      <c r="I11011" s="2"/>
      <c r="J11011" s="2"/>
      <c r="K11011" s="2"/>
    </row>
    <row r="11012" spans="1:11" ht="12.45">
      <c r="A11012" s="2"/>
      <c r="C11012" s="2" t="str">
        <v>0</v>
      </c>
      <c r="F11012" s="2" t="str">
        <v>0</v>
      </c>
      <c r="I11012" s="2"/>
      <c r="J11012" s="2"/>
      <c r="K11012" s="2"/>
    </row>
    <row r="11013" spans="1:11" ht="12.45">
      <c r="A11013" s="2"/>
      <c r="C11013" s="2" t="str">
        <v>0</v>
      </c>
      <c r="F11013" s="2" t="str">
        <v>0</v>
      </c>
      <c r="I11013" s="2"/>
      <c r="J11013" s="2"/>
      <c r="K11013" s="2"/>
    </row>
    <row r="11014" spans="1:11" ht="12.45">
      <c r="A11014" s="2"/>
      <c r="C11014" s="2" t="str">
        <v>0</v>
      </c>
      <c r="F11014" s="2" t="str">
        <v>0</v>
      </c>
      <c r="I11014" s="2"/>
      <c r="J11014" s="2"/>
      <c r="K11014" s="2"/>
    </row>
    <row r="11015" spans="1:11" ht="12.45">
      <c r="A11015" s="2"/>
      <c r="C11015" s="2" t="str">
        <v>0</v>
      </c>
      <c r="F11015" s="2" t="str">
        <v>0</v>
      </c>
      <c r="I11015" s="2"/>
      <c r="J11015" s="2"/>
      <c r="K11015" s="2"/>
    </row>
    <row r="11016" spans="1:11" ht="12.45">
      <c r="A11016" s="2"/>
      <c r="C11016" s="2" t="str">
        <v>0</v>
      </c>
      <c r="F11016" s="2" t="str">
        <v>0</v>
      </c>
      <c r="I11016" s="2"/>
      <c r="J11016" s="2"/>
      <c r="K11016" s="2"/>
    </row>
    <row r="11017" spans="1:11" ht="12.45">
      <c r="A11017" s="2"/>
      <c r="C11017" s="2" t="str">
        <v>0</v>
      </c>
      <c r="F11017" s="2" t="str">
        <v>0</v>
      </c>
      <c r="I11017" s="2"/>
      <c r="J11017" s="2"/>
      <c r="K11017" s="2"/>
    </row>
    <row r="11018" spans="1:11" ht="12.45">
      <c r="A11018" s="2"/>
      <c r="C11018" s="2" t="str">
        <v>0</v>
      </c>
      <c r="F11018" s="2" t="str">
        <v>0</v>
      </c>
      <c r="I11018" s="2"/>
      <c r="J11018" s="2"/>
      <c r="K11018" s="2"/>
    </row>
    <row r="11019" spans="1:11" ht="12.45">
      <c r="A11019" s="2"/>
      <c r="C11019" s="2" t="str">
        <v>0</v>
      </c>
      <c r="F11019" s="2" t="str">
        <v>0</v>
      </c>
      <c r="I11019" s="2"/>
      <c r="J11019" s="2"/>
      <c r="K11019" s="2"/>
    </row>
    <row r="11020" spans="1:11" ht="12.45">
      <c r="A11020" s="2"/>
      <c r="C11020" s="2" t="str">
        <v>0</v>
      </c>
      <c r="F11020" s="2" t="str">
        <v>0</v>
      </c>
      <c r="I11020" s="2"/>
      <c r="J11020" s="2"/>
      <c r="K11020" s="2"/>
    </row>
    <row r="11021" spans="1:11" ht="12.45">
      <c r="A11021" s="2"/>
      <c r="C11021" s="2" t="str">
        <v>0</v>
      </c>
      <c r="F11021" s="2" t="str">
        <v>0</v>
      </c>
      <c r="I11021" s="2"/>
      <c r="J11021" s="2"/>
      <c r="K11021" s="2"/>
    </row>
    <row r="11022" spans="1:11" ht="12.45">
      <c r="A11022" s="2"/>
      <c r="C11022" s="2" t="str">
        <v>0</v>
      </c>
      <c r="F11022" s="2" t="str">
        <v>0</v>
      </c>
      <c r="I11022" s="2"/>
      <c r="J11022" s="2"/>
      <c r="K11022" s="2"/>
    </row>
    <row r="11023" spans="1:11" ht="12.45">
      <c r="A11023" s="2"/>
      <c r="C11023" s="2" t="str">
        <v>0</v>
      </c>
      <c r="F11023" s="2" t="str">
        <v>0</v>
      </c>
      <c r="I11023" s="2"/>
      <c r="J11023" s="2"/>
      <c r="K11023" s="2"/>
    </row>
    <row r="11024" spans="1:11" ht="12.45">
      <c r="A11024" s="2"/>
      <c r="C11024" s="2" t="str">
        <v>0</v>
      </c>
      <c r="F11024" s="2" t="str">
        <v>0</v>
      </c>
      <c r="I11024" s="2"/>
      <c r="J11024" s="2"/>
      <c r="K11024" s="2"/>
    </row>
    <row r="11025" spans="1:11" ht="12.45">
      <c r="A11025" s="2"/>
      <c r="C11025" s="2" t="str">
        <v>0</v>
      </c>
      <c r="F11025" s="2" t="str">
        <v>0</v>
      </c>
      <c r="I11025" s="2"/>
      <c r="J11025" s="2"/>
      <c r="K11025" s="2"/>
    </row>
    <row r="11026" spans="1:11" ht="12.45">
      <c r="A11026" s="2"/>
      <c r="C11026" s="2" t="str">
        <v>0</v>
      </c>
      <c r="F11026" s="2" t="str">
        <v>0</v>
      </c>
      <c r="I11026" s="2"/>
      <c r="J11026" s="2"/>
      <c r="K11026" s="2"/>
    </row>
    <row r="11027" spans="1:11" ht="12.45">
      <c r="A11027" s="2"/>
      <c r="C11027" s="2" t="str">
        <v>0</v>
      </c>
      <c r="F11027" s="2" t="str">
        <v>0</v>
      </c>
      <c r="I11027" s="2"/>
      <c r="J11027" s="2"/>
      <c r="K11027" s="2"/>
    </row>
    <row r="11028" spans="1:11" ht="12.45">
      <c r="A11028" s="2"/>
      <c r="C11028" s="2" t="str">
        <v>0</v>
      </c>
      <c r="F11028" s="2" t="str">
        <v>0</v>
      </c>
      <c r="I11028" s="2"/>
      <c r="J11028" s="2"/>
      <c r="K11028" s="2"/>
    </row>
    <row r="11029" spans="1:11" ht="12.45">
      <c r="A11029" s="2"/>
      <c r="C11029" s="2" t="str">
        <v>0</v>
      </c>
      <c r="F11029" s="2" t="str">
        <v>0</v>
      </c>
      <c r="I11029" s="2"/>
      <c r="J11029" s="2"/>
      <c r="K11029" s="2"/>
    </row>
    <row r="11030" spans="1:11" ht="12.45">
      <c r="A11030" s="2"/>
      <c r="C11030" s="2" t="str">
        <v>0</v>
      </c>
      <c r="F11030" s="2" t="str">
        <v>0</v>
      </c>
      <c r="I11030" s="2"/>
      <c r="J11030" s="2"/>
      <c r="K11030" s="2"/>
    </row>
    <row r="11031" spans="1:11" ht="12.45">
      <c r="A11031" s="2"/>
      <c r="C11031" s="2" t="str">
        <v>0</v>
      </c>
      <c r="F11031" s="2" t="str">
        <v>0</v>
      </c>
      <c r="I11031" s="2"/>
      <c r="J11031" s="2"/>
      <c r="K11031" s="2"/>
    </row>
    <row r="11032" spans="1:11" ht="12.45">
      <c r="A11032" s="2"/>
      <c r="C11032" s="2" t="str">
        <v>0</v>
      </c>
      <c r="F11032" s="2" t="str">
        <v>0</v>
      </c>
      <c r="I11032" s="2"/>
      <c r="J11032" s="2"/>
      <c r="K11032" s="2"/>
    </row>
    <row r="11033" spans="1:11" ht="12.45">
      <c r="A11033" s="2"/>
      <c r="C11033" s="2" t="str">
        <v>0</v>
      </c>
      <c r="F11033" s="2" t="str">
        <v>0</v>
      </c>
      <c r="I11033" s="2"/>
      <c r="J11033" s="2"/>
      <c r="K11033" s="2"/>
    </row>
    <row r="11034" spans="1:11" ht="12.45">
      <c r="A11034" s="2"/>
      <c r="C11034" s="2" t="str">
        <v>0</v>
      </c>
      <c r="F11034" s="2" t="str">
        <v>0</v>
      </c>
      <c r="I11034" s="2"/>
      <c r="J11034" s="2"/>
      <c r="K11034" s="2"/>
    </row>
    <row r="11035" spans="1:11" ht="12.45">
      <c r="A11035" s="2"/>
      <c r="C11035" s="2" t="str">
        <v>0</v>
      </c>
      <c r="F11035" s="2" t="str">
        <v>0</v>
      </c>
      <c r="I11035" s="2"/>
      <c r="J11035" s="2"/>
      <c r="K11035" s="2"/>
    </row>
    <row r="11036" spans="1:11" ht="12.45">
      <c r="A11036" s="2"/>
      <c r="C11036" s="2" t="str">
        <v>0</v>
      </c>
      <c r="F11036" s="2" t="str">
        <v>0</v>
      </c>
      <c r="I11036" s="2"/>
      <c r="J11036" s="2"/>
      <c r="K11036" s="2"/>
    </row>
    <row r="11037" spans="1:11" ht="12.45">
      <c r="A11037" s="2"/>
      <c r="C11037" s="2" t="str">
        <v>0</v>
      </c>
      <c r="F11037" s="2" t="str">
        <v>0</v>
      </c>
      <c r="I11037" s="2"/>
      <c r="J11037" s="2"/>
      <c r="K11037" s="2"/>
    </row>
    <row r="11038" spans="1:11" ht="12.45">
      <c r="A11038" s="2"/>
      <c r="C11038" s="2" t="str">
        <v>0</v>
      </c>
      <c r="F11038" s="2" t="str">
        <v>0</v>
      </c>
      <c r="I11038" s="2"/>
      <c r="J11038" s="2"/>
      <c r="K11038" s="2"/>
    </row>
    <row r="11039" spans="1:11" ht="12.45">
      <c r="A11039" s="2"/>
      <c r="C11039" s="2" t="str">
        <v>0</v>
      </c>
      <c r="F11039" s="2" t="str">
        <v>0</v>
      </c>
      <c r="I11039" s="2"/>
      <c r="J11039" s="2"/>
      <c r="K11039" s="2"/>
    </row>
    <row r="11040" spans="1:11" ht="12.45">
      <c r="A11040" s="2"/>
      <c r="C11040" s="2" t="str">
        <v>0</v>
      </c>
      <c r="F11040" s="2" t="str">
        <v>0</v>
      </c>
      <c r="I11040" s="2"/>
      <c r="J11040" s="2"/>
      <c r="K11040" s="2"/>
    </row>
    <row r="11041" spans="1:11" ht="12.45">
      <c r="A11041" s="2"/>
      <c r="C11041" s="2" t="str">
        <v>0</v>
      </c>
      <c r="F11041" s="2" t="str">
        <v>0</v>
      </c>
      <c r="I11041" s="2"/>
      <c r="J11041" s="2"/>
      <c r="K11041" s="2"/>
    </row>
    <row r="11042" spans="1:11" ht="12.45">
      <c r="A11042" s="2"/>
      <c r="C11042" s="2" t="str">
        <v>0</v>
      </c>
      <c r="F11042" s="2" t="str">
        <v>0</v>
      </c>
      <c r="I11042" s="2"/>
      <c r="J11042" s="2"/>
      <c r="K11042" s="2"/>
    </row>
    <row r="11043" spans="1:11" ht="12.45">
      <c r="A11043" s="2"/>
      <c r="C11043" s="2" t="str">
        <v>0</v>
      </c>
      <c r="F11043" s="2" t="str">
        <v>0</v>
      </c>
      <c r="I11043" s="2"/>
      <c r="J11043" s="2"/>
      <c r="K11043" s="2"/>
    </row>
    <row r="11044" spans="1:11" ht="12.45">
      <c r="A11044" s="2"/>
      <c r="C11044" s="2" t="str">
        <v>0</v>
      </c>
      <c r="F11044" s="2" t="str">
        <v>0</v>
      </c>
      <c r="I11044" s="2"/>
      <c r="J11044" s="2"/>
      <c r="K11044" s="2"/>
    </row>
    <row r="11045" spans="1:11" ht="12.45">
      <c r="A11045" s="2"/>
      <c r="C11045" s="2" t="str">
        <v>0</v>
      </c>
      <c r="F11045" s="2" t="str">
        <v>0</v>
      </c>
      <c r="I11045" s="2"/>
      <c r="J11045" s="2"/>
      <c r="K11045" s="2"/>
    </row>
    <row r="11046" spans="1:11" ht="12.45">
      <c r="A11046" s="2"/>
      <c r="C11046" s="2" t="str">
        <v>0</v>
      </c>
      <c r="F11046" s="2" t="str">
        <v>0</v>
      </c>
      <c r="I11046" s="2"/>
      <c r="J11046" s="2"/>
      <c r="K11046" s="2"/>
    </row>
    <row r="11047" spans="1:11" ht="12.45">
      <c r="A11047" s="2"/>
      <c r="C11047" s="2" t="str">
        <v>0</v>
      </c>
      <c r="F11047" s="2" t="str">
        <v>0</v>
      </c>
      <c r="I11047" s="2"/>
      <c r="J11047" s="2"/>
      <c r="K11047" s="2"/>
    </row>
    <row r="11048" spans="1:11" ht="12.45">
      <c r="A11048" s="2"/>
      <c r="C11048" s="2" t="str">
        <v>0</v>
      </c>
      <c r="F11048" s="2" t="str">
        <v>0</v>
      </c>
      <c r="I11048" s="2"/>
      <c r="J11048" s="2"/>
      <c r="K11048" s="2"/>
    </row>
    <row r="11049" spans="1:11" ht="12.45">
      <c r="A11049" s="2"/>
      <c r="C11049" s="2" t="str">
        <v>0</v>
      </c>
      <c r="F11049" s="2" t="str">
        <v>0</v>
      </c>
      <c r="I11049" s="2"/>
      <c r="J11049" s="2"/>
      <c r="K11049" s="2"/>
    </row>
    <row r="11050" spans="1:11" ht="12.45">
      <c r="A11050" s="2"/>
      <c r="C11050" s="2" t="str">
        <v>0</v>
      </c>
      <c r="F11050" s="2" t="str">
        <v>0</v>
      </c>
      <c r="I11050" s="2"/>
      <c r="J11050" s="2"/>
      <c r="K11050" s="2"/>
    </row>
    <row r="11051" spans="1:11" ht="12.45">
      <c r="A11051" s="2"/>
      <c r="C11051" s="2" t="str">
        <v>0</v>
      </c>
      <c r="F11051" s="2" t="str">
        <v>0</v>
      </c>
      <c r="I11051" s="2"/>
      <c r="J11051" s="2"/>
      <c r="K11051" s="2"/>
    </row>
    <row r="11052" spans="1:11" ht="12.45">
      <c r="A11052" s="2"/>
      <c r="C11052" s="2" t="str">
        <v>0</v>
      </c>
      <c r="F11052" s="2" t="str">
        <v>0</v>
      </c>
      <c r="I11052" s="2"/>
      <c r="J11052" s="2"/>
      <c r="K11052" s="2"/>
    </row>
    <row r="11053" spans="1:11" ht="12.45">
      <c r="A11053" s="2"/>
      <c r="C11053" s="2" t="str">
        <v>0</v>
      </c>
      <c r="F11053" s="2" t="str">
        <v>0</v>
      </c>
      <c r="I11053" s="2"/>
      <c r="J11053" s="2"/>
      <c r="K11053"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971"/>
  <sheetViews>
    <sheetView workbookViewId="0">
      <pane ySplit="1" topLeftCell="A2" activePane="bottomLeft" state="frozen"/>
      <selection pane="bottomLeft" sqref="A1:E1048576"/>
    </sheetView>
  </sheetViews>
  <sheetFormatPr defaultColWidth="12.61328125" defaultRowHeight="15.75" customHeight="1"/>
  <cols>
    <col min="1" max="1" width="8" customWidth="1"/>
    <col min="2" max="2" width="16.84375" customWidth="1"/>
    <col min="3" max="3" width="79.15234375" customWidth="1"/>
    <col min="4" max="4" width="33.3828125" customWidth="1"/>
    <col min="5" max="5" width="51.4609375" customWidth="1"/>
  </cols>
  <sheetData>
    <row r="1" spans="1:27" ht="15.75" customHeight="1">
      <c r="A1" s="4" t="s">
        <v>0</v>
      </c>
      <c r="B1" s="5" t="s">
        <v>1</v>
      </c>
      <c r="C1" s="5" t="s">
        <v>2</v>
      </c>
      <c r="D1" s="5" t="s">
        <v>3</v>
      </c>
      <c r="E1" s="6" t="s">
        <v>4</v>
      </c>
      <c r="F1" s="7"/>
      <c r="G1" s="7"/>
      <c r="H1" s="7"/>
      <c r="I1" s="7"/>
      <c r="J1" s="7"/>
      <c r="K1" s="7"/>
      <c r="L1" s="7"/>
      <c r="M1" s="7"/>
      <c r="N1" s="7"/>
      <c r="O1" s="7"/>
      <c r="P1" s="7"/>
      <c r="Q1" s="7"/>
      <c r="R1" s="7"/>
      <c r="S1" s="7"/>
      <c r="T1" s="7"/>
      <c r="U1" s="7"/>
      <c r="V1" s="7"/>
      <c r="W1" s="7"/>
      <c r="X1" s="7"/>
      <c r="Y1" s="7"/>
      <c r="Z1" s="7"/>
      <c r="AA1" s="7"/>
    </row>
    <row r="2" spans="1:27" ht="15.75" customHeight="1">
      <c r="A2" s="8"/>
      <c r="B2" s="7"/>
      <c r="C2" s="9" t="s">
        <v>5</v>
      </c>
      <c r="D2" s="10" t="s">
        <v>6</v>
      </c>
      <c r="E2" s="11"/>
      <c r="F2" s="8"/>
      <c r="G2" s="8"/>
      <c r="H2" s="8"/>
      <c r="I2" s="8"/>
      <c r="J2" s="8"/>
      <c r="K2" s="8"/>
      <c r="L2" s="8"/>
      <c r="M2" s="8"/>
      <c r="N2" s="8"/>
      <c r="O2" s="8"/>
      <c r="P2" s="8"/>
      <c r="Q2" s="8"/>
      <c r="R2" s="8"/>
      <c r="S2" s="8"/>
      <c r="T2" s="8"/>
      <c r="U2" s="8"/>
      <c r="V2" s="8"/>
      <c r="W2" s="8"/>
      <c r="X2" s="8"/>
      <c r="Y2" s="8"/>
      <c r="Z2" s="8"/>
      <c r="AA2" s="8"/>
    </row>
    <row r="3" spans="1:27" ht="15.75" customHeight="1">
      <c r="A3" s="8"/>
      <c r="B3" s="7"/>
      <c r="C3" s="10" t="s">
        <v>7</v>
      </c>
      <c r="D3" s="8"/>
      <c r="E3" s="11"/>
      <c r="F3" s="8"/>
      <c r="G3" s="8"/>
      <c r="H3" s="8"/>
      <c r="I3" s="8"/>
      <c r="J3" s="8"/>
      <c r="K3" s="8"/>
      <c r="L3" s="8"/>
      <c r="M3" s="8"/>
      <c r="N3" s="8"/>
      <c r="O3" s="8"/>
      <c r="P3" s="8"/>
      <c r="Q3" s="8"/>
      <c r="R3" s="8"/>
      <c r="S3" s="8"/>
      <c r="T3" s="8"/>
      <c r="U3" s="8"/>
      <c r="V3" s="8"/>
      <c r="W3" s="8"/>
      <c r="X3" s="8"/>
      <c r="Y3" s="8"/>
      <c r="Z3" s="8"/>
      <c r="AA3" s="8"/>
    </row>
    <row r="4" spans="1:27" ht="15.75" customHeight="1">
      <c r="A4" s="8">
        <v>11</v>
      </c>
      <c r="B4" s="12">
        <v>45542</v>
      </c>
      <c r="C4" s="7" t="s">
        <v>8</v>
      </c>
      <c r="D4" s="10" t="s">
        <v>9</v>
      </c>
      <c r="E4" s="11"/>
      <c r="F4" s="8"/>
      <c r="G4" s="8"/>
      <c r="H4" s="8"/>
      <c r="I4" s="8"/>
      <c r="J4" s="8"/>
      <c r="K4" s="8"/>
      <c r="L4" s="8"/>
      <c r="M4" s="8"/>
      <c r="N4" s="8"/>
      <c r="O4" s="8"/>
      <c r="P4" s="8"/>
      <c r="Q4" s="8"/>
      <c r="R4" s="8"/>
      <c r="S4" s="8"/>
      <c r="T4" s="8"/>
      <c r="U4" s="8"/>
      <c r="V4" s="8"/>
      <c r="W4" s="8"/>
      <c r="X4" s="8"/>
      <c r="Y4" s="8"/>
      <c r="Z4" s="8"/>
      <c r="AA4" s="8"/>
    </row>
    <row r="5" spans="1:27" ht="15.75" customHeight="1">
      <c r="A5" s="8">
        <v>12</v>
      </c>
      <c r="B5" s="12">
        <v>45603</v>
      </c>
      <c r="C5" s="7" t="s">
        <v>10</v>
      </c>
      <c r="D5" s="10" t="s">
        <v>11</v>
      </c>
      <c r="E5" s="11"/>
      <c r="F5" s="8"/>
      <c r="G5" s="8"/>
      <c r="H5" s="8"/>
      <c r="I5" s="8"/>
      <c r="J5" s="8"/>
      <c r="K5" s="8"/>
      <c r="L5" s="8"/>
      <c r="M5" s="8"/>
      <c r="N5" s="8"/>
      <c r="O5" s="8"/>
      <c r="P5" s="8"/>
      <c r="Q5" s="8"/>
      <c r="R5" s="8"/>
      <c r="S5" s="8"/>
      <c r="T5" s="8"/>
      <c r="U5" s="8"/>
      <c r="V5" s="8"/>
      <c r="W5" s="8"/>
      <c r="X5" s="8"/>
      <c r="Y5" s="8"/>
      <c r="Z5" s="8"/>
      <c r="AA5" s="8"/>
    </row>
    <row r="6" spans="1:27" ht="15.75" customHeight="1">
      <c r="A6" s="1"/>
      <c r="B6" s="1"/>
      <c r="C6" s="1"/>
      <c r="D6" s="10" t="s">
        <v>12</v>
      </c>
      <c r="E6" s="11"/>
      <c r="F6" s="8"/>
      <c r="G6" s="8"/>
      <c r="H6" s="8"/>
      <c r="I6" s="8"/>
      <c r="J6" s="8"/>
      <c r="K6" s="8"/>
      <c r="L6" s="8"/>
      <c r="M6" s="8"/>
      <c r="N6" s="8"/>
      <c r="O6" s="8"/>
      <c r="P6" s="8"/>
      <c r="Q6" s="8"/>
      <c r="R6" s="8"/>
      <c r="S6" s="8"/>
      <c r="T6" s="8"/>
      <c r="U6" s="8"/>
      <c r="V6" s="8"/>
      <c r="W6" s="8"/>
      <c r="X6" s="8"/>
      <c r="Y6" s="8"/>
      <c r="Z6" s="8"/>
      <c r="AA6" s="8"/>
    </row>
    <row r="7" spans="1:27" ht="15.75" customHeight="1">
      <c r="A7" s="8">
        <v>13</v>
      </c>
      <c r="B7" s="7" t="s">
        <v>13</v>
      </c>
      <c r="C7" s="7" t="s">
        <v>14</v>
      </c>
      <c r="D7" s="10" t="s">
        <v>11</v>
      </c>
      <c r="E7" s="11"/>
      <c r="F7" s="8"/>
      <c r="G7" s="8"/>
      <c r="H7" s="8"/>
      <c r="I7" s="8"/>
      <c r="J7" s="8"/>
      <c r="K7" s="8"/>
      <c r="L7" s="8"/>
      <c r="M7" s="8"/>
      <c r="N7" s="8"/>
      <c r="O7" s="8"/>
      <c r="P7" s="8"/>
      <c r="Q7" s="8"/>
      <c r="R7" s="8"/>
      <c r="S7" s="8"/>
      <c r="T7" s="8"/>
      <c r="U7" s="8"/>
      <c r="V7" s="8"/>
      <c r="W7" s="8"/>
      <c r="X7" s="8"/>
      <c r="Y7" s="8"/>
      <c r="Z7" s="8"/>
      <c r="AA7" s="8"/>
    </row>
    <row r="8" spans="1:27" ht="15.75" customHeight="1">
      <c r="A8" s="8"/>
      <c r="B8" s="7"/>
      <c r="C8" s="8"/>
      <c r="D8" s="10" t="s">
        <v>15</v>
      </c>
      <c r="E8" s="11"/>
      <c r="F8" s="8"/>
      <c r="G8" s="8"/>
      <c r="H8" s="8"/>
      <c r="I8" s="8"/>
      <c r="J8" s="8"/>
      <c r="K8" s="8"/>
      <c r="L8" s="8"/>
      <c r="M8" s="8"/>
      <c r="N8" s="8"/>
      <c r="O8" s="8"/>
      <c r="P8" s="8"/>
      <c r="Q8" s="8"/>
      <c r="R8" s="8"/>
      <c r="S8" s="8"/>
      <c r="T8" s="8"/>
      <c r="U8" s="8"/>
      <c r="V8" s="8"/>
      <c r="W8" s="8"/>
      <c r="X8" s="8"/>
      <c r="Y8" s="8"/>
      <c r="Z8" s="8"/>
      <c r="AA8" s="8"/>
    </row>
    <row r="9" spans="1:27" ht="15.75" customHeight="1">
      <c r="A9" s="8">
        <v>14</v>
      </c>
      <c r="B9" s="7" t="s">
        <v>16</v>
      </c>
      <c r="C9" s="7" t="s">
        <v>17</v>
      </c>
      <c r="D9" s="10" t="s">
        <v>9</v>
      </c>
      <c r="E9" s="11"/>
      <c r="F9" s="8"/>
      <c r="G9" s="8"/>
      <c r="H9" s="8"/>
      <c r="I9" s="8"/>
      <c r="J9" s="8"/>
      <c r="K9" s="8"/>
      <c r="L9" s="8"/>
      <c r="M9" s="8"/>
      <c r="N9" s="8"/>
      <c r="O9" s="8"/>
      <c r="P9" s="8"/>
      <c r="Q9" s="8"/>
      <c r="R9" s="8"/>
      <c r="S9" s="8"/>
      <c r="T9" s="8"/>
      <c r="U9" s="8"/>
      <c r="V9" s="8"/>
      <c r="W9" s="8"/>
      <c r="X9" s="8"/>
      <c r="Y9" s="8"/>
      <c r="Z9" s="8"/>
      <c r="AA9" s="8"/>
    </row>
    <row r="10" spans="1:27" ht="15.75" customHeight="1">
      <c r="A10" s="8"/>
      <c r="B10" s="7"/>
      <c r="C10" s="8"/>
      <c r="D10" s="10" t="s">
        <v>15</v>
      </c>
      <c r="E10" s="11"/>
      <c r="F10" s="8"/>
      <c r="G10" s="8"/>
      <c r="H10" s="8"/>
      <c r="I10" s="8"/>
      <c r="J10" s="8"/>
      <c r="K10" s="8"/>
      <c r="L10" s="8"/>
      <c r="M10" s="8"/>
      <c r="N10" s="8"/>
      <c r="O10" s="8"/>
      <c r="P10" s="8"/>
      <c r="Q10" s="8"/>
      <c r="R10" s="8"/>
      <c r="S10" s="8"/>
      <c r="T10" s="8"/>
      <c r="U10" s="8"/>
      <c r="V10" s="8"/>
      <c r="W10" s="8"/>
      <c r="X10" s="8"/>
      <c r="Y10" s="8"/>
      <c r="Z10" s="8"/>
      <c r="AA10" s="8"/>
    </row>
    <row r="11" spans="1:27" ht="15.75" customHeight="1">
      <c r="A11" s="8">
        <v>15</v>
      </c>
      <c r="B11" s="7" t="s">
        <v>18</v>
      </c>
      <c r="C11" s="7" t="s">
        <v>19</v>
      </c>
      <c r="D11" s="10" t="s">
        <v>9</v>
      </c>
      <c r="E11" s="11"/>
      <c r="F11" s="8"/>
      <c r="G11" s="8"/>
      <c r="H11" s="8"/>
      <c r="I11" s="8"/>
      <c r="J11" s="8"/>
      <c r="K11" s="8"/>
      <c r="L11" s="8"/>
      <c r="M11" s="8"/>
      <c r="N11" s="8"/>
      <c r="O11" s="8"/>
      <c r="P11" s="8"/>
      <c r="Q11" s="8"/>
      <c r="R11" s="8"/>
      <c r="S11" s="8"/>
      <c r="T11" s="8"/>
      <c r="U11" s="8"/>
      <c r="V11" s="8"/>
      <c r="W11" s="8"/>
      <c r="X11" s="8"/>
      <c r="Y11" s="8"/>
      <c r="Z11" s="8"/>
      <c r="AA11" s="8"/>
    </row>
    <row r="12" spans="1:27" ht="15.75" customHeight="1">
      <c r="A12" s="8"/>
      <c r="B12" s="7"/>
      <c r="C12" s="8"/>
      <c r="D12" s="10" t="s">
        <v>20</v>
      </c>
      <c r="E12" s="11"/>
      <c r="F12" s="8"/>
      <c r="G12" s="8"/>
      <c r="H12" s="8"/>
      <c r="I12" s="8"/>
      <c r="J12" s="8"/>
      <c r="K12" s="8"/>
      <c r="L12" s="8"/>
      <c r="M12" s="8"/>
      <c r="N12" s="8"/>
      <c r="O12" s="8"/>
      <c r="P12" s="8"/>
      <c r="Q12" s="8"/>
      <c r="R12" s="8"/>
      <c r="S12" s="8"/>
      <c r="T12" s="8"/>
      <c r="U12" s="8"/>
      <c r="V12" s="8"/>
      <c r="W12" s="8"/>
      <c r="X12" s="8"/>
      <c r="Y12" s="8"/>
      <c r="Z12" s="8"/>
      <c r="AA12" s="8"/>
    </row>
    <row r="13" spans="1:27" ht="15.75" customHeight="1">
      <c r="A13" s="8">
        <v>16</v>
      </c>
      <c r="B13" s="7" t="s">
        <v>21</v>
      </c>
      <c r="C13" s="7" t="s">
        <v>22</v>
      </c>
      <c r="D13" s="10" t="s">
        <v>23</v>
      </c>
      <c r="E13" s="11" t="s">
        <v>24</v>
      </c>
      <c r="F13" s="8"/>
      <c r="G13" s="8"/>
      <c r="H13" s="8"/>
      <c r="I13" s="8"/>
      <c r="J13" s="8"/>
      <c r="K13" s="8"/>
      <c r="L13" s="8"/>
      <c r="M13" s="8"/>
      <c r="N13" s="8"/>
      <c r="O13" s="8"/>
      <c r="P13" s="8"/>
      <c r="Q13" s="8"/>
      <c r="R13" s="8"/>
      <c r="S13" s="8"/>
      <c r="T13" s="8"/>
      <c r="U13" s="8"/>
      <c r="V13" s="8"/>
      <c r="W13" s="8"/>
      <c r="X13" s="8"/>
      <c r="Y13" s="8"/>
      <c r="Z13" s="8"/>
      <c r="AA13" s="8"/>
    </row>
    <row r="14" spans="1:27" ht="15.75" customHeight="1">
      <c r="A14" s="8"/>
      <c r="B14" s="7"/>
      <c r="C14" s="8"/>
      <c r="D14" s="10" t="s">
        <v>25</v>
      </c>
      <c r="E14" s="11"/>
      <c r="F14" s="8"/>
      <c r="G14" s="8"/>
      <c r="H14" s="8"/>
      <c r="I14" s="8"/>
      <c r="J14" s="8"/>
      <c r="K14" s="8"/>
      <c r="L14" s="8"/>
      <c r="M14" s="8"/>
      <c r="N14" s="8"/>
      <c r="O14" s="8"/>
      <c r="P14" s="8"/>
      <c r="Q14" s="8"/>
      <c r="R14" s="8"/>
      <c r="S14" s="8"/>
      <c r="T14" s="8"/>
      <c r="U14" s="8"/>
      <c r="V14" s="8"/>
      <c r="W14" s="8"/>
      <c r="X14" s="8"/>
      <c r="Y14" s="8"/>
      <c r="Z14" s="8"/>
      <c r="AA14" s="8"/>
    </row>
    <row r="15" spans="1:27" ht="15.75" customHeight="1">
      <c r="A15" s="8"/>
      <c r="B15" s="7"/>
      <c r="C15" s="8"/>
      <c r="D15" s="10" t="s">
        <v>12</v>
      </c>
      <c r="E15" s="11"/>
      <c r="F15" s="8"/>
      <c r="G15" s="8"/>
      <c r="H15" s="8"/>
      <c r="I15" s="8"/>
      <c r="J15" s="8"/>
      <c r="K15" s="8"/>
      <c r="L15" s="8"/>
      <c r="M15" s="8"/>
      <c r="N15" s="8"/>
      <c r="O15" s="8"/>
      <c r="P15" s="8"/>
      <c r="Q15" s="8"/>
      <c r="R15" s="8"/>
      <c r="S15" s="8"/>
      <c r="T15" s="8"/>
      <c r="U15" s="8"/>
      <c r="V15" s="8"/>
      <c r="W15" s="8"/>
      <c r="X15" s="8"/>
      <c r="Y15" s="8"/>
      <c r="Z15" s="8"/>
      <c r="AA15" s="8"/>
    </row>
    <row r="16" spans="1:27" ht="15.75" customHeight="1">
      <c r="A16" s="8">
        <v>17</v>
      </c>
      <c r="B16" s="7" t="s">
        <v>26</v>
      </c>
      <c r="C16" s="7" t="s">
        <v>27</v>
      </c>
      <c r="D16" s="10" t="s">
        <v>28</v>
      </c>
      <c r="E16" s="11"/>
      <c r="F16" s="8"/>
      <c r="G16" s="8"/>
      <c r="H16" s="8"/>
      <c r="I16" s="8"/>
      <c r="J16" s="8"/>
      <c r="K16" s="8"/>
      <c r="L16" s="8"/>
      <c r="M16" s="8"/>
      <c r="N16" s="8"/>
      <c r="O16" s="8"/>
      <c r="P16" s="8"/>
      <c r="Q16" s="8"/>
      <c r="R16" s="8"/>
      <c r="S16" s="8"/>
      <c r="T16" s="8"/>
      <c r="U16" s="8"/>
      <c r="V16" s="8"/>
      <c r="W16" s="8"/>
      <c r="X16" s="8"/>
      <c r="Y16" s="8"/>
      <c r="Z16" s="8"/>
      <c r="AA16" s="8"/>
    </row>
    <row r="17" spans="1:27" ht="15.75" customHeight="1">
      <c r="A17" s="8"/>
      <c r="B17" s="7"/>
      <c r="C17" s="8"/>
      <c r="D17" s="10" t="s">
        <v>15</v>
      </c>
      <c r="E17" s="11"/>
      <c r="F17" s="8"/>
      <c r="G17" s="8"/>
      <c r="H17" s="8"/>
      <c r="I17" s="8"/>
      <c r="J17" s="8"/>
      <c r="K17" s="8"/>
      <c r="L17" s="8"/>
      <c r="M17" s="8"/>
      <c r="N17" s="8"/>
      <c r="O17" s="8"/>
      <c r="P17" s="8"/>
      <c r="Q17" s="8"/>
      <c r="R17" s="8"/>
      <c r="S17" s="8"/>
      <c r="T17" s="8"/>
      <c r="U17" s="8"/>
      <c r="V17" s="8"/>
      <c r="W17" s="8"/>
      <c r="X17" s="8"/>
      <c r="Y17" s="8"/>
      <c r="Z17" s="8"/>
      <c r="AA17" s="8"/>
    </row>
    <row r="18" spans="1:27" ht="15.75" customHeight="1">
      <c r="A18" s="8">
        <v>18</v>
      </c>
      <c r="B18" s="7" t="s">
        <v>29</v>
      </c>
      <c r="C18" s="7" t="s">
        <v>30</v>
      </c>
      <c r="D18" s="10" t="s">
        <v>31</v>
      </c>
      <c r="E18" s="11"/>
      <c r="F18" s="8"/>
      <c r="G18" s="8"/>
      <c r="H18" s="8"/>
      <c r="I18" s="8"/>
      <c r="J18" s="8"/>
      <c r="K18" s="8"/>
      <c r="L18" s="8"/>
      <c r="M18" s="8"/>
      <c r="N18" s="8"/>
      <c r="O18" s="8"/>
      <c r="P18" s="8"/>
      <c r="Q18" s="8"/>
      <c r="R18" s="8"/>
      <c r="S18" s="8"/>
      <c r="T18" s="8"/>
      <c r="U18" s="8"/>
      <c r="V18" s="8"/>
      <c r="W18" s="8"/>
      <c r="X18" s="8"/>
      <c r="Y18" s="8"/>
      <c r="Z18" s="8"/>
      <c r="AA18" s="8"/>
    </row>
    <row r="19" spans="1:27" ht="15.75" customHeight="1">
      <c r="A19" s="8"/>
      <c r="B19" s="7"/>
      <c r="C19" s="8"/>
      <c r="D19" s="10" t="s">
        <v>20</v>
      </c>
      <c r="E19" s="11"/>
      <c r="F19" s="8"/>
      <c r="G19" s="8"/>
      <c r="H19" s="8"/>
      <c r="I19" s="8"/>
      <c r="J19" s="8"/>
      <c r="K19" s="8"/>
      <c r="L19" s="8"/>
      <c r="M19" s="8"/>
      <c r="N19" s="8"/>
      <c r="O19" s="8"/>
      <c r="P19" s="8"/>
      <c r="Q19" s="8"/>
      <c r="R19" s="8"/>
      <c r="S19" s="8"/>
      <c r="T19" s="8"/>
      <c r="U19" s="8"/>
      <c r="V19" s="8"/>
      <c r="W19" s="8"/>
      <c r="X19" s="8"/>
      <c r="Y19" s="8"/>
      <c r="Z19" s="8"/>
      <c r="AA19" s="8"/>
    </row>
    <row r="20" spans="1:27" ht="15.75" customHeight="1">
      <c r="A20" s="8">
        <v>19</v>
      </c>
      <c r="B20" s="12">
        <v>45359</v>
      </c>
      <c r="C20" s="7" t="s">
        <v>32</v>
      </c>
      <c r="D20" s="10" t="s">
        <v>28</v>
      </c>
      <c r="E20" s="11" t="s">
        <v>33</v>
      </c>
      <c r="F20" s="8"/>
      <c r="G20" s="8"/>
      <c r="H20" s="8"/>
      <c r="I20" s="8"/>
      <c r="J20" s="8"/>
      <c r="K20" s="8"/>
      <c r="L20" s="8"/>
      <c r="M20" s="8"/>
      <c r="N20" s="8"/>
      <c r="O20" s="8"/>
      <c r="P20" s="8"/>
      <c r="Q20" s="8"/>
      <c r="R20" s="8"/>
      <c r="S20" s="8"/>
      <c r="T20" s="8"/>
      <c r="U20" s="8"/>
      <c r="V20" s="8"/>
      <c r="W20" s="8"/>
      <c r="X20" s="8"/>
      <c r="Y20" s="8"/>
      <c r="Z20" s="8"/>
      <c r="AA20" s="8"/>
    </row>
    <row r="21" spans="1:27" ht="15.75" customHeight="1">
      <c r="A21" s="8"/>
      <c r="B21" s="7"/>
      <c r="C21" s="8"/>
      <c r="D21" s="10" t="s">
        <v>12</v>
      </c>
      <c r="E21" s="11"/>
      <c r="F21" s="8"/>
      <c r="G21" s="8"/>
      <c r="H21" s="8"/>
      <c r="I21" s="8"/>
      <c r="J21" s="8"/>
      <c r="K21" s="8"/>
      <c r="L21" s="8"/>
      <c r="M21" s="8"/>
      <c r="N21" s="8"/>
      <c r="O21" s="8"/>
      <c r="P21" s="8"/>
      <c r="Q21" s="8"/>
      <c r="R21" s="8"/>
      <c r="S21" s="8"/>
      <c r="T21" s="8"/>
      <c r="U21" s="8"/>
      <c r="V21" s="8"/>
      <c r="W21" s="8"/>
      <c r="X21" s="8"/>
      <c r="Y21" s="8"/>
      <c r="Z21" s="8"/>
      <c r="AA21" s="8"/>
    </row>
    <row r="22" spans="1:27" ht="15.75" customHeight="1">
      <c r="A22" s="8">
        <v>20</v>
      </c>
      <c r="B22" s="12">
        <v>45451</v>
      </c>
      <c r="C22" s="7" t="s">
        <v>34</v>
      </c>
      <c r="D22" s="10" t="s">
        <v>28</v>
      </c>
      <c r="E22" s="11"/>
      <c r="F22" s="8"/>
      <c r="G22" s="8"/>
      <c r="H22" s="8"/>
      <c r="I22" s="8"/>
      <c r="J22" s="8"/>
      <c r="K22" s="8"/>
      <c r="L22" s="8"/>
      <c r="M22" s="8"/>
      <c r="N22" s="8"/>
      <c r="O22" s="8"/>
      <c r="P22" s="8"/>
      <c r="Q22" s="8"/>
      <c r="R22" s="8"/>
      <c r="S22" s="8"/>
      <c r="T22" s="8"/>
      <c r="U22" s="8"/>
      <c r="V22" s="8"/>
      <c r="W22" s="8"/>
      <c r="X22" s="8"/>
      <c r="Y22" s="8"/>
      <c r="Z22" s="8"/>
      <c r="AA22" s="8"/>
    </row>
    <row r="23" spans="1:27" ht="15.75" customHeight="1">
      <c r="A23" s="8"/>
      <c r="B23" s="7"/>
      <c r="C23" s="8"/>
      <c r="D23" s="10" t="s">
        <v>12</v>
      </c>
      <c r="E23" s="11"/>
      <c r="F23" s="8"/>
      <c r="G23" s="8"/>
      <c r="H23" s="8"/>
      <c r="I23" s="8"/>
      <c r="J23" s="8"/>
      <c r="K23" s="8"/>
      <c r="L23" s="8"/>
      <c r="M23" s="8"/>
      <c r="N23" s="8"/>
      <c r="O23" s="8"/>
      <c r="P23" s="8"/>
      <c r="Q23" s="8"/>
      <c r="R23" s="8"/>
      <c r="S23" s="8"/>
      <c r="T23" s="8"/>
      <c r="U23" s="8"/>
      <c r="V23" s="8"/>
      <c r="W23" s="8"/>
      <c r="X23" s="8"/>
      <c r="Y23" s="8"/>
      <c r="Z23" s="8"/>
      <c r="AA23" s="8"/>
    </row>
    <row r="24" spans="1:27" ht="15.75" customHeight="1">
      <c r="A24" s="8">
        <v>21</v>
      </c>
      <c r="B24" s="12">
        <v>45512</v>
      </c>
      <c r="C24" s="7" t="s">
        <v>35</v>
      </c>
      <c r="D24" s="10" t="s">
        <v>28</v>
      </c>
      <c r="E24" s="11"/>
      <c r="F24" s="8"/>
      <c r="G24" s="8"/>
      <c r="H24" s="8"/>
      <c r="I24" s="8"/>
      <c r="J24" s="8"/>
      <c r="K24" s="8"/>
      <c r="L24" s="8"/>
      <c r="M24" s="8"/>
      <c r="N24" s="8"/>
      <c r="O24" s="8"/>
      <c r="P24" s="8"/>
      <c r="Q24" s="8"/>
      <c r="R24" s="8"/>
      <c r="S24" s="8"/>
      <c r="T24" s="8"/>
      <c r="U24" s="8"/>
      <c r="V24" s="8"/>
      <c r="W24" s="8"/>
      <c r="X24" s="8"/>
      <c r="Y24" s="8"/>
      <c r="Z24" s="8"/>
      <c r="AA24" s="8"/>
    </row>
    <row r="25" spans="1:27" ht="15.75" customHeight="1">
      <c r="A25" s="8"/>
      <c r="B25" s="7"/>
      <c r="C25" s="8"/>
      <c r="D25" s="10" t="s">
        <v>12</v>
      </c>
      <c r="E25" s="11"/>
      <c r="F25" s="8"/>
      <c r="G25" s="8"/>
      <c r="H25" s="8"/>
      <c r="I25" s="8"/>
      <c r="J25" s="8"/>
      <c r="K25" s="8"/>
      <c r="L25" s="8"/>
      <c r="M25" s="8"/>
      <c r="N25" s="8"/>
      <c r="O25" s="8"/>
      <c r="P25" s="8"/>
      <c r="Q25" s="8"/>
      <c r="R25" s="8"/>
      <c r="S25" s="8"/>
      <c r="T25" s="8"/>
      <c r="U25" s="8"/>
      <c r="V25" s="8"/>
      <c r="W25" s="8"/>
      <c r="X25" s="8"/>
      <c r="Y25" s="8"/>
      <c r="Z25" s="8"/>
      <c r="AA25" s="8"/>
    </row>
    <row r="26" spans="1:27" ht="15.75" customHeight="1">
      <c r="A26" s="8">
        <v>22</v>
      </c>
      <c r="B26" s="7" t="s">
        <v>36</v>
      </c>
      <c r="C26" s="7" t="s">
        <v>37</v>
      </c>
      <c r="D26" s="13" t="s">
        <v>28</v>
      </c>
      <c r="E26" s="11"/>
      <c r="F26" s="8"/>
      <c r="G26" s="8"/>
      <c r="H26" s="8"/>
      <c r="I26" s="8"/>
      <c r="J26" s="8"/>
      <c r="K26" s="8"/>
      <c r="L26" s="8"/>
      <c r="M26" s="8"/>
      <c r="N26" s="8"/>
      <c r="O26" s="8"/>
      <c r="P26" s="8"/>
      <c r="Q26" s="8"/>
      <c r="R26" s="8"/>
      <c r="S26" s="8"/>
      <c r="T26" s="8"/>
      <c r="U26" s="8"/>
      <c r="V26" s="8"/>
      <c r="W26" s="8"/>
      <c r="X26" s="8"/>
      <c r="Y26" s="8"/>
      <c r="Z26" s="8"/>
      <c r="AA26" s="8"/>
    </row>
    <row r="27" spans="1:27" ht="15.75" customHeight="1">
      <c r="A27" s="8"/>
      <c r="B27" s="7"/>
      <c r="C27" s="8"/>
      <c r="D27" s="10" t="s">
        <v>12</v>
      </c>
      <c r="E27" s="11"/>
      <c r="F27" s="8"/>
      <c r="G27" s="8"/>
      <c r="H27" s="8"/>
      <c r="I27" s="8"/>
      <c r="J27" s="8"/>
      <c r="K27" s="8"/>
      <c r="L27" s="8"/>
      <c r="M27" s="8"/>
      <c r="N27" s="8"/>
      <c r="O27" s="8"/>
      <c r="P27" s="8"/>
      <c r="Q27" s="8"/>
      <c r="R27" s="8"/>
      <c r="S27" s="8"/>
      <c r="T27" s="8"/>
      <c r="U27" s="8"/>
      <c r="V27" s="8"/>
      <c r="W27" s="8"/>
      <c r="X27" s="8"/>
      <c r="Y27" s="8"/>
      <c r="Z27" s="8"/>
      <c r="AA27" s="8"/>
    </row>
    <row r="28" spans="1:27" ht="15.75" customHeight="1">
      <c r="A28" s="8">
        <v>23</v>
      </c>
      <c r="B28" s="7" t="s">
        <v>38</v>
      </c>
      <c r="C28" s="7" t="s">
        <v>39</v>
      </c>
      <c r="D28" s="10" t="s">
        <v>11</v>
      </c>
      <c r="E28" s="11" t="s">
        <v>40</v>
      </c>
      <c r="F28" s="8"/>
      <c r="G28" s="8"/>
      <c r="H28" s="8"/>
      <c r="I28" s="8"/>
      <c r="J28" s="8"/>
      <c r="K28" s="8"/>
      <c r="L28" s="8"/>
      <c r="M28" s="8"/>
      <c r="N28" s="8"/>
      <c r="O28" s="8"/>
      <c r="P28" s="8"/>
      <c r="Q28" s="8"/>
      <c r="R28" s="8"/>
      <c r="S28" s="8"/>
      <c r="T28" s="8"/>
      <c r="U28" s="8"/>
      <c r="V28" s="8"/>
      <c r="W28" s="8"/>
      <c r="X28" s="8"/>
      <c r="Y28" s="8"/>
      <c r="Z28" s="8"/>
      <c r="AA28" s="8"/>
    </row>
    <row r="29" spans="1:27" ht="15.75" customHeight="1">
      <c r="A29" s="8"/>
      <c r="B29" s="7"/>
      <c r="C29" s="8"/>
      <c r="D29" s="10" t="s">
        <v>12</v>
      </c>
      <c r="E29" s="11"/>
      <c r="F29" s="8"/>
      <c r="G29" s="8"/>
      <c r="H29" s="8"/>
      <c r="I29" s="8"/>
      <c r="J29" s="8"/>
      <c r="K29" s="8"/>
      <c r="L29" s="8"/>
      <c r="M29" s="8"/>
      <c r="N29" s="8"/>
      <c r="O29" s="8"/>
      <c r="P29" s="8"/>
      <c r="Q29" s="8"/>
      <c r="R29" s="8"/>
      <c r="S29" s="8"/>
      <c r="T29" s="8"/>
      <c r="U29" s="8"/>
      <c r="V29" s="8"/>
      <c r="W29" s="8"/>
      <c r="X29" s="8"/>
      <c r="Y29" s="8"/>
      <c r="Z29" s="8"/>
      <c r="AA29" s="8"/>
    </row>
    <row r="30" spans="1:27" ht="15.75" customHeight="1">
      <c r="A30" s="8">
        <v>24</v>
      </c>
      <c r="B30" s="7" t="s">
        <v>41</v>
      </c>
      <c r="C30" s="7" t="s">
        <v>42</v>
      </c>
      <c r="D30" s="10" t="s">
        <v>11</v>
      </c>
      <c r="E30" s="11"/>
      <c r="F30" s="8"/>
      <c r="G30" s="8"/>
      <c r="H30" s="8"/>
      <c r="I30" s="8"/>
      <c r="J30" s="8"/>
      <c r="K30" s="8"/>
      <c r="L30" s="8"/>
      <c r="M30" s="8"/>
      <c r="N30" s="8"/>
      <c r="O30" s="8"/>
      <c r="P30" s="8"/>
      <c r="Q30" s="8"/>
      <c r="R30" s="8"/>
      <c r="S30" s="8"/>
      <c r="T30" s="8"/>
      <c r="U30" s="8"/>
      <c r="V30" s="8"/>
      <c r="W30" s="8"/>
      <c r="X30" s="8"/>
      <c r="Y30" s="8"/>
      <c r="Z30" s="8"/>
      <c r="AA30" s="8"/>
    </row>
    <row r="31" spans="1:27" ht="15.75" customHeight="1">
      <c r="A31" s="8"/>
      <c r="B31" s="7"/>
      <c r="C31" s="8"/>
      <c r="D31" s="10" t="s">
        <v>12</v>
      </c>
      <c r="E31" s="11"/>
      <c r="F31" s="8"/>
      <c r="G31" s="8"/>
      <c r="H31" s="8"/>
      <c r="I31" s="8"/>
      <c r="J31" s="8"/>
      <c r="K31" s="8"/>
      <c r="L31" s="8"/>
      <c r="M31" s="8"/>
      <c r="N31" s="8"/>
      <c r="O31" s="8"/>
      <c r="P31" s="8"/>
      <c r="Q31" s="8"/>
      <c r="R31" s="8"/>
      <c r="S31" s="8"/>
      <c r="T31" s="8"/>
      <c r="U31" s="8"/>
      <c r="V31" s="8"/>
      <c r="W31" s="8"/>
      <c r="X31" s="8"/>
      <c r="Y31" s="8"/>
      <c r="Z31" s="8"/>
      <c r="AA31" s="8"/>
    </row>
    <row r="32" spans="1:27" ht="15.75" customHeight="1">
      <c r="A32" s="8">
        <v>27</v>
      </c>
      <c r="B32" s="7" t="s">
        <v>43</v>
      </c>
      <c r="C32" s="7" t="s">
        <v>44</v>
      </c>
      <c r="D32" s="10" t="s">
        <v>28</v>
      </c>
      <c r="E32" s="11"/>
      <c r="F32" s="8"/>
      <c r="G32" s="8"/>
      <c r="H32" s="8"/>
      <c r="I32" s="8"/>
      <c r="J32" s="8"/>
      <c r="K32" s="8"/>
      <c r="L32" s="8"/>
      <c r="M32" s="8"/>
      <c r="N32" s="8"/>
      <c r="O32" s="8"/>
      <c r="P32" s="8"/>
      <c r="Q32" s="8"/>
      <c r="R32" s="8"/>
      <c r="S32" s="8"/>
      <c r="T32" s="8"/>
      <c r="U32" s="8"/>
      <c r="V32" s="8"/>
      <c r="W32" s="8"/>
      <c r="X32" s="8"/>
      <c r="Y32" s="8"/>
      <c r="Z32" s="8"/>
      <c r="AA32" s="8"/>
    </row>
    <row r="33" spans="1:27" ht="15.75" customHeight="1">
      <c r="A33" s="8"/>
      <c r="B33" s="7"/>
      <c r="C33" s="8"/>
      <c r="D33" s="10" t="s">
        <v>45</v>
      </c>
      <c r="E33" s="11"/>
      <c r="F33" s="8"/>
      <c r="G33" s="8"/>
      <c r="H33" s="8"/>
      <c r="I33" s="8"/>
      <c r="J33" s="8"/>
      <c r="K33" s="8"/>
      <c r="L33" s="8"/>
      <c r="M33" s="8"/>
      <c r="N33" s="8"/>
      <c r="O33" s="8"/>
      <c r="P33" s="8"/>
      <c r="Q33" s="8"/>
      <c r="R33" s="8"/>
      <c r="S33" s="8"/>
      <c r="T33" s="8"/>
      <c r="U33" s="8"/>
      <c r="V33" s="8"/>
      <c r="W33" s="8"/>
      <c r="X33" s="8"/>
      <c r="Y33" s="8"/>
      <c r="Z33" s="8"/>
      <c r="AA33" s="8"/>
    </row>
    <row r="34" spans="1:27" ht="15.75" customHeight="1">
      <c r="A34" s="8"/>
      <c r="B34" s="7"/>
      <c r="C34" s="9" t="s">
        <v>46</v>
      </c>
      <c r="D34" s="8"/>
      <c r="E34" s="11"/>
      <c r="F34" s="8"/>
      <c r="G34" s="8"/>
      <c r="H34" s="8"/>
      <c r="I34" s="8"/>
      <c r="J34" s="8"/>
      <c r="K34" s="8"/>
      <c r="L34" s="8"/>
      <c r="M34" s="8"/>
      <c r="N34" s="8"/>
      <c r="O34" s="8"/>
      <c r="P34" s="8"/>
      <c r="Q34" s="8"/>
      <c r="R34" s="8"/>
      <c r="S34" s="8"/>
      <c r="T34" s="8"/>
      <c r="U34" s="8"/>
      <c r="V34" s="8"/>
      <c r="W34" s="8"/>
      <c r="X34" s="8"/>
      <c r="Y34" s="8"/>
      <c r="Z34" s="8"/>
      <c r="AA34" s="8"/>
    </row>
    <row r="35" spans="1:27" ht="15.75" customHeight="1">
      <c r="A35" s="8"/>
      <c r="B35" s="7"/>
      <c r="C35" s="14" t="s">
        <v>47</v>
      </c>
      <c r="D35" s="8"/>
      <c r="E35" s="11"/>
      <c r="F35" s="8"/>
      <c r="G35" s="8"/>
      <c r="H35" s="8"/>
      <c r="I35" s="8"/>
      <c r="J35" s="8"/>
      <c r="K35" s="8"/>
      <c r="L35" s="8"/>
      <c r="M35" s="8"/>
      <c r="N35" s="8"/>
      <c r="O35" s="8"/>
      <c r="P35" s="8"/>
      <c r="Q35" s="8"/>
      <c r="R35" s="8"/>
      <c r="S35" s="8"/>
      <c r="T35" s="8"/>
      <c r="U35" s="8"/>
      <c r="V35" s="8"/>
      <c r="W35" s="8"/>
      <c r="X35" s="8"/>
      <c r="Y35" s="8"/>
      <c r="Z35" s="8"/>
      <c r="AA35" s="8"/>
    </row>
    <row r="36" spans="1:27" ht="15.75" customHeight="1">
      <c r="A36" s="8">
        <v>28</v>
      </c>
      <c r="B36" s="12">
        <v>45421</v>
      </c>
      <c r="C36" s="15" t="s">
        <v>48</v>
      </c>
      <c r="D36" s="10" t="s">
        <v>28</v>
      </c>
      <c r="E36" s="11"/>
      <c r="F36" s="8"/>
      <c r="G36" s="8"/>
      <c r="H36" s="8"/>
      <c r="I36" s="8"/>
      <c r="J36" s="8"/>
      <c r="K36" s="8"/>
      <c r="L36" s="8"/>
      <c r="M36" s="8"/>
      <c r="N36" s="8"/>
      <c r="O36" s="8"/>
      <c r="P36" s="8"/>
      <c r="Q36" s="8"/>
      <c r="R36" s="8"/>
      <c r="S36" s="8"/>
      <c r="T36" s="8"/>
      <c r="U36" s="8"/>
      <c r="V36" s="8"/>
      <c r="W36" s="8"/>
      <c r="X36" s="8"/>
      <c r="Y36" s="8"/>
      <c r="Z36" s="8"/>
      <c r="AA36" s="8"/>
    </row>
    <row r="37" spans="1:27" ht="15.75" customHeight="1">
      <c r="A37" s="8"/>
      <c r="B37" s="7"/>
      <c r="C37" s="8"/>
      <c r="D37" s="10" t="s">
        <v>45</v>
      </c>
      <c r="E37" s="11"/>
      <c r="F37" s="8"/>
      <c r="G37" s="8"/>
      <c r="H37" s="8"/>
      <c r="I37" s="8"/>
      <c r="J37" s="8"/>
      <c r="K37" s="8"/>
      <c r="L37" s="8"/>
      <c r="M37" s="8"/>
      <c r="N37" s="8"/>
      <c r="O37" s="8"/>
      <c r="P37" s="8"/>
      <c r="Q37" s="8"/>
      <c r="R37" s="8"/>
      <c r="S37" s="8"/>
      <c r="T37" s="8"/>
      <c r="U37" s="8"/>
      <c r="V37" s="8"/>
      <c r="W37" s="8"/>
      <c r="X37" s="8"/>
      <c r="Y37" s="8"/>
      <c r="Z37" s="8"/>
      <c r="AA37" s="8"/>
    </row>
    <row r="38" spans="1:27" ht="15.75" customHeight="1">
      <c r="A38" s="8">
        <v>29</v>
      </c>
      <c r="B38" s="12">
        <v>45574</v>
      </c>
      <c r="C38" s="7" t="s">
        <v>49</v>
      </c>
      <c r="D38" s="10" t="s">
        <v>28</v>
      </c>
      <c r="E38" s="11"/>
      <c r="F38" s="8"/>
      <c r="G38" s="8"/>
      <c r="H38" s="8"/>
      <c r="I38" s="8"/>
      <c r="J38" s="8"/>
      <c r="K38" s="8"/>
      <c r="L38" s="8"/>
      <c r="M38" s="8"/>
      <c r="N38" s="8"/>
      <c r="O38" s="8"/>
      <c r="P38" s="8"/>
      <c r="Q38" s="8"/>
      <c r="R38" s="8"/>
      <c r="S38" s="8"/>
      <c r="T38" s="8"/>
      <c r="U38" s="8"/>
      <c r="V38" s="8"/>
      <c r="W38" s="8"/>
      <c r="X38" s="8"/>
      <c r="Y38" s="8"/>
      <c r="Z38" s="8"/>
      <c r="AA38" s="8"/>
    </row>
    <row r="39" spans="1:27" ht="15.75" customHeight="1">
      <c r="A39" s="8"/>
      <c r="B39" s="7"/>
      <c r="C39" s="8"/>
      <c r="D39" s="10" t="s">
        <v>12</v>
      </c>
      <c r="E39" s="11"/>
      <c r="F39" s="8"/>
      <c r="G39" s="8"/>
      <c r="H39" s="8"/>
      <c r="I39" s="8"/>
      <c r="J39" s="8"/>
      <c r="K39" s="8"/>
      <c r="L39" s="8"/>
      <c r="M39" s="8"/>
      <c r="N39" s="8"/>
      <c r="O39" s="8"/>
      <c r="P39" s="8"/>
      <c r="Q39" s="8"/>
      <c r="R39" s="8"/>
      <c r="S39" s="8"/>
      <c r="T39" s="8"/>
      <c r="U39" s="8"/>
      <c r="V39" s="8"/>
      <c r="W39" s="8"/>
      <c r="X39" s="8"/>
      <c r="Y39" s="8"/>
      <c r="Z39" s="8"/>
      <c r="AA39" s="8"/>
    </row>
    <row r="40" spans="1:27" ht="15.75" customHeight="1">
      <c r="A40" s="8">
        <v>30</v>
      </c>
      <c r="B40" s="12">
        <v>45635</v>
      </c>
      <c r="C40" s="7" t="s">
        <v>50</v>
      </c>
      <c r="D40" s="10" t="s">
        <v>11</v>
      </c>
      <c r="E40" s="11"/>
      <c r="F40" s="8"/>
      <c r="G40" s="8"/>
      <c r="H40" s="8"/>
      <c r="I40" s="8"/>
      <c r="J40" s="8"/>
      <c r="K40" s="8"/>
      <c r="L40" s="8"/>
      <c r="M40" s="8"/>
      <c r="N40" s="8"/>
      <c r="O40" s="8"/>
      <c r="P40" s="8"/>
      <c r="Q40" s="8"/>
      <c r="R40" s="8"/>
      <c r="S40" s="8"/>
      <c r="T40" s="8"/>
      <c r="U40" s="8"/>
      <c r="V40" s="8"/>
      <c r="W40" s="8"/>
      <c r="X40" s="8"/>
      <c r="Y40" s="8"/>
      <c r="Z40" s="8"/>
      <c r="AA40" s="8"/>
    </row>
    <row r="41" spans="1:27" ht="15.75" customHeight="1">
      <c r="A41" s="8"/>
      <c r="B41" s="7"/>
      <c r="C41" s="8"/>
      <c r="D41" s="10" t="s">
        <v>12</v>
      </c>
      <c r="E41" s="11"/>
      <c r="F41" s="8"/>
      <c r="G41" s="8"/>
      <c r="H41" s="8"/>
      <c r="I41" s="8"/>
      <c r="J41" s="8"/>
      <c r="K41" s="8"/>
      <c r="L41" s="8"/>
      <c r="M41" s="8"/>
      <c r="N41" s="8"/>
      <c r="O41" s="8"/>
      <c r="P41" s="8"/>
      <c r="Q41" s="8"/>
      <c r="R41" s="8"/>
      <c r="S41" s="8"/>
      <c r="T41" s="8"/>
      <c r="U41" s="8"/>
      <c r="V41" s="8"/>
      <c r="W41" s="8"/>
      <c r="X41" s="8"/>
      <c r="Y41" s="8"/>
      <c r="Z41" s="8"/>
      <c r="AA41" s="8"/>
    </row>
    <row r="42" spans="1:27" ht="19.75">
      <c r="A42" s="8">
        <v>32</v>
      </c>
      <c r="B42" s="7" t="s">
        <v>51</v>
      </c>
      <c r="C42" s="7" t="s">
        <v>52</v>
      </c>
      <c r="D42" s="10" t="s">
        <v>53</v>
      </c>
      <c r="E42" s="11"/>
      <c r="F42" s="8"/>
      <c r="G42" s="8"/>
      <c r="H42" s="8"/>
      <c r="I42" s="8"/>
      <c r="J42" s="8"/>
      <c r="K42" s="8"/>
      <c r="L42" s="8"/>
      <c r="M42" s="8"/>
      <c r="N42" s="8"/>
      <c r="O42" s="8"/>
      <c r="P42" s="8"/>
      <c r="Q42" s="8"/>
      <c r="R42" s="8"/>
      <c r="S42" s="8"/>
      <c r="T42" s="8"/>
      <c r="U42" s="8"/>
      <c r="V42" s="8"/>
      <c r="W42" s="8"/>
      <c r="X42" s="8"/>
      <c r="Y42" s="8"/>
      <c r="Z42" s="8"/>
      <c r="AA42" s="8"/>
    </row>
    <row r="43" spans="1:27" ht="19.75">
      <c r="A43" s="8"/>
      <c r="B43" s="7"/>
      <c r="C43" s="8"/>
      <c r="D43" s="10" t="s">
        <v>20</v>
      </c>
      <c r="E43" s="11"/>
      <c r="F43" s="8"/>
      <c r="G43" s="8"/>
      <c r="H43" s="8"/>
      <c r="I43" s="8"/>
      <c r="J43" s="8"/>
      <c r="K43" s="8"/>
      <c r="L43" s="8"/>
      <c r="M43" s="8"/>
      <c r="N43" s="8"/>
      <c r="O43" s="8"/>
      <c r="P43" s="8"/>
      <c r="Q43" s="8"/>
      <c r="R43" s="8"/>
      <c r="S43" s="8"/>
      <c r="T43" s="8"/>
      <c r="U43" s="8"/>
      <c r="V43" s="8"/>
      <c r="W43" s="8"/>
      <c r="X43" s="8"/>
      <c r="Y43" s="8"/>
      <c r="Z43" s="8"/>
      <c r="AA43" s="8"/>
    </row>
    <row r="44" spans="1:27" ht="19.75">
      <c r="A44" s="8">
        <v>33</v>
      </c>
      <c r="B44" s="7" t="s">
        <v>54</v>
      </c>
      <c r="C44" s="16" t="s">
        <v>55</v>
      </c>
      <c r="D44" s="10" t="s">
        <v>9</v>
      </c>
      <c r="E44" s="11"/>
      <c r="F44" s="8"/>
      <c r="G44" s="8"/>
      <c r="H44" s="8"/>
      <c r="I44" s="8"/>
      <c r="J44" s="8"/>
      <c r="K44" s="8"/>
      <c r="L44" s="8"/>
      <c r="M44" s="8"/>
      <c r="N44" s="8"/>
      <c r="O44" s="8"/>
      <c r="P44" s="8"/>
      <c r="Q44" s="8"/>
      <c r="R44" s="8"/>
      <c r="S44" s="8"/>
      <c r="T44" s="8"/>
      <c r="U44" s="8"/>
      <c r="V44" s="8"/>
      <c r="W44" s="8"/>
      <c r="X44" s="8"/>
      <c r="Y44" s="8"/>
      <c r="Z44" s="8"/>
      <c r="AA44" s="8"/>
    </row>
    <row r="45" spans="1:27" ht="19.75">
      <c r="A45" s="8"/>
      <c r="B45" s="7"/>
      <c r="C45" s="8"/>
      <c r="D45" s="10" t="s">
        <v>20</v>
      </c>
      <c r="E45" s="11"/>
      <c r="F45" s="8"/>
      <c r="G45" s="8"/>
      <c r="H45" s="8"/>
      <c r="I45" s="8"/>
      <c r="J45" s="8"/>
      <c r="K45" s="8"/>
      <c r="L45" s="8"/>
      <c r="M45" s="8"/>
      <c r="N45" s="8"/>
      <c r="O45" s="8"/>
      <c r="P45" s="8"/>
      <c r="Q45" s="8"/>
      <c r="R45" s="8"/>
      <c r="S45" s="8"/>
      <c r="T45" s="8"/>
      <c r="U45" s="8"/>
      <c r="V45" s="8"/>
      <c r="W45" s="8"/>
      <c r="X45" s="8"/>
      <c r="Y45" s="8"/>
      <c r="Z45" s="8"/>
      <c r="AA45" s="8"/>
    </row>
    <row r="46" spans="1:27" ht="19.75">
      <c r="A46" s="8">
        <v>35</v>
      </c>
      <c r="B46" s="7" t="s">
        <v>56</v>
      </c>
      <c r="C46" s="15" t="s">
        <v>57</v>
      </c>
      <c r="D46" s="10" t="s">
        <v>58</v>
      </c>
      <c r="E46" s="11"/>
      <c r="F46" s="8"/>
      <c r="G46" s="8"/>
      <c r="H46" s="8"/>
      <c r="I46" s="8"/>
      <c r="J46" s="8"/>
      <c r="K46" s="8"/>
      <c r="L46" s="8"/>
      <c r="M46" s="8"/>
      <c r="N46" s="8"/>
      <c r="O46" s="8"/>
      <c r="P46" s="8"/>
      <c r="Q46" s="8"/>
      <c r="R46" s="8"/>
      <c r="S46" s="8"/>
      <c r="T46" s="8"/>
      <c r="U46" s="8"/>
      <c r="V46" s="8"/>
      <c r="W46" s="8"/>
      <c r="X46" s="8"/>
      <c r="Y46" s="8"/>
      <c r="Z46" s="8"/>
      <c r="AA46" s="8"/>
    </row>
    <row r="47" spans="1:27" ht="19.75">
      <c r="A47" s="8"/>
      <c r="B47" s="7"/>
      <c r="C47" s="8"/>
      <c r="D47" s="10" t="s">
        <v>59</v>
      </c>
      <c r="E47" s="11"/>
      <c r="F47" s="8"/>
      <c r="G47" s="8"/>
      <c r="H47" s="8"/>
      <c r="I47" s="8"/>
      <c r="J47" s="8"/>
      <c r="K47" s="8"/>
      <c r="L47" s="8"/>
      <c r="M47" s="8"/>
      <c r="N47" s="8"/>
      <c r="O47" s="8"/>
      <c r="P47" s="8"/>
      <c r="Q47" s="8"/>
      <c r="R47" s="8"/>
      <c r="S47" s="8"/>
      <c r="T47" s="8"/>
      <c r="U47" s="8"/>
      <c r="V47" s="8"/>
      <c r="W47" s="8"/>
      <c r="X47" s="8"/>
      <c r="Y47" s="8"/>
      <c r="Z47" s="8"/>
      <c r="AA47" s="8"/>
    </row>
    <row r="48" spans="1:27" ht="19.75">
      <c r="A48" s="8">
        <v>36</v>
      </c>
      <c r="B48" s="12">
        <v>45301</v>
      </c>
      <c r="C48" s="7" t="s">
        <v>60</v>
      </c>
      <c r="D48" s="10" t="s">
        <v>61</v>
      </c>
      <c r="E48" s="11"/>
      <c r="F48" s="8"/>
      <c r="G48" s="8"/>
      <c r="H48" s="8"/>
      <c r="I48" s="8"/>
      <c r="J48" s="8"/>
      <c r="K48" s="8"/>
      <c r="L48" s="8"/>
      <c r="M48" s="8"/>
      <c r="N48" s="8"/>
      <c r="O48" s="8"/>
      <c r="P48" s="8"/>
      <c r="Q48" s="8"/>
      <c r="R48" s="8"/>
      <c r="S48" s="8"/>
      <c r="T48" s="8"/>
      <c r="U48" s="8"/>
      <c r="V48" s="8"/>
      <c r="W48" s="8"/>
      <c r="X48" s="8"/>
      <c r="Y48" s="8"/>
      <c r="Z48" s="8"/>
      <c r="AA48" s="8"/>
    </row>
    <row r="49" spans="1:27" ht="19.75">
      <c r="A49" s="8"/>
      <c r="B49" s="7"/>
      <c r="C49" s="8"/>
      <c r="D49" s="10" t="s">
        <v>15</v>
      </c>
      <c r="E49" s="11"/>
      <c r="F49" s="8"/>
      <c r="G49" s="8"/>
      <c r="H49" s="8"/>
      <c r="I49" s="8"/>
      <c r="J49" s="8"/>
      <c r="K49" s="8"/>
      <c r="L49" s="8"/>
      <c r="M49" s="8"/>
      <c r="N49" s="8"/>
      <c r="O49" s="8"/>
      <c r="P49" s="8"/>
      <c r="Q49" s="8"/>
      <c r="R49" s="8"/>
      <c r="S49" s="8"/>
      <c r="T49" s="8"/>
      <c r="U49" s="8"/>
      <c r="V49" s="8"/>
      <c r="W49" s="8"/>
      <c r="X49" s="8"/>
      <c r="Y49" s="8"/>
      <c r="Z49" s="8"/>
      <c r="AA49" s="8"/>
    </row>
    <row r="50" spans="1:27" ht="19.75">
      <c r="A50" s="8">
        <v>37</v>
      </c>
      <c r="B50" s="12">
        <v>45332</v>
      </c>
      <c r="C50" s="7" t="s">
        <v>62</v>
      </c>
      <c r="D50" s="10" t="s">
        <v>63</v>
      </c>
      <c r="E50" s="11" t="s">
        <v>64</v>
      </c>
      <c r="F50" s="8"/>
      <c r="G50" s="8"/>
      <c r="H50" s="8"/>
      <c r="I50" s="8"/>
      <c r="J50" s="8"/>
      <c r="K50" s="8"/>
      <c r="L50" s="8"/>
      <c r="M50" s="8"/>
      <c r="N50" s="8"/>
      <c r="O50" s="8"/>
      <c r="P50" s="8"/>
      <c r="Q50" s="8"/>
      <c r="R50" s="8"/>
      <c r="S50" s="8"/>
      <c r="T50" s="8"/>
      <c r="U50" s="8"/>
      <c r="V50" s="8"/>
      <c r="W50" s="8"/>
      <c r="X50" s="8"/>
      <c r="Y50" s="8"/>
      <c r="Z50" s="8"/>
      <c r="AA50" s="8"/>
    </row>
    <row r="51" spans="1:27" ht="19.75">
      <c r="A51" s="8"/>
      <c r="B51" s="7"/>
      <c r="C51" s="8"/>
      <c r="D51" s="10" t="s">
        <v>28</v>
      </c>
      <c r="E51" s="11"/>
      <c r="F51" s="8"/>
      <c r="G51" s="8"/>
      <c r="H51" s="8"/>
      <c r="I51" s="8"/>
      <c r="J51" s="8"/>
      <c r="K51" s="8"/>
      <c r="L51" s="8"/>
      <c r="M51" s="8"/>
      <c r="N51" s="8"/>
      <c r="O51" s="8"/>
      <c r="P51" s="8"/>
      <c r="Q51" s="8"/>
      <c r="R51" s="8"/>
      <c r="S51" s="8"/>
      <c r="T51" s="8"/>
      <c r="U51" s="8"/>
      <c r="V51" s="8"/>
      <c r="W51" s="8"/>
      <c r="X51" s="8"/>
      <c r="Y51" s="8"/>
      <c r="Z51" s="8"/>
      <c r="AA51" s="8"/>
    </row>
    <row r="52" spans="1:27" ht="19.75">
      <c r="A52" s="8"/>
      <c r="B52" s="7"/>
      <c r="C52" s="8"/>
      <c r="D52" s="10" t="s">
        <v>65</v>
      </c>
      <c r="E52" s="11"/>
      <c r="F52" s="8"/>
      <c r="G52" s="8"/>
      <c r="H52" s="8"/>
      <c r="I52" s="8"/>
      <c r="J52" s="8"/>
      <c r="K52" s="8"/>
      <c r="L52" s="8"/>
      <c r="M52" s="8"/>
      <c r="N52" s="8"/>
      <c r="O52" s="8"/>
      <c r="P52" s="8"/>
      <c r="Q52" s="8"/>
      <c r="R52" s="8"/>
      <c r="S52" s="8"/>
      <c r="T52" s="8"/>
      <c r="U52" s="8"/>
      <c r="V52" s="8"/>
      <c r="W52" s="8"/>
      <c r="X52" s="8"/>
      <c r="Y52" s="8"/>
      <c r="Z52" s="8"/>
      <c r="AA52" s="8"/>
    </row>
    <row r="53" spans="1:27" ht="19.75">
      <c r="A53" s="8">
        <v>38</v>
      </c>
      <c r="B53" s="12">
        <v>45361</v>
      </c>
      <c r="C53" s="7" t="s">
        <v>66</v>
      </c>
      <c r="D53" s="17" t="s">
        <v>67</v>
      </c>
      <c r="E53" s="11"/>
      <c r="F53" s="8"/>
      <c r="G53" s="8"/>
      <c r="H53" s="8"/>
      <c r="I53" s="8"/>
      <c r="J53" s="8"/>
      <c r="K53" s="8"/>
      <c r="L53" s="8"/>
      <c r="M53" s="8"/>
      <c r="N53" s="8"/>
      <c r="O53" s="8"/>
      <c r="P53" s="8"/>
      <c r="Q53" s="8"/>
      <c r="R53" s="8"/>
      <c r="S53" s="8"/>
      <c r="T53" s="8"/>
      <c r="U53" s="8"/>
      <c r="V53" s="8"/>
      <c r="W53" s="8"/>
      <c r="X53" s="8"/>
      <c r="Y53" s="8"/>
      <c r="Z53" s="8"/>
      <c r="AA53" s="8"/>
    </row>
    <row r="54" spans="1:27" ht="19.75">
      <c r="A54" s="8"/>
      <c r="B54" s="7"/>
      <c r="C54" s="8"/>
      <c r="D54" s="10" t="s">
        <v>20</v>
      </c>
      <c r="E54" s="11"/>
      <c r="F54" s="8"/>
      <c r="G54" s="8"/>
      <c r="H54" s="8"/>
      <c r="I54" s="8"/>
      <c r="J54" s="8"/>
      <c r="K54" s="8"/>
      <c r="L54" s="8"/>
      <c r="M54" s="8"/>
      <c r="N54" s="8"/>
      <c r="O54" s="8"/>
      <c r="P54" s="8"/>
      <c r="Q54" s="8"/>
      <c r="R54" s="8"/>
      <c r="S54" s="8"/>
      <c r="T54" s="8"/>
      <c r="U54" s="8"/>
      <c r="V54" s="8"/>
      <c r="W54" s="8"/>
      <c r="X54" s="8"/>
      <c r="Y54" s="8"/>
      <c r="Z54" s="8"/>
      <c r="AA54" s="8"/>
    </row>
    <row r="55" spans="1:27" ht="59.15">
      <c r="A55" s="8">
        <v>40</v>
      </c>
      <c r="B55" s="12">
        <v>45514</v>
      </c>
      <c r="C55" s="7" t="s">
        <v>68</v>
      </c>
      <c r="D55" s="17" t="s">
        <v>69</v>
      </c>
      <c r="E55" s="18" t="s">
        <v>70</v>
      </c>
      <c r="F55" s="8"/>
      <c r="G55" s="8"/>
      <c r="H55" s="8"/>
      <c r="I55" s="8"/>
      <c r="J55" s="8"/>
      <c r="K55" s="8"/>
      <c r="L55" s="8"/>
      <c r="M55" s="8"/>
      <c r="N55" s="8"/>
      <c r="O55" s="8"/>
      <c r="P55" s="8"/>
      <c r="Q55" s="8"/>
      <c r="R55" s="8"/>
      <c r="S55" s="8"/>
      <c r="T55" s="8"/>
      <c r="U55" s="8"/>
      <c r="V55" s="8"/>
      <c r="W55" s="8"/>
      <c r="X55" s="8"/>
      <c r="Y55" s="8"/>
      <c r="Z55" s="8"/>
      <c r="AA55" s="8"/>
    </row>
    <row r="56" spans="1:27" ht="19.75">
      <c r="A56" s="8">
        <v>41</v>
      </c>
      <c r="B56" s="19">
        <v>45575</v>
      </c>
      <c r="C56" s="20" t="s">
        <v>71</v>
      </c>
      <c r="D56" s="10" t="s">
        <v>11</v>
      </c>
      <c r="E56" s="11"/>
      <c r="F56" s="8"/>
      <c r="G56" s="8"/>
      <c r="H56" s="8"/>
      <c r="I56" s="8"/>
      <c r="J56" s="8"/>
      <c r="K56" s="8"/>
      <c r="L56" s="8"/>
      <c r="M56" s="8"/>
      <c r="N56" s="8"/>
      <c r="O56" s="8"/>
      <c r="P56" s="8"/>
      <c r="Q56" s="8"/>
      <c r="R56" s="8"/>
      <c r="S56" s="8"/>
      <c r="T56" s="8"/>
      <c r="U56" s="8"/>
      <c r="V56" s="8"/>
      <c r="W56" s="8"/>
      <c r="X56" s="8"/>
      <c r="Y56" s="8"/>
      <c r="Z56" s="8"/>
      <c r="AA56" s="8"/>
    </row>
    <row r="57" spans="1:27" ht="19.75">
      <c r="A57" s="8"/>
      <c r="B57" s="7"/>
      <c r="C57" s="8"/>
      <c r="D57" s="10" t="s">
        <v>72</v>
      </c>
      <c r="E57" s="11"/>
      <c r="F57" s="8"/>
      <c r="G57" s="8"/>
      <c r="H57" s="8"/>
      <c r="I57" s="8"/>
      <c r="J57" s="8"/>
      <c r="K57" s="8"/>
      <c r="L57" s="8"/>
      <c r="M57" s="8"/>
      <c r="N57" s="8"/>
      <c r="O57" s="8"/>
      <c r="P57" s="8"/>
      <c r="Q57" s="8"/>
      <c r="R57" s="8"/>
      <c r="S57" s="8"/>
      <c r="T57" s="8"/>
      <c r="U57" s="8"/>
      <c r="V57" s="8"/>
      <c r="W57" s="8"/>
      <c r="X57" s="8"/>
      <c r="Y57" s="8"/>
      <c r="Z57" s="8"/>
      <c r="AA57" s="8"/>
    </row>
    <row r="58" spans="1:27" ht="19.75">
      <c r="A58" s="8">
        <v>43</v>
      </c>
      <c r="B58" s="7" t="s">
        <v>73</v>
      </c>
      <c r="C58" s="7" t="s">
        <v>74</v>
      </c>
      <c r="D58" s="10" t="s">
        <v>11</v>
      </c>
      <c r="E58" s="11" t="s">
        <v>75</v>
      </c>
      <c r="F58" s="8"/>
      <c r="G58" s="8"/>
      <c r="H58" s="8"/>
      <c r="I58" s="8"/>
      <c r="J58" s="8"/>
      <c r="K58" s="8"/>
      <c r="L58" s="8"/>
      <c r="M58" s="8"/>
      <c r="N58" s="8"/>
      <c r="O58" s="8"/>
      <c r="P58" s="8"/>
      <c r="Q58" s="8"/>
      <c r="R58" s="8"/>
      <c r="S58" s="8"/>
      <c r="T58" s="8"/>
      <c r="U58" s="8"/>
      <c r="V58" s="8"/>
      <c r="W58" s="8"/>
      <c r="X58" s="8"/>
      <c r="Y58" s="8"/>
      <c r="Z58" s="8"/>
      <c r="AA58" s="8"/>
    </row>
    <row r="59" spans="1:27" ht="56.6">
      <c r="A59" s="8">
        <v>44</v>
      </c>
      <c r="B59" s="7" t="s">
        <v>76</v>
      </c>
      <c r="C59" s="7" t="s">
        <v>77</v>
      </c>
      <c r="D59" s="21" t="s">
        <v>78</v>
      </c>
      <c r="E59" s="18" t="s">
        <v>79</v>
      </c>
      <c r="F59" s="8"/>
      <c r="G59" s="8"/>
      <c r="H59" s="8"/>
      <c r="I59" s="8"/>
      <c r="J59" s="8"/>
      <c r="K59" s="8"/>
      <c r="L59" s="8"/>
      <c r="M59" s="8"/>
      <c r="N59" s="8"/>
      <c r="O59" s="8"/>
      <c r="P59" s="8"/>
      <c r="Q59" s="8"/>
      <c r="R59" s="8"/>
      <c r="S59" s="8"/>
      <c r="T59" s="8"/>
      <c r="U59" s="8"/>
      <c r="V59" s="8"/>
      <c r="W59" s="8"/>
      <c r="X59" s="8"/>
      <c r="Y59" s="8"/>
      <c r="Z59" s="8"/>
      <c r="AA59" s="8"/>
    </row>
    <row r="60" spans="1:27" ht="19.75">
      <c r="A60" s="8"/>
      <c r="B60" s="7"/>
      <c r="C60" s="8"/>
      <c r="D60" s="10" t="s">
        <v>80</v>
      </c>
      <c r="E60" s="11"/>
      <c r="F60" s="8"/>
      <c r="G60" s="8"/>
      <c r="H60" s="8"/>
      <c r="I60" s="8"/>
      <c r="J60" s="8"/>
      <c r="K60" s="8"/>
      <c r="L60" s="8"/>
      <c r="M60" s="8"/>
      <c r="N60" s="8"/>
      <c r="O60" s="8"/>
      <c r="P60" s="8"/>
      <c r="Q60" s="8"/>
      <c r="R60" s="8"/>
      <c r="S60" s="8"/>
      <c r="T60" s="8"/>
      <c r="U60" s="8"/>
      <c r="V60" s="8"/>
      <c r="W60" s="8"/>
      <c r="X60" s="8"/>
      <c r="Y60" s="8"/>
      <c r="Z60" s="8"/>
      <c r="AA60" s="8"/>
    </row>
    <row r="61" spans="1:27" ht="19.75">
      <c r="A61" s="8">
        <v>45</v>
      </c>
      <c r="B61" s="7" t="s">
        <v>81</v>
      </c>
      <c r="C61" s="7" t="s">
        <v>82</v>
      </c>
      <c r="D61" s="10" t="s">
        <v>28</v>
      </c>
      <c r="E61" s="11" t="s">
        <v>83</v>
      </c>
      <c r="F61" s="8"/>
      <c r="G61" s="8"/>
      <c r="H61" s="8"/>
      <c r="I61" s="8"/>
      <c r="J61" s="8"/>
      <c r="K61" s="8"/>
      <c r="L61" s="8"/>
      <c r="M61" s="8"/>
      <c r="N61" s="8"/>
      <c r="O61" s="8"/>
      <c r="P61" s="8"/>
      <c r="Q61" s="8"/>
      <c r="R61" s="8"/>
      <c r="S61" s="8"/>
      <c r="T61" s="8"/>
      <c r="U61" s="8"/>
      <c r="V61" s="8"/>
      <c r="W61" s="8"/>
      <c r="X61" s="8"/>
      <c r="Y61" s="8"/>
      <c r="Z61" s="8"/>
      <c r="AA61" s="8"/>
    </row>
    <row r="62" spans="1:27" ht="19.75">
      <c r="A62" s="8"/>
      <c r="B62" s="7"/>
      <c r="C62" s="7"/>
      <c r="D62" s="10" t="s">
        <v>12</v>
      </c>
      <c r="E62" s="11"/>
      <c r="F62" s="8"/>
      <c r="G62" s="8"/>
      <c r="H62" s="8"/>
      <c r="I62" s="8"/>
      <c r="J62" s="8"/>
      <c r="K62" s="8"/>
      <c r="L62" s="8"/>
      <c r="M62" s="8"/>
      <c r="N62" s="8"/>
      <c r="O62" s="8"/>
      <c r="P62" s="8"/>
      <c r="Q62" s="8"/>
      <c r="R62" s="8"/>
      <c r="S62" s="8"/>
      <c r="T62" s="8"/>
      <c r="U62" s="8"/>
      <c r="V62" s="8"/>
      <c r="W62" s="8"/>
      <c r="X62" s="8"/>
      <c r="Y62" s="8"/>
      <c r="Z62" s="8"/>
      <c r="AA62" s="8"/>
    </row>
    <row r="63" spans="1:27" ht="19.75">
      <c r="A63" s="8">
        <v>46</v>
      </c>
      <c r="B63" s="7" t="s">
        <v>84</v>
      </c>
      <c r="C63" s="7" t="s">
        <v>85</v>
      </c>
      <c r="D63" s="10" t="s">
        <v>31</v>
      </c>
      <c r="E63" s="11"/>
      <c r="F63" s="8"/>
      <c r="G63" s="8"/>
      <c r="H63" s="8"/>
      <c r="I63" s="8"/>
      <c r="J63" s="8"/>
      <c r="K63" s="8"/>
      <c r="L63" s="8"/>
      <c r="M63" s="8"/>
      <c r="N63" s="8"/>
      <c r="O63" s="8"/>
      <c r="P63" s="8"/>
      <c r="Q63" s="8"/>
      <c r="R63" s="8"/>
      <c r="S63" s="8"/>
      <c r="T63" s="8"/>
      <c r="U63" s="8"/>
      <c r="V63" s="8"/>
      <c r="W63" s="8"/>
      <c r="X63" s="8"/>
      <c r="Y63" s="8"/>
      <c r="Z63" s="8"/>
      <c r="AA63" s="8"/>
    </row>
    <row r="64" spans="1:27" ht="19.75">
      <c r="A64" s="8"/>
      <c r="B64" s="7"/>
      <c r="C64" s="8"/>
      <c r="D64" s="10" t="s">
        <v>86</v>
      </c>
      <c r="E64" s="11"/>
      <c r="F64" s="8"/>
      <c r="G64" s="8"/>
      <c r="H64" s="8"/>
      <c r="I64" s="8"/>
      <c r="J64" s="8"/>
      <c r="K64" s="8"/>
      <c r="L64" s="8"/>
      <c r="M64" s="8"/>
      <c r="N64" s="8"/>
      <c r="O64" s="8"/>
      <c r="P64" s="8"/>
      <c r="Q64" s="8"/>
      <c r="R64" s="8"/>
      <c r="S64" s="8"/>
      <c r="T64" s="8"/>
      <c r="U64" s="8"/>
      <c r="V64" s="8"/>
      <c r="W64" s="8"/>
      <c r="X64" s="8"/>
      <c r="Y64" s="8"/>
      <c r="Z64" s="8"/>
      <c r="AA64" s="8"/>
    </row>
    <row r="65" spans="1:27" ht="19.75">
      <c r="A65" s="8">
        <v>48</v>
      </c>
      <c r="B65" s="7" t="s">
        <v>87</v>
      </c>
      <c r="C65" s="15" t="s">
        <v>88</v>
      </c>
      <c r="D65" s="10" t="s">
        <v>89</v>
      </c>
      <c r="E65" s="11" t="s">
        <v>90</v>
      </c>
      <c r="F65" s="8"/>
      <c r="G65" s="8"/>
      <c r="H65" s="8"/>
      <c r="I65" s="8"/>
      <c r="J65" s="8"/>
      <c r="K65" s="8"/>
      <c r="L65" s="8"/>
      <c r="M65" s="8"/>
      <c r="N65" s="8"/>
      <c r="O65" s="8"/>
      <c r="P65" s="8"/>
      <c r="Q65" s="8"/>
      <c r="R65" s="8"/>
      <c r="S65" s="8"/>
      <c r="T65" s="8"/>
      <c r="U65" s="8"/>
      <c r="V65" s="8"/>
      <c r="W65" s="8"/>
      <c r="X65" s="8"/>
      <c r="Y65" s="8"/>
      <c r="Z65" s="8"/>
      <c r="AA65" s="8"/>
    </row>
    <row r="66" spans="1:27" ht="19.75">
      <c r="A66" s="8">
        <v>49</v>
      </c>
      <c r="B66" s="12">
        <v>45302</v>
      </c>
      <c r="C66" s="7" t="s">
        <v>91</v>
      </c>
      <c r="D66" s="10" t="s">
        <v>11</v>
      </c>
      <c r="E66" s="11"/>
      <c r="F66" s="8"/>
      <c r="G66" s="8"/>
      <c r="H66" s="8"/>
      <c r="I66" s="8"/>
      <c r="J66" s="8"/>
      <c r="K66" s="8"/>
      <c r="L66" s="8"/>
      <c r="M66" s="8"/>
      <c r="N66" s="8"/>
      <c r="O66" s="8"/>
      <c r="P66" s="8"/>
      <c r="Q66" s="8"/>
      <c r="R66" s="8"/>
      <c r="S66" s="8"/>
      <c r="T66" s="8"/>
      <c r="U66" s="8"/>
      <c r="V66" s="8"/>
      <c r="W66" s="8"/>
      <c r="X66" s="8"/>
      <c r="Y66" s="8"/>
      <c r="Z66" s="8"/>
      <c r="AA66" s="8"/>
    </row>
    <row r="67" spans="1:27" ht="19.75">
      <c r="A67" s="8"/>
      <c r="B67" s="7"/>
      <c r="C67" s="8"/>
      <c r="D67" s="10" t="s">
        <v>92</v>
      </c>
      <c r="E67" s="11"/>
      <c r="F67" s="8"/>
      <c r="G67" s="8"/>
      <c r="H67" s="8"/>
      <c r="I67" s="8"/>
      <c r="J67" s="8"/>
      <c r="K67" s="8"/>
      <c r="L67" s="8"/>
      <c r="M67" s="8"/>
      <c r="N67" s="8"/>
      <c r="O67" s="8"/>
      <c r="P67" s="8"/>
      <c r="Q67" s="8"/>
      <c r="R67" s="8"/>
      <c r="S67" s="8"/>
      <c r="T67" s="8"/>
      <c r="U67" s="8"/>
      <c r="V67" s="8"/>
      <c r="W67" s="8"/>
      <c r="X67" s="8"/>
      <c r="Y67" s="8"/>
      <c r="Z67" s="8"/>
      <c r="AA67" s="8"/>
    </row>
    <row r="68" spans="1:27" ht="19.75">
      <c r="A68" s="8">
        <v>50</v>
      </c>
      <c r="B68" s="12">
        <v>45423</v>
      </c>
      <c r="C68" s="7" t="s">
        <v>93</v>
      </c>
      <c r="D68" s="10" t="s">
        <v>28</v>
      </c>
      <c r="E68" s="11"/>
      <c r="F68" s="8"/>
      <c r="G68" s="8"/>
      <c r="H68" s="8"/>
      <c r="I68" s="8"/>
      <c r="J68" s="8"/>
      <c r="K68" s="8"/>
      <c r="L68" s="8"/>
      <c r="M68" s="8"/>
      <c r="N68" s="8"/>
      <c r="O68" s="8"/>
      <c r="P68" s="8"/>
      <c r="Q68" s="8"/>
      <c r="R68" s="8"/>
      <c r="S68" s="8"/>
      <c r="T68" s="8"/>
      <c r="U68" s="8"/>
      <c r="V68" s="8"/>
      <c r="W68" s="8"/>
      <c r="X68" s="8"/>
      <c r="Y68" s="8"/>
      <c r="Z68" s="8"/>
      <c r="AA68" s="8"/>
    </row>
    <row r="69" spans="1:27" ht="19.75">
      <c r="A69" s="8"/>
      <c r="B69" s="7"/>
      <c r="C69" s="8"/>
      <c r="D69" s="10" t="s">
        <v>94</v>
      </c>
      <c r="E69" s="11"/>
      <c r="F69" s="8"/>
      <c r="G69" s="8"/>
      <c r="H69" s="8"/>
      <c r="I69" s="8"/>
      <c r="J69" s="8"/>
      <c r="K69" s="8"/>
      <c r="L69" s="8"/>
      <c r="M69" s="8"/>
      <c r="N69" s="8"/>
      <c r="O69" s="8"/>
      <c r="P69" s="8"/>
      <c r="Q69" s="8"/>
      <c r="R69" s="8"/>
      <c r="S69" s="8"/>
      <c r="T69" s="8"/>
      <c r="U69" s="8"/>
      <c r="V69" s="8"/>
      <c r="W69" s="8"/>
      <c r="X69" s="8"/>
      <c r="Y69" s="8"/>
      <c r="Z69" s="8"/>
      <c r="AA69" s="8"/>
    </row>
    <row r="70" spans="1:27" ht="19.75">
      <c r="A70" s="8">
        <v>51</v>
      </c>
      <c r="B70" s="12">
        <v>45484</v>
      </c>
      <c r="C70" s="7" t="s">
        <v>95</v>
      </c>
      <c r="D70" s="10" t="s">
        <v>11</v>
      </c>
      <c r="E70" s="11" t="s">
        <v>96</v>
      </c>
      <c r="F70" s="8"/>
      <c r="G70" s="8"/>
      <c r="H70" s="8"/>
      <c r="I70" s="8"/>
      <c r="J70" s="8"/>
      <c r="K70" s="8"/>
      <c r="L70" s="8"/>
      <c r="M70" s="8"/>
      <c r="N70" s="8"/>
      <c r="O70" s="8"/>
      <c r="P70" s="8"/>
      <c r="Q70" s="8"/>
      <c r="R70" s="8"/>
      <c r="S70" s="8"/>
      <c r="T70" s="8"/>
      <c r="U70" s="8"/>
      <c r="V70" s="8"/>
      <c r="W70" s="8"/>
      <c r="X70" s="8"/>
      <c r="Y70" s="8"/>
      <c r="Z70" s="8"/>
      <c r="AA70" s="8"/>
    </row>
    <row r="71" spans="1:27" ht="19.75">
      <c r="A71" s="8"/>
      <c r="B71" s="7"/>
      <c r="C71" s="8"/>
      <c r="D71" s="10" t="s">
        <v>45</v>
      </c>
      <c r="E71" s="11"/>
      <c r="F71" s="8"/>
      <c r="G71" s="8"/>
      <c r="H71" s="8"/>
      <c r="I71" s="8"/>
      <c r="J71" s="8"/>
      <c r="K71" s="8"/>
      <c r="L71" s="8"/>
      <c r="M71" s="8"/>
      <c r="N71" s="8"/>
      <c r="O71" s="8"/>
      <c r="P71" s="8"/>
      <c r="Q71" s="8"/>
      <c r="R71" s="8"/>
      <c r="S71" s="8"/>
      <c r="T71" s="8"/>
      <c r="U71" s="8"/>
      <c r="V71" s="8"/>
      <c r="W71" s="8"/>
      <c r="X71" s="8"/>
      <c r="Y71" s="8"/>
      <c r="Z71" s="8"/>
      <c r="AA71" s="8"/>
    </row>
    <row r="72" spans="1:27" ht="19.75">
      <c r="A72" s="8">
        <v>53</v>
      </c>
      <c r="B72" s="19">
        <v>45637</v>
      </c>
      <c r="C72" s="7" t="s">
        <v>97</v>
      </c>
      <c r="D72" s="10" t="s">
        <v>28</v>
      </c>
      <c r="E72" s="11"/>
      <c r="F72" s="8"/>
      <c r="G72" s="8"/>
      <c r="H72" s="8"/>
      <c r="I72" s="8"/>
      <c r="J72" s="8"/>
      <c r="K72" s="8"/>
      <c r="L72" s="8"/>
      <c r="M72" s="8"/>
      <c r="N72" s="8"/>
      <c r="O72" s="8"/>
      <c r="P72" s="8"/>
      <c r="Q72" s="8"/>
      <c r="R72" s="8"/>
      <c r="S72" s="8"/>
      <c r="T72" s="8"/>
      <c r="U72" s="8"/>
      <c r="V72" s="8"/>
      <c r="W72" s="8"/>
      <c r="X72" s="8"/>
      <c r="Y72" s="8"/>
      <c r="Z72" s="8"/>
      <c r="AA72" s="8"/>
    </row>
    <row r="73" spans="1:27" ht="19.75">
      <c r="A73" s="8"/>
      <c r="B73" s="7"/>
      <c r="C73" s="8"/>
      <c r="D73" s="10" t="s">
        <v>86</v>
      </c>
      <c r="E73" s="11"/>
      <c r="F73" s="8"/>
      <c r="G73" s="8"/>
      <c r="H73" s="8"/>
      <c r="I73" s="8"/>
      <c r="J73" s="8"/>
      <c r="K73" s="8"/>
      <c r="L73" s="8"/>
      <c r="M73" s="8"/>
      <c r="N73" s="8"/>
      <c r="O73" s="8"/>
      <c r="P73" s="8"/>
      <c r="Q73" s="8"/>
      <c r="R73" s="8"/>
      <c r="S73" s="8"/>
      <c r="T73" s="8"/>
      <c r="U73" s="8"/>
      <c r="V73" s="8"/>
      <c r="W73" s="8"/>
      <c r="X73" s="8"/>
      <c r="Y73" s="8"/>
      <c r="Z73" s="8"/>
      <c r="AA73" s="8"/>
    </row>
    <row r="74" spans="1:27" ht="19.75">
      <c r="A74" s="8">
        <v>55</v>
      </c>
      <c r="B74" s="7" t="s">
        <v>98</v>
      </c>
      <c r="C74" s="15" t="s">
        <v>99</v>
      </c>
      <c r="D74" s="10" t="s">
        <v>31</v>
      </c>
      <c r="E74" s="11"/>
      <c r="F74" s="8"/>
      <c r="G74" s="8"/>
      <c r="H74" s="8"/>
      <c r="I74" s="8"/>
      <c r="J74" s="8"/>
      <c r="K74" s="8"/>
      <c r="L74" s="8"/>
      <c r="M74" s="8"/>
      <c r="N74" s="8"/>
      <c r="O74" s="8"/>
      <c r="P74" s="8"/>
      <c r="Q74" s="8"/>
      <c r="R74" s="8"/>
      <c r="S74" s="8"/>
      <c r="T74" s="8"/>
      <c r="U74" s="8"/>
      <c r="V74" s="8"/>
      <c r="W74" s="8"/>
      <c r="X74" s="8"/>
      <c r="Y74" s="8"/>
      <c r="Z74" s="8"/>
      <c r="AA74" s="8"/>
    </row>
    <row r="75" spans="1:27" ht="19.75">
      <c r="A75" s="8"/>
      <c r="B75" s="7"/>
      <c r="C75" s="8"/>
      <c r="D75" s="10" t="s">
        <v>100</v>
      </c>
      <c r="E75" s="11"/>
      <c r="F75" s="8"/>
      <c r="G75" s="8"/>
      <c r="H75" s="8"/>
      <c r="I75" s="8"/>
      <c r="J75" s="8"/>
      <c r="K75" s="8"/>
      <c r="L75" s="8"/>
      <c r="M75" s="8"/>
      <c r="N75" s="8"/>
      <c r="O75" s="8"/>
      <c r="P75" s="8"/>
      <c r="Q75" s="8"/>
      <c r="R75" s="8"/>
      <c r="S75" s="8"/>
      <c r="T75" s="8"/>
      <c r="U75" s="8"/>
      <c r="V75" s="8"/>
      <c r="W75" s="8"/>
      <c r="X75" s="8"/>
      <c r="Y75" s="8"/>
      <c r="Z75" s="8"/>
      <c r="AA75" s="8"/>
    </row>
    <row r="76" spans="1:27" ht="19.75">
      <c r="A76" s="8">
        <v>56</v>
      </c>
      <c r="B76" s="7" t="s">
        <v>101</v>
      </c>
      <c r="C76" s="7" t="s">
        <v>102</v>
      </c>
      <c r="D76" s="10" t="s">
        <v>28</v>
      </c>
      <c r="E76" s="11"/>
      <c r="F76" s="8"/>
      <c r="G76" s="8"/>
      <c r="H76" s="8"/>
      <c r="I76" s="8"/>
      <c r="J76" s="8"/>
      <c r="K76" s="8"/>
      <c r="L76" s="8"/>
      <c r="M76" s="8"/>
      <c r="N76" s="8"/>
      <c r="O76" s="8"/>
      <c r="P76" s="8"/>
      <c r="Q76" s="8"/>
      <c r="R76" s="8"/>
      <c r="S76" s="8"/>
      <c r="T76" s="8"/>
      <c r="U76" s="8"/>
      <c r="V76" s="8"/>
      <c r="W76" s="8"/>
      <c r="X76" s="8"/>
      <c r="Y76" s="8"/>
      <c r="Z76" s="8"/>
      <c r="AA76" s="8"/>
    </row>
    <row r="77" spans="1:27" ht="19.75">
      <c r="A77" s="8"/>
      <c r="B77" s="7"/>
      <c r="C77" s="8"/>
      <c r="D77" s="10" t="s">
        <v>86</v>
      </c>
      <c r="E77" s="11"/>
      <c r="F77" s="8"/>
      <c r="G77" s="8"/>
      <c r="H77" s="8"/>
      <c r="I77" s="8"/>
      <c r="J77" s="8"/>
      <c r="K77" s="8"/>
      <c r="L77" s="8"/>
      <c r="M77" s="8"/>
      <c r="N77" s="8"/>
      <c r="O77" s="8"/>
      <c r="P77" s="8"/>
      <c r="Q77" s="8"/>
      <c r="R77" s="8"/>
      <c r="S77" s="8"/>
      <c r="T77" s="8"/>
      <c r="U77" s="8"/>
      <c r="V77" s="8"/>
      <c r="W77" s="8"/>
      <c r="X77" s="8"/>
      <c r="Y77" s="8"/>
      <c r="Z77" s="8"/>
      <c r="AA77" s="8"/>
    </row>
    <row r="78" spans="1:27" ht="19.75">
      <c r="A78" s="8"/>
      <c r="B78" s="7"/>
      <c r="C78" s="7"/>
      <c r="D78" s="8"/>
      <c r="E78" s="11"/>
      <c r="F78" s="8"/>
      <c r="G78" s="8"/>
      <c r="H78" s="8"/>
      <c r="I78" s="8"/>
      <c r="J78" s="8"/>
      <c r="K78" s="8"/>
      <c r="L78" s="8"/>
      <c r="M78" s="8"/>
      <c r="N78" s="8"/>
      <c r="O78" s="8"/>
      <c r="P78" s="8"/>
      <c r="Q78" s="8"/>
      <c r="R78" s="8"/>
      <c r="S78" s="8"/>
      <c r="T78" s="8"/>
      <c r="U78" s="8"/>
      <c r="V78" s="8"/>
      <c r="W78" s="8"/>
      <c r="X78" s="8"/>
      <c r="Y78" s="8"/>
      <c r="Z78" s="8"/>
      <c r="AA78" s="8"/>
    </row>
    <row r="79" spans="1:27" ht="19.75">
      <c r="A79" s="8">
        <v>58</v>
      </c>
      <c r="B79" s="7" t="s">
        <v>103</v>
      </c>
      <c r="C79" s="7" t="s">
        <v>104</v>
      </c>
      <c r="D79" s="10" t="s">
        <v>59</v>
      </c>
      <c r="E79" s="11" t="s">
        <v>83</v>
      </c>
      <c r="F79" s="8"/>
      <c r="G79" s="8"/>
      <c r="H79" s="8"/>
      <c r="I79" s="8"/>
      <c r="J79" s="8"/>
      <c r="K79" s="8"/>
      <c r="L79" s="8"/>
      <c r="M79" s="8"/>
      <c r="N79" s="8"/>
      <c r="O79" s="8"/>
      <c r="P79" s="8"/>
      <c r="Q79" s="8"/>
      <c r="R79" s="8"/>
      <c r="S79" s="8"/>
      <c r="T79" s="8"/>
      <c r="U79" s="8"/>
      <c r="V79" s="8"/>
      <c r="W79" s="8"/>
      <c r="X79" s="8"/>
      <c r="Y79" s="8"/>
      <c r="Z79" s="8"/>
      <c r="AA79" s="8"/>
    </row>
    <row r="80" spans="1:27" ht="19.75">
      <c r="A80" s="8"/>
      <c r="B80" s="7"/>
      <c r="C80" s="7"/>
      <c r="D80" s="10" t="s">
        <v>31</v>
      </c>
      <c r="E80" s="11"/>
      <c r="F80" s="8"/>
      <c r="G80" s="8"/>
      <c r="H80" s="8"/>
      <c r="I80" s="8"/>
      <c r="J80" s="8"/>
      <c r="K80" s="8"/>
      <c r="L80" s="8"/>
      <c r="M80" s="8"/>
      <c r="N80" s="8"/>
      <c r="O80" s="8"/>
      <c r="P80" s="8"/>
      <c r="Q80" s="8"/>
      <c r="R80" s="8"/>
      <c r="S80" s="8"/>
      <c r="T80" s="8"/>
      <c r="U80" s="8"/>
      <c r="V80" s="8"/>
      <c r="W80" s="8"/>
      <c r="X80" s="8"/>
      <c r="Y80" s="8"/>
      <c r="Z80" s="8"/>
      <c r="AA80" s="8"/>
    </row>
    <row r="81" spans="1:27" ht="19.75">
      <c r="A81" s="8">
        <v>59</v>
      </c>
      <c r="B81" s="7" t="s">
        <v>105</v>
      </c>
      <c r="C81" s="7" t="s">
        <v>106</v>
      </c>
      <c r="D81" s="10" t="s">
        <v>107</v>
      </c>
      <c r="E81" s="11"/>
      <c r="F81" s="8"/>
      <c r="G81" s="8"/>
      <c r="H81" s="8"/>
      <c r="I81" s="8"/>
      <c r="J81" s="8"/>
      <c r="K81" s="8"/>
      <c r="L81" s="8"/>
      <c r="M81" s="8"/>
      <c r="N81" s="8"/>
      <c r="O81" s="8"/>
      <c r="P81" s="8"/>
      <c r="Q81" s="8"/>
      <c r="R81" s="8"/>
      <c r="S81" s="8"/>
      <c r="T81" s="8"/>
      <c r="U81" s="8"/>
      <c r="V81" s="8"/>
      <c r="W81" s="8"/>
      <c r="X81" s="8"/>
      <c r="Y81" s="8"/>
      <c r="Z81" s="8"/>
      <c r="AA81" s="8"/>
    </row>
    <row r="82" spans="1:27" ht="19.75">
      <c r="A82" s="8"/>
      <c r="B82" s="7"/>
      <c r="C82" s="8"/>
      <c r="D82" s="10" t="s">
        <v>59</v>
      </c>
      <c r="E82" s="11"/>
      <c r="F82" s="8"/>
      <c r="G82" s="8"/>
      <c r="H82" s="8"/>
      <c r="I82" s="8"/>
      <c r="J82" s="8"/>
      <c r="K82" s="8"/>
      <c r="L82" s="8"/>
      <c r="M82" s="8"/>
      <c r="N82" s="8"/>
      <c r="O82" s="8"/>
      <c r="P82" s="8"/>
      <c r="Q82" s="8"/>
      <c r="R82" s="8"/>
      <c r="S82" s="8"/>
      <c r="T82" s="8"/>
      <c r="U82" s="8"/>
      <c r="V82" s="8"/>
      <c r="W82" s="8"/>
      <c r="X82" s="8"/>
      <c r="Y82" s="8"/>
      <c r="Z82" s="8"/>
      <c r="AA82" s="8"/>
    </row>
    <row r="83" spans="1:27" ht="39.450000000000003">
      <c r="A83" s="8">
        <v>71</v>
      </c>
      <c r="B83" s="12">
        <v>45363</v>
      </c>
      <c r="C83" s="7" t="s">
        <v>108</v>
      </c>
      <c r="D83" s="10" t="s">
        <v>109</v>
      </c>
      <c r="E83" s="22" t="s">
        <v>110</v>
      </c>
      <c r="F83" s="8"/>
      <c r="G83" s="8"/>
      <c r="H83" s="8"/>
      <c r="I83" s="8"/>
      <c r="J83" s="8"/>
      <c r="K83" s="8"/>
      <c r="L83" s="8"/>
      <c r="M83" s="8"/>
      <c r="N83" s="8"/>
      <c r="O83" s="8"/>
      <c r="P83" s="8"/>
      <c r="Q83" s="8"/>
      <c r="R83" s="8"/>
      <c r="S83" s="8"/>
      <c r="T83" s="8"/>
      <c r="U83" s="8"/>
      <c r="V83" s="8"/>
      <c r="W83" s="8"/>
      <c r="X83" s="8"/>
      <c r="Y83" s="8"/>
      <c r="Z83" s="8"/>
      <c r="AA83" s="8"/>
    </row>
    <row r="84" spans="1:27" ht="19.75">
      <c r="A84" s="8"/>
      <c r="B84" s="7"/>
      <c r="C84" s="8"/>
      <c r="D84" s="10" t="s">
        <v>111</v>
      </c>
      <c r="E84" s="11"/>
      <c r="F84" s="8"/>
      <c r="G84" s="8"/>
      <c r="H84" s="8"/>
      <c r="I84" s="8"/>
      <c r="J84" s="8"/>
      <c r="K84" s="8"/>
      <c r="L84" s="8"/>
      <c r="M84" s="8"/>
      <c r="N84" s="8"/>
      <c r="O84" s="8"/>
      <c r="P84" s="8"/>
      <c r="Q84" s="8"/>
      <c r="R84" s="8"/>
      <c r="S84" s="8"/>
      <c r="T84" s="8"/>
      <c r="U84" s="8"/>
      <c r="V84" s="8"/>
      <c r="W84" s="8"/>
      <c r="X84" s="8"/>
      <c r="Y84" s="8"/>
      <c r="Z84" s="8"/>
      <c r="AA84" s="8"/>
    </row>
    <row r="85" spans="1:27" ht="19.75">
      <c r="A85" s="8"/>
      <c r="B85" s="7"/>
      <c r="C85" s="8"/>
      <c r="D85" s="10" t="s">
        <v>112</v>
      </c>
      <c r="E85" s="11"/>
      <c r="F85" s="8"/>
      <c r="G85" s="8"/>
      <c r="H85" s="8"/>
      <c r="I85" s="8"/>
      <c r="J85" s="8"/>
      <c r="K85" s="8"/>
      <c r="L85" s="8"/>
      <c r="M85" s="8"/>
      <c r="N85" s="8"/>
      <c r="O85" s="8"/>
      <c r="P85" s="8"/>
      <c r="Q85" s="8"/>
      <c r="R85" s="8"/>
      <c r="S85" s="8"/>
      <c r="T85" s="8"/>
      <c r="U85" s="8"/>
      <c r="V85" s="8"/>
      <c r="W85" s="8"/>
      <c r="X85" s="8"/>
      <c r="Y85" s="8"/>
      <c r="Z85" s="8"/>
      <c r="AA85" s="8"/>
    </row>
    <row r="86" spans="1:27" ht="19.75">
      <c r="A86" s="8"/>
      <c r="B86" s="12">
        <v>45424</v>
      </c>
      <c r="C86" s="15" t="s">
        <v>113</v>
      </c>
      <c r="D86" s="10" t="s">
        <v>28</v>
      </c>
      <c r="E86" s="11"/>
      <c r="F86" s="8"/>
      <c r="G86" s="8"/>
      <c r="H86" s="8"/>
      <c r="I86" s="8"/>
      <c r="J86" s="8"/>
      <c r="K86" s="8"/>
      <c r="L86" s="8"/>
      <c r="M86" s="8"/>
      <c r="N86" s="8"/>
      <c r="O86" s="8"/>
      <c r="P86" s="8"/>
      <c r="Q86" s="8"/>
      <c r="R86" s="8"/>
      <c r="S86" s="8"/>
      <c r="T86" s="8"/>
      <c r="U86" s="8"/>
      <c r="V86" s="8"/>
      <c r="W86" s="8"/>
      <c r="X86" s="8"/>
      <c r="Y86" s="8"/>
      <c r="Z86" s="8"/>
      <c r="AA86" s="8"/>
    </row>
    <row r="87" spans="1:27" ht="19.75">
      <c r="A87" s="8"/>
      <c r="B87" s="7"/>
      <c r="C87" s="8"/>
      <c r="D87" s="10" t="s">
        <v>80</v>
      </c>
      <c r="E87" s="11"/>
      <c r="F87" s="8"/>
      <c r="G87" s="8"/>
      <c r="H87" s="8"/>
      <c r="I87" s="8"/>
      <c r="J87" s="8"/>
      <c r="K87" s="8"/>
      <c r="L87" s="8"/>
      <c r="M87" s="8"/>
      <c r="N87" s="8"/>
      <c r="O87" s="8"/>
      <c r="P87" s="8"/>
      <c r="Q87" s="8"/>
      <c r="R87" s="8"/>
      <c r="S87" s="8"/>
      <c r="T87" s="8"/>
      <c r="U87" s="8"/>
      <c r="V87" s="8"/>
      <c r="W87" s="8"/>
      <c r="X87" s="8"/>
      <c r="Y87" s="8"/>
      <c r="Z87" s="8"/>
      <c r="AA87" s="8"/>
    </row>
    <row r="88" spans="1:27" ht="19.75">
      <c r="A88" s="8"/>
      <c r="B88" s="19">
        <v>45577</v>
      </c>
      <c r="C88" s="7" t="s">
        <v>114</v>
      </c>
      <c r="D88" s="10" t="s">
        <v>11</v>
      </c>
      <c r="E88" s="11"/>
      <c r="F88" s="8"/>
      <c r="G88" s="8"/>
      <c r="H88" s="8"/>
      <c r="I88" s="8"/>
      <c r="J88" s="8"/>
      <c r="K88" s="8"/>
      <c r="L88" s="8"/>
      <c r="M88" s="8"/>
      <c r="N88" s="8"/>
      <c r="O88" s="8"/>
      <c r="P88" s="8"/>
      <c r="Q88" s="8"/>
      <c r="R88" s="8"/>
      <c r="S88" s="8"/>
      <c r="T88" s="8"/>
      <c r="U88" s="8"/>
      <c r="V88" s="8"/>
      <c r="W88" s="8"/>
      <c r="X88" s="8"/>
      <c r="Y88" s="8"/>
      <c r="Z88" s="8"/>
      <c r="AA88" s="8"/>
    </row>
    <row r="89" spans="1:27" ht="19.75">
      <c r="A89" s="8"/>
      <c r="B89" s="7"/>
      <c r="C89" s="8"/>
      <c r="D89" s="10" t="s">
        <v>80</v>
      </c>
      <c r="E89" s="11"/>
      <c r="F89" s="8"/>
      <c r="G89" s="8"/>
      <c r="H89" s="8"/>
      <c r="I89" s="8"/>
      <c r="J89" s="8"/>
      <c r="K89" s="8"/>
      <c r="L89" s="8"/>
      <c r="M89" s="8"/>
      <c r="N89" s="8"/>
      <c r="O89" s="8"/>
      <c r="P89" s="8"/>
      <c r="Q89" s="8"/>
      <c r="R89" s="8"/>
      <c r="S89" s="8"/>
      <c r="T89" s="8"/>
      <c r="U89" s="8"/>
      <c r="V89" s="8"/>
      <c r="W89" s="8"/>
      <c r="X89" s="8"/>
      <c r="Y89" s="8"/>
      <c r="Z89" s="8"/>
      <c r="AA89" s="8"/>
    </row>
    <row r="90" spans="1:27" ht="19.75">
      <c r="A90" s="8"/>
      <c r="B90" s="19">
        <v>45638</v>
      </c>
      <c r="C90" s="7" t="s">
        <v>115</v>
      </c>
      <c r="D90" s="10" t="s">
        <v>31</v>
      </c>
      <c r="E90" s="11"/>
      <c r="F90" s="8"/>
      <c r="G90" s="8"/>
      <c r="H90" s="8"/>
      <c r="I90" s="8"/>
      <c r="J90" s="8"/>
      <c r="K90" s="8"/>
      <c r="L90" s="8"/>
      <c r="M90" s="8"/>
      <c r="N90" s="8"/>
      <c r="O90" s="8"/>
      <c r="P90" s="8"/>
      <c r="Q90" s="8"/>
      <c r="R90" s="8"/>
      <c r="S90" s="8"/>
      <c r="T90" s="8"/>
      <c r="U90" s="8"/>
      <c r="V90" s="8"/>
      <c r="W90" s="8"/>
      <c r="X90" s="8"/>
      <c r="Y90" s="8"/>
      <c r="Z90" s="8"/>
      <c r="AA90" s="8"/>
    </row>
    <row r="91" spans="1:27" ht="19.75">
      <c r="A91" s="8"/>
      <c r="B91" s="7"/>
      <c r="C91" s="8"/>
      <c r="D91" s="10" t="s">
        <v>80</v>
      </c>
      <c r="E91" s="11"/>
      <c r="F91" s="8"/>
      <c r="G91" s="8"/>
      <c r="H91" s="8"/>
      <c r="I91" s="8"/>
      <c r="J91" s="8"/>
      <c r="K91" s="8"/>
      <c r="L91" s="8"/>
      <c r="M91" s="8"/>
      <c r="N91" s="8"/>
      <c r="O91" s="8"/>
      <c r="P91" s="8"/>
      <c r="Q91" s="8"/>
      <c r="R91" s="8"/>
      <c r="S91" s="8"/>
      <c r="T91" s="8"/>
      <c r="U91" s="8"/>
      <c r="V91" s="8"/>
      <c r="W91" s="8"/>
      <c r="X91" s="8"/>
      <c r="Y91" s="8"/>
      <c r="Z91" s="8"/>
      <c r="AA91" s="8"/>
    </row>
    <row r="92" spans="1:27" ht="18.899999999999999">
      <c r="A92" s="8"/>
      <c r="B92" s="7" t="s">
        <v>116</v>
      </c>
      <c r="C92" s="38" t="s">
        <v>117</v>
      </c>
      <c r="D92" s="10" t="s">
        <v>31</v>
      </c>
      <c r="E92" s="40" t="s">
        <v>118</v>
      </c>
      <c r="F92" s="8"/>
      <c r="G92" s="8"/>
      <c r="H92" s="8"/>
      <c r="I92" s="8"/>
      <c r="J92" s="8"/>
      <c r="K92" s="8"/>
      <c r="L92" s="8"/>
      <c r="M92" s="8"/>
      <c r="N92" s="8"/>
      <c r="O92" s="8"/>
      <c r="P92" s="8"/>
      <c r="Q92" s="8"/>
      <c r="R92" s="8"/>
      <c r="S92" s="8"/>
      <c r="T92" s="8"/>
      <c r="U92" s="8"/>
      <c r="V92" s="8"/>
      <c r="W92" s="8"/>
      <c r="X92" s="8"/>
      <c r="Y92" s="8"/>
      <c r="Z92" s="8"/>
      <c r="AA92" s="8"/>
    </row>
    <row r="93" spans="1:27" ht="18.899999999999999">
      <c r="A93" s="8"/>
      <c r="B93" s="7"/>
      <c r="C93" s="39"/>
      <c r="D93" s="10" t="s">
        <v>59</v>
      </c>
      <c r="E93" s="39"/>
      <c r="F93" s="8"/>
      <c r="G93" s="8"/>
      <c r="H93" s="8"/>
      <c r="I93" s="8"/>
      <c r="J93" s="8"/>
      <c r="K93" s="8"/>
      <c r="L93" s="8"/>
      <c r="M93" s="8"/>
      <c r="N93" s="8"/>
      <c r="O93" s="8"/>
      <c r="P93" s="8"/>
      <c r="Q93" s="8"/>
      <c r="R93" s="8"/>
      <c r="S93" s="8"/>
      <c r="T93" s="8"/>
      <c r="U93" s="8"/>
      <c r="V93" s="8"/>
      <c r="W93" s="8"/>
      <c r="X93" s="8"/>
      <c r="Y93" s="8"/>
      <c r="Z93" s="8"/>
      <c r="AA93" s="8"/>
    </row>
    <row r="94" spans="1:27" ht="19.75">
      <c r="A94" s="8"/>
      <c r="B94" s="7" t="s">
        <v>119</v>
      </c>
      <c r="C94" s="7" t="s">
        <v>120</v>
      </c>
      <c r="D94" s="10" t="s">
        <v>31</v>
      </c>
      <c r="E94" s="11"/>
      <c r="F94" s="8"/>
      <c r="G94" s="8"/>
      <c r="H94" s="8"/>
      <c r="I94" s="8"/>
      <c r="J94" s="8"/>
      <c r="K94" s="8"/>
      <c r="L94" s="8"/>
      <c r="M94" s="8"/>
      <c r="N94" s="8"/>
      <c r="O94" s="8"/>
      <c r="P94" s="8"/>
      <c r="Q94" s="8"/>
      <c r="R94" s="8"/>
      <c r="S94" s="8"/>
      <c r="T94" s="8"/>
      <c r="U94" s="8"/>
      <c r="V94" s="8"/>
      <c r="W94" s="8"/>
      <c r="X94" s="8"/>
      <c r="Y94" s="8"/>
      <c r="Z94" s="8"/>
      <c r="AA94" s="8"/>
    </row>
    <row r="95" spans="1:27" ht="19.75">
      <c r="A95" s="8"/>
      <c r="B95" s="7"/>
      <c r="C95" s="8"/>
      <c r="D95" s="10" t="s">
        <v>121</v>
      </c>
      <c r="E95" s="11"/>
      <c r="F95" s="8"/>
      <c r="G95" s="8"/>
      <c r="H95" s="8"/>
      <c r="I95" s="8"/>
      <c r="J95" s="8"/>
      <c r="K95" s="8"/>
      <c r="L95" s="8"/>
      <c r="M95" s="8"/>
      <c r="N95" s="8"/>
      <c r="O95" s="8"/>
      <c r="P95" s="8"/>
      <c r="Q95" s="8"/>
      <c r="R95" s="8"/>
      <c r="S95" s="8"/>
      <c r="T95" s="8"/>
      <c r="U95" s="8"/>
      <c r="V95" s="8"/>
      <c r="W95" s="8"/>
      <c r="X95" s="8"/>
      <c r="Y95" s="8"/>
      <c r="Z95" s="8"/>
      <c r="AA95" s="8"/>
    </row>
    <row r="96" spans="1:27" ht="18.899999999999999">
      <c r="A96" s="8"/>
      <c r="B96" s="7" t="s">
        <v>122</v>
      </c>
      <c r="C96" s="15" t="s">
        <v>123</v>
      </c>
      <c r="D96" s="13" t="s">
        <v>31</v>
      </c>
      <c r="E96" s="1"/>
      <c r="F96" s="8"/>
      <c r="G96" s="8"/>
      <c r="H96" s="8"/>
      <c r="I96" s="8"/>
      <c r="J96" s="8"/>
      <c r="K96" s="8"/>
      <c r="L96" s="8"/>
      <c r="M96" s="8"/>
      <c r="N96" s="8"/>
      <c r="O96" s="8"/>
      <c r="P96" s="8"/>
      <c r="Q96" s="8"/>
      <c r="R96" s="8"/>
      <c r="S96" s="8"/>
      <c r="T96" s="8"/>
      <c r="U96" s="8"/>
      <c r="V96" s="8"/>
      <c r="W96" s="8"/>
      <c r="X96" s="8"/>
      <c r="Y96" s="8"/>
      <c r="Z96" s="8"/>
      <c r="AA96" s="8"/>
    </row>
    <row r="97" spans="1:27" ht="18.899999999999999">
      <c r="A97" s="8"/>
      <c r="B97" s="7"/>
      <c r="C97" s="8"/>
      <c r="D97" s="13" t="s">
        <v>124</v>
      </c>
      <c r="E97" s="1"/>
      <c r="F97" s="8"/>
      <c r="G97" s="8"/>
      <c r="H97" s="8"/>
      <c r="I97" s="8"/>
      <c r="J97" s="8"/>
      <c r="K97" s="8"/>
      <c r="L97" s="8"/>
      <c r="M97" s="8"/>
      <c r="N97" s="8"/>
      <c r="O97" s="8"/>
      <c r="P97" s="8"/>
      <c r="Q97" s="8"/>
      <c r="R97" s="8"/>
      <c r="S97" s="8"/>
      <c r="T97" s="8"/>
      <c r="U97" s="8"/>
      <c r="V97" s="8"/>
      <c r="W97" s="8"/>
      <c r="X97" s="8"/>
      <c r="Y97" s="8"/>
      <c r="Z97" s="8"/>
      <c r="AA97" s="8"/>
    </row>
    <row r="98" spans="1:27" ht="19.75">
      <c r="A98" s="8"/>
      <c r="B98" s="7" t="s">
        <v>125</v>
      </c>
      <c r="C98" s="7" t="s">
        <v>126</v>
      </c>
      <c r="D98" s="10" t="s">
        <v>28</v>
      </c>
      <c r="E98" s="11"/>
      <c r="F98" s="8"/>
      <c r="G98" s="8"/>
      <c r="H98" s="8"/>
      <c r="I98" s="8"/>
      <c r="J98" s="8"/>
      <c r="K98" s="8"/>
      <c r="L98" s="8"/>
      <c r="M98" s="8"/>
      <c r="N98" s="8"/>
      <c r="O98" s="8"/>
      <c r="P98" s="8"/>
      <c r="Q98" s="8"/>
      <c r="R98" s="8"/>
      <c r="S98" s="8"/>
      <c r="T98" s="8"/>
      <c r="U98" s="8"/>
      <c r="V98" s="8"/>
      <c r="W98" s="8"/>
      <c r="X98" s="8"/>
      <c r="Y98" s="8"/>
      <c r="Z98" s="8"/>
      <c r="AA98" s="8"/>
    </row>
    <row r="99" spans="1:27" ht="19.75">
      <c r="A99" s="8"/>
      <c r="B99" s="7"/>
      <c r="C99" s="8"/>
      <c r="D99" s="10" t="s">
        <v>45</v>
      </c>
      <c r="E99" s="11"/>
      <c r="F99" s="8"/>
      <c r="G99" s="8"/>
      <c r="H99" s="8"/>
      <c r="I99" s="8"/>
      <c r="J99" s="8"/>
      <c r="K99" s="8"/>
      <c r="L99" s="8"/>
      <c r="M99" s="8"/>
      <c r="N99" s="8"/>
      <c r="O99" s="8"/>
      <c r="P99" s="8"/>
      <c r="Q99" s="8"/>
      <c r="R99" s="8"/>
      <c r="S99" s="8"/>
      <c r="T99" s="8"/>
      <c r="U99" s="8"/>
      <c r="V99" s="8"/>
      <c r="W99" s="8"/>
      <c r="X99" s="8"/>
      <c r="Y99" s="8"/>
      <c r="Z99" s="8"/>
      <c r="AA99" s="8"/>
    </row>
    <row r="100" spans="1:27" ht="19.75">
      <c r="A100" s="8"/>
      <c r="B100" s="7" t="s">
        <v>127</v>
      </c>
      <c r="C100" s="7" t="s">
        <v>128</v>
      </c>
      <c r="D100" s="10" t="s">
        <v>31</v>
      </c>
      <c r="E100" s="11"/>
      <c r="F100" s="8"/>
      <c r="G100" s="8"/>
      <c r="H100" s="8"/>
      <c r="I100" s="8"/>
      <c r="J100" s="8"/>
      <c r="K100" s="8"/>
      <c r="L100" s="8"/>
      <c r="M100" s="8"/>
      <c r="N100" s="8"/>
      <c r="O100" s="8"/>
      <c r="P100" s="8"/>
      <c r="Q100" s="8"/>
      <c r="R100" s="8"/>
      <c r="S100" s="8"/>
      <c r="T100" s="8"/>
      <c r="U100" s="8"/>
      <c r="V100" s="8"/>
      <c r="W100" s="8"/>
      <c r="X100" s="8"/>
      <c r="Y100" s="8"/>
      <c r="Z100" s="8"/>
      <c r="AA100" s="8"/>
    </row>
    <row r="101" spans="1:27" ht="19.75">
      <c r="A101" s="8"/>
      <c r="B101" s="7"/>
      <c r="C101" s="8"/>
      <c r="D101" s="10" t="s">
        <v>59</v>
      </c>
      <c r="E101" s="11"/>
      <c r="F101" s="8"/>
      <c r="G101" s="8"/>
      <c r="H101" s="8"/>
      <c r="I101" s="8"/>
      <c r="J101" s="8"/>
      <c r="K101" s="8"/>
      <c r="L101" s="8"/>
      <c r="M101" s="8"/>
      <c r="N101" s="8"/>
      <c r="O101" s="8"/>
      <c r="P101" s="8"/>
      <c r="Q101" s="8"/>
      <c r="R101" s="8"/>
      <c r="S101" s="8"/>
      <c r="T101" s="8"/>
      <c r="U101" s="8"/>
      <c r="V101" s="8"/>
      <c r="W101" s="8"/>
      <c r="X101" s="8"/>
      <c r="Y101" s="8"/>
      <c r="Z101" s="8"/>
      <c r="AA101" s="8"/>
    </row>
    <row r="102" spans="1:27" ht="19.75">
      <c r="A102" s="8"/>
      <c r="B102" s="23">
        <v>45689</v>
      </c>
      <c r="C102" s="7" t="s">
        <v>129</v>
      </c>
      <c r="D102" s="10" t="s">
        <v>31</v>
      </c>
      <c r="E102" s="11" t="s">
        <v>130</v>
      </c>
      <c r="F102" s="8"/>
      <c r="G102" s="8"/>
      <c r="H102" s="8"/>
      <c r="I102" s="8"/>
      <c r="J102" s="8"/>
      <c r="K102" s="8"/>
      <c r="L102" s="8"/>
      <c r="M102" s="8"/>
      <c r="N102" s="8"/>
      <c r="O102" s="8"/>
      <c r="P102" s="8"/>
      <c r="Q102" s="8"/>
      <c r="R102" s="8"/>
      <c r="S102" s="8"/>
      <c r="T102" s="8"/>
      <c r="U102" s="8"/>
      <c r="V102" s="8"/>
      <c r="W102" s="8"/>
      <c r="X102" s="8"/>
      <c r="Y102" s="8"/>
      <c r="Z102" s="8"/>
      <c r="AA102" s="8"/>
    </row>
    <row r="103" spans="1:27" ht="19.75">
      <c r="A103" s="8"/>
      <c r="B103" s="7"/>
      <c r="C103" s="8"/>
      <c r="D103" s="10" t="s">
        <v>59</v>
      </c>
      <c r="E103" s="11"/>
      <c r="F103" s="8"/>
      <c r="G103" s="8"/>
      <c r="H103" s="8"/>
      <c r="I103" s="8"/>
      <c r="J103" s="8"/>
      <c r="K103" s="8"/>
      <c r="L103" s="8"/>
      <c r="M103" s="8"/>
      <c r="N103" s="8"/>
      <c r="O103" s="8"/>
      <c r="P103" s="8"/>
      <c r="Q103" s="8"/>
      <c r="R103" s="8"/>
      <c r="S103" s="8"/>
      <c r="T103" s="8"/>
      <c r="U103" s="8"/>
      <c r="V103" s="8"/>
      <c r="W103" s="8"/>
      <c r="X103" s="8"/>
      <c r="Y103" s="8"/>
      <c r="Z103" s="8"/>
      <c r="AA103" s="8"/>
    </row>
    <row r="104" spans="1:27" ht="19.75">
      <c r="A104" s="8"/>
      <c r="B104" s="7"/>
      <c r="C104" s="8"/>
      <c r="D104" s="10" t="s">
        <v>131</v>
      </c>
      <c r="E104" s="11"/>
      <c r="F104" s="8"/>
      <c r="G104" s="8"/>
      <c r="H104" s="8"/>
      <c r="I104" s="8"/>
      <c r="J104" s="8"/>
      <c r="K104" s="8"/>
      <c r="L104" s="8"/>
      <c r="M104" s="8"/>
      <c r="N104" s="8"/>
      <c r="O104" s="8"/>
      <c r="P104" s="8"/>
      <c r="Q104" s="8"/>
      <c r="R104" s="8"/>
      <c r="S104" s="8"/>
      <c r="T104" s="8"/>
      <c r="U104" s="8"/>
      <c r="V104" s="8"/>
      <c r="W104" s="8"/>
      <c r="X104" s="8"/>
      <c r="Y104" s="8"/>
      <c r="Z104" s="8"/>
      <c r="AA104" s="8"/>
    </row>
    <row r="105" spans="1:27" ht="19.75">
      <c r="A105" s="8"/>
      <c r="B105" s="12">
        <v>45839</v>
      </c>
      <c r="C105" s="7" t="s">
        <v>132</v>
      </c>
      <c r="D105" s="10" t="s">
        <v>31</v>
      </c>
      <c r="E105" s="11"/>
      <c r="F105" s="8"/>
      <c r="G105" s="8"/>
      <c r="H105" s="8"/>
      <c r="I105" s="8"/>
      <c r="J105" s="8"/>
      <c r="K105" s="8"/>
      <c r="L105" s="8"/>
      <c r="M105" s="8"/>
      <c r="N105" s="8"/>
      <c r="O105" s="8"/>
      <c r="P105" s="8"/>
      <c r="Q105" s="8"/>
      <c r="R105" s="8"/>
      <c r="S105" s="8"/>
      <c r="T105" s="8"/>
      <c r="U105" s="8"/>
      <c r="V105" s="8"/>
      <c r="W105" s="8"/>
      <c r="X105" s="8"/>
      <c r="Y105" s="8"/>
      <c r="Z105" s="8"/>
      <c r="AA105" s="8"/>
    </row>
    <row r="106" spans="1:27" ht="19.75">
      <c r="A106" s="8"/>
      <c r="B106" s="7"/>
      <c r="C106" s="8"/>
      <c r="D106" s="10" t="s">
        <v>133</v>
      </c>
      <c r="E106" s="11"/>
      <c r="F106" s="8"/>
      <c r="G106" s="8"/>
      <c r="H106" s="8"/>
      <c r="I106" s="8"/>
      <c r="J106" s="8"/>
      <c r="K106" s="8"/>
      <c r="L106" s="8"/>
      <c r="M106" s="8"/>
      <c r="N106" s="8"/>
      <c r="O106" s="8"/>
      <c r="P106" s="8"/>
      <c r="Q106" s="8"/>
      <c r="R106" s="8"/>
      <c r="S106" s="8"/>
      <c r="T106" s="8"/>
      <c r="U106" s="8"/>
      <c r="V106" s="8"/>
      <c r="W106" s="8"/>
      <c r="X106" s="8"/>
      <c r="Y106" s="8"/>
      <c r="Z106" s="8"/>
      <c r="AA106" s="8"/>
    </row>
    <row r="107" spans="1:27" ht="59.15">
      <c r="A107" s="8"/>
      <c r="B107" s="12">
        <v>45901</v>
      </c>
      <c r="C107" s="15" t="s">
        <v>134</v>
      </c>
      <c r="D107" s="10" t="s">
        <v>9</v>
      </c>
      <c r="E107" s="18" t="s">
        <v>135</v>
      </c>
      <c r="F107" s="8"/>
      <c r="G107" s="8"/>
      <c r="H107" s="8"/>
      <c r="I107" s="8"/>
      <c r="J107" s="8"/>
      <c r="K107" s="8"/>
      <c r="L107" s="8"/>
      <c r="M107" s="8"/>
      <c r="N107" s="8"/>
      <c r="O107" s="8"/>
      <c r="P107" s="8"/>
      <c r="Q107" s="8"/>
      <c r="R107" s="8"/>
      <c r="S107" s="8"/>
      <c r="T107" s="8"/>
      <c r="U107" s="8"/>
      <c r="V107" s="8"/>
      <c r="W107" s="8"/>
      <c r="X107" s="8"/>
      <c r="Y107" s="8"/>
      <c r="Z107" s="8"/>
      <c r="AA107" s="8"/>
    </row>
    <row r="108" spans="1:27" ht="19.75">
      <c r="A108" s="8"/>
      <c r="B108" s="7" t="s">
        <v>136</v>
      </c>
      <c r="C108" s="7" t="s">
        <v>137</v>
      </c>
      <c r="D108" s="10" t="s">
        <v>138</v>
      </c>
      <c r="E108" s="11"/>
      <c r="F108" s="8"/>
      <c r="G108" s="8"/>
      <c r="H108" s="8"/>
      <c r="I108" s="8"/>
      <c r="J108" s="8"/>
      <c r="K108" s="8"/>
      <c r="L108" s="8"/>
      <c r="M108" s="8"/>
      <c r="N108" s="8"/>
      <c r="O108" s="8"/>
      <c r="P108" s="8"/>
      <c r="Q108" s="8"/>
      <c r="R108" s="8"/>
      <c r="S108" s="8"/>
      <c r="T108" s="8"/>
      <c r="U108" s="8"/>
      <c r="V108" s="8"/>
      <c r="W108" s="8"/>
      <c r="X108" s="8"/>
      <c r="Y108" s="8"/>
      <c r="Z108" s="8"/>
      <c r="AA108" s="8"/>
    </row>
    <row r="109" spans="1:27" ht="19.75">
      <c r="A109" s="8"/>
      <c r="B109" s="7"/>
      <c r="C109" s="8"/>
      <c r="D109" s="10" t="s">
        <v>139</v>
      </c>
      <c r="E109" s="11"/>
      <c r="F109" s="8"/>
      <c r="G109" s="8"/>
      <c r="H109" s="8"/>
      <c r="I109" s="8"/>
      <c r="J109" s="8"/>
      <c r="K109" s="8"/>
      <c r="L109" s="8"/>
      <c r="M109" s="8"/>
      <c r="N109" s="8"/>
      <c r="O109" s="8"/>
      <c r="P109" s="8"/>
      <c r="Q109" s="8"/>
      <c r="R109" s="8"/>
      <c r="S109" s="8"/>
      <c r="T109" s="8"/>
      <c r="U109" s="8"/>
      <c r="V109" s="8"/>
      <c r="W109" s="8"/>
      <c r="X109" s="8"/>
      <c r="Y109" s="8"/>
      <c r="Z109" s="8"/>
      <c r="AA109" s="8"/>
    </row>
    <row r="110" spans="1:27" ht="19.75">
      <c r="A110" s="8"/>
      <c r="B110" s="7"/>
      <c r="C110" s="8"/>
      <c r="D110" s="10" t="s">
        <v>20</v>
      </c>
      <c r="E110" s="11"/>
      <c r="F110" s="8"/>
      <c r="G110" s="8"/>
      <c r="H110" s="8"/>
      <c r="I110" s="8"/>
      <c r="J110" s="8"/>
      <c r="K110" s="8"/>
      <c r="L110" s="8"/>
      <c r="M110" s="8"/>
      <c r="N110" s="8"/>
      <c r="O110" s="8"/>
      <c r="P110" s="8"/>
      <c r="Q110" s="8"/>
      <c r="R110" s="8"/>
      <c r="S110" s="8"/>
      <c r="T110" s="8"/>
      <c r="U110" s="8"/>
      <c r="V110" s="8"/>
      <c r="W110" s="8"/>
      <c r="X110" s="8"/>
      <c r="Y110" s="8"/>
      <c r="Z110" s="8"/>
      <c r="AA110" s="8"/>
    </row>
    <row r="111" spans="1:27" ht="19.75">
      <c r="A111" s="8"/>
      <c r="B111" s="7" t="s">
        <v>140</v>
      </c>
      <c r="C111" s="7" t="s">
        <v>141</v>
      </c>
      <c r="D111" s="10" t="s">
        <v>31</v>
      </c>
      <c r="E111" s="11"/>
      <c r="F111" s="8"/>
      <c r="G111" s="8"/>
      <c r="H111" s="8"/>
      <c r="I111" s="8"/>
      <c r="J111" s="8"/>
      <c r="K111" s="8"/>
      <c r="L111" s="8"/>
      <c r="M111" s="8"/>
      <c r="N111" s="8"/>
      <c r="O111" s="8"/>
      <c r="P111" s="8"/>
      <c r="Q111" s="8"/>
      <c r="R111" s="8"/>
      <c r="S111" s="8"/>
      <c r="T111" s="8"/>
      <c r="U111" s="8"/>
      <c r="V111" s="8"/>
      <c r="W111" s="8"/>
      <c r="X111" s="8"/>
      <c r="Y111" s="8"/>
      <c r="Z111" s="8"/>
      <c r="AA111" s="8"/>
    </row>
    <row r="112" spans="1:27" ht="19.75">
      <c r="A112" s="8"/>
      <c r="B112" s="7"/>
      <c r="C112" s="8"/>
      <c r="D112" s="10" t="s">
        <v>59</v>
      </c>
      <c r="E112" s="11"/>
      <c r="F112" s="8"/>
      <c r="G112" s="8"/>
      <c r="H112" s="8"/>
      <c r="I112" s="8"/>
      <c r="J112" s="8"/>
      <c r="K112" s="8"/>
      <c r="L112" s="8"/>
      <c r="M112" s="8"/>
      <c r="N112" s="8"/>
      <c r="O112" s="8"/>
      <c r="P112" s="8"/>
      <c r="Q112" s="8"/>
      <c r="R112" s="8"/>
      <c r="S112" s="8"/>
      <c r="T112" s="8"/>
      <c r="U112" s="8"/>
      <c r="V112" s="8"/>
      <c r="W112" s="8"/>
      <c r="X112" s="8"/>
      <c r="Y112" s="8"/>
      <c r="Z112" s="8"/>
      <c r="AA112" s="8"/>
    </row>
    <row r="113" spans="1:27" ht="19.75">
      <c r="A113" s="8"/>
      <c r="B113" s="7" t="s">
        <v>142</v>
      </c>
      <c r="C113" s="7" t="s">
        <v>143</v>
      </c>
      <c r="D113" s="10" t="s">
        <v>9</v>
      </c>
      <c r="E113" s="11" t="s">
        <v>144</v>
      </c>
      <c r="F113" s="8"/>
      <c r="G113" s="8"/>
      <c r="H113" s="8"/>
      <c r="I113" s="8"/>
      <c r="J113" s="8"/>
      <c r="K113" s="8"/>
      <c r="L113" s="8"/>
      <c r="M113" s="8"/>
      <c r="N113" s="8"/>
      <c r="O113" s="8"/>
      <c r="P113" s="8"/>
      <c r="Q113" s="8"/>
      <c r="R113" s="8"/>
      <c r="S113" s="8"/>
      <c r="T113" s="8"/>
      <c r="U113" s="8"/>
      <c r="V113" s="8"/>
      <c r="W113" s="8"/>
      <c r="X113" s="8"/>
      <c r="Y113" s="8"/>
      <c r="Z113" s="8"/>
      <c r="AA113" s="8"/>
    </row>
    <row r="114" spans="1:27" ht="19.75">
      <c r="A114" s="8"/>
      <c r="B114" s="7"/>
      <c r="C114" s="8"/>
      <c r="D114" s="10" t="s">
        <v>145</v>
      </c>
      <c r="E114" s="11"/>
      <c r="F114" s="8"/>
      <c r="G114" s="8"/>
      <c r="H114" s="8"/>
      <c r="I114" s="8"/>
      <c r="J114" s="8"/>
      <c r="K114" s="8"/>
      <c r="L114" s="8"/>
      <c r="M114" s="8"/>
      <c r="N114" s="8"/>
      <c r="O114" s="8"/>
      <c r="P114" s="8"/>
      <c r="Q114" s="8"/>
      <c r="R114" s="8"/>
      <c r="S114" s="8"/>
      <c r="T114" s="8"/>
      <c r="U114" s="8"/>
      <c r="V114" s="8"/>
      <c r="W114" s="8"/>
      <c r="X114" s="8"/>
      <c r="Y114" s="8"/>
      <c r="Z114" s="8"/>
      <c r="AA114" s="8"/>
    </row>
    <row r="115" spans="1:27" ht="19.75">
      <c r="A115" s="8"/>
      <c r="B115" s="7"/>
      <c r="C115" s="8"/>
      <c r="D115" s="10" t="s">
        <v>146</v>
      </c>
      <c r="E115" s="11" t="s">
        <v>147</v>
      </c>
      <c r="F115" s="8"/>
      <c r="G115" s="8"/>
      <c r="H115" s="8"/>
      <c r="I115" s="8"/>
      <c r="J115" s="8"/>
      <c r="K115" s="8"/>
      <c r="L115" s="8"/>
      <c r="M115" s="8"/>
      <c r="N115" s="8"/>
      <c r="O115" s="8"/>
      <c r="P115" s="8"/>
      <c r="Q115" s="8"/>
      <c r="R115" s="8"/>
      <c r="S115" s="8"/>
      <c r="T115" s="8"/>
      <c r="U115" s="8"/>
      <c r="V115" s="8"/>
      <c r="W115" s="8"/>
      <c r="X115" s="8"/>
      <c r="Y115" s="8"/>
      <c r="Z115" s="8"/>
      <c r="AA115" s="8"/>
    </row>
    <row r="116" spans="1:27" ht="19.75">
      <c r="A116" s="8"/>
      <c r="B116" s="7" t="s">
        <v>148</v>
      </c>
      <c r="C116" s="7" t="s">
        <v>149</v>
      </c>
      <c r="D116" s="10" t="s">
        <v>9</v>
      </c>
      <c r="E116" s="11"/>
      <c r="F116" s="8"/>
      <c r="G116" s="8"/>
      <c r="H116" s="8"/>
      <c r="I116" s="8"/>
      <c r="J116" s="8"/>
      <c r="K116" s="8"/>
      <c r="L116" s="8"/>
      <c r="M116" s="8"/>
      <c r="N116" s="8"/>
      <c r="O116" s="8"/>
      <c r="P116" s="8"/>
      <c r="Q116" s="8"/>
      <c r="R116" s="8"/>
      <c r="S116" s="8"/>
      <c r="T116" s="8"/>
      <c r="U116" s="8"/>
      <c r="V116" s="8"/>
      <c r="W116" s="8"/>
      <c r="X116" s="8"/>
      <c r="Y116" s="8"/>
      <c r="Z116" s="8"/>
      <c r="AA116" s="8"/>
    </row>
    <row r="117" spans="1:27" ht="19.75">
      <c r="A117" s="8"/>
      <c r="B117" s="7"/>
      <c r="C117" s="8"/>
      <c r="D117" s="10" t="s">
        <v>124</v>
      </c>
      <c r="E117" s="11"/>
      <c r="F117" s="8"/>
      <c r="G117" s="8"/>
      <c r="H117" s="8"/>
      <c r="I117" s="8"/>
      <c r="J117" s="8"/>
      <c r="K117" s="8"/>
      <c r="L117" s="8"/>
      <c r="M117" s="8"/>
      <c r="N117" s="8"/>
      <c r="O117" s="8"/>
      <c r="P117" s="8"/>
      <c r="Q117" s="8"/>
      <c r="R117" s="8"/>
      <c r="S117" s="8"/>
      <c r="T117" s="8"/>
      <c r="U117" s="8"/>
      <c r="V117" s="8"/>
      <c r="W117" s="8"/>
      <c r="X117" s="8"/>
      <c r="Y117" s="8"/>
      <c r="Z117" s="8"/>
      <c r="AA117" s="8"/>
    </row>
    <row r="118" spans="1:27" ht="19.75">
      <c r="A118" s="8"/>
      <c r="B118" s="12">
        <v>45749</v>
      </c>
      <c r="C118" s="15" t="s">
        <v>150</v>
      </c>
      <c r="D118" s="10" t="s">
        <v>31</v>
      </c>
      <c r="E118" s="11"/>
      <c r="F118" s="8"/>
      <c r="G118" s="8"/>
      <c r="H118" s="8"/>
      <c r="I118" s="8"/>
      <c r="J118" s="8"/>
      <c r="K118" s="8"/>
      <c r="L118" s="8"/>
      <c r="M118" s="8"/>
      <c r="N118" s="8"/>
      <c r="O118" s="8"/>
      <c r="P118" s="8"/>
      <c r="Q118" s="8"/>
      <c r="R118" s="8"/>
      <c r="S118" s="8"/>
      <c r="T118" s="8"/>
      <c r="U118" s="8"/>
      <c r="V118" s="8"/>
      <c r="W118" s="8"/>
      <c r="X118" s="8"/>
      <c r="Y118" s="8"/>
      <c r="Z118" s="8"/>
      <c r="AA118" s="8"/>
    </row>
    <row r="119" spans="1:27" ht="19.75">
      <c r="A119" s="8"/>
      <c r="B119" s="7"/>
      <c r="C119" s="8"/>
      <c r="D119" s="10" t="s">
        <v>124</v>
      </c>
      <c r="E119" s="11"/>
      <c r="F119" s="8"/>
      <c r="G119" s="8"/>
      <c r="H119" s="8"/>
      <c r="I119" s="8"/>
      <c r="J119" s="8"/>
      <c r="K119" s="8"/>
      <c r="L119" s="8"/>
      <c r="M119" s="8"/>
      <c r="N119" s="8"/>
      <c r="O119" s="8"/>
      <c r="P119" s="8"/>
      <c r="Q119" s="8"/>
      <c r="R119" s="8"/>
      <c r="S119" s="8"/>
      <c r="T119" s="8"/>
      <c r="U119" s="8"/>
      <c r="V119" s="8"/>
      <c r="W119" s="8"/>
      <c r="X119" s="8"/>
      <c r="Y119" s="8"/>
      <c r="Z119" s="8"/>
      <c r="AA119" s="8"/>
    </row>
    <row r="120" spans="1:27" ht="19.75">
      <c r="A120" s="8"/>
      <c r="B120" s="12">
        <v>45840</v>
      </c>
      <c r="C120" s="7" t="s">
        <v>151</v>
      </c>
      <c r="D120" s="10" t="s">
        <v>31</v>
      </c>
      <c r="E120" s="11"/>
      <c r="F120" s="8"/>
      <c r="G120" s="8"/>
      <c r="H120" s="8"/>
      <c r="I120" s="8"/>
      <c r="J120" s="8"/>
      <c r="K120" s="8"/>
      <c r="L120" s="8"/>
      <c r="M120" s="8"/>
      <c r="N120" s="8"/>
      <c r="O120" s="8"/>
      <c r="P120" s="8"/>
      <c r="Q120" s="8"/>
      <c r="R120" s="8"/>
      <c r="S120" s="8"/>
      <c r="T120" s="8"/>
      <c r="U120" s="8"/>
      <c r="V120" s="8"/>
      <c r="W120" s="8"/>
      <c r="X120" s="8"/>
      <c r="Y120" s="8"/>
      <c r="Z120" s="8"/>
      <c r="AA120" s="8"/>
    </row>
    <row r="121" spans="1:27" ht="19.75">
      <c r="A121" s="8"/>
      <c r="B121" s="7"/>
      <c r="C121" s="8"/>
      <c r="D121" s="10" t="s">
        <v>59</v>
      </c>
      <c r="E121" s="11"/>
      <c r="F121" s="8"/>
      <c r="G121" s="8"/>
      <c r="H121" s="8"/>
      <c r="I121" s="8"/>
      <c r="J121" s="8"/>
      <c r="K121" s="8"/>
      <c r="L121" s="8"/>
      <c r="M121" s="8"/>
      <c r="N121" s="8"/>
      <c r="O121" s="8"/>
      <c r="P121" s="8"/>
      <c r="Q121" s="8"/>
      <c r="R121" s="8"/>
      <c r="S121" s="8"/>
      <c r="T121" s="8"/>
      <c r="U121" s="8"/>
      <c r="V121" s="8"/>
      <c r="W121" s="8"/>
      <c r="X121" s="8"/>
      <c r="Y121" s="8"/>
      <c r="Z121" s="8"/>
      <c r="AA121" s="8"/>
    </row>
    <row r="122" spans="1:27" ht="19.75">
      <c r="A122" s="8"/>
      <c r="B122" s="12">
        <v>45963</v>
      </c>
      <c r="C122" s="7" t="s">
        <v>152</v>
      </c>
      <c r="D122" s="10" t="s">
        <v>31</v>
      </c>
      <c r="E122" s="11"/>
      <c r="F122" s="8"/>
      <c r="G122" s="8"/>
      <c r="H122" s="8"/>
      <c r="I122" s="8"/>
      <c r="J122" s="8"/>
      <c r="K122" s="8"/>
      <c r="L122" s="8"/>
      <c r="M122" s="8"/>
      <c r="N122" s="8"/>
      <c r="O122" s="8"/>
      <c r="P122" s="8"/>
      <c r="Q122" s="8"/>
      <c r="R122" s="8"/>
      <c r="S122" s="8"/>
      <c r="T122" s="8"/>
      <c r="U122" s="8"/>
      <c r="V122" s="8"/>
      <c r="W122" s="8"/>
      <c r="X122" s="8"/>
      <c r="Y122" s="8"/>
      <c r="Z122" s="8"/>
      <c r="AA122" s="8"/>
    </row>
    <row r="123" spans="1:27" ht="19.75">
      <c r="A123" s="8"/>
      <c r="B123" s="7"/>
      <c r="C123" s="8"/>
      <c r="D123" s="10" t="s">
        <v>59</v>
      </c>
      <c r="E123" s="11"/>
      <c r="F123" s="8"/>
      <c r="G123" s="8"/>
      <c r="H123" s="8"/>
      <c r="I123" s="8"/>
      <c r="J123" s="8"/>
      <c r="K123" s="8"/>
      <c r="L123" s="8"/>
      <c r="M123" s="8"/>
      <c r="N123" s="8"/>
      <c r="O123" s="8"/>
      <c r="P123" s="8"/>
      <c r="Q123" s="8"/>
      <c r="R123" s="8"/>
      <c r="S123" s="8"/>
      <c r="T123" s="8"/>
      <c r="U123" s="8"/>
      <c r="V123" s="8"/>
      <c r="W123" s="8"/>
      <c r="X123" s="8"/>
      <c r="Y123" s="8"/>
      <c r="Z123" s="8"/>
      <c r="AA123" s="8"/>
    </row>
    <row r="124" spans="1:27" ht="56.6">
      <c r="A124" s="8"/>
      <c r="B124" s="7" t="s">
        <v>153</v>
      </c>
      <c r="C124" s="7" t="s">
        <v>154</v>
      </c>
      <c r="D124" s="24" t="s">
        <v>155</v>
      </c>
      <c r="E124" s="11"/>
      <c r="F124" s="8"/>
      <c r="G124" s="8"/>
      <c r="H124" s="8"/>
      <c r="I124" s="8"/>
      <c r="J124" s="8"/>
      <c r="K124" s="8"/>
      <c r="L124" s="8"/>
      <c r="M124" s="8"/>
      <c r="N124" s="8"/>
      <c r="O124" s="8"/>
      <c r="P124" s="8"/>
      <c r="Q124" s="8"/>
      <c r="R124" s="8"/>
      <c r="S124" s="8"/>
      <c r="T124" s="8"/>
      <c r="U124" s="8"/>
      <c r="V124" s="8"/>
      <c r="W124" s="8"/>
      <c r="X124" s="8"/>
      <c r="Y124" s="8"/>
      <c r="Z124" s="8"/>
      <c r="AA124" s="8"/>
    </row>
    <row r="125" spans="1:27" ht="19.75">
      <c r="A125" s="8"/>
      <c r="B125" s="7"/>
      <c r="C125" s="8"/>
      <c r="D125" s="10" t="s">
        <v>59</v>
      </c>
      <c r="E125" s="11"/>
      <c r="F125" s="8"/>
      <c r="G125" s="8"/>
      <c r="H125" s="8"/>
      <c r="I125" s="8"/>
      <c r="J125" s="8"/>
      <c r="K125" s="8"/>
      <c r="L125" s="8"/>
      <c r="M125" s="8"/>
      <c r="N125" s="8"/>
      <c r="O125" s="8"/>
      <c r="P125" s="8"/>
      <c r="Q125" s="8"/>
      <c r="R125" s="8"/>
      <c r="S125" s="8"/>
      <c r="T125" s="8"/>
      <c r="U125" s="8"/>
      <c r="V125" s="8"/>
      <c r="W125" s="8"/>
      <c r="X125" s="8"/>
      <c r="Y125" s="8"/>
      <c r="Z125" s="8"/>
      <c r="AA125" s="8"/>
    </row>
    <row r="126" spans="1:27" ht="19.75">
      <c r="A126" s="8"/>
      <c r="B126" s="7" t="s">
        <v>156</v>
      </c>
      <c r="C126" s="7" t="s">
        <v>157</v>
      </c>
      <c r="D126" s="10" t="s">
        <v>9</v>
      </c>
      <c r="E126" s="11"/>
      <c r="F126" s="8"/>
      <c r="G126" s="8"/>
      <c r="H126" s="8"/>
      <c r="I126" s="8"/>
      <c r="J126" s="8"/>
      <c r="K126" s="8"/>
      <c r="L126" s="8"/>
      <c r="M126" s="8"/>
      <c r="N126" s="8"/>
      <c r="O126" s="8"/>
      <c r="P126" s="8"/>
      <c r="Q126" s="8"/>
      <c r="R126" s="8"/>
      <c r="S126" s="8"/>
      <c r="T126" s="8"/>
      <c r="U126" s="8"/>
      <c r="V126" s="8"/>
      <c r="W126" s="8"/>
      <c r="X126" s="8"/>
      <c r="Y126" s="8"/>
      <c r="Z126" s="8"/>
      <c r="AA126" s="8"/>
    </row>
    <row r="127" spans="1:27" ht="19.75">
      <c r="A127" s="8"/>
      <c r="B127" s="7"/>
      <c r="C127" s="8"/>
      <c r="D127" s="10" t="s">
        <v>59</v>
      </c>
      <c r="E127" s="11"/>
      <c r="F127" s="8"/>
      <c r="G127" s="8"/>
      <c r="H127" s="8"/>
      <c r="I127" s="8"/>
      <c r="J127" s="8"/>
      <c r="K127" s="8"/>
      <c r="L127" s="8"/>
      <c r="M127" s="8"/>
      <c r="N127" s="8"/>
      <c r="O127" s="8"/>
      <c r="P127" s="8"/>
      <c r="Q127" s="8"/>
      <c r="R127" s="8"/>
      <c r="S127" s="8"/>
      <c r="T127" s="8"/>
      <c r="U127" s="8"/>
      <c r="V127" s="8"/>
      <c r="W127" s="8"/>
      <c r="X127" s="8"/>
      <c r="Y127" s="8"/>
      <c r="Z127" s="8"/>
      <c r="AA127" s="8"/>
    </row>
    <row r="128" spans="1:27" ht="19.75">
      <c r="A128" s="8"/>
      <c r="B128" s="7" t="s">
        <v>158</v>
      </c>
      <c r="C128" s="7" t="s">
        <v>154</v>
      </c>
      <c r="D128" s="10" t="s">
        <v>31</v>
      </c>
      <c r="E128" s="11"/>
      <c r="F128" s="8"/>
      <c r="G128" s="8"/>
      <c r="H128" s="8"/>
      <c r="I128" s="8"/>
      <c r="J128" s="8"/>
      <c r="K128" s="8"/>
      <c r="L128" s="8"/>
      <c r="M128" s="8"/>
      <c r="N128" s="8"/>
      <c r="O128" s="8"/>
      <c r="P128" s="8"/>
      <c r="Q128" s="8"/>
      <c r="R128" s="8"/>
      <c r="S128" s="8"/>
      <c r="T128" s="8"/>
      <c r="U128" s="8"/>
      <c r="V128" s="8"/>
      <c r="W128" s="8"/>
      <c r="X128" s="8"/>
      <c r="Y128" s="8"/>
      <c r="Z128" s="8"/>
      <c r="AA128" s="8"/>
    </row>
    <row r="129" spans="1:27" ht="19.75">
      <c r="A129" s="8"/>
      <c r="B129" s="7"/>
      <c r="C129" s="8"/>
      <c r="D129" s="10" t="s">
        <v>59</v>
      </c>
      <c r="E129" s="11"/>
      <c r="F129" s="8"/>
      <c r="G129" s="8"/>
      <c r="H129" s="8"/>
      <c r="I129" s="8"/>
      <c r="J129" s="8"/>
      <c r="K129" s="8"/>
      <c r="L129" s="8"/>
      <c r="M129" s="8"/>
      <c r="N129" s="8"/>
      <c r="O129" s="8"/>
      <c r="P129" s="8"/>
      <c r="Q129" s="8"/>
      <c r="R129" s="8"/>
      <c r="S129" s="8"/>
      <c r="T129" s="8"/>
      <c r="U129" s="8"/>
      <c r="V129" s="8"/>
      <c r="W129" s="8"/>
      <c r="X129" s="8"/>
      <c r="Y129" s="8"/>
      <c r="Z129" s="8"/>
      <c r="AA129" s="8"/>
    </row>
    <row r="130" spans="1:27" ht="19.75">
      <c r="A130" s="8"/>
      <c r="B130" s="7" t="s">
        <v>159</v>
      </c>
      <c r="C130" s="15" t="s">
        <v>160</v>
      </c>
      <c r="D130" s="10" t="s">
        <v>31</v>
      </c>
      <c r="E130" s="11"/>
      <c r="F130" s="8"/>
      <c r="G130" s="8"/>
      <c r="H130" s="8"/>
      <c r="I130" s="8"/>
      <c r="J130" s="8"/>
      <c r="K130" s="8"/>
      <c r="L130" s="8"/>
      <c r="M130" s="8"/>
      <c r="N130" s="8"/>
      <c r="O130" s="8"/>
      <c r="P130" s="8"/>
      <c r="Q130" s="8"/>
      <c r="R130" s="8"/>
      <c r="S130" s="8"/>
      <c r="T130" s="8"/>
      <c r="U130" s="8"/>
      <c r="V130" s="8"/>
      <c r="W130" s="8"/>
      <c r="X130" s="8"/>
      <c r="Y130" s="8"/>
      <c r="Z130" s="8"/>
      <c r="AA130" s="8"/>
    </row>
    <row r="131" spans="1:27" ht="19.75">
      <c r="A131" s="8"/>
      <c r="B131" s="7"/>
      <c r="C131" s="8"/>
      <c r="D131" s="10" t="s">
        <v>59</v>
      </c>
      <c r="E131" s="11"/>
      <c r="F131" s="8"/>
      <c r="G131" s="8"/>
      <c r="H131" s="8"/>
      <c r="I131" s="8"/>
      <c r="J131" s="8"/>
      <c r="K131" s="8"/>
      <c r="L131" s="8"/>
      <c r="M131" s="8"/>
      <c r="N131" s="8"/>
      <c r="O131" s="8"/>
      <c r="P131" s="8"/>
      <c r="Q131" s="8"/>
      <c r="R131" s="8"/>
      <c r="S131" s="8"/>
      <c r="T131" s="8"/>
      <c r="U131" s="8"/>
      <c r="V131" s="8"/>
      <c r="W131" s="8"/>
      <c r="X131" s="8"/>
      <c r="Y131" s="8"/>
      <c r="Z131" s="8"/>
      <c r="AA131" s="8"/>
    </row>
    <row r="132" spans="1:27" ht="19.75">
      <c r="A132" s="8"/>
      <c r="B132" s="12">
        <v>45750</v>
      </c>
      <c r="C132" s="7" t="s">
        <v>161</v>
      </c>
      <c r="D132" s="10" t="s">
        <v>9</v>
      </c>
      <c r="E132" s="11"/>
      <c r="F132" s="8"/>
      <c r="G132" s="8"/>
      <c r="H132" s="8"/>
      <c r="I132" s="8"/>
      <c r="J132" s="8"/>
      <c r="K132" s="8"/>
      <c r="L132" s="8"/>
      <c r="M132" s="8"/>
      <c r="N132" s="8"/>
      <c r="O132" s="8"/>
      <c r="P132" s="8"/>
      <c r="Q132" s="8"/>
      <c r="R132" s="8"/>
      <c r="S132" s="8"/>
      <c r="T132" s="8"/>
      <c r="U132" s="8"/>
      <c r="V132" s="8"/>
      <c r="W132" s="8"/>
      <c r="X132" s="8"/>
      <c r="Y132" s="8"/>
      <c r="Z132" s="8"/>
      <c r="AA132" s="8"/>
    </row>
    <row r="133" spans="1:27" ht="19.75">
      <c r="A133" s="8"/>
      <c r="B133" s="7"/>
      <c r="C133" s="8"/>
      <c r="D133" s="10" t="s">
        <v>20</v>
      </c>
      <c r="E133" s="11"/>
      <c r="F133" s="8"/>
      <c r="G133" s="8"/>
      <c r="H133" s="8"/>
      <c r="I133" s="8"/>
      <c r="J133" s="8"/>
      <c r="K133" s="8"/>
      <c r="L133" s="8"/>
      <c r="M133" s="8"/>
      <c r="N133" s="8"/>
      <c r="O133" s="8"/>
      <c r="P133" s="8"/>
      <c r="Q133" s="8"/>
      <c r="R133" s="8"/>
      <c r="S133" s="8"/>
      <c r="T133" s="8"/>
      <c r="U133" s="8"/>
      <c r="V133" s="8"/>
      <c r="W133" s="8"/>
      <c r="X133" s="8"/>
      <c r="Y133" s="8"/>
      <c r="Z133" s="8"/>
      <c r="AA133" s="8"/>
    </row>
    <row r="134" spans="1:27" ht="19.75">
      <c r="A134" s="8"/>
      <c r="B134" s="12">
        <v>45811</v>
      </c>
      <c r="C134" s="7" t="s">
        <v>162</v>
      </c>
      <c r="D134" s="10" t="s">
        <v>59</v>
      </c>
      <c r="E134" s="11"/>
      <c r="F134" s="8"/>
      <c r="G134" s="8"/>
      <c r="H134" s="8"/>
      <c r="I134" s="8"/>
      <c r="J134" s="8"/>
      <c r="K134" s="8"/>
      <c r="L134" s="8"/>
      <c r="M134" s="8"/>
      <c r="N134" s="8"/>
      <c r="O134" s="8"/>
      <c r="P134" s="8"/>
      <c r="Q134" s="8"/>
      <c r="R134" s="8"/>
      <c r="S134" s="8"/>
      <c r="T134" s="8"/>
      <c r="U134" s="8"/>
      <c r="V134" s="8"/>
      <c r="W134" s="8"/>
      <c r="X134" s="8"/>
      <c r="Y134" s="8"/>
      <c r="Z134" s="8"/>
      <c r="AA134" s="8"/>
    </row>
    <row r="135" spans="1:27" ht="19.75">
      <c r="A135" s="8"/>
      <c r="B135" s="7"/>
      <c r="C135" s="8"/>
      <c r="D135" s="10" t="s">
        <v>163</v>
      </c>
      <c r="E135" s="11"/>
      <c r="F135" s="8"/>
      <c r="G135" s="8"/>
      <c r="H135" s="8"/>
      <c r="I135" s="8"/>
      <c r="J135" s="8"/>
      <c r="K135" s="8"/>
      <c r="L135" s="8"/>
      <c r="M135" s="8"/>
      <c r="N135" s="8"/>
      <c r="O135" s="8"/>
      <c r="P135" s="8"/>
      <c r="Q135" s="8"/>
      <c r="R135" s="8"/>
      <c r="S135" s="8"/>
      <c r="T135" s="8"/>
      <c r="U135" s="8"/>
      <c r="V135" s="8"/>
      <c r="W135" s="8"/>
      <c r="X135" s="8"/>
      <c r="Y135" s="8"/>
      <c r="Z135" s="8"/>
      <c r="AA135" s="8"/>
    </row>
    <row r="136" spans="1:27" ht="19.75">
      <c r="A136" s="8"/>
      <c r="B136" s="12">
        <v>45964</v>
      </c>
      <c r="C136" s="7" t="s">
        <v>164</v>
      </c>
      <c r="D136" s="10" t="s">
        <v>31</v>
      </c>
      <c r="E136" s="11"/>
      <c r="F136" s="8"/>
      <c r="G136" s="8"/>
      <c r="H136" s="8"/>
      <c r="I136" s="8"/>
      <c r="J136" s="8"/>
      <c r="K136" s="8"/>
      <c r="L136" s="8"/>
      <c r="M136" s="8"/>
      <c r="N136" s="8"/>
      <c r="O136" s="8"/>
      <c r="P136" s="8"/>
      <c r="Q136" s="8"/>
      <c r="R136" s="8"/>
      <c r="S136" s="8"/>
      <c r="T136" s="8"/>
      <c r="U136" s="8"/>
      <c r="V136" s="8"/>
      <c r="W136" s="8"/>
      <c r="X136" s="8"/>
      <c r="Y136" s="8"/>
      <c r="Z136" s="8"/>
      <c r="AA136" s="8"/>
    </row>
    <row r="137" spans="1:27" ht="19.75">
      <c r="A137" s="8"/>
      <c r="B137" s="7"/>
      <c r="C137" s="8"/>
      <c r="D137" s="10" t="s">
        <v>59</v>
      </c>
      <c r="E137" s="11"/>
      <c r="F137" s="8"/>
      <c r="G137" s="8"/>
      <c r="H137" s="8"/>
      <c r="I137" s="8"/>
      <c r="J137" s="8"/>
      <c r="K137" s="8"/>
      <c r="L137" s="8"/>
      <c r="M137" s="8"/>
      <c r="N137" s="8"/>
      <c r="O137" s="8"/>
      <c r="P137" s="8"/>
      <c r="Q137" s="8"/>
      <c r="R137" s="8"/>
      <c r="S137" s="8"/>
      <c r="T137" s="8"/>
      <c r="U137" s="8"/>
      <c r="V137" s="8"/>
      <c r="W137" s="8"/>
      <c r="X137" s="8"/>
      <c r="Y137" s="8"/>
      <c r="Z137" s="8"/>
      <c r="AA137" s="8"/>
    </row>
    <row r="138" spans="1:27" ht="19.75">
      <c r="A138" s="8"/>
      <c r="B138" s="7" t="s">
        <v>165</v>
      </c>
      <c r="C138" s="7" t="s">
        <v>166</v>
      </c>
      <c r="D138" s="10" t="s">
        <v>31</v>
      </c>
      <c r="E138" s="11"/>
      <c r="F138" s="8"/>
      <c r="G138" s="8"/>
      <c r="H138" s="8"/>
      <c r="I138" s="8"/>
      <c r="J138" s="8"/>
      <c r="K138" s="8"/>
      <c r="L138" s="8"/>
      <c r="M138" s="8"/>
      <c r="N138" s="8"/>
      <c r="O138" s="8"/>
      <c r="P138" s="8"/>
      <c r="Q138" s="8"/>
      <c r="R138" s="8"/>
      <c r="S138" s="8"/>
      <c r="T138" s="8"/>
      <c r="U138" s="8"/>
      <c r="V138" s="8"/>
      <c r="W138" s="8"/>
      <c r="X138" s="8"/>
      <c r="Y138" s="8"/>
      <c r="Z138" s="8"/>
      <c r="AA138" s="8"/>
    </row>
    <row r="139" spans="1:27" ht="19.75">
      <c r="A139" s="8"/>
      <c r="B139" s="7"/>
      <c r="C139" s="8"/>
      <c r="D139" s="10" t="s">
        <v>59</v>
      </c>
      <c r="E139" s="11"/>
      <c r="F139" s="8"/>
      <c r="G139" s="8"/>
      <c r="H139" s="8"/>
      <c r="I139" s="8"/>
      <c r="J139" s="8"/>
      <c r="K139" s="8"/>
      <c r="L139" s="8"/>
      <c r="M139" s="8"/>
      <c r="N139" s="8"/>
      <c r="O139" s="8"/>
      <c r="P139" s="8"/>
      <c r="Q139" s="8"/>
      <c r="R139" s="8"/>
      <c r="S139" s="8"/>
      <c r="T139" s="8"/>
      <c r="U139" s="8"/>
      <c r="V139" s="8"/>
      <c r="W139" s="8"/>
      <c r="X139" s="8"/>
      <c r="Y139" s="8"/>
      <c r="Z139" s="8"/>
      <c r="AA139" s="8"/>
    </row>
    <row r="140" spans="1:27" ht="19.75">
      <c r="A140" s="8"/>
      <c r="B140" s="7"/>
      <c r="C140" s="8"/>
      <c r="D140" s="8"/>
      <c r="E140" s="11"/>
      <c r="F140" s="8"/>
      <c r="G140" s="8"/>
      <c r="H140" s="8"/>
      <c r="I140" s="8"/>
      <c r="J140" s="8"/>
      <c r="K140" s="8"/>
      <c r="L140" s="8"/>
      <c r="M140" s="8"/>
      <c r="N140" s="8"/>
      <c r="O140" s="8"/>
      <c r="P140" s="8"/>
      <c r="Q140" s="8"/>
      <c r="R140" s="8"/>
      <c r="S140" s="8"/>
      <c r="T140" s="8"/>
      <c r="U140" s="8"/>
      <c r="V140" s="8"/>
      <c r="W140" s="8"/>
      <c r="X140" s="8"/>
      <c r="Y140" s="8"/>
      <c r="Z140" s="8"/>
      <c r="AA140" s="8"/>
    </row>
    <row r="141" spans="1:27" ht="19.75">
      <c r="A141" s="8"/>
      <c r="B141" s="7"/>
      <c r="C141" s="8"/>
      <c r="D141" s="8"/>
      <c r="E141" s="11"/>
      <c r="F141" s="8"/>
      <c r="G141" s="8"/>
      <c r="H141" s="8"/>
      <c r="I141" s="8"/>
      <c r="J141" s="8"/>
      <c r="K141" s="8"/>
      <c r="L141" s="8"/>
      <c r="M141" s="8"/>
      <c r="N141" s="8"/>
      <c r="O141" s="8"/>
      <c r="P141" s="8"/>
      <c r="Q141" s="8"/>
      <c r="R141" s="8"/>
      <c r="S141" s="8"/>
      <c r="T141" s="8"/>
      <c r="U141" s="8"/>
      <c r="V141" s="8"/>
      <c r="W141" s="8"/>
      <c r="X141" s="8"/>
      <c r="Y141" s="8"/>
      <c r="Z141" s="8"/>
      <c r="AA141" s="8"/>
    </row>
    <row r="142" spans="1:27" ht="19.75">
      <c r="A142" s="8"/>
      <c r="B142" s="7"/>
      <c r="C142" s="8"/>
      <c r="D142" s="8"/>
      <c r="E142" s="11"/>
      <c r="F142" s="8"/>
      <c r="G142" s="8"/>
      <c r="H142" s="8"/>
      <c r="I142" s="8"/>
      <c r="J142" s="8"/>
      <c r="K142" s="8"/>
      <c r="L142" s="8"/>
      <c r="M142" s="8"/>
      <c r="N142" s="8"/>
      <c r="O142" s="8"/>
      <c r="P142" s="8"/>
      <c r="Q142" s="8"/>
      <c r="R142" s="8"/>
      <c r="S142" s="8"/>
      <c r="T142" s="8"/>
      <c r="U142" s="8"/>
      <c r="V142" s="8"/>
      <c r="W142" s="8"/>
      <c r="X142" s="8"/>
      <c r="Y142" s="8"/>
      <c r="Z142" s="8"/>
      <c r="AA142" s="8"/>
    </row>
    <row r="143" spans="1:27" ht="19.75">
      <c r="A143" s="8"/>
      <c r="B143" s="7"/>
      <c r="C143" s="8"/>
      <c r="D143" s="8"/>
      <c r="E143" s="11"/>
      <c r="F143" s="8"/>
      <c r="G143" s="8"/>
      <c r="H143" s="8"/>
      <c r="I143" s="8"/>
      <c r="J143" s="8"/>
      <c r="K143" s="8"/>
      <c r="L143" s="8"/>
      <c r="M143" s="8"/>
      <c r="N143" s="8"/>
      <c r="O143" s="8"/>
      <c r="P143" s="8"/>
      <c r="Q143" s="8"/>
      <c r="R143" s="8"/>
      <c r="S143" s="8"/>
      <c r="T143" s="8"/>
      <c r="U143" s="8"/>
      <c r="V143" s="8"/>
      <c r="W143" s="8"/>
      <c r="X143" s="8"/>
      <c r="Y143" s="8"/>
      <c r="Z143" s="8"/>
      <c r="AA143" s="8"/>
    </row>
    <row r="144" spans="1:27" ht="19.75">
      <c r="A144" s="8"/>
      <c r="B144" s="7"/>
      <c r="C144" s="8"/>
      <c r="D144" s="8"/>
      <c r="E144" s="11"/>
      <c r="F144" s="8"/>
      <c r="G144" s="8"/>
      <c r="H144" s="8"/>
      <c r="I144" s="8"/>
      <c r="J144" s="8"/>
      <c r="K144" s="8"/>
      <c r="L144" s="8"/>
      <c r="M144" s="8"/>
      <c r="N144" s="8"/>
      <c r="O144" s="8"/>
      <c r="P144" s="8"/>
      <c r="Q144" s="8"/>
      <c r="R144" s="8"/>
      <c r="S144" s="8"/>
      <c r="T144" s="8"/>
      <c r="U144" s="8"/>
      <c r="V144" s="8"/>
      <c r="W144" s="8"/>
      <c r="X144" s="8"/>
      <c r="Y144" s="8"/>
      <c r="Z144" s="8"/>
      <c r="AA144" s="8"/>
    </row>
    <row r="145" spans="1:27" ht="19.75">
      <c r="A145" s="8"/>
      <c r="B145" s="7"/>
      <c r="C145" s="8"/>
      <c r="D145" s="8"/>
      <c r="E145" s="11"/>
      <c r="F145" s="8"/>
      <c r="G145" s="8"/>
      <c r="H145" s="8"/>
      <c r="I145" s="8"/>
      <c r="J145" s="8"/>
      <c r="K145" s="8"/>
      <c r="L145" s="8"/>
      <c r="M145" s="8"/>
      <c r="N145" s="8"/>
      <c r="O145" s="8"/>
      <c r="P145" s="8"/>
      <c r="Q145" s="8"/>
      <c r="R145" s="8"/>
      <c r="S145" s="8"/>
      <c r="T145" s="8"/>
      <c r="U145" s="8"/>
      <c r="V145" s="8"/>
      <c r="W145" s="8"/>
      <c r="X145" s="8"/>
      <c r="Y145" s="8"/>
      <c r="Z145" s="8"/>
      <c r="AA145" s="8"/>
    </row>
    <row r="146" spans="1:27" ht="19.75">
      <c r="A146" s="8"/>
      <c r="B146" s="7"/>
      <c r="C146" s="8"/>
      <c r="D146" s="8"/>
      <c r="E146" s="11"/>
      <c r="F146" s="8"/>
      <c r="G146" s="8"/>
      <c r="H146" s="8"/>
      <c r="I146" s="8"/>
      <c r="J146" s="8"/>
      <c r="K146" s="8"/>
      <c r="L146" s="8"/>
      <c r="M146" s="8"/>
      <c r="N146" s="8"/>
      <c r="O146" s="8"/>
      <c r="P146" s="8"/>
      <c r="Q146" s="8"/>
      <c r="R146" s="8"/>
      <c r="S146" s="8"/>
      <c r="T146" s="8"/>
      <c r="U146" s="8"/>
      <c r="V146" s="8"/>
      <c r="W146" s="8"/>
      <c r="X146" s="8"/>
      <c r="Y146" s="8"/>
      <c r="Z146" s="8"/>
      <c r="AA146" s="8"/>
    </row>
    <row r="147" spans="1:27" ht="19.75">
      <c r="A147" s="8"/>
      <c r="B147" s="7"/>
      <c r="C147" s="8"/>
      <c r="D147" s="8"/>
      <c r="E147" s="11"/>
      <c r="F147" s="8"/>
      <c r="G147" s="8"/>
      <c r="H147" s="8"/>
      <c r="I147" s="8"/>
      <c r="J147" s="8"/>
      <c r="K147" s="8"/>
      <c r="L147" s="8"/>
      <c r="M147" s="8"/>
      <c r="N147" s="8"/>
      <c r="O147" s="8"/>
      <c r="P147" s="8"/>
      <c r="Q147" s="8"/>
      <c r="R147" s="8"/>
      <c r="S147" s="8"/>
      <c r="T147" s="8"/>
      <c r="U147" s="8"/>
      <c r="V147" s="8"/>
      <c r="W147" s="8"/>
      <c r="X147" s="8"/>
      <c r="Y147" s="8"/>
      <c r="Z147" s="8"/>
      <c r="AA147" s="8"/>
    </row>
    <row r="148" spans="1:27" ht="19.75">
      <c r="A148" s="8"/>
      <c r="B148" s="7"/>
      <c r="C148" s="8"/>
      <c r="D148" s="8"/>
      <c r="E148" s="11"/>
      <c r="F148" s="8"/>
      <c r="G148" s="8"/>
      <c r="H148" s="8"/>
      <c r="I148" s="8"/>
      <c r="J148" s="8"/>
      <c r="K148" s="8"/>
      <c r="L148" s="8"/>
      <c r="M148" s="8"/>
      <c r="N148" s="8"/>
      <c r="O148" s="8"/>
      <c r="P148" s="8"/>
      <c r="Q148" s="8"/>
      <c r="R148" s="8"/>
      <c r="S148" s="8"/>
      <c r="T148" s="8"/>
      <c r="U148" s="8"/>
      <c r="V148" s="8"/>
      <c r="W148" s="8"/>
      <c r="X148" s="8"/>
      <c r="Y148" s="8"/>
      <c r="Z148" s="8"/>
      <c r="AA148" s="8"/>
    </row>
    <row r="149" spans="1:27" ht="19.75">
      <c r="A149" s="8"/>
      <c r="B149" s="7"/>
      <c r="C149" s="8"/>
      <c r="D149" s="8"/>
      <c r="E149" s="11"/>
      <c r="F149" s="8"/>
      <c r="G149" s="8"/>
      <c r="H149" s="8"/>
      <c r="I149" s="8"/>
      <c r="J149" s="8"/>
      <c r="K149" s="8"/>
      <c r="L149" s="8"/>
      <c r="M149" s="8"/>
      <c r="N149" s="8"/>
      <c r="O149" s="8"/>
      <c r="P149" s="8"/>
      <c r="Q149" s="8"/>
      <c r="R149" s="8"/>
      <c r="S149" s="8"/>
      <c r="T149" s="8"/>
      <c r="U149" s="8"/>
      <c r="V149" s="8"/>
      <c r="W149" s="8"/>
      <c r="X149" s="8"/>
      <c r="Y149" s="8"/>
      <c r="Z149" s="8"/>
      <c r="AA149" s="8"/>
    </row>
    <row r="150" spans="1:27" ht="19.75">
      <c r="A150" s="8"/>
      <c r="B150" s="7"/>
      <c r="C150" s="8"/>
      <c r="D150" s="8"/>
      <c r="E150" s="11"/>
      <c r="F150" s="8"/>
      <c r="G150" s="8"/>
      <c r="H150" s="8"/>
      <c r="I150" s="8"/>
      <c r="J150" s="8"/>
      <c r="K150" s="8"/>
      <c r="L150" s="8"/>
      <c r="M150" s="8"/>
      <c r="N150" s="8"/>
      <c r="O150" s="8"/>
      <c r="P150" s="8"/>
      <c r="Q150" s="8"/>
      <c r="R150" s="8"/>
      <c r="S150" s="8"/>
      <c r="T150" s="8"/>
      <c r="U150" s="8"/>
      <c r="V150" s="8"/>
      <c r="W150" s="8"/>
      <c r="X150" s="8"/>
      <c r="Y150" s="8"/>
      <c r="Z150" s="8"/>
      <c r="AA150" s="8"/>
    </row>
    <row r="151" spans="1:27" ht="19.75">
      <c r="A151" s="8"/>
      <c r="B151" s="7"/>
      <c r="C151" s="8"/>
      <c r="D151" s="8"/>
      <c r="E151" s="11"/>
      <c r="F151" s="8"/>
      <c r="G151" s="8"/>
      <c r="H151" s="8"/>
      <c r="I151" s="8"/>
      <c r="J151" s="8"/>
      <c r="K151" s="8"/>
      <c r="L151" s="8"/>
      <c r="M151" s="8"/>
      <c r="N151" s="8"/>
      <c r="O151" s="8"/>
      <c r="P151" s="8"/>
      <c r="Q151" s="8"/>
      <c r="R151" s="8"/>
      <c r="S151" s="8"/>
      <c r="T151" s="8"/>
      <c r="U151" s="8"/>
      <c r="V151" s="8"/>
      <c r="W151" s="8"/>
      <c r="X151" s="8"/>
      <c r="Y151" s="8"/>
      <c r="Z151" s="8"/>
      <c r="AA151" s="8"/>
    </row>
    <row r="152" spans="1:27" ht="19.75">
      <c r="A152" s="8"/>
      <c r="B152" s="7"/>
      <c r="C152" s="8"/>
      <c r="D152" s="8"/>
      <c r="E152" s="11"/>
      <c r="F152" s="8"/>
      <c r="G152" s="8"/>
      <c r="H152" s="8"/>
      <c r="I152" s="8"/>
      <c r="J152" s="8"/>
      <c r="K152" s="8"/>
      <c r="L152" s="8"/>
      <c r="M152" s="8"/>
      <c r="N152" s="8"/>
      <c r="O152" s="8"/>
      <c r="P152" s="8"/>
      <c r="Q152" s="8"/>
      <c r="R152" s="8"/>
      <c r="S152" s="8"/>
      <c r="T152" s="8"/>
      <c r="U152" s="8"/>
      <c r="V152" s="8"/>
      <c r="W152" s="8"/>
      <c r="X152" s="8"/>
      <c r="Y152" s="8"/>
      <c r="Z152" s="8"/>
      <c r="AA152" s="8"/>
    </row>
    <row r="153" spans="1:27" ht="19.75">
      <c r="A153" s="8"/>
      <c r="B153" s="7"/>
      <c r="C153" s="8"/>
      <c r="D153" s="8"/>
      <c r="E153" s="11"/>
      <c r="F153" s="8"/>
      <c r="G153" s="8"/>
      <c r="H153" s="8"/>
      <c r="I153" s="8"/>
      <c r="J153" s="8"/>
      <c r="K153" s="8"/>
      <c r="L153" s="8"/>
      <c r="M153" s="8"/>
      <c r="N153" s="8"/>
      <c r="O153" s="8"/>
      <c r="P153" s="8"/>
      <c r="Q153" s="8"/>
      <c r="R153" s="8"/>
      <c r="S153" s="8"/>
      <c r="T153" s="8"/>
      <c r="U153" s="8"/>
      <c r="V153" s="8"/>
      <c r="W153" s="8"/>
      <c r="X153" s="8"/>
      <c r="Y153" s="8"/>
      <c r="Z153" s="8"/>
      <c r="AA153" s="8"/>
    </row>
    <row r="154" spans="1:27" ht="19.75">
      <c r="A154" s="8"/>
      <c r="B154" s="7"/>
      <c r="C154" s="8"/>
      <c r="D154" s="8"/>
      <c r="E154" s="11"/>
      <c r="F154" s="8"/>
      <c r="G154" s="8"/>
      <c r="H154" s="8"/>
      <c r="I154" s="8"/>
      <c r="J154" s="8"/>
      <c r="K154" s="8"/>
      <c r="L154" s="8"/>
      <c r="M154" s="8"/>
      <c r="N154" s="8"/>
      <c r="O154" s="8"/>
      <c r="P154" s="8"/>
      <c r="Q154" s="8"/>
      <c r="R154" s="8"/>
      <c r="S154" s="8"/>
      <c r="T154" s="8"/>
      <c r="U154" s="8"/>
      <c r="V154" s="8"/>
      <c r="W154" s="8"/>
      <c r="X154" s="8"/>
      <c r="Y154" s="8"/>
      <c r="Z154" s="8"/>
      <c r="AA154" s="8"/>
    </row>
    <row r="155" spans="1:27" ht="19.75">
      <c r="A155" s="8"/>
      <c r="B155" s="7"/>
      <c r="C155" s="8"/>
      <c r="D155" s="8"/>
      <c r="E155" s="11"/>
      <c r="F155" s="8"/>
      <c r="G155" s="8"/>
      <c r="H155" s="8"/>
      <c r="I155" s="8"/>
      <c r="J155" s="8"/>
      <c r="K155" s="8"/>
      <c r="L155" s="8"/>
      <c r="M155" s="8"/>
      <c r="N155" s="8"/>
      <c r="O155" s="8"/>
      <c r="P155" s="8"/>
      <c r="Q155" s="8"/>
      <c r="R155" s="8"/>
      <c r="S155" s="8"/>
      <c r="T155" s="8"/>
      <c r="U155" s="8"/>
      <c r="V155" s="8"/>
      <c r="W155" s="8"/>
      <c r="X155" s="8"/>
      <c r="Y155" s="8"/>
      <c r="Z155" s="8"/>
      <c r="AA155" s="8"/>
    </row>
    <row r="156" spans="1:27" ht="19.75">
      <c r="A156" s="8"/>
      <c r="B156" s="7"/>
      <c r="C156" s="8"/>
      <c r="D156" s="8"/>
      <c r="E156" s="11"/>
      <c r="F156" s="8"/>
      <c r="G156" s="8"/>
      <c r="H156" s="8"/>
      <c r="I156" s="8"/>
      <c r="J156" s="8"/>
      <c r="K156" s="8"/>
      <c r="L156" s="8"/>
      <c r="M156" s="8"/>
      <c r="N156" s="8"/>
      <c r="O156" s="8"/>
      <c r="P156" s="8"/>
      <c r="Q156" s="8"/>
      <c r="R156" s="8"/>
      <c r="S156" s="8"/>
      <c r="T156" s="8"/>
      <c r="U156" s="8"/>
      <c r="V156" s="8"/>
      <c r="W156" s="8"/>
      <c r="X156" s="8"/>
      <c r="Y156" s="8"/>
      <c r="Z156" s="8"/>
      <c r="AA156" s="8"/>
    </row>
    <row r="157" spans="1:27" ht="19.75">
      <c r="A157" s="8"/>
      <c r="B157" s="7"/>
      <c r="C157" s="8"/>
      <c r="D157" s="8"/>
      <c r="E157" s="11"/>
      <c r="F157" s="8"/>
      <c r="G157" s="8"/>
      <c r="H157" s="8"/>
      <c r="I157" s="8"/>
      <c r="J157" s="8"/>
      <c r="K157" s="8"/>
      <c r="L157" s="8"/>
      <c r="M157" s="8"/>
      <c r="N157" s="8"/>
      <c r="O157" s="8"/>
      <c r="P157" s="8"/>
      <c r="Q157" s="8"/>
      <c r="R157" s="8"/>
      <c r="S157" s="8"/>
      <c r="T157" s="8"/>
      <c r="U157" s="8"/>
      <c r="V157" s="8"/>
      <c r="W157" s="8"/>
      <c r="X157" s="8"/>
      <c r="Y157" s="8"/>
      <c r="Z157" s="8"/>
      <c r="AA157" s="8"/>
    </row>
    <row r="158" spans="1:27" ht="19.75">
      <c r="A158" s="8"/>
      <c r="B158" s="7"/>
      <c r="C158" s="8"/>
      <c r="D158" s="8"/>
      <c r="E158" s="11"/>
      <c r="F158" s="8"/>
      <c r="G158" s="8"/>
      <c r="H158" s="8"/>
      <c r="I158" s="8"/>
      <c r="J158" s="8"/>
      <c r="K158" s="8"/>
      <c r="L158" s="8"/>
      <c r="M158" s="8"/>
      <c r="N158" s="8"/>
      <c r="O158" s="8"/>
      <c r="P158" s="8"/>
      <c r="Q158" s="8"/>
      <c r="R158" s="8"/>
      <c r="S158" s="8"/>
      <c r="T158" s="8"/>
      <c r="U158" s="8"/>
      <c r="V158" s="8"/>
      <c r="W158" s="8"/>
      <c r="X158" s="8"/>
      <c r="Y158" s="8"/>
      <c r="Z158" s="8"/>
      <c r="AA158" s="8"/>
    </row>
    <row r="159" spans="1:27" ht="19.75">
      <c r="A159" s="8"/>
      <c r="B159" s="7"/>
      <c r="C159" s="8"/>
      <c r="D159" s="8"/>
      <c r="E159" s="11"/>
      <c r="F159" s="8"/>
      <c r="G159" s="8"/>
      <c r="H159" s="8"/>
      <c r="I159" s="8"/>
      <c r="J159" s="8"/>
      <c r="K159" s="8"/>
      <c r="L159" s="8"/>
      <c r="M159" s="8"/>
      <c r="N159" s="8"/>
      <c r="O159" s="8"/>
      <c r="P159" s="8"/>
      <c r="Q159" s="8"/>
      <c r="R159" s="8"/>
      <c r="S159" s="8"/>
      <c r="T159" s="8"/>
      <c r="U159" s="8"/>
      <c r="V159" s="8"/>
      <c r="W159" s="8"/>
      <c r="X159" s="8"/>
      <c r="Y159" s="8"/>
      <c r="Z159" s="8"/>
      <c r="AA159" s="8"/>
    </row>
    <row r="160" spans="1:27" ht="19.75">
      <c r="A160" s="8"/>
      <c r="B160" s="7"/>
      <c r="C160" s="8"/>
      <c r="D160" s="8"/>
      <c r="E160" s="11"/>
      <c r="F160" s="8"/>
      <c r="G160" s="8"/>
      <c r="H160" s="8"/>
      <c r="I160" s="8"/>
      <c r="J160" s="8"/>
      <c r="K160" s="8"/>
      <c r="L160" s="8"/>
      <c r="M160" s="8"/>
      <c r="N160" s="8"/>
      <c r="O160" s="8"/>
      <c r="P160" s="8"/>
      <c r="Q160" s="8"/>
      <c r="R160" s="8"/>
      <c r="S160" s="8"/>
      <c r="T160" s="8"/>
      <c r="U160" s="8"/>
      <c r="V160" s="8"/>
      <c r="W160" s="8"/>
      <c r="X160" s="8"/>
      <c r="Y160" s="8"/>
      <c r="Z160" s="8"/>
      <c r="AA160" s="8"/>
    </row>
    <row r="161" spans="1:27" ht="19.75">
      <c r="A161" s="8"/>
      <c r="B161" s="7"/>
      <c r="C161" s="8"/>
      <c r="D161" s="8"/>
      <c r="E161" s="11"/>
      <c r="F161" s="8"/>
      <c r="G161" s="8"/>
      <c r="H161" s="8"/>
      <c r="I161" s="8"/>
      <c r="J161" s="8"/>
      <c r="K161" s="8"/>
      <c r="L161" s="8"/>
      <c r="M161" s="8"/>
      <c r="N161" s="8"/>
      <c r="O161" s="8"/>
      <c r="P161" s="8"/>
      <c r="Q161" s="8"/>
      <c r="R161" s="8"/>
      <c r="S161" s="8"/>
      <c r="T161" s="8"/>
      <c r="U161" s="8"/>
      <c r="V161" s="8"/>
      <c r="W161" s="8"/>
      <c r="X161" s="8"/>
      <c r="Y161" s="8"/>
      <c r="Z161" s="8"/>
      <c r="AA161" s="8"/>
    </row>
    <row r="162" spans="1:27" ht="19.75">
      <c r="A162" s="8"/>
      <c r="B162" s="7"/>
      <c r="C162" s="8"/>
      <c r="D162" s="8"/>
      <c r="E162" s="11"/>
      <c r="F162" s="8"/>
      <c r="G162" s="8"/>
      <c r="H162" s="8"/>
      <c r="I162" s="8"/>
      <c r="J162" s="8"/>
      <c r="K162" s="8"/>
      <c r="L162" s="8"/>
      <c r="M162" s="8"/>
      <c r="N162" s="8"/>
      <c r="O162" s="8"/>
      <c r="P162" s="8"/>
      <c r="Q162" s="8"/>
      <c r="R162" s="8"/>
      <c r="S162" s="8"/>
      <c r="T162" s="8"/>
      <c r="U162" s="8"/>
      <c r="V162" s="8"/>
      <c r="W162" s="8"/>
      <c r="X162" s="8"/>
      <c r="Y162" s="8"/>
      <c r="Z162" s="8"/>
      <c r="AA162" s="8"/>
    </row>
    <row r="163" spans="1:27" ht="19.75">
      <c r="A163" s="8"/>
      <c r="B163" s="7"/>
      <c r="C163" s="8"/>
      <c r="D163" s="8"/>
      <c r="E163" s="11"/>
      <c r="F163" s="8"/>
      <c r="G163" s="8"/>
      <c r="H163" s="8"/>
      <c r="I163" s="8"/>
      <c r="J163" s="8"/>
      <c r="K163" s="8"/>
      <c r="L163" s="8"/>
      <c r="M163" s="8"/>
      <c r="N163" s="8"/>
      <c r="O163" s="8"/>
      <c r="P163" s="8"/>
      <c r="Q163" s="8"/>
      <c r="R163" s="8"/>
      <c r="S163" s="8"/>
      <c r="T163" s="8"/>
      <c r="U163" s="8"/>
      <c r="V163" s="8"/>
      <c r="W163" s="8"/>
      <c r="X163" s="8"/>
      <c r="Y163" s="8"/>
      <c r="Z163" s="8"/>
      <c r="AA163" s="8"/>
    </row>
    <row r="164" spans="1:27" ht="19.75">
      <c r="A164" s="8"/>
      <c r="B164" s="7"/>
      <c r="C164" s="8"/>
      <c r="D164" s="8"/>
      <c r="E164" s="11"/>
      <c r="F164" s="8"/>
      <c r="G164" s="8"/>
      <c r="H164" s="8"/>
      <c r="I164" s="8"/>
      <c r="J164" s="8"/>
      <c r="K164" s="8"/>
      <c r="L164" s="8"/>
      <c r="M164" s="8"/>
      <c r="N164" s="8"/>
      <c r="O164" s="8"/>
      <c r="P164" s="8"/>
      <c r="Q164" s="8"/>
      <c r="R164" s="8"/>
      <c r="S164" s="8"/>
      <c r="T164" s="8"/>
      <c r="U164" s="8"/>
      <c r="V164" s="8"/>
      <c r="W164" s="8"/>
      <c r="X164" s="8"/>
      <c r="Y164" s="8"/>
      <c r="Z164" s="8"/>
      <c r="AA164" s="8"/>
    </row>
    <row r="165" spans="1:27" ht="19.75">
      <c r="A165" s="8"/>
      <c r="B165" s="7"/>
      <c r="C165" s="8"/>
      <c r="D165" s="8"/>
      <c r="E165" s="11"/>
      <c r="F165" s="8"/>
      <c r="G165" s="8"/>
      <c r="H165" s="8"/>
      <c r="I165" s="8"/>
      <c r="J165" s="8"/>
      <c r="K165" s="8"/>
      <c r="L165" s="8"/>
      <c r="M165" s="8"/>
      <c r="N165" s="8"/>
      <c r="O165" s="8"/>
      <c r="P165" s="8"/>
      <c r="Q165" s="8"/>
      <c r="R165" s="8"/>
      <c r="S165" s="8"/>
      <c r="T165" s="8"/>
      <c r="U165" s="8"/>
      <c r="V165" s="8"/>
      <c r="W165" s="8"/>
      <c r="X165" s="8"/>
      <c r="Y165" s="8"/>
      <c r="Z165" s="8"/>
      <c r="AA165" s="8"/>
    </row>
    <row r="166" spans="1:27" ht="19.75">
      <c r="A166" s="8"/>
      <c r="B166" s="7"/>
      <c r="C166" s="8"/>
      <c r="D166" s="8"/>
      <c r="E166" s="11"/>
      <c r="F166" s="8"/>
      <c r="G166" s="8"/>
      <c r="H166" s="8"/>
      <c r="I166" s="8"/>
      <c r="J166" s="8"/>
      <c r="K166" s="8"/>
      <c r="L166" s="8"/>
      <c r="M166" s="8"/>
      <c r="N166" s="8"/>
      <c r="O166" s="8"/>
      <c r="P166" s="8"/>
      <c r="Q166" s="8"/>
      <c r="R166" s="8"/>
      <c r="S166" s="8"/>
      <c r="T166" s="8"/>
      <c r="U166" s="8"/>
      <c r="V166" s="8"/>
      <c r="W166" s="8"/>
      <c r="X166" s="8"/>
      <c r="Y166" s="8"/>
      <c r="Z166" s="8"/>
      <c r="AA166" s="8"/>
    </row>
    <row r="167" spans="1:27" ht="19.75">
      <c r="A167" s="8"/>
      <c r="B167" s="7"/>
      <c r="C167" s="8"/>
      <c r="D167" s="8"/>
      <c r="E167" s="11"/>
      <c r="F167" s="8"/>
      <c r="G167" s="8"/>
      <c r="H167" s="8"/>
      <c r="I167" s="8"/>
      <c r="J167" s="8"/>
      <c r="K167" s="8"/>
      <c r="L167" s="8"/>
      <c r="M167" s="8"/>
      <c r="N167" s="8"/>
      <c r="O167" s="8"/>
      <c r="P167" s="8"/>
      <c r="Q167" s="8"/>
      <c r="R167" s="8"/>
      <c r="S167" s="8"/>
      <c r="T167" s="8"/>
      <c r="U167" s="8"/>
      <c r="V167" s="8"/>
      <c r="W167" s="8"/>
      <c r="X167" s="8"/>
      <c r="Y167" s="8"/>
      <c r="Z167" s="8"/>
      <c r="AA167" s="8"/>
    </row>
    <row r="168" spans="1:27" ht="19.75">
      <c r="A168" s="8"/>
      <c r="B168" s="7"/>
      <c r="C168" s="8"/>
      <c r="D168" s="8"/>
      <c r="E168" s="11"/>
      <c r="F168" s="8"/>
      <c r="G168" s="8"/>
      <c r="H168" s="8"/>
      <c r="I168" s="8"/>
      <c r="J168" s="8"/>
      <c r="K168" s="8"/>
      <c r="L168" s="8"/>
      <c r="M168" s="8"/>
      <c r="N168" s="8"/>
      <c r="O168" s="8"/>
      <c r="P168" s="8"/>
      <c r="Q168" s="8"/>
      <c r="R168" s="8"/>
      <c r="S168" s="8"/>
      <c r="T168" s="8"/>
      <c r="U168" s="8"/>
      <c r="V168" s="8"/>
      <c r="W168" s="8"/>
      <c r="X168" s="8"/>
      <c r="Y168" s="8"/>
      <c r="Z168" s="8"/>
      <c r="AA168" s="8"/>
    </row>
    <row r="169" spans="1:27" ht="19.75">
      <c r="A169" s="8"/>
      <c r="B169" s="7"/>
      <c r="C169" s="8"/>
      <c r="D169" s="8"/>
      <c r="E169" s="11"/>
      <c r="F169" s="8"/>
      <c r="G169" s="8"/>
      <c r="H169" s="8"/>
      <c r="I169" s="8"/>
      <c r="J169" s="8"/>
      <c r="K169" s="8"/>
      <c r="L169" s="8"/>
      <c r="M169" s="8"/>
      <c r="N169" s="8"/>
      <c r="O169" s="8"/>
      <c r="P169" s="8"/>
      <c r="Q169" s="8"/>
      <c r="R169" s="8"/>
      <c r="S169" s="8"/>
      <c r="T169" s="8"/>
      <c r="U169" s="8"/>
      <c r="V169" s="8"/>
      <c r="W169" s="8"/>
      <c r="X169" s="8"/>
      <c r="Y169" s="8"/>
      <c r="Z169" s="8"/>
      <c r="AA169" s="8"/>
    </row>
    <row r="170" spans="1:27" ht="19.75">
      <c r="A170" s="8"/>
      <c r="B170" s="7"/>
      <c r="C170" s="8"/>
      <c r="D170" s="8"/>
      <c r="E170" s="11"/>
      <c r="F170" s="8"/>
      <c r="G170" s="8"/>
      <c r="H170" s="8"/>
      <c r="I170" s="8"/>
      <c r="J170" s="8"/>
      <c r="K170" s="8"/>
      <c r="L170" s="8"/>
      <c r="M170" s="8"/>
      <c r="N170" s="8"/>
      <c r="O170" s="8"/>
      <c r="P170" s="8"/>
      <c r="Q170" s="8"/>
      <c r="R170" s="8"/>
      <c r="S170" s="8"/>
      <c r="T170" s="8"/>
      <c r="U170" s="8"/>
      <c r="V170" s="8"/>
      <c r="W170" s="8"/>
      <c r="X170" s="8"/>
      <c r="Y170" s="8"/>
      <c r="Z170" s="8"/>
      <c r="AA170" s="8"/>
    </row>
    <row r="171" spans="1:27" ht="19.75">
      <c r="A171" s="8"/>
      <c r="B171" s="7"/>
      <c r="C171" s="8"/>
      <c r="D171" s="8"/>
      <c r="E171" s="11"/>
      <c r="F171" s="8"/>
      <c r="G171" s="8"/>
      <c r="H171" s="8"/>
      <c r="I171" s="8"/>
      <c r="J171" s="8"/>
      <c r="K171" s="8"/>
      <c r="L171" s="8"/>
      <c r="M171" s="8"/>
      <c r="N171" s="8"/>
      <c r="O171" s="8"/>
      <c r="P171" s="8"/>
      <c r="Q171" s="8"/>
      <c r="R171" s="8"/>
      <c r="S171" s="8"/>
      <c r="T171" s="8"/>
      <c r="U171" s="8"/>
      <c r="V171" s="8"/>
      <c r="W171" s="8"/>
      <c r="X171" s="8"/>
      <c r="Y171" s="8"/>
      <c r="Z171" s="8"/>
      <c r="AA171" s="8"/>
    </row>
    <row r="172" spans="1:27" ht="19.75">
      <c r="A172" s="8"/>
      <c r="B172" s="7"/>
      <c r="C172" s="8"/>
      <c r="D172" s="8"/>
      <c r="E172" s="11"/>
      <c r="F172" s="8"/>
      <c r="G172" s="8"/>
      <c r="H172" s="8"/>
      <c r="I172" s="8"/>
      <c r="J172" s="8"/>
      <c r="K172" s="8"/>
      <c r="L172" s="8"/>
      <c r="M172" s="8"/>
      <c r="N172" s="8"/>
      <c r="O172" s="8"/>
      <c r="P172" s="8"/>
      <c r="Q172" s="8"/>
      <c r="R172" s="8"/>
      <c r="S172" s="8"/>
      <c r="T172" s="8"/>
      <c r="U172" s="8"/>
      <c r="V172" s="8"/>
      <c r="W172" s="8"/>
      <c r="X172" s="8"/>
      <c r="Y172" s="8"/>
      <c r="Z172" s="8"/>
      <c r="AA172" s="8"/>
    </row>
    <row r="173" spans="1:27" ht="19.75">
      <c r="A173" s="8"/>
      <c r="B173" s="7"/>
      <c r="C173" s="8"/>
      <c r="D173" s="8"/>
      <c r="E173" s="11"/>
      <c r="F173" s="8"/>
      <c r="G173" s="8"/>
      <c r="H173" s="8"/>
      <c r="I173" s="8"/>
      <c r="J173" s="8"/>
      <c r="K173" s="8"/>
      <c r="L173" s="8"/>
      <c r="M173" s="8"/>
      <c r="N173" s="8"/>
      <c r="O173" s="8"/>
      <c r="P173" s="8"/>
      <c r="Q173" s="8"/>
      <c r="R173" s="8"/>
      <c r="S173" s="8"/>
      <c r="T173" s="8"/>
      <c r="U173" s="8"/>
      <c r="V173" s="8"/>
      <c r="W173" s="8"/>
      <c r="X173" s="8"/>
      <c r="Y173" s="8"/>
      <c r="Z173" s="8"/>
      <c r="AA173" s="8"/>
    </row>
    <row r="174" spans="1:27" ht="19.75">
      <c r="A174" s="8"/>
      <c r="B174" s="7"/>
      <c r="C174" s="8"/>
      <c r="D174" s="8"/>
      <c r="E174" s="11"/>
      <c r="F174" s="8"/>
      <c r="G174" s="8"/>
      <c r="H174" s="8"/>
      <c r="I174" s="8"/>
      <c r="J174" s="8"/>
      <c r="K174" s="8"/>
      <c r="L174" s="8"/>
      <c r="M174" s="8"/>
      <c r="N174" s="8"/>
      <c r="O174" s="8"/>
      <c r="P174" s="8"/>
      <c r="Q174" s="8"/>
      <c r="R174" s="8"/>
      <c r="S174" s="8"/>
      <c r="T174" s="8"/>
      <c r="U174" s="8"/>
      <c r="V174" s="8"/>
      <c r="W174" s="8"/>
      <c r="X174" s="8"/>
      <c r="Y174" s="8"/>
      <c r="Z174" s="8"/>
      <c r="AA174" s="8"/>
    </row>
    <row r="175" spans="1:27" ht="19.75">
      <c r="A175" s="8"/>
      <c r="B175" s="7"/>
      <c r="C175" s="8"/>
      <c r="D175" s="8"/>
      <c r="E175" s="11"/>
      <c r="F175" s="8"/>
      <c r="G175" s="8"/>
      <c r="H175" s="8"/>
      <c r="I175" s="8"/>
      <c r="J175" s="8"/>
      <c r="K175" s="8"/>
      <c r="L175" s="8"/>
      <c r="M175" s="8"/>
      <c r="N175" s="8"/>
      <c r="O175" s="8"/>
      <c r="P175" s="8"/>
      <c r="Q175" s="8"/>
      <c r="R175" s="8"/>
      <c r="S175" s="8"/>
      <c r="T175" s="8"/>
      <c r="U175" s="8"/>
      <c r="V175" s="8"/>
      <c r="W175" s="8"/>
      <c r="X175" s="8"/>
      <c r="Y175" s="8"/>
      <c r="Z175" s="8"/>
      <c r="AA175" s="8"/>
    </row>
    <row r="176" spans="1:27" ht="19.75">
      <c r="A176" s="8"/>
      <c r="B176" s="7"/>
      <c r="C176" s="8"/>
      <c r="D176" s="8"/>
      <c r="E176" s="11"/>
      <c r="F176" s="8"/>
      <c r="G176" s="8"/>
      <c r="H176" s="8"/>
      <c r="I176" s="8"/>
      <c r="J176" s="8"/>
      <c r="K176" s="8"/>
      <c r="L176" s="8"/>
      <c r="M176" s="8"/>
      <c r="N176" s="8"/>
      <c r="O176" s="8"/>
      <c r="P176" s="8"/>
      <c r="Q176" s="8"/>
      <c r="R176" s="8"/>
      <c r="S176" s="8"/>
      <c r="T176" s="8"/>
      <c r="U176" s="8"/>
      <c r="V176" s="8"/>
      <c r="W176" s="8"/>
      <c r="X176" s="8"/>
      <c r="Y176" s="8"/>
      <c r="Z176" s="8"/>
      <c r="AA176" s="8"/>
    </row>
    <row r="177" spans="1:27" ht="19.75">
      <c r="A177" s="8"/>
      <c r="B177" s="7"/>
      <c r="C177" s="8"/>
      <c r="D177" s="8"/>
      <c r="E177" s="11"/>
      <c r="F177" s="8"/>
      <c r="G177" s="8"/>
      <c r="H177" s="8"/>
      <c r="I177" s="8"/>
      <c r="J177" s="8"/>
      <c r="K177" s="8"/>
      <c r="L177" s="8"/>
      <c r="M177" s="8"/>
      <c r="N177" s="8"/>
      <c r="O177" s="8"/>
      <c r="P177" s="8"/>
      <c r="Q177" s="8"/>
      <c r="R177" s="8"/>
      <c r="S177" s="8"/>
      <c r="T177" s="8"/>
      <c r="U177" s="8"/>
      <c r="V177" s="8"/>
      <c r="W177" s="8"/>
      <c r="X177" s="8"/>
      <c r="Y177" s="8"/>
      <c r="Z177" s="8"/>
      <c r="AA177" s="8"/>
    </row>
    <row r="178" spans="1:27" ht="19.75">
      <c r="A178" s="8"/>
      <c r="B178" s="7"/>
      <c r="C178" s="8"/>
      <c r="D178" s="8"/>
      <c r="E178" s="11"/>
      <c r="F178" s="8"/>
      <c r="G178" s="8"/>
      <c r="H178" s="8"/>
      <c r="I178" s="8"/>
      <c r="J178" s="8"/>
      <c r="K178" s="8"/>
      <c r="L178" s="8"/>
      <c r="M178" s="8"/>
      <c r="N178" s="8"/>
      <c r="O178" s="8"/>
      <c r="P178" s="8"/>
      <c r="Q178" s="8"/>
      <c r="R178" s="8"/>
      <c r="S178" s="8"/>
      <c r="T178" s="8"/>
      <c r="U178" s="8"/>
      <c r="V178" s="8"/>
      <c r="W178" s="8"/>
      <c r="X178" s="8"/>
      <c r="Y178" s="8"/>
      <c r="Z178" s="8"/>
      <c r="AA178" s="8"/>
    </row>
    <row r="179" spans="1:27" ht="19.75">
      <c r="A179" s="8"/>
      <c r="B179" s="7"/>
      <c r="C179" s="8"/>
      <c r="D179" s="8"/>
      <c r="E179" s="11"/>
      <c r="F179" s="8"/>
      <c r="G179" s="8"/>
      <c r="H179" s="8"/>
      <c r="I179" s="8"/>
      <c r="J179" s="8"/>
      <c r="K179" s="8"/>
      <c r="L179" s="8"/>
      <c r="M179" s="8"/>
      <c r="N179" s="8"/>
      <c r="O179" s="8"/>
      <c r="P179" s="8"/>
      <c r="Q179" s="8"/>
      <c r="R179" s="8"/>
      <c r="S179" s="8"/>
      <c r="T179" s="8"/>
      <c r="U179" s="8"/>
      <c r="V179" s="8"/>
      <c r="W179" s="8"/>
      <c r="X179" s="8"/>
      <c r="Y179" s="8"/>
      <c r="Z179" s="8"/>
      <c r="AA179" s="8"/>
    </row>
    <row r="180" spans="1:27" ht="19.75">
      <c r="A180" s="8"/>
      <c r="B180" s="7"/>
      <c r="C180" s="8"/>
      <c r="D180" s="8"/>
      <c r="E180" s="11"/>
      <c r="F180" s="8"/>
      <c r="G180" s="8"/>
      <c r="H180" s="8"/>
      <c r="I180" s="8"/>
      <c r="J180" s="8"/>
      <c r="K180" s="8"/>
      <c r="L180" s="8"/>
      <c r="M180" s="8"/>
      <c r="N180" s="8"/>
      <c r="O180" s="8"/>
      <c r="P180" s="8"/>
      <c r="Q180" s="8"/>
      <c r="R180" s="8"/>
      <c r="S180" s="8"/>
      <c r="T180" s="8"/>
      <c r="U180" s="8"/>
      <c r="V180" s="8"/>
      <c r="W180" s="8"/>
      <c r="X180" s="8"/>
      <c r="Y180" s="8"/>
      <c r="Z180" s="8"/>
      <c r="AA180" s="8"/>
    </row>
    <row r="181" spans="1:27" ht="19.75">
      <c r="A181" s="8"/>
      <c r="B181" s="7"/>
      <c r="C181" s="8"/>
      <c r="D181" s="8"/>
      <c r="E181" s="11"/>
      <c r="F181" s="8"/>
      <c r="G181" s="8"/>
      <c r="H181" s="8"/>
      <c r="I181" s="8"/>
      <c r="J181" s="8"/>
      <c r="K181" s="8"/>
      <c r="L181" s="8"/>
      <c r="M181" s="8"/>
      <c r="N181" s="8"/>
      <c r="O181" s="8"/>
      <c r="P181" s="8"/>
      <c r="Q181" s="8"/>
      <c r="R181" s="8"/>
      <c r="S181" s="8"/>
      <c r="T181" s="8"/>
      <c r="U181" s="8"/>
      <c r="V181" s="8"/>
      <c r="W181" s="8"/>
      <c r="X181" s="8"/>
      <c r="Y181" s="8"/>
      <c r="Z181" s="8"/>
      <c r="AA181" s="8"/>
    </row>
    <row r="182" spans="1:27" ht="19.75">
      <c r="A182" s="8"/>
      <c r="B182" s="7"/>
      <c r="C182" s="8"/>
      <c r="D182" s="8"/>
      <c r="E182" s="11"/>
      <c r="F182" s="8"/>
      <c r="G182" s="8"/>
      <c r="H182" s="8"/>
      <c r="I182" s="8"/>
      <c r="J182" s="8"/>
      <c r="K182" s="8"/>
      <c r="L182" s="8"/>
      <c r="M182" s="8"/>
      <c r="N182" s="8"/>
      <c r="O182" s="8"/>
      <c r="P182" s="8"/>
      <c r="Q182" s="8"/>
      <c r="R182" s="8"/>
      <c r="S182" s="8"/>
      <c r="T182" s="8"/>
      <c r="U182" s="8"/>
      <c r="V182" s="8"/>
      <c r="W182" s="8"/>
      <c r="X182" s="8"/>
      <c r="Y182" s="8"/>
      <c r="Z182" s="8"/>
      <c r="AA182" s="8"/>
    </row>
    <row r="183" spans="1:27" ht="19.75">
      <c r="A183" s="8"/>
      <c r="B183" s="7"/>
      <c r="C183" s="8"/>
      <c r="D183" s="8"/>
      <c r="E183" s="11"/>
      <c r="F183" s="8"/>
      <c r="G183" s="8"/>
      <c r="H183" s="8"/>
      <c r="I183" s="8"/>
      <c r="J183" s="8"/>
      <c r="K183" s="8"/>
      <c r="L183" s="8"/>
      <c r="M183" s="8"/>
      <c r="N183" s="8"/>
      <c r="O183" s="8"/>
      <c r="P183" s="8"/>
      <c r="Q183" s="8"/>
      <c r="R183" s="8"/>
      <c r="S183" s="8"/>
      <c r="T183" s="8"/>
      <c r="U183" s="8"/>
      <c r="V183" s="8"/>
      <c r="W183" s="8"/>
      <c r="X183" s="8"/>
      <c r="Y183" s="8"/>
      <c r="Z183" s="8"/>
      <c r="AA183" s="8"/>
    </row>
    <row r="184" spans="1:27" ht="19.75">
      <c r="A184" s="8"/>
      <c r="B184" s="7"/>
      <c r="C184" s="8"/>
      <c r="D184" s="8"/>
      <c r="E184" s="11"/>
      <c r="F184" s="8"/>
      <c r="G184" s="8"/>
      <c r="H184" s="8"/>
      <c r="I184" s="8"/>
      <c r="J184" s="8"/>
      <c r="K184" s="8"/>
      <c r="L184" s="8"/>
      <c r="M184" s="8"/>
      <c r="N184" s="8"/>
      <c r="O184" s="8"/>
      <c r="P184" s="8"/>
      <c r="Q184" s="8"/>
      <c r="R184" s="8"/>
      <c r="S184" s="8"/>
      <c r="T184" s="8"/>
      <c r="U184" s="8"/>
      <c r="V184" s="8"/>
      <c r="W184" s="8"/>
      <c r="X184" s="8"/>
      <c r="Y184" s="8"/>
      <c r="Z184" s="8"/>
      <c r="AA184" s="8"/>
    </row>
    <row r="185" spans="1:27" ht="19.75">
      <c r="A185" s="8"/>
      <c r="B185" s="7"/>
      <c r="C185" s="8"/>
      <c r="D185" s="8"/>
      <c r="E185" s="11"/>
      <c r="F185" s="8"/>
      <c r="G185" s="8"/>
      <c r="H185" s="8"/>
      <c r="I185" s="8"/>
      <c r="J185" s="8"/>
      <c r="K185" s="8"/>
      <c r="L185" s="8"/>
      <c r="M185" s="8"/>
      <c r="N185" s="8"/>
      <c r="O185" s="8"/>
      <c r="P185" s="8"/>
      <c r="Q185" s="8"/>
      <c r="R185" s="8"/>
      <c r="S185" s="8"/>
      <c r="T185" s="8"/>
      <c r="U185" s="8"/>
      <c r="V185" s="8"/>
      <c r="W185" s="8"/>
      <c r="X185" s="8"/>
      <c r="Y185" s="8"/>
      <c r="Z185" s="8"/>
      <c r="AA185" s="8"/>
    </row>
    <row r="186" spans="1:27" ht="19.75">
      <c r="A186" s="8"/>
      <c r="B186" s="7"/>
      <c r="C186" s="8"/>
      <c r="D186" s="8"/>
      <c r="E186" s="11"/>
      <c r="F186" s="8"/>
      <c r="G186" s="8"/>
      <c r="H186" s="8"/>
      <c r="I186" s="8"/>
      <c r="J186" s="8"/>
      <c r="K186" s="8"/>
      <c r="L186" s="8"/>
      <c r="M186" s="8"/>
      <c r="N186" s="8"/>
      <c r="O186" s="8"/>
      <c r="P186" s="8"/>
      <c r="Q186" s="8"/>
      <c r="R186" s="8"/>
      <c r="S186" s="8"/>
      <c r="T186" s="8"/>
      <c r="U186" s="8"/>
      <c r="V186" s="8"/>
      <c r="W186" s="8"/>
      <c r="X186" s="8"/>
      <c r="Y186" s="8"/>
      <c r="Z186" s="8"/>
      <c r="AA186" s="8"/>
    </row>
    <row r="187" spans="1:27" ht="19.75">
      <c r="A187" s="8"/>
      <c r="B187" s="7"/>
      <c r="C187" s="8"/>
      <c r="D187" s="8"/>
      <c r="E187" s="11"/>
      <c r="F187" s="8"/>
      <c r="G187" s="8"/>
      <c r="H187" s="8"/>
      <c r="I187" s="8"/>
      <c r="J187" s="8"/>
      <c r="K187" s="8"/>
      <c r="L187" s="8"/>
      <c r="M187" s="8"/>
      <c r="N187" s="8"/>
      <c r="O187" s="8"/>
      <c r="P187" s="8"/>
      <c r="Q187" s="8"/>
      <c r="R187" s="8"/>
      <c r="S187" s="8"/>
      <c r="T187" s="8"/>
      <c r="U187" s="8"/>
      <c r="V187" s="8"/>
      <c r="W187" s="8"/>
      <c r="X187" s="8"/>
      <c r="Y187" s="8"/>
      <c r="Z187" s="8"/>
      <c r="AA187" s="8"/>
    </row>
    <row r="188" spans="1:27" ht="19.75">
      <c r="A188" s="8"/>
      <c r="B188" s="7"/>
      <c r="C188" s="8"/>
      <c r="D188" s="8"/>
      <c r="E188" s="11"/>
      <c r="F188" s="8"/>
      <c r="G188" s="8"/>
      <c r="H188" s="8"/>
      <c r="I188" s="8"/>
      <c r="J188" s="8"/>
      <c r="K188" s="8"/>
      <c r="L188" s="8"/>
      <c r="M188" s="8"/>
      <c r="N188" s="8"/>
      <c r="O188" s="8"/>
      <c r="P188" s="8"/>
      <c r="Q188" s="8"/>
      <c r="R188" s="8"/>
      <c r="S188" s="8"/>
      <c r="T188" s="8"/>
      <c r="U188" s="8"/>
      <c r="V188" s="8"/>
      <c r="W188" s="8"/>
      <c r="X188" s="8"/>
      <c r="Y188" s="8"/>
      <c r="Z188" s="8"/>
      <c r="AA188" s="8"/>
    </row>
    <row r="189" spans="1:27" ht="19.75">
      <c r="A189" s="8"/>
      <c r="B189" s="7"/>
      <c r="C189" s="8"/>
      <c r="D189" s="8"/>
      <c r="E189" s="11"/>
      <c r="F189" s="8"/>
      <c r="G189" s="8"/>
      <c r="H189" s="8"/>
      <c r="I189" s="8"/>
      <c r="J189" s="8"/>
      <c r="K189" s="8"/>
      <c r="L189" s="8"/>
      <c r="M189" s="8"/>
      <c r="N189" s="8"/>
      <c r="O189" s="8"/>
      <c r="P189" s="8"/>
      <c r="Q189" s="8"/>
      <c r="R189" s="8"/>
      <c r="S189" s="8"/>
      <c r="T189" s="8"/>
      <c r="U189" s="8"/>
      <c r="V189" s="8"/>
      <c r="W189" s="8"/>
      <c r="X189" s="8"/>
      <c r="Y189" s="8"/>
      <c r="Z189" s="8"/>
      <c r="AA189" s="8"/>
    </row>
    <row r="190" spans="1:27" ht="19.75">
      <c r="A190" s="8"/>
      <c r="B190" s="7"/>
      <c r="C190" s="8"/>
      <c r="D190" s="8"/>
      <c r="E190" s="11"/>
      <c r="F190" s="8"/>
      <c r="G190" s="8"/>
      <c r="H190" s="8"/>
      <c r="I190" s="8"/>
      <c r="J190" s="8"/>
      <c r="K190" s="8"/>
      <c r="L190" s="8"/>
      <c r="M190" s="8"/>
      <c r="N190" s="8"/>
      <c r="O190" s="8"/>
      <c r="P190" s="8"/>
      <c r="Q190" s="8"/>
      <c r="R190" s="8"/>
      <c r="S190" s="8"/>
      <c r="T190" s="8"/>
      <c r="U190" s="8"/>
      <c r="V190" s="8"/>
      <c r="W190" s="8"/>
      <c r="X190" s="8"/>
      <c r="Y190" s="8"/>
      <c r="Z190" s="8"/>
      <c r="AA190" s="8"/>
    </row>
    <row r="191" spans="1:27" ht="19.75">
      <c r="A191" s="8"/>
      <c r="B191" s="7"/>
      <c r="C191" s="8"/>
      <c r="D191" s="8"/>
      <c r="E191" s="11"/>
      <c r="F191" s="8"/>
      <c r="G191" s="8"/>
      <c r="H191" s="8"/>
      <c r="I191" s="8"/>
      <c r="J191" s="8"/>
      <c r="K191" s="8"/>
      <c r="L191" s="8"/>
      <c r="M191" s="8"/>
      <c r="N191" s="8"/>
      <c r="O191" s="8"/>
      <c r="P191" s="8"/>
      <c r="Q191" s="8"/>
      <c r="R191" s="8"/>
      <c r="S191" s="8"/>
      <c r="T191" s="8"/>
      <c r="U191" s="8"/>
      <c r="V191" s="8"/>
      <c r="W191" s="8"/>
      <c r="X191" s="8"/>
      <c r="Y191" s="8"/>
      <c r="Z191" s="8"/>
      <c r="AA191" s="8"/>
    </row>
    <row r="192" spans="1:27" ht="19.75">
      <c r="A192" s="8"/>
      <c r="B192" s="7"/>
      <c r="C192" s="8"/>
      <c r="D192" s="8"/>
      <c r="E192" s="11"/>
      <c r="F192" s="8"/>
      <c r="G192" s="8"/>
      <c r="H192" s="8"/>
      <c r="I192" s="8"/>
      <c r="J192" s="8"/>
      <c r="K192" s="8"/>
      <c r="L192" s="8"/>
      <c r="M192" s="8"/>
      <c r="N192" s="8"/>
      <c r="O192" s="8"/>
      <c r="P192" s="8"/>
      <c r="Q192" s="8"/>
      <c r="R192" s="8"/>
      <c r="S192" s="8"/>
      <c r="T192" s="8"/>
      <c r="U192" s="8"/>
      <c r="V192" s="8"/>
      <c r="W192" s="8"/>
      <c r="X192" s="8"/>
      <c r="Y192" s="8"/>
      <c r="Z192" s="8"/>
      <c r="AA192" s="8"/>
    </row>
    <row r="193" spans="1:27" ht="19.75">
      <c r="A193" s="8"/>
      <c r="B193" s="7"/>
      <c r="C193" s="8"/>
      <c r="D193" s="8"/>
      <c r="E193" s="11"/>
      <c r="F193" s="8"/>
      <c r="G193" s="8"/>
      <c r="H193" s="8"/>
      <c r="I193" s="8"/>
      <c r="J193" s="8"/>
      <c r="K193" s="8"/>
      <c r="L193" s="8"/>
      <c r="M193" s="8"/>
      <c r="N193" s="8"/>
      <c r="O193" s="8"/>
      <c r="P193" s="8"/>
      <c r="Q193" s="8"/>
      <c r="R193" s="8"/>
      <c r="S193" s="8"/>
      <c r="T193" s="8"/>
      <c r="U193" s="8"/>
      <c r="V193" s="8"/>
      <c r="W193" s="8"/>
      <c r="X193" s="8"/>
      <c r="Y193" s="8"/>
      <c r="Z193" s="8"/>
      <c r="AA193" s="8"/>
    </row>
    <row r="194" spans="1:27" ht="19.75">
      <c r="A194" s="8"/>
      <c r="B194" s="7"/>
      <c r="C194" s="8"/>
      <c r="D194" s="8"/>
      <c r="E194" s="11"/>
      <c r="F194" s="8"/>
      <c r="G194" s="8"/>
      <c r="H194" s="8"/>
      <c r="I194" s="8"/>
      <c r="J194" s="8"/>
      <c r="K194" s="8"/>
      <c r="L194" s="8"/>
      <c r="M194" s="8"/>
      <c r="N194" s="8"/>
      <c r="O194" s="8"/>
      <c r="P194" s="8"/>
      <c r="Q194" s="8"/>
      <c r="R194" s="8"/>
      <c r="S194" s="8"/>
      <c r="T194" s="8"/>
      <c r="U194" s="8"/>
      <c r="V194" s="8"/>
      <c r="W194" s="8"/>
      <c r="X194" s="8"/>
      <c r="Y194" s="8"/>
      <c r="Z194" s="8"/>
      <c r="AA194" s="8"/>
    </row>
    <row r="195" spans="1:27" ht="19.75">
      <c r="A195" s="8"/>
      <c r="B195" s="7"/>
      <c r="C195" s="8"/>
      <c r="D195" s="8"/>
      <c r="E195" s="11"/>
      <c r="F195" s="8"/>
      <c r="G195" s="8"/>
      <c r="H195" s="8"/>
      <c r="I195" s="8"/>
      <c r="J195" s="8"/>
      <c r="K195" s="8"/>
      <c r="L195" s="8"/>
      <c r="M195" s="8"/>
      <c r="N195" s="8"/>
      <c r="O195" s="8"/>
      <c r="P195" s="8"/>
      <c r="Q195" s="8"/>
      <c r="R195" s="8"/>
      <c r="S195" s="8"/>
      <c r="T195" s="8"/>
      <c r="U195" s="8"/>
      <c r="V195" s="8"/>
      <c r="W195" s="8"/>
      <c r="X195" s="8"/>
      <c r="Y195" s="8"/>
      <c r="Z195" s="8"/>
      <c r="AA195" s="8"/>
    </row>
    <row r="196" spans="1:27" ht="19.75">
      <c r="A196" s="8"/>
      <c r="B196" s="7"/>
      <c r="C196" s="8"/>
      <c r="D196" s="8"/>
      <c r="E196" s="11"/>
      <c r="F196" s="8"/>
      <c r="G196" s="8"/>
      <c r="H196" s="8"/>
      <c r="I196" s="8"/>
      <c r="J196" s="8"/>
      <c r="K196" s="8"/>
      <c r="L196" s="8"/>
      <c r="M196" s="8"/>
      <c r="N196" s="8"/>
      <c r="O196" s="8"/>
      <c r="P196" s="8"/>
      <c r="Q196" s="8"/>
      <c r="R196" s="8"/>
      <c r="S196" s="8"/>
      <c r="T196" s="8"/>
      <c r="U196" s="8"/>
      <c r="V196" s="8"/>
      <c r="W196" s="8"/>
      <c r="X196" s="8"/>
      <c r="Y196" s="8"/>
      <c r="Z196" s="8"/>
      <c r="AA196" s="8"/>
    </row>
    <row r="197" spans="1:27" ht="19.75">
      <c r="A197" s="8"/>
      <c r="B197" s="7"/>
      <c r="C197" s="8"/>
      <c r="D197" s="8"/>
      <c r="E197" s="11"/>
      <c r="F197" s="8"/>
      <c r="G197" s="8"/>
      <c r="H197" s="8"/>
      <c r="I197" s="8"/>
      <c r="J197" s="8"/>
      <c r="K197" s="8"/>
      <c r="L197" s="8"/>
      <c r="M197" s="8"/>
      <c r="N197" s="8"/>
      <c r="O197" s="8"/>
      <c r="P197" s="8"/>
      <c r="Q197" s="8"/>
      <c r="R197" s="8"/>
      <c r="S197" s="8"/>
      <c r="T197" s="8"/>
      <c r="U197" s="8"/>
      <c r="V197" s="8"/>
      <c r="W197" s="8"/>
      <c r="X197" s="8"/>
      <c r="Y197" s="8"/>
      <c r="Z197" s="8"/>
      <c r="AA197" s="8"/>
    </row>
    <row r="198" spans="1:27" ht="19.75">
      <c r="A198" s="8"/>
      <c r="B198" s="7"/>
      <c r="C198" s="8"/>
      <c r="D198" s="8"/>
      <c r="E198" s="11"/>
      <c r="F198" s="8"/>
      <c r="G198" s="8"/>
      <c r="H198" s="8"/>
      <c r="I198" s="8"/>
      <c r="J198" s="8"/>
      <c r="K198" s="8"/>
      <c r="L198" s="8"/>
      <c r="M198" s="8"/>
      <c r="N198" s="8"/>
      <c r="O198" s="8"/>
      <c r="P198" s="8"/>
      <c r="Q198" s="8"/>
      <c r="R198" s="8"/>
      <c r="S198" s="8"/>
      <c r="T198" s="8"/>
      <c r="U198" s="8"/>
      <c r="V198" s="8"/>
      <c r="W198" s="8"/>
      <c r="X198" s="8"/>
      <c r="Y198" s="8"/>
      <c r="Z198" s="8"/>
      <c r="AA198" s="8"/>
    </row>
    <row r="199" spans="1:27" ht="19.75">
      <c r="A199" s="8"/>
      <c r="B199" s="7"/>
      <c r="C199" s="8"/>
      <c r="D199" s="8"/>
      <c r="E199" s="11"/>
      <c r="F199" s="8"/>
      <c r="G199" s="8"/>
      <c r="H199" s="8"/>
      <c r="I199" s="8"/>
      <c r="J199" s="8"/>
      <c r="K199" s="8"/>
      <c r="L199" s="8"/>
      <c r="M199" s="8"/>
      <c r="N199" s="8"/>
      <c r="O199" s="8"/>
      <c r="P199" s="8"/>
      <c r="Q199" s="8"/>
      <c r="R199" s="8"/>
      <c r="S199" s="8"/>
      <c r="T199" s="8"/>
      <c r="U199" s="8"/>
      <c r="V199" s="8"/>
      <c r="W199" s="8"/>
      <c r="X199" s="8"/>
      <c r="Y199" s="8"/>
      <c r="Z199" s="8"/>
      <c r="AA199" s="8"/>
    </row>
    <row r="200" spans="1:27" ht="19.75">
      <c r="A200" s="8"/>
      <c r="B200" s="7"/>
      <c r="C200" s="8"/>
      <c r="D200" s="8"/>
      <c r="E200" s="11"/>
      <c r="F200" s="8"/>
      <c r="G200" s="8"/>
      <c r="H200" s="8"/>
      <c r="I200" s="8"/>
      <c r="J200" s="8"/>
      <c r="K200" s="8"/>
      <c r="L200" s="8"/>
      <c r="M200" s="8"/>
      <c r="N200" s="8"/>
      <c r="O200" s="8"/>
      <c r="P200" s="8"/>
      <c r="Q200" s="8"/>
      <c r="R200" s="8"/>
      <c r="S200" s="8"/>
      <c r="T200" s="8"/>
      <c r="U200" s="8"/>
      <c r="V200" s="8"/>
      <c r="W200" s="8"/>
      <c r="X200" s="8"/>
      <c r="Y200" s="8"/>
      <c r="Z200" s="8"/>
      <c r="AA200" s="8"/>
    </row>
    <row r="201" spans="1:27" ht="19.75">
      <c r="A201" s="8"/>
      <c r="B201" s="7"/>
      <c r="C201" s="8"/>
      <c r="D201" s="8"/>
      <c r="E201" s="11"/>
      <c r="F201" s="8"/>
      <c r="G201" s="8"/>
      <c r="H201" s="8"/>
      <c r="I201" s="8"/>
      <c r="J201" s="8"/>
      <c r="K201" s="8"/>
      <c r="L201" s="8"/>
      <c r="M201" s="8"/>
      <c r="N201" s="8"/>
      <c r="O201" s="8"/>
      <c r="P201" s="8"/>
      <c r="Q201" s="8"/>
      <c r="R201" s="8"/>
      <c r="S201" s="8"/>
      <c r="T201" s="8"/>
      <c r="U201" s="8"/>
      <c r="V201" s="8"/>
      <c r="W201" s="8"/>
      <c r="X201" s="8"/>
      <c r="Y201" s="8"/>
      <c r="Z201" s="8"/>
      <c r="AA201" s="8"/>
    </row>
    <row r="202" spans="1:27" ht="19.75">
      <c r="A202" s="8"/>
      <c r="B202" s="7"/>
      <c r="C202" s="8"/>
      <c r="D202" s="8"/>
      <c r="E202" s="11"/>
      <c r="F202" s="8"/>
      <c r="G202" s="8"/>
      <c r="H202" s="8"/>
      <c r="I202" s="8"/>
      <c r="J202" s="8"/>
      <c r="K202" s="8"/>
      <c r="L202" s="8"/>
      <c r="M202" s="8"/>
      <c r="N202" s="8"/>
      <c r="O202" s="8"/>
      <c r="P202" s="8"/>
      <c r="Q202" s="8"/>
      <c r="R202" s="8"/>
      <c r="S202" s="8"/>
      <c r="T202" s="8"/>
      <c r="U202" s="8"/>
      <c r="V202" s="8"/>
      <c r="W202" s="8"/>
      <c r="X202" s="8"/>
      <c r="Y202" s="8"/>
      <c r="Z202" s="8"/>
      <c r="AA202" s="8"/>
    </row>
    <row r="203" spans="1:27" ht="19.75">
      <c r="A203" s="8"/>
      <c r="B203" s="7"/>
      <c r="C203" s="8"/>
      <c r="D203" s="8"/>
      <c r="E203" s="11"/>
      <c r="F203" s="8"/>
      <c r="G203" s="8"/>
      <c r="H203" s="8"/>
      <c r="I203" s="8"/>
      <c r="J203" s="8"/>
      <c r="K203" s="8"/>
      <c r="L203" s="8"/>
      <c r="M203" s="8"/>
      <c r="N203" s="8"/>
      <c r="O203" s="8"/>
      <c r="P203" s="8"/>
      <c r="Q203" s="8"/>
      <c r="R203" s="8"/>
      <c r="S203" s="8"/>
      <c r="T203" s="8"/>
      <c r="U203" s="8"/>
      <c r="V203" s="8"/>
      <c r="W203" s="8"/>
      <c r="X203" s="8"/>
      <c r="Y203" s="8"/>
      <c r="Z203" s="8"/>
      <c r="AA203" s="8"/>
    </row>
    <row r="204" spans="1:27" ht="19.75">
      <c r="A204" s="8"/>
      <c r="B204" s="7"/>
      <c r="C204" s="8"/>
      <c r="D204" s="8"/>
      <c r="E204" s="11"/>
      <c r="F204" s="8"/>
      <c r="G204" s="8"/>
      <c r="H204" s="8"/>
      <c r="I204" s="8"/>
      <c r="J204" s="8"/>
      <c r="K204" s="8"/>
      <c r="L204" s="8"/>
      <c r="M204" s="8"/>
      <c r="N204" s="8"/>
      <c r="O204" s="8"/>
      <c r="P204" s="8"/>
      <c r="Q204" s="8"/>
      <c r="R204" s="8"/>
      <c r="S204" s="8"/>
      <c r="T204" s="8"/>
      <c r="U204" s="8"/>
      <c r="V204" s="8"/>
      <c r="W204" s="8"/>
      <c r="X204" s="8"/>
      <c r="Y204" s="8"/>
      <c r="Z204" s="8"/>
      <c r="AA204" s="8"/>
    </row>
    <row r="205" spans="1:27" ht="19.75">
      <c r="A205" s="8"/>
      <c r="B205" s="7"/>
      <c r="C205" s="8"/>
      <c r="D205" s="8"/>
      <c r="E205" s="11"/>
      <c r="F205" s="8"/>
      <c r="G205" s="8"/>
      <c r="H205" s="8"/>
      <c r="I205" s="8"/>
      <c r="J205" s="8"/>
      <c r="K205" s="8"/>
      <c r="L205" s="8"/>
      <c r="M205" s="8"/>
      <c r="N205" s="8"/>
      <c r="O205" s="8"/>
      <c r="P205" s="8"/>
      <c r="Q205" s="8"/>
      <c r="R205" s="8"/>
      <c r="S205" s="8"/>
      <c r="T205" s="8"/>
      <c r="U205" s="8"/>
      <c r="V205" s="8"/>
      <c r="W205" s="8"/>
      <c r="X205" s="8"/>
      <c r="Y205" s="8"/>
      <c r="Z205" s="8"/>
      <c r="AA205" s="8"/>
    </row>
    <row r="206" spans="1:27" ht="19.75">
      <c r="A206" s="8"/>
      <c r="B206" s="7"/>
      <c r="C206" s="8"/>
      <c r="D206" s="8"/>
      <c r="E206" s="11"/>
      <c r="F206" s="8"/>
      <c r="G206" s="8"/>
      <c r="H206" s="8"/>
      <c r="I206" s="8"/>
      <c r="J206" s="8"/>
      <c r="K206" s="8"/>
      <c r="L206" s="8"/>
      <c r="M206" s="8"/>
      <c r="N206" s="8"/>
      <c r="O206" s="8"/>
      <c r="P206" s="8"/>
      <c r="Q206" s="8"/>
      <c r="R206" s="8"/>
      <c r="S206" s="8"/>
      <c r="T206" s="8"/>
      <c r="U206" s="8"/>
      <c r="V206" s="8"/>
      <c r="W206" s="8"/>
      <c r="X206" s="8"/>
      <c r="Y206" s="8"/>
      <c r="Z206" s="8"/>
      <c r="AA206" s="8"/>
    </row>
    <row r="207" spans="1:27" ht="19.75">
      <c r="A207" s="8"/>
      <c r="B207" s="7"/>
      <c r="C207" s="8"/>
      <c r="D207" s="8"/>
      <c r="E207" s="11"/>
      <c r="F207" s="8"/>
      <c r="G207" s="8"/>
      <c r="H207" s="8"/>
      <c r="I207" s="8"/>
      <c r="J207" s="8"/>
      <c r="K207" s="8"/>
      <c r="L207" s="8"/>
      <c r="M207" s="8"/>
      <c r="N207" s="8"/>
      <c r="O207" s="8"/>
      <c r="P207" s="8"/>
      <c r="Q207" s="8"/>
      <c r="R207" s="8"/>
      <c r="S207" s="8"/>
      <c r="T207" s="8"/>
      <c r="U207" s="8"/>
      <c r="V207" s="8"/>
      <c r="W207" s="8"/>
      <c r="X207" s="8"/>
      <c r="Y207" s="8"/>
      <c r="Z207" s="8"/>
      <c r="AA207" s="8"/>
    </row>
    <row r="208" spans="1:27" ht="19.75">
      <c r="A208" s="8"/>
      <c r="B208" s="7"/>
      <c r="C208" s="8"/>
      <c r="D208" s="8"/>
      <c r="E208" s="11"/>
      <c r="F208" s="8"/>
      <c r="G208" s="8"/>
      <c r="H208" s="8"/>
      <c r="I208" s="8"/>
      <c r="J208" s="8"/>
      <c r="K208" s="8"/>
      <c r="L208" s="8"/>
      <c r="M208" s="8"/>
      <c r="N208" s="8"/>
      <c r="O208" s="8"/>
      <c r="P208" s="8"/>
      <c r="Q208" s="8"/>
      <c r="R208" s="8"/>
      <c r="S208" s="8"/>
      <c r="T208" s="8"/>
      <c r="U208" s="8"/>
      <c r="V208" s="8"/>
      <c r="W208" s="8"/>
      <c r="X208" s="8"/>
      <c r="Y208" s="8"/>
      <c r="Z208" s="8"/>
      <c r="AA208" s="8"/>
    </row>
    <row r="209" spans="1:27" ht="19.75">
      <c r="A209" s="8"/>
      <c r="B209" s="7"/>
      <c r="C209" s="8"/>
      <c r="D209" s="8"/>
      <c r="E209" s="11"/>
      <c r="F209" s="8"/>
      <c r="G209" s="8"/>
      <c r="H209" s="8"/>
      <c r="I209" s="8"/>
      <c r="J209" s="8"/>
      <c r="K209" s="8"/>
      <c r="L209" s="8"/>
      <c r="M209" s="8"/>
      <c r="N209" s="8"/>
      <c r="O209" s="8"/>
      <c r="P209" s="8"/>
      <c r="Q209" s="8"/>
      <c r="R209" s="8"/>
      <c r="S209" s="8"/>
      <c r="T209" s="8"/>
      <c r="U209" s="8"/>
      <c r="V209" s="8"/>
      <c r="W209" s="8"/>
      <c r="X209" s="8"/>
      <c r="Y209" s="8"/>
      <c r="Z209" s="8"/>
      <c r="AA209" s="8"/>
    </row>
    <row r="210" spans="1:27" ht="19.75">
      <c r="A210" s="8"/>
      <c r="B210" s="7"/>
      <c r="C210" s="8"/>
      <c r="D210" s="8"/>
      <c r="E210" s="11"/>
      <c r="F210" s="8"/>
      <c r="G210" s="8"/>
      <c r="H210" s="8"/>
      <c r="I210" s="8"/>
      <c r="J210" s="8"/>
      <c r="K210" s="8"/>
      <c r="L210" s="8"/>
      <c r="M210" s="8"/>
      <c r="N210" s="8"/>
      <c r="O210" s="8"/>
      <c r="P210" s="8"/>
      <c r="Q210" s="8"/>
      <c r="R210" s="8"/>
      <c r="S210" s="8"/>
      <c r="T210" s="8"/>
      <c r="U210" s="8"/>
      <c r="V210" s="8"/>
      <c r="W210" s="8"/>
      <c r="X210" s="8"/>
      <c r="Y210" s="8"/>
      <c r="Z210" s="8"/>
      <c r="AA210" s="8"/>
    </row>
    <row r="211" spans="1:27" ht="19.75">
      <c r="A211" s="8"/>
      <c r="B211" s="7"/>
      <c r="C211" s="8"/>
      <c r="D211" s="8"/>
      <c r="E211" s="11"/>
      <c r="F211" s="8"/>
      <c r="G211" s="8"/>
      <c r="H211" s="8"/>
      <c r="I211" s="8"/>
      <c r="J211" s="8"/>
      <c r="K211" s="8"/>
      <c r="L211" s="8"/>
      <c r="M211" s="8"/>
      <c r="N211" s="8"/>
      <c r="O211" s="8"/>
      <c r="P211" s="8"/>
      <c r="Q211" s="8"/>
      <c r="R211" s="8"/>
      <c r="S211" s="8"/>
      <c r="T211" s="8"/>
      <c r="U211" s="8"/>
      <c r="V211" s="8"/>
      <c r="W211" s="8"/>
      <c r="X211" s="8"/>
      <c r="Y211" s="8"/>
      <c r="Z211" s="8"/>
      <c r="AA211" s="8"/>
    </row>
    <row r="212" spans="1:27" ht="19.75">
      <c r="A212" s="8"/>
      <c r="B212" s="7"/>
      <c r="C212" s="8"/>
      <c r="D212" s="8"/>
      <c r="E212" s="11"/>
      <c r="F212" s="8"/>
      <c r="G212" s="8"/>
      <c r="H212" s="8"/>
      <c r="I212" s="8"/>
      <c r="J212" s="8"/>
      <c r="K212" s="8"/>
      <c r="L212" s="8"/>
      <c r="M212" s="8"/>
      <c r="N212" s="8"/>
      <c r="O212" s="8"/>
      <c r="P212" s="8"/>
      <c r="Q212" s="8"/>
      <c r="R212" s="8"/>
      <c r="S212" s="8"/>
      <c r="T212" s="8"/>
      <c r="U212" s="8"/>
      <c r="V212" s="8"/>
      <c r="W212" s="8"/>
      <c r="X212" s="8"/>
      <c r="Y212" s="8"/>
      <c r="Z212" s="8"/>
      <c r="AA212" s="8"/>
    </row>
    <row r="213" spans="1:27" ht="19.75">
      <c r="A213" s="8"/>
      <c r="B213" s="7"/>
      <c r="C213" s="8"/>
      <c r="D213" s="8"/>
      <c r="E213" s="11"/>
      <c r="F213" s="8"/>
      <c r="G213" s="8"/>
      <c r="H213" s="8"/>
      <c r="I213" s="8"/>
      <c r="J213" s="8"/>
      <c r="K213" s="8"/>
      <c r="L213" s="8"/>
      <c r="M213" s="8"/>
      <c r="N213" s="8"/>
      <c r="O213" s="8"/>
      <c r="P213" s="8"/>
      <c r="Q213" s="8"/>
      <c r="R213" s="8"/>
      <c r="S213" s="8"/>
      <c r="T213" s="8"/>
      <c r="U213" s="8"/>
      <c r="V213" s="8"/>
      <c r="W213" s="8"/>
      <c r="X213" s="8"/>
      <c r="Y213" s="8"/>
      <c r="Z213" s="8"/>
      <c r="AA213" s="8"/>
    </row>
    <row r="214" spans="1:27" ht="19.75">
      <c r="A214" s="8"/>
      <c r="B214" s="7"/>
      <c r="C214" s="8"/>
      <c r="D214" s="8"/>
      <c r="E214" s="11"/>
      <c r="F214" s="8"/>
      <c r="G214" s="8"/>
      <c r="H214" s="8"/>
      <c r="I214" s="8"/>
      <c r="J214" s="8"/>
      <c r="K214" s="8"/>
      <c r="L214" s="8"/>
      <c r="M214" s="8"/>
      <c r="N214" s="8"/>
      <c r="O214" s="8"/>
      <c r="P214" s="8"/>
      <c r="Q214" s="8"/>
      <c r="R214" s="8"/>
      <c r="S214" s="8"/>
      <c r="T214" s="8"/>
      <c r="U214" s="8"/>
      <c r="V214" s="8"/>
      <c r="W214" s="8"/>
      <c r="X214" s="8"/>
      <c r="Y214" s="8"/>
      <c r="Z214" s="8"/>
      <c r="AA214" s="8"/>
    </row>
    <row r="215" spans="1:27" ht="19.75">
      <c r="A215" s="8"/>
      <c r="B215" s="7"/>
      <c r="C215" s="8"/>
      <c r="D215" s="8"/>
      <c r="E215" s="11"/>
      <c r="F215" s="8"/>
      <c r="G215" s="8"/>
      <c r="H215" s="8"/>
      <c r="I215" s="8"/>
      <c r="J215" s="8"/>
      <c r="K215" s="8"/>
      <c r="L215" s="8"/>
      <c r="M215" s="8"/>
      <c r="N215" s="8"/>
      <c r="O215" s="8"/>
      <c r="P215" s="8"/>
      <c r="Q215" s="8"/>
      <c r="R215" s="8"/>
      <c r="S215" s="8"/>
      <c r="T215" s="8"/>
      <c r="U215" s="8"/>
      <c r="V215" s="8"/>
      <c r="W215" s="8"/>
      <c r="X215" s="8"/>
      <c r="Y215" s="8"/>
      <c r="Z215" s="8"/>
      <c r="AA215" s="8"/>
    </row>
    <row r="216" spans="1:27" ht="19.75">
      <c r="A216" s="8"/>
      <c r="B216" s="7"/>
      <c r="C216" s="8"/>
      <c r="D216" s="8"/>
      <c r="E216" s="11"/>
      <c r="F216" s="8"/>
      <c r="G216" s="8"/>
      <c r="H216" s="8"/>
      <c r="I216" s="8"/>
      <c r="J216" s="8"/>
      <c r="K216" s="8"/>
      <c r="L216" s="8"/>
      <c r="M216" s="8"/>
      <c r="N216" s="8"/>
      <c r="O216" s="8"/>
      <c r="P216" s="8"/>
      <c r="Q216" s="8"/>
      <c r="R216" s="8"/>
      <c r="S216" s="8"/>
      <c r="T216" s="8"/>
      <c r="U216" s="8"/>
      <c r="V216" s="8"/>
      <c r="W216" s="8"/>
      <c r="X216" s="8"/>
      <c r="Y216" s="8"/>
      <c r="Z216" s="8"/>
      <c r="AA216" s="8"/>
    </row>
    <row r="217" spans="1:27" ht="19.75">
      <c r="A217" s="8"/>
      <c r="B217" s="7"/>
      <c r="C217" s="8"/>
      <c r="D217" s="8"/>
      <c r="E217" s="11"/>
      <c r="F217" s="8"/>
      <c r="G217" s="8"/>
      <c r="H217" s="8"/>
      <c r="I217" s="8"/>
      <c r="J217" s="8"/>
      <c r="K217" s="8"/>
      <c r="L217" s="8"/>
      <c r="M217" s="8"/>
      <c r="N217" s="8"/>
      <c r="O217" s="8"/>
      <c r="P217" s="8"/>
      <c r="Q217" s="8"/>
      <c r="R217" s="8"/>
      <c r="S217" s="8"/>
      <c r="T217" s="8"/>
      <c r="U217" s="8"/>
      <c r="V217" s="8"/>
      <c r="W217" s="8"/>
      <c r="X217" s="8"/>
      <c r="Y217" s="8"/>
      <c r="Z217" s="8"/>
      <c r="AA217" s="8"/>
    </row>
    <row r="218" spans="1:27" ht="19.75">
      <c r="A218" s="8"/>
      <c r="B218" s="7"/>
      <c r="C218" s="8"/>
      <c r="D218" s="8"/>
      <c r="E218" s="11"/>
      <c r="F218" s="8"/>
      <c r="G218" s="8"/>
      <c r="H218" s="8"/>
      <c r="I218" s="8"/>
      <c r="J218" s="8"/>
      <c r="K218" s="8"/>
      <c r="L218" s="8"/>
      <c r="M218" s="8"/>
      <c r="N218" s="8"/>
      <c r="O218" s="8"/>
      <c r="P218" s="8"/>
      <c r="Q218" s="8"/>
      <c r="R218" s="8"/>
      <c r="S218" s="8"/>
      <c r="T218" s="8"/>
      <c r="U218" s="8"/>
      <c r="V218" s="8"/>
      <c r="W218" s="8"/>
      <c r="X218" s="8"/>
      <c r="Y218" s="8"/>
      <c r="Z218" s="8"/>
      <c r="AA218" s="8"/>
    </row>
    <row r="219" spans="1:27" ht="19.75">
      <c r="A219" s="8"/>
      <c r="B219" s="7"/>
      <c r="C219" s="8"/>
      <c r="D219" s="8"/>
      <c r="E219" s="11"/>
      <c r="F219" s="8"/>
      <c r="G219" s="8"/>
      <c r="H219" s="8"/>
      <c r="I219" s="8"/>
      <c r="J219" s="8"/>
      <c r="K219" s="8"/>
      <c r="L219" s="8"/>
      <c r="M219" s="8"/>
      <c r="N219" s="8"/>
      <c r="O219" s="8"/>
      <c r="P219" s="8"/>
      <c r="Q219" s="8"/>
      <c r="R219" s="8"/>
      <c r="S219" s="8"/>
      <c r="T219" s="8"/>
      <c r="U219" s="8"/>
      <c r="V219" s="8"/>
      <c r="W219" s="8"/>
      <c r="X219" s="8"/>
      <c r="Y219" s="8"/>
      <c r="Z219" s="8"/>
      <c r="AA219" s="8"/>
    </row>
    <row r="220" spans="1:27" ht="19.75">
      <c r="A220" s="8"/>
      <c r="B220" s="7"/>
      <c r="C220" s="8"/>
      <c r="D220" s="8"/>
      <c r="E220" s="11"/>
      <c r="F220" s="8"/>
      <c r="G220" s="8"/>
      <c r="H220" s="8"/>
      <c r="I220" s="8"/>
      <c r="J220" s="8"/>
      <c r="K220" s="8"/>
      <c r="L220" s="8"/>
      <c r="M220" s="8"/>
      <c r="N220" s="8"/>
      <c r="O220" s="8"/>
      <c r="P220" s="8"/>
      <c r="Q220" s="8"/>
      <c r="R220" s="8"/>
      <c r="S220" s="8"/>
      <c r="T220" s="8"/>
      <c r="U220" s="8"/>
      <c r="V220" s="8"/>
      <c r="W220" s="8"/>
      <c r="X220" s="8"/>
      <c r="Y220" s="8"/>
      <c r="Z220" s="8"/>
      <c r="AA220" s="8"/>
    </row>
    <row r="221" spans="1:27" ht="19.75">
      <c r="A221" s="8"/>
      <c r="B221" s="7"/>
      <c r="C221" s="8"/>
      <c r="D221" s="8"/>
      <c r="E221" s="11"/>
      <c r="F221" s="8"/>
      <c r="G221" s="8"/>
      <c r="H221" s="8"/>
      <c r="I221" s="8"/>
      <c r="J221" s="8"/>
      <c r="K221" s="8"/>
      <c r="L221" s="8"/>
      <c r="M221" s="8"/>
      <c r="N221" s="8"/>
      <c r="O221" s="8"/>
      <c r="P221" s="8"/>
      <c r="Q221" s="8"/>
      <c r="R221" s="8"/>
      <c r="S221" s="8"/>
      <c r="T221" s="8"/>
      <c r="U221" s="8"/>
      <c r="V221" s="8"/>
      <c r="W221" s="8"/>
      <c r="X221" s="8"/>
      <c r="Y221" s="8"/>
      <c r="Z221" s="8"/>
      <c r="AA221" s="8"/>
    </row>
    <row r="222" spans="1:27" ht="19.75">
      <c r="A222" s="8"/>
      <c r="B222" s="7"/>
      <c r="C222" s="8"/>
      <c r="D222" s="8"/>
      <c r="E222" s="11"/>
      <c r="F222" s="8"/>
      <c r="G222" s="8"/>
      <c r="H222" s="8"/>
      <c r="I222" s="8"/>
      <c r="J222" s="8"/>
      <c r="K222" s="8"/>
      <c r="L222" s="8"/>
      <c r="M222" s="8"/>
      <c r="N222" s="8"/>
      <c r="O222" s="8"/>
      <c r="P222" s="8"/>
      <c r="Q222" s="8"/>
      <c r="R222" s="8"/>
      <c r="S222" s="8"/>
      <c r="T222" s="8"/>
      <c r="U222" s="8"/>
      <c r="V222" s="8"/>
      <c r="W222" s="8"/>
      <c r="X222" s="8"/>
      <c r="Y222" s="8"/>
      <c r="Z222" s="8"/>
      <c r="AA222" s="8"/>
    </row>
    <row r="223" spans="1:27" ht="19.75">
      <c r="A223" s="8"/>
      <c r="B223" s="7"/>
      <c r="C223" s="8"/>
      <c r="D223" s="8"/>
      <c r="E223" s="11"/>
      <c r="F223" s="8"/>
      <c r="G223" s="8"/>
      <c r="H223" s="8"/>
      <c r="I223" s="8"/>
      <c r="J223" s="8"/>
      <c r="K223" s="8"/>
      <c r="L223" s="8"/>
      <c r="M223" s="8"/>
      <c r="N223" s="8"/>
      <c r="O223" s="8"/>
      <c r="P223" s="8"/>
      <c r="Q223" s="8"/>
      <c r="R223" s="8"/>
      <c r="S223" s="8"/>
      <c r="T223" s="8"/>
      <c r="U223" s="8"/>
      <c r="V223" s="8"/>
      <c r="W223" s="8"/>
      <c r="X223" s="8"/>
      <c r="Y223" s="8"/>
      <c r="Z223" s="8"/>
      <c r="AA223" s="8"/>
    </row>
    <row r="224" spans="1:27" ht="19.75">
      <c r="A224" s="8"/>
      <c r="B224" s="7"/>
      <c r="C224" s="8"/>
      <c r="D224" s="8"/>
      <c r="E224" s="11"/>
      <c r="F224" s="8"/>
      <c r="G224" s="8"/>
      <c r="H224" s="8"/>
      <c r="I224" s="8"/>
      <c r="J224" s="8"/>
      <c r="K224" s="8"/>
      <c r="L224" s="8"/>
      <c r="M224" s="8"/>
      <c r="N224" s="8"/>
      <c r="O224" s="8"/>
      <c r="P224" s="8"/>
      <c r="Q224" s="8"/>
      <c r="R224" s="8"/>
      <c r="S224" s="8"/>
      <c r="T224" s="8"/>
      <c r="U224" s="8"/>
      <c r="V224" s="8"/>
      <c r="W224" s="8"/>
      <c r="X224" s="8"/>
      <c r="Y224" s="8"/>
      <c r="Z224" s="8"/>
      <c r="AA224" s="8"/>
    </row>
    <row r="225" spans="1:27" ht="19.75">
      <c r="A225" s="8"/>
      <c r="B225" s="7"/>
      <c r="C225" s="8"/>
      <c r="D225" s="8"/>
      <c r="E225" s="11"/>
      <c r="F225" s="8"/>
      <c r="G225" s="8"/>
      <c r="H225" s="8"/>
      <c r="I225" s="8"/>
      <c r="J225" s="8"/>
      <c r="K225" s="8"/>
      <c r="L225" s="8"/>
      <c r="M225" s="8"/>
      <c r="N225" s="8"/>
      <c r="O225" s="8"/>
      <c r="P225" s="8"/>
      <c r="Q225" s="8"/>
      <c r="R225" s="8"/>
      <c r="S225" s="8"/>
      <c r="T225" s="8"/>
      <c r="U225" s="8"/>
      <c r="V225" s="8"/>
      <c r="W225" s="8"/>
      <c r="X225" s="8"/>
      <c r="Y225" s="8"/>
      <c r="Z225" s="8"/>
      <c r="AA225" s="8"/>
    </row>
    <row r="226" spans="1:27" ht="19.75">
      <c r="A226" s="8"/>
      <c r="B226" s="7"/>
      <c r="C226" s="8"/>
      <c r="D226" s="8"/>
      <c r="E226" s="11"/>
      <c r="F226" s="8"/>
      <c r="G226" s="8"/>
      <c r="H226" s="8"/>
      <c r="I226" s="8"/>
      <c r="J226" s="8"/>
      <c r="K226" s="8"/>
      <c r="L226" s="8"/>
      <c r="M226" s="8"/>
      <c r="N226" s="8"/>
      <c r="O226" s="8"/>
      <c r="P226" s="8"/>
      <c r="Q226" s="8"/>
      <c r="R226" s="8"/>
      <c r="S226" s="8"/>
      <c r="T226" s="8"/>
      <c r="U226" s="8"/>
      <c r="V226" s="8"/>
      <c r="W226" s="8"/>
      <c r="X226" s="8"/>
      <c r="Y226" s="8"/>
      <c r="Z226" s="8"/>
      <c r="AA226" s="8"/>
    </row>
    <row r="227" spans="1:27" ht="19.75">
      <c r="A227" s="8"/>
      <c r="B227" s="7"/>
      <c r="C227" s="8"/>
      <c r="D227" s="8"/>
      <c r="E227" s="11"/>
      <c r="F227" s="8"/>
      <c r="G227" s="8"/>
      <c r="H227" s="8"/>
      <c r="I227" s="8"/>
      <c r="J227" s="8"/>
      <c r="K227" s="8"/>
      <c r="L227" s="8"/>
      <c r="M227" s="8"/>
      <c r="N227" s="8"/>
      <c r="O227" s="8"/>
      <c r="P227" s="8"/>
      <c r="Q227" s="8"/>
      <c r="R227" s="8"/>
      <c r="S227" s="8"/>
      <c r="T227" s="8"/>
      <c r="U227" s="8"/>
      <c r="V227" s="8"/>
      <c r="W227" s="8"/>
      <c r="X227" s="8"/>
      <c r="Y227" s="8"/>
      <c r="Z227" s="8"/>
      <c r="AA227" s="8"/>
    </row>
    <row r="228" spans="1:27" ht="19.75">
      <c r="A228" s="8"/>
      <c r="B228" s="7"/>
      <c r="C228" s="8"/>
      <c r="D228" s="8"/>
      <c r="E228" s="11"/>
      <c r="F228" s="8"/>
      <c r="G228" s="8"/>
      <c r="H228" s="8"/>
      <c r="I228" s="8"/>
      <c r="J228" s="8"/>
      <c r="K228" s="8"/>
      <c r="L228" s="8"/>
      <c r="M228" s="8"/>
      <c r="N228" s="8"/>
      <c r="O228" s="8"/>
      <c r="P228" s="8"/>
      <c r="Q228" s="8"/>
      <c r="R228" s="8"/>
      <c r="S228" s="8"/>
      <c r="T228" s="8"/>
      <c r="U228" s="8"/>
      <c r="V228" s="8"/>
      <c r="W228" s="8"/>
      <c r="X228" s="8"/>
      <c r="Y228" s="8"/>
      <c r="Z228" s="8"/>
      <c r="AA228" s="8"/>
    </row>
    <row r="229" spans="1:27" ht="19.75">
      <c r="A229" s="8"/>
      <c r="B229" s="7"/>
      <c r="C229" s="8"/>
      <c r="D229" s="8"/>
      <c r="E229" s="11"/>
      <c r="F229" s="8"/>
      <c r="G229" s="8"/>
      <c r="H229" s="8"/>
      <c r="I229" s="8"/>
      <c r="J229" s="8"/>
      <c r="K229" s="8"/>
      <c r="L229" s="8"/>
      <c r="M229" s="8"/>
      <c r="N229" s="8"/>
      <c r="O229" s="8"/>
      <c r="P229" s="8"/>
      <c r="Q229" s="8"/>
      <c r="R229" s="8"/>
      <c r="S229" s="8"/>
      <c r="T229" s="8"/>
      <c r="U229" s="8"/>
      <c r="V229" s="8"/>
      <c r="W229" s="8"/>
      <c r="X229" s="8"/>
      <c r="Y229" s="8"/>
      <c r="Z229" s="8"/>
      <c r="AA229" s="8"/>
    </row>
    <row r="230" spans="1:27" ht="19.75">
      <c r="A230" s="8"/>
      <c r="B230" s="7"/>
      <c r="C230" s="8"/>
      <c r="D230" s="8"/>
      <c r="E230" s="11"/>
      <c r="F230" s="8"/>
      <c r="G230" s="8"/>
      <c r="H230" s="8"/>
      <c r="I230" s="8"/>
      <c r="J230" s="8"/>
      <c r="K230" s="8"/>
      <c r="L230" s="8"/>
      <c r="M230" s="8"/>
      <c r="N230" s="8"/>
      <c r="O230" s="8"/>
      <c r="P230" s="8"/>
      <c r="Q230" s="8"/>
      <c r="R230" s="8"/>
      <c r="S230" s="8"/>
      <c r="T230" s="8"/>
      <c r="U230" s="8"/>
      <c r="V230" s="8"/>
      <c r="W230" s="8"/>
      <c r="X230" s="8"/>
      <c r="Y230" s="8"/>
      <c r="Z230" s="8"/>
      <c r="AA230" s="8"/>
    </row>
    <row r="231" spans="1:27" ht="19.75">
      <c r="A231" s="8"/>
      <c r="B231" s="7"/>
      <c r="C231" s="8"/>
      <c r="D231" s="8"/>
      <c r="E231" s="11"/>
      <c r="F231" s="8"/>
      <c r="G231" s="8"/>
      <c r="H231" s="8"/>
      <c r="I231" s="8"/>
      <c r="J231" s="8"/>
      <c r="K231" s="8"/>
      <c r="L231" s="8"/>
      <c r="M231" s="8"/>
      <c r="N231" s="8"/>
      <c r="O231" s="8"/>
      <c r="P231" s="8"/>
      <c r="Q231" s="8"/>
      <c r="R231" s="8"/>
      <c r="S231" s="8"/>
      <c r="T231" s="8"/>
      <c r="U231" s="8"/>
      <c r="V231" s="8"/>
      <c r="W231" s="8"/>
      <c r="X231" s="8"/>
      <c r="Y231" s="8"/>
      <c r="Z231" s="8"/>
      <c r="AA231" s="8"/>
    </row>
    <row r="232" spans="1:27" ht="19.75">
      <c r="A232" s="8"/>
      <c r="B232" s="7"/>
      <c r="C232" s="8"/>
      <c r="D232" s="8"/>
      <c r="E232" s="11"/>
      <c r="F232" s="8"/>
      <c r="G232" s="8"/>
      <c r="H232" s="8"/>
      <c r="I232" s="8"/>
      <c r="J232" s="8"/>
      <c r="K232" s="8"/>
      <c r="L232" s="8"/>
      <c r="M232" s="8"/>
      <c r="N232" s="8"/>
      <c r="O232" s="8"/>
      <c r="P232" s="8"/>
      <c r="Q232" s="8"/>
      <c r="R232" s="8"/>
      <c r="S232" s="8"/>
      <c r="T232" s="8"/>
      <c r="U232" s="8"/>
      <c r="V232" s="8"/>
      <c r="W232" s="8"/>
      <c r="X232" s="8"/>
      <c r="Y232" s="8"/>
      <c r="Z232" s="8"/>
      <c r="AA232" s="8"/>
    </row>
    <row r="233" spans="1:27" ht="19.75">
      <c r="A233" s="8"/>
      <c r="B233" s="7"/>
      <c r="C233" s="8"/>
      <c r="D233" s="8"/>
      <c r="E233" s="11"/>
      <c r="F233" s="8"/>
      <c r="G233" s="8"/>
      <c r="H233" s="8"/>
      <c r="I233" s="8"/>
      <c r="J233" s="8"/>
      <c r="K233" s="8"/>
      <c r="L233" s="8"/>
      <c r="M233" s="8"/>
      <c r="N233" s="8"/>
      <c r="O233" s="8"/>
      <c r="P233" s="8"/>
      <c r="Q233" s="8"/>
      <c r="R233" s="8"/>
      <c r="S233" s="8"/>
      <c r="T233" s="8"/>
      <c r="U233" s="8"/>
      <c r="V233" s="8"/>
      <c r="W233" s="8"/>
      <c r="X233" s="8"/>
      <c r="Y233" s="8"/>
      <c r="Z233" s="8"/>
      <c r="AA233" s="8"/>
    </row>
    <row r="234" spans="1:27" ht="19.75">
      <c r="A234" s="8"/>
      <c r="B234" s="7"/>
      <c r="C234" s="8"/>
      <c r="D234" s="8"/>
      <c r="E234" s="11"/>
      <c r="F234" s="8"/>
      <c r="G234" s="8"/>
      <c r="H234" s="8"/>
      <c r="I234" s="8"/>
      <c r="J234" s="8"/>
      <c r="K234" s="8"/>
      <c r="L234" s="8"/>
      <c r="M234" s="8"/>
      <c r="N234" s="8"/>
      <c r="O234" s="8"/>
      <c r="P234" s="8"/>
      <c r="Q234" s="8"/>
      <c r="R234" s="8"/>
      <c r="S234" s="8"/>
      <c r="T234" s="8"/>
      <c r="U234" s="8"/>
      <c r="V234" s="8"/>
      <c r="W234" s="8"/>
      <c r="X234" s="8"/>
      <c r="Y234" s="8"/>
      <c r="Z234" s="8"/>
      <c r="AA234" s="8"/>
    </row>
    <row r="235" spans="1:27" ht="19.75">
      <c r="A235" s="8"/>
      <c r="B235" s="7"/>
      <c r="C235" s="8"/>
      <c r="D235" s="8"/>
      <c r="E235" s="11"/>
      <c r="F235" s="8"/>
      <c r="G235" s="8"/>
      <c r="H235" s="8"/>
      <c r="I235" s="8"/>
      <c r="J235" s="8"/>
      <c r="K235" s="8"/>
      <c r="L235" s="8"/>
      <c r="M235" s="8"/>
      <c r="N235" s="8"/>
      <c r="O235" s="8"/>
      <c r="P235" s="8"/>
      <c r="Q235" s="8"/>
      <c r="R235" s="8"/>
      <c r="S235" s="8"/>
      <c r="T235" s="8"/>
      <c r="U235" s="8"/>
      <c r="V235" s="8"/>
      <c r="W235" s="8"/>
      <c r="X235" s="8"/>
      <c r="Y235" s="8"/>
      <c r="Z235" s="8"/>
      <c r="AA235" s="8"/>
    </row>
    <row r="236" spans="1:27" ht="19.75">
      <c r="A236" s="8"/>
      <c r="B236" s="7"/>
      <c r="C236" s="8"/>
      <c r="D236" s="8"/>
      <c r="E236" s="11"/>
      <c r="F236" s="8"/>
      <c r="G236" s="8"/>
      <c r="H236" s="8"/>
      <c r="I236" s="8"/>
      <c r="J236" s="8"/>
      <c r="K236" s="8"/>
      <c r="L236" s="8"/>
      <c r="M236" s="8"/>
      <c r="N236" s="8"/>
      <c r="O236" s="8"/>
      <c r="P236" s="8"/>
      <c r="Q236" s="8"/>
      <c r="R236" s="8"/>
      <c r="S236" s="8"/>
      <c r="T236" s="8"/>
      <c r="U236" s="8"/>
      <c r="V236" s="8"/>
      <c r="W236" s="8"/>
      <c r="X236" s="8"/>
      <c r="Y236" s="8"/>
      <c r="Z236" s="8"/>
      <c r="AA236" s="8"/>
    </row>
    <row r="237" spans="1:27" ht="19.75">
      <c r="A237" s="8"/>
      <c r="B237" s="7"/>
      <c r="C237" s="8"/>
      <c r="D237" s="8"/>
      <c r="E237" s="11"/>
      <c r="F237" s="8"/>
      <c r="G237" s="8"/>
      <c r="H237" s="8"/>
      <c r="I237" s="8"/>
      <c r="J237" s="8"/>
      <c r="K237" s="8"/>
      <c r="L237" s="8"/>
      <c r="M237" s="8"/>
      <c r="N237" s="8"/>
      <c r="O237" s="8"/>
      <c r="P237" s="8"/>
      <c r="Q237" s="8"/>
      <c r="R237" s="8"/>
      <c r="S237" s="8"/>
      <c r="T237" s="8"/>
      <c r="U237" s="8"/>
      <c r="V237" s="8"/>
      <c r="W237" s="8"/>
      <c r="X237" s="8"/>
      <c r="Y237" s="8"/>
      <c r="Z237" s="8"/>
      <c r="AA237" s="8"/>
    </row>
    <row r="238" spans="1:27" ht="19.75">
      <c r="A238" s="8"/>
      <c r="B238" s="7"/>
      <c r="C238" s="8"/>
      <c r="D238" s="8"/>
      <c r="E238" s="11"/>
      <c r="F238" s="8"/>
      <c r="G238" s="8"/>
      <c r="H238" s="8"/>
      <c r="I238" s="8"/>
      <c r="J238" s="8"/>
      <c r="K238" s="8"/>
      <c r="L238" s="8"/>
      <c r="M238" s="8"/>
      <c r="N238" s="8"/>
      <c r="O238" s="8"/>
      <c r="P238" s="8"/>
      <c r="Q238" s="8"/>
      <c r="R238" s="8"/>
      <c r="S238" s="8"/>
      <c r="T238" s="8"/>
      <c r="U238" s="8"/>
      <c r="V238" s="8"/>
      <c r="W238" s="8"/>
      <c r="X238" s="8"/>
      <c r="Y238" s="8"/>
      <c r="Z238" s="8"/>
      <c r="AA238" s="8"/>
    </row>
    <row r="239" spans="1:27" ht="19.75">
      <c r="A239" s="8"/>
      <c r="B239" s="7"/>
      <c r="C239" s="8"/>
      <c r="D239" s="8"/>
      <c r="E239" s="11"/>
      <c r="F239" s="8"/>
      <c r="G239" s="8"/>
      <c r="H239" s="8"/>
      <c r="I239" s="8"/>
      <c r="J239" s="8"/>
      <c r="K239" s="8"/>
      <c r="L239" s="8"/>
      <c r="M239" s="8"/>
      <c r="N239" s="8"/>
      <c r="O239" s="8"/>
      <c r="P239" s="8"/>
      <c r="Q239" s="8"/>
      <c r="R239" s="8"/>
      <c r="S239" s="8"/>
      <c r="T239" s="8"/>
      <c r="U239" s="8"/>
      <c r="V239" s="8"/>
      <c r="W239" s="8"/>
      <c r="X239" s="8"/>
      <c r="Y239" s="8"/>
      <c r="Z239" s="8"/>
      <c r="AA239" s="8"/>
    </row>
    <row r="240" spans="1:27" ht="19.75">
      <c r="A240" s="8"/>
      <c r="B240" s="7"/>
      <c r="C240" s="8"/>
      <c r="D240" s="8"/>
      <c r="E240" s="11"/>
      <c r="F240" s="8"/>
      <c r="G240" s="8"/>
      <c r="H240" s="8"/>
      <c r="I240" s="8"/>
      <c r="J240" s="8"/>
      <c r="K240" s="8"/>
      <c r="L240" s="8"/>
      <c r="M240" s="8"/>
      <c r="N240" s="8"/>
      <c r="O240" s="8"/>
      <c r="P240" s="8"/>
      <c r="Q240" s="8"/>
      <c r="R240" s="8"/>
      <c r="S240" s="8"/>
      <c r="T240" s="8"/>
      <c r="U240" s="8"/>
      <c r="V240" s="8"/>
      <c r="W240" s="8"/>
      <c r="X240" s="8"/>
      <c r="Y240" s="8"/>
      <c r="Z240" s="8"/>
      <c r="AA240" s="8"/>
    </row>
    <row r="241" spans="1:27" ht="19.75">
      <c r="A241" s="8"/>
      <c r="B241" s="7"/>
      <c r="C241" s="8"/>
      <c r="D241" s="8"/>
      <c r="E241" s="11"/>
      <c r="F241" s="8"/>
      <c r="G241" s="8"/>
      <c r="H241" s="8"/>
      <c r="I241" s="8"/>
      <c r="J241" s="8"/>
      <c r="K241" s="8"/>
      <c r="L241" s="8"/>
      <c r="M241" s="8"/>
      <c r="N241" s="8"/>
      <c r="O241" s="8"/>
      <c r="P241" s="8"/>
      <c r="Q241" s="8"/>
      <c r="R241" s="8"/>
      <c r="S241" s="8"/>
      <c r="T241" s="8"/>
      <c r="U241" s="8"/>
      <c r="V241" s="8"/>
      <c r="W241" s="8"/>
      <c r="X241" s="8"/>
      <c r="Y241" s="8"/>
      <c r="Z241" s="8"/>
      <c r="AA241" s="8"/>
    </row>
    <row r="242" spans="1:27" ht="19.75">
      <c r="A242" s="8"/>
      <c r="B242" s="7"/>
      <c r="C242" s="8"/>
      <c r="D242" s="8"/>
      <c r="E242" s="11"/>
      <c r="F242" s="8"/>
      <c r="G242" s="8"/>
      <c r="H242" s="8"/>
      <c r="I242" s="8"/>
      <c r="J242" s="8"/>
      <c r="K242" s="8"/>
      <c r="L242" s="8"/>
      <c r="M242" s="8"/>
      <c r="N242" s="8"/>
      <c r="O242" s="8"/>
      <c r="P242" s="8"/>
      <c r="Q242" s="8"/>
      <c r="R242" s="8"/>
      <c r="S242" s="8"/>
      <c r="T242" s="8"/>
      <c r="U242" s="8"/>
      <c r="V242" s="8"/>
      <c r="W242" s="8"/>
      <c r="X242" s="8"/>
      <c r="Y242" s="8"/>
      <c r="Z242" s="8"/>
      <c r="AA242" s="8"/>
    </row>
    <row r="243" spans="1:27" ht="19.75">
      <c r="A243" s="8"/>
      <c r="B243" s="7"/>
      <c r="C243" s="8"/>
      <c r="D243" s="8"/>
      <c r="E243" s="11"/>
      <c r="F243" s="8"/>
      <c r="G243" s="8"/>
      <c r="H243" s="8"/>
      <c r="I243" s="8"/>
      <c r="J243" s="8"/>
      <c r="K243" s="8"/>
      <c r="L243" s="8"/>
      <c r="M243" s="8"/>
      <c r="N243" s="8"/>
      <c r="O243" s="8"/>
      <c r="P243" s="8"/>
      <c r="Q243" s="8"/>
      <c r="R243" s="8"/>
      <c r="S243" s="8"/>
      <c r="T243" s="8"/>
      <c r="U243" s="8"/>
      <c r="V243" s="8"/>
      <c r="W243" s="8"/>
      <c r="X243" s="8"/>
      <c r="Y243" s="8"/>
      <c r="Z243" s="8"/>
      <c r="AA243" s="8"/>
    </row>
    <row r="244" spans="1:27" ht="19.75">
      <c r="A244" s="8"/>
      <c r="B244" s="7"/>
      <c r="C244" s="8"/>
      <c r="D244" s="8"/>
      <c r="E244" s="11"/>
      <c r="F244" s="8"/>
      <c r="G244" s="8"/>
      <c r="H244" s="8"/>
      <c r="I244" s="8"/>
      <c r="J244" s="8"/>
      <c r="K244" s="8"/>
      <c r="L244" s="8"/>
      <c r="M244" s="8"/>
      <c r="N244" s="8"/>
      <c r="O244" s="8"/>
      <c r="P244" s="8"/>
      <c r="Q244" s="8"/>
      <c r="R244" s="8"/>
      <c r="S244" s="8"/>
      <c r="T244" s="8"/>
      <c r="U244" s="8"/>
      <c r="V244" s="8"/>
      <c r="W244" s="8"/>
      <c r="X244" s="8"/>
      <c r="Y244" s="8"/>
      <c r="Z244" s="8"/>
      <c r="AA244" s="8"/>
    </row>
    <row r="245" spans="1:27" ht="19.75">
      <c r="A245" s="8"/>
      <c r="B245" s="7"/>
      <c r="C245" s="8"/>
      <c r="D245" s="8"/>
      <c r="E245" s="11"/>
      <c r="F245" s="8"/>
      <c r="G245" s="8"/>
      <c r="H245" s="8"/>
      <c r="I245" s="8"/>
      <c r="J245" s="8"/>
      <c r="K245" s="8"/>
      <c r="L245" s="8"/>
      <c r="M245" s="8"/>
      <c r="N245" s="8"/>
      <c r="O245" s="8"/>
      <c r="P245" s="8"/>
      <c r="Q245" s="8"/>
      <c r="R245" s="8"/>
      <c r="S245" s="8"/>
      <c r="T245" s="8"/>
      <c r="U245" s="8"/>
      <c r="V245" s="8"/>
      <c r="W245" s="8"/>
      <c r="X245" s="8"/>
      <c r="Y245" s="8"/>
      <c r="Z245" s="8"/>
      <c r="AA245" s="8"/>
    </row>
    <row r="246" spans="1:27" ht="19.75">
      <c r="A246" s="8"/>
      <c r="B246" s="7"/>
      <c r="C246" s="8"/>
      <c r="D246" s="8"/>
      <c r="E246" s="11"/>
      <c r="F246" s="8"/>
      <c r="G246" s="8"/>
      <c r="H246" s="8"/>
      <c r="I246" s="8"/>
      <c r="J246" s="8"/>
      <c r="K246" s="8"/>
      <c r="L246" s="8"/>
      <c r="M246" s="8"/>
      <c r="N246" s="8"/>
      <c r="O246" s="8"/>
      <c r="P246" s="8"/>
      <c r="Q246" s="8"/>
      <c r="R246" s="8"/>
      <c r="S246" s="8"/>
      <c r="T246" s="8"/>
      <c r="U246" s="8"/>
      <c r="V246" s="8"/>
      <c r="W246" s="8"/>
      <c r="X246" s="8"/>
      <c r="Y246" s="8"/>
      <c r="Z246" s="8"/>
      <c r="AA246" s="8"/>
    </row>
    <row r="247" spans="1:27" ht="19.75">
      <c r="A247" s="8"/>
      <c r="B247" s="7"/>
      <c r="C247" s="8"/>
      <c r="D247" s="8"/>
      <c r="E247" s="11"/>
      <c r="F247" s="8"/>
      <c r="G247" s="8"/>
      <c r="H247" s="8"/>
      <c r="I247" s="8"/>
      <c r="J247" s="8"/>
      <c r="K247" s="8"/>
      <c r="L247" s="8"/>
      <c r="M247" s="8"/>
      <c r="N247" s="8"/>
      <c r="O247" s="8"/>
      <c r="P247" s="8"/>
      <c r="Q247" s="8"/>
      <c r="R247" s="8"/>
      <c r="S247" s="8"/>
      <c r="T247" s="8"/>
      <c r="U247" s="8"/>
      <c r="V247" s="8"/>
      <c r="W247" s="8"/>
      <c r="X247" s="8"/>
      <c r="Y247" s="8"/>
      <c r="Z247" s="8"/>
      <c r="AA247" s="8"/>
    </row>
    <row r="248" spans="1:27" ht="19.75">
      <c r="A248" s="8"/>
      <c r="B248" s="7"/>
      <c r="C248" s="8"/>
      <c r="D248" s="8"/>
      <c r="E248" s="11"/>
      <c r="F248" s="8"/>
      <c r="G248" s="8"/>
      <c r="H248" s="8"/>
      <c r="I248" s="8"/>
      <c r="J248" s="8"/>
      <c r="K248" s="8"/>
      <c r="L248" s="8"/>
      <c r="M248" s="8"/>
      <c r="N248" s="8"/>
      <c r="O248" s="8"/>
      <c r="P248" s="8"/>
      <c r="Q248" s="8"/>
      <c r="R248" s="8"/>
      <c r="S248" s="8"/>
      <c r="T248" s="8"/>
      <c r="U248" s="8"/>
      <c r="V248" s="8"/>
      <c r="W248" s="8"/>
      <c r="X248" s="8"/>
      <c r="Y248" s="8"/>
      <c r="Z248" s="8"/>
      <c r="AA248" s="8"/>
    </row>
    <row r="249" spans="1:27" ht="19.75">
      <c r="A249" s="8"/>
      <c r="B249" s="7"/>
      <c r="C249" s="8"/>
      <c r="D249" s="8"/>
      <c r="E249" s="11"/>
      <c r="F249" s="8"/>
      <c r="G249" s="8"/>
      <c r="H249" s="8"/>
      <c r="I249" s="8"/>
      <c r="J249" s="8"/>
      <c r="K249" s="8"/>
      <c r="L249" s="8"/>
      <c r="M249" s="8"/>
      <c r="N249" s="8"/>
      <c r="O249" s="8"/>
      <c r="P249" s="8"/>
      <c r="Q249" s="8"/>
      <c r="R249" s="8"/>
      <c r="S249" s="8"/>
      <c r="T249" s="8"/>
      <c r="U249" s="8"/>
      <c r="V249" s="8"/>
      <c r="W249" s="8"/>
      <c r="X249" s="8"/>
      <c r="Y249" s="8"/>
      <c r="Z249" s="8"/>
      <c r="AA249" s="8"/>
    </row>
    <row r="250" spans="1:27" ht="19.75">
      <c r="A250" s="8"/>
      <c r="B250" s="7"/>
      <c r="C250" s="8"/>
      <c r="D250" s="8"/>
      <c r="E250" s="11"/>
      <c r="F250" s="8"/>
      <c r="G250" s="8"/>
      <c r="H250" s="8"/>
      <c r="I250" s="8"/>
      <c r="J250" s="8"/>
      <c r="K250" s="8"/>
      <c r="L250" s="8"/>
      <c r="M250" s="8"/>
      <c r="N250" s="8"/>
      <c r="O250" s="8"/>
      <c r="P250" s="8"/>
      <c r="Q250" s="8"/>
      <c r="R250" s="8"/>
      <c r="S250" s="8"/>
      <c r="T250" s="8"/>
      <c r="U250" s="8"/>
      <c r="V250" s="8"/>
      <c r="W250" s="8"/>
      <c r="X250" s="8"/>
      <c r="Y250" s="8"/>
      <c r="Z250" s="8"/>
      <c r="AA250" s="8"/>
    </row>
    <row r="251" spans="1:27" ht="19.75">
      <c r="A251" s="8"/>
      <c r="B251" s="7"/>
      <c r="C251" s="8"/>
      <c r="D251" s="8"/>
      <c r="E251" s="11"/>
      <c r="F251" s="8"/>
      <c r="G251" s="8"/>
      <c r="H251" s="8"/>
      <c r="I251" s="8"/>
      <c r="J251" s="8"/>
      <c r="K251" s="8"/>
      <c r="L251" s="8"/>
      <c r="M251" s="8"/>
      <c r="N251" s="8"/>
      <c r="O251" s="8"/>
      <c r="P251" s="8"/>
      <c r="Q251" s="8"/>
      <c r="R251" s="8"/>
      <c r="S251" s="8"/>
      <c r="T251" s="8"/>
      <c r="U251" s="8"/>
      <c r="V251" s="8"/>
      <c r="W251" s="8"/>
      <c r="X251" s="8"/>
      <c r="Y251" s="8"/>
      <c r="Z251" s="8"/>
      <c r="AA251" s="8"/>
    </row>
    <row r="252" spans="1:27" ht="19.75">
      <c r="A252" s="8"/>
      <c r="B252" s="7"/>
      <c r="C252" s="8"/>
      <c r="D252" s="8"/>
      <c r="E252" s="11"/>
      <c r="F252" s="8"/>
      <c r="G252" s="8"/>
      <c r="H252" s="8"/>
      <c r="I252" s="8"/>
      <c r="J252" s="8"/>
      <c r="K252" s="8"/>
      <c r="L252" s="8"/>
      <c r="M252" s="8"/>
      <c r="N252" s="8"/>
      <c r="O252" s="8"/>
      <c r="P252" s="8"/>
      <c r="Q252" s="8"/>
      <c r="R252" s="8"/>
      <c r="S252" s="8"/>
      <c r="T252" s="8"/>
      <c r="U252" s="8"/>
      <c r="V252" s="8"/>
      <c r="W252" s="8"/>
      <c r="X252" s="8"/>
      <c r="Y252" s="8"/>
      <c r="Z252" s="8"/>
      <c r="AA252" s="8"/>
    </row>
    <row r="253" spans="1:27" ht="19.75">
      <c r="A253" s="8"/>
      <c r="B253" s="7"/>
      <c r="C253" s="8"/>
      <c r="D253" s="8"/>
      <c r="E253" s="11"/>
      <c r="F253" s="8"/>
      <c r="G253" s="8"/>
      <c r="H253" s="8"/>
      <c r="I253" s="8"/>
      <c r="J253" s="8"/>
      <c r="K253" s="8"/>
      <c r="L253" s="8"/>
      <c r="M253" s="8"/>
      <c r="N253" s="8"/>
      <c r="O253" s="8"/>
      <c r="P253" s="8"/>
      <c r="Q253" s="8"/>
      <c r="R253" s="8"/>
      <c r="S253" s="8"/>
      <c r="T253" s="8"/>
      <c r="U253" s="8"/>
      <c r="V253" s="8"/>
      <c r="W253" s="8"/>
      <c r="X253" s="8"/>
      <c r="Y253" s="8"/>
      <c r="Z253" s="8"/>
      <c r="AA253" s="8"/>
    </row>
    <row r="254" spans="1:27" ht="19.75">
      <c r="A254" s="8"/>
      <c r="B254" s="7"/>
      <c r="C254" s="8"/>
      <c r="D254" s="8"/>
      <c r="E254" s="11"/>
      <c r="F254" s="8"/>
      <c r="G254" s="8"/>
      <c r="H254" s="8"/>
      <c r="I254" s="8"/>
      <c r="J254" s="8"/>
      <c r="K254" s="8"/>
      <c r="L254" s="8"/>
      <c r="M254" s="8"/>
      <c r="N254" s="8"/>
      <c r="O254" s="8"/>
      <c r="P254" s="8"/>
      <c r="Q254" s="8"/>
      <c r="R254" s="8"/>
      <c r="S254" s="8"/>
      <c r="T254" s="8"/>
      <c r="U254" s="8"/>
      <c r="V254" s="8"/>
      <c r="W254" s="8"/>
      <c r="X254" s="8"/>
      <c r="Y254" s="8"/>
      <c r="Z254" s="8"/>
      <c r="AA254" s="8"/>
    </row>
    <row r="255" spans="1:27" ht="19.75">
      <c r="A255" s="8"/>
      <c r="B255" s="7"/>
      <c r="C255" s="8"/>
      <c r="D255" s="8"/>
      <c r="E255" s="11"/>
      <c r="F255" s="8"/>
      <c r="G255" s="8"/>
      <c r="H255" s="8"/>
      <c r="I255" s="8"/>
      <c r="J255" s="8"/>
      <c r="K255" s="8"/>
      <c r="L255" s="8"/>
      <c r="M255" s="8"/>
      <c r="N255" s="8"/>
      <c r="O255" s="8"/>
      <c r="P255" s="8"/>
      <c r="Q255" s="8"/>
      <c r="R255" s="8"/>
      <c r="S255" s="8"/>
      <c r="T255" s="8"/>
      <c r="U255" s="8"/>
      <c r="V255" s="8"/>
      <c r="W255" s="8"/>
      <c r="X255" s="8"/>
      <c r="Y255" s="8"/>
      <c r="Z255" s="8"/>
      <c r="AA255" s="8"/>
    </row>
    <row r="256" spans="1:27" ht="19.75">
      <c r="A256" s="8"/>
      <c r="B256" s="7"/>
      <c r="C256" s="8"/>
      <c r="D256" s="8"/>
      <c r="E256" s="11"/>
      <c r="F256" s="8"/>
      <c r="G256" s="8"/>
      <c r="H256" s="8"/>
      <c r="I256" s="8"/>
      <c r="J256" s="8"/>
      <c r="K256" s="8"/>
      <c r="L256" s="8"/>
      <c r="M256" s="8"/>
      <c r="N256" s="8"/>
      <c r="O256" s="8"/>
      <c r="P256" s="8"/>
      <c r="Q256" s="8"/>
      <c r="R256" s="8"/>
      <c r="S256" s="8"/>
      <c r="T256" s="8"/>
      <c r="U256" s="8"/>
      <c r="V256" s="8"/>
      <c r="W256" s="8"/>
      <c r="X256" s="8"/>
      <c r="Y256" s="8"/>
      <c r="Z256" s="8"/>
      <c r="AA256" s="8"/>
    </row>
    <row r="257" spans="1:27" ht="19.75">
      <c r="A257" s="8"/>
      <c r="B257" s="7"/>
      <c r="C257" s="8"/>
      <c r="D257" s="8"/>
      <c r="E257" s="11"/>
      <c r="F257" s="8"/>
      <c r="G257" s="8"/>
      <c r="H257" s="8"/>
      <c r="I257" s="8"/>
      <c r="J257" s="8"/>
      <c r="K257" s="8"/>
      <c r="L257" s="8"/>
      <c r="M257" s="8"/>
      <c r="N257" s="8"/>
      <c r="O257" s="8"/>
      <c r="P257" s="8"/>
      <c r="Q257" s="8"/>
      <c r="R257" s="8"/>
      <c r="S257" s="8"/>
      <c r="T257" s="8"/>
      <c r="U257" s="8"/>
      <c r="V257" s="8"/>
      <c r="W257" s="8"/>
      <c r="X257" s="8"/>
      <c r="Y257" s="8"/>
      <c r="Z257" s="8"/>
      <c r="AA257" s="8"/>
    </row>
    <row r="258" spans="1:27" ht="19.75">
      <c r="A258" s="8"/>
      <c r="B258" s="7"/>
      <c r="C258" s="8"/>
      <c r="D258" s="8"/>
      <c r="E258" s="11"/>
      <c r="F258" s="8"/>
      <c r="G258" s="8"/>
      <c r="H258" s="8"/>
      <c r="I258" s="8"/>
      <c r="J258" s="8"/>
      <c r="K258" s="8"/>
      <c r="L258" s="8"/>
      <c r="M258" s="8"/>
      <c r="N258" s="8"/>
      <c r="O258" s="8"/>
      <c r="P258" s="8"/>
      <c r="Q258" s="8"/>
      <c r="R258" s="8"/>
      <c r="S258" s="8"/>
      <c r="T258" s="8"/>
      <c r="U258" s="8"/>
      <c r="V258" s="8"/>
      <c r="W258" s="8"/>
      <c r="X258" s="8"/>
      <c r="Y258" s="8"/>
      <c r="Z258" s="8"/>
      <c r="AA258" s="8"/>
    </row>
    <row r="259" spans="1:27" ht="19.75">
      <c r="A259" s="8"/>
      <c r="B259" s="7"/>
      <c r="C259" s="8"/>
      <c r="D259" s="8"/>
      <c r="E259" s="11"/>
      <c r="F259" s="8"/>
      <c r="G259" s="8"/>
      <c r="H259" s="8"/>
      <c r="I259" s="8"/>
      <c r="J259" s="8"/>
      <c r="K259" s="8"/>
      <c r="L259" s="8"/>
      <c r="M259" s="8"/>
      <c r="N259" s="8"/>
      <c r="O259" s="8"/>
      <c r="P259" s="8"/>
      <c r="Q259" s="8"/>
      <c r="R259" s="8"/>
      <c r="S259" s="8"/>
      <c r="T259" s="8"/>
      <c r="U259" s="8"/>
      <c r="V259" s="8"/>
      <c r="W259" s="8"/>
      <c r="X259" s="8"/>
      <c r="Y259" s="8"/>
      <c r="Z259" s="8"/>
      <c r="AA259" s="8"/>
    </row>
    <row r="260" spans="1:27" ht="19.75">
      <c r="A260" s="8"/>
      <c r="B260" s="7"/>
      <c r="C260" s="8"/>
      <c r="D260" s="8"/>
      <c r="E260" s="11"/>
      <c r="F260" s="8"/>
      <c r="G260" s="8"/>
      <c r="H260" s="8"/>
      <c r="I260" s="8"/>
      <c r="J260" s="8"/>
      <c r="K260" s="8"/>
      <c r="L260" s="8"/>
      <c r="M260" s="8"/>
      <c r="N260" s="8"/>
      <c r="O260" s="8"/>
      <c r="P260" s="8"/>
      <c r="Q260" s="8"/>
      <c r="R260" s="8"/>
      <c r="S260" s="8"/>
      <c r="T260" s="8"/>
      <c r="U260" s="8"/>
      <c r="V260" s="8"/>
      <c r="W260" s="8"/>
      <c r="X260" s="8"/>
      <c r="Y260" s="8"/>
      <c r="Z260" s="8"/>
      <c r="AA260" s="8"/>
    </row>
    <row r="261" spans="1:27" ht="19.75">
      <c r="A261" s="8"/>
      <c r="B261" s="7"/>
      <c r="C261" s="8"/>
      <c r="D261" s="8"/>
      <c r="E261" s="11"/>
      <c r="F261" s="8"/>
      <c r="G261" s="8"/>
      <c r="H261" s="8"/>
      <c r="I261" s="8"/>
      <c r="J261" s="8"/>
      <c r="K261" s="8"/>
      <c r="L261" s="8"/>
      <c r="M261" s="8"/>
      <c r="N261" s="8"/>
      <c r="O261" s="8"/>
      <c r="P261" s="8"/>
      <c r="Q261" s="8"/>
      <c r="R261" s="8"/>
      <c r="S261" s="8"/>
      <c r="T261" s="8"/>
      <c r="U261" s="8"/>
      <c r="V261" s="8"/>
      <c r="W261" s="8"/>
      <c r="X261" s="8"/>
      <c r="Y261" s="8"/>
      <c r="Z261" s="8"/>
      <c r="AA261" s="8"/>
    </row>
    <row r="262" spans="1:27" ht="19.75">
      <c r="A262" s="8"/>
      <c r="B262" s="7"/>
      <c r="C262" s="8"/>
      <c r="D262" s="8"/>
      <c r="E262" s="11"/>
      <c r="F262" s="8"/>
      <c r="G262" s="8"/>
      <c r="H262" s="8"/>
      <c r="I262" s="8"/>
      <c r="J262" s="8"/>
      <c r="K262" s="8"/>
      <c r="L262" s="8"/>
      <c r="M262" s="8"/>
      <c r="N262" s="8"/>
      <c r="O262" s="8"/>
      <c r="P262" s="8"/>
      <c r="Q262" s="8"/>
      <c r="R262" s="8"/>
      <c r="S262" s="8"/>
      <c r="T262" s="8"/>
      <c r="U262" s="8"/>
      <c r="V262" s="8"/>
      <c r="W262" s="8"/>
      <c r="X262" s="8"/>
      <c r="Y262" s="8"/>
      <c r="Z262" s="8"/>
      <c r="AA262" s="8"/>
    </row>
    <row r="263" spans="1:27" ht="19.75">
      <c r="A263" s="8"/>
      <c r="B263" s="7"/>
      <c r="C263" s="8"/>
      <c r="D263" s="8"/>
      <c r="E263" s="11"/>
      <c r="F263" s="8"/>
      <c r="G263" s="8"/>
      <c r="H263" s="8"/>
      <c r="I263" s="8"/>
      <c r="J263" s="8"/>
      <c r="K263" s="8"/>
      <c r="L263" s="8"/>
      <c r="M263" s="8"/>
      <c r="N263" s="8"/>
      <c r="O263" s="8"/>
      <c r="P263" s="8"/>
      <c r="Q263" s="8"/>
      <c r="R263" s="8"/>
      <c r="S263" s="8"/>
      <c r="T263" s="8"/>
      <c r="U263" s="8"/>
      <c r="V263" s="8"/>
      <c r="W263" s="8"/>
      <c r="X263" s="8"/>
      <c r="Y263" s="8"/>
      <c r="Z263" s="8"/>
      <c r="AA263" s="8"/>
    </row>
    <row r="264" spans="1:27" ht="19.75">
      <c r="A264" s="8"/>
      <c r="B264" s="7"/>
      <c r="C264" s="8"/>
      <c r="D264" s="8"/>
      <c r="E264" s="11"/>
      <c r="F264" s="8"/>
      <c r="G264" s="8"/>
      <c r="H264" s="8"/>
      <c r="I264" s="8"/>
      <c r="J264" s="8"/>
      <c r="K264" s="8"/>
      <c r="L264" s="8"/>
      <c r="M264" s="8"/>
      <c r="N264" s="8"/>
      <c r="O264" s="8"/>
      <c r="P264" s="8"/>
      <c r="Q264" s="8"/>
      <c r="R264" s="8"/>
      <c r="S264" s="8"/>
      <c r="T264" s="8"/>
      <c r="U264" s="8"/>
      <c r="V264" s="8"/>
      <c r="W264" s="8"/>
      <c r="X264" s="8"/>
      <c r="Y264" s="8"/>
      <c r="Z264" s="8"/>
      <c r="AA264" s="8"/>
    </row>
    <row r="265" spans="1:27" ht="19.75">
      <c r="A265" s="8"/>
      <c r="B265" s="7"/>
      <c r="C265" s="8"/>
      <c r="D265" s="8"/>
      <c r="E265" s="11"/>
      <c r="F265" s="8"/>
      <c r="G265" s="8"/>
      <c r="H265" s="8"/>
      <c r="I265" s="8"/>
      <c r="J265" s="8"/>
      <c r="K265" s="8"/>
      <c r="L265" s="8"/>
      <c r="M265" s="8"/>
      <c r="N265" s="8"/>
      <c r="O265" s="8"/>
      <c r="P265" s="8"/>
      <c r="Q265" s="8"/>
      <c r="R265" s="8"/>
      <c r="S265" s="8"/>
      <c r="T265" s="8"/>
      <c r="U265" s="8"/>
      <c r="V265" s="8"/>
      <c r="W265" s="8"/>
      <c r="X265" s="8"/>
      <c r="Y265" s="8"/>
      <c r="Z265" s="8"/>
      <c r="AA265" s="8"/>
    </row>
    <row r="266" spans="1:27" ht="19.75">
      <c r="A266" s="8"/>
      <c r="B266" s="7"/>
      <c r="C266" s="8"/>
      <c r="D266" s="8"/>
      <c r="E266" s="11"/>
      <c r="F266" s="8"/>
      <c r="G266" s="8"/>
      <c r="H266" s="8"/>
      <c r="I266" s="8"/>
      <c r="J266" s="8"/>
      <c r="K266" s="8"/>
      <c r="L266" s="8"/>
      <c r="M266" s="8"/>
      <c r="N266" s="8"/>
      <c r="O266" s="8"/>
      <c r="P266" s="8"/>
      <c r="Q266" s="8"/>
      <c r="R266" s="8"/>
      <c r="S266" s="8"/>
      <c r="T266" s="8"/>
      <c r="U266" s="8"/>
      <c r="V266" s="8"/>
      <c r="W266" s="8"/>
      <c r="X266" s="8"/>
      <c r="Y266" s="8"/>
      <c r="Z266" s="8"/>
      <c r="AA266" s="8"/>
    </row>
    <row r="267" spans="1:27" ht="19.75">
      <c r="A267" s="8"/>
      <c r="B267" s="7"/>
      <c r="C267" s="8"/>
      <c r="D267" s="8"/>
      <c r="E267" s="11"/>
      <c r="F267" s="8"/>
      <c r="G267" s="8"/>
      <c r="H267" s="8"/>
      <c r="I267" s="8"/>
      <c r="J267" s="8"/>
      <c r="K267" s="8"/>
      <c r="L267" s="8"/>
      <c r="M267" s="8"/>
      <c r="N267" s="8"/>
      <c r="O267" s="8"/>
      <c r="P267" s="8"/>
      <c r="Q267" s="8"/>
      <c r="R267" s="8"/>
      <c r="S267" s="8"/>
      <c r="T267" s="8"/>
      <c r="U267" s="8"/>
      <c r="V267" s="8"/>
      <c r="W267" s="8"/>
      <c r="X267" s="8"/>
      <c r="Y267" s="8"/>
      <c r="Z267" s="8"/>
      <c r="AA267" s="8"/>
    </row>
    <row r="268" spans="1:27" ht="19.75">
      <c r="A268" s="8"/>
      <c r="B268" s="7"/>
      <c r="C268" s="8"/>
      <c r="D268" s="8"/>
      <c r="E268" s="11"/>
      <c r="F268" s="8"/>
      <c r="G268" s="8"/>
      <c r="H268" s="8"/>
      <c r="I268" s="8"/>
      <c r="J268" s="8"/>
      <c r="K268" s="8"/>
      <c r="L268" s="8"/>
      <c r="M268" s="8"/>
      <c r="N268" s="8"/>
      <c r="O268" s="8"/>
      <c r="P268" s="8"/>
      <c r="Q268" s="8"/>
      <c r="R268" s="8"/>
      <c r="S268" s="8"/>
      <c r="T268" s="8"/>
      <c r="U268" s="8"/>
      <c r="V268" s="8"/>
      <c r="W268" s="8"/>
      <c r="X268" s="8"/>
      <c r="Y268" s="8"/>
      <c r="Z268" s="8"/>
      <c r="AA268" s="8"/>
    </row>
    <row r="269" spans="1:27" ht="19.75">
      <c r="A269" s="8"/>
      <c r="B269" s="7"/>
      <c r="C269" s="8"/>
      <c r="D269" s="8"/>
      <c r="E269" s="11"/>
      <c r="F269" s="8"/>
      <c r="G269" s="8"/>
      <c r="H269" s="8"/>
      <c r="I269" s="8"/>
      <c r="J269" s="8"/>
      <c r="K269" s="8"/>
      <c r="L269" s="8"/>
      <c r="M269" s="8"/>
      <c r="N269" s="8"/>
      <c r="O269" s="8"/>
      <c r="P269" s="8"/>
      <c r="Q269" s="8"/>
      <c r="R269" s="8"/>
      <c r="S269" s="8"/>
      <c r="T269" s="8"/>
      <c r="U269" s="8"/>
      <c r="V269" s="8"/>
      <c r="W269" s="8"/>
      <c r="X269" s="8"/>
      <c r="Y269" s="8"/>
      <c r="Z269" s="8"/>
      <c r="AA269" s="8"/>
    </row>
    <row r="270" spans="1:27" ht="19.75">
      <c r="A270" s="8"/>
      <c r="B270" s="7"/>
      <c r="C270" s="8"/>
      <c r="D270" s="8"/>
      <c r="E270" s="11"/>
      <c r="F270" s="8"/>
      <c r="G270" s="8"/>
      <c r="H270" s="8"/>
      <c r="I270" s="8"/>
      <c r="J270" s="8"/>
      <c r="K270" s="8"/>
      <c r="L270" s="8"/>
      <c r="M270" s="8"/>
      <c r="N270" s="8"/>
      <c r="O270" s="8"/>
      <c r="P270" s="8"/>
      <c r="Q270" s="8"/>
      <c r="R270" s="8"/>
      <c r="S270" s="8"/>
      <c r="T270" s="8"/>
      <c r="U270" s="8"/>
      <c r="V270" s="8"/>
      <c r="W270" s="8"/>
      <c r="X270" s="8"/>
      <c r="Y270" s="8"/>
      <c r="Z270" s="8"/>
      <c r="AA270" s="8"/>
    </row>
    <row r="271" spans="1:27" ht="19.75">
      <c r="A271" s="8"/>
      <c r="B271" s="7"/>
      <c r="C271" s="8"/>
      <c r="D271" s="8"/>
      <c r="E271" s="11"/>
      <c r="F271" s="8"/>
      <c r="G271" s="8"/>
      <c r="H271" s="8"/>
      <c r="I271" s="8"/>
      <c r="J271" s="8"/>
      <c r="K271" s="8"/>
      <c r="L271" s="8"/>
      <c r="M271" s="8"/>
      <c r="N271" s="8"/>
      <c r="O271" s="8"/>
      <c r="P271" s="8"/>
      <c r="Q271" s="8"/>
      <c r="R271" s="8"/>
      <c r="S271" s="8"/>
      <c r="T271" s="8"/>
      <c r="U271" s="8"/>
      <c r="V271" s="8"/>
      <c r="W271" s="8"/>
      <c r="X271" s="8"/>
      <c r="Y271" s="8"/>
      <c r="Z271" s="8"/>
      <c r="AA271" s="8"/>
    </row>
    <row r="272" spans="1:27" ht="19.75">
      <c r="A272" s="8"/>
      <c r="B272" s="7"/>
      <c r="C272" s="8"/>
      <c r="D272" s="8"/>
      <c r="E272" s="11"/>
      <c r="F272" s="8"/>
      <c r="G272" s="8"/>
      <c r="H272" s="8"/>
      <c r="I272" s="8"/>
      <c r="J272" s="8"/>
      <c r="K272" s="8"/>
      <c r="L272" s="8"/>
      <c r="M272" s="8"/>
      <c r="N272" s="8"/>
      <c r="O272" s="8"/>
      <c r="P272" s="8"/>
      <c r="Q272" s="8"/>
      <c r="R272" s="8"/>
      <c r="S272" s="8"/>
      <c r="T272" s="8"/>
      <c r="U272" s="8"/>
      <c r="V272" s="8"/>
      <c r="W272" s="8"/>
      <c r="X272" s="8"/>
      <c r="Y272" s="8"/>
      <c r="Z272" s="8"/>
      <c r="AA272" s="8"/>
    </row>
    <row r="273" spans="1:27" ht="19.75">
      <c r="A273" s="8"/>
      <c r="B273" s="7"/>
      <c r="C273" s="8"/>
      <c r="D273" s="8"/>
      <c r="E273" s="11"/>
      <c r="F273" s="8"/>
      <c r="G273" s="8"/>
      <c r="H273" s="8"/>
      <c r="I273" s="8"/>
      <c r="J273" s="8"/>
      <c r="K273" s="8"/>
      <c r="L273" s="8"/>
      <c r="M273" s="8"/>
      <c r="N273" s="8"/>
      <c r="O273" s="8"/>
      <c r="P273" s="8"/>
      <c r="Q273" s="8"/>
      <c r="R273" s="8"/>
      <c r="S273" s="8"/>
      <c r="T273" s="8"/>
      <c r="U273" s="8"/>
      <c r="V273" s="8"/>
      <c r="W273" s="8"/>
      <c r="X273" s="8"/>
      <c r="Y273" s="8"/>
      <c r="Z273" s="8"/>
      <c r="AA273" s="8"/>
    </row>
    <row r="274" spans="1:27" ht="19.75">
      <c r="A274" s="8"/>
      <c r="B274" s="7"/>
      <c r="C274" s="8"/>
      <c r="D274" s="8"/>
      <c r="E274" s="11"/>
      <c r="F274" s="8"/>
      <c r="G274" s="8"/>
      <c r="H274" s="8"/>
      <c r="I274" s="8"/>
      <c r="J274" s="8"/>
      <c r="K274" s="8"/>
      <c r="L274" s="8"/>
      <c r="M274" s="8"/>
      <c r="N274" s="8"/>
      <c r="O274" s="8"/>
      <c r="P274" s="8"/>
      <c r="Q274" s="8"/>
      <c r="R274" s="8"/>
      <c r="S274" s="8"/>
      <c r="T274" s="8"/>
      <c r="U274" s="8"/>
      <c r="V274" s="8"/>
      <c r="W274" s="8"/>
      <c r="X274" s="8"/>
      <c r="Y274" s="8"/>
      <c r="Z274" s="8"/>
      <c r="AA274" s="8"/>
    </row>
    <row r="275" spans="1:27" ht="19.75">
      <c r="A275" s="8"/>
      <c r="B275" s="7"/>
      <c r="C275" s="8"/>
      <c r="D275" s="8"/>
      <c r="E275" s="11"/>
      <c r="F275" s="8"/>
      <c r="G275" s="8"/>
      <c r="H275" s="8"/>
      <c r="I275" s="8"/>
      <c r="J275" s="8"/>
      <c r="K275" s="8"/>
      <c r="L275" s="8"/>
      <c r="M275" s="8"/>
      <c r="N275" s="8"/>
      <c r="O275" s="8"/>
      <c r="P275" s="8"/>
      <c r="Q275" s="8"/>
      <c r="R275" s="8"/>
      <c r="S275" s="8"/>
      <c r="T275" s="8"/>
      <c r="U275" s="8"/>
      <c r="V275" s="8"/>
      <c r="W275" s="8"/>
      <c r="X275" s="8"/>
      <c r="Y275" s="8"/>
      <c r="Z275" s="8"/>
      <c r="AA275" s="8"/>
    </row>
    <row r="276" spans="1:27" ht="19.75">
      <c r="A276" s="8"/>
      <c r="B276" s="7"/>
      <c r="C276" s="8"/>
      <c r="D276" s="8"/>
      <c r="E276" s="11"/>
      <c r="F276" s="8"/>
      <c r="G276" s="8"/>
      <c r="H276" s="8"/>
      <c r="I276" s="8"/>
      <c r="J276" s="8"/>
      <c r="K276" s="8"/>
      <c r="L276" s="8"/>
      <c r="M276" s="8"/>
      <c r="N276" s="8"/>
      <c r="O276" s="8"/>
      <c r="P276" s="8"/>
      <c r="Q276" s="8"/>
      <c r="R276" s="8"/>
      <c r="S276" s="8"/>
      <c r="T276" s="8"/>
      <c r="U276" s="8"/>
      <c r="V276" s="8"/>
      <c r="W276" s="8"/>
      <c r="X276" s="8"/>
      <c r="Y276" s="8"/>
      <c r="Z276" s="8"/>
      <c r="AA276" s="8"/>
    </row>
    <row r="277" spans="1:27" ht="19.75">
      <c r="A277" s="8"/>
      <c r="B277" s="7"/>
      <c r="C277" s="8"/>
      <c r="D277" s="8"/>
      <c r="E277" s="11"/>
      <c r="F277" s="8"/>
      <c r="G277" s="8"/>
      <c r="H277" s="8"/>
      <c r="I277" s="8"/>
      <c r="J277" s="8"/>
      <c r="K277" s="8"/>
      <c r="L277" s="8"/>
      <c r="M277" s="8"/>
      <c r="N277" s="8"/>
      <c r="O277" s="8"/>
      <c r="P277" s="8"/>
      <c r="Q277" s="8"/>
      <c r="R277" s="8"/>
      <c r="S277" s="8"/>
      <c r="T277" s="8"/>
      <c r="U277" s="8"/>
      <c r="V277" s="8"/>
      <c r="W277" s="8"/>
      <c r="X277" s="8"/>
      <c r="Y277" s="8"/>
      <c r="Z277" s="8"/>
      <c r="AA277" s="8"/>
    </row>
    <row r="278" spans="1:27" ht="19.75">
      <c r="A278" s="8"/>
      <c r="B278" s="7"/>
      <c r="C278" s="8"/>
      <c r="D278" s="8"/>
      <c r="E278" s="11"/>
      <c r="F278" s="8"/>
      <c r="G278" s="8"/>
      <c r="H278" s="8"/>
      <c r="I278" s="8"/>
      <c r="J278" s="8"/>
      <c r="K278" s="8"/>
      <c r="L278" s="8"/>
      <c r="M278" s="8"/>
      <c r="N278" s="8"/>
      <c r="O278" s="8"/>
      <c r="P278" s="8"/>
      <c r="Q278" s="8"/>
      <c r="R278" s="8"/>
      <c r="S278" s="8"/>
      <c r="T278" s="8"/>
      <c r="U278" s="8"/>
      <c r="V278" s="8"/>
      <c r="W278" s="8"/>
      <c r="X278" s="8"/>
      <c r="Y278" s="8"/>
      <c r="Z278" s="8"/>
      <c r="AA278" s="8"/>
    </row>
    <row r="279" spans="1:27" ht="19.75">
      <c r="A279" s="8"/>
      <c r="B279" s="7"/>
      <c r="C279" s="8"/>
      <c r="D279" s="8"/>
      <c r="E279" s="11"/>
      <c r="F279" s="8"/>
      <c r="G279" s="8"/>
      <c r="H279" s="8"/>
      <c r="I279" s="8"/>
      <c r="J279" s="8"/>
      <c r="K279" s="8"/>
      <c r="L279" s="8"/>
      <c r="M279" s="8"/>
      <c r="N279" s="8"/>
      <c r="O279" s="8"/>
      <c r="P279" s="8"/>
      <c r="Q279" s="8"/>
      <c r="R279" s="8"/>
      <c r="S279" s="8"/>
      <c r="T279" s="8"/>
      <c r="U279" s="8"/>
      <c r="V279" s="8"/>
      <c r="W279" s="8"/>
      <c r="X279" s="8"/>
      <c r="Y279" s="8"/>
      <c r="Z279" s="8"/>
      <c r="AA279" s="8"/>
    </row>
    <row r="280" spans="1:27" ht="19.75">
      <c r="A280" s="8"/>
      <c r="B280" s="7"/>
      <c r="C280" s="8"/>
      <c r="D280" s="8"/>
      <c r="E280" s="11"/>
      <c r="F280" s="8"/>
      <c r="G280" s="8"/>
      <c r="H280" s="8"/>
      <c r="I280" s="8"/>
      <c r="J280" s="8"/>
      <c r="K280" s="8"/>
      <c r="L280" s="8"/>
      <c r="M280" s="8"/>
      <c r="N280" s="8"/>
      <c r="O280" s="8"/>
      <c r="P280" s="8"/>
      <c r="Q280" s="8"/>
      <c r="R280" s="8"/>
      <c r="S280" s="8"/>
      <c r="T280" s="8"/>
      <c r="U280" s="8"/>
      <c r="V280" s="8"/>
      <c r="W280" s="8"/>
      <c r="X280" s="8"/>
      <c r="Y280" s="8"/>
      <c r="Z280" s="8"/>
      <c r="AA280" s="8"/>
    </row>
    <row r="281" spans="1:27" ht="19.75">
      <c r="A281" s="8"/>
      <c r="B281" s="7"/>
      <c r="C281" s="8"/>
      <c r="D281" s="8"/>
      <c r="E281" s="11"/>
      <c r="F281" s="8"/>
      <c r="G281" s="8"/>
      <c r="H281" s="8"/>
      <c r="I281" s="8"/>
      <c r="J281" s="8"/>
      <c r="K281" s="8"/>
      <c r="L281" s="8"/>
      <c r="M281" s="8"/>
      <c r="N281" s="8"/>
      <c r="O281" s="8"/>
      <c r="P281" s="8"/>
      <c r="Q281" s="8"/>
      <c r="R281" s="8"/>
      <c r="S281" s="8"/>
      <c r="T281" s="8"/>
      <c r="U281" s="8"/>
      <c r="V281" s="8"/>
      <c r="W281" s="8"/>
      <c r="X281" s="8"/>
      <c r="Y281" s="8"/>
      <c r="Z281" s="8"/>
      <c r="AA281" s="8"/>
    </row>
    <row r="282" spans="1:27" ht="19.75">
      <c r="A282" s="8"/>
      <c r="B282" s="7"/>
      <c r="C282" s="8"/>
      <c r="D282" s="8"/>
      <c r="E282" s="11"/>
      <c r="F282" s="8"/>
      <c r="G282" s="8"/>
      <c r="H282" s="8"/>
      <c r="I282" s="8"/>
      <c r="J282" s="8"/>
      <c r="K282" s="8"/>
      <c r="L282" s="8"/>
      <c r="M282" s="8"/>
      <c r="N282" s="8"/>
      <c r="O282" s="8"/>
      <c r="P282" s="8"/>
      <c r="Q282" s="8"/>
      <c r="R282" s="8"/>
      <c r="S282" s="8"/>
      <c r="T282" s="8"/>
      <c r="U282" s="8"/>
      <c r="V282" s="8"/>
      <c r="W282" s="8"/>
      <c r="X282" s="8"/>
      <c r="Y282" s="8"/>
      <c r="Z282" s="8"/>
      <c r="AA282" s="8"/>
    </row>
    <row r="283" spans="1:27" ht="19.75">
      <c r="A283" s="8"/>
      <c r="B283" s="7"/>
      <c r="C283" s="8"/>
      <c r="D283" s="8"/>
      <c r="E283" s="11"/>
      <c r="F283" s="8"/>
      <c r="G283" s="8"/>
      <c r="H283" s="8"/>
      <c r="I283" s="8"/>
      <c r="J283" s="8"/>
      <c r="K283" s="8"/>
      <c r="L283" s="8"/>
      <c r="M283" s="8"/>
      <c r="N283" s="8"/>
      <c r="O283" s="8"/>
      <c r="P283" s="8"/>
      <c r="Q283" s="8"/>
      <c r="R283" s="8"/>
      <c r="S283" s="8"/>
      <c r="T283" s="8"/>
      <c r="U283" s="8"/>
      <c r="V283" s="8"/>
      <c r="W283" s="8"/>
      <c r="X283" s="8"/>
      <c r="Y283" s="8"/>
      <c r="Z283" s="8"/>
      <c r="AA283" s="8"/>
    </row>
    <row r="284" spans="1:27" ht="19.75">
      <c r="A284" s="8"/>
      <c r="B284" s="7"/>
      <c r="C284" s="8"/>
      <c r="D284" s="8"/>
      <c r="E284" s="11"/>
      <c r="F284" s="8"/>
      <c r="G284" s="8"/>
      <c r="H284" s="8"/>
      <c r="I284" s="8"/>
      <c r="J284" s="8"/>
      <c r="K284" s="8"/>
      <c r="L284" s="8"/>
      <c r="M284" s="8"/>
      <c r="N284" s="8"/>
      <c r="O284" s="8"/>
      <c r="P284" s="8"/>
      <c r="Q284" s="8"/>
      <c r="R284" s="8"/>
      <c r="S284" s="8"/>
      <c r="T284" s="8"/>
      <c r="U284" s="8"/>
      <c r="V284" s="8"/>
      <c r="W284" s="8"/>
      <c r="X284" s="8"/>
      <c r="Y284" s="8"/>
      <c r="Z284" s="8"/>
      <c r="AA284" s="8"/>
    </row>
    <row r="285" spans="1:27" ht="19.75">
      <c r="A285" s="8"/>
      <c r="B285" s="7"/>
      <c r="C285" s="8"/>
      <c r="D285" s="8"/>
      <c r="E285" s="11"/>
      <c r="F285" s="8"/>
      <c r="G285" s="8"/>
      <c r="H285" s="8"/>
      <c r="I285" s="8"/>
      <c r="J285" s="8"/>
      <c r="K285" s="8"/>
      <c r="L285" s="8"/>
      <c r="M285" s="8"/>
      <c r="N285" s="8"/>
      <c r="O285" s="8"/>
      <c r="P285" s="8"/>
      <c r="Q285" s="8"/>
      <c r="R285" s="8"/>
      <c r="S285" s="8"/>
      <c r="T285" s="8"/>
      <c r="U285" s="8"/>
      <c r="V285" s="8"/>
      <c r="W285" s="8"/>
      <c r="X285" s="8"/>
      <c r="Y285" s="8"/>
      <c r="Z285" s="8"/>
      <c r="AA285" s="8"/>
    </row>
    <row r="286" spans="1:27" ht="19.75">
      <c r="A286" s="8"/>
      <c r="B286" s="7"/>
      <c r="C286" s="8"/>
      <c r="D286" s="8"/>
      <c r="E286" s="11"/>
      <c r="F286" s="8"/>
      <c r="G286" s="8"/>
      <c r="H286" s="8"/>
      <c r="I286" s="8"/>
      <c r="J286" s="8"/>
      <c r="K286" s="8"/>
      <c r="L286" s="8"/>
      <c r="M286" s="8"/>
      <c r="N286" s="8"/>
      <c r="O286" s="8"/>
      <c r="P286" s="8"/>
      <c r="Q286" s="8"/>
      <c r="R286" s="8"/>
      <c r="S286" s="8"/>
      <c r="T286" s="8"/>
      <c r="U286" s="8"/>
      <c r="V286" s="8"/>
      <c r="W286" s="8"/>
      <c r="X286" s="8"/>
      <c r="Y286" s="8"/>
      <c r="Z286" s="8"/>
      <c r="AA286" s="8"/>
    </row>
    <row r="287" spans="1:27" ht="19.75">
      <c r="A287" s="8"/>
      <c r="B287" s="7"/>
      <c r="C287" s="8"/>
      <c r="D287" s="8"/>
      <c r="E287" s="11"/>
      <c r="F287" s="8"/>
      <c r="G287" s="8"/>
      <c r="H287" s="8"/>
      <c r="I287" s="8"/>
      <c r="J287" s="8"/>
      <c r="K287" s="8"/>
      <c r="L287" s="8"/>
      <c r="M287" s="8"/>
      <c r="N287" s="8"/>
      <c r="O287" s="8"/>
      <c r="P287" s="8"/>
      <c r="Q287" s="8"/>
      <c r="R287" s="8"/>
      <c r="S287" s="8"/>
      <c r="T287" s="8"/>
      <c r="U287" s="8"/>
      <c r="V287" s="8"/>
      <c r="W287" s="8"/>
      <c r="X287" s="8"/>
      <c r="Y287" s="8"/>
      <c r="Z287" s="8"/>
      <c r="AA287" s="8"/>
    </row>
    <row r="288" spans="1:27" ht="19.75">
      <c r="A288" s="8"/>
      <c r="B288" s="7"/>
      <c r="C288" s="8"/>
      <c r="D288" s="8"/>
      <c r="E288" s="11"/>
      <c r="F288" s="8"/>
      <c r="G288" s="8"/>
      <c r="H288" s="8"/>
      <c r="I288" s="8"/>
      <c r="J288" s="8"/>
      <c r="K288" s="8"/>
      <c r="L288" s="8"/>
      <c r="M288" s="8"/>
      <c r="N288" s="8"/>
      <c r="O288" s="8"/>
      <c r="P288" s="8"/>
      <c r="Q288" s="8"/>
      <c r="R288" s="8"/>
      <c r="S288" s="8"/>
      <c r="T288" s="8"/>
      <c r="U288" s="8"/>
      <c r="V288" s="8"/>
      <c r="W288" s="8"/>
      <c r="X288" s="8"/>
      <c r="Y288" s="8"/>
      <c r="Z288" s="8"/>
      <c r="AA288" s="8"/>
    </row>
    <row r="289" spans="1:27" ht="19.75">
      <c r="A289" s="8"/>
      <c r="B289" s="7"/>
      <c r="C289" s="8"/>
      <c r="D289" s="8"/>
      <c r="E289" s="11"/>
      <c r="F289" s="8"/>
      <c r="G289" s="8"/>
      <c r="H289" s="8"/>
      <c r="I289" s="8"/>
      <c r="J289" s="8"/>
      <c r="K289" s="8"/>
      <c r="L289" s="8"/>
      <c r="M289" s="8"/>
      <c r="N289" s="8"/>
      <c r="O289" s="8"/>
      <c r="P289" s="8"/>
      <c r="Q289" s="8"/>
      <c r="R289" s="8"/>
      <c r="S289" s="8"/>
      <c r="T289" s="8"/>
      <c r="U289" s="8"/>
      <c r="V289" s="8"/>
      <c r="W289" s="8"/>
      <c r="X289" s="8"/>
      <c r="Y289" s="8"/>
      <c r="Z289" s="8"/>
      <c r="AA289" s="8"/>
    </row>
    <row r="290" spans="1:27" ht="19.75">
      <c r="A290" s="8"/>
      <c r="B290" s="7"/>
      <c r="C290" s="8"/>
      <c r="D290" s="8"/>
      <c r="E290" s="11"/>
      <c r="F290" s="8"/>
      <c r="G290" s="8"/>
      <c r="H290" s="8"/>
      <c r="I290" s="8"/>
      <c r="J290" s="8"/>
      <c r="K290" s="8"/>
      <c r="L290" s="8"/>
      <c r="M290" s="8"/>
      <c r="N290" s="8"/>
      <c r="O290" s="8"/>
      <c r="P290" s="8"/>
      <c r="Q290" s="8"/>
      <c r="R290" s="8"/>
      <c r="S290" s="8"/>
      <c r="T290" s="8"/>
      <c r="U290" s="8"/>
      <c r="V290" s="8"/>
      <c r="W290" s="8"/>
      <c r="X290" s="8"/>
      <c r="Y290" s="8"/>
      <c r="Z290" s="8"/>
      <c r="AA290" s="8"/>
    </row>
    <row r="291" spans="1:27" ht="19.75">
      <c r="A291" s="8"/>
      <c r="B291" s="7"/>
      <c r="C291" s="8"/>
      <c r="D291" s="8"/>
      <c r="E291" s="11"/>
      <c r="F291" s="8"/>
      <c r="G291" s="8"/>
      <c r="H291" s="8"/>
      <c r="I291" s="8"/>
      <c r="J291" s="8"/>
      <c r="K291" s="8"/>
      <c r="L291" s="8"/>
      <c r="M291" s="8"/>
      <c r="N291" s="8"/>
      <c r="O291" s="8"/>
      <c r="P291" s="8"/>
      <c r="Q291" s="8"/>
      <c r="R291" s="8"/>
      <c r="S291" s="8"/>
      <c r="T291" s="8"/>
      <c r="U291" s="8"/>
      <c r="V291" s="8"/>
      <c r="W291" s="8"/>
      <c r="X291" s="8"/>
      <c r="Y291" s="8"/>
      <c r="Z291" s="8"/>
      <c r="AA291" s="8"/>
    </row>
    <row r="292" spans="1:27" ht="19.75">
      <c r="A292" s="8"/>
      <c r="B292" s="7"/>
      <c r="C292" s="8"/>
      <c r="D292" s="8"/>
      <c r="E292" s="11"/>
      <c r="F292" s="8"/>
      <c r="G292" s="8"/>
      <c r="H292" s="8"/>
      <c r="I292" s="8"/>
      <c r="J292" s="8"/>
      <c r="K292" s="8"/>
      <c r="L292" s="8"/>
      <c r="M292" s="8"/>
      <c r="N292" s="8"/>
      <c r="O292" s="8"/>
      <c r="P292" s="8"/>
      <c r="Q292" s="8"/>
      <c r="R292" s="8"/>
      <c r="S292" s="8"/>
      <c r="T292" s="8"/>
      <c r="U292" s="8"/>
      <c r="V292" s="8"/>
      <c r="W292" s="8"/>
      <c r="X292" s="8"/>
      <c r="Y292" s="8"/>
      <c r="Z292" s="8"/>
      <c r="AA292" s="8"/>
    </row>
    <row r="293" spans="1:27" ht="19.75">
      <c r="A293" s="8"/>
      <c r="B293" s="7"/>
      <c r="C293" s="8"/>
      <c r="D293" s="8"/>
      <c r="E293" s="11"/>
      <c r="F293" s="8"/>
      <c r="G293" s="8"/>
      <c r="H293" s="8"/>
      <c r="I293" s="8"/>
      <c r="J293" s="8"/>
      <c r="K293" s="8"/>
      <c r="L293" s="8"/>
      <c r="M293" s="8"/>
      <c r="N293" s="8"/>
      <c r="O293" s="8"/>
      <c r="P293" s="8"/>
      <c r="Q293" s="8"/>
      <c r="R293" s="8"/>
      <c r="S293" s="8"/>
      <c r="T293" s="8"/>
      <c r="U293" s="8"/>
      <c r="V293" s="8"/>
      <c r="W293" s="8"/>
      <c r="X293" s="8"/>
      <c r="Y293" s="8"/>
      <c r="Z293" s="8"/>
      <c r="AA293" s="8"/>
    </row>
    <row r="294" spans="1:27" ht="19.75">
      <c r="A294" s="8"/>
      <c r="B294" s="7"/>
      <c r="C294" s="8"/>
      <c r="D294" s="8"/>
      <c r="E294" s="11"/>
      <c r="F294" s="8"/>
      <c r="G294" s="8"/>
      <c r="H294" s="8"/>
      <c r="I294" s="8"/>
      <c r="J294" s="8"/>
      <c r="K294" s="8"/>
      <c r="L294" s="8"/>
      <c r="M294" s="8"/>
      <c r="N294" s="8"/>
      <c r="O294" s="8"/>
      <c r="P294" s="8"/>
      <c r="Q294" s="8"/>
      <c r="R294" s="8"/>
      <c r="S294" s="8"/>
      <c r="T294" s="8"/>
      <c r="U294" s="8"/>
      <c r="V294" s="8"/>
      <c r="W294" s="8"/>
      <c r="X294" s="8"/>
      <c r="Y294" s="8"/>
      <c r="Z294" s="8"/>
      <c r="AA294" s="8"/>
    </row>
    <row r="295" spans="1:27" ht="19.75">
      <c r="A295" s="8"/>
      <c r="B295" s="7"/>
      <c r="C295" s="8"/>
      <c r="D295" s="8"/>
      <c r="E295" s="11"/>
      <c r="F295" s="8"/>
      <c r="G295" s="8"/>
      <c r="H295" s="8"/>
      <c r="I295" s="8"/>
      <c r="J295" s="8"/>
      <c r="K295" s="8"/>
      <c r="L295" s="8"/>
      <c r="M295" s="8"/>
      <c r="N295" s="8"/>
      <c r="O295" s="8"/>
      <c r="P295" s="8"/>
      <c r="Q295" s="8"/>
      <c r="R295" s="8"/>
      <c r="S295" s="8"/>
      <c r="T295" s="8"/>
      <c r="U295" s="8"/>
      <c r="V295" s="8"/>
      <c r="W295" s="8"/>
      <c r="X295" s="8"/>
      <c r="Y295" s="8"/>
      <c r="Z295" s="8"/>
      <c r="AA295" s="8"/>
    </row>
    <row r="296" spans="1:27" ht="19.75">
      <c r="A296" s="8"/>
      <c r="B296" s="7"/>
      <c r="C296" s="8"/>
      <c r="D296" s="8"/>
      <c r="E296" s="11"/>
      <c r="F296" s="8"/>
      <c r="G296" s="8"/>
      <c r="H296" s="8"/>
      <c r="I296" s="8"/>
      <c r="J296" s="8"/>
      <c r="K296" s="8"/>
      <c r="L296" s="8"/>
      <c r="M296" s="8"/>
      <c r="N296" s="8"/>
      <c r="O296" s="8"/>
      <c r="P296" s="8"/>
      <c r="Q296" s="8"/>
      <c r="R296" s="8"/>
      <c r="S296" s="8"/>
      <c r="T296" s="8"/>
      <c r="U296" s="8"/>
      <c r="V296" s="8"/>
      <c r="W296" s="8"/>
      <c r="X296" s="8"/>
      <c r="Y296" s="8"/>
      <c r="Z296" s="8"/>
      <c r="AA296" s="8"/>
    </row>
    <row r="297" spans="1:27" ht="19.75">
      <c r="A297" s="8"/>
      <c r="B297" s="7"/>
      <c r="C297" s="8"/>
      <c r="D297" s="8"/>
      <c r="E297" s="11"/>
      <c r="F297" s="8"/>
      <c r="G297" s="8"/>
      <c r="H297" s="8"/>
      <c r="I297" s="8"/>
      <c r="J297" s="8"/>
      <c r="K297" s="8"/>
      <c r="L297" s="8"/>
      <c r="M297" s="8"/>
      <c r="N297" s="8"/>
      <c r="O297" s="8"/>
      <c r="P297" s="8"/>
      <c r="Q297" s="8"/>
      <c r="R297" s="8"/>
      <c r="S297" s="8"/>
      <c r="T297" s="8"/>
      <c r="U297" s="8"/>
      <c r="V297" s="8"/>
      <c r="W297" s="8"/>
      <c r="X297" s="8"/>
      <c r="Y297" s="8"/>
      <c r="Z297" s="8"/>
      <c r="AA297" s="8"/>
    </row>
    <row r="298" spans="1:27" ht="19.75">
      <c r="A298" s="8"/>
      <c r="B298" s="7"/>
      <c r="C298" s="8"/>
      <c r="D298" s="8"/>
      <c r="E298" s="11"/>
      <c r="F298" s="8"/>
      <c r="G298" s="8"/>
      <c r="H298" s="8"/>
      <c r="I298" s="8"/>
      <c r="J298" s="8"/>
      <c r="K298" s="8"/>
      <c r="L298" s="8"/>
      <c r="M298" s="8"/>
      <c r="N298" s="8"/>
      <c r="O298" s="8"/>
      <c r="P298" s="8"/>
      <c r="Q298" s="8"/>
      <c r="R298" s="8"/>
      <c r="S298" s="8"/>
      <c r="T298" s="8"/>
      <c r="U298" s="8"/>
      <c r="V298" s="8"/>
      <c r="W298" s="8"/>
      <c r="X298" s="8"/>
      <c r="Y298" s="8"/>
      <c r="Z298" s="8"/>
      <c r="AA298" s="8"/>
    </row>
    <row r="299" spans="1:27" ht="19.75">
      <c r="A299" s="8"/>
      <c r="B299" s="7"/>
      <c r="C299" s="8"/>
      <c r="D299" s="8"/>
      <c r="E299" s="11"/>
      <c r="F299" s="8"/>
      <c r="G299" s="8"/>
      <c r="H299" s="8"/>
      <c r="I299" s="8"/>
      <c r="J299" s="8"/>
      <c r="K299" s="8"/>
      <c r="L299" s="8"/>
      <c r="M299" s="8"/>
      <c r="N299" s="8"/>
      <c r="O299" s="8"/>
      <c r="P299" s="8"/>
      <c r="Q299" s="8"/>
      <c r="R299" s="8"/>
      <c r="S299" s="8"/>
      <c r="T299" s="8"/>
      <c r="U299" s="8"/>
      <c r="V299" s="8"/>
      <c r="W299" s="8"/>
      <c r="X299" s="8"/>
      <c r="Y299" s="8"/>
      <c r="Z299" s="8"/>
      <c r="AA299" s="8"/>
    </row>
    <row r="300" spans="1:27" ht="19.75">
      <c r="A300" s="8"/>
      <c r="B300" s="7"/>
      <c r="C300" s="8"/>
      <c r="D300" s="8"/>
      <c r="E300" s="11"/>
      <c r="F300" s="8"/>
      <c r="G300" s="8"/>
      <c r="H300" s="8"/>
      <c r="I300" s="8"/>
      <c r="J300" s="8"/>
      <c r="K300" s="8"/>
      <c r="L300" s="8"/>
      <c r="M300" s="8"/>
      <c r="N300" s="8"/>
      <c r="O300" s="8"/>
      <c r="P300" s="8"/>
      <c r="Q300" s="8"/>
      <c r="R300" s="8"/>
      <c r="S300" s="8"/>
      <c r="T300" s="8"/>
      <c r="U300" s="8"/>
      <c r="V300" s="8"/>
      <c r="W300" s="8"/>
      <c r="X300" s="8"/>
      <c r="Y300" s="8"/>
      <c r="Z300" s="8"/>
      <c r="AA300" s="8"/>
    </row>
    <row r="301" spans="1:27" ht="19.75">
      <c r="A301" s="8"/>
      <c r="B301" s="7"/>
      <c r="C301" s="8"/>
      <c r="D301" s="8"/>
      <c r="E301" s="11"/>
      <c r="F301" s="8"/>
      <c r="G301" s="8"/>
      <c r="H301" s="8"/>
      <c r="I301" s="8"/>
      <c r="J301" s="8"/>
      <c r="K301" s="8"/>
      <c r="L301" s="8"/>
      <c r="M301" s="8"/>
      <c r="N301" s="8"/>
      <c r="O301" s="8"/>
      <c r="P301" s="8"/>
      <c r="Q301" s="8"/>
      <c r="R301" s="8"/>
      <c r="S301" s="8"/>
      <c r="T301" s="8"/>
      <c r="U301" s="8"/>
      <c r="V301" s="8"/>
      <c r="W301" s="8"/>
      <c r="X301" s="8"/>
      <c r="Y301" s="8"/>
      <c r="Z301" s="8"/>
      <c r="AA301" s="8"/>
    </row>
    <row r="302" spans="1:27" ht="19.75">
      <c r="A302" s="8"/>
      <c r="B302" s="7"/>
      <c r="C302" s="8"/>
      <c r="D302" s="8"/>
      <c r="E302" s="11"/>
      <c r="F302" s="8"/>
      <c r="G302" s="8"/>
      <c r="H302" s="8"/>
      <c r="I302" s="8"/>
      <c r="J302" s="8"/>
      <c r="K302" s="8"/>
      <c r="L302" s="8"/>
      <c r="M302" s="8"/>
      <c r="N302" s="8"/>
      <c r="O302" s="8"/>
      <c r="P302" s="8"/>
      <c r="Q302" s="8"/>
      <c r="R302" s="8"/>
      <c r="S302" s="8"/>
      <c r="T302" s="8"/>
      <c r="U302" s="8"/>
      <c r="V302" s="8"/>
      <c r="W302" s="8"/>
      <c r="X302" s="8"/>
      <c r="Y302" s="8"/>
      <c r="Z302" s="8"/>
      <c r="AA302" s="8"/>
    </row>
    <row r="303" spans="1:27" ht="19.75">
      <c r="A303" s="8"/>
      <c r="B303" s="7"/>
      <c r="C303" s="8"/>
      <c r="D303" s="8"/>
      <c r="E303" s="11"/>
      <c r="F303" s="8"/>
      <c r="G303" s="8"/>
      <c r="H303" s="8"/>
      <c r="I303" s="8"/>
      <c r="J303" s="8"/>
      <c r="K303" s="8"/>
      <c r="L303" s="8"/>
      <c r="M303" s="8"/>
      <c r="N303" s="8"/>
      <c r="O303" s="8"/>
      <c r="P303" s="8"/>
      <c r="Q303" s="8"/>
      <c r="R303" s="8"/>
      <c r="S303" s="8"/>
      <c r="T303" s="8"/>
      <c r="U303" s="8"/>
      <c r="V303" s="8"/>
      <c r="W303" s="8"/>
      <c r="X303" s="8"/>
      <c r="Y303" s="8"/>
      <c r="Z303" s="8"/>
      <c r="AA303" s="8"/>
    </row>
    <row r="304" spans="1:27" ht="19.75">
      <c r="A304" s="8"/>
      <c r="B304" s="7"/>
      <c r="C304" s="8"/>
      <c r="D304" s="8"/>
      <c r="E304" s="11"/>
      <c r="F304" s="8"/>
      <c r="G304" s="8"/>
      <c r="H304" s="8"/>
      <c r="I304" s="8"/>
      <c r="J304" s="8"/>
      <c r="K304" s="8"/>
      <c r="L304" s="8"/>
      <c r="M304" s="8"/>
      <c r="N304" s="8"/>
      <c r="O304" s="8"/>
      <c r="P304" s="8"/>
      <c r="Q304" s="8"/>
      <c r="R304" s="8"/>
      <c r="S304" s="8"/>
      <c r="T304" s="8"/>
      <c r="U304" s="8"/>
      <c r="V304" s="8"/>
      <c r="W304" s="8"/>
      <c r="X304" s="8"/>
      <c r="Y304" s="8"/>
      <c r="Z304" s="8"/>
      <c r="AA304" s="8"/>
    </row>
    <row r="305" spans="1:27" ht="19.75">
      <c r="A305" s="8"/>
      <c r="B305" s="7"/>
      <c r="C305" s="8"/>
      <c r="D305" s="8"/>
      <c r="E305" s="11"/>
      <c r="F305" s="8"/>
      <c r="G305" s="8"/>
      <c r="H305" s="8"/>
      <c r="I305" s="8"/>
      <c r="J305" s="8"/>
      <c r="K305" s="8"/>
      <c r="L305" s="8"/>
      <c r="M305" s="8"/>
      <c r="N305" s="8"/>
      <c r="O305" s="8"/>
      <c r="P305" s="8"/>
      <c r="Q305" s="8"/>
      <c r="R305" s="8"/>
      <c r="S305" s="8"/>
      <c r="T305" s="8"/>
      <c r="U305" s="8"/>
      <c r="V305" s="8"/>
      <c r="W305" s="8"/>
      <c r="X305" s="8"/>
      <c r="Y305" s="8"/>
      <c r="Z305" s="8"/>
      <c r="AA305" s="8"/>
    </row>
    <row r="306" spans="1:27" ht="19.75">
      <c r="A306" s="8"/>
      <c r="B306" s="7"/>
      <c r="C306" s="8"/>
      <c r="D306" s="8"/>
      <c r="E306" s="11"/>
      <c r="F306" s="8"/>
      <c r="G306" s="8"/>
      <c r="H306" s="8"/>
      <c r="I306" s="8"/>
      <c r="J306" s="8"/>
      <c r="K306" s="8"/>
      <c r="L306" s="8"/>
      <c r="M306" s="8"/>
      <c r="N306" s="8"/>
      <c r="O306" s="8"/>
      <c r="P306" s="8"/>
      <c r="Q306" s="8"/>
      <c r="R306" s="8"/>
      <c r="S306" s="8"/>
      <c r="T306" s="8"/>
      <c r="U306" s="8"/>
      <c r="V306" s="8"/>
      <c r="W306" s="8"/>
      <c r="X306" s="8"/>
      <c r="Y306" s="8"/>
      <c r="Z306" s="8"/>
      <c r="AA306" s="8"/>
    </row>
    <row r="307" spans="1:27" ht="19.75">
      <c r="A307" s="8"/>
      <c r="B307" s="7"/>
      <c r="C307" s="8"/>
      <c r="D307" s="8"/>
      <c r="E307" s="11"/>
      <c r="F307" s="8"/>
      <c r="G307" s="8"/>
      <c r="H307" s="8"/>
      <c r="I307" s="8"/>
      <c r="J307" s="8"/>
      <c r="K307" s="8"/>
      <c r="L307" s="8"/>
      <c r="M307" s="8"/>
      <c r="N307" s="8"/>
      <c r="O307" s="8"/>
      <c r="P307" s="8"/>
      <c r="Q307" s="8"/>
      <c r="R307" s="8"/>
      <c r="S307" s="8"/>
      <c r="T307" s="8"/>
      <c r="U307" s="8"/>
      <c r="V307" s="8"/>
      <c r="W307" s="8"/>
      <c r="X307" s="8"/>
      <c r="Y307" s="8"/>
      <c r="Z307" s="8"/>
      <c r="AA307" s="8"/>
    </row>
    <row r="308" spans="1:27" ht="19.75">
      <c r="A308" s="8"/>
      <c r="B308" s="7"/>
      <c r="C308" s="8"/>
      <c r="D308" s="8"/>
      <c r="E308" s="11"/>
      <c r="F308" s="8"/>
      <c r="G308" s="8"/>
      <c r="H308" s="8"/>
      <c r="I308" s="8"/>
      <c r="J308" s="8"/>
      <c r="K308" s="8"/>
      <c r="L308" s="8"/>
      <c r="M308" s="8"/>
      <c r="N308" s="8"/>
      <c r="O308" s="8"/>
      <c r="P308" s="8"/>
      <c r="Q308" s="8"/>
      <c r="R308" s="8"/>
      <c r="S308" s="8"/>
      <c r="T308" s="8"/>
      <c r="U308" s="8"/>
      <c r="V308" s="8"/>
      <c r="W308" s="8"/>
      <c r="X308" s="8"/>
      <c r="Y308" s="8"/>
      <c r="Z308" s="8"/>
      <c r="AA308" s="8"/>
    </row>
    <row r="309" spans="1:27" ht="19.75">
      <c r="A309" s="8"/>
      <c r="B309" s="7"/>
      <c r="C309" s="8"/>
      <c r="D309" s="8"/>
      <c r="E309" s="11"/>
      <c r="F309" s="8"/>
      <c r="G309" s="8"/>
      <c r="H309" s="8"/>
      <c r="I309" s="8"/>
      <c r="J309" s="8"/>
      <c r="K309" s="8"/>
      <c r="L309" s="8"/>
      <c r="M309" s="8"/>
      <c r="N309" s="8"/>
      <c r="O309" s="8"/>
      <c r="P309" s="8"/>
      <c r="Q309" s="8"/>
      <c r="R309" s="8"/>
      <c r="S309" s="8"/>
      <c r="T309" s="8"/>
      <c r="U309" s="8"/>
      <c r="V309" s="8"/>
      <c r="W309" s="8"/>
      <c r="X309" s="8"/>
      <c r="Y309" s="8"/>
      <c r="Z309" s="8"/>
      <c r="AA309" s="8"/>
    </row>
    <row r="310" spans="1:27" ht="19.75">
      <c r="A310" s="8"/>
      <c r="B310" s="7"/>
      <c r="C310" s="8"/>
      <c r="D310" s="8"/>
      <c r="E310" s="11"/>
      <c r="F310" s="8"/>
      <c r="G310" s="8"/>
      <c r="H310" s="8"/>
      <c r="I310" s="8"/>
      <c r="J310" s="8"/>
      <c r="K310" s="8"/>
      <c r="L310" s="8"/>
      <c r="M310" s="8"/>
      <c r="N310" s="8"/>
      <c r="O310" s="8"/>
      <c r="P310" s="8"/>
      <c r="Q310" s="8"/>
      <c r="R310" s="8"/>
      <c r="S310" s="8"/>
      <c r="T310" s="8"/>
      <c r="U310" s="8"/>
      <c r="V310" s="8"/>
      <c r="W310" s="8"/>
      <c r="X310" s="8"/>
      <c r="Y310" s="8"/>
      <c r="Z310" s="8"/>
      <c r="AA310" s="8"/>
    </row>
    <row r="311" spans="1:27" ht="19.75">
      <c r="A311" s="8"/>
      <c r="B311" s="7"/>
      <c r="C311" s="8"/>
      <c r="D311" s="8"/>
      <c r="E311" s="11"/>
      <c r="F311" s="8"/>
      <c r="G311" s="8"/>
      <c r="H311" s="8"/>
      <c r="I311" s="8"/>
      <c r="J311" s="8"/>
      <c r="K311" s="8"/>
      <c r="L311" s="8"/>
      <c r="M311" s="8"/>
      <c r="N311" s="8"/>
      <c r="O311" s="8"/>
      <c r="P311" s="8"/>
      <c r="Q311" s="8"/>
      <c r="R311" s="8"/>
      <c r="S311" s="8"/>
      <c r="T311" s="8"/>
      <c r="U311" s="8"/>
      <c r="V311" s="8"/>
      <c r="W311" s="8"/>
      <c r="X311" s="8"/>
      <c r="Y311" s="8"/>
      <c r="Z311" s="8"/>
      <c r="AA311" s="8"/>
    </row>
    <row r="312" spans="1:27" ht="19.75">
      <c r="A312" s="8"/>
      <c r="B312" s="7"/>
      <c r="C312" s="8"/>
      <c r="D312" s="8"/>
      <c r="E312" s="11"/>
      <c r="F312" s="8"/>
      <c r="G312" s="8"/>
      <c r="H312" s="8"/>
      <c r="I312" s="8"/>
      <c r="J312" s="8"/>
      <c r="K312" s="8"/>
      <c r="L312" s="8"/>
      <c r="M312" s="8"/>
      <c r="N312" s="8"/>
      <c r="O312" s="8"/>
      <c r="P312" s="8"/>
      <c r="Q312" s="8"/>
      <c r="R312" s="8"/>
      <c r="S312" s="8"/>
      <c r="T312" s="8"/>
      <c r="U312" s="8"/>
      <c r="V312" s="8"/>
      <c r="W312" s="8"/>
      <c r="X312" s="8"/>
      <c r="Y312" s="8"/>
      <c r="Z312" s="8"/>
      <c r="AA312" s="8"/>
    </row>
    <row r="313" spans="1:27" ht="19.75">
      <c r="A313" s="8"/>
      <c r="B313" s="7"/>
      <c r="C313" s="8"/>
      <c r="D313" s="8"/>
      <c r="E313" s="11"/>
      <c r="F313" s="8"/>
      <c r="G313" s="8"/>
      <c r="H313" s="8"/>
      <c r="I313" s="8"/>
      <c r="J313" s="8"/>
      <c r="K313" s="8"/>
      <c r="L313" s="8"/>
      <c r="M313" s="8"/>
      <c r="N313" s="8"/>
      <c r="O313" s="8"/>
      <c r="P313" s="8"/>
      <c r="Q313" s="8"/>
      <c r="R313" s="8"/>
      <c r="S313" s="8"/>
      <c r="T313" s="8"/>
      <c r="U313" s="8"/>
      <c r="V313" s="8"/>
      <c r="W313" s="8"/>
      <c r="X313" s="8"/>
      <c r="Y313" s="8"/>
      <c r="Z313" s="8"/>
      <c r="AA313" s="8"/>
    </row>
    <row r="314" spans="1:27" ht="19.75">
      <c r="A314" s="8"/>
      <c r="B314" s="7"/>
      <c r="C314" s="8"/>
      <c r="D314" s="8"/>
      <c r="E314" s="11"/>
      <c r="F314" s="8"/>
      <c r="G314" s="8"/>
      <c r="H314" s="8"/>
      <c r="I314" s="8"/>
      <c r="J314" s="8"/>
      <c r="K314" s="8"/>
      <c r="L314" s="8"/>
      <c r="M314" s="8"/>
      <c r="N314" s="8"/>
      <c r="O314" s="8"/>
      <c r="P314" s="8"/>
      <c r="Q314" s="8"/>
      <c r="R314" s="8"/>
      <c r="S314" s="8"/>
      <c r="T314" s="8"/>
      <c r="U314" s="8"/>
      <c r="V314" s="8"/>
      <c r="W314" s="8"/>
      <c r="X314" s="8"/>
      <c r="Y314" s="8"/>
      <c r="Z314" s="8"/>
      <c r="AA314" s="8"/>
    </row>
    <row r="315" spans="1:27" ht="19.75">
      <c r="A315" s="8"/>
      <c r="B315" s="7"/>
      <c r="C315" s="8"/>
      <c r="D315" s="8"/>
      <c r="E315" s="11"/>
      <c r="F315" s="8"/>
      <c r="G315" s="8"/>
      <c r="H315" s="8"/>
      <c r="I315" s="8"/>
      <c r="J315" s="8"/>
      <c r="K315" s="8"/>
      <c r="L315" s="8"/>
      <c r="M315" s="8"/>
      <c r="N315" s="8"/>
      <c r="O315" s="8"/>
      <c r="P315" s="8"/>
      <c r="Q315" s="8"/>
      <c r="R315" s="8"/>
      <c r="S315" s="8"/>
      <c r="T315" s="8"/>
      <c r="U315" s="8"/>
      <c r="V315" s="8"/>
      <c r="W315" s="8"/>
      <c r="X315" s="8"/>
      <c r="Y315" s="8"/>
      <c r="Z315" s="8"/>
      <c r="AA315" s="8"/>
    </row>
    <row r="316" spans="1:27" ht="19.75">
      <c r="A316" s="8"/>
      <c r="B316" s="7"/>
      <c r="C316" s="8"/>
      <c r="D316" s="8"/>
      <c r="E316" s="11"/>
      <c r="F316" s="8"/>
      <c r="G316" s="8"/>
      <c r="H316" s="8"/>
      <c r="I316" s="8"/>
      <c r="J316" s="8"/>
      <c r="K316" s="8"/>
      <c r="L316" s="8"/>
      <c r="M316" s="8"/>
      <c r="N316" s="8"/>
      <c r="O316" s="8"/>
      <c r="P316" s="8"/>
      <c r="Q316" s="8"/>
      <c r="R316" s="8"/>
      <c r="S316" s="8"/>
      <c r="T316" s="8"/>
      <c r="U316" s="8"/>
      <c r="V316" s="8"/>
      <c r="W316" s="8"/>
      <c r="X316" s="8"/>
      <c r="Y316" s="8"/>
      <c r="Z316" s="8"/>
      <c r="AA316" s="8"/>
    </row>
    <row r="317" spans="1:27" ht="19.75">
      <c r="A317" s="8"/>
      <c r="B317" s="7"/>
      <c r="C317" s="8"/>
      <c r="D317" s="8"/>
      <c r="E317" s="11"/>
      <c r="F317" s="8"/>
      <c r="G317" s="8"/>
      <c r="H317" s="8"/>
      <c r="I317" s="8"/>
      <c r="J317" s="8"/>
      <c r="K317" s="8"/>
      <c r="L317" s="8"/>
      <c r="M317" s="8"/>
      <c r="N317" s="8"/>
      <c r="O317" s="8"/>
      <c r="P317" s="8"/>
      <c r="Q317" s="8"/>
      <c r="R317" s="8"/>
      <c r="S317" s="8"/>
      <c r="T317" s="8"/>
      <c r="U317" s="8"/>
      <c r="V317" s="8"/>
      <c r="W317" s="8"/>
      <c r="X317" s="8"/>
      <c r="Y317" s="8"/>
      <c r="Z317" s="8"/>
      <c r="AA317" s="8"/>
    </row>
    <row r="318" spans="1:27" ht="19.75">
      <c r="A318" s="8"/>
      <c r="B318" s="7"/>
      <c r="C318" s="8"/>
      <c r="D318" s="8"/>
      <c r="E318" s="11"/>
      <c r="F318" s="8"/>
      <c r="G318" s="8"/>
      <c r="H318" s="8"/>
      <c r="I318" s="8"/>
      <c r="J318" s="8"/>
      <c r="K318" s="8"/>
      <c r="L318" s="8"/>
      <c r="M318" s="8"/>
      <c r="N318" s="8"/>
      <c r="O318" s="8"/>
      <c r="P318" s="8"/>
      <c r="Q318" s="8"/>
      <c r="R318" s="8"/>
      <c r="S318" s="8"/>
      <c r="T318" s="8"/>
      <c r="U318" s="8"/>
      <c r="V318" s="8"/>
      <c r="W318" s="8"/>
      <c r="X318" s="8"/>
      <c r="Y318" s="8"/>
      <c r="Z318" s="8"/>
      <c r="AA318" s="8"/>
    </row>
    <row r="319" spans="1:27" ht="19.75">
      <c r="A319" s="8"/>
      <c r="B319" s="7"/>
      <c r="C319" s="8"/>
      <c r="D319" s="8"/>
      <c r="E319" s="11"/>
      <c r="F319" s="8"/>
      <c r="G319" s="8"/>
      <c r="H319" s="8"/>
      <c r="I319" s="8"/>
      <c r="J319" s="8"/>
      <c r="K319" s="8"/>
      <c r="L319" s="8"/>
      <c r="M319" s="8"/>
      <c r="N319" s="8"/>
      <c r="O319" s="8"/>
      <c r="P319" s="8"/>
      <c r="Q319" s="8"/>
      <c r="R319" s="8"/>
      <c r="S319" s="8"/>
      <c r="T319" s="8"/>
      <c r="U319" s="8"/>
      <c r="V319" s="8"/>
      <c r="W319" s="8"/>
      <c r="X319" s="8"/>
      <c r="Y319" s="8"/>
      <c r="Z319" s="8"/>
      <c r="AA319" s="8"/>
    </row>
    <row r="320" spans="1:27" ht="19.75">
      <c r="A320" s="8"/>
      <c r="B320" s="7"/>
      <c r="C320" s="8"/>
      <c r="D320" s="8"/>
      <c r="E320" s="11"/>
      <c r="F320" s="8"/>
      <c r="G320" s="8"/>
      <c r="H320" s="8"/>
      <c r="I320" s="8"/>
      <c r="J320" s="8"/>
      <c r="K320" s="8"/>
      <c r="L320" s="8"/>
      <c r="M320" s="8"/>
      <c r="N320" s="8"/>
      <c r="O320" s="8"/>
      <c r="P320" s="8"/>
      <c r="Q320" s="8"/>
      <c r="R320" s="8"/>
      <c r="S320" s="8"/>
      <c r="T320" s="8"/>
      <c r="U320" s="8"/>
      <c r="V320" s="8"/>
      <c r="W320" s="8"/>
      <c r="X320" s="8"/>
      <c r="Y320" s="8"/>
      <c r="Z320" s="8"/>
      <c r="AA320" s="8"/>
    </row>
    <row r="321" spans="1:27" ht="19.75">
      <c r="A321" s="8"/>
      <c r="B321" s="7"/>
      <c r="C321" s="8"/>
      <c r="D321" s="8"/>
      <c r="E321" s="11"/>
      <c r="F321" s="8"/>
      <c r="G321" s="8"/>
      <c r="H321" s="8"/>
      <c r="I321" s="8"/>
      <c r="J321" s="8"/>
      <c r="K321" s="8"/>
      <c r="L321" s="8"/>
      <c r="M321" s="8"/>
      <c r="N321" s="8"/>
      <c r="O321" s="8"/>
      <c r="P321" s="8"/>
      <c r="Q321" s="8"/>
      <c r="R321" s="8"/>
      <c r="S321" s="8"/>
      <c r="T321" s="8"/>
      <c r="U321" s="8"/>
      <c r="V321" s="8"/>
      <c r="W321" s="8"/>
      <c r="X321" s="8"/>
      <c r="Y321" s="8"/>
      <c r="Z321" s="8"/>
      <c r="AA321" s="8"/>
    </row>
    <row r="322" spans="1:27" ht="19.75">
      <c r="A322" s="8"/>
      <c r="B322" s="7"/>
      <c r="C322" s="8"/>
      <c r="D322" s="8"/>
      <c r="E322" s="11"/>
      <c r="F322" s="8"/>
      <c r="G322" s="8"/>
      <c r="H322" s="8"/>
      <c r="I322" s="8"/>
      <c r="J322" s="8"/>
      <c r="K322" s="8"/>
      <c r="L322" s="8"/>
      <c r="M322" s="8"/>
      <c r="N322" s="8"/>
      <c r="O322" s="8"/>
      <c r="P322" s="8"/>
      <c r="Q322" s="8"/>
      <c r="R322" s="8"/>
      <c r="S322" s="8"/>
      <c r="T322" s="8"/>
      <c r="U322" s="8"/>
      <c r="V322" s="8"/>
      <c r="W322" s="8"/>
      <c r="X322" s="8"/>
      <c r="Y322" s="8"/>
      <c r="Z322" s="8"/>
      <c r="AA322" s="8"/>
    </row>
    <row r="323" spans="1:27" ht="19.75">
      <c r="A323" s="8"/>
      <c r="B323" s="7"/>
      <c r="C323" s="8"/>
      <c r="D323" s="8"/>
      <c r="E323" s="11"/>
      <c r="F323" s="8"/>
      <c r="G323" s="8"/>
      <c r="H323" s="8"/>
      <c r="I323" s="8"/>
      <c r="J323" s="8"/>
      <c r="K323" s="8"/>
      <c r="L323" s="8"/>
      <c r="M323" s="8"/>
      <c r="N323" s="8"/>
      <c r="O323" s="8"/>
      <c r="P323" s="8"/>
      <c r="Q323" s="8"/>
      <c r="R323" s="8"/>
      <c r="S323" s="8"/>
      <c r="T323" s="8"/>
      <c r="U323" s="8"/>
      <c r="V323" s="8"/>
      <c r="W323" s="8"/>
      <c r="X323" s="8"/>
      <c r="Y323" s="8"/>
      <c r="Z323" s="8"/>
      <c r="AA323" s="8"/>
    </row>
    <row r="324" spans="1:27" ht="19.75">
      <c r="A324" s="8"/>
      <c r="B324" s="7"/>
      <c r="C324" s="8"/>
      <c r="D324" s="8"/>
      <c r="E324" s="11"/>
      <c r="F324" s="8"/>
      <c r="G324" s="8"/>
      <c r="H324" s="8"/>
      <c r="I324" s="8"/>
      <c r="J324" s="8"/>
      <c r="K324" s="8"/>
      <c r="L324" s="8"/>
      <c r="M324" s="8"/>
      <c r="N324" s="8"/>
      <c r="O324" s="8"/>
      <c r="P324" s="8"/>
      <c r="Q324" s="8"/>
      <c r="R324" s="8"/>
      <c r="S324" s="8"/>
      <c r="T324" s="8"/>
      <c r="U324" s="8"/>
      <c r="V324" s="8"/>
      <c r="W324" s="8"/>
      <c r="X324" s="8"/>
      <c r="Y324" s="8"/>
      <c r="Z324" s="8"/>
      <c r="AA324" s="8"/>
    </row>
    <row r="325" spans="1:27" ht="19.75">
      <c r="A325" s="8"/>
      <c r="B325" s="7"/>
      <c r="C325" s="8"/>
      <c r="D325" s="8"/>
      <c r="E325" s="11"/>
      <c r="F325" s="8"/>
      <c r="G325" s="8"/>
      <c r="H325" s="8"/>
      <c r="I325" s="8"/>
      <c r="J325" s="8"/>
      <c r="K325" s="8"/>
      <c r="L325" s="8"/>
      <c r="M325" s="8"/>
      <c r="N325" s="8"/>
      <c r="O325" s="8"/>
      <c r="P325" s="8"/>
      <c r="Q325" s="8"/>
      <c r="R325" s="8"/>
      <c r="S325" s="8"/>
      <c r="T325" s="8"/>
      <c r="U325" s="8"/>
      <c r="V325" s="8"/>
      <c r="W325" s="8"/>
      <c r="X325" s="8"/>
      <c r="Y325" s="8"/>
      <c r="Z325" s="8"/>
      <c r="AA325" s="8"/>
    </row>
    <row r="326" spans="1:27" ht="19.75">
      <c r="A326" s="8"/>
      <c r="B326" s="7"/>
      <c r="C326" s="8"/>
      <c r="D326" s="8"/>
      <c r="E326" s="11"/>
      <c r="F326" s="8"/>
      <c r="G326" s="8"/>
      <c r="H326" s="8"/>
      <c r="I326" s="8"/>
      <c r="J326" s="8"/>
      <c r="K326" s="8"/>
      <c r="L326" s="8"/>
      <c r="M326" s="8"/>
      <c r="N326" s="8"/>
      <c r="O326" s="8"/>
      <c r="P326" s="8"/>
      <c r="Q326" s="8"/>
      <c r="R326" s="8"/>
      <c r="S326" s="8"/>
      <c r="T326" s="8"/>
      <c r="U326" s="8"/>
      <c r="V326" s="8"/>
      <c r="W326" s="8"/>
      <c r="X326" s="8"/>
      <c r="Y326" s="8"/>
      <c r="Z326" s="8"/>
      <c r="AA326" s="8"/>
    </row>
    <row r="327" spans="1:27" ht="19.75">
      <c r="A327" s="8"/>
      <c r="B327" s="7"/>
      <c r="C327" s="8"/>
      <c r="D327" s="8"/>
      <c r="E327" s="11"/>
      <c r="F327" s="8"/>
      <c r="G327" s="8"/>
      <c r="H327" s="8"/>
      <c r="I327" s="8"/>
      <c r="J327" s="8"/>
      <c r="K327" s="8"/>
      <c r="L327" s="8"/>
      <c r="M327" s="8"/>
      <c r="N327" s="8"/>
      <c r="O327" s="8"/>
      <c r="P327" s="8"/>
      <c r="Q327" s="8"/>
      <c r="R327" s="8"/>
      <c r="S327" s="8"/>
      <c r="T327" s="8"/>
      <c r="U327" s="8"/>
      <c r="V327" s="8"/>
      <c r="W327" s="8"/>
      <c r="X327" s="8"/>
      <c r="Y327" s="8"/>
      <c r="Z327" s="8"/>
      <c r="AA327" s="8"/>
    </row>
    <row r="328" spans="1:27" ht="19.75">
      <c r="A328" s="8"/>
      <c r="B328" s="7"/>
      <c r="C328" s="8"/>
      <c r="D328" s="8"/>
      <c r="E328" s="11"/>
      <c r="F328" s="8"/>
      <c r="G328" s="8"/>
      <c r="H328" s="8"/>
      <c r="I328" s="8"/>
      <c r="J328" s="8"/>
      <c r="K328" s="8"/>
      <c r="L328" s="8"/>
      <c r="M328" s="8"/>
      <c r="N328" s="8"/>
      <c r="O328" s="8"/>
      <c r="P328" s="8"/>
      <c r="Q328" s="8"/>
      <c r="R328" s="8"/>
      <c r="S328" s="8"/>
      <c r="T328" s="8"/>
      <c r="U328" s="8"/>
      <c r="V328" s="8"/>
      <c r="W328" s="8"/>
      <c r="X328" s="8"/>
      <c r="Y328" s="8"/>
      <c r="Z328" s="8"/>
      <c r="AA328" s="8"/>
    </row>
    <row r="329" spans="1:27" ht="19.75">
      <c r="A329" s="8"/>
      <c r="B329" s="7"/>
      <c r="C329" s="8"/>
      <c r="D329" s="8"/>
      <c r="E329" s="11"/>
      <c r="F329" s="8"/>
      <c r="G329" s="8"/>
      <c r="H329" s="8"/>
      <c r="I329" s="8"/>
      <c r="J329" s="8"/>
      <c r="K329" s="8"/>
      <c r="L329" s="8"/>
      <c r="M329" s="8"/>
      <c r="N329" s="8"/>
      <c r="O329" s="8"/>
      <c r="P329" s="8"/>
      <c r="Q329" s="8"/>
      <c r="R329" s="8"/>
      <c r="S329" s="8"/>
      <c r="T329" s="8"/>
      <c r="U329" s="8"/>
      <c r="V329" s="8"/>
      <c r="W329" s="8"/>
      <c r="X329" s="8"/>
      <c r="Y329" s="8"/>
      <c r="Z329" s="8"/>
      <c r="AA329" s="8"/>
    </row>
    <row r="330" spans="1:27" ht="19.75">
      <c r="A330" s="8"/>
      <c r="B330" s="7"/>
      <c r="C330" s="8"/>
      <c r="D330" s="8"/>
      <c r="E330" s="11"/>
      <c r="F330" s="8"/>
      <c r="G330" s="8"/>
      <c r="H330" s="8"/>
      <c r="I330" s="8"/>
      <c r="J330" s="8"/>
      <c r="K330" s="8"/>
      <c r="L330" s="8"/>
      <c r="M330" s="8"/>
      <c r="N330" s="8"/>
      <c r="O330" s="8"/>
      <c r="P330" s="8"/>
      <c r="Q330" s="8"/>
      <c r="R330" s="8"/>
      <c r="S330" s="8"/>
      <c r="T330" s="8"/>
      <c r="U330" s="8"/>
      <c r="V330" s="8"/>
      <c r="W330" s="8"/>
      <c r="X330" s="8"/>
      <c r="Y330" s="8"/>
      <c r="Z330" s="8"/>
      <c r="AA330" s="8"/>
    </row>
    <row r="331" spans="1:27" ht="19.75">
      <c r="A331" s="8"/>
      <c r="B331" s="7"/>
      <c r="C331" s="8"/>
      <c r="D331" s="8"/>
      <c r="E331" s="11"/>
      <c r="F331" s="8"/>
      <c r="G331" s="8"/>
      <c r="H331" s="8"/>
      <c r="I331" s="8"/>
      <c r="J331" s="8"/>
      <c r="K331" s="8"/>
      <c r="L331" s="8"/>
      <c r="M331" s="8"/>
      <c r="N331" s="8"/>
      <c r="O331" s="8"/>
      <c r="P331" s="8"/>
      <c r="Q331" s="8"/>
      <c r="R331" s="8"/>
      <c r="S331" s="8"/>
      <c r="T331" s="8"/>
      <c r="U331" s="8"/>
      <c r="V331" s="8"/>
      <c r="W331" s="8"/>
      <c r="X331" s="8"/>
      <c r="Y331" s="8"/>
      <c r="Z331" s="8"/>
      <c r="AA331" s="8"/>
    </row>
    <row r="332" spans="1:27" ht="19.75">
      <c r="A332" s="8"/>
      <c r="B332" s="7"/>
      <c r="C332" s="8"/>
      <c r="D332" s="8"/>
      <c r="E332" s="11"/>
      <c r="F332" s="8"/>
      <c r="G332" s="8"/>
      <c r="H332" s="8"/>
      <c r="I332" s="8"/>
      <c r="J332" s="8"/>
      <c r="K332" s="8"/>
      <c r="L332" s="8"/>
      <c r="M332" s="8"/>
      <c r="N332" s="8"/>
      <c r="O332" s="8"/>
      <c r="P332" s="8"/>
      <c r="Q332" s="8"/>
      <c r="R332" s="8"/>
      <c r="S332" s="8"/>
      <c r="T332" s="8"/>
      <c r="U332" s="8"/>
      <c r="V332" s="8"/>
      <c r="W332" s="8"/>
      <c r="X332" s="8"/>
      <c r="Y332" s="8"/>
      <c r="Z332" s="8"/>
      <c r="AA332" s="8"/>
    </row>
    <row r="333" spans="1:27" ht="19.75">
      <c r="A333" s="8"/>
      <c r="B333" s="7"/>
      <c r="C333" s="8"/>
      <c r="D333" s="8"/>
      <c r="E333" s="11"/>
      <c r="F333" s="8"/>
      <c r="G333" s="8"/>
      <c r="H333" s="8"/>
      <c r="I333" s="8"/>
      <c r="J333" s="8"/>
      <c r="K333" s="8"/>
      <c r="L333" s="8"/>
      <c r="M333" s="8"/>
      <c r="N333" s="8"/>
      <c r="O333" s="8"/>
      <c r="P333" s="8"/>
      <c r="Q333" s="8"/>
      <c r="R333" s="8"/>
      <c r="S333" s="8"/>
      <c r="T333" s="8"/>
      <c r="U333" s="8"/>
      <c r="V333" s="8"/>
      <c r="W333" s="8"/>
      <c r="X333" s="8"/>
      <c r="Y333" s="8"/>
      <c r="Z333" s="8"/>
      <c r="AA333" s="8"/>
    </row>
    <row r="334" spans="1:27" ht="19.75">
      <c r="A334" s="8"/>
      <c r="B334" s="7"/>
      <c r="C334" s="8"/>
      <c r="D334" s="8"/>
      <c r="E334" s="11"/>
      <c r="F334" s="8"/>
      <c r="G334" s="8"/>
      <c r="H334" s="8"/>
      <c r="I334" s="8"/>
      <c r="J334" s="8"/>
      <c r="K334" s="8"/>
      <c r="L334" s="8"/>
      <c r="M334" s="8"/>
      <c r="N334" s="8"/>
      <c r="O334" s="8"/>
      <c r="P334" s="8"/>
      <c r="Q334" s="8"/>
      <c r="R334" s="8"/>
      <c r="S334" s="8"/>
      <c r="T334" s="8"/>
      <c r="U334" s="8"/>
      <c r="V334" s="8"/>
      <c r="W334" s="8"/>
      <c r="X334" s="8"/>
      <c r="Y334" s="8"/>
      <c r="Z334" s="8"/>
      <c r="AA334" s="8"/>
    </row>
    <row r="335" spans="1:27" ht="19.75">
      <c r="A335" s="8"/>
      <c r="B335" s="7"/>
      <c r="C335" s="8"/>
      <c r="D335" s="8"/>
      <c r="E335" s="11"/>
      <c r="F335" s="8"/>
      <c r="G335" s="8"/>
      <c r="H335" s="8"/>
      <c r="I335" s="8"/>
      <c r="J335" s="8"/>
      <c r="K335" s="8"/>
      <c r="L335" s="8"/>
      <c r="M335" s="8"/>
      <c r="N335" s="8"/>
      <c r="O335" s="8"/>
      <c r="P335" s="8"/>
      <c r="Q335" s="8"/>
      <c r="R335" s="8"/>
      <c r="S335" s="8"/>
      <c r="T335" s="8"/>
      <c r="U335" s="8"/>
      <c r="V335" s="8"/>
      <c r="W335" s="8"/>
      <c r="X335" s="8"/>
      <c r="Y335" s="8"/>
      <c r="Z335" s="8"/>
      <c r="AA335" s="8"/>
    </row>
    <row r="336" spans="1:27" ht="19.75">
      <c r="A336" s="8"/>
      <c r="B336" s="7"/>
      <c r="C336" s="8"/>
      <c r="D336" s="8"/>
      <c r="E336" s="11"/>
      <c r="F336" s="8"/>
      <c r="G336" s="8"/>
      <c r="H336" s="8"/>
      <c r="I336" s="8"/>
      <c r="J336" s="8"/>
      <c r="K336" s="8"/>
      <c r="L336" s="8"/>
      <c r="M336" s="8"/>
      <c r="N336" s="8"/>
      <c r="O336" s="8"/>
      <c r="P336" s="8"/>
      <c r="Q336" s="8"/>
      <c r="R336" s="8"/>
      <c r="S336" s="8"/>
      <c r="T336" s="8"/>
      <c r="U336" s="8"/>
      <c r="V336" s="8"/>
      <c r="W336" s="8"/>
      <c r="X336" s="8"/>
      <c r="Y336" s="8"/>
      <c r="Z336" s="8"/>
      <c r="AA336" s="8"/>
    </row>
    <row r="337" spans="1:27" ht="19.75">
      <c r="A337" s="8"/>
      <c r="B337" s="7"/>
      <c r="C337" s="8"/>
      <c r="D337" s="8"/>
      <c r="E337" s="11"/>
      <c r="F337" s="8"/>
      <c r="G337" s="8"/>
      <c r="H337" s="8"/>
      <c r="I337" s="8"/>
      <c r="J337" s="8"/>
      <c r="K337" s="8"/>
      <c r="L337" s="8"/>
      <c r="M337" s="8"/>
      <c r="N337" s="8"/>
      <c r="O337" s="8"/>
      <c r="P337" s="8"/>
      <c r="Q337" s="8"/>
      <c r="R337" s="8"/>
      <c r="S337" s="8"/>
      <c r="T337" s="8"/>
      <c r="U337" s="8"/>
      <c r="V337" s="8"/>
      <c r="W337" s="8"/>
      <c r="X337" s="8"/>
      <c r="Y337" s="8"/>
      <c r="Z337" s="8"/>
      <c r="AA337" s="8"/>
    </row>
    <row r="338" spans="1:27" ht="19.75">
      <c r="A338" s="8"/>
      <c r="B338" s="7"/>
      <c r="C338" s="8"/>
      <c r="D338" s="8"/>
      <c r="E338" s="11"/>
      <c r="F338" s="8"/>
      <c r="G338" s="8"/>
      <c r="H338" s="8"/>
      <c r="I338" s="8"/>
      <c r="J338" s="8"/>
      <c r="K338" s="8"/>
      <c r="L338" s="8"/>
      <c r="M338" s="8"/>
      <c r="N338" s="8"/>
      <c r="O338" s="8"/>
      <c r="P338" s="8"/>
      <c r="Q338" s="8"/>
      <c r="R338" s="8"/>
      <c r="S338" s="8"/>
      <c r="T338" s="8"/>
      <c r="U338" s="8"/>
      <c r="V338" s="8"/>
      <c r="W338" s="8"/>
      <c r="X338" s="8"/>
      <c r="Y338" s="8"/>
      <c r="Z338" s="8"/>
      <c r="AA338" s="8"/>
    </row>
    <row r="339" spans="1:27" ht="19.75">
      <c r="A339" s="8"/>
      <c r="B339" s="7"/>
      <c r="C339" s="8"/>
      <c r="D339" s="8"/>
      <c r="E339" s="11"/>
      <c r="F339" s="8"/>
      <c r="G339" s="8"/>
      <c r="H339" s="8"/>
      <c r="I339" s="8"/>
      <c r="J339" s="8"/>
      <c r="K339" s="8"/>
      <c r="L339" s="8"/>
      <c r="M339" s="8"/>
      <c r="N339" s="8"/>
      <c r="O339" s="8"/>
      <c r="P339" s="8"/>
      <c r="Q339" s="8"/>
      <c r="R339" s="8"/>
      <c r="S339" s="8"/>
      <c r="T339" s="8"/>
      <c r="U339" s="8"/>
      <c r="V339" s="8"/>
      <c r="W339" s="8"/>
      <c r="X339" s="8"/>
      <c r="Y339" s="8"/>
      <c r="Z339" s="8"/>
      <c r="AA339" s="8"/>
    </row>
    <row r="340" spans="1:27" ht="19.75">
      <c r="A340" s="8"/>
      <c r="B340" s="7"/>
      <c r="C340" s="8"/>
      <c r="D340" s="8"/>
      <c r="E340" s="11"/>
      <c r="F340" s="8"/>
      <c r="G340" s="8"/>
      <c r="H340" s="8"/>
      <c r="I340" s="8"/>
      <c r="J340" s="8"/>
      <c r="K340" s="8"/>
      <c r="L340" s="8"/>
      <c r="M340" s="8"/>
      <c r="N340" s="8"/>
      <c r="O340" s="8"/>
      <c r="P340" s="8"/>
      <c r="Q340" s="8"/>
      <c r="R340" s="8"/>
      <c r="S340" s="8"/>
      <c r="T340" s="8"/>
      <c r="U340" s="8"/>
      <c r="V340" s="8"/>
      <c r="W340" s="8"/>
      <c r="X340" s="8"/>
      <c r="Y340" s="8"/>
      <c r="Z340" s="8"/>
      <c r="AA340" s="8"/>
    </row>
    <row r="341" spans="1:27" ht="19.75">
      <c r="A341" s="8"/>
      <c r="B341" s="7"/>
      <c r="C341" s="8"/>
      <c r="D341" s="8"/>
      <c r="E341" s="11"/>
      <c r="F341" s="8"/>
      <c r="G341" s="8"/>
      <c r="H341" s="8"/>
      <c r="I341" s="8"/>
      <c r="J341" s="8"/>
      <c r="K341" s="8"/>
      <c r="L341" s="8"/>
      <c r="M341" s="8"/>
      <c r="N341" s="8"/>
      <c r="O341" s="8"/>
      <c r="P341" s="8"/>
      <c r="Q341" s="8"/>
      <c r="R341" s="8"/>
      <c r="S341" s="8"/>
      <c r="T341" s="8"/>
      <c r="U341" s="8"/>
      <c r="V341" s="8"/>
      <c r="W341" s="8"/>
      <c r="X341" s="8"/>
      <c r="Y341" s="8"/>
      <c r="Z341" s="8"/>
      <c r="AA341" s="8"/>
    </row>
    <row r="342" spans="1:27" ht="19.75">
      <c r="A342" s="8"/>
      <c r="B342" s="7"/>
      <c r="C342" s="8"/>
      <c r="D342" s="8"/>
      <c r="E342" s="11"/>
      <c r="F342" s="8"/>
      <c r="G342" s="8"/>
      <c r="H342" s="8"/>
      <c r="I342" s="8"/>
      <c r="J342" s="8"/>
      <c r="K342" s="8"/>
      <c r="L342" s="8"/>
      <c r="M342" s="8"/>
      <c r="N342" s="8"/>
      <c r="O342" s="8"/>
      <c r="P342" s="8"/>
      <c r="Q342" s="8"/>
      <c r="R342" s="8"/>
      <c r="S342" s="8"/>
      <c r="T342" s="8"/>
      <c r="U342" s="8"/>
      <c r="V342" s="8"/>
      <c r="W342" s="8"/>
      <c r="X342" s="8"/>
      <c r="Y342" s="8"/>
      <c r="Z342" s="8"/>
      <c r="AA342" s="8"/>
    </row>
    <row r="343" spans="1:27" ht="19.75">
      <c r="A343" s="8"/>
      <c r="B343" s="7"/>
      <c r="C343" s="8"/>
      <c r="D343" s="8"/>
      <c r="E343" s="11"/>
      <c r="F343" s="8"/>
      <c r="G343" s="8"/>
      <c r="H343" s="8"/>
      <c r="I343" s="8"/>
      <c r="J343" s="8"/>
      <c r="K343" s="8"/>
      <c r="L343" s="8"/>
      <c r="M343" s="8"/>
      <c r="N343" s="8"/>
      <c r="O343" s="8"/>
      <c r="P343" s="8"/>
      <c r="Q343" s="8"/>
      <c r="R343" s="8"/>
      <c r="S343" s="8"/>
      <c r="T343" s="8"/>
      <c r="U343" s="8"/>
      <c r="V343" s="8"/>
      <c r="W343" s="8"/>
      <c r="X343" s="8"/>
      <c r="Y343" s="8"/>
      <c r="Z343" s="8"/>
      <c r="AA343" s="8"/>
    </row>
    <row r="344" spans="1:27" ht="19.75">
      <c r="A344" s="8"/>
      <c r="B344" s="7"/>
      <c r="C344" s="8"/>
      <c r="D344" s="8"/>
      <c r="E344" s="11"/>
      <c r="F344" s="8"/>
      <c r="G344" s="8"/>
      <c r="H344" s="8"/>
      <c r="I344" s="8"/>
      <c r="J344" s="8"/>
      <c r="K344" s="8"/>
      <c r="L344" s="8"/>
      <c r="M344" s="8"/>
      <c r="N344" s="8"/>
      <c r="O344" s="8"/>
      <c r="P344" s="8"/>
      <c r="Q344" s="8"/>
      <c r="R344" s="8"/>
      <c r="S344" s="8"/>
      <c r="T344" s="8"/>
      <c r="U344" s="8"/>
      <c r="V344" s="8"/>
      <c r="W344" s="8"/>
      <c r="X344" s="8"/>
      <c r="Y344" s="8"/>
      <c r="Z344" s="8"/>
      <c r="AA344" s="8"/>
    </row>
    <row r="345" spans="1:27" ht="19.75">
      <c r="A345" s="8"/>
      <c r="B345" s="7"/>
      <c r="C345" s="8"/>
      <c r="D345" s="8"/>
      <c r="E345" s="11"/>
      <c r="F345" s="8"/>
      <c r="G345" s="8"/>
      <c r="H345" s="8"/>
      <c r="I345" s="8"/>
      <c r="J345" s="8"/>
      <c r="K345" s="8"/>
      <c r="L345" s="8"/>
      <c r="M345" s="8"/>
      <c r="N345" s="8"/>
      <c r="O345" s="8"/>
      <c r="P345" s="8"/>
      <c r="Q345" s="8"/>
      <c r="R345" s="8"/>
      <c r="S345" s="8"/>
      <c r="T345" s="8"/>
      <c r="U345" s="8"/>
      <c r="V345" s="8"/>
      <c r="W345" s="8"/>
      <c r="X345" s="8"/>
      <c r="Y345" s="8"/>
      <c r="Z345" s="8"/>
      <c r="AA345" s="8"/>
    </row>
    <row r="346" spans="1:27" ht="19.75">
      <c r="A346" s="8"/>
      <c r="B346" s="7"/>
      <c r="C346" s="8"/>
      <c r="D346" s="8"/>
      <c r="E346" s="11"/>
      <c r="F346" s="8"/>
      <c r="G346" s="8"/>
      <c r="H346" s="8"/>
      <c r="I346" s="8"/>
      <c r="J346" s="8"/>
      <c r="K346" s="8"/>
      <c r="L346" s="8"/>
      <c r="M346" s="8"/>
      <c r="N346" s="8"/>
      <c r="O346" s="8"/>
      <c r="P346" s="8"/>
      <c r="Q346" s="8"/>
      <c r="R346" s="8"/>
      <c r="S346" s="8"/>
      <c r="T346" s="8"/>
      <c r="U346" s="8"/>
      <c r="V346" s="8"/>
      <c r="W346" s="8"/>
      <c r="X346" s="8"/>
      <c r="Y346" s="8"/>
      <c r="Z346" s="8"/>
      <c r="AA346" s="8"/>
    </row>
    <row r="347" spans="1:27" ht="19.75">
      <c r="A347" s="8"/>
      <c r="B347" s="7"/>
      <c r="C347" s="8"/>
      <c r="D347" s="8"/>
      <c r="E347" s="11"/>
      <c r="F347" s="8"/>
      <c r="G347" s="8"/>
      <c r="H347" s="8"/>
      <c r="I347" s="8"/>
      <c r="J347" s="8"/>
      <c r="K347" s="8"/>
      <c r="L347" s="8"/>
      <c r="M347" s="8"/>
      <c r="N347" s="8"/>
      <c r="O347" s="8"/>
      <c r="P347" s="8"/>
      <c r="Q347" s="8"/>
      <c r="R347" s="8"/>
      <c r="S347" s="8"/>
      <c r="T347" s="8"/>
      <c r="U347" s="8"/>
      <c r="V347" s="8"/>
      <c r="W347" s="8"/>
      <c r="X347" s="8"/>
      <c r="Y347" s="8"/>
      <c r="Z347" s="8"/>
      <c r="AA347" s="8"/>
    </row>
    <row r="348" spans="1:27" ht="19.75">
      <c r="A348" s="8"/>
      <c r="B348" s="7"/>
      <c r="C348" s="8"/>
      <c r="D348" s="8"/>
      <c r="E348" s="11"/>
      <c r="F348" s="8"/>
      <c r="G348" s="8"/>
      <c r="H348" s="8"/>
      <c r="I348" s="8"/>
      <c r="J348" s="8"/>
      <c r="K348" s="8"/>
      <c r="L348" s="8"/>
      <c r="M348" s="8"/>
      <c r="N348" s="8"/>
      <c r="O348" s="8"/>
      <c r="P348" s="8"/>
      <c r="Q348" s="8"/>
      <c r="R348" s="8"/>
      <c r="S348" s="8"/>
      <c r="T348" s="8"/>
      <c r="U348" s="8"/>
      <c r="V348" s="8"/>
      <c r="W348" s="8"/>
      <c r="X348" s="8"/>
      <c r="Y348" s="8"/>
      <c r="Z348" s="8"/>
      <c r="AA348" s="8"/>
    </row>
    <row r="349" spans="1:27" ht="19.75">
      <c r="A349" s="8"/>
      <c r="B349" s="7"/>
      <c r="C349" s="8"/>
      <c r="D349" s="8"/>
      <c r="E349" s="11"/>
      <c r="F349" s="8"/>
      <c r="G349" s="8"/>
      <c r="H349" s="8"/>
      <c r="I349" s="8"/>
      <c r="J349" s="8"/>
      <c r="K349" s="8"/>
      <c r="L349" s="8"/>
      <c r="M349" s="8"/>
      <c r="N349" s="8"/>
      <c r="O349" s="8"/>
      <c r="P349" s="8"/>
      <c r="Q349" s="8"/>
      <c r="R349" s="8"/>
      <c r="S349" s="8"/>
      <c r="T349" s="8"/>
      <c r="U349" s="8"/>
      <c r="V349" s="8"/>
      <c r="W349" s="8"/>
      <c r="X349" s="8"/>
      <c r="Y349" s="8"/>
      <c r="Z349" s="8"/>
      <c r="AA349" s="8"/>
    </row>
    <row r="350" spans="1:27" ht="19.75">
      <c r="A350" s="8"/>
      <c r="B350" s="7"/>
      <c r="C350" s="8"/>
      <c r="D350" s="8"/>
      <c r="E350" s="11"/>
      <c r="F350" s="8"/>
      <c r="G350" s="8"/>
      <c r="H350" s="8"/>
      <c r="I350" s="8"/>
      <c r="J350" s="8"/>
      <c r="K350" s="8"/>
      <c r="L350" s="8"/>
      <c r="M350" s="8"/>
      <c r="N350" s="8"/>
      <c r="O350" s="8"/>
      <c r="P350" s="8"/>
      <c r="Q350" s="8"/>
      <c r="R350" s="8"/>
      <c r="S350" s="8"/>
      <c r="T350" s="8"/>
      <c r="U350" s="8"/>
      <c r="V350" s="8"/>
      <c r="W350" s="8"/>
      <c r="X350" s="8"/>
      <c r="Y350" s="8"/>
      <c r="Z350" s="8"/>
      <c r="AA350" s="8"/>
    </row>
    <row r="351" spans="1:27" ht="19.75">
      <c r="A351" s="8"/>
      <c r="B351" s="7"/>
      <c r="C351" s="8"/>
      <c r="D351" s="8"/>
      <c r="E351" s="11"/>
      <c r="F351" s="8"/>
      <c r="G351" s="8"/>
      <c r="H351" s="8"/>
      <c r="I351" s="8"/>
      <c r="J351" s="8"/>
      <c r="K351" s="8"/>
      <c r="L351" s="8"/>
      <c r="M351" s="8"/>
      <c r="N351" s="8"/>
      <c r="O351" s="8"/>
      <c r="P351" s="8"/>
      <c r="Q351" s="8"/>
      <c r="R351" s="8"/>
      <c r="S351" s="8"/>
      <c r="T351" s="8"/>
      <c r="U351" s="8"/>
      <c r="V351" s="8"/>
      <c r="W351" s="8"/>
      <c r="X351" s="8"/>
      <c r="Y351" s="8"/>
      <c r="Z351" s="8"/>
      <c r="AA351" s="8"/>
    </row>
    <row r="352" spans="1:27" ht="19.75">
      <c r="A352" s="8"/>
      <c r="B352" s="7"/>
      <c r="C352" s="8"/>
      <c r="D352" s="8"/>
      <c r="E352" s="11"/>
      <c r="F352" s="8"/>
      <c r="G352" s="8"/>
      <c r="H352" s="8"/>
      <c r="I352" s="8"/>
      <c r="J352" s="8"/>
      <c r="K352" s="8"/>
      <c r="L352" s="8"/>
      <c r="M352" s="8"/>
      <c r="N352" s="8"/>
      <c r="O352" s="8"/>
      <c r="P352" s="8"/>
      <c r="Q352" s="8"/>
      <c r="R352" s="8"/>
      <c r="S352" s="8"/>
      <c r="T352" s="8"/>
      <c r="U352" s="8"/>
      <c r="V352" s="8"/>
      <c r="W352" s="8"/>
      <c r="X352" s="8"/>
      <c r="Y352" s="8"/>
      <c r="Z352" s="8"/>
      <c r="AA352" s="8"/>
    </row>
    <row r="353" spans="1:27" ht="19.75">
      <c r="A353" s="8"/>
      <c r="B353" s="7"/>
      <c r="C353" s="8"/>
      <c r="D353" s="8"/>
      <c r="E353" s="11"/>
      <c r="F353" s="8"/>
      <c r="G353" s="8"/>
      <c r="H353" s="8"/>
      <c r="I353" s="8"/>
      <c r="J353" s="8"/>
      <c r="K353" s="8"/>
      <c r="L353" s="8"/>
      <c r="M353" s="8"/>
      <c r="N353" s="8"/>
      <c r="O353" s="8"/>
      <c r="P353" s="8"/>
      <c r="Q353" s="8"/>
      <c r="R353" s="8"/>
      <c r="S353" s="8"/>
      <c r="T353" s="8"/>
      <c r="U353" s="8"/>
      <c r="V353" s="8"/>
      <c r="W353" s="8"/>
      <c r="X353" s="8"/>
      <c r="Y353" s="8"/>
      <c r="Z353" s="8"/>
      <c r="AA353" s="8"/>
    </row>
    <row r="354" spans="1:27" ht="19.75">
      <c r="A354" s="8"/>
      <c r="B354" s="7"/>
      <c r="C354" s="8"/>
      <c r="D354" s="8"/>
      <c r="E354" s="11"/>
      <c r="F354" s="8"/>
      <c r="G354" s="8"/>
      <c r="H354" s="8"/>
      <c r="I354" s="8"/>
      <c r="J354" s="8"/>
      <c r="K354" s="8"/>
      <c r="L354" s="8"/>
      <c r="M354" s="8"/>
      <c r="N354" s="8"/>
      <c r="O354" s="8"/>
      <c r="P354" s="8"/>
      <c r="Q354" s="8"/>
      <c r="R354" s="8"/>
      <c r="S354" s="8"/>
      <c r="T354" s="8"/>
      <c r="U354" s="8"/>
      <c r="V354" s="8"/>
      <c r="W354" s="8"/>
      <c r="X354" s="8"/>
      <c r="Y354" s="8"/>
      <c r="Z354" s="8"/>
      <c r="AA354" s="8"/>
    </row>
    <row r="355" spans="1:27" ht="19.75">
      <c r="A355" s="8"/>
      <c r="B355" s="7"/>
      <c r="C355" s="8"/>
      <c r="D355" s="8"/>
      <c r="E355" s="11"/>
      <c r="F355" s="8"/>
      <c r="G355" s="8"/>
      <c r="H355" s="8"/>
      <c r="I355" s="8"/>
      <c r="J355" s="8"/>
      <c r="K355" s="8"/>
      <c r="L355" s="8"/>
      <c r="M355" s="8"/>
      <c r="N355" s="8"/>
      <c r="O355" s="8"/>
      <c r="P355" s="8"/>
      <c r="Q355" s="8"/>
      <c r="R355" s="8"/>
      <c r="S355" s="8"/>
      <c r="T355" s="8"/>
      <c r="U355" s="8"/>
      <c r="V355" s="8"/>
      <c r="W355" s="8"/>
      <c r="X355" s="8"/>
      <c r="Y355" s="8"/>
      <c r="Z355" s="8"/>
      <c r="AA355" s="8"/>
    </row>
    <row r="356" spans="1:27" ht="19.75">
      <c r="A356" s="8"/>
      <c r="B356" s="7"/>
      <c r="C356" s="8"/>
      <c r="D356" s="8"/>
      <c r="E356" s="11"/>
      <c r="F356" s="8"/>
      <c r="G356" s="8"/>
      <c r="H356" s="8"/>
      <c r="I356" s="8"/>
      <c r="J356" s="8"/>
      <c r="K356" s="8"/>
      <c r="L356" s="8"/>
      <c r="M356" s="8"/>
      <c r="N356" s="8"/>
      <c r="O356" s="8"/>
      <c r="P356" s="8"/>
      <c r="Q356" s="8"/>
      <c r="R356" s="8"/>
      <c r="S356" s="8"/>
      <c r="T356" s="8"/>
      <c r="U356" s="8"/>
      <c r="V356" s="8"/>
      <c r="W356" s="8"/>
      <c r="X356" s="8"/>
      <c r="Y356" s="8"/>
      <c r="Z356" s="8"/>
      <c r="AA356" s="8"/>
    </row>
    <row r="357" spans="1:27" ht="19.75">
      <c r="A357" s="8"/>
      <c r="B357" s="7"/>
      <c r="C357" s="8"/>
      <c r="D357" s="8"/>
      <c r="E357" s="11"/>
      <c r="F357" s="8"/>
      <c r="G357" s="8"/>
      <c r="H357" s="8"/>
      <c r="I357" s="8"/>
      <c r="J357" s="8"/>
      <c r="K357" s="8"/>
      <c r="L357" s="8"/>
      <c r="M357" s="8"/>
      <c r="N357" s="8"/>
      <c r="O357" s="8"/>
      <c r="P357" s="8"/>
      <c r="Q357" s="8"/>
      <c r="R357" s="8"/>
      <c r="S357" s="8"/>
      <c r="T357" s="8"/>
      <c r="U357" s="8"/>
      <c r="V357" s="8"/>
      <c r="W357" s="8"/>
      <c r="X357" s="8"/>
      <c r="Y357" s="8"/>
      <c r="Z357" s="8"/>
      <c r="AA357" s="8"/>
    </row>
    <row r="358" spans="1:27" ht="19.75">
      <c r="A358" s="8"/>
      <c r="B358" s="7"/>
      <c r="C358" s="8"/>
      <c r="D358" s="8"/>
      <c r="E358" s="11"/>
      <c r="F358" s="8"/>
      <c r="G358" s="8"/>
      <c r="H358" s="8"/>
      <c r="I358" s="8"/>
      <c r="J358" s="8"/>
      <c r="K358" s="8"/>
      <c r="L358" s="8"/>
      <c r="M358" s="8"/>
      <c r="N358" s="8"/>
      <c r="O358" s="8"/>
      <c r="P358" s="8"/>
      <c r="Q358" s="8"/>
      <c r="R358" s="8"/>
      <c r="S358" s="8"/>
      <c r="T358" s="8"/>
      <c r="U358" s="8"/>
      <c r="V358" s="8"/>
      <c r="W358" s="8"/>
      <c r="X358" s="8"/>
      <c r="Y358" s="8"/>
      <c r="Z358" s="8"/>
      <c r="AA358" s="8"/>
    </row>
    <row r="359" spans="1:27" ht="19.75">
      <c r="A359" s="8"/>
      <c r="B359" s="7"/>
      <c r="C359" s="8"/>
      <c r="D359" s="8"/>
      <c r="E359" s="11"/>
      <c r="F359" s="8"/>
      <c r="G359" s="8"/>
      <c r="H359" s="8"/>
      <c r="I359" s="8"/>
      <c r="J359" s="8"/>
      <c r="K359" s="8"/>
      <c r="L359" s="8"/>
      <c r="M359" s="8"/>
      <c r="N359" s="8"/>
      <c r="O359" s="8"/>
      <c r="P359" s="8"/>
      <c r="Q359" s="8"/>
      <c r="R359" s="8"/>
      <c r="S359" s="8"/>
      <c r="T359" s="8"/>
      <c r="U359" s="8"/>
      <c r="V359" s="8"/>
      <c r="W359" s="8"/>
      <c r="X359" s="8"/>
      <c r="Y359" s="8"/>
      <c r="Z359" s="8"/>
      <c r="AA359" s="8"/>
    </row>
    <row r="360" spans="1:27" ht="19.75">
      <c r="A360" s="8"/>
      <c r="B360" s="7"/>
      <c r="C360" s="8"/>
      <c r="D360" s="8"/>
      <c r="E360" s="11"/>
      <c r="F360" s="8"/>
      <c r="G360" s="8"/>
      <c r="H360" s="8"/>
      <c r="I360" s="8"/>
      <c r="J360" s="8"/>
      <c r="K360" s="8"/>
      <c r="L360" s="8"/>
      <c r="M360" s="8"/>
      <c r="N360" s="8"/>
      <c r="O360" s="8"/>
      <c r="P360" s="8"/>
      <c r="Q360" s="8"/>
      <c r="R360" s="8"/>
      <c r="S360" s="8"/>
      <c r="T360" s="8"/>
      <c r="U360" s="8"/>
      <c r="V360" s="8"/>
      <c r="W360" s="8"/>
      <c r="X360" s="8"/>
      <c r="Y360" s="8"/>
      <c r="Z360" s="8"/>
      <c r="AA360" s="8"/>
    </row>
    <row r="361" spans="1:27" ht="19.75">
      <c r="A361" s="8"/>
      <c r="B361" s="7"/>
      <c r="C361" s="8"/>
      <c r="D361" s="8"/>
      <c r="E361" s="11"/>
      <c r="F361" s="8"/>
      <c r="G361" s="8"/>
      <c r="H361" s="8"/>
      <c r="I361" s="8"/>
      <c r="J361" s="8"/>
      <c r="K361" s="8"/>
      <c r="L361" s="8"/>
      <c r="M361" s="8"/>
      <c r="N361" s="8"/>
      <c r="O361" s="8"/>
      <c r="P361" s="8"/>
      <c r="Q361" s="8"/>
      <c r="R361" s="8"/>
      <c r="S361" s="8"/>
      <c r="T361" s="8"/>
      <c r="U361" s="8"/>
      <c r="V361" s="8"/>
      <c r="W361" s="8"/>
      <c r="X361" s="8"/>
      <c r="Y361" s="8"/>
      <c r="Z361" s="8"/>
      <c r="AA361" s="8"/>
    </row>
    <row r="362" spans="1:27" ht="19.75">
      <c r="A362" s="8"/>
      <c r="B362" s="7"/>
      <c r="C362" s="8"/>
      <c r="D362" s="8"/>
      <c r="E362" s="11"/>
      <c r="F362" s="8"/>
      <c r="G362" s="8"/>
      <c r="H362" s="8"/>
      <c r="I362" s="8"/>
      <c r="J362" s="8"/>
      <c r="K362" s="8"/>
      <c r="L362" s="8"/>
      <c r="M362" s="8"/>
      <c r="N362" s="8"/>
      <c r="O362" s="8"/>
      <c r="P362" s="8"/>
      <c r="Q362" s="8"/>
      <c r="R362" s="8"/>
      <c r="S362" s="8"/>
      <c r="T362" s="8"/>
      <c r="U362" s="8"/>
      <c r="V362" s="8"/>
      <c r="W362" s="8"/>
      <c r="X362" s="8"/>
      <c r="Y362" s="8"/>
      <c r="Z362" s="8"/>
      <c r="AA362" s="8"/>
    </row>
    <row r="363" spans="1:27" ht="19.75">
      <c r="A363" s="8"/>
      <c r="B363" s="7"/>
      <c r="C363" s="8"/>
      <c r="D363" s="8"/>
      <c r="E363" s="11"/>
      <c r="F363" s="8"/>
      <c r="G363" s="8"/>
      <c r="H363" s="8"/>
      <c r="I363" s="8"/>
      <c r="J363" s="8"/>
      <c r="K363" s="8"/>
      <c r="L363" s="8"/>
      <c r="M363" s="8"/>
      <c r="N363" s="8"/>
      <c r="O363" s="8"/>
      <c r="P363" s="8"/>
      <c r="Q363" s="8"/>
      <c r="R363" s="8"/>
      <c r="S363" s="8"/>
      <c r="T363" s="8"/>
      <c r="U363" s="8"/>
      <c r="V363" s="8"/>
      <c r="W363" s="8"/>
      <c r="X363" s="8"/>
      <c r="Y363" s="8"/>
      <c r="Z363" s="8"/>
      <c r="AA363" s="8"/>
    </row>
    <row r="364" spans="1:27" ht="19.75">
      <c r="A364" s="8"/>
      <c r="B364" s="7"/>
      <c r="C364" s="8"/>
      <c r="D364" s="8"/>
      <c r="E364" s="11"/>
      <c r="F364" s="8"/>
      <c r="G364" s="8"/>
      <c r="H364" s="8"/>
      <c r="I364" s="8"/>
      <c r="J364" s="8"/>
      <c r="K364" s="8"/>
      <c r="L364" s="8"/>
      <c r="M364" s="8"/>
      <c r="N364" s="8"/>
      <c r="O364" s="8"/>
      <c r="P364" s="8"/>
      <c r="Q364" s="8"/>
      <c r="R364" s="8"/>
      <c r="S364" s="8"/>
      <c r="T364" s="8"/>
      <c r="U364" s="8"/>
      <c r="V364" s="8"/>
      <c r="W364" s="8"/>
      <c r="X364" s="8"/>
      <c r="Y364" s="8"/>
      <c r="Z364" s="8"/>
      <c r="AA364" s="8"/>
    </row>
    <row r="365" spans="1:27" ht="19.75">
      <c r="A365" s="8"/>
      <c r="B365" s="7"/>
      <c r="C365" s="8"/>
      <c r="D365" s="8"/>
      <c r="E365" s="11"/>
      <c r="F365" s="8"/>
      <c r="G365" s="8"/>
      <c r="H365" s="8"/>
      <c r="I365" s="8"/>
      <c r="J365" s="8"/>
      <c r="K365" s="8"/>
      <c r="L365" s="8"/>
      <c r="M365" s="8"/>
      <c r="N365" s="8"/>
      <c r="O365" s="8"/>
      <c r="P365" s="8"/>
      <c r="Q365" s="8"/>
      <c r="R365" s="8"/>
      <c r="S365" s="8"/>
      <c r="T365" s="8"/>
      <c r="U365" s="8"/>
      <c r="V365" s="8"/>
      <c r="W365" s="8"/>
      <c r="X365" s="8"/>
      <c r="Y365" s="8"/>
      <c r="Z365" s="8"/>
      <c r="AA365" s="8"/>
    </row>
    <row r="366" spans="1:27" ht="19.75">
      <c r="A366" s="8"/>
      <c r="B366" s="7"/>
      <c r="C366" s="8"/>
      <c r="D366" s="8"/>
      <c r="E366" s="11"/>
      <c r="F366" s="8"/>
      <c r="G366" s="8"/>
      <c r="H366" s="8"/>
      <c r="I366" s="8"/>
      <c r="J366" s="8"/>
      <c r="K366" s="8"/>
      <c r="L366" s="8"/>
      <c r="M366" s="8"/>
      <c r="N366" s="8"/>
      <c r="O366" s="8"/>
      <c r="P366" s="8"/>
      <c r="Q366" s="8"/>
      <c r="R366" s="8"/>
      <c r="S366" s="8"/>
      <c r="T366" s="8"/>
      <c r="U366" s="8"/>
      <c r="V366" s="8"/>
      <c r="W366" s="8"/>
      <c r="X366" s="8"/>
      <c r="Y366" s="8"/>
      <c r="Z366" s="8"/>
      <c r="AA366" s="8"/>
    </row>
    <row r="367" spans="1:27" ht="19.75">
      <c r="A367" s="8"/>
      <c r="B367" s="7"/>
      <c r="C367" s="8"/>
      <c r="D367" s="8"/>
      <c r="E367" s="11"/>
      <c r="F367" s="8"/>
      <c r="G367" s="8"/>
      <c r="H367" s="8"/>
      <c r="I367" s="8"/>
      <c r="J367" s="8"/>
      <c r="K367" s="8"/>
      <c r="L367" s="8"/>
      <c r="M367" s="8"/>
      <c r="N367" s="8"/>
      <c r="O367" s="8"/>
      <c r="P367" s="8"/>
      <c r="Q367" s="8"/>
      <c r="R367" s="8"/>
      <c r="S367" s="8"/>
      <c r="T367" s="8"/>
      <c r="U367" s="8"/>
      <c r="V367" s="8"/>
      <c r="W367" s="8"/>
      <c r="X367" s="8"/>
      <c r="Y367" s="8"/>
      <c r="Z367" s="8"/>
      <c r="AA367" s="8"/>
    </row>
    <row r="368" spans="1:27" ht="19.75">
      <c r="A368" s="8"/>
      <c r="B368" s="7"/>
      <c r="C368" s="8"/>
      <c r="D368" s="8"/>
      <c r="E368" s="11"/>
      <c r="F368" s="8"/>
      <c r="G368" s="8"/>
      <c r="H368" s="8"/>
      <c r="I368" s="8"/>
      <c r="J368" s="8"/>
      <c r="K368" s="8"/>
      <c r="L368" s="8"/>
      <c r="M368" s="8"/>
      <c r="N368" s="8"/>
      <c r="O368" s="8"/>
      <c r="P368" s="8"/>
      <c r="Q368" s="8"/>
      <c r="R368" s="8"/>
      <c r="S368" s="8"/>
      <c r="T368" s="8"/>
      <c r="U368" s="8"/>
      <c r="V368" s="8"/>
      <c r="W368" s="8"/>
      <c r="X368" s="8"/>
      <c r="Y368" s="8"/>
      <c r="Z368" s="8"/>
      <c r="AA368" s="8"/>
    </row>
    <row r="369" spans="1:27" ht="19.75">
      <c r="A369" s="8"/>
      <c r="B369" s="7"/>
      <c r="C369" s="8"/>
      <c r="D369" s="8"/>
      <c r="E369" s="11"/>
      <c r="F369" s="8"/>
      <c r="G369" s="8"/>
      <c r="H369" s="8"/>
      <c r="I369" s="8"/>
      <c r="J369" s="8"/>
      <c r="K369" s="8"/>
      <c r="L369" s="8"/>
      <c r="M369" s="8"/>
      <c r="N369" s="8"/>
      <c r="O369" s="8"/>
      <c r="P369" s="8"/>
      <c r="Q369" s="8"/>
      <c r="R369" s="8"/>
      <c r="S369" s="8"/>
      <c r="T369" s="8"/>
      <c r="U369" s="8"/>
      <c r="V369" s="8"/>
      <c r="W369" s="8"/>
      <c r="X369" s="8"/>
      <c r="Y369" s="8"/>
      <c r="Z369" s="8"/>
      <c r="AA369" s="8"/>
    </row>
    <row r="370" spans="1:27" ht="19.75">
      <c r="A370" s="8"/>
      <c r="B370" s="7"/>
      <c r="C370" s="8"/>
      <c r="D370" s="8"/>
      <c r="E370" s="11"/>
      <c r="F370" s="8"/>
      <c r="G370" s="8"/>
      <c r="H370" s="8"/>
      <c r="I370" s="8"/>
      <c r="J370" s="8"/>
      <c r="K370" s="8"/>
      <c r="L370" s="8"/>
      <c r="M370" s="8"/>
      <c r="N370" s="8"/>
      <c r="O370" s="8"/>
      <c r="P370" s="8"/>
      <c r="Q370" s="8"/>
      <c r="R370" s="8"/>
      <c r="S370" s="8"/>
      <c r="T370" s="8"/>
      <c r="U370" s="8"/>
      <c r="V370" s="8"/>
      <c r="W370" s="8"/>
      <c r="X370" s="8"/>
      <c r="Y370" s="8"/>
      <c r="Z370" s="8"/>
      <c r="AA370" s="8"/>
    </row>
    <row r="371" spans="1:27" ht="19.75">
      <c r="A371" s="8"/>
      <c r="B371" s="7"/>
      <c r="C371" s="8"/>
      <c r="D371" s="8"/>
      <c r="E371" s="11"/>
      <c r="F371" s="8"/>
      <c r="G371" s="8"/>
      <c r="H371" s="8"/>
      <c r="I371" s="8"/>
      <c r="J371" s="8"/>
      <c r="K371" s="8"/>
      <c r="L371" s="8"/>
      <c r="M371" s="8"/>
      <c r="N371" s="8"/>
      <c r="O371" s="8"/>
      <c r="P371" s="8"/>
      <c r="Q371" s="8"/>
      <c r="R371" s="8"/>
      <c r="S371" s="8"/>
      <c r="T371" s="8"/>
      <c r="U371" s="8"/>
      <c r="V371" s="8"/>
      <c r="W371" s="8"/>
      <c r="X371" s="8"/>
      <c r="Y371" s="8"/>
      <c r="Z371" s="8"/>
      <c r="AA371" s="8"/>
    </row>
    <row r="372" spans="1:27" ht="19.75">
      <c r="A372" s="8"/>
      <c r="B372" s="7"/>
      <c r="C372" s="8"/>
      <c r="D372" s="8"/>
      <c r="E372" s="11"/>
      <c r="F372" s="8"/>
      <c r="G372" s="8"/>
      <c r="H372" s="8"/>
      <c r="I372" s="8"/>
      <c r="J372" s="8"/>
      <c r="K372" s="8"/>
      <c r="L372" s="8"/>
      <c r="M372" s="8"/>
      <c r="N372" s="8"/>
      <c r="O372" s="8"/>
      <c r="P372" s="8"/>
      <c r="Q372" s="8"/>
      <c r="R372" s="8"/>
      <c r="S372" s="8"/>
      <c r="T372" s="8"/>
      <c r="U372" s="8"/>
      <c r="V372" s="8"/>
      <c r="W372" s="8"/>
      <c r="X372" s="8"/>
      <c r="Y372" s="8"/>
      <c r="Z372" s="8"/>
      <c r="AA372" s="8"/>
    </row>
    <row r="373" spans="1:27" ht="19.75">
      <c r="A373" s="8"/>
      <c r="B373" s="7"/>
      <c r="C373" s="8"/>
      <c r="D373" s="8"/>
      <c r="E373" s="11"/>
      <c r="F373" s="8"/>
      <c r="G373" s="8"/>
      <c r="H373" s="8"/>
      <c r="I373" s="8"/>
      <c r="J373" s="8"/>
      <c r="K373" s="8"/>
      <c r="L373" s="8"/>
      <c r="M373" s="8"/>
      <c r="N373" s="8"/>
      <c r="O373" s="8"/>
      <c r="P373" s="8"/>
      <c r="Q373" s="8"/>
      <c r="R373" s="8"/>
      <c r="S373" s="8"/>
      <c r="T373" s="8"/>
      <c r="U373" s="8"/>
      <c r="V373" s="8"/>
      <c r="W373" s="8"/>
      <c r="X373" s="8"/>
      <c r="Y373" s="8"/>
      <c r="Z373" s="8"/>
      <c r="AA373" s="8"/>
    </row>
    <row r="374" spans="1:27" ht="19.75">
      <c r="A374" s="8"/>
      <c r="B374" s="7"/>
      <c r="C374" s="8"/>
      <c r="D374" s="8"/>
      <c r="E374" s="11"/>
      <c r="F374" s="8"/>
      <c r="G374" s="8"/>
      <c r="H374" s="8"/>
      <c r="I374" s="8"/>
      <c r="J374" s="8"/>
      <c r="K374" s="8"/>
      <c r="L374" s="8"/>
      <c r="M374" s="8"/>
      <c r="N374" s="8"/>
      <c r="O374" s="8"/>
      <c r="P374" s="8"/>
      <c r="Q374" s="8"/>
      <c r="R374" s="8"/>
      <c r="S374" s="8"/>
      <c r="T374" s="8"/>
      <c r="U374" s="8"/>
      <c r="V374" s="8"/>
      <c r="W374" s="8"/>
      <c r="X374" s="8"/>
      <c r="Y374" s="8"/>
      <c r="Z374" s="8"/>
      <c r="AA374" s="8"/>
    </row>
    <row r="375" spans="1:27" ht="19.75">
      <c r="A375" s="8"/>
      <c r="B375" s="7"/>
      <c r="C375" s="8"/>
      <c r="D375" s="8"/>
      <c r="E375" s="11"/>
      <c r="F375" s="8"/>
      <c r="G375" s="8"/>
      <c r="H375" s="8"/>
      <c r="I375" s="8"/>
      <c r="J375" s="8"/>
      <c r="K375" s="8"/>
      <c r="L375" s="8"/>
      <c r="M375" s="8"/>
      <c r="N375" s="8"/>
      <c r="O375" s="8"/>
      <c r="P375" s="8"/>
      <c r="Q375" s="8"/>
      <c r="R375" s="8"/>
      <c r="S375" s="8"/>
      <c r="T375" s="8"/>
      <c r="U375" s="8"/>
      <c r="V375" s="8"/>
      <c r="W375" s="8"/>
      <c r="X375" s="8"/>
      <c r="Y375" s="8"/>
      <c r="Z375" s="8"/>
      <c r="AA375" s="8"/>
    </row>
    <row r="376" spans="1:27" ht="19.75">
      <c r="A376" s="8"/>
      <c r="B376" s="7"/>
      <c r="C376" s="8"/>
      <c r="D376" s="8"/>
      <c r="E376" s="11"/>
      <c r="F376" s="8"/>
      <c r="G376" s="8"/>
      <c r="H376" s="8"/>
      <c r="I376" s="8"/>
      <c r="J376" s="8"/>
      <c r="K376" s="8"/>
      <c r="L376" s="8"/>
      <c r="M376" s="8"/>
      <c r="N376" s="8"/>
      <c r="O376" s="8"/>
      <c r="P376" s="8"/>
      <c r="Q376" s="8"/>
      <c r="R376" s="8"/>
      <c r="S376" s="8"/>
      <c r="T376" s="8"/>
      <c r="U376" s="8"/>
      <c r="V376" s="8"/>
      <c r="W376" s="8"/>
      <c r="X376" s="8"/>
      <c r="Y376" s="8"/>
      <c r="Z376" s="8"/>
      <c r="AA376" s="8"/>
    </row>
    <row r="377" spans="1:27" ht="19.75">
      <c r="A377" s="8"/>
      <c r="B377" s="7"/>
      <c r="C377" s="8"/>
      <c r="D377" s="8"/>
      <c r="E377" s="11"/>
      <c r="F377" s="8"/>
      <c r="G377" s="8"/>
      <c r="H377" s="8"/>
      <c r="I377" s="8"/>
      <c r="J377" s="8"/>
      <c r="K377" s="8"/>
      <c r="L377" s="8"/>
      <c r="M377" s="8"/>
      <c r="N377" s="8"/>
      <c r="O377" s="8"/>
      <c r="P377" s="8"/>
      <c r="Q377" s="8"/>
      <c r="R377" s="8"/>
      <c r="S377" s="8"/>
      <c r="T377" s="8"/>
      <c r="U377" s="8"/>
      <c r="V377" s="8"/>
      <c r="W377" s="8"/>
      <c r="X377" s="8"/>
      <c r="Y377" s="8"/>
      <c r="Z377" s="8"/>
      <c r="AA377" s="8"/>
    </row>
    <row r="378" spans="1:27" ht="19.75">
      <c r="A378" s="8"/>
      <c r="B378" s="7"/>
      <c r="C378" s="8"/>
      <c r="D378" s="8"/>
      <c r="E378" s="11"/>
      <c r="F378" s="8"/>
      <c r="G378" s="8"/>
      <c r="H378" s="8"/>
      <c r="I378" s="8"/>
      <c r="J378" s="8"/>
      <c r="K378" s="8"/>
      <c r="L378" s="8"/>
      <c r="M378" s="8"/>
      <c r="N378" s="8"/>
      <c r="O378" s="8"/>
      <c r="P378" s="8"/>
      <c r="Q378" s="8"/>
      <c r="R378" s="8"/>
      <c r="S378" s="8"/>
      <c r="T378" s="8"/>
      <c r="U378" s="8"/>
      <c r="V378" s="8"/>
      <c r="W378" s="8"/>
      <c r="X378" s="8"/>
      <c r="Y378" s="8"/>
      <c r="Z378" s="8"/>
      <c r="AA378" s="8"/>
    </row>
    <row r="379" spans="1:27" ht="19.75">
      <c r="A379" s="8"/>
      <c r="B379" s="7"/>
      <c r="C379" s="8"/>
      <c r="D379" s="8"/>
      <c r="E379" s="11"/>
      <c r="F379" s="8"/>
      <c r="G379" s="8"/>
      <c r="H379" s="8"/>
      <c r="I379" s="8"/>
      <c r="J379" s="8"/>
      <c r="K379" s="8"/>
      <c r="L379" s="8"/>
      <c r="M379" s="8"/>
      <c r="N379" s="8"/>
      <c r="O379" s="8"/>
      <c r="P379" s="8"/>
      <c r="Q379" s="8"/>
      <c r="R379" s="8"/>
      <c r="S379" s="8"/>
      <c r="T379" s="8"/>
      <c r="U379" s="8"/>
      <c r="V379" s="8"/>
      <c r="W379" s="8"/>
      <c r="X379" s="8"/>
      <c r="Y379" s="8"/>
      <c r="Z379" s="8"/>
      <c r="AA379" s="8"/>
    </row>
    <row r="380" spans="1:27" ht="19.75">
      <c r="A380" s="8"/>
      <c r="B380" s="7"/>
      <c r="C380" s="8"/>
      <c r="D380" s="8"/>
      <c r="E380" s="11"/>
      <c r="F380" s="8"/>
      <c r="G380" s="8"/>
      <c r="H380" s="8"/>
      <c r="I380" s="8"/>
      <c r="J380" s="8"/>
      <c r="K380" s="8"/>
      <c r="L380" s="8"/>
      <c r="M380" s="8"/>
      <c r="N380" s="8"/>
      <c r="O380" s="8"/>
      <c r="P380" s="8"/>
      <c r="Q380" s="8"/>
      <c r="R380" s="8"/>
      <c r="S380" s="8"/>
      <c r="T380" s="8"/>
      <c r="U380" s="8"/>
      <c r="V380" s="8"/>
      <c r="W380" s="8"/>
      <c r="X380" s="8"/>
      <c r="Y380" s="8"/>
      <c r="Z380" s="8"/>
      <c r="AA380" s="8"/>
    </row>
    <row r="381" spans="1:27" ht="19.75">
      <c r="A381" s="8"/>
      <c r="B381" s="7"/>
      <c r="C381" s="8"/>
      <c r="D381" s="8"/>
      <c r="E381" s="11"/>
      <c r="F381" s="8"/>
      <c r="G381" s="8"/>
      <c r="H381" s="8"/>
      <c r="I381" s="8"/>
      <c r="J381" s="8"/>
      <c r="K381" s="8"/>
      <c r="L381" s="8"/>
      <c r="M381" s="8"/>
      <c r="N381" s="8"/>
      <c r="O381" s="8"/>
      <c r="P381" s="8"/>
      <c r="Q381" s="8"/>
      <c r="R381" s="8"/>
      <c r="S381" s="8"/>
      <c r="T381" s="8"/>
      <c r="U381" s="8"/>
      <c r="V381" s="8"/>
      <c r="W381" s="8"/>
      <c r="X381" s="8"/>
      <c r="Y381" s="8"/>
      <c r="Z381" s="8"/>
      <c r="AA381" s="8"/>
    </row>
    <row r="382" spans="1:27" ht="19.75">
      <c r="A382" s="8"/>
      <c r="B382" s="7"/>
      <c r="C382" s="8"/>
      <c r="D382" s="8"/>
      <c r="E382" s="11"/>
      <c r="F382" s="8"/>
      <c r="G382" s="8"/>
      <c r="H382" s="8"/>
      <c r="I382" s="8"/>
      <c r="J382" s="8"/>
      <c r="K382" s="8"/>
      <c r="L382" s="8"/>
      <c r="M382" s="8"/>
      <c r="N382" s="8"/>
      <c r="O382" s="8"/>
      <c r="P382" s="8"/>
      <c r="Q382" s="8"/>
      <c r="R382" s="8"/>
      <c r="S382" s="8"/>
      <c r="T382" s="8"/>
      <c r="U382" s="8"/>
      <c r="V382" s="8"/>
      <c r="W382" s="8"/>
      <c r="X382" s="8"/>
      <c r="Y382" s="8"/>
      <c r="Z382" s="8"/>
      <c r="AA382" s="8"/>
    </row>
    <row r="383" spans="1:27" ht="19.75">
      <c r="A383" s="8"/>
      <c r="B383" s="7"/>
      <c r="C383" s="8"/>
      <c r="D383" s="8"/>
      <c r="E383" s="11"/>
      <c r="F383" s="8"/>
      <c r="G383" s="8"/>
      <c r="H383" s="8"/>
      <c r="I383" s="8"/>
      <c r="J383" s="8"/>
      <c r="K383" s="8"/>
      <c r="L383" s="8"/>
      <c r="M383" s="8"/>
      <c r="N383" s="8"/>
      <c r="O383" s="8"/>
      <c r="P383" s="8"/>
      <c r="Q383" s="8"/>
      <c r="R383" s="8"/>
      <c r="S383" s="8"/>
      <c r="T383" s="8"/>
      <c r="U383" s="8"/>
      <c r="V383" s="8"/>
      <c r="W383" s="8"/>
      <c r="X383" s="8"/>
      <c r="Y383" s="8"/>
      <c r="Z383" s="8"/>
      <c r="AA383" s="8"/>
    </row>
    <row r="384" spans="1:27" ht="19.75">
      <c r="A384" s="8"/>
      <c r="B384" s="7"/>
      <c r="C384" s="8"/>
      <c r="D384" s="8"/>
      <c r="E384" s="11"/>
      <c r="F384" s="8"/>
      <c r="G384" s="8"/>
      <c r="H384" s="8"/>
      <c r="I384" s="8"/>
      <c r="J384" s="8"/>
      <c r="K384" s="8"/>
      <c r="L384" s="8"/>
      <c r="M384" s="8"/>
      <c r="N384" s="8"/>
      <c r="O384" s="8"/>
      <c r="P384" s="8"/>
      <c r="Q384" s="8"/>
      <c r="R384" s="8"/>
      <c r="S384" s="8"/>
      <c r="T384" s="8"/>
      <c r="U384" s="8"/>
      <c r="V384" s="8"/>
      <c r="W384" s="8"/>
      <c r="X384" s="8"/>
      <c r="Y384" s="8"/>
      <c r="Z384" s="8"/>
      <c r="AA384" s="8"/>
    </row>
    <row r="385" spans="1:27" ht="19.75">
      <c r="A385" s="8"/>
      <c r="B385" s="7"/>
      <c r="C385" s="8"/>
      <c r="D385" s="8"/>
      <c r="E385" s="11"/>
      <c r="F385" s="8"/>
      <c r="G385" s="8"/>
      <c r="H385" s="8"/>
      <c r="I385" s="8"/>
      <c r="J385" s="8"/>
      <c r="K385" s="8"/>
      <c r="L385" s="8"/>
      <c r="M385" s="8"/>
      <c r="N385" s="8"/>
      <c r="O385" s="8"/>
      <c r="P385" s="8"/>
      <c r="Q385" s="8"/>
      <c r="R385" s="8"/>
      <c r="S385" s="8"/>
      <c r="T385" s="8"/>
      <c r="U385" s="8"/>
      <c r="V385" s="8"/>
      <c r="W385" s="8"/>
      <c r="X385" s="8"/>
      <c r="Y385" s="8"/>
      <c r="Z385" s="8"/>
      <c r="AA385" s="8"/>
    </row>
    <row r="386" spans="1:27" ht="19.75">
      <c r="A386" s="8"/>
      <c r="B386" s="7"/>
      <c r="C386" s="8"/>
      <c r="D386" s="8"/>
      <c r="E386" s="11"/>
      <c r="F386" s="8"/>
      <c r="G386" s="8"/>
      <c r="H386" s="8"/>
      <c r="I386" s="8"/>
      <c r="J386" s="8"/>
      <c r="K386" s="8"/>
      <c r="L386" s="8"/>
      <c r="M386" s="8"/>
      <c r="N386" s="8"/>
      <c r="O386" s="8"/>
      <c r="P386" s="8"/>
      <c r="Q386" s="8"/>
      <c r="R386" s="8"/>
      <c r="S386" s="8"/>
      <c r="T386" s="8"/>
      <c r="U386" s="8"/>
      <c r="V386" s="8"/>
      <c r="W386" s="8"/>
      <c r="X386" s="8"/>
      <c r="Y386" s="8"/>
      <c r="Z386" s="8"/>
      <c r="AA386" s="8"/>
    </row>
    <row r="387" spans="1:27" ht="19.75">
      <c r="A387" s="8"/>
      <c r="B387" s="7"/>
      <c r="C387" s="8"/>
      <c r="D387" s="8"/>
      <c r="E387" s="11"/>
      <c r="F387" s="8"/>
      <c r="G387" s="8"/>
      <c r="H387" s="8"/>
      <c r="I387" s="8"/>
      <c r="J387" s="8"/>
      <c r="K387" s="8"/>
      <c r="L387" s="8"/>
      <c r="M387" s="8"/>
      <c r="N387" s="8"/>
      <c r="O387" s="8"/>
      <c r="P387" s="8"/>
      <c r="Q387" s="8"/>
      <c r="R387" s="8"/>
      <c r="S387" s="8"/>
      <c r="T387" s="8"/>
      <c r="U387" s="8"/>
      <c r="V387" s="8"/>
      <c r="W387" s="8"/>
      <c r="X387" s="8"/>
      <c r="Y387" s="8"/>
      <c r="Z387" s="8"/>
      <c r="AA387" s="8"/>
    </row>
    <row r="388" spans="1:27" ht="19.75">
      <c r="A388" s="8"/>
      <c r="B388" s="7"/>
      <c r="C388" s="8"/>
      <c r="D388" s="8"/>
      <c r="E388" s="11"/>
      <c r="F388" s="8"/>
      <c r="G388" s="8"/>
      <c r="H388" s="8"/>
      <c r="I388" s="8"/>
      <c r="J388" s="8"/>
      <c r="K388" s="8"/>
      <c r="L388" s="8"/>
      <c r="M388" s="8"/>
      <c r="N388" s="8"/>
      <c r="O388" s="8"/>
      <c r="P388" s="8"/>
      <c r="Q388" s="8"/>
      <c r="R388" s="8"/>
      <c r="S388" s="8"/>
      <c r="T388" s="8"/>
      <c r="U388" s="8"/>
      <c r="V388" s="8"/>
      <c r="W388" s="8"/>
      <c r="X388" s="8"/>
      <c r="Y388" s="8"/>
      <c r="Z388" s="8"/>
      <c r="AA388" s="8"/>
    </row>
    <row r="389" spans="1:27" ht="19.75">
      <c r="A389" s="8"/>
      <c r="B389" s="7"/>
      <c r="C389" s="8"/>
      <c r="D389" s="8"/>
      <c r="E389" s="11"/>
      <c r="F389" s="8"/>
      <c r="G389" s="8"/>
      <c r="H389" s="8"/>
      <c r="I389" s="8"/>
      <c r="J389" s="8"/>
      <c r="K389" s="8"/>
      <c r="L389" s="8"/>
      <c r="M389" s="8"/>
      <c r="N389" s="8"/>
      <c r="O389" s="8"/>
      <c r="P389" s="8"/>
      <c r="Q389" s="8"/>
      <c r="R389" s="8"/>
      <c r="S389" s="8"/>
      <c r="T389" s="8"/>
      <c r="U389" s="8"/>
      <c r="V389" s="8"/>
      <c r="W389" s="8"/>
      <c r="X389" s="8"/>
      <c r="Y389" s="8"/>
      <c r="Z389" s="8"/>
      <c r="AA389" s="8"/>
    </row>
    <row r="390" spans="1:27" ht="19.75">
      <c r="A390" s="8"/>
      <c r="B390" s="7"/>
      <c r="C390" s="8"/>
      <c r="D390" s="8"/>
      <c r="E390" s="11"/>
      <c r="F390" s="8"/>
      <c r="G390" s="8"/>
      <c r="H390" s="8"/>
      <c r="I390" s="8"/>
      <c r="J390" s="8"/>
      <c r="K390" s="8"/>
      <c r="L390" s="8"/>
      <c r="M390" s="8"/>
      <c r="N390" s="8"/>
      <c r="O390" s="8"/>
      <c r="P390" s="8"/>
      <c r="Q390" s="8"/>
      <c r="R390" s="8"/>
      <c r="S390" s="8"/>
      <c r="T390" s="8"/>
      <c r="U390" s="8"/>
      <c r="V390" s="8"/>
      <c r="W390" s="8"/>
      <c r="X390" s="8"/>
      <c r="Y390" s="8"/>
      <c r="Z390" s="8"/>
      <c r="AA390" s="8"/>
    </row>
    <row r="391" spans="1:27" ht="19.75">
      <c r="A391" s="8"/>
      <c r="B391" s="7"/>
      <c r="C391" s="8"/>
      <c r="D391" s="8"/>
      <c r="E391" s="11"/>
      <c r="F391" s="8"/>
      <c r="G391" s="8"/>
      <c r="H391" s="8"/>
      <c r="I391" s="8"/>
      <c r="J391" s="8"/>
      <c r="K391" s="8"/>
      <c r="L391" s="8"/>
      <c r="M391" s="8"/>
      <c r="N391" s="8"/>
      <c r="O391" s="8"/>
      <c r="P391" s="8"/>
      <c r="Q391" s="8"/>
      <c r="R391" s="8"/>
      <c r="S391" s="8"/>
      <c r="T391" s="8"/>
      <c r="U391" s="8"/>
      <c r="V391" s="8"/>
      <c r="W391" s="8"/>
      <c r="X391" s="8"/>
      <c r="Y391" s="8"/>
      <c r="Z391" s="8"/>
      <c r="AA391" s="8"/>
    </row>
    <row r="392" spans="1:27" ht="19.75">
      <c r="A392" s="8"/>
      <c r="B392" s="7"/>
      <c r="C392" s="8"/>
      <c r="D392" s="8"/>
      <c r="E392" s="11"/>
      <c r="F392" s="8"/>
      <c r="G392" s="8"/>
      <c r="H392" s="8"/>
      <c r="I392" s="8"/>
      <c r="J392" s="8"/>
      <c r="K392" s="8"/>
      <c r="L392" s="8"/>
      <c r="M392" s="8"/>
      <c r="N392" s="8"/>
      <c r="O392" s="8"/>
      <c r="P392" s="8"/>
      <c r="Q392" s="8"/>
      <c r="R392" s="8"/>
      <c r="S392" s="8"/>
      <c r="T392" s="8"/>
      <c r="U392" s="8"/>
      <c r="V392" s="8"/>
      <c r="W392" s="8"/>
      <c r="X392" s="8"/>
      <c r="Y392" s="8"/>
      <c r="Z392" s="8"/>
      <c r="AA392" s="8"/>
    </row>
    <row r="393" spans="1:27" ht="19.75">
      <c r="A393" s="8"/>
      <c r="B393" s="7"/>
      <c r="C393" s="8"/>
      <c r="D393" s="8"/>
      <c r="E393" s="11"/>
      <c r="F393" s="8"/>
      <c r="G393" s="8"/>
      <c r="H393" s="8"/>
      <c r="I393" s="8"/>
      <c r="J393" s="8"/>
      <c r="K393" s="8"/>
      <c r="L393" s="8"/>
      <c r="M393" s="8"/>
      <c r="N393" s="8"/>
      <c r="O393" s="8"/>
      <c r="P393" s="8"/>
      <c r="Q393" s="8"/>
      <c r="R393" s="8"/>
      <c r="S393" s="8"/>
      <c r="T393" s="8"/>
      <c r="U393" s="8"/>
      <c r="V393" s="8"/>
      <c r="W393" s="8"/>
      <c r="X393" s="8"/>
      <c r="Y393" s="8"/>
      <c r="Z393" s="8"/>
      <c r="AA393" s="8"/>
    </row>
    <row r="394" spans="1:27" ht="19.75">
      <c r="A394" s="8"/>
      <c r="B394" s="7"/>
      <c r="C394" s="8"/>
      <c r="D394" s="8"/>
      <c r="E394" s="11"/>
      <c r="F394" s="8"/>
      <c r="G394" s="8"/>
      <c r="H394" s="8"/>
      <c r="I394" s="8"/>
      <c r="J394" s="8"/>
      <c r="K394" s="8"/>
      <c r="L394" s="8"/>
      <c r="M394" s="8"/>
      <c r="N394" s="8"/>
      <c r="O394" s="8"/>
      <c r="P394" s="8"/>
      <c r="Q394" s="8"/>
      <c r="R394" s="8"/>
      <c r="S394" s="8"/>
      <c r="T394" s="8"/>
      <c r="U394" s="8"/>
      <c r="V394" s="8"/>
      <c r="W394" s="8"/>
      <c r="X394" s="8"/>
      <c r="Y394" s="8"/>
      <c r="Z394" s="8"/>
      <c r="AA394" s="8"/>
    </row>
    <row r="395" spans="1:27" ht="19.75">
      <c r="A395" s="8"/>
      <c r="B395" s="7"/>
      <c r="C395" s="8"/>
      <c r="D395" s="8"/>
      <c r="E395" s="11"/>
      <c r="F395" s="8"/>
      <c r="G395" s="8"/>
      <c r="H395" s="8"/>
      <c r="I395" s="8"/>
      <c r="J395" s="8"/>
      <c r="K395" s="8"/>
      <c r="L395" s="8"/>
      <c r="M395" s="8"/>
      <c r="N395" s="8"/>
      <c r="O395" s="8"/>
      <c r="P395" s="8"/>
      <c r="Q395" s="8"/>
      <c r="R395" s="8"/>
      <c r="S395" s="8"/>
      <c r="T395" s="8"/>
      <c r="U395" s="8"/>
      <c r="V395" s="8"/>
      <c r="W395" s="8"/>
      <c r="X395" s="8"/>
      <c r="Y395" s="8"/>
      <c r="Z395" s="8"/>
      <c r="AA395" s="8"/>
    </row>
    <row r="396" spans="1:27" ht="19.75">
      <c r="A396" s="8"/>
      <c r="B396" s="7"/>
      <c r="C396" s="8"/>
      <c r="D396" s="8"/>
      <c r="E396" s="11"/>
      <c r="F396" s="8"/>
      <c r="G396" s="8"/>
      <c r="H396" s="8"/>
      <c r="I396" s="8"/>
      <c r="J396" s="8"/>
      <c r="K396" s="8"/>
      <c r="L396" s="8"/>
      <c r="M396" s="8"/>
      <c r="N396" s="8"/>
      <c r="O396" s="8"/>
      <c r="P396" s="8"/>
      <c r="Q396" s="8"/>
      <c r="R396" s="8"/>
      <c r="S396" s="8"/>
      <c r="T396" s="8"/>
      <c r="U396" s="8"/>
      <c r="V396" s="8"/>
      <c r="W396" s="8"/>
      <c r="X396" s="8"/>
      <c r="Y396" s="8"/>
      <c r="Z396" s="8"/>
      <c r="AA396" s="8"/>
    </row>
    <row r="397" spans="1:27" ht="19.75">
      <c r="A397" s="8"/>
      <c r="B397" s="7"/>
      <c r="C397" s="8"/>
      <c r="D397" s="8"/>
      <c r="E397" s="11"/>
      <c r="F397" s="8"/>
      <c r="G397" s="8"/>
      <c r="H397" s="8"/>
      <c r="I397" s="8"/>
      <c r="J397" s="8"/>
      <c r="K397" s="8"/>
      <c r="L397" s="8"/>
      <c r="M397" s="8"/>
      <c r="N397" s="8"/>
      <c r="O397" s="8"/>
      <c r="P397" s="8"/>
      <c r="Q397" s="8"/>
      <c r="R397" s="8"/>
      <c r="S397" s="8"/>
      <c r="T397" s="8"/>
      <c r="U397" s="8"/>
      <c r="V397" s="8"/>
      <c r="W397" s="8"/>
      <c r="X397" s="8"/>
      <c r="Y397" s="8"/>
      <c r="Z397" s="8"/>
      <c r="AA397" s="8"/>
    </row>
    <row r="398" spans="1:27" ht="19.75">
      <c r="A398" s="8"/>
      <c r="B398" s="7"/>
      <c r="C398" s="8"/>
      <c r="D398" s="8"/>
      <c r="E398" s="11"/>
      <c r="F398" s="8"/>
      <c r="G398" s="8"/>
      <c r="H398" s="8"/>
      <c r="I398" s="8"/>
      <c r="J398" s="8"/>
      <c r="K398" s="8"/>
      <c r="L398" s="8"/>
      <c r="M398" s="8"/>
      <c r="N398" s="8"/>
      <c r="O398" s="8"/>
      <c r="P398" s="8"/>
      <c r="Q398" s="8"/>
      <c r="R398" s="8"/>
      <c r="S398" s="8"/>
      <c r="T398" s="8"/>
      <c r="U398" s="8"/>
      <c r="V398" s="8"/>
      <c r="W398" s="8"/>
      <c r="X398" s="8"/>
      <c r="Y398" s="8"/>
      <c r="Z398" s="8"/>
      <c r="AA398" s="8"/>
    </row>
    <row r="399" spans="1:27" ht="19.75">
      <c r="A399" s="8"/>
      <c r="B399" s="7"/>
      <c r="C399" s="8"/>
      <c r="D399" s="8"/>
      <c r="E399" s="11"/>
      <c r="F399" s="8"/>
      <c r="G399" s="8"/>
      <c r="H399" s="8"/>
      <c r="I399" s="8"/>
      <c r="J399" s="8"/>
      <c r="K399" s="8"/>
      <c r="L399" s="8"/>
      <c r="M399" s="8"/>
      <c r="N399" s="8"/>
      <c r="O399" s="8"/>
      <c r="P399" s="8"/>
      <c r="Q399" s="8"/>
      <c r="R399" s="8"/>
      <c r="S399" s="8"/>
      <c r="T399" s="8"/>
      <c r="U399" s="8"/>
      <c r="V399" s="8"/>
      <c r="W399" s="8"/>
      <c r="X399" s="8"/>
      <c r="Y399" s="8"/>
      <c r="Z399" s="8"/>
      <c r="AA399" s="8"/>
    </row>
    <row r="400" spans="1:27" ht="19.75">
      <c r="A400" s="8"/>
      <c r="B400" s="7"/>
      <c r="C400" s="8"/>
      <c r="D400" s="8"/>
      <c r="E400" s="11"/>
      <c r="F400" s="8"/>
      <c r="G400" s="8"/>
      <c r="H400" s="8"/>
      <c r="I400" s="8"/>
      <c r="J400" s="8"/>
      <c r="K400" s="8"/>
      <c r="L400" s="8"/>
      <c r="M400" s="8"/>
      <c r="N400" s="8"/>
      <c r="O400" s="8"/>
      <c r="P400" s="8"/>
      <c r="Q400" s="8"/>
      <c r="R400" s="8"/>
      <c r="S400" s="8"/>
      <c r="T400" s="8"/>
      <c r="U400" s="8"/>
      <c r="V400" s="8"/>
      <c r="W400" s="8"/>
      <c r="X400" s="8"/>
      <c r="Y400" s="8"/>
      <c r="Z400" s="8"/>
      <c r="AA400" s="8"/>
    </row>
    <row r="401" spans="1:27" ht="19.75">
      <c r="A401" s="8"/>
      <c r="B401" s="7"/>
      <c r="C401" s="8"/>
      <c r="D401" s="8"/>
      <c r="E401" s="11"/>
      <c r="F401" s="8"/>
      <c r="G401" s="8"/>
      <c r="H401" s="8"/>
      <c r="I401" s="8"/>
      <c r="J401" s="8"/>
      <c r="K401" s="8"/>
      <c r="L401" s="8"/>
      <c r="M401" s="8"/>
      <c r="N401" s="8"/>
      <c r="O401" s="8"/>
      <c r="P401" s="8"/>
      <c r="Q401" s="8"/>
      <c r="R401" s="8"/>
      <c r="S401" s="8"/>
      <c r="T401" s="8"/>
      <c r="U401" s="8"/>
      <c r="V401" s="8"/>
      <c r="W401" s="8"/>
      <c r="X401" s="8"/>
      <c r="Y401" s="8"/>
      <c r="Z401" s="8"/>
      <c r="AA401" s="8"/>
    </row>
    <row r="402" spans="1:27" ht="19.75">
      <c r="A402" s="8"/>
      <c r="B402" s="7"/>
      <c r="C402" s="8"/>
      <c r="D402" s="8"/>
      <c r="E402" s="11"/>
      <c r="F402" s="8"/>
      <c r="G402" s="8"/>
      <c r="H402" s="8"/>
      <c r="I402" s="8"/>
      <c r="J402" s="8"/>
      <c r="K402" s="8"/>
      <c r="L402" s="8"/>
      <c r="M402" s="8"/>
      <c r="N402" s="8"/>
      <c r="O402" s="8"/>
      <c r="P402" s="8"/>
      <c r="Q402" s="8"/>
      <c r="R402" s="8"/>
      <c r="S402" s="8"/>
      <c r="T402" s="8"/>
      <c r="U402" s="8"/>
      <c r="V402" s="8"/>
      <c r="W402" s="8"/>
      <c r="X402" s="8"/>
      <c r="Y402" s="8"/>
      <c r="Z402" s="8"/>
      <c r="AA402" s="8"/>
    </row>
    <row r="403" spans="1:27" ht="19.75">
      <c r="A403" s="8"/>
      <c r="B403" s="7"/>
      <c r="C403" s="8"/>
      <c r="D403" s="8"/>
      <c r="E403" s="11"/>
      <c r="F403" s="8"/>
      <c r="G403" s="8"/>
      <c r="H403" s="8"/>
      <c r="I403" s="8"/>
      <c r="J403" s="8"/>
      <c r="K403" s="8"/>
      <c r="L403" s="8"/>
      <c r="M403" s="8"/>
      <c r="N403" s="8"/>
      <c r="O403" s="8"/>
      <c r="P403" s="8"/>
      <c r="Q403" s="8"/>
      <c r="R403" s="8"/>
      <c r="S403" s="8"/>
      <c r="T403" s="8"/>
      <c r="U403" s="8"/>
      <c r="V403" s="8"/>
      <c r="W403" s="8"/>
      <c r="X403" s="8"/>
      <c r="Y403" s="8"/>
      <c r="Z403" s="8"/>
      <c r="AA403" s="8"/>
    </row>
    <row r="404" spans="1:27" ht="19.75">
      <c r="A404" s="8"/>
      <c r="B404" s="7"/>
      <c r="C404" s="8"/>
      <c r="D404" s="8"/>
      <c r="E404" s="11"/>
      <c r="F404" s="8"/>
      <c r="G404" s="8"/>
      <c r="H404" s="8"/>
      <c r="I404" s="8"/>
      <c r="J404" s="8"/>
      <c r="K404" s="8"/>
      <c r="L404" s="8"/>
      <c r="M404" s="8"/>
      <c r="N404" s="8"/>
      <c r="O404" s="8"/>
      <c r="P404" s="8"/>
      <c r="Q404" s="8"/>
      <c r="R404" s="8"/>
      <c r="S404" s="8"/>
      <c r="T404" s="8"/>
      <c r="U404" s="8"/>
      <c r="V404" s="8"/>
      <c r="W404" s="8"/>
      <c r="X404" s="8"/>
      <c r="Y404" s="8"/>
      <c r="Z404" s="8"/>
      <c r="AA404" s="8"/>
    </row>
    <row r="405" spans="1:27" ht="19.75">
      <c r="A405" s="8"/>
      <c r="B405" s="7"/>
      <c r="C405" s="8"/>
      <c r="D405" s="8"/>
      <c r="E405" s="11"/>
      <c r="F405" s="8"/>
      <c r="G405" s="8"/>
      <c r="H405" s="8"/>
      <c r="I405" s="8"/>
      <c r="J405" s="8"/>
      <c r="K405" s="8"/>
      <c r="L405" s="8"/>
      <c r="M405" s="8"/>
      <c r="N405" s="8"/>
      <c r="O405" s="8"/>
      <c r="P405" s="8"/>
      <c r="Q405" s="8"/>
      <c r="R405" s="8"/>
      <c r="S405" s="8"/>
      <c r="T405" s="8"/>
      <c r="U405" s="8"/>
      <c r="V405" s="8"/>
      <c r="W405" s="8"/>
      <c r="X405" s="8"/>
      <c r="Y405" s="8"/>
      <c r="Z405" s="8"/>
      <c r="AA405" s="8"/>
    </row>
    <row r="406" spans="1:27" ht="19.75">
      <c r="A406" s="8"/>
      <c r="B406" s="7"/>
      <c r="C406" s="8"/>
      <c r="D406" s="8"/>
      <c r="E406" s="11"/>
      <c r="F406" s="8"/>
      <c r="G406" s="8"/>
      <c r="H406" s="8"/>
      <c r="I406" s="8"/>
      <c r="J406" s="8"/>
      <c r="K406" s="8"/>
      <c r="L406" s="8"/>
      <c r="M406" s="8"/>
      <c r="N406" s="8"/>
      <c r="O406" s="8"/>
      <c r="P406" s="8"/>
      <c r="Q406" s="8"/>
      <c r="R406" s="8"/>
      <c r="S406" s="8"/>
      <c r="T406" s="8"/>
      <c r="U406" s="8"/>
      <c r="V406" s="8"/>
      <c r="W406" s="8"/>
      <c r="X406" s="8"/>
      <c r="Y406" s="8"/>
      <c r="Z406" s="8"/>
      <c r="AA406" s="8"/>
    </row>
    <row r="407" spans="1:27" ht="19.75">
      <c r="A407" s="8"/>
      <c r="B407" s="7"/>
      <c r="C407" s="8"/>
      <c r="D407" s="8"/>
      <c r="E407" s="11"/>
      <c r="F407" s="8"/>
      <c r="G407" s="8"/>
      <c r="H407" s="8"/>
      <c r="I407" s="8"/>
      <c r="J407" s="8"/>
      <c r="K407" s="8"/>
      <c r="L407" s="8"/>
      <c r="M407" s="8"/>
      <c r="N407" s="8"/>
      <c r="O407" s="8"/>
      <c r="P407" s="8"/>
      <c r="Q407" s="8"/>
      <c r="R407" s="8"/>
      <c r="S407" s="8"/>
      <c r="T407" s="8"/>
      <c r="U407" s="8"/>
      <c r="V407" s="8"/>
      <c r="W407" s="8"/>
      <c r="X407" s="8"/>
      <c r="Y407" s="8"/>
      <c r="Z407" s="8"/>
      <c r="AA407" s="8"/>
    </row>
    <row r="408" spans="1:27" ht="19.75">
      <c r="A408" s="8"/>
      <c r="B408" s="7"/>
      <c r="C408" s="8"/>
      <c r="D408" s="8"/>
      <c r="E408" s="11"/>
      <c r="F408" s="8"/>
      <c r="G408" s="8"/>
      <c r="H408" s="8"/>
      <c r="I408" s="8"/>
      <c r="J408" s="8"/>
      <c r="K408" s="8"/>
      <c r="L408" s="8"/>
      <c r="M408" s="8"/>
      <c r="N408" s="8"/>
      <c r="O408" s="8"/>
      <c r="P408" s="8"/>
      <c r="Q408" s="8"/>
      <c r="R408" s="8"/>
      <c r="S408" s="8"/>
      <c r="T408" s="8"/>
      <c r="U408" s="8"/>
      <c r="V408" s="8"/>
      <c r="W408" s="8"/>
      <c r="X408" s="8"/>
      <c r="Y408" s="8"/>
      <c r="Z408" s="8"/>
      <c r="AA408" s="8"/>
    </row>
    <row r="409" spans="1:27" ht="19.75">
      <c r="A409" s="8"/>
      <c r="B409" s="7"/>
      <c r="C409" s="8"/>
      <c r="D409" s="8"/>
      <c r="E409" s="11"/>
      <c r="F409" s="8"/>
      <c r="G409" s="8"/>
      <c r="H409" s="8"/>
      <c r="I409" s="8"/>
      <c r="J409" s="8"/>
      <c r="K409" s="8"/>
      <c r="L409" s="8"/>
      <c r="M409" s="8"/>
      <c r="N409" s="8"/>
      <c r="O409" s="8"/>
      <c r="P409" s="8"/>
      <c r="Q409" s="8"/>
      <c r="R409" s="8"/>
      <c r="S409" s="8"/>
      <c r="T409" s="8"/>
      <c r="U409" s="8"/>
      <c r="V409" s="8"/>
      <c r="W409" s="8"/>
      <c r="X409" s="8"/>
      <c r="Y409" s="8"/>
      <c r="Z409" s="8"/>
      <c r="AA409" s="8"/>
    </row>
    <row r="410" spans="1:27" ht="19.75">
      <c r="A410" s="8"/>
      <c r="B410" s="7"/>
      <c r="C410" s="8"/>
      <c r="D410" s="8"/>
      <c r="E410" s="11"/>
      <c r="F410" s="8"/>
      <c r="G410" s="8"/>
      <c r="H410" s="8"/>
      <c r="I410" s="8"/>
      <c r="J410" s="8"/>
      <c r="K410" s="8"/>
      <c r="L410" s="8"/>
      <c r="M410" s="8"/>
      <c r="N410" s="8"/>
      <c r="O410" s="8"/>
      <c r="P410" s="8"/>
      <c r="Q410" s="8"/>
      <c r="R410" s="8"/>
      <c r="S410" s="8"/>
      <c r="T410" s="8"/>
      <c r="U410" s="8"/>
      <c r="V410" s="8"/>
      <c r="W410" s="8"/>
      <c r="X410" s="8"/>
      <c r="Y410" s="8"/>
      <c r="Z410" s="8"/>
      <c r="AA410" s="8"/>
    </row>
    <row r="411" spans="1:27" ht="19.75">
      <c r="A411" s="8"/>
      <c r="B411" s="7"/>
      <c r="C411" s="8"/>
      <c r="D411" s="8"/>
      <c r="E411" s="11"/>
      <c r="F411" s="8"/>
      <c r="G411" s="8"/>
      <c r="H411" s="8"/>
      <c r="I411" s="8"/>
      <c r="J411" s="8"/>
      <c r="K411" s="8"/>
      <c r="L411" s="8"/>
      <c r="M411" s="8"/>
      <c r="N411" s="8"/>
      <c r="O411" s="8"/>
      <c r="P411" s="8"/>
      <c r="Q411" s="8"/>
      <c r="R411" s="8"/>
      <c r="S411" s="8"/>
      <c r="T411" s="8"/>
      <c r="U411" s="8"/>
      <c r="V411" s="8"/>
      <c r="W411" s="8"/>
      <c r="X411" s="8"/>
      <c r="Y411" s="8"/>
      <c r="Z411" s="8"/>
      <c r="AA411" s="8"/>
    </row>
    <row r="412" spans="1:27" ht="19.75">
      <c r="A412" s="8"/>
      <c r="B412" s="7"/>
      <c r="C412" s="8"/>
      <c r="D412" s="8"/>
      <c r="E412" s="11"/>
      <c r="F412" s="8"/>
      <c r="G412" s="8"/>
      <c r="H412" s="8"/>
      <c r="I412" s="8"/>
      <c r="J412" s="8"/>
      <c r="K412" s="8"/>
      <c r="L412" s="8"/>
      <c r="M412" s="8"/>
      <c r="N412" s="8"/>
      <c r="O412" s="8"/>
      <c r="P412" s="8"/>
      <c r="Q412" s="8"/>
      <c r="R412" s="8"/>
      <c r="S412" s="8"/>
      <c r="T412" s="8"/>
      <c r="U412" s="8"/>
      <c r="V412" s="8"/>
      <c r="W412" s="8"/>
      <c r="X412" s="8"/>
      <c r="Y412" s="8"/>
      <c r="Z412" s="8"/>
      <c r="AA412" s="8"/>
    </row>
    <row r="413" spans="1:27" ht="19.75">
      <c r="A413" s="8"/>
      <c r="B413" s="7"/>
      <c r="C413" s="8"/>
      <c r="D413" s="8"/>
      <c r="E413" s="11"/>
      <c r="F413" s="8"/>
      <c r="G413" s="8"/>
      <c r="H413" s="8"/>
      <c r="I413" s="8"/>
      <c r="J413" s="8"/>
      <c r="K413" s="8"/>
      <c r="L413" s="8"/>
      <c r="M413" s="8"/>
      <c r="N413" s="8"/>
      <c r="O413" s="8"/>
      <c r="P413" s="8"/>
      <c r="Q413" s="8"/>
      <c r="R413" s="8"/>
      <c r="S413" s="8"/>
      <c r="T413" s="8"/>
      <c r="U413" s="8"/>
      <c r="V413" s="8"/>
      <c r="W413" s="8"/>
      <c r="X413" s="8"/>
      <c r="Y413" s="8"/>
      <c r="Z413" s="8"/>
      <c r="AA413" s="8"/>
    </row>
    <row r="414" spans="1:27" ht="19.75">
      <c r="A414" s="8"/>
      <c r="B414" s="7"/>
      <c r="C414" s="8"/>
      <c r="D414" s="8"/>
      <c r="E414" s="11"/>
      <c r="F414" s="8"/>
      <c r="G414" s="8"/>
      <c r="H414" s="8"/>
      <c r="I414" s="8"/>
      <c r="J414" s="8"/>
      <c r="K414" s="8"/>
      <c r="L414" s="8"/>
      <c r="M414" s="8"/>
      <c r="N414" s="8"/>
      <c r="O414" s="8"/>
      <c r="P414" s="8"/>
      <c r="Q414" s="8"/>
      <c r="R414" s="8"/>
      <c r="S414" s="8"/>
      <c r="T414" s="8"/>
      <c r="U414" s="8"/>
      <c r="V414" s="8"/>
      <c r="W414" s="8"/>
      <c r="X414" s="8"/>
      <c r="Y414" s="8"/>
      <c r="Z414" s="8"/>
      <c r="AA414" s="8"/>
    </row>
    <row r="415" spans="1:27" ht="19.75">
      <c r="A415" s="8"/>
      <c r="B415" s="7"/>
      <c r="C415" s="8"/>
      <c r="D415" s="8"/>
      <c r="E415" s="11"/>
      <c r="F415" s="8"/>
      <c r="G415" s="8"/>
      <c r="H415" s="8"/>
      <c r="I415" s="8"/>
      <c r="J415" s="8"/>
      <c r="K415" s="8"/>
      <c r="L415" s="8"/>
      <c r="M415" s="8"/>
      <c r="N415" s="8"/>
      <c r="O415" s="8"/>
      <c r="P415" s="8"/>
      <c r="Q415" s="8"/>
      <c r="R415" s="8"/>
      <c r="S415" s="8"/>
      <c r="T415" s="8"/>
      <c r="U415" s="8"/>
      <c r="V415" s="8"/>
      <c r="W415" s="8"/>
      <c r="X415" s="8"/>
      <c r="Y415" s="8"/>
      <c r="Z415" s="8"/>
      <c r="AA415" s="8"/>
    </row>
    <row r="416" spans="1:27" ht="19.75">
      <c r="A416" s="8"/>
      <c r="B416" s="7"/>
      <c r="C416" s="8"/>
      <c r="D416" s="8"/>
      <c r="E416" s="11"/>
      <c r="F416" s="8"/>
      <c r="G416" s="8"/>
      <c r="H416" s="8"/>
      <c r="I416" s="8"/>
      <c r="J416" s="8"/>
      <c r="K416" s="8"/>
      <c r="L416" s="8"/>
      <c r="M416" s="8"/>
      <c r="N416" s="8"/>
      <c r="O416" s="8"/>
      <c r="P416" s="8"/>
      <c r="Q416" s="8"/>
      <c r="R416" s="8"/>
      <c r="S416" s="8"/>
      <c r="T416" s="8"/>
      <c r="U416" s="8"/>
      <c r="V416" s="8"/>
      <c r="W416" s="8"/>
      <c r="X416" s="8"/>
      <c r="Y416" s="8"/>
      <c r="Z416" s="8"/>
      <c r="AA416" s="8"/>
    </row>
    <row r="417" spans="1:27" ht="19.75">
      <c r="A417" s="8"/>
      <c r="B417" s="7"/>
      <c r="C417" s="8"/>
      <c r="D417" s="8"/>
      <c r="E417" s="11"/>
      <c r="F417" s="8"/>
      <c r="G417" s="8"/>
      <c r="H417" s="8"/>
      <c r="I417" s="8"/>
      <c r="J417" s="8"/>
      <c r="K417" s="8"/>
      <c r="L417" s="8"/>
      <c r="M417" s="8"/>
      <c r="N417" s="8"/>
      <c r="O417" s="8"/>
      <c r="P417" s="8"/>
      <c r="Q417" s="8"/>
      <c r="R417" s="8"/>
      <c r="S417" s="8"/>
      <c r="T417" s="8"/>
      <c r="U417" s="8"/>
      <c r="V417" s="8"/>
      <c r="W417" s="8"/>
      <c r="X417" s="8"/>
      <c r="Y417" s="8"/>
      <c r="Z417" s="8"/>
      <c r="AA417" s="8"/>
    </row>
    <row r="418" spans="1:27" ht="19.75">
      <c r="A418" s="8"/>
      <c r="B418" s="7"/>
      <c r="C418" s="8"/>
      <c r="D418" s="8"/>
      <c r="E418" s="11"/>
      <c r="F418" s="8"/>
      <c r="G418" s="8"/>
      <c r="H418" s="8"/>
      <c r="I418" s="8"/>
      <c r="J418" s="8"/>
      <c r="K418" s="8"/>
      <c r="L418" s="8"/>
      <c r="M418" s="8"/>
      <c r="N418" s="8"/>
      <c r="O418" s="8"/>
      <c r="P418" s="8"/>
      <c r="Q418" s="8"/>
      <c r="R418" s="8"/>
      <c r="S418" s="8"/>
      <c r="T418" s="8"/>
      <c r="U418" s="8"/>
      <c r="V418" s="8"/>
      <c r="W418" s="8"/>
      <c r="X418" s="8"/>
      <c r="Y418" s="8"/>
      <c r="Z418" s="8"/>
      <c r="AA418" s="8"/>
    </row>
    <row r="419" spans="1:27" ht="19.75">
      <c r="A419" s="8"/>
      <c r="B419" s="7"/>
      <c r="C419" s="8"/>
      <c r="D419" s="8"/>
      <c r="E419" s="11"/>
      <c r="F419" s="8"/>
      <c r="G419" s="8"/>
      <c r="H419" s="8"/>
      <c r="I419" s="8"/>
      <c r="J419" s="8"/>
      <c r="K419" s="8"/>
      <c r="L419" s="8"/>
      <c r="M419" s="8"/>
      <c r="N419" s="8"/>
      <c r="O419" s="8"/>
      <c r="P419" s="8"/>
      <c r="Q419" s="8"/>
      <c r="R419" s="8"/>
      <c r="S419" s="8"/>
      <c r="T419" s="8"/>
      <c r="U419" s="8"/>
      <c r="V419" s="8"/>
      <c r="W419" s="8"/>
      <c r="X419" s="8"/>
      <c r="Y419" s="8"/>
      <c r="Z419" s="8"/>
      <c r="AA419" s="8"/>
    </row>
    <row r="420" spans="1:27" ht="19.75">
      <c r="A420" s="8"/>
      <c r="B420" s="7"/>
      <c r="C420" s="8"/>
      <c r="D420" s="8"/>
      <c r="E420" s="11"/>
      <c r="F420" s="8"/>
      <c r="G420" s="8"/>
      <c r="H420" s="8"/>
      <c r="I420" s="8"/>
      <c r="J420" s="8"/>
      <c r="K420" s="8"/>
      <c r="L420" s="8"/>
      <c r="M420" s="8"/>
      <c r="N420" s="8"/>
      <c r="O420" s="8"/>
      <c r="P420" s="8"/>
      <c r="Q420" s="8"/>
      <c r="R420" s="8"/>
      <c r="S420" s="8"/>
      <c r="T420" s="8"/>
      <c r="U420" s="8"/>
      <c r="V420" s="8"/>
      <c r="W420" s="8"/>
      <c r="X420" s="8"/>
      <c r="Y420" s="8"/>
      <c r="Z420" s="8"/>
      <c r="AA420" s="8"/>
    </row>
    <row r="421" spans="1:27" ht="19.75">
      <c r="A421" s="8"/>
      <c r="B421" s="7"/>
      <c r="C421" s="8"/>
      <c r="D421" s="8"/>
      <c r="E421" s="11"/>
      <c r="F421" s="8"/>
      <c r="G421" s="8"/>
      <c r="H421" s="8"/>
      <c r="I421" s="8"/>
      <c r="J421" s="8"/>
      <c r="K421" s="8"/>
      <c r="L421" s="8"/>
      <c r="M421" s="8"/>
      <c r="N421" s="8"/>
      <c r="O421" s="8"/>
      <c r="P421" s="8"/>
      <c r="Q421" s="8"/>
      <c r="R421" s="8"/>
      <c r="S421" s="8"/>
      <c r="T421" s="8"/>
      <c r="U421" s="8"/>
      <c r="V421" s="8"/>
      <c r="W421" s="8"/>
      <c r="X421" s="8"/>
      <c r="Y421" s="8"/>
      <c r="Z421" s="8"/>
      <c r="AA421" s="8"/>
    </row>
    <row r="422" spans="1:27" ht="19.75">
      <c r="A422" s="8"/>
      <c r="B422" s="7"/>
      <c r="C422" s="8"/>
      <c r="D422" s="8"/>
      <c r="E422" s="11"/>
      <c r="F422" s="8"/>
      <c r="G422" s="8"/>
      <c r="H422" s="8"/>
      <c r="I422" s="8"/>
      <c r="J422" s="8"/>
      <c r="K422" s="8"/>
      <c r="L422" s="8"/>
      <c r="M422" s="8"/>
      <c r="N422" s="8"/>
      <c r="O422" s="8"/>
      <c r="P422" s="8"/>
      <c r="Q422" s="8"/>
      <c r="R422" s="8"/>
      <c r="S422" s="8"/>
      <c r="T422" s="8"/>
      <c r="U422" s="8"/>
      <c r="V422" s="8"/>
      <c r="W422" s="8"/>
      <c r="X422" s="8"/>
      <c r="Y422" s="8"/>
      <c r="Z422" s="8"/>
      <c r="AA422" s="8"/>
    </row>
    <row r="423" spans="1:27" ht="19.75">
      <c r="A423" s="8"/>
      <c r="B423" s="7"/>
      <c r="C423" s="8"/>
      <c r="D423" s="8"/>
      <c r="E423" s="11"/>
      <c r="F423" s="8"/>
      <c r="G423" s="8"/>
      <c r="H423" s="8"/>
      <c r="I423" s="8"/>
      <c r="J423" s="8"/>
      <c r="K423" s="8"/>
      <c r="L423" s="8"/>
      <c r="M423" s="8"/>
      <c r="N423" s="8"/>
      <c r="O423" s="8"/>
      <c r="P423" s="8"/>
      <c r="Q423" s="8"/>
      <c r="R423" s="8"/>
      <c r="S423" s="8"/>
      <c r="T423" s="8"/>
      <c r="U423" s="8"/>
      <c r="V423" s="8"/>
      <c r="W423" s="8"/>
      <c r="X423" s="8"/>
      <c r="Y423" s="8"/>
      <c r="Z423" s="8"/>
      <c r="AA423" s="8"/>
    </row>
    <row r="424" spans="1:27" ht="19.75">
      <c r="A424" s="8"/>
      <c r="B424" s="7"/>
      <c r="C424" s="8"/>
      <c r="D424" s="8"/>
      <c r="E424" s="11"/>
      <c r="F424" s="8"/>
      <c r="G424" s="8"/>
      <c r="H424" s="8"/>
      <c r="I424" s="8"/>
      <c r="J424" s="8"/>
      <c r="K424" s="8"/>
      <c r="L424" s="8"/>
      <c r="M424" s="8"/>
      <c r="N424" s="8"/>
      <c r="O424" s="8"/>
      <c r="P424" s="8"/>
      <c r="Q424" s="8"/>
      <c r="R424" s="8"/>
      <c r="S424" s="8"/>
      <c r="T424" s="8"/>
      <c r="U424" s="8"/>
      <c r="V424" s="8"/>
      <c r="W424" s="8"/>
      <c r="X424" s="8"/>
      <c r="Y424" s="8"/>
      <c r="Z424" s="8"/>
      <c r="AA424" s="8"/>
    </row>
    <row r="425" spans="1:27" ht="19.75">
      <c r="A425" s="8"/>
      <c r="B425" s="7"/>
      <c r="C425" s="8"/>
      <c r="D425" s="8"/>
      <c r="E425" s="11"/>
      <c r="F425" s="8"/>
      <c r="G425" s="8"/>
      <c r="H425" s="8"/>
      <c r="I425" s="8"/>
      <c r="J425" s="8"/>
      <c r="K425" s="8"/>
      <c r="L425" s="8"/>
      <c r="M425" s="8"/>
      <c r="N425" s="8"/>
      <c r="O425" s="8"/>
      <c r="P425" s="8"/>
      <c r="Q425" s="8"/>
      <c r="R425" s="8"/>
      <c r="S425" s="8"/>
      <c r="T425" s="8"/>
      <c r="U425" s="8"/>
      <c r="V425" s="8"/>
      <c r="W425" s="8"/>
      <c r="X425" s="8"/>
      <c r="Y425" s="8"/>
      <c r="Z425" s="8"/>
      <c r="AA425" s="8"/>
    </row>
    <row r="426" spans="1:27" ht="19.75">
      <c r="A426" s="8"/>
      <c r="B426" s="7"/>
      <c r="C426" s="8"/>
      <c r="D426" s="8"/>
      <c r="E426" s="11"/>
      <c r="F426" s="8"/>
      <c r="G426" s="8"/>
      <c r="H426" s="8"/>
      <c r="I426" s="8"/>
      <c r="J426" s="8"/>
      <c r="K426" s="8"/>
      <c r="L426" s="8"/>
      <c r="M426" s="8"/>
      <c r="N426" s="8"/>
      <c r="O426" s="8"/>
      <c r="P426" s="8"/>
      <c r="Q426" s="8"/>
      <c r="R426" s="8"/>
      <c r="S426" s="8"/>
      <c r="T426" s="8"/>
      <c r="U426" s="8"/>
      <c r="V426" s="8"/>
      <c r="W426" s="8"/>
      <c r="X426" s="8"/>
      <c r="Y426" s="8"/>
      <c r="Z426" s="8"/>
      <c r="AA426" s="8"/>
    </row>
    <row r="427" spans="1:27" ht="19.75">
      <c r="A427" s="8"/>
      <c r="B427" s="7"/>
      <c r="C427" s="8"/>
      <c r="D427" s="8"/>
      <c r="E427" s="11"/>
      <c r="F427" s="8"/>
      <c r="G427" s="8"/>
      <c r="H427" s="8"/>
      <c r="I427" s="8"/>
      <c r="J427" s="8"/>
      <c r="K427" s="8"/>
      <c r="L427" s="8"/>
      <c r="M427" s="8"/>
      <c r="N427" s="8"/>
      <c r="O427" s="8"/>
      <c r="P427" s="8"/>
      <c r="Q427" s="8"/>
      <c r="R427" s="8"/>
      <c r="S427" s="8"/>
      <c r="T427" s="8"/>
      <c r="U427" s="8"/>
      <c r="V427" s="8"/>
      <c r="W427" s="8"/>
      <c r="X427" s="8"/>
      <c r="Y427" s="8"/>
      <c r="Z427" s="8"/>
      <c r="AA427" s="8"/>
    </row>
    <row r="428" spans="1:27" ht="19.75">
      <c r="A428" s="8"/>
      <c r="B428" s="7"/>
      <c r="C428" s="8"/>
      <c r="D428" s="8"/>
      <c r="E428" s="11"/>
      <c r="F428" s="8"/>
      <c r="G428" s="8"/>
      <c r="H428" s="8"/>
      <c r="I428" s="8"/>
      <c r="J428" s="8"/>
      <c r="K428" s="8"/>
      <c r="L428" s="8"/>
      <c r="M428" s="8"/>
      <c r="N428" s="8"/>
      <c r="O428" s="8"/>
      <c r="P428" s="8"/>
      <c r="Q428" s="8"/>
      <c r="R428" s="8"/>
      <c r="S428" s="8"/>
      <c r="T428" s="8"/>
      <c r="U428" s="8"/>
      <c r="V428" s="8"/>
      <c r="W428" s="8"/>
      <c r="X428" s="8"/>
      <c r="Y428" s="8"/>
      <c r="Z428" s="8"/>
      <c r="AA428" s="8"/>
    </row>
    <row r="429" spans="1:27" ht="19.75">
      <c r="A429" s="8"/>
      <c r="B429" s="7"/>
      <c r="C429" s="8"/>
      <c r="D429" s="8"/>
      <c r="E429" s="11"/>
      <c r="F429" s="8"/>
      <c r="G429" s="8"/>
      <c r="H429" s="8"/>
      <c r="I429" s="8"/>
      <c r="J429" s="8"/>
      <c r="K429" s="8"/>
      <c r="L429" s="8"/>
      <c r="M429" s="8"/>
      <c r="N429" s="8"/>
      <c r="O429" s="8"/>
      <c r="P429" s="8"/>
      <c r="Q429" s="8"/>
      <c r="R429" s="8"/>
      <c r="S429" s="8"/>
      <c r="T429" s="8"/>
      <c r="U429" s="8"/>
      <c r="V429" s="8"/>
      <c r="W429" s="8"/>
      <c r="X429" s="8"/>
      <c r="Y429" s="8"/>
      <c r="Z429" s="8"/>
      <c r="AA429" s="8"/>
    </row>
    <row r="430" spans="1:27" ht="19.75">
      <c r="A430" s="8"/>
      <c r="B430" s="7"/>
      <c r="C430" s="8"/>
      <c r="D430" s="8"/>
      <c r="E430" s="11"/>
      <c r="F430" s="8"/>
      <c r="G430" s="8"/>
      <c r="H430" s="8"/>
      <c r="I430" s="8"/>
      <c r="J430" s="8"/>
      <c r="K430" s="8"/>
      <c r="L430" s="8"/>
      <c r="M430" s="8"/>
      <c r="N430" s="8"/>
      <c r="O430" s="8"/>
      <c r="P430" s="8"/>
      <c r="Q430" s="8"/>
      <c r="R430" s="8"/>
      <c r="S430" s="8"/>
      <c r="T430" s="8"/>
      <c r="U430" s="8"/>
      <c r="V430" s="8"/>
      <c r="W430" s="8"/>
      <c r="X430" s="8"/>
      <c r="Y430" s="8"/>
      <c r="Z430" s="8"/>
      <c r="AA430" s="8"/>
    </row>
    <row r="431" spans="1:27" ht="19.75">
      <c r="A431" s="8"/>
      <c r="B431" s="7"/>
      <c r="C431" s="8"/>
      <c r="D431" s="8"/>
      <c r="E431" s="11"/>
      <c r="F431" s="8"/>
      <c r="G431" s="8"/>
      <c r="H431" s="8"/>
      <c r="I431" s="8"/>
      <c r="J431" s="8"/>
      <c r="K431" s="8"/>
      <c r="L431" s="8"/>
      <c r="M431" s="8"/>
      <c r="N431" s="8"/>
      <c r="O431" s="8"/>
      <c r="P431" s="8"/>
      <c r="Q431" s="8"/>
      <c r="R431" s="8"/>
      <c r="S431" s="8"/>
      <c r="T431" s="8"/>
      <c r="U431" s="8"/>
      <c r="V431" s="8"/>
      <c r="W431" s="8"/>
      <c r="X431" s="8"/>
      <c r="Y431" s="8"/>
      <c r="Z431" s="8"/>
      <c r="AA431" s="8"/>
    </row>
    <row r="432" spans="1:27" ht="19.75">
      <c r="A432" s="8"/>
      <c r="B432" s="7"/>
      <c r="C432" s="8"/>
      <c r="D432" s="8"/>
      <c r="E432" s="11"/>
      <c r="F432" s="8"/>
      <c r="G432" s="8"/>
      <c r="H432" s="8"/>
      <c r="I432" s="8"/>
      <c r="J432" s="8"/>
      <c r="K432" s="8"/>
      <c r="L432" s="8"/>
      <c r="M432" s="8"/>
      <c r="N432" s="8"/>
      <c r="O432" s="8"/>
      <c r="P432" s="8"/>
      <c r="Q432" s="8"/>
      <c r="R432" s="8"/>
      <c r="S432" s="8"/>
      <c r="T432" s="8"/>
      <c r="U432" s="8"/>
      <c r="V432" s="8"/>
      <c r="W432" s="8"/>
      <c r="X432" s="8"/>
      <c r="Y432" s="8"/>
      <c r="Z432" s="8"/>
      <c r="AA432" s="8"/>
    </row>
    <row r="433" spans="1:27" ht="19.75">
      <c r="A433" s="8"/>
      <c r="B433" s="7"/>
      <c r="C433" s="8"/>
      <c r="D433" s="8"/>
      <c r="E433" s="11"/>
      <c r="F433" s="8"/>
      <c r="G433" s="8"/>
      <c r="H433" s="8"/>
      <c r="I433" s="8"/>
      <c r="J433" s="8"/>
      <c r="K433" s="8"/>
      <c r="L433" s="8"/>
      <c r="M433" s="8"/>
      <c r="N433" s="8"/>
      <c r="O433" s="8"/>
      <c r="P433" s="8"/>
      <c r="Q433" s="8"/>
      <c r="R433" s="8"/>
      <c r="S433" s="8"/>
      <c r="T433" s="8"/>
      <c r="U433" s="8"/>
      <c r="V433" s="8"/>
      <c r="W433" s="8"/>
      <c r="X433" s="8"/>
      <c r="Y433" s="8"/>
      <c r="Z433" s="8"/>
      <c r="AA433" s="8"/>
    </row>
    <row r="434" spans="1:27" ht="19.75">
      <c r="A434" s="8"/>
      <c r="B434" s="7"/>
      <c r="C434" s="8"/>
      <c r="D434" s="8"/>
      <c r="E434" s="11"/>
      <c r="F434" s="8"/>
      <c r="G434" s="8"/>
      <c r="H434" s="8"/>
      <c r="I434" s="8"/>
      <c r="J434" s="8"/>
      <c r="K434" s="8"/>
      <c r="L434" s="8"/>
      <c r="M434" s="8"/>
      <c r="N434" s="8"/>
      <c r="O434" s="8"/>
      <c r="P434" s="8"/>
      <c r="Q434" s="8"/>
      <c r="R434" s="8"/>
      <c r="S434" s="8"/>
      <c r="T434" s="8"/>
      <c r="U434" s="8"/>
      <c r="V434" s="8"/>
      <c r="W434" s="8"/>
      <c r="X434" s="8"/>
      <c r="Y434" s="8"/>
      <c r="Z434" s="8"/>
      <c r="AA434" s="8"/>
    </row>
    <row r="435" spans="1:27" ht="19.75">
      <c r="A435" s="8"/>
      <c r="B435" s="7"/>
      <c r="C435" s="8"/>
      <c r="D435" s="8"/>
      <c r="E435" s="11"/>
      <c r="F435" s="8"/>
      <c r="G435" s="8"/>
      <c r="H435" s="8"/>
      <c r="I435" s="8"/>
      <c r="J435" s="8"/>
      <c r="K435" s="8"/>
      <c r="L435" s="8"/>
      <c r="M435" s="8"/>
      <c r="N435" s="8"/>
      <c r="O435" s="8"/>
      <c r="P435" s="8"/>
      <c r="Q435" s="8"/>
      <c r="R435" s="8"/>
      <c r="S435" s="8"/>
      <c r="T435" s="8"/>
      <c r="U435" s="8"/>
      <c r="V435" s="8"/>
      <c r="W435" s="8"/>
      <c r="X435" s="8"/>
      <c r="Y435" s="8"/>
      <c r="Z435" s="8"/>
      <c r="AA435" s="8"/>
    </row>
    <row r="436" spans="1:27" ht="19.75">
      <c r="A436" s="8"/>
      <c r="B436" s="7"/>
      <c r="C436" s="8"/>
      <c r="D436" s="8"/>
      <c r="E436" s="11"/>
      <c r="F436" s="8"/>
      <c r="G436" s="8"/>
      <c r="H436" s="8"/>
      <c r="I436" s="8"/>
      <c r="J436" s="8"/>
      <c r="K436" s="8"/>
      <c r="L436" s="8"/>
      <c r="M436" s="8"/>
      <c r="N436" s="8"/>
      <c r="O436" s="8"/>
      <c r="P436" s="8"/>
      <c r="Q436" s="8"/>
      <c r="R436" s="8"/>
      <c r="S436" s="8"/>
      <c r="T436" s="8"/>
      <c r="U436" s="8"/>
      <c r="V436" s="8"/>
      <c r="W436" s="8"/>
      <c r="X436" s="8"/>
      <c r="Y436" s="8"/>
      <c r="Z436" s="8"/>
      <c r="AA436" s="8"/>
    </row>
    <row r="437" spans="1:27" ht="19.75">
      <c r="A437" s="8"/>
      <c r="B437" s="7"/>
      <c r="C437" s="8"/>
      <c r="D437" s="8"/>
      <c r="E437" s="11"/>
      <c r="F437" s="8"/>
      <c r="G437" s="8"/>
      <c r="H437" s="8"/>
      <c r="I437" s="8"/>
      <c r="J437" s="8"/>
      <c r="K437" s="8"/>
      <c r="L437" s="8"/>
      <c r="M437" s="8"/>
      <c r="N437" s="8"/>
      <c r="O437" s="8"/>
      <c r="P437" s="8"/>
      <c r="Q437" s="8"/>
      <c r="R437" s="8"/>
      <c r="S437" s="8"/>
      <c r="T437" s="8"/>
      <c r="U437" s="8"/>
      <c r="V437" s="8"/>
      <c r="W437" s="8"/>
      <c r="X437" s="8"/>
      <c r="Y437" s="8"/>
      <c r="Z437" s="8"/>
      <c r="AA437" s="8"/>
    </row>
    <row r="438" spans="1:27" ht="19.75">
      <c r="A438" s="8"/>
      <c r="B438" s="7"/>
      <c r="C438" s="8"/>
      <c r="D438" s="8"/>
      <c r="E438" s="11"/>
      <c r="F438" s="8"/>
      <c r="G438" s="8"/>
      <c r="H438" s="8"/>
      <c r="I438" s="8"/>
      <c r="J438" s="8"/>
      <c r="K438" s="8"/>
      <c r="L438" s="8"/>
      <c r="M438" s="8"/>
      <c r="N438" s="8"/>
      <c r="O438" s="8"/>
      <c r="P438" s="8"/>
      <c r="Q438" s="8"/>
      <c r="R438" s="8"/>
      <c r="S438" s="8"/>
      <c r="T438" s="8"/>
      <c r="U438" s="8"/>
      <c r="V438" s="8"/>
      <c r="W438" s="8"/>
      <c r="X438" s="8"/>
      <c r="Y438" s="8"/>
      <c r="Z438" s="8"/>
      <c r="AA438" s="8"/>
    </row>
    <row r="439" spans="1:27" ht="19.75">
      <c r="A439" s="8"/>
      <c r="B439" s="7"/>
      <c r="C439" s="8"/>
      <c r="D439" s="8"/>
      <c r="E439" s="11"/>
      <c r="F439" s="8"/>
      <c r="G439" s="8"/>
      <c r="H439" s="8"/>
      <c r="I439" s="8"/>
      <c r="J439" s="8"/>
      <c r="K439" s="8"/>
      <c r="L439" s="8"/>
      <c r="M439" s="8"/>
      <c r="N439" s="8"/>
      <c r="O439" s="8"/>
      <c r="P439" s="8"/>
      <c r="Q439" s="8"/>
      <c r="R439" s="8"/>
      <c r="S439" s="8"/>
      <c r="T439" s="8"/>
      <c r="U439" s="8"/>
      <c r="V439" s="8"/>
      <c r="W439" s="8"/>
      <c r="X439" s="8"/>
      <c r="Y439" s="8"/>
      <c r="Z439" s="8"/>
      <c r="AA439" s="8"/>
    </row>
    <row r="440" spans="1:27" ht="19.75">
      <c r="A440" s="8"/>
      <c r="B440" s="7"/>
      <c r="C440" s="8"/>
      <c r="D440" s="8"/>
      <c r="E440" s="11"/>
      <c r="F440" s="8"/>
      <c r="G440" s="8"/>
      <c r="H440" s="8"/>
      <c r="I440" s="8"/>
      <c r="J440" s="8"/>
      <c r="K440" s="8"/>
      <c r="L440" s="8"/>
      <c r="M440" s="8"/>
      <c r="N440" s="8"/>
      <c r="O440" s="8"/>
      <c r="P440" s="8"/>
      <c r="Q440" s="8"/>
      <c r="R440" s="8"/>
      <c r="S440" s="8"/>
      <c r="T440" s="8"/>
      <c r="U440" s="8"/>
      <c r="V440" s="8"/>
      <c r="W440" s="8"/>
      <c r="X440" s="8"/>
      <c r="Y440" s="8"/>
      <c r="Z440" s="8"/>
      <c r="AA440" s="8"/>
    </row>
    <row r="441" spans="1:27" ht="19.75">
      <c r="A441" s="8"/>
      <c r="B441" s="7"/>
      <c r="C441" s="8"/>
      <c r="D441" s="8"/>
      <c r="E441" s="11"/>
      <c r="F441" s="8"/>
      <c r="G441" s="8"/>
      <c r="H441" s="8"/>
      <c r="I441" s="8"/>
      <c r="J441" s="8"/>
      <c r="K441" s="8"/>
      <c r="L441" s="8"/>
      <c r="M441" s="8"/>
      <c r="N441" s="8"/>
      <c r="O441" s="8"/>
      <c r="P441" s="8"/>
      <c r="Q441" s="8"/>
      <c r="R441" s="8"/>
      <c r="S441" s="8"/>
      <c r="T441" s="8"/>
      <c r="U441" s="8"/>
      <c r="V441" s="8"/>
      <c r="W441" s="8"/>
      <c r="X441" s="8"/>
      <c r="Y441" s="8"/>
      <c r="Z441" s="8"/>
      <c r="AA441" s="8"/>
    </row>
    <row r="442" spans="1:27" ht="19.75">
      <c r="A442" s="8"/>
      <c r="B442" s="7"/>
      <c r="C442" s="8"/>
      <c r="D442" s="8"/>
      <c r="E442" s="11"/>
      <c r="F442" s="8"/>
      <c r="G442" s="8"/>
      <c r="H442" s="8"/>
      <c r="I442" s="8"/>
      <c r="J442" s="8"/>
      <c r="K442" s="8"/>
      <c r="L442" s="8"/>
      <c r="M442" s="8"/>
      <c r="N442" s="8"/>
      <c r="O442" s="8"/>
      <c r="P442" s="8"/>
      <c r="Q442" s="8"/>
      <c r="R442" s="8"/>
      <c r="S442" s="8"/>
      <c r="T442" s="8"/>
      <c r="U442" s="8"/>
      <c r="V442" s="8"/>
      <c r="W442" s="8"/>
      <c r="X442" s="8"/>
      <c r="Y442" s="8"/>
      <c r="Z442" s="8"/>
      <c r="AA442" s="8"/>
    </row>
    <row r="443" spans="1:27" ht="19.75">
      <c r="A443" s="8"/>
      <c r="B443" s="7"/>
      <c r="C443" s="8"/>
      <c r="D443" s="8"/>
      <c r="E443" s="11"/>
      <c r="F443" s="8"/>
      <c r="G443" s="8"/>
      <c r="H443" s="8"/>
      <c r="I443" s="8"/>
      <c r="J443" s="8"/>
      <c r="K443" s="8"/>
      <c r="L443" s="8"/>
      <c r="M443" s="8"/>
      <c r="N443" s="8"/>
      <c r="O443" s="8"/>
      <c r="P443" s="8"/>
      <c r="Q443" s="8"/>
      <c r="R443" s="8"/>
      <c r="S443" s="8"/>
      <c r="T443" s="8"/>
      <c r="U443" s="8"/>
      <c r="V443" s="8"/>
      <c r="W443" s="8"/>
      <c r="X443" s="8"/>
      <c r="Y443" s="8"/>
      <c r="Z443" s="8"/>
      <c r="AA443" s="8"/>
    </row>
    <row r="444" spans="1:27" ht="19.75">
      <c r="A444" s="8"/>
      <c r="B444" s="7"/>
      <c r="C444" s="8"/>
      <c r="D444" s="8"/>
      <c r="E444" s="11"/>
      <c r="F444" s="8"/>
      <c r="G444" s="8"/>
      <c r="H444" s="8"/>
      <c r="I444" s="8"/>
      <c r="J444" s="8"/>
      <c r="K444" s="8"/>
      <c r="L444" s="8"/>
      <c r="M444" s="8"/>
      <c r="N444" s="8"/>
      <c r="O444" s="8"/>
      <c r="P444" s="8"/>
      <c r="Q444" s="8"/>
      <c r="R444" s="8"/>
      <c r="S444" s="8"/>
      <c r="T444" s="8"/>
      <c r="U444" s="8"/>
      <c r="V444" s="8"/>
      <c r="W444" s="8"/>
      <c r="X444" s="8"/>
      <c r="Y444" s="8"/>
      <c r="Z444" s="8"/>
      <c r="AA444" s="8"/>
    </row>
    <row r="445" spans="1:27" ht="19.75">
      <c r="A445" s="8"/>
      <c r="B445" s="7"/>
      <c r="C445" s="8"/>
      <c r="D445" s="8"/>
      <c r="E445" s="11"/>
      <c r="F445" s="8"/>
      <c r="G445" s="8"/>
      <c r="H445" s="8"/>
      <c r="I445" s="8"/>
      <c r="J445" s="8"/>
      <c r="K445" s="8"/>
      <c r="L445" s="8"/>
      <c r="M445" s="8"/>
      <c r="N445" s="8"/>
      <c r="O445" s="8"/>
      <c r="P445" s="8"/>
      <c r="Q445" s="8"/>
      <c r="R445" s="8"/>
      <c r="S445" s="8"/>
      <c r="T445" s="8"/>
      <c r="U445" s="8"/>
      <c r="V445" s="8"/>
      <c r="W445" s="8"/>
      <c r="X445" s="8"/>
      <c r="Y445" s="8"/>
      <c r="Z445" s="8"/>
      <c r="AA445" s="8"/>
    </row>
    <row r="446" spans="1:27" ht="19.75">
      <c r="A446" s="8"/>
      <c r="B446" s="7"/>
      <c r="C446" s="8"/>
      <c r="D446" s="8"/>
      <c r="E446" s="11"/>
      <c r="F446" s="8"/>
      <c r="G446" s="8"/>
      <c r="H446" s="8"/>
      <c r="I446" s="8"/>
      <c r="J446" s="8"/>
      <c r="K446" s="8"/>
      <c r="L446" s="8"/>
      <c r="M446" s="8"/>
      <c r="N446" s="8"/>
      <c r="O446" s="8"/>
      <c r="P446" s="8"/>
      <c r="Q446" s="8"/>
      <c r="R446" s="8"/>
      <c r="S446" s="8"/>
      <c r="T446" s="8"/>
      <c r="U446" s="8"/>
      <c r="V446" s="8"/>
      <c r="W446" s="8"/>
      <c r="X446" s="8"/>
      <c r="Y446" s="8"/>
      <c r="Z446" s="8"/>
      <c r="AA446" s="8"/>
    </row>
    <row r="447" spans="1:27" ht="19.75">
      <c r="A447" s="8"/>
      <c r="B447" s="7"/>
      <c r="C447" s="8"/>
      <c r="D447" s="8"/>
      <c r="E447" s="11"/>
      <c r="F447" s="8"/>
      <c r="G447" s="8"/>
      <c r="H447" s="8"/>
      <c r="I447" s="8"/>
      <c r="J447" s="8"/>
      <c r="K447" s="8"/>
      <c r="L447" s="8"/>
      <c r="M447" s="8"/>
      <c r="N447" s="8"/>
      <c r="O447" s="8"/>
      <c r="P447" s="8"/>
      <c r="Q447" s="8"/>
      <c r="R447" s="8"/>
      <c r="S447" s="8"/>
      <c r="T447" s="8"/>
      <c r="U447" s="8"/>
      <c r="V447" s="8"/>
      <c r="W447" s="8"/>
      <c r="X447" s="8"/>
      <c r="Y447" s="8"/>
      <c r="Z447" s="8"/>
      <c r="AA447" s="8"/>
    </row>
    <row r="448" spans="1:27" ht="19.75">
      <c r="A448" s="8"/>
      <c r="B448" s="7"/>
      <c r="C448" s="8"/>
      <c r="D448" s="8"/>
      <c r="E448" s="11"/>
      <c r="F448" s="8"/>
      <c r="G448" s="8"/>
      <c r="H448" s="8"/>
      <c r="I448" s="8"/>
      <c r="J448" s="8"/>
      <c r="K448" s="8"/>
      <c r="L448" s="8"/>
      <c r="M448" s="8"/>
      <c r="N448" s="8"/>
      <c r="O448" s="8"/>
      <c r="P448" s="8"/>
      <c r="Q448" s="8"/>
      <c r="R448" s="8"/>
      <c r="S448" s="8"/>
      <c r="T448" s="8"/>
      <c r="U448" s="8"/>
      <c r="V448" s="8"/>
      <c r="W448" s="8"/>
      <c r="X448" s="8"/>
      <c r="Y448" s="8"/>
      <c r="Z448" s="8"/>
      <c r="AA448" s="8"/>
    </row>
    <row r="449" spans="1:27" ht="19.75">
      <c r="A449" s="8"/>
      <c r="B449" s="7"/>
      <c r="C449" s="8"/>
      <c r="D449" s="8"/>
      <c r="E449" s="11"/>
      <c r="F449" s="8"/>
      <c r="G449" s="8"/>
      <c r="H449" s="8"/>
      <c r="I449" s="8"/>
      <c r="J449" s="8"/>
      <c r="K449" s="8"/>
      <c r="L449" s="8"/>
      <c r="M449" s="8"/>
      <c r="N449" s="8"/>
      <c r="O449" s="8"/>
      <c r="P449" s="8"/>
      <c r="Q449" s="8"/>
      <c r="R449" s="8"/>
      <c r="S449" s="8"/>
      <c r="T449" s="8"/>
      <c r="U449" s="8"/>
      <c r="V449" s="8"/>
      <c r="W449" s="8"/>
      <c r="X449" s="8"/>
      <c r="Y449" s="8"/>
      <c r="Z449" s="8"/>
      <c r="AA449" s="8"/>
    </row>
    <row r="450" spans="1:27" ht="19.75">
      <c r="A450" s="8"/>
      <c r="B450" s="7"/>
      <c r="C450" s="8"/>
      <c r="D450" s="8"/>
      <c r="E450" s="11"/>
      <c r="F450" s="8"/>
      <c r="G450" s="8"/>
      <c r="H450" s="8"/>
      <c r="I450" s="8"/>
      <c r="J450" s="8"/>
      <c r="K450" s="8"/>
      <c r="L450" s="8"/>
      <c r="M450" s="8"/>
      <c r="N450" s="8"/>
      <c r="O450" s="8"/>
      <c r="P450" s="8"/>
      <c r="Q450" s="8"/>
      <c r="R450" s="8"/>
      <c r="S450" s="8"/>
      <c r="T450" s="8"/>
      <c r="U450" s="8"/>
      <c r="V450" s="8"/>
      <c r="W450" s="8"/>
      <c r="X450" s="8"/>
      <c r="Y450" s="8"/>
      <c r="Z450" s="8"/>
      <c r="AA450" s="8"/>
    </row>
    <row r="451" spans="1:27" ht="19.75">
      <c r="A451" s="8"/>
      <c r="B451" s="7"/>
      <c r="C451" s="8"/>
      <c r="D451" s="8"/>
      <c r="E451" s="11"/>
      <c r="F451" s="8"/>
      <c r="G451" s="8"/>
      <c r="H451" s="8"/>
      <c r="I451" s="8"/>
      <c r="J451" s="8"/>
      <c r="K451" s="8"/>
      <c r="L451" s="8"/>
      <c r="M451" s="8"/>
      <c r="N451" s="8"/>
      <c r="O451" s="8"/>
      <c r="P451" s="8"/>
      <c r="Q451" s="8"/>
      <c r="R451" s="8"/>
      <c r="S451" s="8"/>
      <c r="T451" s="8"/>
      <c r="U451" s="8"/>
      <c r="V451" s="8"/>
      <c r="W451" s="8"/>
      <c r="X451" s="8"/>
      <c r="Y451" s="8"/>
      <c r="Z451" s="8"/>
      <c r="AA451" s="8"/>
    </row>
    <row r="452" spans="1:27" ht="19.75">
      <c r="A452" s="8"/>
      <c r="B452" s="7"/>
      <c r="C452" s="8"/>
      <c r="D452" s="8"/>
      <c r="E452" s="11"/>
      <c r="F452" s="8"/>
      <c r="G452" s="8"/>
      <c r="H452" s="8"/>
      <c r="I452" s="8"/>
      <c r="J452" s="8"/>
      <c r="K452" s="8"/>
      <c r="L452" s="8"/>
      <c r="M452" s="8"/>
      <c r="N452" s="8"/>
      <c r="O452" s="8"/>
      <c r="P452" s="8"/>
      <c r="Q452" s="8"/>
      <c r="R452" s="8"/>
      <c r="S452" s="8"/>
      <c r="T452" s="8"/>
      <c r="U452" s="8"/>
      <c r="V452" s="8"/>
      <c r="W452" s="8"/>
      <c r="X452" s="8"/>
      <c r="Y452" s="8"/>
      <c r="Z452" s="8"/>
      <c r="AA452" s="8"/>
    </row>
    <row r="453" spans="1:27" ht="19.75">
      <c r="A453" s="8"/>
      <c r="B453" s="7"/>
      <c r="C453" s="8"/>
      <c r="D453" s="8"/>
      <c r="E453" s="11"/>
      <c r="F453" s="8"/>
      <c r="G453" s="8"/>
      <c r="H453" s="8"/>
      <c r="I453" s="8"/>
      <c r="J453" s="8"/>
      <c r="K453" s="8"/>
      <c r="L453" s="8"/>
      <c r="M453" s="8"/>
      <c r="N453" s="8"/>
      <c r="O453" s="8"/>
      <c r="P453" s="8"/>
      <c r="Q453" s="8"/>
      <c r="R453" s="8"/>
      <c r="S453" s="8"/>
      <c r="T453" s="8"/>
      <c r="U453" s="8"/>
      <c r="V453" s="8"/>
      <c r="W453" s="8"/>
      <c r="X453" s="8"/>
      <c r="Y453" s="8"/>
      <c r="Z453" s="8"/>
      <c r="AA453" s="8"/>
    </row>
    <row r="454" spans="1:27" ht="19.75">
      <c r="A454" s="8"/>
      <c r="B454" s="7"/>
      <c r="C454" s="8"/>
      <c r="D454" s="8"/>
      <c r="E454" s="11"/>
      <c r="F454" s="8"/>
      <c r="G454" s="8"/>
      <c r="H454" s="8"/>
      <c r="I454" s="8"/>
      <c r="J454" s="8"/>
      <c r="K454" s="8"/>
      <c r="L454" s="8"/>
      <c r="M454" s="8"/>
      <c r="N454" s="8"/>
      <c r="O454" s="8"/>
      <c r="P454" s="8"/>
      <c r="Q454" s="8"/>
      <c r="R454" s="8"/>
      <c r="S454" s="8"/>
      <c r="T454" s="8"/>
      <c r="U454" s="8"/>
      <c r="V454" s="8"/>
      <c r="W454" s="8"/>
      <c r="X454" s="8"/>
      <c r="Y454" s="8"/>
      <c r="Z454" s="8"/>
      <c r="AA454" s="8"/>
    </row>
    <row r="455" spans="1:27" ht="19.75">
      <c r="A455" s="8"/>
      <c r="B455" s="7"/>
      <c r="C455" s="8"/>
      <c r="D455" s="8"/>
      <c r="E455" s="11"/>
      <c r="F455" s="8"/>
      <c r="G455" s="8"/>
      <c r="H455" s="8"/>
      <c r="I455" s="8"/>
      <c r="J455" s="8"/>
      <c r="K455" s="8"/>
      <c r="L455" s="8"/>
      <c r="M455" s="8"/>
      <c r="N455" s="8"/>
      <c r="O455" s="8"/>
      <c r="P455" s="8"/>
      <c r="Q455" s="8"/>
      <c r="R455" s="8"/>
      <c r="S455" s="8"/>
      <c r="T455" s="8"/>
      <c r="U455" s="8"/>
      <c r="V455" s="8"/>
      <c r="W455" s="8"/>
      <c r="X455" s="8"/>
      <c r="Y455" s="8"/>
      <c r="Z455" s="8"/>
      <c r="AA455" s="8"/>
    </row>
    <row r="456" spans="1:27" ht="19.75">
      <c r="A456" s="8"/>
      <c r="B456" s="7"/>
      <c r="C456" s="8"/>
      <c r="D456" s="8"/>
      <c r="E456" s="11"/>
      <c r="F456" s="8"/>
      <c r="G456" s="8"/>
      <c r="H456" s="8"/>
      <c r="I456" s="8"/>
      <c r="J456" s="8"/>
      <c r="K456" s="8"/>
      <c r="L456" s="8"/>
      <c r="M456" s="8"/>
      <c r="N456" s="8"/>
      <c r="O456" s="8"/>
      <c r="P456" s="8"/>
      <c r="Q456" s="8"/>
      <c r="R456" s="8"/>
      <c r="S456" s="8"/>
      <c r="T456" s="8"/>
      <c r="U456" s="8"/>
      <c r="V456" s="8"/>
      <c r="W456" s="8"/>
      <c r="X456" s="8"/>
      <c r="Y456" s="8"/>
      <c r="Z456" s="8"/>
      <c r="AA456" s="8"/>
    </row>
    <row r="457" spans="1:27" ht="19.75">
      <c r="A457" s="8"/>
      <c r="B457" s="7"/>
      <c r="C457" s="8"/>
      <c r="D457" s="8"/>
      <c r="E457" s="11"/>
      <c r="F457" s="8"/>
      <c r="G457" s="8"/>
      <c r="H457" s="8"/>
      <c r="I457" s="8"/>
      <c r="J457" s="8"/>
      <c r="K457" s="8"/>
      <c r="L457" s="8"/>
      <c r="M457" s="8"/>
      <c r="N457" s="8"/>
      <c r="O457" s="8"/>
      <c r="P457" s="8"/>
      <c r="Q457" s="8"/>
      <c r="R457" s="8"/>
      <c r="S457" s="8"/>
      <c r="T457" s="8"/>
      <c r="U457" s="8"/>
      <c r="V457" s="8"/>
      <c r="W457" s="8"/>
      <c r="X457" s="8"/>
      <c r="Y457" s="8"/>
      <c r="Z457" s="8"/>
      <c r="AA457" s="8"/>
    </row>
    <row r="458" spans="1:27" ht="19.75">
      <c r="A458" s="8"/>
      <c r="B458" s="7"/>
      <c r="C458" s="8"/>
      <c r="D458" s="8"/>
      <c r="E458" s="11"/>
      <c r="F458" s="8"/>
      <c r="G458" s="8"/>
      <c r="H458" s="8"/>
      <c r="I458" s="8"/>
      <c r="J458" s="8"/>
      <c r="K458" s="8"/>
      <c r="L458" s="8"/>
      <c r="M458" s="8"/>
      <c r="N458" s="8"/>
      <c r="O458" s="8"/>
      <c r="P458" s="8"/>
      <c r="Q458" s="8"/>
      <c r="R458" s="8"/>
      <c r="S458" s="8"/>
      <c r="T458" s="8"/>
      <c r="U458" s="8"/>
      <c r="V458" s="8"/>
      <c r="W458" s="8"/>
      <c r="X458" s="8"/>
      <c r="Y458" s="8"/>
      <c r="Z458" s="8"/>
      <c r="AA458" s="8"/>
    </row>
    <row r="459" spans="1:27" ht="19.75">
      <c r="A459" s="8"/>
      <c r="B459" s="7"/>
      <c r="C459" s="8"/>
      <c r="D459" s="8"/>
      <c r="E459" s="11"/>
      <c r="F459" s="8"/>
      <c r="G459" s="8"/>
      <c r="H459" s="8"/>
      <c r="I459" s="8"/>
      <c r="J459" s="8"/>
      <c r="K459" s="8"/>
      <c r="L459" s="8"/>
      <c r="M459" s="8"/>
      <c r="N459" s="8"/>
      <c r="O459" s="8"/>
      <c r="P459" s="8"/>
      <c r="Q459" s="8"/>
      <c r="R459" s="8"/>
      <c r="S459" s="8"/>
      <c r="T459" s="8"/>
      <c r="U459" s="8"/>
      <c r="V459" s="8"/>
      <c r="W459" s="8"/>
      <c r="X459" s="8"/>
      <c r="Y459" s="8"/>
      <c r="Z459" s="8"/>
      <c r="AA459" s="8"/>
    </row>
    <row r="460" spans="1:27" ht="19.75">
      <c r="A460" s="8"/>
      <c r="B460" s="7"/>
      <c r="C460" s="8"/>
      <c r="D460" s="8"/>
      <c r="E460" s="11"/>
      <c r="F460" s="8"/>
      <c r="G460" s="8"/>
      <c r="H460" s="8"/>
      <c r="I460" s="8"/>
      <c r="J460" s="8"/>
      <c r="K460" s="8"/>
      <c r="L460" s="8"/>
      <c r="M460" s="8"/>
      <c r="N460" s="8"/>
      <c r="O460" s="8"/>
      <c r="P460" s="8"/>
      <c r="Q460" s="8"/>
      <c r="R460" s="8"/>
      <c r="S460" s="8"/>
      <c r="T460" s="8"/>
      <c r="U460" s="8"/>
      <c r="V460" s="8"/>
      <c r="W460" s="8"/>
      <c r="X460" s="8"/>
      <c r="Y460" s="8"/>
      <c r="Z460" s="8"/>
      <c r="AA460" s="8"/>
    </row>
    <row r="461" spans="1:27" ht="19.75">
      <c r="A461" s="8"/>
      <c r="B461" s="7"/>
      <c r="C461" s="8"/>
      <c r="D461" s="8"/>
      <c r="E461" s="11"/>
      <c r="F461" s="8"/>
      <c r="G461" s="8"/>
      <c r="H461" s="8"/>
      <c r="I461" s="8"/>
      <c r="J461" s="8"/>
      <c r="K461" s="8"/>
      <c r="L461" s="8"/>
      <c r="M461" s="8"/>
      <c r="N461" s="8"/>
      <c r="O461" s="8"/>
      <c r="P461" s="8"/>
      <c r="Q461" s="8"/>
      <c r="R461" s="8"/>
      <c r="S461" s="8"/>
      <c r="T461" s="8"/>
      <c r="U461" s="8"/>
      <c r="V461" s="8"/>
      <c r="W461" s="8"/>
      <c r="X461" s="8"/>
      <c r="Y461" s="8"/>
      <c r="Z461" s="8"/>
      <c r="AA461" s="8"/>
    </row>
    <row r="462" spans="1:27" ht="19.75">
      <c r="A462" s="8"/>
      <c r="B462" s="7"/>
      <c r="C462" s="8"/>
      <c r="D462" s="8"/>
      <c r="E462" s="11"/>
      <c r="F462" s="8"/>
      <c r="G462" s="8"/>
      <c r="H462" s="8"/>
      <c r="I462" s="8"/>
      <c r="J462" s="8"/>
      <c r="K462" s="8"/>
      <c r="L462" s="8"/>
      <c r="M462" s="8"/>
      <c r="N462" s="8"/>
      <c r="O462" s="8"/>
      <c r="P462" s="8"/>
      <c r="Q462" s="8"/>
      <c r="R462" s="8"/>
      <c r="S462" s="8"/>
      <c r="T462" s="8"/>
      <c r="U462" s="8"/>
      <c r="V462" s="8"/>
      <c r="W462" s="8"/>
      <c r="X462" s="8"/>
      <c r="Y462" s="8"/>
      <c r="Z462" s="8"/>
      <c r="AA462" s="8"/>
    </row>
    <row r="463" spans="1:27" ht="19.75">
      <c r="A463" s="8"/>
      <c r="B463" s="7"/>
      <c r="C463" s="8"/>
      <c r="D463" s="8"/>
      <c r="E463" s="11"/>
      <c r="F463" s="8"/>
      <c r="G463" s="8"/>
      <c r="H463" s="8"/>
      <c r="I463" s="8"/>
      <c r="J463" s="8"/>
      <c r="K463" s="8"/>
      <c r="L463" s="8"/>
      <c r="M463" s="8"/>
      <c r="N463" s="8"/>
      <c r="O463" s="8"/>
      <c r="P463" s="8"/>
      <c r="Q463" s="8"/>
      <c r="R463" s="8"/>
      <c r="S463" s="8"/>
      <c r="T463" s="8"/>
      <c r="U463" s="8"/>
      <c r="V463" s="8"/>
      <c r="W463" s="8"/>
      <c r="X463" s="8"/>
      <c r="Y463" s="8"/>
      <c r="Z463" s="8"/>
      <c r="AA463" s="8"/>
    </row>
    <row r="464" spans="1:27" ht="19.75">
      <c r="A464" s="8"/>
      <c r="B464" s="7"/>
      <c r="C464" s="8"/>
      <c r="D464" s="8"/>
      <c r="E464" s="11"/>
      <c r="F464" s="8"/>
      <c r="G464" s="8"/>
      <c r="H464" s="8"/>
      <c r="I464" s="8"/>
      <c r="J464" s="8"/>
      <c r="K464" s="8"/>
      <c r="L464" s="8"/>
      <c r="M464" s="8"/>
      <c r="N464" s="8"/>
      <c r="O464" s="8"/>
      <c r="P464" s="8"/>
      <c r="Q464" s="8"/>
      <c r="R464" s="8"/>
      <c r="S464" s="8"/>
      <c r="T464" s="8"/>
      <c r="U464" s="8"/>
      <c r="V464" s="8"/>
      <c r="W464" s="8"/>
      <c r="X464" s="8"/>
      <c r="Y464" s="8"/>
      <c r="Z464" s="8"/>
      <c r="AA464" s="8"/>
    </row>
    <row r="465" spans="1:27" ht="19.75">
      <c r="A465" s="8"/>
      <c r="B465" s="7"/>
      <c r="C465" s="8"/>
      <c r="D465" s="8"/>
      <c r="E465" s="11"/>
      <c r="F465" s="8"/>
      <c r="G465" s="8"/>
      <c r="H465" s="8"/>
      <c r="I465" s="8"/>
      <c r="J465" s="8"/>
      <c r="K465" s="8"/>
      <c r="L465" s="8"/>
      <c r="M465" s="8"/>
      <c r="N465" s="8"/>
      <c r="O465" s="8"/>
      <c r="P465" s="8"/>
      <c r="Q465" s="8"/>
      <c r="R465" s="8"/>
      <c r="S465" s="8"/>
      <c r="T465" s="8"/>
      <c r="U465" s="8"/>
      <c r="V465" s="8"/>
      <c r="W465" s="8"/>
      <c r="X465" s="8"/>
      <c r="Y465" s="8"/>
      <c r="Z465" s="8"/>
      <c r="AA465" s="8"/>
    </row>
    <row r="466" spans="1:27" ht="19.75">
      <c r="A466" s="8"/>
      <c r="B466" s="7"/>
      <c r="C466" s="8"/>
      <c r="D466" s="8"/>
      <c r="E466" s="11"/>
      <c r="F466" s="8"/>
      <c r="G466" s="8"/>
      <c r="H466" s="8"/>
      <c r="I466" s="8"/>
      <c r="J466" s="8"/>
      <c r="K466" s="8"/>
      <c r="L466" s="8"/>
      <c r="M466" s="8"/>
      <c r="N466" s="8"/>
      <c r="O466" s="8"/>
      <c r="P466" s="8"/>
      <c r="Q466" s="8"/>
      <c r="R466" s="8"/>
      <c r="S466" s="8"/>
      <c r="T466" s="8"/>
      <c r="U466" s="8"/>
      <c r="V466" s="8"/>
      <c r="W466" s="8"/>
      <c r="X466" s="8"/>
      <c r="Y466" s="8"/>
      <c r="Z466" s="8"/>
      <c r="AA466" s="8"/>
    </row>
    <row r="467" spans="1:27" ht="19.75">
      <c r="A467" s="8"/>
      <c r="B467" s="7"/>
      <c r="C467" s="8"/>
      <c r="D467" s="8"/>
      <c r="E467" s="11"/>
      <c r="F467" s="8"/>
      <c r="G467" s="8"/>
      <c r="H467" s="8"/>
      <c r="I467" s="8"/>
      <c r="J467" s="8"/>
      <c r="K467" s="8"/>
      <c r="L467" s="8"/>
      <c r="M467" s="8"/>
      <c r="N467" s="8"/>
      <c r="O467" s="8"/>
      <c r="P467" s="8"/>
      <c r="Q467" s="8"/>
      <c r="R467" s="8"/>
      <c r="S467" s="8"/>
      <c r="T467" s="8"/>
      <c r="U467" s="8"/>
      <c r="V467" s="8"/>
      <c r="W467" s="8"/>
      <c r="X467" s="8"/>
      <c r="Y467" s="8"/>
      <c r="Z467" s="8"/>
      <c r="AA467" s="8"/>
    </row>
    <row r="468" spans="1:27" ht="19.75">
      <c r="A468" s="8"/>
      <c r="B468" s="7"/>
      <c r="C468" s="8"/>
      <c r="D468" s="8"/>
      <c r="E468" s="11"/>
      <c r="F468" s="8"/>
      <c r="G468" s="8"/>
      <c r="H468" s="8"/>
      <c r="I468" s="8"/>
      <c r="J468" s="8"/>
      <c r="K468" s="8"/>
      <c r="L468" s="8"/>
      <c r="M468" s="8"/>
      <c r="N468" s="8"/>
      <c r="O468" s="8"/>
      <c r="P468" s="8"/>
      <c r="Q468" s="8"/>
      <c r="R468" s="8"/>
      <c r="S468" s="8"/>
      <c r="T468" s="8"/>
      <c r="U468" s="8"/>
      <c r="V468" s="8"/>
      <c r="W468" s="8"/>
      <c r="X468" s="8"/>
      <c r="Y468" s="8"/>
      <c r="Z468" s="8"/>
      <c r="AA468" s="8"/>
    </row>
    <row r="469" spans="1:27" ht="19.75">
      <c r="A469" s="8"/>
      <c r="B469" s="7"/>
      <c r="C469" s="8"/>
      <c r="D469" s="8"/>
      <c r="E469" s="11"/>
      <c r="F469" s="8"/>
      <c r="G469" s="8"/>
      <c r="H469" s="8"/>
      <c r="I469" s="8"/>
      <c r="J469" s="8"/>
      <c r="K469" s="8"/>
      <c r="L469" s="8"/>
      <c r="M469" s="8"/>
      <c r="N469" s="8"/>
      <c r="O469" s="8"/>
      <c r="P469" s="8"/>
      <c r="Q469" s="8"/>
      <c r="R469" s="8"/>
      <c r="S469" s="8"/>
      <c r="T469" s="8"/>
      <c r="U469" s="8"/>
      <c r="V469" s="8"/>
      <c r="W469" s="8"/>
      <c r="X469" s="8"/>
      <c r="Y469" s="8"/>
      <c r="Z469" s="8"/>
      <c r="AA469" s="8"/>
    </row>
    <row r="470" spans="1:27" ht="19.75">
      <c r="A470" s="8"/>
      <c r="B470" s="7"/>
      <c r="C470" s="8"/>
      <c r="D470" s="8"/>
      <c r="E470" s="11"/>
      <c r="F470" s="8"/>
      <c r="G470" s="8"/>
      <c r="H470" s="8"/>
      <c r="I470" s="8"/>
      <c r="J470" s="8"/>
      <c r="K470" s="8"/>
      <c r="L470" s="8"/>
      <c r="M470" s="8"/>
      <c r="N470" s="8"/>
      <c r="O470" s="8"/>
      <c r="P470" s="8"/>
      <c r="Q470" s="8"/>
      <c r="R470" s="8"/>
      <c r="S470" s="8"/>
      <c r="T470" s="8"/>
      <c r="U470" s="8"/>
      <c r="V470" s="8"/>
      <c r="W470" s="8"/>
      <c r="X470" s="8"/>
      <c r="Y470" s="8"/>
      <c r="Z470" s="8"/>
      <c r="AA470" s="8"/>
    </row>
    <row r="471" spans="1:27" ht="19.75">
      <c r="A471" s="8"/>
      <c r="B471" s="7"/>
      <c r="C471" s="8"/>
      <c r="D471" s="8"/>
      <c r="E471" s="11"/>
      <c r="F471" s="8"/>
      <c r="G471" s="8"/>
      <c r="H471" s="8"/>
      <c r="I471" s="8"/>
      <c r="J471" s="8"/>
      <c r="K471" s="8"/>
      <c r="L471" s="8"/>
      <c r="M471" s="8"/>
      <c r="N471" s="8"/>
      <c r="O471" s="8"/>
      <c r="P471" s="8"/>
      <c r="Q471" s="8"/>
      <c r="R471" s="8"/>
      <c r="S471" s="8"/>
      <c r="T471" s="8"/>
      <c r="U471" s="8"/>
      <c r="V471" s="8"/>
      <c r="W471" s="8"/>
      <c r="X471" s="8"/>
      <c r="Y471" s="8"/>
      <c r="Z471" s="8"/>
      <c r="AA471" s="8"/>
    </row>
    <row r="472" spans="1:27" ht="19.75">
      <c r="A472" s="8"/>
      <c r="B472" s="7"/>
      <c r="C472" s="8"/>
      <c r="D472" s="8"/>
      <c r="E472" s="11"/>
      <c r="F472" s="8"/>
      <c r="G472" s="8"/>
      <c r="H472" s="8"/>
      <c r="I472" s="8"/>
      <c r="J472" s="8"/>
      <c r="K472" s="8"/>
      <c r="L472" s="8"/>
      <c r="M472" s="8"/>
      <c r="N472" s="8"/>
      <c r="O472" s="8"/>
      <c r="P472" s="8"/>
      <c r="Q472" s="8"/>
      <c r="R472" s="8"/>
      <c r="S472" s="8"/>
      <c r="T472" s="8"/>
      <c r="U472" s="8"/>
      <c r="V472" s="8"/>
      <c r="W472" s="8"/>
      <c r="X472" s="8"/>
      <c r="Y472" s="8"/>
      <c r="Z472" s="8"/>
      <c r="AA472" s="8"/>
    </row>
    <row r="473" spans="1:27" ht="19.75">
      <c r="A473" s="8"/>
      <c r="B473" s="7"/>
      <c r="C473" s="8"/>
      <c r="D473" s="8"/>
      <c r="E473" s="11"/>
      <c r="F473" s="8"/>
      <c r="G473" s="8"/>
      <c r="H473" s="8"/>
      <c r="I473" s="8"/>
      <c r="J473" s="8"/>
      <c r="K473" s="8"/>
      <c r="L473" s="8"/>
      <c r="M473" s="8"/>
      <c r="N473" s="8"/>
      <c r="O473" s="8"/>
      <c r="P473" s="8"/>
      <c r="Q473" s="8"/>
      <c r="R473" s="8"/>
      <c r="S473" s="8"/>
      <c r="T473" s="8"/>
      <c r="U473" s="8"/>
      <c r="V473" s="8"/>
      <c r="W473" s="8"/>
      <c r="X473" s="8"/>
      <c r="Y473" s="8"/>
      <c r="Z473" s="8"/>
      <c r="AA473" s="8"/>
    </row>
    <row r="474" spans="1:27" ht="19.75">
      <c r="A474" s="8"/>
      <c r="B474" s="7"/>
      <c r="C474" s="8"/>
      <c r="D474" s="8"/>
      <c r="E474" s="11"/>
      <c r="F474" s="8"/>
      <c r="G474" s="8"/>
      <c r="H474" s="8"/>
      <c r="I474" s="8"/>
      <c r="J474" s="8"/>
      <c r="K474" s="8"/>
      <c r="L474" s="8"/>
      <c r="M474" s="8"/>
      <c r="N474" s="8"/>
      <c r="O474" s="8"/>
      <c r="P474" s="8"/>
      <c r="Q474" s="8"/>
      <c r="R474" s="8"/>
      <c r="S474" s="8"/>
      <c r="T474" s="8"/>
      <c r="U474" s="8"/>
      <c r="V474" s="8"/>
      <c r="W474" s="8"/>
      <c r="X474" s="8"/>
      <c r="Y474" s="8"/>
      <c r="Z474" s="8"/>
      <c r="AA474" s="8"/>
    </row>
    <row r="475" spans="1:27" ht="19.75">
      <c r="A475" s="8"/>
      <c r="B475" s="7"/>
      <c r="C475" s="8"/>
      <c r="D475" s="8"/>
      <c r="E475" s="11"/>
      <c r="F475" s="8"/>
      <c r="G475" s="8"/>
      <c r="H475" s="8"/>
      <c r="I475" s="8"/>
      <c r="J475" s="8"/>
      <c r="K475" s="8"/>
      <c r="L475" s="8"/>
      <c r="M475" s="8"/>
      <c r="N475" s="8"/>
      <c r="O475" s="8"/>
      <c r="P475" s="8"/>
      <c r="Q475" s="8"/>
      <c r="R475" s="8"/>
      <c r="S475" s="8"/>
      <c r="T475" s="8"/>
      <c r="U475" s="8"/>
      <c r="V475" s="8"/>
      <c r="W475" s="8"/>
      <c r="X475" s="8"/>
      <c r="Y475" s="8"/>
      <c r="Z475" s="8"/>
      <c r="AA475" s="8"/>
    </row>
    <row r="476" spans="1:27" ht="19.75">
      <c r="A476" s="8"/>
      <c r="B476" s="7"/>
      <c r="C476" s="8"/>
      <c r="D476" s="8"/>
      <c r="E476" s="11"/>
      <c r="F476" s="8"/>
      <c r="G476" s="8"/>
      <c r="H476" s="8"/>
      <c r="I476" s="8"/>
      <c r="J476" s="8"/>
      <c r="K476" s="8"/>
      <c r="L476" s="8"/>
      <c r="M476" s="8"/>
      <c r="N476" s="8"/>
      <c r="O476" s="8"/>
      <c r="P476" s="8"/>
      <c r="Q476" s="8"/>
      <c r="R476" s="8"/>
      <c r="S476" s="8"/>
      <c r="T476" s="8"/>
      <c r="U476" s="8"/>
      <c r="V476" s="8"/>
      <c r="W476" s="8"/>
      <c r="X476" s="8"/>
      <c r="Y476" s="8"/>
      <c r="Z476" s="8"/>
      <c r="AA476" s="8"/>
    </row>
    <row r="477" spans="1:27" ht="19.75">
      <c r="A477" s="8"/>
      <c r="B477" s="7"/>
      <c r="C477" s="8"/>
      <c r="D477" s="8"/>
      <c r="E477" s="11"/>
      <c r="F477" s="8"/>
      <c r="G477" s="8"/>
      <c r="H477" s="8"/>
      <c r="I477" s="8"/>
      <c r="J477" s="8"/>
      <c r="K477" s="8"/>
      <c r="L477" s="8"/>
      <c r="M477" s="8"/>
      <c r="N477" s="8"/>
      <c r="O477" s="8"/>
      <c r="P477" s="8"/>
      <c r="Q477" s="8"/>
      <c r="R477" s="8"/>
      <c r="S477" s="8"/>
      <c r="T477" s="8"/>
      <c r="U477" s="8"/>
      <c r="V477" s="8"/>
      <c r="W477" s="8"/>
      <c r="X477" s="8"/>
      <c r="Y477" s="8"/>
      <c r="Z477" s="8"/>
      <c r="AA477" s="8"/>
    </row>
    <row r="478" spans="1:27" ht="19.75">
      <c r="A478" s="8"/>
      <c r="B478" s="7"/>
      <c r="C478" s="8"/>
      <c r="D478" s="8"/>
      <c r="E478" s="11"/>
      <c r="F478" s="8"/>
      <c r="G478" s="8"/>
      <c r="H478" s="8"/>
      <c r="I478" s="8"/>
      <c r="J478" s="8"/>
      <c r="K478" s="8"/>
      <c r="L478" s="8"/>
      <c r="M478" s="8"/>
      <c r="N478" s="8"/>
      <c r="O478" s="8"/>
      <c r="P478" s="8"/>
      <c r="Q478" s="8"/>
      <c r="R478" s="8"/>
      <c r="S478" s="8"/>
      <c r="T478" s="8"/>
      <c r="U478" s="8"/>
      <c r="V478" s="8"/>
      <c r="W478" s="8"/>
      <c r="X478" s="8"/>
      <c r="Y478" s="8"/>
      <c r="Z478" s="8"/>
      <c r="AA478" s="8"/>
    </row>
    <row r="479" spans="1:27" ht="19.75">
      <c r="A479" s="8"/>
      <c r="B479" s="7"/>
      <c r="C479" s="8"/>
      <c r="D479" s="8"/>
      <c r="E479" s="11"/>
      <c r="F479" s="8"/>
      <c r="G479" s="8"/>
      <c r="H479" s="8"/>
      <c r="I479" s="8"/>
      <c r="J479" s="8"/>
      <c r="K479" s="8"/>
      <c r="L479" s="8"/>
      <c r="M479" s="8"/>
      <c r="N479" s="8"/>
      <c r="O479" s="8"/>
      <c r="P479" s="8"/>
      <c r="Q479" s="8"/>
      <c r="R479" s="8"/>
      <c r="S479" s="8"/>
      <c r="T479" s="8"/>
      <c r="U479" s="8"/>
      <c r="V479" s="8"/>
      <c r="W479" s="8"/>
      <c r="X479" s="8"/>
      <c r="Y479" s="8"/>
      <c r="Z479" s="8"/>
      <c r="AA479" s="8"/>
    </row>
    <row r="480" spans="1:27" ht="19.75">
      <c r="A480" s="8"/>
      <c r="B480" s="7"/>
      <c r="C480" s="8"/>
      <c r="D480" s="8"/>
      <c r="E480" s="11"/>
      <c r="F480" s="8"/>
      <c r="G480" s="8"/>
      <c r="H480" s="8"/>
      <c r="I480" s="8"/>
      <c r="J480" s="8"/>
      <c r="K480" s="8"/>
      <c r="L480" s="8"/>
      <c r="M480" s="8"/>
      <c r="N480" s="8"/>
      <c r="O480" s="8"/>
      <c r="P480" s="8"/>
      <c r="Q480" s="8"/>
      <c r="R480" s="8"/>
      <c r="S480" s="8"/>
      <c r="T480" s="8"/>
      <c r="U480" s="8"/>
      <c r="V480" s="8"/>
      <c r="W480" s="8"/>
      <c r="X480" s="8"/>
      <c r="Y480" s="8"/>
      <c r="Z480" s="8"/>
      <c r="AA480" s="8"/>
    </row>
    <row r="481" spans="1:27" ht="19.75">
      <c r="A481" s="8"/>
      <c r="B481" s="7"/>
      <c r="C481" s="8"/>
      <c r="D481" s="8"/>
      <c r="E481" s="11"/>
      <c r="F481" s="8"/>
      <c r="G481" s="8"/>
      <c r="H481" s="8"/>
      <c r="I481" s="8"/>
      <c r="J481" s="8"/>
      <c r="K481" s="8"/>
      <c r="L481" s="8"/>
      <c r="M481" s="8"/>
      <c r="N481" s="8"/>
      <c r="O481" s="8"/>
      <c r="P481" s="8"/>
      <c r="Q481" s="8"/>
      <c r="R481" s="8"/>
      <c r="S481" s="8"/>
      <c r="T481" s="8"/>
      <c r="U481" s="8"/>
      <c r="V481" s="8"/>
      <c r="W481" s="8"/>
      <c r="X481" s="8"/>
      <c r="Y481" s="8"/>
      <c r="Z481" s="8"/>
      <c r="AA481" s="8"/>
    </row>
    <row r="482" spans="1:27" ht="19.75">
      <c r="A482" s="8"/>
      <c r="B482" s="7"/>
      <c r="C482" s="8"/>
      <c r="D482" s="8"/>
      <c r="E482" s="11"/>
      <c r="F482" s="8"/>
      <c r="G482" s="8"/>
      <c r="H482" s="8"/>
      <c r="I482" s="8"/>
      <c r="J482" s="8"/>
      <c r="K482" s="8"/>
      <c r="L482" s="8"/>
      <c r="M482" s="8"/>
      <c r="N482" s="8"/>
      <c r="O482" s="8"/>
      <c r="P482" s="8"/>
      <c r="Q482" s="8"/>
      <c r="R482" s="8"/>
      <c r="S482" s="8"/>
      <c r="T482" s="8"/>
      <c r="U482" s="8"/>
      <c r="V482" s="8"/>
      <c r="W482" s="8"/>
      <c r="X482" s="8"/>
      <c r="Y482" s="8"/>
      <c r="Z482" s="8"/>
      <c r="AA482" s="8"/>
    </row>
    <row r="483" spans="1:27" ht="19.75">
      <c r="A483" s="8"/>
      <c r="B483" s="7"/>
      <c r="C483" s="8"/>
      <c r="D483" s="8"/>
      <c r="E483" s="11"/>
      <c r="F483" s="8"/>
      <c r="G483" s="8"/>
      <c r="H483" s="8"/>
      <c r="I483" s="8"/>
      <c r="J483" s="8"/>
      <c r="K483" s="8"/>
      <c r="L483" s="8"/>
      <c r="M483" s="8"/>
      <c r="N483" s="8"/>
      <c r="O483" s="8"/>
      <c r="P483" s="8"/>
      <c r="Q483" s="8"/>
      <c r="R483" s="8"/>
      <c r="S483" s="8"/>
      <c r="T483" s="8"/>
      <c r="U483" s="8"/>
      <c r="V483" s="8"/>
      <c r="W483" s="8"/>
      <c r="X483" s="8"/>
      <c r="Y483" s="8"/>
      <c r="Z483" s="8"/>
      <c r="AA483" s="8"/>
    </row>
    <row r="484" spans="1:27" ht="19.75">
      <c r="A484" s="8"/>
      <c r="B484" s="7"/>
      <c r="C484" s="8"/>
      <c r="D484" s="8"/>
      <c r="E484" s="11"/>
      <c r="F484" s="8"/>
      <c r="G484" s="8"/>
      <c r="H484" s="8"/>
      <c r="I484" s="8"/>
      <c r="J484" s="8"/>
      <c r="K484" s="8"/>
      <c r="L484" s="8"/>
      <c r="M484" s="8"/>
      <c r="N484" s="8"/>
      <c r="O484" s="8"/>
      <c r="P484" s="8"/>
      <c r="Q484" s="8"/>
      <c r="R484" s="8"/>
      <c r="S484" s="8"/>
      <c r="T484" s="8"/>
      <c r="U484" s="8"/>
      <c r="V484" s="8"/>
      <c r="W484" s="8"/>
      <c r="X484" s="8"/>
      <c r="Y484" s="8"/>
      <c r="Z484" s="8"/>
      <c r="AA484" s="8"/>
    </row>
    <row r="485" spans="1:27" ht="19.75">
      <c r="A485" s="8"/>
      <c r="B485" s="7"/>
      <c r="C485" s="8"/>
      <c r="D485" s="8"/>
      <c r="E485" s="11"/>
      <c r="F485" s="8"/>
      <c r="G485" s="8"/>
      <c r="H485" s="8"/>
      <c r="I485" s="8"/>
      <c r="J485" s="8"/>
      <c r="K485" s="8"/>
      <c r="L485" s="8"/>
      <c r="M485" s="8"/>
      <c r="N485" s="8"/>
      <c r="O485" s="8"/>
      <c r="P485" s="8"/>
      <c r="Q485" s="8"/>
      <c r="R485" s="8"/>
      <c r="S485" s="8"/>
      <c r="T485" s="8"/>
      <c r="U485" s="8"/>
      <c r="V485" s="8"/>
      <c r="W485" s="8"/>
      <c r="X485" s="8"/>
      <c r="Y485" s="8"/>
      <c r="Z485" s="8"/>
      <c r="AA485" s="8"/>
    </row>
    <row r="486" spans="1:27" ht="19.75">
      <c r="A486" s="8"/>
      <c r="B486" s="7"/>
      <c r="C486" s="8"/>
      <c r="D486" s="8"/>
      <c r="E486" s="11"/>
      <c r="F486" s="8"/>
      <c r="G486" s="8"/>
      <c r="H486" s="8"/>
      <c r="I486" s="8"/>
      <c r="J486" s="8"/>
      <c r="K486" s="8"/>
      <c r="L486" s="8"/>
      <c r="M486" s="8"/>
      <c r="N486" s="8"/>
      <c r="O486" s="8"/>
      <c r="P486" s="8"/>
      <c r="Q486" s="8"/>
      <c r="R486" s="8"/>
      <c r="S486" s="8"/>
      <c r="T486" s="8"/>
      <c r="U486" s="8"/>
      <c r="V486" s="8"/>
      <c r="W486" s="8"/>
      <c r="X486" s="8"/>
      <c r="Y486" s="8"/>
      <c r="Z486" s="8"/>
      <c r="AA486" s="8"/>
    </row>
    <row r="487" spans="1:27" ht="19.75">
      <c r="A487" s="8"/>
      <c r="B487" s="7"/>
      <c r="C487" s="8"/>
      <c r="D487" s="8"/>
      <c r="E487" s="11"/>
      <c r="F487" s="8"/>
      <c r="G487" s="8"/>
      <c r="H487" s="8"/>
      <c r="I487" s="8"/>
      <c r="J487" s="8"/>
      <c r="K487" s="8"/>
      <c r="L487" s="8"/>
      <c r="M487" s="8"/>
      <c r="N487" s="8"/>
      <c r="O487" s="8"/>
      <c r="P487" s="8"/>
      <c r="Q487" s="8"/>
      <c r="R487" s="8"/>
      <c r="S487" s="8"/>
      <c r="T487" s="8"/>
      <c r="U487" s="8"/>
      <c r="V487" s="8"/>
      <c r="W487" s="8"/>
      <c r="X487" s="8"/>
      <c r="Y487" s="8"/>
      <c r="Z487" s="8"/>
      <c r="AA487" s="8"/>
    </row>
    <row r="488" spans="1:27" ht="19.75">
      <c r="A488" s="8"/>
      <c r="B488" s="7"/>
      <c r="C488" s="8"/>
      <c r="D488" s="8"/>
      <c r="E488" s="11"/>
      <c r="F488" s="8"/>
      <c r="G488" s="8"/>
      <c r="H488" s="8"/>
      <c r="I488" s="8"/>
      <c r="J488" s="8"/>
      <c r="K488" s="8"/>
      <c r="L488" s="8"/>
      <c r="M488" s="8"/>
      <c r="N488" s="8"/>
      <c r="O488" s="8"/>
      <c r="P488" s="8"/>
      <c r="Q488" s="8"/>
      <c r="R488" s="8"/>
      <c r="S488" s="8"/>
      <c r="T488" s="8"/>
      <c r="U488" s="8"/>
      <c r="V488" s="8"/>
      <c r="W488" s="8"/>
      <c r="X488" s="8"/>
      <c r="Y488" s="8"/>
      <c r="Z488" s="8"/>
      <c r="AA488" s="8"/>
    </row>
    <row r="489" spans="1:27" ht="19.75">
      <c r="A489" s="8"/>
      <c r="B489" s="7"/>
      <c r="C489" s="8"/>
      <c r="D489" s="8"/>
      <c r="E489" s="11"/>
      <c r="F489" s="8"/>
      <c r="G489" s="8"/>
      <c r="H489" s="8"/>
      <c r="I489" s="8"/>
      <c r="J489" s="8"/>
      <c r="K489" s="8"/>
      <c r="L489" s="8"/>
      <c r="M489" s="8"/>
      <c r="N489" s="8"/>
      <c r="O489" s="8"/>
      <c r="P489" s="8"/>
      <c r="Q489" s="8"/>
      <c r="R489" s="8"/>
      <c r="S489" s="8"/>
      <c r="T489" s="8"/>
      <c r="U489" s="8"/>
      <c r="V489" s="8"/>
      <c r="W489" s="8"/>
      <c r="X489" s="8"/>
      <c r="Y489" s="8"/>
      <c r="Z489" s="8"/>
      <c r="AA489" s="8"/>
    </row>
    <row r="490" spans="1:27" ht="19.75">
      <c r="A490" s="8"/>
      <c r="B490" s="7"/>
      <c r="C490" s="8"/>
      <c r="D490" s="8"/>
      <c r="E490" s="11"/>
      <c r="F490" s="8"/>
      <c r="G490" s="8"/>
      <c r="H490" s="8"/>
      <c r="I490" s="8"/>
      <c r="J490" s="8"/>
      <c r="K490" s="8"/>
      <c r="L490" s="8"/>
      <c r="M490" s="8"/>
      <c r="N490" s="8"/>
      <c r="O490" s="8"/>
      <c r="P490" s="8"/>
      <c r="Q490" s="8"/>
      <c r="R490" s="8"/>
      <c r="S490" s="8"/>
      <c r="T490" s="8"/>
      <c r="U490" s="8"/>
      <c r="V490" s="8"/>
      <c r="W490" s="8"/>
      <c r="X490" s="8"/>
      <c r="Y490" s="8"/>
      <c r="Z490" s="8"/>
      <c r="AA490" s="8"/>
    </row>
    <row r="491" spans="1:27" ht="19.75">
      <c r="A491" s="8"/>
      <c r="B491" s="7"/>
      <c r="C491" s="8"/>
      <c r="D491" s="8"/>
      <c r="E491" s="11"/>
      <c r="F491" s="8"/>
      <c r="G491" s="8"/>
      <c r="H491" s="8"/>
      <c r="I491" s="8"/>
      <c r="J491" s="8"/>
      <c r="K491" s="8"/>
      <c r="L491" s="8"/>
      <c r="M491" s="8"/>
      <c r="N491" s="8"/>
      <c r="O491" s="8"/>
      <c r="P491" s="8"/>
      <c r="Q491" s="8"/>
      <c r="R491" s="8"/>
      <c r="S491" s="8"/>
      <c r="T491" s="8"/>
      <c r="U491" s="8"/>
      <c r="V491" s="8"/>
      <c r="W491" s="8"/>
      <c r="X491" s="8"/>
      <c r="Y491" s="8"/>
      <c r="Z491" s="8"/>
      <c r="AA491" s="8"/>
    </row>
    <row r="492" spans="1:27" ht="19.75">
      <c r="A492" s="8"/>
      <c r="B492" s="7"/>
      <c r="C492" s="8"/>
      <c r="D492" s="8"/>
      <c r="E492" s="11"/>
      <c r="F492" s="8"/>
      <c r="G492" s="8"/>
      <c r="H492" s="8"/>
      <c r="I492" s="8"/>
      <c r="J492" s="8"/>
      <c r="K492" s="8"/>
      <c r="L492" s="8"/>
      <c r="M492" s="8"/>
      <c r="N492" s="8"/>
      <c r="O492" s="8"/>
      <c r="P492" s="8"/>
      <c r="Q492" s="8"/>
      <c r="R492" s="8"/>
      <c r="S492" s="8"/>
      <c r="T492" s="8"/>
      <c r="U492" s="8"/>
      <c r="V492" s="8"/>
      <c r="W492" s="8"/>
      <c r="X492" s="8"/>
      <c r="Y492" s="8"/>
      <c r="Z492" s="8"/>
      <c r="AA492" s="8"/>
    </row>
    <row r="493" spans="1:27" ht="19.75">
      <c r="A493" s="8"/>
      <c r="B493" s="7"/>
      <c r="C493" s="8"/>
      <c r="D493" s="8"/>
      <c r="E493" s="11"/>
      <c r="F493" s="8"/>
      <c r="G493" s="8"/>
      <c r="H493" s="8"/>
      <c r="I493" s="8"/>
      <c r="J493" s="8"/>
      <c r="K493" s="8"/>
      <c r="L493" s="8"/>
      <c r="M493" s="8"/>
      <c r="N493" s="8"/>
      <c r="O493" s="8"/>
      <c r="P493" s="8"/>
      <c r="Q493" s="8"/>
      <c r="R493" s="8"/>
      <c r="S493" s="8"/>
      <c r="T493" s="8"/>
      <c r="U493" s="8"/>
      <c r="V493" s="8"/>
      <c r="W493" s="8"/>
      <c r="X493" s="8"/>
      <c r="Y493" s="8"/>
      <c r="Z493" s="8"/>
      <c r="AA493" s="8"/>
    </row>
    <row r="494" spans="1:27" ht="19.75">
      <c r="A494" s="8"/>
      <c r="B494" s="7"/>
      <c r="C494" s="8"/>
      <c r="D494" s="8"/>
      <c r="E494" s="11"/>
      <c r="F494" s="8"/>
      <c r="G494" s="8"/>
      <c r="H494" s="8"/>
      <c r="I494" s="8"/>
      <c r="J494" s="8"/>
      <c r="K494" s="8"/>
      <c r="L494" s="8"/>
      <c r="M494" s="8"/>
      <c r="N494" s="8"/>
      <c r="O494" s="8"/>
      <c r="P494" s="8"/>
      <c r="Q494" s="8"/>
      <c r="R494" s="8"/>
      <c r="S494" s="8"/>
      <c r="T494" s="8"/>
      <c r="U494" s="8"/>
      <c r="V494" s="8"/>
      <c r="W494" s="8"/>
      <c r="X494" s="8"/>
      <c r="Y494" s="8"/>
      <c r="Z494" s="8"/>
      <c r="AA494" s="8"/>
    </row>
    <row r="495" spans="1:27" ht="19.75">
      <c r="A495" s="8"/>
      <c r="B495" s="7"/>
      <c r="C495" s="8"/>
      <c r="D495" s="8"/>
      <c r="E495" s="11"/>
      <c r="F495" s="8"/>
      <c r="G495" s="8"/>
      <c r="H495" s="8"/>
      <c r="I495" s="8"/>
      <c r="J495" s="8"/>
      <c r="K495" s="8"/>
      <c r="L495" s="8"/>
      <c r="M495" s="8"/>
      <c r="N495" s="8"/>
      <c r="O495" s="8"/>
      <c r="P495" s="8"/>
      <c r="Q495" s="8"/>
      <c r="R495" s="8"/>
      <c r="S495" s="8"/>
      <c r="T495" s="8"/>
      <c r="U495" s="8"/>
      <c r="V495" s="8"/>
      <c r="W495" s="8"/>
      <c r="X495" s="8"/>
      <c r="Y495" s="8"/>
      <c r="Z495" s="8"/>
      <c r="AA495" s="8"/>
    </row>
    <row r="496" spans="1:27" ht="19.75">
      <c r="A496" s="8"/>
      <c r="B496" s="7"/>
      <c r="C496" s="8"/>
      <c r="D496" s="8"/>
      <c r="E496" s="11"/>
      <c r="F496" s="8"/>
      <c r="G496" s="8"/>
      <c r="H496" s="8"/>
      <c r="I496" s="8"/>
      <c r="J496" s="8"/>
      <c r="K496" s="8"/>
      <c r="L496" s="8"/>
      <c r="M496" s="8"/>
      <c r="N496" s="8"/>
      <c r="O496" s="8"/>
      <c r="P496" s="8"/>
      <c r="Q496" s="8"/>
      <c r="R496" s="8"/>
      <c r="S496" s="8"/>
      <c r="T496" s="8"/>
      <c r="U496" s="8"/>
      <c r="V496" s="8"/>
      <c r="W496" s="8"/>
      <c r="X496" s="8"/>
      <c r="Y496" s="8"/>
      <c r="Z496" s="8"/>
      <c r="AA496" s="8"/>
    </row>
    <row r="497" spans="1:27" ht="19.75">
      <c r="A497" s="8"/>
      <c r="B497" s="7"/>
      <c r="C497" s="8"/>
      <c r="D497" s="8"/>
      <c r="E497" s="11"/>
      <c r="F497" s="8"/>
      <c r="G497" s="8"/>
      <c r="H497" s="8"/>
      <c r="I497" s="8"/>
      <c r="J497" s="8"/>
      <c r="K497" s="8"/>
      <c r="L497" s="8"/>
      <c r="M497" s="8"/>
      <c r="N497" s="8"/>
      <c r="O497" s="8"/>
      <c r="P497" s="8"/>
      <c r="Q497" s="8"/>
      <c r="R497" s="8"/>
      <c r="S497" s="8"/>
      <c r="T497" s="8"/>
      <c r="U497" s="8"/>
      <c r="V497" s="8"/>
      <c r="W497" s="8"/>
      <c r="X497" s="8"/>
      <c r="Y497" s="8"/>
      <c r="Z497" s="8"/>
      <c r="AA497" s="8"/>
    </row>
    <row r="498" spans="1:27" ht="19.75">
      <c r="A498" s="8"/>
      <c r="B498" s="7"/>
      <c r="C498" s="8"/>
      <c r="D498" s="8"/>
      <c r="E498" s="11"/>
      <c r="F498" s="8"/>
      <c r="G498" s="8"/>
      <c r="H498" s="8"/>
      <c r="I498" s="8"/>
      <c r="J498" s="8"/>
      <c r="K498" s="8"/>
      <c r="L498" s="8"/>
      <c r="M498" s="8"/>
      <c r="N498" s="8"/>
      <c r="O498" s="8"/>
      <c r="P498" s="8"/>
      <c r="Q498" s="8"/>
      <c r="R498" s="8"/>
      <c r="S498" s="8"/>
      <c r="T498" s="8"/>
      <c r="U498" s="8"/>
      <c r="V498" s="8"/>
      <c r="W498" s="8"/>
      <c r="X498" s="8"/>
      <c r="Y498" s="8"/>
      <c r="Z498" s="8"/>
      <c r="AA498" s="8"/>
    </row>
    <row r="499" spans="1:27" ht="19.75">
      <c r="A499" s="8"/>
      <c r="B499" s="7"/>
      <c r="C499" s="8"/>
      <c r="D499" s="8"/>
      <c r="E499" s="11"/>
      <c r="F499" s="8"/>
      <c r="G499" s="8"/>
      <c r="H499" s="8"/>
      <c r="I499" s="8"/>
      <c r="J499" s="8"/>
      <c r="K499" s="8"/>
      <c r="L499" s="8"/>
      <c r="M499" s="8"/>
      <c r="N499" s="8"/>
      <c r="O499" s="8"/>
      <c r="P499" s="8"/>
      <c r="Q499" s="8"/>
      <c r="R499" s="8"/>
      <c r="S499" s="8"/>
      <c r="T499" s="8"/>
      <c r="U499" s="8"/>
      <c r="V499" s="8"/>
      <c r="W499" s="8"/>
      <c r="X499" s="8"/>
      <c r="Y499" s="8"/>
      <c r="Z499" s="8"/>
      <c r="AA499" s="8"/>
    </row>
    <row r="500" spans="1:27" ht="19.75">
      <c r="A500" s="8"/>
      <c r="B500" s="7"/>
      <c r="C500" s="8"/>
      <c r="D500" s="8"/>
      <c r="E500" s="11"/>
      <c r="F500" s="8"/>
      <c r="G500" s="8"/>
      <c r="H500" s="8"/>
      <c r="I500" s="8"/>
      <c r="J500" s="8"/>
      <c r="K500" s="8"/>
      <c r="L500" s="8"/>
      <c r="M500" s="8"/>
      <c r="N500" s="8"/>
      <c r="O500" s="8"/>
      <c r="P500" s="8"/>
      <c r="Q500" s="8"/>
      <c r="R500" s="8"/>
      <c r="S500" s="8"/>
      <c r="T500" s="8"/>
      <c r="U500" s="8"/>
      <c r="V500" s="8"/>
      <c r="W500" s="8"/>
      <c r="X500" s="8"/>
      <c r="Y500" s="8"/>
      <c r="Z500" s="8"/>
      <c r="AA500" s="8"/>
    </row>
    <row r="501" spans="1:27" ht="19.75">
      <c r="A501" s="8"/>
      <c r="B501" s="7"/>
      <c r="C501" s="8"/>
      <c r="D501" s="8"/>
      <c r="E501" s="11"/>
      <c r="F501" s="8"/>
      <c r="G501" s="8"/>
      <c r="H501" s="8"/>
      <c r="I501" s="8"/>
      <c r="J501" s="8"/>
      <c r="K501" s="8"/>
      <c r="L501" s="8"/>
      <c r="M501" s="8"/>
      <c r="N501" s="8"/>
      <c r="O501" s="8"/>
      <c r="P501" s="8"/>
      <c r="Q501" s="8"/>
      <c r="R501" s="8"/>
      <c r="S501" s="8"/>
      <c r="T501" s="8"/>
      <c r="U501" s="8"/>
      <c r="V501" s="8"/>
      <c r="W501" s="8"/>
      <c r="X501" s="8"/>
      <c r="Y501" s="8"/>
      <c r="Z501" s="8"/>
      <c r="AA501" s="8"/>
    </row>
    <row r="502" spans="1:27" ht="19.75">
      <c r="A502" s="8"/>
      <c r="B502" s="7"/>
      <c r="C502" s="8"/>
      <c r="D502" s="8"/>
      <c r="E502" s="11"/>
      <c r="F502" s="8"/>
      <c r="G502" s="8"/>
      <c r="H502" s="8"/>
      <c r="I502" s="8"/>
      <c r="J502" s="8"/>
      <c r="K502" s="8"/>
      <c r="L502" s="8"/>
      <c r="M502" s="8"/>
      <c r="N502" s="8"/>
      <c r="O502" s="8"/>
      <c r="P502" s="8"/>
      <c r="Q502" s="8"/>
      <c r="R502" s="8"/>
      <c r="S502" s="8"/>
      <c r="T502" s="8"/>
      <c r="U502" s="8"/>
      <c r="V502" s="8"/>
      <c r="W502" s="8"/>
      <c r="X502" s="8"/>
      <c r="Y502" s="8"/>
      <c r="Z502" s="8"/>
      <c r="AA502" s="8"/>
    </row>
    <row r="503" spans="1:27" ht="19.75">
      <c r="A503" s="8"/>
      <c r="B503" s="7"/>
      <c r="C503" s="8"/>
      <c r="D503" s="8"/>
      <c r="E503" s="11"/>
      <c r="F503" s="8"/>
      <c r="G503" s="8"/>
      <c r="H503" s="8"/>
      <c r="I503" s="8"/>
      <c r="J503" s="8"/>
      <c r="K503" s="8"/>
      <c r="L503" s="8"/>
      <c r="M503" s="8"/>
      <c r="N503" s="8"/>
      <c r="O503" s="8"/>
      <c r="P503" s="8"/>
      <c r="Q503" s="8"/>
      <c r="R503" s="8"/>
      <c r="S503" s="8"/>
      <c r="T503" s="8"/>
      <c r="U503" s="8"/>
      <c r="V503" s="8"/>
      <c r="W503" s="8"/>
      <c r="X503" s="8"/>
      <c r="Y503" s="8"/>
      <c r="Z503" s="8"/>
      <c r="AA503" s="8"/>
    </row>
    <row r="504" spans="1:27" ht="19.75">
      <c r="A504" s="8"/>
      <c r="B504" s="7"/>
      <c r="C504" s="8"/>
      <c r="D504" s="8"/>
      <c r="E504" s="11"/>
      <c r="F504" s="8"/>
      <c r="G504" s="8"/>
      <c r="H504" s="8"/>
      <c r="I504" s="8"/>
      <c r="J504" s="8"/>
      <c r="K504" s="8"/>
      <c r="L504" s="8"/>
      <c r="M504" s="8"/>
      <c r="N504" s="8"/>
      <c r="O504" s="8"/>
      <c r="P504" s="8"/>
      <c r="Q504" s="8"/>
      <c r="R504" s="8"/>
      <c r="S504" s="8"/>
      <c r="T504" s="8"/>
      <c r="U504" s="8"/>
      <c r="V504" s="8"/>
      <c r="W504" s="8"/>
      <c r="X504" s="8"/>
      <c r="Y504" s="8"/>
      <c r="Z504" s="8"/>
      <c r="AA504" s="8"/>
    </row>
    <row r="505" spans="1:27" ht="19.75">
      <c r="A505" s="8"/>
      <c r="B505" s="7"/>
      <c r="C505" s="8"/>
      <c r="D505" s="8"/>
      <c r="E505" s="11"/>
      <c r="F505" s="8"/>
      <c r="G505" s="8"/>
      <c r="H505" s="8"/>
      <c r="I505" s="8"/>
      <c r="J505" s="8"/>
      <c r="K505" s="8"/>
      <c r="L505" s="8"/>
      <c r="M505" s="8"/>
      <c r="N505" s="8"/>
      <c r="O505" s="8"/>
      <c r="P505" s="8"/>
      <c r="Q505" s="8"/>
      <c r="R505" s="8"/>
      <c r="S505" s="8"/>
      <c r="T505" s="8"/>
      <c r="U505" s="8"/>
      <c r="V505" s="8"/>
      <c r="W505" s="8"/>
      <c r="X505" s="8"/>
      <c r="Y505" s="8"/>
      <c r="Z505" s="8"/>
      <c r="AA505" s="8"/>
    </row>
    <row r="506" spans="1:27" ht="19.75">
      <c r="A506" s="8"/>
      <c r="B506" s="7"/>
      <c r="C506" s="8"/>
      <c r="D506" s="8"/>
      <c r="E506" s="11"/>
      <c r="F506" s="8"/>
      <c r="G506" s="8"/>
      <c r="H506" s="8"/>
      <c r="I506" s="8"/>
      <c r="J506" s="8"/>
      <c r="K506" s="8"/>
      <c r="L506" s="8"/>
      <c r="M506" s="8"/>
      <c r="N506" s="8"/>
      <c r="O506" s="8"/>
      <c r="P506" s="8"/>
      <c r="Q506" s="8"/>
      <c r="R506" s="8"/>
      <c r="S506" s="8"/>
      <c r="T506" s="8"/>
      <c r="U506" s="8"/>
      <c r="V506" s="8"/>
      <c r="W506" s="8"/>
      <c r="X506" s="8"/>
      <c r="Y506" s="8"/>
      <c r="Z506" s="8"/>
      <c r="AA506" s="8"/>
    </row>
    <row r="507" spans="1:27" ht="19.75">
      <c r="A507" s="8"/>
      <c r="B507" s="7"/>
      <c r="C507" s="8"/>
      <c r="D507" s="8"/>
      <c r="E507" s="11"/>
      <c r="F507" s="8"/>
      <c r="G507" s="8"/>
      <c r="H507" s="8"/>
      <c r="I507" s="8"/>
      <c r="J507" s="8"/>
      <c r="K507" s="8"/>
      <c r="L507" s="8"/>
      <c r="M507" s="8"/>
      <c r="N507" s="8"/>
      <c r="O507" s="8"/>
      <c r="P507" s="8"/>
      <c r="Q507" s="8"/>
      <c r="R507" s="8"/>
      <c r="S507" s="8"/>
      <c r="T507" s="8"/>
      <c r="U507" s="8"/>
      <c r="V507" s="8"/>
      <c r="W507" s="8"/>
      <c r="X507" s="8"/>
      <c r="Y507" s="8"/>
      <c r="Z507" s="8"/>
      <c r="AA507" s="8"/>
    </row>
    <row r="508" spans="1:27" ht="19.75">
      <c r="A508" s="8"/>
      <c r="B508" s="7"/>
      <c r="C508" s="8"/>
      <c r="D508" s="8"/>
      <c r="E508" s="11"/>
      <c r="F508" s="8"/>
      <c r="G508" s="8"/>
      <c r="H508" s="8"/>
      <c r="I508" s="8"/>
      <c r="J508" s="8"/>
      <c r="K508" s="8"/>
      <c r="L508" s="8"/>
      <c r="M508" s="8"/>
      <c r="N508" s="8"/>
      <c r="O508" s="8"/>
      <c r="P508" s="8"/>
      <c r="Q508" s="8"/>
      <c r="R508" s="8"/>
      <c r="S508" s="8"/>
      <c r="T508" s="8"/>
      <c r="U508" s="8"/>
      <c r="V508" s="8"/>
      <c r="W508" s="8"/>
      <c r="X508" s="8"/>
      <c r="Y508" s="8"/>
      <c r="Z508" s="8"/>
      <c r="AA508" s="8"/>
    </row>
    <row r="509" spans="1:27" ht="19.75">
      <c r="A509" s="8"/>
      <c r="B509" s="7"/>
      <c r="C509" s="8"/>
      <c r="D509" s="8"/>
      <c r="E509" s="11"/>
      <c r="F509" s="8"/>
      <c r="G509" s="8"/>
      <c r="H509" s="8"/>
      <c r="I509" s="8"/>
      <c r="J509" s="8"/>
      <c r="K509" s="8"/>
      <c r="L509" s="8"/>
      <c r="M509" s="8"/>
      <c r="N509" s="8"/>
      <c r="O509" s="8"/>
      <c r="P509" s="8"/>
      <c r="Q509" s="8"/>
      <c r="R509" s="8"/>
      <c r="S509" s="8"/>
      <c r="T509" s="8"/>
      <c r="U509" s="8"/>
      <c r="V509" s="8"/>
      <c r="W509" s="8"/>
      <c r="X509" s="8"/>
      <c r="Y509" s="8"/>
      <c r="Z509" s="8"/>
      <c r="AA509" s="8"/>
    </row>
    <row r="510" spans="1:27" ht="19.75">
      <c r="A510" s="8"/>
      <c r="B510" s="7"/>
      <c r="C510" s="8"/>
      <c r="D510" s="8"/>
      <c r="E510" s="11"/>
      <c r="F510" s="8"/>
      <c r="G510" s="8"/>
      <c r="H510" s="8"/>
      <c r="I510" s="8"/>
      <c r="J510" s="8"/>
      <c r="K510" s="8"/>
      <c r="L510" s="8"/>
      <c r="M510" s="8"/>
      <c r="N510" s="8"/>
      <c r="O510" s="8"/>
      <c r="P510" s="8"/>
      <c r="Q510" s="8"/>
      <c r="R510" s="8"/>
      <c r="S510" s="8"/>
      <c r="T510" s="8"/>
      <c r="U510" s="8"/>
      <c r="V510" s="8"/>
      <c r="W510" s="8"/>
      <c r="X510" s="8"/>
      <c r="Y510" s="8"/>
      <c r="Z510" s="8"/>
      <c r="AA510" s="8"/>
    </row>
    <row r="511" spans="1:27" ht="19.75">
      <c r="A511" s="8"/>
      <c r="B511" s="7"/>
      <c r="C511" s="8"/>
      <c r="D511" s="8"/>
      <c r="E511" s="11"/>
      <c r="F511" s="8"/>
      <c r="G511" s="8"/>
      <c r="H511" s="8"/>
      <c r="I511" s="8"/>
      <c r="J511" s="8"/>
      <c r="K511" s="8"/>
      <c r="L511" s="8"/>
      <c r="M511" s="8"/>
      <c r="N511" s="8"/>
      <c r="O511" s="8"/>
      <c r="P511" s="8"/>
      <c r="Q511" s="8"/>
      <c r="R511" s="8"/>
      <c r="S511" s="8"/>
      <c r="T511" s="8"/>
      <c r="U511" s="8"/>
      <c r="V511" s="8"/>
      <c r="W511" s="8"/>
      <c r="X511" s="8"/>
      <c r="Y511" s="8"/>
      <c r="Z511" s="8"/>
      <c r="AA511" s="8"/>
    </row>
    <row r="512" spans="1:27" ht="19.75">
      <c r="A512" s="8"/>
      <c r="B512" s="7"/>
      <c r="C512" s="8"/>
      <c r="D512" s="8"/>
      <c r="E512" s="11"/>
      <c r="F512" s="8"/>
      <c r="G512" s="8"/>
      <c r="H512" s="8"/>
      <c r="I512" s="8"/>
      <c r="J512" s="8"/>
      <c r="K512" s="8"/>
      <c r="L512" s="8"/>
      <c r="M512" s="8"/>
      <c r="N512" s="8"/>
      <c r="O512" s="8"/>
      <c r="P512" s="8"/>
      <c r="Q512" s="8"/>
      <c r="R512" s="8"/>
      <c r="S512" s="8"/>
      <c r="T512" s="8"/>
      <c r="U512" s="8"/>
      <c r="V512" s="8"/>
      <c r="W512" s="8"/>
      <c r="X512" s="8"/>
      <c r="Y512" s="8"/>
      <c r="Z512" s="8"/>
      <c r="AA512" s="8"/>
    </row>
    <row r="513" spans="1:27" ht="19.75">
      <c r="A513" s="8"/>
      <c r="B513" s="7"/>
      <c r="C513" s="8"/>
      <c r="D513" s="8"/>
      <c r="E513" s="11"/>
      <c r="F513" s="8"/>
      <c r="G513" s="8"/>
      <c r="H513" s="8"/>
      <c r="I513" s="8"/>
      <c r="J513" s="8"/>
      <c r="K513" s="8"/>
      <c r="L513" s="8"/>
      <c r="M513" s="8"/>
      <c r="N513" s="8"/>
      <c r="O513" s="8"/>
      <c r="P513" s="8"/>
      <c r="Q513" s="8"/>
      <c r="R513" s="8"/>
      <c r="S513" s="8"/>
      <c r="T513" s="8"/>
      <c r="U513" s="8"/>
      <c r="V513" s="8"/>
      <c r="W513" s="8"/>
      <c r="X513" s="8"/>
      <c r="Y513" s="8"/>
      <c r="Z513" s="8"/>
      <c r="AA513" s="8"/>
    </row>
    <row r="514" spans="1:27" ht="19.75">
      <c r="A514" s="8"/>
      <c r="B514" s="7"/>
      <c r="C514" s="8"/>
      <c r="D514" s="8"/>
      <c r="E514" s="11"/>
      <c r="F514" s="8"/>
      <c r="G514" s="8"/>
      <c r="H514" s="8"/>
      <c r="I514" s="8"/>
      <c r="J514" s="8"/>
      <c r="K514" s="8"/>
      <c r="L514" s="8"/>
      <c r="M514" s="8"/>
      <c r="N514" s="8"/>
      <c r="O514" s="8"/>
      <c r="P514" s="8"/>
      <c r="Q514" s="8"/>
      <c r="R514" s="8"/>
      <c r="S514" s="8"/>
      <c r="T514" s="8"/>
      <c r="U514" s="8"/>
      <c r="V514" s="8"/>
      <c r="W514" s="8"/>
      <c r="X514" s="8"/>
      <c r="Y514" s="8"/>
      <c r="Z514" s="8"/>
      <c r="AA514" s="8"/>
    </row>
    <row r="515" spans="1:27" ht="19.75">
      <c r="A515" s="8"/>
      <c r="B515" s="7"/>
      <c r="C515" s="8"/>
      <c r="D515" s="8"/>
      <c r="E515" s="11"/>
      <c r="F515" s="8"/>
      <c r="G515" s="8"/>
      <c r="H515" s="8"/>
      <c r="I515" s="8"/>
      <c r="J515" s="8"/>
      <c r="K515" s="8"/>
      <c r="L515" s="8"/>
      <c r="M515" s="8"/>
      <c r="N515" s="8"/>
      <c r="O515" s="8"/>
      <c r="P515" s="8"/>
      <c r="Q515" s="8"/>
      <c r="R515" s="8"/>
      <c r="S515" s="8"/>
      <c r="T515" s="8"/>
      <c r="U515" s="8"/>
      <c r="V515" s="8"/>
      <c r="W515" s="8"/>
      <c r="X515" s="8"/>
      <c r="Y515" s="8"/>
      <c r="Z515" s="8"/>
      <c r="AA515" s="8"/>
    </row>
    <row r="516" spans="1:27" ht="19.75">
      <c r="A516" s="8"/>
      <c r="B516" s="7"/>
      <c r="C516" s="8"/>
      <c r="D516" s="8"/>
      <c r="E516" s="11"/>
      <c r="F516" s="8"/>
      <c r="G516" s="8"/>
      <c r="H516" s="8"/>
      <c r="I516" s="8"/>
      <c r="J516" s="8"/>
      <c r="K516" s="8"/>
      <c r="L516" s="8"/>
      <c r="M516" s="8"/>
      <c r="N516" s="8"/>
      <c r="O516" s="8"/>
      <c r="P516" s="8"/>
      <c r="Q516" s="8"/>
      <c r="R516" s="8"/>
      <c r="S516" s="8"/>
      <c r="T516" s="8"/>
      <c r="U516" s="8"/>
      <c r="V516" s="8"/>
      <c r="W516" s="8"/>
      <c r="X516" s="8"/>
      <c r="Y516" s="8"/>
      <c r="Z516" s="8"/>
      <c r="AA516" s="8"/>
    </row>
    <row r="517" spans="1:27" ht="19.75">
      <c r="A517" s="8"/>
      <c r="B517" s="7"/>
      <c r="C517" s="8"/>
      <c r="D517" s="8"/>
      <c r="E517" s="11"/>
      <c r="F517" s="8"/>
      <c r="G517" s="8"/>
      <c r="H517" s="8"/>
      <c r="I517" s="8"/>
      <c r="J517" s="8"/>
      <c r="K517" s="8"/>
      <c r="L517" s="8"/>
      <c r="M517" s="8"/>
      <c r="N517" s="8"/>
      <c r="O517" s="8"/>
      <c r="P517" s="8"/>
      <c r="Q517" s="8"/>
      <c r="R517" s="8"/>
      <c r="S517" s="8"/>
      <c r="T517" s="8"/>
      <c r="U517" s="8"/>
      <c r="V517" s="8"/>
      <c r="W517" s="8"/>
      <c r="X517" s="8"/>
      <c r="Y517" s="8"/>
      <c r="Z517" s="8"/>
      <c r="AA517" s="8"/>
    </row>
    <row r="518" spans="1:27" ht="19.75">
      <c r="A518" s="8"/>
      <c r="B518" s="7"/>
      <c r="C518" s="8"/>
      <c r="D518" s="8"/>
      <c r="E518" s="11"/>
      <c r="F518" s="8"/>
      <c r="G518" s="8"/>
      <c r="H518" s="8"/>
      <c r="I518" s="8"/>
      <c r="J518" s="8"/>
      <c r="K518" s="8"/>
      <c r="L518" s="8"/>
      <c r="M518" s="8"/>
      <c r="N518" s="8"/>
      <c r="O518" s="8"/>
      <c r="P518" s="8"/>
      <c r="Q518" s="8"/>
      <c r="R518" s="8"/>
      <c r="S518" s="8"/>
      <c r="T518" s="8"/>
      <c r="U518" s="8"/>
      <c r="V518" s="8"/>
      <c r="W518" s="8"/>
      <c r="X518" s="8"/>
      <c r="Y518" s="8"/>
      <c r="Z518" s="8"/>
      <c r="AA518" s="8"/>
    </row>
    <row r="519" spans="1:27" ht="19.75">
      <c r="A519" s="8"/>
      <c r="B519" s="7"/>
      <c r="C519" s="8"/>
      <c r="D519" s="8"/>
      <c r="E519" s="11"/>
      <c r="F519" s="8"/>
      <c r="G519" s="8"/>
      <c r="H519" s="8"/>
      <c r="I519" s="8"/>
      <c r="J519" s="8"/>
      <c r="K519" s="8"/>
      <c r="L519" s="8"/>
      <c r="M519" s="8"/>
      <c r="N519" s="8"/>
      <c r="O519" s="8"/>
      <c r="P519" s="8"/>
      <c r="Q519" s="8"/>
      <c r="R519" s="8"/>
      <c r="S519" s="8"/>
      <c r="T519" s="8"/>
      <c r="U519" s="8"/>
      <c r="V519" s="8"/>
      <c r="W519" s="8"/>
      <c r="X519" s="8"/>
      <c r="Y519" s="8"/>
      <c r="Z519" s="8"/>
      <c r="AA519" s="8"/>
    </row>
    <row r="520" spans="1:27" ht="19.75">
      <c r="A520" s="8"/>
      <c r="B520" s="7"/>
      <c r="C520" s="8"/>
      <c r="D520" s="8"/>
      <c r="E520" s="11"/>
      <c r="F520" s="8"/>
      <c r="G520" s="8"/>
      <c r="H520" s="8"/>
      <c r="I520" s="8"/>
      <c r="J520" s="8"/>
      <c r="K520" s="8"/>
      <c r="L520" s="8"/>
      <c r="M520" s="8"/>
      <c r="N520" s="8"/>
      <c r="O520" s="8"/>
      <c r="P520" s="8"/>
      <c r="Q520" s="8"/>
      <c r="R520" s="8"/>
      <c r="S520" s="8"/>
      <c r="T520" s="8"/>
      <c r="U520" s="8"/>
      <c r="V520" s="8"/>
      <c r="W520" s="8"/>
      <c r="X520" s="8"/>
      <c r="Y520" s="8"/>
      <c r="Z520" s="8"/>
      <c r="AA520" s="8"/>
    </row>
    <row r="521" spans="1:27" ht="19.75">
      <c r="A521" s="8"/>
      <c r="B521" s="7"/>
      <c r="C521" s="8"/>
      <c r="D521" s="8"/>
      <c r="E521" s="11"/>
      <c r="F521" s="8"/>
      <c r="G521" s="8"/>
      <c r="H521" s="8"/>
      <c r="I521" s="8"/>
      <c r="J521" s="8"/>
      <c r="K521" s="8"/>
      <c r="L521" s="8"/>
      <c r="M521" s="8"/>
      <c r="N521" s="8"/>
      <c r="O521" s="8"/>
      <c r="P521" s="8"/>
      <c r="Q521" s="8"/>
      <c r="R521" s="8"/>
      <c r="S521" s="8"/>
      <c r="T521" s="8"/>
      <c r="U521" s="8"/>
      <c r="V521" s="8"/>
      <c r="W521" s="8"/>
      <c r="X521" s="8"/>
      <c r="Y521" s="8"/>
      <c r="Z521" s="8"/>
      <c r="AA521" s="8"/>
    </row>
    <row r="522" spans="1:27" ht="19.75">
      <c r="A522" s="8"/>
      <c r="B522" s="7"/>
      <c r="C522" s="8"/>
      <c r="D522" s="8"/>
      <c r="E522" s="11"/>
      <c r="F522" s="8"/>
      <c r="G522" s="8"/>
      <c r="H522" s="8"/>
      <c r="I522" s="8"/>
      <c r="J522" s="8"/>
      <c r="K522" s="8"/>
      <c r="L522" s="8"/>
      <c r="M522" s="8"/>
      <c r="N522" s="8"/>
      <c r="O522" s="8"/>
      <c r="P522" s="8"/>
      <c r="Q522" s="8"/>
      <c r="R522" s="8"/>
      <c r="S522" s="8"/>
      <c r="T522" s="8"/>
      <c r="U522" s="8"/>
      <c r="V522" s="8"/>
      <c r="W522" s="8"/>
      <c r="X522" s="8"/>
      <c r="Y522" s="8"/>
      <c r="Z522" s="8"/>
      <c r="AA522" s="8"/>
    </row>
    <row r="523" spans="1:27" ht="19.75">
      <c r="A523" s="8"/>
      <c r="B523" s="7"/>
      <c r="C523" s="8"/>
      <c r="D523" s="8"/>
      <c r="E523" s="11"/>
      <c r="F523" s="8"/>
      <c r="G523" s="8"/>
      <c r="H523" s="8"/>
      <c r="I523" s="8"/>
      <c r="J523" s="8"/>
      <c r="K523" s="8"/>
      <c r="L523" s="8"/>
      <c r="M523" s="8"/>
      <c r="N523" s="8"/>
      <c r="O523" s="8"/>
      <c r="P523" s="8"/>
      <c r="Q523" s="8"/>
      <c r="R523" s="8"/>
      <c r="S523" s="8"/>
      <c r="T523" s="8"/>
      <c r="U523" s="8"/>
      <c r="V523" s="8"/>
      <c r="W523" s="8"/>
      <c r="X523" s="8"/>
      <c r="Y523" s="8"/>
      <c r="Z523" s="8"/>
      <c r="AA523" s="8"/>
    </row>
    <row r="524" spans="1:27" ht="19.75">
      <c r="A524" s="8"/>
      <c r="B524" s="7"/>
      <c r="C524" s="8"/>
      <c r="D524" s="8"/>
      <c r="E524" s="11"/>
      <c r="F524" s="8"/>
      <c r="G524" s="8"/>
      <c r="H524" s="8"/>
      <c r="I524" s="8"/>
      <c r="J524" s="8"/>
      <c r="K524" s="8"/>
      <c r="L524" s="8"/>
      <c r="M524" s="8"/>
      <c r="N524" s="8"/>
      <c r="O524" s="8"/>
      <c r="P524" s="8"/>
      <c r="Q524" s="8"/>
      <c r="R524" s="8"/>
      <c r="S524" s="8"/>
      <c r="T524" s="8"/>
      <c r="U524" s="8"/>
      <c r="V524" s="8"/>
      <c r="W524" s="8"/>
      <c r="X524" s="8"/>
      <c r="Y524" s="8"/>
      <c r="Z524" s="8"/>
      <c r="AA524" s="8"/>
    </row>
    <row r="525" spans="1:27" ht="19.75">
      <c r="A525" s="8"/>
      <c r="B525" s="7"/>
      <c r="C525" s="8"/>
      <c r="D525" s="8"/>
      <c r="E525" s="11"/>
      <c r="F525" s="8"/>
      <c r="G525" s="8"/>
      <c r="H525" s="8"/>
      <c r="I525" s="8"/>
      <c r="J525" s="8"/>
      <c r="K525" s="8"/>
      <c r="L525" s="8"/>
      <c r="M525" s="8"/>
      <c r="N525" s="8"/>
      <c r="O525" s="8"/>
      <c r="P525" s="8"/>
      <c r="Q525" s="8"/>
      <c r="R525" s="8"/>
      <c r="S525" s="8"/>
      <c r="T525" s="8"/>
      <c r="U525" s="8"/>
      <c r="V525" s="8"/>
      <c r="W525" s="8"/>
      <c r="X525" s="8"/>
      <c r="Y525" s="8"/>
      <c r="Z525" s="8"/>
      <c r="AA525" s="8"/>
    </row>
    <row r="526" spans="1:27" ht="19.75">
      <c r="A526" s="8"/>
      <c r="B526" s="7"/>
      <c r="C526" s="8"/>
      <c r="D526" s="8"/>
      <c r="E526" s="11"/>
      <c r="F526" s="8"/>
      <c r="G526" s="8"/>
      <c r="H526" s="8"/>
      <c r="I526" s="8"/>
      <c r="J526" s="8"/>
      <c r="K526" s="8"/>
      <c r="L526" s="8"/>
      <c r="M526" s="8"/>
      <c r="N526" s="8"/>
      <c r="O526" s="8"/>
      <c r="P526" s="8"/>
      <c r="Q526" s="8"/>
      <c r="R526" s="8"/>
      <c r="S526" s="8"/>
      <c r="T526" s="8"/>
      <c r="U526" s="8"/>
      <c r="V526" s="8"/>
      <c r="W526" s="8"/>
      <c r="X526" s="8"/>
      <c r="Y526" s="8"/>
      <c r="Z526" s="8"/>
      <c r="AA526" s="8"/>
    </row>
    <row r="527" spans="1:27" ht="19.75">
      <c r="A527" s="8"/>
      <c r="B527" s="7"/>
      <c r="C527" s="8"/>
      <c r="D527" s="8"/>
      <c r="E527" s="11"/>
      <c r="F527" s="8"/>
      <c r="G527" s="8"/>
      <c r="H527" s="8"/>
      <c r="I527" s="8"/>
      <c r="J527" s="8"/>
      <c r="K527" s="8"/>
      <c r="L527" s="8"/>
      <c r="M527" s="8"/>
      <c r="N527" s="8"/>
      <c r="O527" s="8"/>
      <c r="P527" s="8"/>
      <c r="Q527" s="8"/>
      <c r="R527" s="8"/>
      <c r="S527" s="8"/>
      <c r="T527" s="8"/>
      <c r="U527" s="8"/>
      <c r="V527" s="8"/>
      <c r="W527" s="8"/>
      <c r="X527" s="8"/>
      <c r="Y527" s="8"/>
      <c r="Z527" s="8"/>
      <c r="AA527" s="8"/>
    </row>
    <row r="528" spans="1:27" ht="19.75">
      <c r="A528" s="8"/>
      <c r="B528" s="7"/>
      <c r="C528" s="8"/>
      <c r="D528" s="8"/>
      <c r="E528" s="11"/>
      <c r="F528" s="8"/>
      <c r="G528" s="8"/>
      <c r="H528" s="8"/>
      <c r="I528" s="8"/>
      <c r="J528" s="8"/>
      <c r="K528" s="8"/>
      <c r="L528" s="8"/>
      <c r="M528" s="8"/>
      <c r="N528" s="8"/>
      <c r="O528" s="8"/>
      <c r="P528" s="8"/>
      <c r="Q528" s="8"/>
      <c r="R528" s="8"/>
      <c r="S528" s="8"/>
      <c r="T528" s="8"/>
      <c r="U528" s="8"/>
      <c r="V528" s="8"/>
      <c r="W528" s="8"/>
      <c r="X528" s="8"/>
      <c r="Y528" s="8"/>
      <c r="Z528" s="8"/>
      <c r="AA528" s="8"/>
    </row>
    <row r="529" spans="1:27" ht="19.75">
      <c r="A529" s="8"/>
      <c r="B529" s="7"/>
      <c r="C529" s="8"/>
      <c r="D529" s="8"/>
      <c r="E529" s="11"/>
      <c r="F529" s="8"/>
      <c r="G529" s="8"/>
      <c r="H529" s="8"/>
      <c r="I529" s="8"/>
      <c r="J529" s="8"/>
      <c r="K529" s="8"/>
      <c r="L529" s="8"/>
      <c r="M529" s="8"/>
      <c r="N529" s="8"/>
      <c r="O529" s="8"/>
      <c r="P529" s="8"/>
      <c r="Q529" s="8"/>
      <c r="R529" s="8"/>
      <c r="S529" s="8"/>
      <c r="T529" s="8"/>
      <c r="U529" s="8"/>
      <c r="V529" s="8"/>
      <c r="W529" s="8"/>
      <c r="X529" s="8"/>
      <c r="Y529" s="8"/>
      <c r="Z529" s="8"/>
      <c r="AA529" s="8"/>
    </row>
    <row r="530" spans="1:27" ht="19.75">
      <c r="A530" s="8"/>
      <c r="B530" s="7"/>
      <c r="C530" s="8"/>
      <c r="D530" s="8"/>
      <c r="E530" s="11"/>
      <c r="F530" s="8"/>
      <c r="G530" s="8"/>
      <c r="H530" s="8"/>
      <c r="I530" s="8"/>
      <c r="J530" s="8"/>
      <c r="K530" s="8"/>
      <c r="L530" s="8"/>
      <c r="M530" s="8"/>
      <c r="N530" s="8"/>
      <c r="O530" s="8"/>
      <c r="P530" s="8"/>
      <c r="Q530" s="8"/>
      <c r="R530" s="8"/>
      <c r="S530" s="8"/>
      <c r="T530" s="8"/>
      <c r="U530" s="8"/>
      <c r="V530" s="8"/>
      <c r="W530" s="8"/>
      <c r="X530" s="8"/>
      <c r="Y530" s="8"/>
      <c r="Z530" s="8"/>
      <c r="AA530" s="8"/>
    </row>
    <row r="531" spans="1:27" ht="19.75">
      <c r="A531" s="8"/>
      <c r="B531" s="7"/>
      <c r="C531" s="8"/>
      <c r="D531" s="8"/>
      <c r="E531" s="11"/>
      <c r="F531" s="8"/>
      <c r="G531" s="8"/>
      <c r="H531" s="8"/>
      <c r="I531" s="8"/>
      <c r="J531" s="8"/>
      <c r="K531" s="8"/>
      <c r="L531" s="8"/>
      <c r="M531" s="8"/>
      <c r="N531" s="8"/>
      <c r="O531" s="8"/>
      <c r="P531" s="8"/>
      <c r="Q531" s="8"/>
      <c r="R531" s="8"/>
      <c r="S531" s="8"/>
      <c r="T531" s="8"/>
      <c r="U531" s="8"/>
      <c r="V531" s="8"/>
      <c r="W531" s="8"/>
      <c r="X531" s="8"/>
      <c r="Y531" s="8"/>
      <c r="Z531" s="8"/>
      <c r="AA531" s="8"/>
    </row>
    <row r="532" spans="1:27" ht="19.75">
      <c r="A532" s="8"/>
      <c r="B532" s="7"/>
      <c r="C532" s="8"/>
      <c r="D532" s="8"/>
      <c r="E532" s="11"/>
      <c r="F532" s="8"/>
      <c r="G532" s="8"/>
      <c r="H532" s="8"/>
      <c r="I532" s="8"/>
      <c r="J532" s="8"/>
      <c r="K532" s="8"/>
      <c r="L532" s="8"/>
      <c r="M532" s="8"/>
      <c r="N532" s="8"/>
      <c r="O532" s="8"/>
      <c r="P532" s="8"/>
      <c r="Q532" s="8"/>
      <c r="R532" s="8"/>
      <c r="S532" s="8"/>
      <c r="T532" s="8"/>
      <c r="U532" s="8"/>
      <c r="V532" s="8"/>
      <c r="W532" s="8"/>
      <c r="X532" s="8"/>
      <c r="Y532" s="8"/>
      <c r="Z532" s="8"/>
      <c r="AA532" s="8"/>
    </row>
    <row r="533" spans="1:27" ht="19.75">
      <c r="A533" s="8"/>
      <c r="B533" s="7"/>
      <c r="C533" s="8"/>
      <c r="D533" s="8"/>
      <c r="E533" s="11"/>
      <c r="F533" s="8"/>
      <c r="G533" s="8"/>
      <c r="H533" s="8"/>
      <c r="I533" s="8"/>
      <c r="J533" s="8"/>
      <c r="K533" s="8"/>
      <c r="L533" s="8"/>
      <c r="M533" s="8"/>
      <c r="N533" s="8"/>
      <c r="O533" s="8"/>
      <c r="P533" s="8"/>
      <c r="Q533" s="8"/>
      <c r="R533" s="8"/>
      <c r="S533" s="8"/>
      <c r="T533" s="8"/>
      <c r="U533" s="8"/>
      <c r="V533" s="8"/>
      <c r="W533" s="8"/>
      <c r="X533" s="8"/>
      <c r="Y533" s="8"/>
      <c r="Z533" s="8"/>
      <c r="AA533" s="8"/>
    </row>
    <row r="534" spans="1:27" ht="19.75">
      <c r="A534" s="8"/>
      <c r="B534" s="7"/>
      <c r="C534" s="8"/>
      <c r="D534" s="8"/>
      <c r="E534" s="11"/>
      <c r="F534" s="8"/>
      <c r="G534" s="8"/>
      <c r="H534" s="8"/>
      <c r="I534" s="8"/>
      <c r="J534" s="8"/>
      <c r="K534" s="8"/>
      <c r="L534" s="8"/>
      <c r="M534" s="8"/>
      <c r="N534" s="8"/>
      <c r="O534" s="8"/>
      <c r="P534" s="8"/>
      <c r="Q534" s="8"/>
      <c r="R534" s="8"/>
      <c r="S534" s="8"/>
      <c r="T534" s="8"/>
      <c r="U534" s="8"/>
      <c r="V534" s="8"/>
      <c r="W534" s="8"/>
      <c r="X534" s="8"/>
      <c r="Y534" s="8"/>
      <c r="Z534" s="8"/>
      <c r="AA534" s="8"/>
    </row>
    <row r="535" spans="1:27" ht="19.75">
      <c r="A535" s="8"/>
      <c r="B535" s="7"/>
      <c r="C535" s="8"/>
      <c r="D535" s="8"/>
      <c r="E535" s="11"/>
      <c r="F535" s="8"/>
      <c r="G535" s="8"/>
      <c r="H535" s="8"/>
      <c r="I535" s="8"/>
      <c r="J535" s="8"/>
      <c r="K535" s="8"/>
      <c r="L535" s="8"/>
      <c r="M535" s="8"/>
      <c r="N535" s="8"/>
      <c r="O535" s="8"/>
      <c r="P535" s="8"/>
      <c r="Q535" s="8"/>
      <c r="R535" s="8"/>
      <c r="S535" s="8"/>
      <c r="T535" s="8"/>
      <c r="U535" s="8"/>
      <c r="V535" s="8"/>
      <c r="W535" s="8"/>
      <c r="X535" s="8"/>
      <c r="Y535" s="8"/>
      <c r="Z535" s="8"/>
      <c r="AA535" s="8"/>
    </row>
    <row r="536" spans="1:27" ht="19.75">
      <c r="A536" s="8"/>
      <c r="B536" s="7"/>
      <c r="C536" s="8"/>
      <c r="D536" s="8"/>
      <c r="E536" s="11"/>
      <c r="F536" s="8"/>
      <c r="G536" s="8"/>
      <c r="H536" s="8"/>
      <c r="I536" s="8"/>
      <c r="J536" s="8"/>
      <c r="K536" s="8"/>
      <c r="L536" s="8"/>
      <c r="M536" s="8"/>
      <c r="N536" s="8"/>
      <c r="O536" s="8"/>
      <c r="P536" s="8"/>
      <c r="Q536" s="8"/>
      <c r="R536" s="8"/>
      <c r="S536" s="8"/>
      <c r="T536" s="8"/>
      <c r="U536" s="8"/>
      <c r="V536" s="8"/>
      <c r="W536" s="8"/>
      <c r="X536" s="8"/>
      <c r="Y536" s="8"/>
      <c r="Z536" s="8"/>
      <c r="AA536" s="8"/>
    </row>
    <row r="537" spans="1:27" ht="19.75">
      <c r="A537" s="8"/>
      <c r="B537" s="7"/>
      <c r="C537" s="8"/>
      <c r="D537" s="8"/>
      <c r="E537" s="11"/>
      <c r="F537" s="8"/>
      <c r="G537" s="8"/>
      <c r="H537" s="8"/>
      <c r="I537" s="8"/>
      <c r="J537" s="8"/>
      <c r="K537" s="8"/>
      <c r="L537" s="8"/>
      <c r="M537" s="8"/>
      <c r="N537" s="8"/>
      <c r="O537" s="8"/>
      <c r="P537" s="8"/>
      <c r="Q537" s="8"/>
      <c r="R537" s="8"/>
      <c r="S537" s="8"/>
      <c r="T537" s="8"/>
      <c r="U537" s="8"/>
      <c r="V537" s="8"/>
      <c r="W537" s="8"/>
      <c r="X537" s="8"/>
      <c r="Y537" s="8"/>
      <c r="Z537" s="8"/>
      <c r="AA537" s="8"/>
    </row>
    <row r="538" spans="1:27" ht="19.75">
      <c r="A538" s="8"/>
      <c r="B538" s="7"/>
      <c r="C538" s="8"/>
      <c r="D538" s="8"/>
      <c r="E538" s="11"/>
      <c r="F538" s="8"/>
      <c r="G538" s="8"/>
      <c r="H538" s="8"/>
      <c r="I538" s="8"/>
      <c r="J538" s="8"/>
      <c r="K538" s="8"/>
      <c r="L538" s="8"/>
      <c r="M538" s="8"/>
      <c r="N538" s="8"/>
      <c r="O538" s="8"/>
      <c r="P538" s="8"/>
      <c r="Q538" s="8"/>
      <c r="R538" s="8"/>
      <c r="S538" s="8"/>
      <c r="T538" s="8"/>
      <c r="U538" s="8"/>
      <c r="V538" s="8"/>
      <c r="W538" s="8"/>
      <c r="X538" s="8"/>
      <c r="Y538" s="8"/>
      <c r="Z538" s="8"/>
      <c r="AA538" s="8"/>
    </row>
    <row r="539" spans="1:27" ht="19.75">
      <c r="A539" s="8"/>
      <c r="B539" s="7"/>
      <c r="C539" s="8"/>
      <c r="D539" s="8"/>
      <c r="E539" s="11"/>
      <c r="F539" s="8"/>
      <c r="G539" s="8"/>
      <c r="H539" s="8"/>
      <c r="I539" s="8"/>
      <c r="J539" s="8"/>
      <c r="K539" s="8"/>
      <c r="L539" s="8"/>
      <c r="M539" s="8"/>
      <c r="N539" s="8"/>
      <c r="O539" s="8"/>
      <c r="P539" s="8"/>
      <c r="Q539" s="8"/>
      <c r="R539" s="8"/>
      <c r="S539" s="8"/>
      <c r="T539" s="8"/>
      <c r="U539" s="8"/>
      <c r="V539" s="8"/>
      <c r="W539" s="8"/>
      <c r="X539" s="8"/>
      <c r="Y539" s="8"/>
      <c r="Z539" s="8"/>
      <c r="AA539" s="8"/>
    </row>
    <row r="540" spans="1:27" ht="19.75">
      <c r="A540" s="8"/>
      <c r="B540" s="7"/>
      <c r="C540" s="8"/>
      <c r="D540" s="8"/>
      <c r="E540" s="11"/>
      <c r="F540" s="8"/>
      <c r="G540" s="8"/>
      <c r="H540" s="8"/>
      <c r="I540" s="8"/>
      <c r="J540" s="8"/>
      <c r="K540" s="8"/>
      <c r="L540" s="8"/>
      <c r="M540" s="8"/>
      <c r="N540" s="8"/>
      <c r="O540" s="8"/>
      <c r="P540" s="8"/>
      <c r="Q540" s="8"/>
      <c r="R540" s="8"/>
      <c r="S540" s="8"/>
      <c r="T540" s="8"/>
      <c r="U540" s="8"/>
      <c r="V540" s="8"/>
      <c r="W540" s="8"/>
      <c r="X540" s="8"/>
      <c r="Y540" s="8"/>
      <c r="Z540" s="8"/>
      <c r="AA540" s="8"/>
    </row>
    <row r="541" spans="1:27" ht="19.75">
      <c r="A541" s="8"/>
      <c r="B541" s="7"/>
      <c r="C541" s="8"/>
      <c r="D541" s="8"/>
      <c r="E541" s="11"/>
      <c r="F541" s="8"/>
      <c r="G541" s="8"/>
      <c r="H541" s="8"/>
      <c r="I541" s="8"/>
      <c r="J541" s="8"/>
      <c r="K541" s="8"/>
      <c r="L541" s="8"/>
      <c r="M541" s="8"/>
      <c r="N541" s="8"/>
      <c r="O541" s="8"/>
      <c r="P541" s="8"/>
      <c r="Q541" s="8"/>
      <c r="R541" s="8"/>
      <c r="S541" s="8"/>
      <c r="T541" s="8"/>
      <c r="U541" s="8"/>
      <c r="V541" s="8"/>
      <c r="W541" s="8"/>
      <c r="X541" s="8"/>
      <c r="Y541" s="8"/>
      <c r="Z541" s="8"/>
      <c r="AA541" s="8"/>
    </row>
    <row r="542" spans="1:27" ht="19.75">
      <c r="A542" s="8"/>
      <c r="B542" s="7"/>
      <c r="C542" s="8"/>
      <c r="D542" s="8"/>
      <c r="E542" s="11"/>
      <c r="F542" s="8"/>
      <c r="G542" s="8"/>
      <c r="H542" s="8"/>
      <c r="I542" s="8"/>
      <c r="J542" s="8"/>
      <c r="K542" s="8"/>
      <c r="L542" s="8"/>
      <c r="M542" s="8"/>
      <c r="N542" s="8"/>
      <c r="O542" s="8"/>
      <c r="P542" s="8"/>
      <c r="Q542" s="8"/>
      <c r="R542" s="8"/>
      <c r="S542" s="8"/>
      <c r="T542" s="8"/>
      <c r="U542" s="8"/>
      <c r="V542" s="8"/>
      <c r="W542" s="8"/>
      <c r="X542" s="8"/>
      <c r="Y542" s="8"/>
      <c r="Z542" s="8"/>
      <c r="AA542" s="8"/>
    </row>
    <row r="543" spans="1:27" ht="19.75">
      <c r="A543" s="8"/>
      <c r="B543" s="7"/>
      <c r="C543" s="8"/>
      <c r="D543" s="8"/>
      <c r="E543" s="11"/>
      <c r="F543" s="8"/>
      <c r="G543" s="8"/>
      <c r="H543" s="8"/>
      <c r="I543" s="8"/>
      <c r="J543" s="8"/>
      <c r="K543" s="8"/>
      <c r="L543" s="8"/>
      <c r="M543" s="8"/>
      <c r="N543" s="8"/>
      <c r="O543" s="8"/>
      <c r="P543" s="8"/>
      <c r="Q543" s="8"/>
      <c r="R543" s="8"/>
      <c r="S543" s="8"/>
      <c r="T543" s="8"/>
      <c r="U543" s="8"/>
      <c r="V543" s="8"/>
      <c r="W543" s="8"/>
      <c r="X543" s="8"/>
      <c r="Y543" s="8"/>
      <c r="Z543" s="8"/>
      <c r="AA543" s="8"/>
    </row>
    <row r="544" spans="1:27" ht="19.75">
      <c r="A544" s="8"/>
      <c r="B544" s="7"/>
      <c r="C544" s="8"/>
      <c r="D544" s="8"/>
      <c r="E544" s="11"/>
      <c r="F544" s="8"/>
      <c r="G544" s="8"/>
      <c r="H544" s="8"/>
      <c r="I544" s="8"/>
      <c r="J544" s="8"/>
      <c r="K544" s="8"/>
      <c r="L544" s="8"/>
      <c r="M544" s="8"/>
      <c r="N544" s="8"/>
      <c r="O544" s="8"/>
      <c r="P544" s="8"/>
      <c r="Q544" s="8"/>
      <c r="R544" s="8"/>
      <c r="S544" s="8"/>
      <c r="T544" s="8"/>
      <c r="U544" s="8"/>
      <c r="V544" s="8"/>
      <c r="W544" s="8"/>
      <c r="X544" s="8"/>
      <c r="Y544" s="8"/>
      <c r="Z544" s="8"/>
      <c r="AA544" s="8"/>
    </row>
    <row r="545" spans="1:27" ht="19.75">
      <c r="A545" s="8"/>
      <c r="B545" s="7"/>
      <c r="C545" s="8"/>
      <c r="D545" s="8"/>
      <c r="E545" s="11"/>
      <c r="F545" s="8"/>
      <c r="G545" s="8"/>
      <c r="H545" s="8"/>
      <c r="I545" s="8"/>
      <c r="J545" s="8"/>
      <c r="K545" s="8"/>
      <c r="L545" s="8"/>
      <c r="M545" s="8"/>
      <c r="N545" s="8"/>
      <c r="O545" s="8"/>
      <c r="P545" s="8"/>
      <c r="Q545" s="8"/>
      <c r="R545" s="8"/>
      <c r="S545" s="8"/>
      <c r="T545" s="8"/>
      <c r="U545" s="8"/>
      <c r="V545" s="8"/>
      <c r="W545" s="8"/>
      <c r="X545" s="8"/>
      <c r="Y545" s="8"/>
      <c r="Z545" s="8"/>
      <c r="AA545" s="8"/>
    </row>
    <row r="546" spans="1:27" ht="19.75">
      <c r="A546" s="8"/>
      <c r="B546" s="7"/>
      <c r="C546" s="8"/>
      <c r="D546" s="8"/>
      <c r="E546" s="11"/>
      <c r="F546" s="8"/>
      <c r="G546" s="8"/>
      <c r="H546" s="8"/>
      <c r="I546" s="8"/>
      <c r="J546" s="8"/>
      <c r="K546" s="8"/>
      <c r="L546" s="8"/>
      <c r="M546" s="8"/>
      <c r="N546" s="8"/>
      <c r="O546" s="8"/>
      <c r="P546" s="8"/>
      <c r="Q546" s="8"/>
      <c r="R546" s="8"/>
      <c r="S546" s="8"/>
      <c r="T546" s="8"/>
      <c r="U546" s="8"/>
      <c r="V546" s="8"/>
      <c r="W546" s="8"/>
      <c r="X546" s="8"/>
      <c r="Y546" s="8"/>
      <c r="Z546" s="8"/>
      <c r="AA546" s="8"/>
    </row>
    <row r="547" spans="1:27" ht="19.75">
      <c r="A547" s="8"/>
      <c r="B547" s="7"/>
      <c r="C547" s="8"/>
      <c r="D547" s="8"/>
      <c r="E547" s="11"/>
      <c r="F547" s="8"/>
      <c r="G547" s="8"/>
      <c r="H547" s="8"/>
      <c r="I547" s="8"/>
      <c r="J547" s="8"/>
      <c r="K547" s="8"/>
      <c r="L547" s="8"/>
      <c r="M547" s="8"/>
      <c r="N547" s="8"/>
      <c r="O547" s="8"/>
      <c r="P547" s="8"/>
      <c r="Q547" s="8"/>
      <c r="R547" s="8"/>
      <c r="S547" s="8"/>
      <c r="T547" s="8"/>
      <c r="U547" s="8"/>
      <c r="V547" s="8"/>
      <c r="W547" s="8"/>
      <c r="X547" s="8"/>
      <c r="Y547" s="8"/>
      <c r="Z547" s="8"/>
      <c r="AA547" s="8"/>
    </row>
    <row r="548" spans="1:27" ht="19.75">
      <c r="A548" s="8"/>
      <c r="B548" s="7"/>
      <c r="C548" s="8"/>
      <c r="D548" s="8"/>
      <c r="E548" s="11"/>
      <c r="F548" s="8"/>
      <c r="G548" s="8"/>
      <c r="H548" s="8"/>
      <c r="I548" s="8"/>
      <c r="J548" s="8"/>
      <c r="K548" s="8"/>
      <c r="L548" s="8"/>
      <c r="M548" s="8"/>
      <c r="N548" s="8"/>
      <c r="O548" s="8"/>
      <c r="P548" s="8"/>
      <c r="Q548" s="8"/>
      <c r="R548" s="8"/>
      <c r="S548" s="8"/>
      <c r="T548" s="8"/>
      <c r="U548" s="8"/>
      <c r="V548" s="8"/>
      <c r="W548" s="8"/>
      <c r="X548" s="8"/>
      <c r="Y548" s="8"/>
      <c r="Z548" s="8"/>
      <c r="AA548" s="8"/>
    </row>
    <row r="549" spans="1:27" ht="19.75">
      <c r="A549" s="8"/>
      <c r="B549" s="7"/>
      <c r="C549" s="8"/>
      <c r="D549" s="8"/>
      <c r="E549" s="11"/>
      <c r="F549" s="8"/>
      <c r="G549" s="8"/>
      <c r="H549" s="8"/>
      <c r="I549" s="8"/>
      <c r="J549" s="8"/>
      <c r="K549" s="8"/>
      <c r="L549" s="8"/>
      <c r="M549" s="8"/>
      <c r="N549" s="8"/>
      <c r="O549" s="8"/>
      <c r="P549" s="8"/>
      <c r="Q549" s="8"/>
      <c r="R549" s="8"/>
      <c r="S549" s="8"/>
      <c r="T549" s="8"/>
      <c r="U549" s="8"/>
      <c r="V549" s="8"/>
      <c r="W549" s="8"/>
      <c r="X549" s="8"/>
      <c r="Y549" s="8"/>
      <c r="Z549" s="8"/>
      <c r="AA549" s="8"/>
    </row>
    <row r="550" spans="1:27" ht="19.75">
      <c r="A550" s="8"/>
      <c r="B550" s="7"/>
      <c r="C550" s="8"/>
      <c r="D550" s="8"/>
      <c r="E550" s="11"/>
      <c r="F550" s="8"/>
      <c r="G550" s="8"/>
      <c r="H550" s="8"/>
      <c r="I550" s="8"/>
      <c r="J550" s="8"/>
      <c r="K550" s="8"/>
      <c r="L550" s="8"/>
      <c r="M550" s="8"/>
      <c r="N550" s="8"/>
      <c r="O550" s="8"/>
      <c r="P550" s="8"/>
      <c r="Q550" s="8"/>
      <c r="R550" s="8"/>
      <c r="S550" s="8"/>
      <c r="T550" s="8"/>
      <c r="U550" s="8"/>
      <c r="V550" s="8"/>
      <c r="W550" s="8"/>
      <c r="X550" s="8"/>
      <c r="Y550" s="8"/>
      <c r="Z550" s="8"/>
      <c r="AA550" s="8"/>
    </row>
    <row r="551" spans="1:27" ht="19.75">
      <c r="A551" s="8"/>
      <c r="B551" s="7"/>
      <c r="C551" s="8"/>
      <c r="D551" s="8"/>
      <c r="E551" s="11"/>
      <c r="F551" s="8"/>
      <c r="G551" s="8"/>
      <c r="H551" s="8"/>
      <c r="I551" s="8"/>
      <c r="J551" s="8"/>
      <c r="K551" s="8"/>
      <c r="L551" s="8"/>
      <c r="M551" s="8"/>
      <c r="N551" s="8"/>
      <c r="O551" s="8"/>
      <c r="P551" s="8"/>
      <c r="Q551" s="8"/>
      <c r="R551" s="8"/>
      <c r="S551" s="8"/>
      <c r="T551" s="8"/>
      <c r="U551" s="8"/>
      <c r="V551" s="8"/>
      <c r="W551" s="8"/>
      <c r="X551" s="8"/>
      <c r="Y551" s="8"/>
      <c r="Z551" s="8"/>
      <c r="AA551" s="8"/>
    </row>
    <row r="552" spans="1:27" ht="19.75">
      <c r="A552" s="8"/>
      <c r="B552" s="7"/>
      <c r="C552" s="8"/>
      <c r="D552" s="8"/>
      <c r="E552" s="11"/>
      <c r="F552" s="8"/>
      <c r="G552" s="8"/>
      <c r="H552" s="8"/>
      <c r="I552" s="8"/>
      <c r="J552" s="8"/>
      <c r="K552" s="8"/>
      <c r="L552" s="8"/>
      <c r="M552" s="8"/>
      <c r="N552" s="8"/>
      <c r="O552" s="8"/>
      <c r="P552" s="8"/>
      <c r="Q552" s="8"/>
      <c r="R552" s="8"/>
      <c r="S552" s="8"/>
      <c r="T552" s="8"/>
      <c r="U552" s="8"/>
      <c r="V552" s="8"/>
      <c r="W552" s="8"/>
      <c r="X552" s="8"/>
      <c r="Y552" s="8"/>
      <c r="Z552" s="8"/>
      <c r="AA552" s="8"/>
    </row>
    <row r="553" spans="1:27" ht="19.75">
      <c r="A553" s="8"/>
      <c r="B553" s="7"/>
      <c r="C553" s="8"/>
      <c r="D553" s="8"/>
      <c r="E553" s="11"/>
      <c r="F553" s="8"/>
      <c r="G553" s="8"/>
      <c r="H553" s="8"/>
      <c r="I553" s="8"/>
      <c r="J553" s="8"/>
      <c r="K553" s="8"/>
      <c r="L553" s="8"/>
      <c r="M553" s="8"/>
      <c r="N553" s="8"/>
      <c r="O553" s="8"/>
      <c r="P553" s="8"/>
      <c r="Q553" s="8"/>
      <c r="R553" s="8"/>
      <c r="S553" s="8"/>
      <c r="T553" s="8"/>
      <c r="U553" s="8"/>
      <c r="V553" s="8"/>
      <c r="W553" s="8"/>
      <c r="X553" s="8"/>
      <c r="Y553" s="8"/>
      <c r="Z553" s="8"/>
      <c r="AA553" s="8"/>
    </row>
    <row r="554" spans="1:27" ht="19.75">
      <c r="A554" s="8"/>
      <c r="B554" s="7"/>
      <c r="C554" s="8"/>
      <c r="D554" s="8"/>
      <c r="E554" s="11"/>
      <c r="F554" s="8"/>
      <c r="G554" s="8"/>
      <c r="H554" s="8"/>
      <c r="I554" s="8"/>
      <c r="J554" s="8"/>
      <c r="K554" s="8"/>
      <c r="L554" s="8"/>
      <c r="M554" s="8"/>
      <c r="N554" s="8"/>
      <c r="O554" s="8"/>
      <c r="P554" s="8"/>
      <c r="Q554" s="8"/>
      <c r="R554" s="8"/>
      <c r="S554" s="8"/>
      <c r="T554" s="8"/>
      <c r="U554" s="8"/>
      <c r="V554" s="8"/>
      <c r="W554" s="8"/>
      <c r="X554" s="8"/>
      <c r="Y554" s="8"/>
      <c r="Z554" s="8"/>
      <c r="AA554" s="8"/>
    </row>
    <row r="555" spans="1:27" ht="19.75">
      <c r="A555" s="8"/>
      <c r="B555" s="7"/>
      <c r="C555" s="8"/>
      <c r="D555" s="8"/>
      <c r="E555" s="11"/>
      <c r="F555" s="8"/>
      <c r="G555" s="8"/>
      <c r="H555" s="8"/>
      <c r="I555" s="8"/>
      <c r="J555" s="8"/>
      <c r="K555" s="8"/>
      <c r="L555" s="8"/>
      <c r="M555" s="8"/>
      <c r="N555" s="8"/>
      <c r="O555" s="8"/>
      <c r="P555" s="8"/>
      <c r="Q555" s="8"/>
      <c r="R555" s="8"/>
      <c r="S555" s="8"/>
      <c r="T555" s="8"/>
      <c r="U555" s="8"/>
      <c r="V555" s="8"/>
      <c r="W555" s="8"/>
      <c r="X555" s="8"/>
      <c r="Y555" s="8"/>
      <c r="Z555" s="8"/>
      <c r="AA555" s="8"/>
    </row>
    <row r="556" spans="1:27" ht="19.75">
      <c r="A556" s="8"/>
      <c r="B556" s="7"/>
      <c r="C556" s="8"/>
      <c r="D556" s="8"/>
      <c r="E556" s="11"/>
      <c r="F556" s="8"/>
      <c r="G556" s="8"/>
      <c r="H556" s="8"/>
      <c r="I556" s="8"/>
      <c r="J556" s="8"/>
      <c r="K556" s="8"/>
      <c r="L556" s="8"/>
      <c r="M556" s="8"/>
      <c r="N556" s="8"/>
      <c r="O556" s="8"/>
      <c r="P556" s="8"/>
      <c r="Q556" s="8"/>
      <c r="R556" s="8"/>
      <c r="S556" s="8"/>
      <c r="T556" s="8"/>
      <c r="U556" s="8"/>
      <c r="V556" s="8"/>
      <c r="W556" s="8"/>
      <c r="X556" s="8"/>
      <c r="Y556" s="8"/>
      <c r="Z556" s="8"/>
      <c r="AA556" s="8"/>
    </row>
    <row r="557" spans="1:27" ht="19.75">
      <c r="A557" s="8"/>
      <c r="B557" s="7"/>
      <c r="C557" s="8"/>
      <c r="D557" s="8"/>
      <c r="E557" s="11"/>
      <c r="F557" s="8"/>
      <c r="G557" s="8"/>
      <c r="H557" s="8"/>
      <c r="I557" s="8"/>
      <c r="J557" s="8"/>
      <c r="K557" s="8"/>
      <c r="L557" s="8"/>
      <c r="M557" s="8"/>
      <c r="N557" s="8"/>
      <c r="O557" s="8"/>
      <c r="P557" s="8"/>
      <c r="Q557" s="8"/>
      <c r="R557" s="8"/>
      <c r="S557" s="8"/>
      <c r="T557" s="8"/>
      <c r="U557" s="8"/>
      <c r="V557" s="8"/>
      <c r="W557" s="8"/>
      <c r="X557" s="8"/>
      <c r="Y557" s="8"/>
      <c r="Z557" s="8"/>
      <c r="AA557" s="8"/>
    </row>
    <row r="558" spans="1:27" ht="19.75">
      <c r="A558" s="8"/>
      <c r="B558" s="7"/>
      <c r="C558" s="8"/>
      <c r="D558" s="8"/>
      <c r="E558" s="11"/>
      <c r="F558" s="8"/>
      <c r="G558" s="8"/>
      <c r="H558" s="8"/>
      <c r="I558" s="8"/>
      <c r="J558" s="8"/>
      <c r="K558" s="8"/>
      <c r="L558" s="8"/>
      <c r="M558" s="8"/>
      <c r="N558" s="8"/>
      <c r="O558" s="8"/>
      <c r="P558" s="8"/>
      <c r="Q558" s="8"/>
      <c r="R558" s="8"/>
      <c r="S558" s="8"/>
      <c r="T558" s="8"/>
      <c r="U558" s="8"/>
      <c r="V558" s="8"/>
      <c r="W558" s="8"/>
      <c r="X558" s="8"/>
      <c r="Y558" s="8"/>
      <c r="Z558" s="8"/>
      <c r="AA558" s="8"/>
    </row>
    <row r="559" spans="1:27" ht="19.75">
      <c r="A559" s="8"/>
      <c r="B559" s="7"/>
      <c r="C559" s="8"/>
      <c r="D559" s="8"/>
      <c r="E559" s="11"/>
      <c r="F559" s="8"/>
      <c r="G559" s="8"/>
      <c r="H559" s="8"/>
      <c r="I559" s="8"/>
      <c r="J559" s="8"/>
      <c r="K559" s="8"/>
      <c r="L559" s="8"/>
      <c r="M559" s="8"/>
      <c r="N559" s="8"/>
      <c r="O559" s="8"/>
      <c r="P559" s="8"/>
      <c r="Q559" s="8"/>
      <c r="R559" s="8"/>
      <c r="S559" s="8"/>
      <c r="T559" s="8"/>
      <c r="U559" s="8"/>
      <c r="V559" s="8"/>
      <c r="W559" s="8"/>
      <c r="X559" s="8"/>
      <c r="Y559" s="8"/>
      <c r="Z559" s="8"/>
      <c r="AA559" s="8"/>
    </row>
    <row r="560" spans="1:27" ht="19.75">
      <c r="A560" s="8"/>
      <c r="B560" s="7"/>
      <c r="C560" s="8"/>
      <c r="D560" s="8"/>
      <c r="E560" s="11"/>
      <c r="F560" s="8"/>
      <c r="G560" s="8"/>
      <c r="H560" s="8"/>
      <c r="I560" s="8"/>
      <c r="J560" s="8"/>
      <c r="K560" s="8"/>
      <c r="L560" s="8"/>
      <c r="M560" s="8"/>
      <c r="N560" s="8"/>
      <c r="O560" s="8"/>
      <c r="P560" s="8"/>
      <c r="Q560" s="8"/>
      <c r="R560" s="8"/>
      <c r="S560" s="8"/>
      <c r="T560" s="8"/>
      <c r="U560" s="8"/>
      <c r="V560" s="8"/>
      <c r="W560" s="8"/>
      <c r="X560" s="8"/>
      <c r="Y560" s="8"/>
      <c r="Z560" s="8"/>
      <c r="AA560" s="8"/>
    </row>
    <row r="561" spans="1:27" ht="19.75">
      <c r="A561" s="8"/>
      <c r="B561" s="7"/>
      <c r="C561" s="8"/>
      <c r="D561" s="8"/>
      <c r="E561" s="11"/>
      <c r="F561" s="8"/>
      <c r="G561" s="8"/>
      <c r="H561" s="8"/>
      <c r="I561" s="8"/>
      <c r="J561" s="8"/>
      <c r="K561" s="8"/>
      <c r="L561" s="8"/>
      <c r="M561" s="8"/>
      <c r="N561" s="8"/>
      <c r="O561" s="8"/>
      <c r="P561" s="8"/>
      <c r="Q561" s="8"/>
      <c r="R561" s="8"/>
      <c r="S561" s="8"/>
      <c r="T561" s="8"/>
      <c r="U561" s="8"/>
      <c r="V561" s="8"/>
      <c r="W561" s="8"/>
      <c r="X561" s="8"/>
      <c r="Y561" s="8"/>
      <c r="Z561" s="8"/>
      <c r="AA561" s="8"/>
    </row>
    <row r="562" spans="1:27" ht="19.75">
      <c r="A562" s="8"/>
      <c r="B562" s="7"/>
      <c r="C562" s="8"/>
      <c r="D562" s="8"/>
      <c r="E562" s="11"/>
      <c r="F562" s="8"/>
      <c r="G562" s="8"/>
      <c r="H562" s="8"/>
      <c r="I562" s="8"/>
      <c r="J562" s="8"/>
      <c r="K562" s="8"/>
      <c r="L562" s="8"/>
      <c r="M562" s="8"/>
      <c r="N562" s="8"/>
      <c r="O562" s="8"/>
      <c r="P562" s="8"/>
      <c r="Q562" s="8"/>
      <c r="R562" s="8"/>
      <c r="S562" s="8"/>
      <c r="T562" s="8"/>
      <c r="U562" s="8"/>
      <c r="V562" s="8"/>
      <c r="W562" s="8"/>
      <c r="X562" s="8"/>
      <c r="Y562" s="8"/>
      <c r="Z562" s="8"/>
      <c r="AA562" s="8"/>
    </row>
    <row r="563" spans="1:27" ht="19.75">
      <c r="A563" s="8"/>
      <c r="B563" s="7"/>
      <c r="C563" s="8"/>
      <c r="D563" s="8"/>
      <c r="E563" s="11"/>
      <c r="F563" s="8"/>
      <c r="G563" s="8"/>
      <c r="H563" s="8"/>
      <c r="I563" s="8"/>
      <c r="J563" s="8"/>
      <c r="K563" s="8"/>
      <c r="L563" s="8"/>
      <c r="M563" s="8"/>
      <c r="N563" s="8"/>
      <c r="O563" s="8"/>
      <c r="P563" s="8"/>
      <c r="Q563" s="8"/>
      <c r="R563" s="8"/>
      <c r="S563" s="8"/>
      <c r="T563" s="8"/>
      <c r="U563" s="8"/>
      <c r="V563" s="8"/>
      <c r="W563" s="8"/>
      <c r="X563" s="8"/>
      <c r="Y563" s="8"/>
      <c r="Z563" s="8"/>
      <c r="AA563" s="8"/>
    </row>
    <row r="564" spans="1:27" ht="19.75">
      <c r="A564" s="8"/>
      <c r="B564" s="7"/>
      <c r="C564" s="8"/>
      <c r="D564" s="8"/>
      <c r="E564" s="11"/>
      <c r="F564" s="8"/>
      <c r="G564" s="8"/>
      <c r="H564" s="8"/>
      <c r="I564" s="8"/>
      <c r="J564" s="8"/>
      <c r="K564" s="8"/>
      <c r="L564" s="8"/>
      <c r="M564" s="8"/>
      <c r="N564" s="8"/>
      <c r="O564" s="8"/>
      <c r="P564" s="8"/>
      <c r="Q564" s="8"/>
      <c r="R564" s="8"/>
      <c r="S564" s="8"/>
      <c r="T564" s="8"/>
      <c r="U564" s="8"/>
      <c r="V564" s="8"/>
      <c r="W564" s="8"/>
      <c r="X564" s="8"/>
      <c r="Y564" s="8"/>
      <c r="Z564" s="8"/>
      <c r="AA564" s="8"/>
    </row>
    <row r="565" spans="1:27" ht="19.75">
      <c r="A565" s="8"/>
      <c r="B565" s="7"/>
      <c r="C565" s="8"/>
      <c r="D565" s="8"/>
      <c r="E565" s="11"/>
      <c r="F565" s="8"/>
      <c r="G565" s="8"/>
      <c r="H565" s="8"/>
      <c r="I565" s="8"/>
      <c r="J565" s="8"/>
      <c r="K565" s="8"/>
      <c r="L565" s="8"/>
      <c r="M565" s="8"/>
      <c r="N565" s="8"/>
      <c r="O565" s="8"/>
      <c r="P565" s="8"/>
      <c r="Q565" s="8"/>
      <c r="R565" s="8"/>
      <c r="S565" s="8"/>
      <c r="T565" s="8"/>
      <c r="U565" s="8"/>
      <c r="V565" s="8"/>
      <c r="W565" s="8"/>
      <c r="X565" s="8"/>
      <c r="Y565" s="8"/>
      <c r="Z565" s="8"/>
      <c r="AA565" s="8"/>
    </row>
    <row r="566" spans="1:27" ht="19.75">
      <c r="A566" s="8"/>
      <c r="B566" s="7"/>
      <c r="C566" s="8"/>
      <c r="D566" s="8"/>
      <c r="E566" s="11"/>
      <c r="F566" s="8"/>
      <c r="G566" s="8"/>
      <c r="H566" s="8"/>
      <c r="I566" s="8"/>
      <c r="J566" s="8"/>
      <c r="K566" s="8"/>
      <c r="L566" s="8"/>
      <c r="M566" s="8"/>
      <c r="N566" s="8"/>
      <c r="O566" s="8"/>
      <c r="P566" s="8"/>
      <c r="Q566" s="8"/>
      <c r="R566" s="8"/>
      <c r="S566" s="8"/>
      <c r="T566" s="8"/>
      <c r="U566" s="8"/>
      <c r="V566" s="8"/>
      <c r="W566" s="8"/>
      <c r="X566" s="8"/>
      <c r="Y566" s="8"/>
      <c r="Z566" s="8"/>
      <c r="AA566" s="8"/>
    </row>
    <row r="567" spans="1:27" ht="19.75">
      <c r="A567" s="8"/>
      <c r="B567" s="7"/>
      <c r="C567" s="8"/>
      <c r="D567" s="8"/>
      <c r="E567" s="11"/>
      <c r="F567" s="8"/>
      <c r="G567" s="8"/>
      <c r="H567" s="8"/>
      <c r="I567" s="8"/>
      <c r="J567" s="8"/>
      <c r="K567" s="8"/>
      <c r="L567" s="8"/>
      <c r="M567" s="8"/>
      <c r="N567" s="8"/>
      <c r="O567" s="8"/>
      <c r="P567" s="8"/>
      <c r="Q567" s="8"/>
      <c r="R567" s="8"/>
      <c r="S567" s="8"/>
      <c r="T567" s="8"/>
      <c r="U567" s="8"/>
      <c r="V567" s="8"/>
      <c r="W567" s="8"/>
      <c r="X567" s="8"/>
      <c r="Y567" s="8"/>
      <c r="Z567" s="8"/>
      <c r="AA567" s="8"/>
    </row>
    <row r="568" spans="1:27" ht="19.75">
      <c r="A568" s="8"/>
      <c r="B568" s="7"/>
      <c r="C568" s="8"/>
      <c r="D568" s="8"/>
      <c r="E568" s="11"/>
      <c r="F568" s="8"/>
      <c r="G568" s="8"/>
      <c r="H568" s="8"/>
      <c r="I568" s="8"/>
      <c r="J568" s="8"/>
      <c r="K568" s="8"/>
      <c r="L568" s="8"/>
      <c r="M568" s="8"/>
      <c r="N568" s="8"/>
      <c r="O568" s="8"/>
      <c r="P568" s="8"/>
      <c r="Q568" s="8"/>
      <c r="R568" s="8"/>
      <c r="S568" s="8"/>
      <c r="T568" s="8"/>
      <c r="U568" s="8"/>
      <c r="V568" s="8"/>
      <c r="W568" s="8"/>
      <c r="X568" s="8"/>
      <c r="Y568" s="8"/>
      <c r="Z568" s="8"/>
      <c r="AA568" s="8"/>
    </row>
    <row r="569" spans="1:27" ht="19.75">
      <c r="A569" s="8"/>
      <c r="B569" s="7"/>
      <c r="C569" s="8"/>
      <c r="D569" s="8"/>
      <c r="E569" s="11"/>
      <c r="F569" s="8"/>
      <c r="G569" s="8"/>
      <c r="H569" s="8"/>
      <c r="I569" s="8"/>
      <c r="J569" s="8"/>
      <c r="K569" s="8"/>
      <c r="L569" s="8"/>
      <c r="M569" s="8"/>
      <c r="N569" s="8"/>
      <c r="O569" s="8"/>
      <c r="P569" s="8"/>
      <c r="Q569" s="8"/>
      <c r="R569" s="8"/>
      <c r="S569" s="8"/>
      <c r="T569" s="8"/>
      <c r="U569" s="8"/>
      <c r="V569" s="8"/>
      <c r="W569" s="8"/>
      <c r="X569" s="8"/>
      <c r="Y569" s="8"/>
      <c r="Z569" s="8"/>
      <c r="AA569" s="8"/>
    </row>
    <row r="570" spans="1:27" ht="19.75">
      <c r="A570" s="8"/>
      <c r="B570" s="7"/>
      <c r="C570" s="8"/>
      <c r="D570" s="8"/>
      <c r="E570" s="11"/>
      <c r="F570" s="8"/>
      <c r="G570" s="8"/>
      <c r="H570" s="8"/>
      <c r="I570" s="8"/>
      <c r="J570" s="8"/>
      <c r="K570" s="8"/>
      <c r="L570" s="8"/>
      <c r="M570" s="8"/>
      <c r="N570" s="8"/>
      <c r="O570" s="8"/>
      <c r="P570" s="8"/>
      <c r="Q570" s="8"/>
      <c r="R570" s="8"/>
      <c r="S570" s="8"/>
      <c r="T570" s="8"/>
      <c r="U570" s="8"/>
      <c r="V570" s="8"/>
      <c r="W570" s="8"/>
      <c r="X570" s="8"/>
      <c r="Y570" s="8"/>
      <c r="Z570" s="8"/>
      <c r="AA570" s="8"/>
    </row>
    <row r="571" spans="1:27" ht="19.75">
      <c r="A571" s="8"/>
      <c r="B571" s="7"/>
      <c r="C571" s="8"/>
      <c r="D571" s="8"/>
      <c r="E571" s="11"/>
      <c r="F571" s="8"/>
      <c r="G571" s="8"/>
      <c r="H571" s="8"/>
      <c r="I571" s="8"/>
      <c r="J571" s="8"/>
      <c r="K571" s="8"/>
      <c r="L571" s="8"/>
      <c r="M571" s="8"/>
      <c r="N571" s="8"/>
      <c r="O571" s="8"/>
      <c r="P571" s="8"/>
      <c r="Q571" s="8"/>
      <c r="R571" s="8"/>
      <c r="S571" s="8"/>
      <c r="T571" s="8"/>
      <c r="U571" s="8"/>
      <c r="V571" s="8"/>
      <c r="W571" s="8"/>
      <c r="X571" s="8"/>
      <c r="Y571" s="8"/>
      <c r="Z571" s="8"/>
      <c r="AA571" s="8"/>
    </row>
    <row r="572" spans="1:27" ht="19.75">
      <c r="A572" s="8"/>
      <c r="B572" s="7"/>
      <c r="C572" s="8"/>
      <c r="D572" s="8"/>
      <c r="E572" s="11"/>
      <c r="F572" s="8"/>
      <c r="G572" s="8"/>
      <c r="H572" s="8"/>
      <c r="I572" s="8"/>
      <c r="J572" s="8"/>
      <c r="K572" s="8"/>
      <c r="L572" s="8"/>
      <c r="M572" s="8"/>
      <c r="N572" s="8"/>
      <c r="O572" s="8"/>
      <c r="P572" s="8"/>
      <c r="Q572" s="8"/>
      <c r="R572" s="8"/>
      <c r="S572" s="8"/>
      <c r="T572" s="8"/>
      <c r="U572" s="8"/>
      <c r="V572" s="8"/>
      <c r="W572" s="8"/>
      <c r="X572" s="8"/>
      <c r="Y572" s="8"/>
      <c r="Z572" s="8"/>
      <c r="AA572" s="8"/>
    </row>
    <row r="573" spans="1:27" ht="19.75">
      <c r="A573" s="8"/>
      <c r="B573" s="7"/>
      <c r="C573" s="8"/>
      <c r="D573" s="8"/>
      <c r="E573" s="11"/>
      <c r="F573" s="8"/>
      <c r="G573" s="8"/>
      <c r="H573" s="8"/>
      <c r="I573" s="8"/>
      <c r="J573" s="8"/>
      <c r="K573" s="8"/>
      <c r="L573" s="8"/>
      <c r="M573" s="8"/>
      <c r="N573" s="8"/>
      <c r="O573" s="8"/>
      <c r="P573" s="8"/>
      <c r="Q573" s="8"/>
      <c r="R573" s="8"/>
      <c r="S573" s="8"/>
      <c r="T573" s="8"/>
      <c r="U573" s="8"/>
      <c r="V573" s="8"/>
      <c r="W573" s="8"/>
      <c r="X573" s="8"/>
      <c r="Y573" s="8"/>
      <c r="Z573" s="8"/>
      <c r="AA573" s="8"/>
    </row>
    <row r="574" spans="1:27" ht="19.75">
      <c r="A574" s="8"/>
      <c r="B574" s="7"/>
      <c r="C574" s="8"/>
      <c r="D574" s="8"/>
      <c r="E574" s="11"/>
      <c r="F574" s="8"/>
      <c r="G574" s="8"/>
      <c r="H574" s="8"/>
      <c r="I574" s="8"/>
      <c r="J574" s="8"/>
      <c r="K574" s="8"/>
      <c r="L574" s="8"/>
      <c r="M574" s="8"/>
      <c r="N574" s="8"/>
      <c r="O574" s="8"/>
      <c r="P574" s="8"/>
      <c r="Q574" s="8"/>
      <c r="R574" s="8"/>
      <c r="S574" s="8"/>
      <c r="T574" s="8"/>
      <c r="U574" s="8"/>
      <c r="V574" s="8"/>
      <c r="W574" s="8"/>
      <c r="X574" s="8"/>
      <c r="Y574" s="8"/>
      <c r="Z574" s="8"/>
      <c r="AA574" s="8"/>
    </row>
    <row r="575" spans="1:27" ht="19.75">
      <c r="A575" s="8"/>
      <c r="B575" s="7"/>
      <c r="C575" s="8"/>
      <c r="D575" s="8"/>
      <c r="E575" s="11"/>
      <c r="F575" s="8"/>
      <c r="G575" s="8"/>
      <c r="H575" s="8"/>
      <c r="I575" s="8"/>
      <c r="J575" s="8"/>
      <c r="K575" s="8"/>
      <c r="L575" s="8"/>
      <c r="M575" s="8"/>
      <c r="N575" s="8"/>
      <c r="O575" s="8"/>
      <c r="P575" s="8"/>
      <c r="Q575" s="8"/>
      <c r="R575" s="8"/>
      <c r="S575" s="8"/>
      <c r="T575" s="8"/>
      <c r="U575" s="8"/>
      <c r="V575" s="8"/>
      <c r="W575" s="8"/>
      <c r="X575" s="8"/>
      <c r="Y575" s="8"/>
      <c r="Z575" s="8"/>
      <c r="AA575" s="8"/>
    </row>
    <row r="576" spans="1:27" ht="19.75">
      <c r="A576" s="8"/>
      <c r="B576" s="7"/>
      <c r="C576" s="8"/>
      <c r="D576" s="8"/>
      <c r="E576" s="11"/>
      <c r="F576" s="8"/>
      <c r="G576" s="8"/>
      <c r="H576" s="8"/>
      <c r="I576" s="8"/>
      <c r="J576" s="8"/>
      <c r="K576" s="8"/>
      <c r="L576" s="8"/>
      <c r="M576" s="8"/>
      <c r="N576" s="8"/>
      <c r="O576" s="8"/>
      <c r="P576" s="8"/>
      <c r="Q576" s="8"/>
      <c r="R576" s="8"/>
      <c r="S576" s="8"/>
      <c r="T576" s="8"/>
      <c r="U576" s="8"/>
      <c r="V576" s="8"/>
      <c r="W576" s="8"/>
      <c r="X576" s="8"/>
      <c r="Y576" s="8"/>
      <c r="Z576" s="8"/>
      <c r="AA576" s="8"/>
    </row>
    <row r="577" spans="1:27" ht="19.75">
      <c r="A577" s="8"/>
      <c r="B577" s="7"/>
      <c r="C577" s="8"/>
      <c r="D577" s="8"/>
      <c r="E577" s="11"/>
      <c r="F577" s="8"/>
      <c r="G577" s="8"/>
      <c r="H577" s="8"/>
      <c r="I577" s="8"/>
      <c r="J577" s="8"/>
      <c r="K577" s="8"/>
      <c r="L577" s="8"/>
      <c r="M577" s="8"/>
      <c r="N577" s="8"/>
      <c r="O577" s="8"/>
      <c r="P577" s="8"/>
      <c r="Q577" s="8"/>
      <c r="R577" s="8"/>
      <c r="S577" s="8"/>
      <c r="T577" s="8"/>
      <c r="U577" s="8"/>
      <c r="V577" s="8"/>
      <c r="W577" s="8"/>
      <c r="X577" s="8"/>
      <c r="Y577" s="8"/>
      <c r="Z577" s="8"/>
      <c r="AA577" s="8"/>
    </row>
    <row r="578" spans="1:27" ht="19.75">
      <c r="A578" s="8"/>
      <c r="B578" s="7"/>
      <c r="C578" s="8"/>
      <c r="D578" s="8"/>
      <c r="E578" s="11"/>
      <c r="F578" s="8"/>
      <c r="G578" s="8"/>
      <c r="H578" s="8"/>
      <c r="I578" s="8"/>
      <c r="J578" s="8"/>
      <c r="K578" s="8"/>
      <c r="L578" s="8"/>
      <c r="M578" s="8"/>
      <c r="N578" s="8"/>
      <c r="O578" s="8"/>
      <c r="P578" s="8"/>
      <c r="Q578" s="8"/>
      <c r="R578" s="8"/>
      <c r="S578" s="8"/>
      <c r="T578" s="8"/>
      <c r="U578" s="8"/>
      <c r="V578" s="8"/>
      <c r="W578" s="8"/>
      <c r="X578" s="8"/>
      <c r="Y578" s="8"/>
      <c r="Z578" s="8"/>
      <c r="AA578" s="8"/>
    </row>
    <row r="579" spans="1:27" ht="19.75">
      <c r="A579" s="8"/>
      <c r="B579" s="7"/>
      <c r="C579" s="8"/>
      <c r="D579" s="8"/>
      <c r="E579" s="11"/>
      <c r="F579" s="8"/>
      <c r="G579" s="8"/>
      <c r="H579" s="8"/>
      <c r="I579" s="8"/>
      <c r="J579" s="8"/>
      <c r="K579" s="8"/>
      <c r="L579" s="8"/>
      <c r="M579" s="8"/>
      <c r="N579" s="8"/>
      <c r="O579" s="8"/>
      <c r="P579" s="8"/>
      <c r="Q579" s="8"/>
      <c r="R579" s="8"/>
      <c r="S579" s="8"/>
      <c r="T579" s="8"/>
      <c r="U579" s="8"/>
      <c r="V579" s="8"/>
      <c r="W579" s="8"/>
      <c r="X579" s="8"/>
      <c r="Y579" s="8"/>
      <c r="Z579" s="8"/>
      <c r="AA579" s="8"/>
    </row>
    <row r="580" spans="1:27" ht="19.75">
      <c r="A580" s="8"/>
      <c r="B580" s="7"/>
      <c r="C580" s="8"/>
      <c r="D580" s="8"/>
      <c r="E580" s="11"/>
      <c r="F580" s="8"/>
      <c r="G580" s="8"/>
      <c r="H580" s="8"/>
      <c r="I580" s="8"/>
      <c r="J580" s="8"/>
      <c r="K580" s="8"/>
      <c r="L580" s="8"/>
      <c r="M580" s="8"/>
      <c r="N580" s="8"/>
      <c r="O580" s="8"/>
      <c r="P580" s="8"/>
      <c r="Q580" s="8"/>
      <c r="R580" s="8"/>
      <c r="S580" s="8"/>
      <c r="T580" s="8"/>
      <c r="U580" s="8"/>
      <c r="V580" s="8"/>
      <c r="W580" s="8"/>
      <c r="X580" s="8"/>
      <c r="Y580" s="8"/>
      <c r="Z580" s="8"/>
      <c r="AA580" s="8"/>
    </row>
    <row r="581" spans="1:27" ht="19.75">
      <c r="A581" s="8"/>
      <c r="B581" s="7"/>
      <c r="C581" s="8"/>
      <c r="D581" s="8"/>
      <c r="E581" s="11"/>
      <c r="F581" s="8"/>
      <c r="G581" s="8"/>
      <c r="H581" s="8"/>
      <c r="I581" s="8"/>
      <c r="J581" s="8"/>
      <c r="K581" s="8"/>
      <c r="L581" s="8"/>
      <c r="M581" s="8"/>
      <c r="N581" s="8"/>
      <c r="O581" s="8"/>
      <c r="P581" s="8"/>
      <c r="Q581" s="8"/>
      <c r="R581" s="8"/>
      <c r="S581" s="8"/>
      <c r="T581" s="8"/>
      <c r="U581" s="8"/>
      <c r="V581" s="8"/>
      <c r="W581" s="8"/>
      <c r="X581" s="8"/>
      <c r="Y581" s="8"/>
      <c r="Z581" s="8"/>
      <c r="AA581" s="8"/>
    </row>
    <row r="582" spans="1:27" ht="19.75">
      <c r="A582" s="8"/>
      <c r="B582" s="7"/>
      <c r="C582" s="8"/>
      <c r="D582" s="8"/>
      <c r="E582" s="11"/>
      <c r="F582" s="8"/>
      <c r="G582" s="8"/>
      <c r="H582" s="8"/>
      <c r="I582" s="8"/>
      <c r="J582" s="8"/>
      <c r="K582" s="8"/>
      <c r="L582" s="8"/>
      <c r="M582" s="8"/>
      <c r="N582" s="8"/>
      <c r="O582" s="8"/>
      <c r="P582" s="8"/>
      <c r="Q582" s="8"/>
      <c r="R582" s="8"/>
      <c r="S582" s="8"/>
      <c r="T582" s="8"/>
      <c r="U582" s="8"/>
      <c r="V582" s="8"/>
      <c r="W582" s="8"/>
      <c r="X582" s="8"/>
      <c r="Y582" s="8"/>
      <c r="Z582" s="8"/>
      <c r="AA582" s="8"/>
    </row>
    <row r="583" spans="1:27" ht="19.75">
      <c r="A583" s="8"/>
      <c r="B583" s="7"/>
      <c r="C583" s="8"/>
      <c r="D583" s="8"/>
      <c r="E583" s="11"/>
      <c r="F583" s="8"/>
      <c r="G583" s="8"/>
      <c r="H583" s="8"/>
      <c r="I583" s="8"/>
      <c r="J583" s="8"/>
      <c r="K583" s="8"/>
      <c r="L583" s="8"/>
      <c r="M583" s="8"/>
      <c r="N583" s="8"/>
      <c r="O583" s="8"/>
      <c r="P583" s="8"/>
      <c r="Q583" s="8"/>
      <c r="R583" s="8"/>
      <c r="S583" s="8"/>
      <c r="T583" s="8"/>
      <c r="U583" s="8"/>
      <c r="V583" s="8"/>
      <c r="W583" s="8"/>
      <c r="X583" s="8"/>
      <c r="Y583" s="8"/>
      <c r="Z583" s="8"/>
      <c r="AA583" s="8"/>
    </row>
    <row r="584" spans="1:27" ht="19.75">
      <c r="A584" s="8"/>
      <c r="B584" s="7"/>
      <c r="C584" s="8"/>
      <c r="D584" s="8"/>
      <c r="E584" s="11"/>
      <c r="F584" s="8"/>
      <c r="G584" s="8"/>
      <c r="H584" s="8"/>
      <c r="I584" s="8"/>
      <c r="J584" s="8"/>
      <c r="K584" s="8"/>
      <c r="L584" s="8"/>
      <c r="M584" s="8"/>
      <c r="N584" s="8"/>
      <c r="O584" s="8"/>
      <c r="P584" s="8"/>
      <c r="Q584" s="8"/>
      <c r="R584" s="8"/>
      <c r="S584" s="8"/>
      <c r="T584" s="8"/>
      <c r="U584" s="8"/>
      <c r="V584" s="8"/>
      <c r="W584" s="8"/>
      <c r="X584" s="8"/>
      <c r="Y584" s="8"/>
      <c r="Z584" s="8"/>
      <c r="AA584" s="8"/>
    </row>
    <row r="585" spans="1:27" ht="19.75">
      <c r="A585" s="8"/>
      <c r="B585" s="7"/>
      <c r="C585" s="8"/>
      <c r="D585" s="8"/>
      <c r="E585" s="11"/>
      <c r="F585" s="8"/>
      <c r="G585" s="8"/>
      <c r="H585" s="8"/>
      <c r="I585" s="8"/>
      <c r="J585" s="8"/>
      <c r="K585" s="8"/>
      <c r="L585" s="8"/>
      <c r="M585" s="8"/>
      <c r="N585" s="8"/>
      <c r="O585" s="8"/>
      <c r="P585" s="8"/>
      <c r="Q585" s="8"/>
      <c r="R585" s="8"/>
      <c r="S585" s="8"/>
      <c r="T585" s="8"/>
      <c r="U585" s="8"/>
      <c r="V585" s="8"/>
      <c r="W585" s="8"/>
      <c r="X585" s="8"/>
      <c r="Y585" s="8"/>
      <c r="Z585" s="8"/>
      <c r="AA585" s="8"/>
    </row>
    <row r="586" spans="1:27" ht="19.75">
      <c r="A586" s="8"/>
      <c r="B586" s="7"/>
      <c r="C586" s="8"/>
      <c r="D586" s="8"/>
      <c r="E586" s="11"/>
      <c r="F586" s="8"/>
      <c r="G586" s="8"/>
      <c r="H586" s="8"/>
      <c r="I586" s="8"/>
      <c r="J586" s="8"/>
      <c r="K586" s="8"/>
      <c r="L586" s="8"/>
      <c r="M586" s="8"/>
      <c r="N586" s="8"/>
      <c r="O586" s="8"/>
      <c r="P586" s="8"/>
      <c r="Q586" s="8"/>
      <c r="R586" s="8"/>
      <c r="S586" s="8"/>
      <c r="T586" s="8"/>
      <c r="U586" s="8"/>
      <c r="V586" s="8"/>
      <c r="W586" s="8"/>
      <c r="X586" s="8"/>
      <c r="Y586" s="8"/>
      <c r="Z586" s="8"/>
      <c r="AA586" s="8"/>
    </row>
    <row r="587" spans="1:27" ht="19.75">
      <c r="A587" s="8"/>
      <c r="B587" s="7"/>
      <c r="C587" s="8"/>
      <c r="D587" s="8"/>
      <c r="E587" s="11"/>
      <c r="F587" s="8"/>
      <c r="G587" s="8"/>
      <c r="H587" s="8"/>
      <c r="I587" s="8"/>
      <c r="J587" s="8"/>
      <c r="K587" s="8"/>
      <c r="L587" s="8"/>
      <c r="M587" s="8"/>
      <c r="N587" s="8"/>
      <c r="O587" s="8"/>
      <c r="P587" s="8"/>
      <c r="Q587" s="8"/>
      <c r="R587" s="8"/>
      <c r="S587" s="8"/>
      <c r="T587" s="8"/>
      <c r="U587" s="8"/>
      <c r="V587" s="8"/>
      <c r="W587" s="8"/>
      <c r="X587" s="8"/>
      <c r="Y587" s="8"/>
      <c r="Z587" s="8"/>
      <c r="AA587" s="8"/>
    </row>
    <row r="588" spans="1:27" ht="19.75">
      <c r="A588" s="8"/>
      <c r="B588" s="7"/>
      <c r="C588" s="8"/>
      <c r="D588" s="8"/>
      <c r="E588" s="11"/>
      <c r="F588" s="8"/>
      <c r="G588" s="8"/>
      <c r="H588" s="8"/>
      <c r="I588" s="8"/>
      <c r="J588" s="8"/>
      <c r="K588" s="8"/>
      <c r="L588" s="8"/>
      <c r="M588" s="8"/>
      <c r="N588" s="8"/>
      <c r="O588" s="8"/>
      <c r="P588" s="8"/>
      <c r="Q588" s="8"/>
      <c r="R588" s="8"/>
      <c r="S588" s="8"/>
      <c r="T588" s="8"/>
      <c r="U588" s="8"/>
      <c r="V588" s="8"/>
      <c r="W588" s="8"/>
      <c r="X588" s="8"/>
      <c r="Y588" s="8"/>
      <c r="Z588" s="8"/>
      <c r="AA588" s="8"/>
    </row>
    <row r="589" spans="1:27" ht="19.75">
      <c r="A589" s="8"/>
      <c r="B589" s="7"/>
      <c r="C589" s="8"/>
      <c r="D589" s="8"/>
      <c r="E589" s="11"/>
      <c r="F589" s="8"/>
      <c r="G589" s="8"/>
      <c r="H589" s="8"/>
      <c r="I589" s="8"/>
      <c r="J589" s="8"/>
      <c r="K589" s="8"/>
      <c r="L589" s="8"/>
      <c r="M589" s="8"/>
      <c r="N589" s="8"/>
      <c r="O589" s="8"/>
      <c r="P589" s="8"/>
      <c r="Q589" s="8"/>
      <c r="R589" s="8"/>
      <c r="S589" s="8"/>
      <c r="T589" s="8"/>
      <c r="U589" s="8"/>
      <c r="V589" s="8"/>
      <c r="W589" s="8"/>
      <c r="X589" s="8"/>
      <c r="Y589" s="8"/>
      <c r="Z589" s="8"/>
      <c r="AA589" s="8"/>
    </row>
    <row r="590" spans="1:27" ht="19.75">
      <c r="A590" s="8"/>
      <c r="B590" s="7"/>
      <c r="C590" s="8"/>
      <c r="D590" s="8"/>
      <c r="E590" s="11"/>
      <c r="F590" s="8"/>
      <c r="G590" s="8"/>
      <c r="H590" s="8"/>
      <c r="I590" s="8"/>
      <c r="J590" s="8"/>
      <c r="K590" s="8"/>
      <c r="L590" s="8"/>
      <c r="M590" s="8"/>
      <c r="N590" s="8"/>
      <c r="O590" s="8"/>
      <c r="P590" s="8"/>
      <c r="Q590" s="8"/>
      <c r="R590" s="8"/>
      <c r="S590" s="8"/>
      <c r="T590" s="8"/>
      <c r="U590" s="8"/>
      <c r="V590" s="8"/>
      <c r="W590" s="8"/>
      <c r="X590" s="8"/>
      <c r="Y590" s="8"/>
      <c r="Z590" s="8"/>
      <c r="AA590" s="8"/>
    </row>
    <row r="591" spans="1:27" ht="19.75">
      <c r="A591" s="8"/>
      <c r="B591" s="7"/>
      <c r="C591" s="8"/>
      <c r="D591" s="8"/>
      <c r="E591" s="11"/>
      <c r="F591" s="8"/>
      <c r="G591" s="8"/>
      <c r="H591" s="8"/>
      <c r="I591" s="8"/>
      <c r="J591" s="8"/>
      <c r="K591" s="8"/>
      <c r="L591" s="8"/>
      <c r="M591" s="8"/>
      <c r="N591" s="8"/>
      <c r="O591" s="8"/>
      <c r="P591" s="8"/>
      <c r="Q591" s="8"/>
      <c r="R591" s="8"/>
      <c r="S591" s="8"/>
      <c r="T591" s="8"/>
      <c r="U591" s="8"/>
      <c r="V591" s="8"/>
      <c r="W591" s="8"/>
      <c r="X591" s="8"/>
      <c r="Y591" s="8"/>
      <c r="Z591" s="8"/>
      <c r="AA591" s="8"/>
    </row>
    <row r="592" spans="1:27" ht="19.75">
      <c r="A592" s="8"/>
      <c r="B592" s="7"/>
      <c r="C592" s="8"/>
      <c r="D592" s="8"/>
      <c r="E592" s="11"/>
      <c r="F592" s="8"/>
      <c r="G592" s="8"/>
      <c r="H592" s="8"/>
      <c r="I592" s="8"/>
      <c r="J592" s="8"/>
      <c r="K592" s="8"/>
      <c r="L592" s="8"/>
      <c r="M592" s="8"/>
      <c r="N592" s="8"/>
      <c r="O592" s="8"/>
      <c r="P592" s="8"/>
      <c r="Q592" s="8"/>
      <c r="R592" s="8"/>
      <c r="S592" s="8"/>
      <c r="T592" s="8"/>
      <c r="U592" s="8"/>
      <c r="V592" s="8"/>
      <c r="W592" s="8"/>
      <c r="X592" s="8"/>
      <c r="Y592" s="8"/>
      <c r="Z592" s="8"/>
      <c r="AA592" s="8"/>
    </row>
    <row r="593" spans="1:27" ht="19.75">
      <c r="A593" s="8"/>
      <c r="B593" s="7"/>
      <c r="C593" s="8"/>
      <c r="D593" s="8"/>
      <c r="E593" s="11"/>
      <c r="F593" s="8"/>
      <c r="G593" s="8"/>
      <c r="H593" s="8"/>
      <c r="I593" s="8"/>
      <c r="J593" s="8"/>
      <c r="K593" s="8"/>
      <c r="L593" s="8"/>
      <c r="M593" s="8"/>
      <c r="N593" s="8"/>
      <c r="O593" s="8"/>
      <c r="P593" s="8"/>
      <c r="Q593" s="8"/>
      <c r="R593" s="8"/>
      <c r="S593" s="8"/>
      <c r="T593" s="8"/>
      <c r="U593" s="8"/>
      <c r="V593" s="8"/>
      <c r="W593" s="8"/>
      <c r="X593" s="8"/>
      <c r="Y593" s="8"/>
      <c r="Z593" s="8"/>
      <c r="AA593" s="8"/>
    </row>
    <row r="594" spans="1:27" ht="19.75">
      <c r="A594" s="8"/>
      <c r="B594" s="7"/>
      <c r="C594" s="8"/>
      <c r="D594" s="8"/>
      <c r="E594" s="11"/>
      <c r="F594" s="8"/>
      <c r="G594" s="8"/>
      <c r="H594" s="8"/>
      <c r="I594" s="8"/>
      <c r="J594" s="8"/>
      <c r="K594" s="8"/>
      <c r="L594" s="8"/>
      <c r="M594" s="8"/>
      <c r="N594" s="8"/>
      <c r="O594" s="8"/>
      <c r="P594" s="8"/>
      <c r="Q594" s="8"/>
      <c r="R594" s="8"/>
      <c r="S594" s="8"/>
      <c r="T594" s="8"/>
      <c r="U594" s="8"/>
      <c r="V594" s="8"/>
      <c r="W594" s="8"/>
      <c r="X594" s="8"/>
      <c r="Y594" s="8"/>
      <c r="Z594" s="8"/>
      <c r="AA594" s="8"/>
    </row>
    <row r="595" spans="1:27" ht="19.75">
      <c r="A595" s="8"/>
      <c r="B595" s="7"/>
      <c r="C595" s="8"/>
      <c r="D595" s="8"/>
      <c r="E595" s="11"/>
      <c r="F595" s="8"/>
      <c r="G595" s="8"/>
      <c r="H595" s="8"/>
      <c r="I595" s="8"/>
      <c r="J595" s="8"/>
      <c r="K595" s="8"/>
      <c r="L595" s="8"/>
      <c r="M595" s="8"/>
      <c r="N595" s="8"/>
      <c r="O595" s="8"/>
      <c r="P595" s="8"/>
      <c r="Q595" s="8"/>
      <c r="R595" s="8"/>
      <c r="S595" s="8"/>
      <c r="T595" s="8"/>
      <c r="U595" s="8"/>
      <c r="V595" s="8"/>
      <c r="W595" s="8"/>
      <c r="X595" s="8"/>
      <c r="Y595" s="8"/>
      <c r="Z595" s="8"/>
      <c r="AA595" s="8"/>
    </row>
    <row r="596" spans="1:27" ht="19.75">
      <c r="A596" s="8"/>
      <c r="B596" s="7"/>
      <c r="C596" s="8"/>
      <c r="D596" s="8"/>
      <c r="E596" s="11"/>
      <c r="F596" s="8"/>
      <c r="G596" s="8"/>
      <c r="H596" s="8"/>
      <c r="I596" s="8"/>
      <c r="J596" s="8"/>
      <c r="K596" s="8"/>
      <c r="L596" s="8"/>
      <c r="M596" s="8"/>
      <c r="N596" s="8"/>
      <c r="O596" s="8"/>
      <c r="P596" s="8"/>
      <c r="Q596" s="8"/>
      <c r="R596" s="8"/>
      <c r="S596" s="8"/>
      <c r="T596" s="8"/>
      <c r="U596" s="8"/>
      <c r="V596" s="8"/>
      <c r="W596" s="8"/>
      <c r="X596" s="8"/>
      <c r="Y596" s="8"/>
      <c r="Z596" s="8"/>
      <c r="AA596" s="8"/>
    </row>
    <row r="597" spans="1:27" ht="19.75">
      <c r="A597" s="8"/>
      <c r="B597" s="7"/>
      <c r="C597" s="8"/>
      <c r="D597" s="8"/>
      <c r="E597" s="11"/>
      <c r="F597" s="8"/>
      <c r="G597" s="8"/>
      <c r="H597" s="8"/>
      <c r="I597" s="8"/>
      <c r="J597" s="8"/>
      <c r="K597" s="8"/>
      <c r="L597" s="8"/>
      <c r="M597" s="8"/>
      <c r="N597" s="8"/>
      <c r="O597" s="8"/>
      <c r="P597" s="8"/>
      <c r="Q597" s="8"/>
      <c r="R597" s="8"/>
      <c r="S597" s="8"/>
      <c r="T597" s="8"/>
      <c r="U597" s="8"/>
      <c r="V597" s="8"/>
      <c r="W597" s="8"/>
      <c r="X597" s="8"/>
      <c r="Y597" s="8"/>
      <c r="Z597" s="8"/>
      <c r="AA597" s="8"/>
    </row>
    <row r="598" spans="1:27" ht="19.75">
      <c r="A598" s="8"/>
      <c r="B598" s="7"/>
      <c r="C598" s="8"/>
      <c r="D598" s="8"/>
      <c r="E598" s="11"/>
      <c r="F598" s="8"/>
      <c r="G598" s="8"/>
      <c r="H598" s="8"/>
      <c r="I598" s="8"/>
      <c r="J598" s="8"/>
      <c r="K598" s="8"/>
      <c r="L598" s="8"/>
      <c r="M598" s="8"/>
      <c r="N598" s="8"/>
      <c r="O598" s="8"/>
      <c r="P598" s="8"/>
      <c r="Q598" s="8"/>
      <c r="R598" s="8"/>
      <c r="S598" s="8"/>
      <c r="T598" s="8"/>
      <c r="U598" s="8"/>
      <c r="V598" s="8"/>
      <c r="W598" s="8"/>
      <c r="X598" s="8"/>
      <c r="Y598" s="8"/>
      <c r="Z598" s="8"/>
      <c r="AA598" s="8"/>
    </row>
    <row r="599" spans="1:27" ht="19.75">
      <c r="A599" s="8"/>
      <c r="B599" s="7"/>
      <c r="C599" s="8"/>
      <c r="D599" s="8"/>
      <c r="E599" s="11"/>
      <c r="F599" s="8"/>
      <c r="G599" s="8"/>
      <c r="H599" s="8"/>
      <c r="I599" s="8"/>
      <c r="J599" s="8"/>
      <c r="K599" s="8"/>
      <c r="L599" s="8"/>
      <c r="M599" s="8"/>
      <c r="N599" s="8"/>
      <c r="O599" s="8"/>
      <c r="P599" s="8"/>
      <c r="Q599" s="8"/>
      <c r="R599" s="8"/>
      <c r="S599" s="8"/>
      <c r="T599" s="8"/>
      <c r="U599" s="8"/>
      <c r="V599" s="8"/>
      <c r="W599" s="8"/>
      <c r="X599" s="8"/>
      <c r="Y599" s="8"/>
      <c r="Z599" s="8"/>
      <c r="AA599" s="8"/>
    </row>
    <row r="600" spans="1:27" ht="19.75">
      <c r="A600" s="8"/>
      <c r="B600" s="7"/>
      <c r="C600" s="8"/>
      <c r="D600" s="8"/>
      <c r="E600" s="11"/>
      <c r="F600" s="8"/>
      <c r="G600" s="8"/>
      <c r="H600" s="8"/>
      <c r="I600" s="8"/>
      <c r="J600" s="8"/>
      <c r="K600" s="8"/>
      <c r="L600" s="8"/>
      <c r="M600" s="8"/>
      <c r="N600" s="8"/>
      <c r="O600" s="8"/>
      <c r="P600" s="8"/>
      <c r="Q600" s="8"/>
      <c r="R600" s="8"/>
      <c r="S600" s="8"/>
      <c r="T600" s="8"/>
      <c r="U600" s="8"/>
      <c r="V600" s="8"/>
      <c r="W600" s="8"/>
      <c r="X600" s="8"/>
      <c r="Y600" s="8"/>
      <c r="Z600" s="8"/>
      <c r="AA600" s="8"/>
    </row>
    <row r="601" spans="1:27" ht="19.75">
      <c r="A601" s="8"/>
      <c r="B601" s="7"/>
      <c r="C601" s="8"/>
      <c r="D601" s="8"/>
      <c r="E601" s="11"/>
      <c r="F601" s="8"/>
      <c r="G601" s="8"/>
      <c r="H601" s="8"/>
      <c r="I601" s="8"/>
      <c r="J601" s="8"/>
      <c r="K601" s="8"/>
      <c r="L601" s="8"/>
      <c r="M601" s="8"/>
      <c r="N601" s="8"/>
      <c r="O601" s="8"/>
      <c r="P601" s="8"/>
      <c r="Q601" s="8"/>
      <c r="R601" s="8"/>
      <c r="S601" s="8"/>
      <c r="T601" s="8"/>
      <c r="U601" s="8"/>
      <c r="V601" s="8"/>
      <c r="W601" s="8"/>
      <c r="X601" s="8"/>
      <c r="Y601" s="8"/>
      <c r="Z601" s="8"/>
      <c r="AA601" s="8"/>
    </row>
    <row r="602" spans="1:27" ht="19.75">
      <c r="A602" s="8"/>
      <c r="B602" s="7"/>
      <c r="C602" s="8"/>
      <c r="D602" s="8"/>
      <c r="E602" s="11"/>
      <c r="F602" s="8"/>
      <c r="G602" s="8"/>
      <c r="H602" s="8"/>
      <c r="I602" s="8"/>
      <c r="J602" s="8"/>
      <c r="K602" s="8"/>
      <c r="L602" s="8"/>
      <c r="M602" s="8"/>
      <c r="N602" s="8"/>
      <c r="O602" s="8"/>
      <c r="P602" s="8"/>
      <c r="Q602" s="8"/>
      <c r="R602" s="8"/>
      <c r="S602" s="8"/>
      <c r="T602" s="8"/>
      <c r="U602" s="8"/>
      <c r="V602" s="8"/>
      <c r="W602" s="8"/>
      <c r="X602" s="8"/>
      <c r="Y602" s="8"/>
      <c r="Z602" s="8"/>
      <c r="AA602" s="8"/>
    </row>
    <row r="603" spans="1:27" ht="19.75">
      <c r="A603" s="8"/>
      <c r="B603" s="7"/>
      <c r="C603" s="8"/>
      <c r="D603" s="8"/>
      <c r="E603" s="11"/>
      <c r="F603" s="8"/>
      <c r="G603" s="8"/>
      <c r="H603" s="8"/>
      <c r="I603" s="8"/>
      <c r="J603" s="8"/>
      <c r="K603" s="8"/>
      <c r="L603" s="8"/>
      <c r="M603" s="8"/>
      <c r="N603" s="8"/>
      <c r="O603" s="8"/>
      <c r="P603" s="8"/>
      <c r="Q603" s="8"/>
      <c r="R603" s="8"/>
      <c r="S603" s="8"/>
      <c r="T603" s="8"/>
      <c r="U603" s="8"/>
      <c r="V603" s="8"/>
      <c r="W603" s="8"/>
      <c r="X603" s="8"/>
      <c r="Y603" s="8"/>
      <c r="Z603" s="8"/>
      <c r="AA603" s="8"/>
    </row>
    <row r="604" spans="1:27" ht="19.75">
      <c r="A604" s="8"/>
      <c r="B604" s="7"/>
      <c r="C604" s="8"/>
      <c r="D604" s="8"/>
      <c r="E604" s="11"/>
      <c r="F604" s="8"/>
      <c r="G604" s="8"/>
      <c r="H604" s="8"/>
      <c r="I604" s="8"/>
      <c r="J604" s="8"/>
      <c r="K604" s="8"/>
      <c r="L604" s="8"/>
      <c r="M604" s="8"/>
      <c r="N604" s="8"/>
      <c r="O604" s="8"/>
      <c r="P604" s="8"/>
      <c r="Q604" s="8"/>
      <c r="R604" s="8"/>
      <c r="S604" s="8"/>
      <c r="T604" s="8"/>
      <c r="U604" s="8"/>
      <c r="V604" s="8"/>
      <c r="W604" s="8"/>
      <c r="X604" s="8"/>
      <c r="Y604" s="8"/>
      <c r="Z604" s="8"/>
      <c r="AA604" s="8"/>
    </row>
    <row r="605" spans="1:27" ht="19.75">
      <c r="A605" s="8"/>
      <c r="B605" s="7"/>
      <c r="C605" s="8"/>
      <c r="D605" s="8"/>
      <c r="E605" s="11"/>
      <c r="F605" s="8"/>
      <c r="G605" s="8"/>
      <c r="H605" s="8"/>
      <c r="I605" s="8"/>
      <c r="J605" s="8"/>
      <c r="K605" s="8"/>
      <c r="L605" s="8"/>
      <c r="M605" s="8"/>
      <c r="N605" s="8"/>
      <c r="O605" s="8"/>
      <c r="P605" s="8"/>
      <c r="Q605" s="8"/>
      <c r="R605" s="8"/>
      <c r="S605" s="8"/>
      <c r="T605" s="8"/>
      <c r="U605" s="8"/>
      <c r="V605" s="8"/>
      <c r="W605" s="8"/>
      <c r="X605" s="8"/>
      <c r="Y605" s="8"/>
      <c r="Z605" s="8"/>
      <c r="AA605" s="8"/>
    </row>
    <row r="606" spans="1:27" ht="19.75">
      <c r="A606" s="8"/>
      <c r="B606" s="7"/>
      <c r="C606" s="8"/>
      <c r="D606" s="8"/>
      <c r="E606" s="11"/>
      <c r="F606" s="8"/>
      <c r="G606" s="8"/>
      <c r="H606" s="8"/>
      <c r="I606" s="8"/>
      <c r="J606" s="8"/>
      <c r="K606" s="8"/>
      <c r="L606" s="8"/>
      <c r="M606" s="8"/>
      <c r="N606" s="8"/>
      <c r="O606" s="8"/>
      <c r="P606" s="8"/>
      <c r="Q606" s="8"/>
      <c r="R606" s="8"/>
      <c r="S606" s="8"/>
      <c r="T606" s="8"/>
      <c r="U606" s="8"/>
      <c r="V606" s="8"/>
      <c r="W606" s="8"/>
      <c r="X606" s="8"/>
      <c r="Y606" s="8"/>
      <c r="Z606" s="8"/>
      <c r="AA606" s="8"/>
    </row>
    <row r="607" spans="1:27" ht="19.75">
      <c r="A607" s="8"/>
      <c r="B607" s="7"/>
      <c r="C607" s="8"/>
      <c r="D607" s="8"/>
      <c r="E607" s="11"/>
      <c r="F607" s="8"/>
      <c r="G607" s="8"/>
      <c r="H607" s="8"/>
      <c r="I607" s="8"/>
      <c r="J607" s="8"/>
      <c r="K607" s="8"/>
      <c r="L607" s="8"/>
      <c r="M607" s="8"/>
      <c r="N607" s="8"/>
      <c r="O607" s="8"/>
      <c r="P607" s="8"/>
      <c r="Q607" s="8"/>
      <c r="R607" s="8"/>
      <c r="S607" s="8"/>
      <c r="T607" s="8"/>
      <c r="U607" s="8"/>
      <c r="V607" s="8"/>
      <c r="W607" s="8"/>
      <c r="X607" s="8"/>
      <c r="Y607" s="8"/>
      <c r="Z607" s="8"/>
      <c r="AA607" s="8"/>
    </row>
    <row r="608" spans="1:27" ht="19.75">
      <c r="A608" s="8"/>
      <c r="B608" s="7"/>
      <c r="C608" s="8"/>
      <c r="D608" s="8"/>
      <c r="E608" s="11"/>
      <c r="F608" s="8"/>
      <c r="G608" s="8"/>
      <c r="H608" s="8"/>
      <c r="I608" s="8"/>
      <c r="J608" s="8"/>
      <c r="K608" s="8"/>
      <c r="L608" s="8"/>
      <c r="M608" s="8"/>
      <c r="N608" s="8"/>
      <c r="O608" s="8"/>
      <c r="P608" s="8"/>
      <c r="Q608" s="8"/>
      <c r="R608" s="8"/>
      <c r="S608" s="8"/>
      <c r="T608" s="8"/>
      <c r="U608" s="8"/>
      <c r="V608" s="8"/>
      <c r="W608" s="8"/>
      <c r="X608" s="8"/>
      <c r="Y608" s="8"/>
      <c r="Z608" s="8"/>
      <c r="AA608" s="8"/>
    </row>
    <row r="609" spans="1:27" ht="19.75">
      <c r="A609" s="8"/>
      <c r="B609" s="7"/>
      <c r="C609" s="8"/>
      <c r="D609" s="8"/>
      <c r="E609" s="11"/>
      <c r="F609" s="8"/>
      <c r="G609" s="8"/>
      <c r="H609" s="8"/>
      <c r="I609" s="8"/>
      <c r="J609" s="8"/>
      <c r="K609" s="8"/>
      <c r="L609" s="8"/>
      <c r="M609" s="8"/>
      <c r="N609" s="8"/>
      <c r="O609" s="8"/>
      <c r="P609" s="8"/>
      <c r="Q609" s="8"/>
      <c r="R609" s="8"/>
      <c r="S609" s="8"/>
      <c r="T609" s="8"/>
      <c r="U609" s="8"/>
      <c r="V609" s="8"/>
      <c r="W609" s="8"/>
      <c r="X609" s="8"/>
      <c r="Y609" s="8"/>
      <c r="Z609" s="8"/>
      <c r="AA609" s="8"/>
    </row>
    <row r="610" spans="1:27" ht="19.75">
      <c r="A610" s="8"/>
      <c r="B610" s="7"/>
      <c r="C610" s="8"/>
      <c r="D610" s="8"/>
      <c r="E610" s="11"/>
      <c r="F610" s="8"/>
      <c r="G610" s="8"/>
      <c r="H610" s="8"/>
      <c r="I610" s="8"/>
      <c r="J610" s="8"/>
      <c r="K610" s="8"/>
      <c r="L610" s="8"/>
      <c r="M610" s="8"/>
      <c r="N610" s="8"/>
      <c r="O610" s="8"/>
      <c r="P610" s="8"/>
      <c r="Q610" s="8"/>
      <c r="R610" s="8"/>
      <c r="S610" s="8"/>
      <c r="T610" s="8"/>
      <c r="U610" s="8"/>
      <c r="V610" s="8"/>
      <c r="W610" s="8"/>
      <c r="X610" s="8"/>
      <c r="Y610" s="8"/>
      <c r="Z610" s="8"/>
      <c r="AA610" s="8"/>
    </row>
    <row r="611" spans="1:27" ht="19.75">
      <c r="A611" s="8"/>
      <c r="B611" s="7"/>
      <c r="C611" s="8"/>
      <c r="D611" s="8"/>
      <c r="E611" s="11"/>
      <c r="F611" s="8"/>
      <c r="G611" s="8"/>
      <c r="H611" s="8"/>
      <c r="I611" s="8"/>
      <c r="J611" s="8"/>
      <c r="K611" s="8"/>
      <c r="L611" s="8"/>
      <c r="M611" s="8"/>
      <c r="N611" s="8"/>
      <c r="O611" s="8"/>
      <c r="P611" s="8"/>
      <c r="Q611" s="8"/>
      <c r="R611" s="8"/>
      <c r="S611" s="8"/>
      <c r="T611" s="8"/>
      <c r="U611" s="8"/>
      <c r="V611" s="8"/>
      <c r="W611" s="8"/>
      <c r="X611" s="8"/>
      <c r="Y611" s="8"/>
      <c r="Z611" s="8"/>
      <c r="AA611" s="8"/>
    </row>
    <row r="612" spans="1:27" ht="19.75">
      <c r="A612" s="8"/>
      <c r="B612" s="7"/>
      <c r="C612" s="8"/>
      <c r="D612" s="8"/>
      <c r="E612" s="11"/>
      <c r="F612" s="8"/>
      <c r="G612" s="8"/>
      <c r="H612" s="8"/>
      <c r="I612" s="8"/>
      <c r="J612" s="8"/>
      <c r="K612" s="8"/>
      <c r="L612" s="8"/>
      <c r="M612" s="8"/>
      <c r="N612" s="8"/>
      <c r="O612" s="8"/>
      <c r="P612" s="8"/>
      <c r="Q612" s="8"/>
      <c r="R612" s="8"/>
      <c r="S612" s="8"/>
      <c r="T612" s="8"/>
      <c r="U612" s="8"/>
      <c r="V612" s="8"/>
      <c r="W612" s="8"/>
      <c r="X612" s="8"/>
      <c r="Y612" s="8"/>
      <c r="Z612" s="8"/>
      <c r="AA612" s="8"/>
    </row>
    <row r="613" spans="1:27" ht="19.75">
      <c r="A613" s="8"/>
      <c r="B613" s="7"/>
      <c r="C613" s="8"/>
      <c r="D613" s="8"/>
      <c r="E613" s="11"/>
      <c r="F613" s="8"/>
      <c r="G613" s="8"/>
      <c r="H613" s="8"/>
      <c r="I613" s="8"/>
      <c r="J613" s="8"/>
      <c r="K613" s="8"/>
      <c r="L613" s="8"/>
      <c r="M613" s="8"/>
      <c r="N613" s="8"/>
      <c r="O613" s="8"/>
      <c r="P613" s="8"/>
      <c r="Q613" s="8"/>
      <c r="R613" s="8"/>
      <c r="S613" s="8"/>
      <c r="T613" s="8"/>
      <c r="U613" s="8"/>
      <c r="V613" s="8"/>
      <c r="W613" s="8"/>
      <c r="X613" s="8"/>
      <c r="Y613" s="8"/>
      <c r="Z613" s="8"/>
      <c r="AA613" s="8"/>
    </row>
    <row r="614" spans="1:27" ht="19.75">
      <c r="A614" s="8"/>
      <c r="B614" s="7"/>
      <c r="C614" s="8"/>
      <c r="D614" s="8"/>
      <c r="E614" s="11"/>
      <c r="F614" s="8"/>
      <c r="G614" s="8"/>
      <c r="H614" s="8"/>
      <c r="I614" s="8"/>
      <c r="J614" s="8"/>
      <c r="K614" s="8"/>
      <c r="L614" s="8"/>
      <c r="M614" s="8"/>
      <c r="N614" s="8"/>
      <c r="O614" s="8"/>
      <c r="P614" s="8"/>
      <c r="Q614" s="8"/>
      <c r="R614" s="8"/>
      <c r="S614" s="8"/>
      <c r="T614" s="8"/>
      <c r="U614" s="8"/>
      <c r="V614" s="8"/>
      <c r="W614" s="8"/>
      <c r="X614" s="8"/>
      <c r="Y614" s="8"/>
      <c r="Z614" s="8"/>
      <c r="AA614" s="8"/>
    </row>
    <row r="615" spans="1:27" ht="19.75">
      <c r="A615" s="8"/>
      <c r="B615" s="7"/>
      <c r="C615" s="8"/>
      <c r="D615" s="8"/>
      <c r="E615" s="11"/>
      <c r="F615" s="8"/>
      <c r="G615" s="8"/>
      <c r="H615" s="8"/>
      <c r="I615" s="8"/>
      <c r="J615" s="8"/>
      <c r="K615" s="8"/>
      <c r="L615" s="8"/>
      <c r="M615" s="8"/>
      <c r="N615" s="8"/>
      <c r="O615" s="8"/>
      <c r="P615" s="8"/>
      <c r="Q615" s="8"/>
      <c r="R615" s="8"/>
      <c r="S615" s="8"/>
      <c r="T615" s="8"/>
      <c r="U615" s="8"/>
      <c r="V615" s="8"/>
      <c r="W615" s="8"/>
      <c r="X615" s="8"/>
      <c r="Y615" s="8"/>
      <c r="Z615" s="8"/>
      <c r="AA615" s="8"/>
    </row>
    <row r="616" spans="1:27" ht="19.75">
      <c r="A616" s="8"/>
      <c r="B616" s="7"/>
      <c r="C616" s="8"/>
      <c r="D616" s="8"/>
      <c r="E616" s="11"/>
      <c r="F616" s="8"/>
      <c r="G616" s="8"/>
      <c r="H616" s="8"/>
      <c r="I616" s="8"/>
      <c r="J616" s="8"/>
      <c r="K616" s="8"/>
      <c r="L616" s="8"/>
      <c r="M616" s="8"/>
      <c r="N616" s="8"/>
      <c r="O616" s="8"/>
      <c r="P616" s="8"/>
      <c r="Q616" s="8"/>
      <c r="R616" s="8"/>
      <c r="S616" s="8"/>
      <c r="T616" s="8"/>
      <c r="U616" s="8"/>
      <c r="V616" s="8"/>
      <c r="W616" s="8"/>
      <c r="X616" s="8"/>
      <c r="Y616" s="8"/>
      <c r="Z616" s="8"/>
      <c r="AA616" s="8"/>
    </row>
    <row r="617" spans="1:27" ht="19.75">
      <c r="A617" s="8"/>
      <c r="B617" s="7"/>
      <c r="C617" s="8"/>
      <c r="D617" s="8"/>
      <c r="E617" s="11"/>
      <c r="F617" s="8"/>
      <c r="G617" s="8"/>
      <c r="H617" s="8"/>
      <c r="I617" s="8"/>
      <c r="J617" s="8"/>
      <c r="K617" s="8"/>
      <c r="L617" s="8"/>
      <c r="M617" s="8"/>
      <c r="N617" s="8"/>
      <c r="O617" s="8"/>
      <c r="P617" s="8"/>
      <c r="Q617" s="8"/>
      <c r="R617" s="8"/>
      <c r="S617" s="8"/>
      <c r="T617" s="8"/>
      <c r="U617" s="8"/>
      <c r="V617" s="8"/>
      <c r="W617" s="8"/>
      <c r="X617" s="8"/>
      <c r="Y617" s="8"/>
      <c r="Z617" s="8"/>
      <c r="AA617" s="8"/>
    </row>
    <row r="618" spans="1:27" ht="19.75">
      <c r="A618" s="8"/>
      <c r="B618" s="7"/>
      <c r="C618" s="8"/>
      <c r="D618" s="8"/>
      <c r="E618" s="11"/>
      <c r="F618" s="8"/>
      <c r="G618" s="8"/>
      <c r="H618" s="8"/>
      <c r="I618" s="8"/>
      <c r="J618" s="8"/>
      <c r="K618" s="8"/>
      <c r="L618" s="8"/>
      <c r="M618" s="8"/>
      <c r="N618" s="8"/>
      <c r="O618" s="8"/>
      <c r="P618" s="8"/>
      <c r="Q618" s="8"/>
      <c r="R618" s="8"/>
      <c r="S618" s="8"/>
      <c r="T618" s="8"/>
      <c r="U618" s="8"/>
      <c r="V618" s="8"/>
      <c r="W618" s="8"/>
      <c r="X618" s="8"/>
      <c r="Y618" s="8"/>
      <c r="Z618" s="8"/>
      <c r="AA618" s="8"/>
    </row>
    <row r="619" spans="1:27" ht="19.75">
      <c r="A619" s="8"/>
      <c r="B619" s="7"/>
      <c r="C619" s="8"/>
      <c r="D619" s="8"/>
      <c r="E619" s="11"/>
      <c r="F619" s="8"/>
      <c r="G619" s="8"/>
      <c r="H619" s="8"/>
      <c r="I619" s="8"/>
      <c r="J619" s="8"/>
      <c r="K619" s="8"/>
      <c r="L619" s="8"/>
      <c r="M619" s="8"/>
      <c r="N619" s="8"/>
      <c r="O619" s="8"/>
      <c r="P619" s="8"/>
      <c r="Q619" s="8"/>
      <c r="R619" s="8"/>
      <c r="S619" s="8"/>
      <c r="T619" s="8"/>
      <c r="U619" s="8"/>
      <c r="V619" s="8"/>
      <c r="W619" s="8"/>
      <c r="X619" s="8"/>
      <c r="Y619" s="8"/>
      <c r="Z619" s="8"/>
      <c r="AA619" s="8"/>
    </row>
    <row r="620" spans="1:27" ht="19.75">
      <c r="A620" s="8"/>
      <c r="B620" s="7"/>
      <c r="C620" s="8"/>
      <c r="D620" s="8"/>
      <c r="E620" s="11"/>
      <c r="F620" s="8"/>
      <c r="G620" s="8"/>
      <c r="H620" s="8"/>
      <c r="I620" s="8"/>
      <c r="J620" s="8"/>
      <c r="K620" s="8"/>
      <c r="L620" s="8"/>
      <c r="M620" s="8"/>
      <c r="N620" s="8"/>
      <c r="O620" s="8"/>
      <c r="P620" s="8"/>
      <c r="Q620" s="8"/>
      <c r="R620" s="8"/>
      <c r="S620" s="8"/>
      <c r="T620" s="8"/>
      <c r="U620" s="8"/>
      <c r="V620" s="8"/>
      <c r="W620" s="8"/>
      <c r="X620" s="8"/>
      <c r="Y620" s="8"/>
      <c r="Z620" s="8"/>
      <c r="AA620" s="8"/>
    </row>
    <row r="621" spans="1:27" ht="19.75">
      <c r="A621" s="8"/>
      <c r="B621" s="7"/>
      <c r="C621" s="8"/>
      <c r="D621" s="8"/>
      <c r="E621" s="11"/>
      <c r="F621" s="8"/>
      <c r="G621" s="8"/>
      <c r="H621" s="8"/>
      <c r="I621" s="8"/>
      <c r="J621" s="8"/>
      <c r="K621" s="8"/>
      <c r="L621" s="8"/>
      <c r="M621" s="8"/>
      <c r="N621" s="8"/>
      <c r="O621" s="8"/>
      <c r="P621" s="8"/>
      <c r="Q621" s="8"/>
      <c r="R621" s="8"/>
      <c r="S621" s="8"/>
      <c r="T621" s="8"/>
      <c r="U621" s="8"/>
      <c r="V621" s="8"/>
      <c r="W621" s="8"/>
      <c r="X621" s="8"/>
      <c r="Y621" s="8"/>
      <c r="Z621" s="8"/>
      <c r="AA621" s="8"/>
    </row>
    <row r="622" spans="1:27" ht="19.75">
      <c r="A622" s="8"/>
      <c r="B622" s="7"/>
      <c r="C622" s="8"/>
      <c r="D622" s="8"/>
      <c r="E622" s="11"/>
      <c r="F622" s="8"/>
      <c r="G622" s="8"/>
      <c r="H622" s="8"/>
      <c r="I622" s="8"/>
      <c r="J622" s="8"/>
      <c r="K622" s="8"/>
      <c r="L622" s="8"/>
      <c r="M622" s="8"/>
      <c r="N622" s="8"/>
      <c r="O622" s="8"/>
      <c r="P622" s="8"/>
      <c r="Q622" s="8"/>
      <c r="R622" s="8"/>
      <c r="S622" s="8"/>
      <c r="T622" s="8"/>
      <c r="U622" s="8"/>
      <c r="V622" s="8"/>
      <c r="W622" s="8"/>
      <c r="X622" s="8"/>
      <c r="Y622" s="8"/>
      <c r="Z622" s="8"/>
      <c r="AA622" s="8"/>
    </row>
    <row r="623" spans="1:27" ht="19.75">
      <c r="A623" s="8"/>
      <c r="B623" s="7"/>
      <c r="C623" s="8"/>
      <c r="D623" s="8"/>
      <c r="E623" s="11"/>
      <c r="F623" s="8"/>
      <c r="G623" s="8"/>
      <c r="H623" s="8"/>
      <c r="I623" s="8"/>
      <c r="J623" s="8"/>
      <c r="K623" s="8"/>
      <c r="L623" s="8"/>
      <c r="M623" s="8"/>
      <c r="N623" s="8"/>
      <c r="O623" s="8"/>
      <c r="P623" s="8"/>
      <c r="Q623" s="8"/>
      <c r="R623" s="8"/>
      <c r="S623" s="8"/>
      <c r="T623" s="8"/>
      <c r="U623" s="8"/>
      <c r="V623" s="8"/>
      <c r="W623" s="8"/>
      <c r="X623" s="8"/>
      <c r="Y623" s="8"/>
      <c r="Z623" s="8"/>
      <c r="AA623" s="8"/>
    </row>
    <row r="624" spans="1:27" ht="19.75">
      <c r="A624" s="8"/>
      <c r="B624" s="7"/>
      <c r="C624" s="8"/>
      <c r="D624" s="8"/>
      <c r="E624" s="11"/>
      <c r="F624" s="8"/>
      <c r="G624" s="8"/>
      <c r="H624" s="8"/>
      <c r="I624" s="8"/>
      <c r="J624" s="8"/>
      <c r="K624" s="8"/>
      <c r="L624" s="8"/>
      <c r="M624" s="8"/>
      <c r="N624" s="8"/>
      <c r="O624" s="8"/>
      <c r="P624" s="8"/>
      <c r="Q624" s="8"/>
      <c r="R624" s="8"/>
      <c r="S624" s="8"/>
      <c r="T624" s="8"/>
      <c r="U624" s="8"/>
      <c r="V624" s="8"/>
      <c r="W624" s="8"/>
      <c r="X624" s="8"/>
      <c r="Y624" s="8"/>
      <c r="Z624" s="8"/>
      <c r="AA624" s="8"/>
    </row>
    <row r="625" spans="1:27" ht="19.75">
      <c r="A625" s="8"/>
      <c r="B625" s="7"/>
      <c r="C625" s="8"/>
      <c r="D625" s="8"/>
      <c r="E625" s="11"/>
      <c r="F625" s="8"/>
      <c r="G625" s="8"/>
      <c r="H625" s="8"/>
      <c r="I625" s="8"/>
      <c r="J625" s="8"/>
      <c r="K625" s="8"/>
      <c r="L625" s="8"/>
      <c r="M625" s="8"/>
      <c r="N625" s="8"/>
      <c r="O625" s="8"/>
      <c r="P625" s="8"/>
      <c r="Q625" s="8"/>
      <c r="R625" s="8"/>
      <c r="S625" s="8"/>
      <c r="T625" s="8"/>
      <c r="U625" s="8"/>
      <c r="V625" s="8"/>
      <c r="W625" s="8"/>
      <c r="X625" s="8"/>
      <c r="Y625" s="8"/>
      <c r="Z625" s="8"/>
      <c r="AA625" s="8"/>
    </row>
    <row r="626" spans="1:27" ht="19.75">
      <c r="A626" s="8"/>
      <c r="B626" s="7"/>
      <c r="C626" s="8"/>
      <c r="D626" s="8"/>
      <c r="E626" s="11"/>
      <c r="F626" s="8"/>
      <c r="G626" s="8"/>
      <c r="H626" s="8"/>
      <c r="I626" s="8"/>
      <c r="J626" s="8"/>
      <c r="K626" s="8"/>
      <c r="L626" s="8"/>
      <c r="M626" s="8"/>
      <c r="N626" s="8"/>
      <c r="O626" s="8"/>
      <c r="P626" s="8"/>
      <c r="Q626" s="8"/>
      <c r="R626" s="8"/>
      <c r="S626" s="8"/>
      <c r="T626" s="8"/>
      <c r="U626" s="8"/>
      <c r="V626" s="8"/>
      <c r="W626" s="8"/>
      <c r="X626" s="8"/>
      <c r="Y626" s="8"/>
      <c r="Z626" s="8"/>
      <c r="AA626" s="8"/>
    </row>
    <row r="627" spans="1:27" ht="19.75">
      <c r="A627" s="8"/>
      <c r="B627" s="7"/>
      <c r="C627" s="8"/>
      <c r="D627" s="8"/>
      <c r="E627" s="11"/>
      <c r="F627" s="8"/>
      <c r="G627" s="8"/>
      <c r="H627" s="8"/>
      <c r="I627" s="8"/>
      <c r="J627" s="8"/>
      <c r="K627" s="8"/>
      <c r="L627" s="8"/>
      <c r="M627" s="8"/>
      <c r="N627" s="8"/>
      <c r="O627" s="8"/>
      <c r="P627" s="8"/>
      <c r="Q627" s="8"/>
      <c r="R627" s="8"/>
      <c r="S627" s="8"/>
      <c r="T627" s="8"/>
      <c r="U627" s="8"/>
      <c r="V627" s="8"/>
      <c r="W627" s="8"/>
      <c r="X627" s="8"/>
      <c r="Y627" s="8"/>
      <c r="Z627" s="8"/>
      <c r="AA627" s="8"/>
    </row>
    <row r="628" spans="1:27" ht="19.75">
      <c r="A628" s="8"/>
      <c r="B628" s="7"/>
      <c r="C628" s="8"/>
      <c r="D628" s="8"/>
      <c r="E628" s="11"/>
      <c r="F628" s="8"/>
      <c r="G628" s="8"/>
      <c r="H628" s="8"/>
      <c r="I628" s="8"/>
      <c r="J628" s="8"/>
      <c r="K628" s="8"/>
      <c r="L628" s="8"/>
      <c r="M628" s="8"/>
      <c r="N628" s="8"/>
      <c r="O628" s="8"/>
      <c r="P628" s="8"/>
      <c r="Q628" s="8"/>
      <c r="R628" s="8"/>
      <c r="S628" s="8"/>
      <c r="T628" s="8"/>
      <c r="U628" s="8"/>
      <c r="V628" s="8"/>
      <c r="W628" s="8"/>
      <c r="X628" s="8"/>
      <c r="Y628" s="8"/>
      <c r="Z628" s="8"/>
      <c r="AA628" s="8"/>
    </row>
    <row r="629" spans="1:27" ht="19.75">
      <c r="A629" s="8"/>
      <c r="B629" s="7"/>
      <c r="C629" s="8"/>
      <c r="D629" s="8"/>
      <c r="E629" s="11"/>
      <c r="F629" s="8"/>
      <c r="G629" s="8"/>
      <c r="H629" s="8"/>
      <c r="I629" s="8"/>
      <c r="J629" s="8"/>
      <c r="K629" s="8"/>
      <c r="L629" s="8"/>
      <c r="M629" s="8"/>
      <c r="N629" s="8"/>
      <c r="O629" s="8"/>
      <c r="P629" s="8"/>
      <c r="Q629" s="8"/>
      <c r="R629" s="8"/>
      <c r="S629" s="8"/>
      <c r="T629" s="8"/>
      <c r="U629" s="8"/>
      <c r="V629" s="8"/>
      <c r="W629" s="8"/>
      <c r="X629" s="8"/>
      <c r="Y629" s="8"/>
      <c r="Z629" s="8"/>
      <c r="AA629" s="8"/>
    </row>
    <row r="630" spans="1:27" ht="19.75">
      <c r="A630" s="8"/>
      <c r="B630" s="7"/>
      <c r="C630" s="8"/>
      <c r="D630" s="8"/>
      <c r="E630" s="11"/>
      <c r="F630" s="8"/>
      <c r="G630" s="8"/>
      <c r="H630" s="8"/>
      <c r="I630" s="8"/>
      <c r="J630" s="8"/>
      <c r="K630" s="8"/>
      <c r="L630" s="8"/>
      <c r="M630" s="8"/>
      <c r="N630" s="8"/>
      <c r="O630" s="8"/>
      <c r="P630" s="8"/>
      <c r="Q630" s="8"/>
      <c r="R630" s="8"/>
      <c r="S630" s="8"/>
      <c r="T630" s="8"/>
      <c r="U630" s="8"/>
      <c r="V630" s="8"/>
      <c r="W630" s="8"/>
      <c r="X630" s="8"/>
      <c r="Y630" s="8"/>
      <c r="Z630" s="8"/>
      <c r="AA630" s="8"/>
    </row>
    <row r="631" spans="1:27" ht="19.75">
      <c r="A631" s="8"/>
      <c r="B631" s="7"/>
      <c r="C631" s="8"/>
      <c r="D631" s="8"/>
      <c r="E631" s="11"/>
      <c r="F631" s="8"/>
      <c r="G631" s="8"/>
      <c r="H631" s="8"/>
      <c r="I631" s="8"/>
      <c r="J631" s="8"/>
      <c r="K631" s="8"/>
      <c r="L631" s="8"/>
      <c r="M631" s="8"/>
      <c r="N631" s="8"/>
      <c r="O631" s="8"/>
      <c r="P631" s="8"/>
      <c r="Q631" s="8"/>
      <c r="R631" s="8"/>
      <c r="S631" s="8"/>
      <c r="T631" s="8"/>
      <c r="U631" s="8"/>
      <c r="V631" s="8"/>
      <c r="W631" s="8"/>
      <c r="X631" s="8"/>
      <c r="Y631" s="8"/>
      <c r="Z631" s="8"/>
      <c r="AA631" s="8"/>
    </row>
    <row r="632" spans="1:27" ht="19.75">
      <c r="A632" s="8"/>
      <c r="B632" s="7"/>
      <c r="C632" s="8"/>
      <c r="D632" s="8"/>
      <c r="E632" s="11"/>
      <c r="F632" s="8"/>
      <c r="G632" s="8"/>
      <c r="H632" s="8"/>
      <c r="I632" s="8"/>
      <c r="J632" s="8"/>
      <c r="K632" s="8"/>
      <c r="L632" s="8"/>
      <c r="M632" s="8"/>
      <c r="N632" s="8"/>
      <c r="O632" s="8"/>
      <c r="P632" s="8"/>
      <c r="Q632" s="8"/>
      <c r="R632" s="8"/>
      <c r="S632" s="8"/>
      <c r="T632" s="8"/>
      <c r="U632" s="8"/>
      <c r="V632" s="8"/>
      <c r="W632" s="8"/>
      <c r="X632" s="8"/>
      <c r="Y632" s="8"/>
      <c r="Z632" s="8"/>
      <c r="AA632" s="8"/>
    </row>
    <row r="633" spans="1:27" ht="19.75">
      <c r="A633" s="8"/>
      <c r="B633" s="7"/>
      <c r="C633" s="8"/>
      <c r="D633" s="8"/>
      <c r="E633" s="11"/>
      <c r="F633" s="8"/>
      <c r="G633" s="8"/>
      <c r="H633" s="8"/>
      <c r="I633" s="8"/>
      <c r="J633" s="8"/>
      <c r="K633" s="8"/>
      <c r="L633" s="8"/>
      <c r="M633" s="8"/>
      <c r="N633" s="8"/>
      <c r="O633" s="8"/>
      <c r="P633" s="8"/>
      <c r="Q633" s="8"/>
      <c r="R633" s="8"/>
      <c r="S633" s="8"/>
      <c r="T633" s="8"/>
      <c r="U633" s="8"/>
      <c r="V633" s="8"/>
      <c r="W633" s="8"/>
      <c r="X633" s="8"/>
      <c r="Y633" s="8"/>
      <c r="Z633" s="8"/>
      <c r="AA633" s="8"/>
    </row>
    <row r="634" spans="1:27" ht="19.75">
      <c r="A634" s="8"/>
      <c r="B634" s="7"/>
      <c r="C634" s="8"/>
      <c r="D634" s="8"/>
      <c r="E634" s="11"/>
      <c r="F634" s="8"/>
      <c r="G634" s="8"/>
      <c r="H634" s="8"/>
      <c r="I634" s="8"/>
      <c r="J634" s="8"/>
      <c r="K634" s="8"/>
      <c r="L634" s="8"/>
      <c r="M634" s="8"/>
      <c r="N634" s="8"/>
      <c r="O634" s="8"/>
      <c r="P634" s="8"/>
      <c r="Q634" s="8"/>
      <c r="R634" s="8"/>
      <c r="S634" s="8"/>
      <c r="T634" s="8"/>
      <c r="U634" s="8"/>
      <c r="V634" s="8"/>
      <c r="W634" s="8"/>
      <c r="X634" s="8"/>
      <c r="Y634" s="8"/>
      <c r="Z634" s="8"/>
      <c r="AA634" s="8"/>
    </row>
    <row r="635" spans="1:27" ht="19.75">
      <c r="A635" s="8"/>
      <c r="B635" s="7"/>
      <c r="C635" s="8"/>
      <c r="D635" s="8"/>
      <c r="E635" s="11"/>
      <c r="F635" s="8"/>
      <c r="G635" s="8"/>
      <c r="H635" s="8"/>
      <c r="I635" s="8"/>
      <c r="J635" s="8"/>
      <c r="K635" s="8"/>
      <c r="L635" s="8"/>
      <c r="M635" s="8"/>
      <c r="N635" s="8"/>
      <c r="O635" s="8"/>
      <c r="P635" s="8"/>
      <c r="Q635" s="8"/>
      <c r="R635" s="8"/>
      <c r="S635" s="8"/>
      <c r="T635" s="8"/>
      <c r="U635" s="8"/>
      <c r="V635" s="8"/>
      <c r="W635" s="8"/>
      <c r="X635" s="8"/>
      <c r="Y635" s="8"/>
      <c r="Z635" s="8"/>
      <c r="AA635" s="8"/>
    </row>
    <row r="636" spans="1:27" ht="19.75">
      <c r="A636" s="8"/>
      <c r="B636" s="7"/>
      <c r="C636" s="8"/>
      <c r="D636" s="8"/>
      <c r="E636" s="11"/>
      <c r="F636" s="8"/>
      <c r="G636" s="8"/>
      <c r="H636" s="8"/>
      <c r="I636" s="8"/>
      <c r="J636" s="8"/>
      <c r="K636" s="8"/>
      <c r="L636" s="8"/>
      <c r="M636" s="8"/>
      <c r="N636" s="8"/>
      <c r="O636" s="8"/>
      <c r="P636" s="8"/>
      <c r="Q636" s="8"/>
      <c r="R636" s="8"/>
      <c r="S636" s="8"/>
      <c r="T636" s="8"/>
      <c r="U636" s="8"/>
      <c r="V636" s="8"/>
      <c r="W636" s="8"/>
      <c r="X636" s="8"/>
      <c r="Y636" s="8"/>
      <c r="Z636" s="8"/>
      <c r="AA636" s="8"/>
    </row>
    <row r="637" spans="1:27" ht="19.75">
      <c r="A637" s="8"/>
      <c r="B637" s="7"/>
      <c r="C637" s="8"/>
      <c r="D637" s="8"/>
      <c r="E637" s="11"/>
      <c r="F637" s="8"/>
      <c r="G637" s="8"/>
      <c r="H637" s="8"/>
      <c r="I637" s="8"/>
      <c r="J637" s="8"/>
      <c r="K637" s="8"/>
      <c r="L637" s="8"/>
      <c r="M637" s="8"/>
      <c r="N637" s="8"/>
      <c r="O637" s="8"/>
      <c r="P637" s="8"/>
      <c r="Q637" s="8"/>
      <c r="R637" s="8"/>
      <c r="S637" s="8"/>
      <c r="T637" s="8"/>
      <c r="U637" s="8"/>
      <c r="V637" s="8"/>
      <c r="W637" s="8"/>
      <c r="X637" s="8"/>
      <c r="Y637" s="8"/>
      <c r="Z637" s="8"/>
      <c r="AA637" s="8"/>
    </row>
    <row r="638" spans="1:27" ht="19.75">
      <c r="A638" s="8"/>
      <c r="B638" s="7"/>
      <c r="C638" s="8"/>
      <c r="D638" s="8"/>
      <c r="E638" s="11"/>
      <c r="F638" s="8"/>
      <c r="G638" s="8"/>
      <c r="H638" s="8"/>
      <c r="I638" s="8"/>
      <c r="J638" s="8"/>
      <c r="K638" s="8"/>
      <c r="L638" s="8"/>
      <c r="M638" s="8"/>
      <c r="N638" s="8"/>
      <c r="O638" s="8"/>
      <c r="P638" s="8"/>
      <c r="Q638" s="8"/>
      <c r="R638" s="8"/>
      <c r="S638" s="8"/>
      <c r="T638" s="8"/>
      <c r="U638" s="8"/>
      <c r="V638" s="8"/>
      <c r="W638" s="8"/>
      <c r="X638" s="8"/>
      <c r="Y638" s="8"/>
      <c r="Z638" s="8"/>
      <c r="AA638" s="8"/>
    </row>
    <row r="639" spans="1:27" ht="19.75">
      <c r="A639" s="8"/>
      <c r="B639" s="7"/>
      <c r="C639" s="8"/>
      <c r="D639" s="8"/>
      <c r="E639" s="11"/>
      <c r="F639" s="8"/>
      <c r="G639" s="8"/>
      <c r="H639" s="8"/>
      <c r="I639" s="8"/>
      <c r="J639" s="8"/>
      <c r="K639" s="8"/>
      <c r="L639" s="8"/>
      <c r="M639" s="8"/>
      <c r="N639" s="8"/>
      <c r="O639" s="8"/>
      <c r="P639" s="8"/>
      <c r="Q639" s="8"/>
      <c r="R639" s="8"/>
      <c r="S639" s="8"/>
      <c r="T639" s="8"/>
      <c r="U639" s="8"/>
      <c r="V639" s="8"/>
      <c r="W639" s="8"/>
      <c r="X639" s="8"/>
      <c r="Y639" s="8"/>
      <c r="Z639" s="8"/>
      <c r="AA639" s="8"/>
    </row>
    <row r="640" spans="1:27" ht="19.75">
      <c r="A640" s="8"/>
      <c r="B640" s="7"/>
      <c r="C640" s="8"/>
      <c r="D640" s="8"/>
      <c r="E640" s="11"/>
      <c r="F640" s="8"/>
      <c r="G640" s="8"/>
      <c r="H640" s="8"/>
      <c r="I640" s="8"/>
      <c r="J640" s="8"/>
      <c r="K640" s="8"/>
      <c r="L640" s="8"/>
      <c r="M640" s="8"/>
      <c r="N640" s="8"/>
      <c r="O640" s="8"/>
      <c r="P640" s="8"/>
      <c r="Q640" s="8"/>
      <c r="R640" s="8"/>
      <c r="S640" s="8"/>
      <c r="T640" s="8"/>
      <c r="U640" s="8"/>
      <c r="V640" s="8"/>
      <c r="W640" s="8"/>
      <c r="X640" s="8"/>
      <c r="Y640" s="8"/>
      <c r="Z640" s="8"/>
      <c r="AA640" s="8"/>
    </row>
    <row r="641" spans="1:27" ht="19.75">
      <c r="A641" s="8"/>
      <c r="B641" s="7"/>
      <c r="C641" s="8"/>
      <c r="D641" s="8"/>
      <c r="E641" s="11"/>
      <c r="F641" s="8"/>
      <c r="G641" s="8"/>
      <c r="H641" s="8"/>
      <c r="I641" s="8"/>
      <c r="J641" s="8"/>
      <c r="K641" s="8"/>
      <c r="L641" s="8"/>
      <c r="M641" s="8"/>
      <c r="N641" s="8"/>
      <c r="O641" s="8"/>
      <c r="P641" s="8"/>
      <c r="Q641" s="8"/>
      <c r="R641" s="8"/>
      <c r="S641" s="8"/>
      <c r="T641" s="8"/>
      <c r="U641" s="8"/>
      <c r="V641" s="8"/>
      <c r="W641" s="8"/>
      <c r="X641" s="8"/>
      <c r="Y641" s="8"/>
      <c r="Z641" s="8"/>
      <c r="AA641" s="8"/>
    </row>
    <row r="642" spans="1:27" ht="19.75">
      <c r="A642" s="8"/>
      <c r="B642" s="7"/>
      <c r="C642" s="8"/>
      <c r="D642" s="8"/>
      <c r="E642" s="11"/>
      <c r="F642" s="8"/>
      <c r="G642" s="8"/>
      <c r="H642" s="8"/>
      <c r="I642" s="8"/>
      <c r="J642" s="8"/>
      <c r="K642" s="8"/>
      <c r="L642" s="8"/>
      <c r="M642" s="8"/>
      <c r="N642" s="8"/>
      <c r="O642" s="8"/>
      <c r="P642" s="8"/>
      <c r="Q642" s="8"/>
      <c r="R642" s="8"/>
      <c r="S642" s="8"/>
      <c r="T642" s="8"/>
      <c r="U642" s="8"/>
      <c r="V642" s="8"/>
      <c r="W642" s="8"/>
      <c r="X642" s="8"/>
      <c r="Y642" s="8"/>
      <c r="Z642" s="8"/>
      <c r="AA642" s="8"/>
    </row>
    <row r="643" spans="1:27" ht="19.75">
      <c r="A643" s="8"/>
      <c r="B643" s="7"/>
      <c r="C643" s="8"/>
      <c r="D643" s="8"/>
      <c r="E643" s="11"/>
      <c r="F643" s="8"/>
      <c r="G643" s="8"/>
      <c r="H643" s="8"/>
      <c r="I643" s="8"/>
      <c r="J643" s="8"/>
      <c r="K643" s="8"/>
      <c r="L643" s="8"/>
      <c r="M643" s="8"/>
      <c r="N643" s="8"/>
      <c r="O643" s="8"/>
      <c r="P643" s="8"/>
      <c r="Q643" s="8"/>
      <c r="R643" s="8"/>
      <c r="S643" s="8"/>
      <c r="T643" s="8"/>
      <c r="U643" s="8"/>
      <c r="V643" s="8"/>
      <c r="W643" s="8"/>
      <c r="X643" s="8"/>
      <c r="Y643" s="8"/>
      <c r="Z643" s="8"/>
      <c r="AA643" s="8"/>
    </row>
    <row r="644" spans="1:27" ht="19.75">
      <c r="A644" s="8"/>
      <c r="B644" s="7"/>
      <c r="C644" s="8"/>
      <c r="D644" s="8"/>
      <c r="E644" s="11"/>
      <c r="F644" s="8"/>
      <c r="G644" s="8"/>
      <c r="H644" s="8"/>
      <c r="I644" s="8"/>
      <c r="J644" s="8"/>
      <c r="K644" s="8"/>
      <c r="L644" s="8"/>
      <c r="M644" s="8"/>
      <c r="N644" s="8"/>
      <c r="O644" s="8"/>
      <c r="P644" s="8"/>
      <c r="Q644" s="8"/>
      <c r="R644" s="8"/>
      <c r="S644" s="8"/>
      <c r="T644" s="8"/>
      <c r="U644" s="8"/>
      <c r="V644" s="8"/>
      <c r="W644" s="8"/>
      <c r="X644" s="8"/>
      <c r="Y644" s="8"/>
      <c r="Z644" s="8"/>
      <c r="AA644" s="8"/>
    </row>
    <row r="645" spans="1:27" ht="19.75">
      <c r="A645" s="8"/>
      <c r="B645" s="7"/>
      <c r="C645" s="8"/>
      <c r="D645" s="8"/>
      <c r="E645" s="11"/>
      <c r="F645" s="8"/>
      <c r="G645" s="8"/>
      <c r="H645" s="8"/>
      <c r="I645" s="8"/>
      <c r="J645" s="8"/>
      <c r="K645" s="8"/>
      <c r="L645" s="8"/>
      <c r="M645" s="8"/>
      <c r="N645" s="8"/>
      <c r="O645" s="8"/>
      <c r="P645" s="8"/>
      <c r="Q645" s="8"/>
      <c r="R645" s="8"/>
      <c r="S645" s="8"/>
      <c r="T645" s="8"/>
      <c r="U645" s="8"/>
      <c r="V645" s="8"/>
      <c r="W645" s="8"/>
      <c r="X645" s="8"/>
      <c r="Y645" s="8"/>
      <c r="Z645" s="8"/>
      <c r="AA645" s="8"/>
    </row>
    <row r="646" spans="1:27" ht="19.75">
      <c r="A646" s="8"/>
      <c r="B646" s="7"/>
      <c r="C646" s="8"/>
      <c r="D646" s="8"/>
      <c r="E646" s="11"/>
      <c r="F646" s="8"/>
      <c r="G646" s="8"/>
      <c r="H646" s="8"/>
      <c r="I646" s="8"/>
      <c r="J646" s="8"/>
      <c r="K646" s="8"/>
      <c r="L646" s="8"/>
      <c r="M646" s="8"/>
      <c r="N646" s="8"/>
      <c r="O646" s="8"/>
      <c r="P646" s="8"/>
      <c r="Q646" s="8"/>
      <c r="R646" s="8"/>
      <c r="S646" s="8"/>
      <c r="T646" s="8"/>
      <c r="U646" s="8"/>
      <c r="V646" s="8"/>
      <c r="W646" s="8"/>
      <c r="X646" s="8"/>
      <c r="Y646" s="8"/>
      <c r="Z646" s="8"/>
      <c r="AA646" s="8"/>
    </row>
    <row r="647" spans="1:27" ht="19.75">
      <c r="A647" s="8"/>
      <c r="B647" s="7"/>
      <c r="C647" s="8"/>
      <c r="D647" s="8"/>
      <c r="E647" s="11"/>
      <c r="F647" s="8"/>
      <c r="G647" s="8"/>
      <c r="H647" s="8"/>
      <c r="I647" s="8"/>
      <c r="J647" s="8"/>
      <c r="K647" s="8"/>
      <c r="L647" s="8"/>
      <c r="M647" s="8"/>
      <c r="N647" s="8"/>
      <c r="O647" s="8"/>
      <c r="P647" s="8"/>
      <c r="Q647" s="8"/>
      <c r="R647" s="8"/>
      <c r="S647" s="8"/>
      <c r="T647" s="8"/>
      <c r="U647" s="8"/>
      <c r="V647" s="8"/>
      <c r="W647" s="8"/>
      <c r="X647" s="8"/>
      <c r="Y647" s="8"/>
      <c r="Z647" s="8"/>
      <c r="AA647" s="8"/>
    </row>
    <row r="648" spans="1:27" ht="19.75">
      <c r="A648" s="8"/>
      <c r="B648" s="7"/>
      <c r="C648" s="8"/>
      <c r="D648" s="8"/>
      <c r="E648" s="11"/>
      <c r="F648" s="8"/>
      <c r="G648" s="8"/>
      <c r="H648" s="8"/>
      <c r="I648" s="8"/>
      <c r="J648" s="8"/>
      <c r="K648" s="8"/>
      <c r="L648" s="8"/>
      <c r="M648" s="8"/>
      <c r="N648" s="8"/>
      <c r="O648" s="8"/>
      <c r="P648" s="8"/>
      <c r="Q648" s="8"/>
      <c r="R648" s="8"/>
      <c r="S648" s="8"/>
      <c r="T648" s="8"/>
      <c r="U648" s="8"/>
      <c r="V648" s="8"/>
      <c r="W648" s="8"/>
      <c r="X648" s="8"/>
      <c r="Y648" s="8"/>
      <c r="Z648" s="8"/>
      <c r="AA648" s="8"/>
    </row>
    <row r="649" spans="1:27" ht="19.75">
      <c r="A649" s="8"/>
      <c r="B649" s="7"/>
      <c r="C649" s="8"/>
      <c r="D649" s="8"/>
      <c r="E649" s="11"/>
      <c r="F649" s="8"/>
      <c r="G649" s="8"/>
      <c r="H649" s="8"/>
      <c r="I649" s="8"/>
      <c r="J649" s="8"/>
      <c r="K649" s="8"/>
      <c r="L649" s="8"/>
      <c r="M649" s="8"/>
      <c r="N649" s="8"/>
      <c r="O649" s="8"/>
      <c r="P649" s="8"/>
      <c r="Q649" s="8"/>
      <c r="R649" s="8"/>
      <c r="S649" s="8"/>
      <c r="T649" s="8"/>
      <c r="U649" s="8"/>
      <c r="V649" s="8"/>
      <c r="W649" s="8"/>
      <c r="X649" s="8"/>
      <c r="Y649" s="8"/>
      <c r="Z649" s="8"/>
      <c r="AA649" s="8"/>
    </row>
    <row r="650" spans="1:27" ht="19.75">
      <c r="A650" s="8"/>
      <c r="B650" s="7"/>
      <c r="C650" s="8"/>
      <c r="D650" s="8"/>
      <c r="E650" s="11"/>
      <c r="F650" s="8"/>
      <c r="G650" s="8"/>
      <c r="H650" s="8"/>
      <c r="I650" s="8"/>
      <c r="J650" s="8"/>
      <c r="K650" s="8"/>
      <c r="L650" s="8"/>
      <c r="M650" s="8"/>
      <c r="N650" s="8"/>
      <c r="O650" s="8"/>
      <c r="P650" s="8"/>
      <c r="Q650" s="8"/>
      <c r="R650" s="8"/>
      <c r="S650" s="8"/>
      <c r="T650" s="8"/>
      <c r="U650" s="8"/>
      <c r="V650" s="8"/>
      <c r="W650" s="8"/>
      <c r="X650" s="8"/>
      <c r="Y650" s="8"/>
      <c r="Z650" s="8"/>
      <c r="AA650" s="8"/>
    </row>
    <row r="651" spans="1:27" ht="19.75">
      <c r="A651" s="8"/>
      <c r="B651" s="7"/>
      <c r="C651" s="8"/>
      <c r="D651" s="8"/>
      <c r="E651" s="11"/>
      <c r="F651" s="8"/>
      <c r="G651" s="8"/>
      <c r="H651" s="8"/>
      <c r="I651" s="8"/>
      <c r="J651" s="8"/>
      <c r="K651" s="8"/>
      <c r="L651" s="8"/>
      <c r="M651" s="8"/>
      <c r="N651" s="8"/>
      <c r="O651" s="8"/>
      <c r="P651" s="8"/>
      <c r="Q651" s="8"/>
      <c r="R651" s="8"/>
      <c r="S651" s="8"/>
      <c r="T651" s="8"/>
      <c r="U651" s="8"/>
      <c r="V651" s="8"/>
      <c r="W651" s="8"/>
      <c r="X651" s="8"/>
      <c r="Y651" s="8"/>
      <c r="Z651" s="8"/>
      <c r="AA651" s="8"/>
    </row>
    <row r="652" spans="1:27" ht="19.75">
      <c r="A652" s="8"/>
      <c r="B652" s="7"/>
      <c r="C652" s="8"/>
      <c r="D652" s="8"/>
      <c r="E652" s="11"/>
      <c r="F652" s="8"/>
      <c r="G652" s="8"/>
      <c r="H652" s="8"/>
      <c r="I652" s="8"/>
      <c r="J652" s="8"/>
      <c r="K652" s="8"/>
      <c r="L652" s="8"/>
      <c r="M652" s="8"/>
      <c r="N652" s="8"/>
      <c r="O652" s="8"/>
      <c r="P652" s="8"/>
      <c r="Q652" s="8"/>
      <c r="R652" s="8"/>
      <c r="S652" s="8"/>
      <c r="T652" s="8"/>
      <c r="U652" s="8"/>
      <c r="V652" s="8"/>
      <c r="W652" s="8"/>
      <c r="X652" s="8"/>
      <c r="Y652" s="8"/>
      <c r="Z652" s="8"/>
      <c r="AA652" s="8"/>
    </row>
    <row r="653" spans="1:27" ht="19.75">
      <c r="A653" s="8"/>
      <c r="B653" s="7"/>
      <c r="C653" s="8"/>
      <c r="D653" s="8"/>
      <c r="E653" s="11"/>
      <c r="F653" s="8"/>
      <c r="G653" s="8"/>
      <c r="H653" s="8"/>
      <c r="I653" s="8"/>
      <c r="J653" s="8"/>
      <c r="K653" s="8"/>
      <c r="L653" s="8"/>
      <c r="M653" s="8"/>
      <c r="N653" s="8"/>
      <c r="O653" s="8"/>
      <c r="P653" s="8"/>
      <c r="Q653" s="8"/>
      <c r="R653" s="8"/>
      <c r="S653" s="8"/>
      <c r="T653" s="8"/>
      <c r="U653" s="8"/>
      <c r="V653" s="8"/>
      <c r="W653" s="8"/>
      <c r="X653" s="8"/>
      <c r="Y653" s="8"/>
      <c r="Z653" s="8"/>
      <c r="AA653" s="8"/>
    </row>
    <row r="654" spans="1:27" ht="19.75">
      <c r="A654" s="8"/>
      <c r="B654" s="7"/>
      <c r="C654" s="8"/>
      <c r="D654" s="8"/>
      <c r="E654" s="11"/>
      <c r="F654" s="8"/>
      <c r="G654" s="8"/>
      <c r="H654" s="8"/>
      <c r="I654" s="8"/>
      <c r="J654" s="8"/>
      <c r="K654" s="8"/>
      <c r="L654" s="8"/>
      <c r="M654" s="8"/>
      <c r="N654" s="8"/>
      <c r="O654" s="8"/>
      <c r="P654" s="8"/>
      <c r="Q654" s="8"/>
      <c r="R654" s="8"/>
      <c r="S654" s="8"/>
      <c r="T654" s="8"/>
      <c r="U654" s="8"/>
      <c r="V654" s="8"/>
      <c r="W654" s="8"/>
      <c r="X654" s="8"/>
      <c r="Y654" s="8"/>
      <c r="Z654" s="8"/>
      <c r="AA654" s="8"/>
    </row>
    <row r="655" spans="1:27" ht="19.75">
      <c r="A655" s="8"/>
      <c r="B655" s="7"/>
      <c r="C655" s="8"/>
      <c r="D655" s="8"/>
      <c r="E655" s="11"/>
      <c r="F655" s="8"/>
      <c r="G655" s="8"/>
      <c r="H655" s="8"/>
      <c r="I655" s="8"/>
      <c r="J655" s="8"/>
      <c r="K655" s="8"/>
      <c r="L655" s="8"/>
      <c r="M655" s="8"/>
      <c r="N655" s="8"/>
      <c r="O655" s="8"/>
      <c r="P655" s="8"/>
      <c r="Q655" s="8"/>
      <c r="R655" s="8"/>
      <c r="S655" s="8"/>
      <c r="T655" s="8"/>
      <c r="U655" s="8"/>
      <c r="V655" s="8"/>
      <c r="W655" s="8"/>
      <c r="X655" s="8"/>
      <c r="Y655" s="8"/>
      <c r="Z655" s="8"/>
      <c r="AA655" s="8"/>
    </row>
    <row r="656" spans="1:27" ht="19.75">
      <c r="A656" s="8"/>
      <c r="B656" s="7"/>
      <c r="C656" s="8"/>
      <c r="D656" s="8"/>
      <c r="E656" s="11"/>
      <c r="F656" s="8"/>
      <c r="G656" s="8"/>
      <c r="H656" s="8"/>
      <c r="I656" s="8"/>
      <c r="J656" s="8"/>
      <c r="K656" s="8"/>
      <c r="L656" s="8"/>
      <c r="M656" s="8"/>
      <c r="N656" s="8"/>
      <c r="O656" s="8"/>
      <c r="P656" s="8"/>
      <c r="Q656" s="8"/>
      <c r="R656" s="8"/>
      <c r="S656" s="8"/>
      <c r="T656" s="8"/>
      <c r="U656" s="8"/>
      <c r="V656" s="8"/>
      <c r="W656" s="8"/>
      <c r="X656" s="8"/>
      <c r="Y656" s="8"/>
      <c r="Z656" s="8"/>
      <c r="AA656" s="8"/>
    </row>
    <row r="657" spans="1:27" ht="19.75">
      <c r="A657" s="8"/>
      <c r="B657" s="7"/>
      <c r="C657" s="8"/>
      <c r="D657" s="8"/>
      <c r="E657" s="11"/>
      <c r="F657" s="8"/>
      <c r="G657" s="8"/>
      <c r="H657" s="8"/>
      <c r="I657" s="8"/>
      <c r="J657" s="8"/>
      <c r="K657" s="8"/>
      <c r="L657" s="8"/>
      <c r="M657" s="8"/>
      <c r="N657" s="8"/>
      <c r="O657" s="8"/>
      <c r="P657" s="8"/>
      <c r="Q657" s="8"/>
      <c r="R657" s="8"/>
      <c r="S657" s="8"/>
      <c r="T657" s="8"/>
      <c r="U657" s="8"/>
      <c r="V657" s="8"/>
      <c r="W657" s="8"/>
      <c r="X657" s="8"/>
      <c r="Y657" s="8"/>
      <c r="Z657" s="8"/>
      <c r="AA657" s="8"/>
    </row>
    <row r="658" spans="1:27" ht="19.75">
      <c r="A658" s="8"/>
      <c r="B658" s="7"/>
      <c r="C658" s="8"/>
      <c r="D658" s="8"/>
      <c r="E658" s="11"/>
      <c r="F658" s="8"/>
      <c r="G658" s="8"/>
      <c r="H658" s="8"/>
      <c r="I658" s="8"/>
      <c r="J658" s="8"/>
      <c r="K658" s="8"/>
      <c r="L658" s="8"/>
      <c r="M658" s="8"/>
      <c r="N658" s="8"/>
      <c r="O658" s="8"/>
      <c r="P658" s="8"/>
      <c r="Q658" s="8"/>
      <c r="R658" s="8"/>
      <c r="S658" s="8"/>
      <c r="T658" s="8"/>
      <c r="U658" s="8"/>
      <c r="V658" s="8"/>
      <c r="W658" s="8"/>
      <c r="X658" s="8"/>
      <c r="Y658" s="8"/>
      <c r="Z658" s="8"/>
      <c r="AA658" s="8"/>
    </row>
    <row r="659" spans="1:27" ht="19.75">
      <c r="A659" s="8"/>
      <c r="B659" s="7"/>
      <c r="C659" s="8"/>
      <c r="D659" s="8"/>
      <c r="E659" s="11"/>
      <c r="F659" s="8"/>
      <c r="G659" s="8"/>
      <c r="H659" s="8"/>
      <c r="I659" s="8"/>
      <c r="J659" s="8"/>
      <c r="K659" s="8"/>
      <c r="L659" s="8"/>
      <c r="M659" s="8"/>
      <c r="N659" s="8"/>
      <c r="O659" s="8"/>
      <c r="P659" s="8"/>
      <c r="Q659" s="8"/>
      <c r="R659" s="8"/>
      <c r="S659" s="8"/>
      <c r="T659" s="8"/>
      <c r="U659" s="8"/>
      <c r="V659" s="8"/>
      <c r="W659" s="8"/>
      <c r="X659" s="8"/>
      <c r="Y659" s="8"/>
      <c r="Z659" s="8"/>
      <c r="AA659" s="8"/>
    </row>
    <row r="660" spans="1:27" ht="19.75">
      <c r="A660" s="8"/>
      <c r="B660" s="7"/>
      <c r="C660" s="8"/>
      <c r="D660" s="8"/>
      <c r="E660" s="11"/>
      <c r="F660" s="8"/>
      <c r="G660" s="8"/>
      <c r="H660" s="8"/>
      <c r="I660" s="8"/>
      <c r="J660" s="8"/>
      <c r="K660" s="8"/>
      <c r="L660" s="8"/>
      <c r="M660" s="8"/>
      <c r="N660" s="8"/>
      <c r="O660" s="8"/>
      <c r="P660" s="8"/>
      <c r="Q660" s="8"/>
      <c r="R660" s="8"/>
      <c r="S660" s="8"/>
      <c r="T660" s="8"/>
      <c r="U660" s="8"/>
      <c r="V660" s="8"/>
      <c r="W660" s="8"/>
      <c r="X660" s="8"/>
      <c r="Y660" s="8"/>
      <c r="Z660" s="8"/>
      <c r="AA660" s="8"/>
    </row>
    <row r="661" spans="1:27" ht="19.75">
      <c r="A661" s="8"/>
      <c r="B661" s="7"/>
      <c r="C661" s="8"/>
      <c r="D661" s="8"/>
      <c r="E661" s="11"/>
      <c r="F661" s="8"/>
      <c r="G661" s="8"/>
      <c r="H661" s="8"/>
      <c r="I661" s="8"/>
      <c r="J661" s="8"/>
      <c r="K661" s="8"/>
      <c r="L661" s="8"/>
      <c r="M661" s="8"/>
      <c r="N661" s="8"/>
      <c r="O661" s="8"/>
      <c r="P661" s="8"/>
      <c r="Q661" s="8"/>
      <c r="R661" s="8"/>
      <c r="S661" s="8"/>
      <c r="T661" s="8"/>
      <c r="U661" s="8"/>
      <c r="V661" s="8"/>
      <c r="W661" s="8"/>
      <c r="X661" s="8"/>
      <c r="Y661" s="8"/>
      <c r="Z661" s="8"/>
      <c r="AA661" s="8"/>
    </row>
    <row r="662" spans="1:27" ht="19.75">
      <c r="A662" s="8"/>
      <c r="B662" s="7"/>
      <c r="C662" s="8"/>
      <c r="D662" s="8"/>
      <c r="E662" s="11"/>
      <c r="F662" s="8"/>
      <c r="G662" s="8"/>
      <c r="H662" s="8"/>
      <c r="I662" s="8"/>
      <c r="J662" s="8"/>
      <c r="K662" s="8"/>
      <c r="L662" s="8"/>
      <c r="M662" s="8"/>
      <c r="N662" s="8"/>
      <c r="O662" s="8"/>
      <c r="P662" s="8"/>
      <c r="Q662" s="8"/>
      <c r="R662" s="8"/>
      <c r="S662" s="8"/>
      <c r="T662" s="8"/>
      <c r="U662" s="8"/>
      <c r="V662" s="8"/>
      <c r="W662" s="8"/>
      <c r="X662" s="8"/>
      <c r="Y662" s="8"/>
      <c r="Z662" s="8"/>
      <c r="AA662" s="8"/>
    </row>
    <row r="663" spans="1:27" ht="19.75">
      <c r="A663" s="8"/>
      <c r="B663" s="7"/>
      <c r="C663" s="8"/>
      <c r="D663" s="8"/>
      <c r="E663" s="11"/>
      <c r="F663" s="8"/>
      <c r="G663" s="8"/>
      <c r="H663" s="8"/>
      <c r="I663" s="8"/>
      <c r="J663" s="8"/>
      <c r="K663" s="8"/>
      <c r="L663" s="8"/>
      <c r="M663" s="8"/>
      <c r="N663" s="8"/>
      <c r="O663" s="8"/>
      <c r="P663" s="8"/>
      <c r="Q663" s="8"/>
      <c r="R663" s="8"/>
      <c r="S663" s="8"/>
      <c r="T663" s="8"/>
      <c r="U663" s="8"/>
      <c r="V663" s="8"/>
      <c r="W663" s="8"/>
      <c r="X663" s="8"/>
      <c r="Y663" s="8"/>
      <c r="Z663" s="8"/>
      <c r="AA663" s="8"/>
    </row>
    <row r="664" spans="1:27" ht="19.75">
      <c r="A664" s="8"/>
      <c r="B664" s="7"/>
      <c r="C664" s="8"/>
      <c r="D664" s="8"/>
      <c r="E664" s="11"/>
      <c r="F664" s="8"/>
      <c r="G664" s="8"/>
      <c r="H664" s="8"/>
      <c r="I664" s="8"/>
      <c r="J664" s="8"/>
      <c r="K664" s="8"/>
      <c r="L664" s="8"/>
      <c r="M664" s="8"/>
      <c r="N664" s="8"/>
      <c r="O664" s="8"/>
      <c r="P664" s="8"/>
      <c r="Q664" s="8"/>
      <c r="R664" s="8"/>
      <c r="S664" s="8"/>
      <c r="T664" s="8"/>
      <c r="U664" s="8"/>
      <c r="V664" s="8"/>
      <c r="W664" s="8"/>
      <c r="X664" s="8"/>
      <c r="Y664" s="8"/>
      <c r="Z664" s="8"/>
      <c r="AA664" s="8"/>
    </row>
    <row r="665" spans="1:27" ht="19.75">
      <c r="A665" s="8"/>
      <c r="B665" s="7"/>
      <c r="C665" s="8"/>
      <c r="D665" s="8"/>
      <c r="E665" s="11"/>
      <c r="F665" s="8"/>
      <c r="G665" s="8"/>
      <c r="H665" s="8"/>
      <c r="I665" s="8"/>
      <c r="J665" s="8"/>
      <c r="K665" s="8"/>
      <c r="L665" s="8"/>
      <c r="M665" s="8"/>
      <c r="N665" s="8"/>
      <c r="O665" s="8"/>
      <c r="P665" s="8"/>
      <c r="Q665" s="8"/>
      <c r="R665" s="8"/>
      <c r="S665" s="8"/>
      <c r="T665" s="8"/>
      <c r="U665" s="8"/>
      <c r="V665" s="8"/>
      <c r="W665" s="8"/>
      <c r="X665" s="8"/>
      <c r="Y665" s="8"/>
      <c r="Z665" s="8"/>
      <c r="AA665" s="8"/>
    </row>
    <row r="666" spans="1:27" ht="19.75">
      <c r="A666" s="8"/>
      <c r="B666" s="7"/>
      <c r="C666" s="8"/>
      <c r="D666" s="8"/>
      <c r="E666" s="11"/>
      <c r="F666" s="8"/>
      <c r="G666" s="8"/>
      <c r="H666" s="8"/>
      <c r="I666" s="8"/>
      <c r="J666" s="8"/>
      <c r="K666" s="8"/>
      <c r="L666" s="8"/>
      <c r="M666" s="8"/>
      <c r="N666" s="8"/>
      <c r="O666" s="8"/>
      <c r="P666" s="8"/>
      <c r="Q666" s="8"/>
      <c r="R666" s="8"/>
      <c r="S666" s="8"/>
      <c r="T666" s="8"/>
      <c r="U666" s="8"/>
      <c r="V666" s="8"/>
      <c r="W666" s="8"/>
      <c r="X666" s="8"/>
      <c r="Y666" s="8"/>
      <c r="Z666" s="8"/>
      <c r="AA666" s="8"/>
    </row>
    <row r="667" spans="1:27" ht="19.75">
      <c r="A667" s="8"/>
      <c r="B667" s="7"/>
      <c r="C667" s="8"/>
      <c r="D667" s="8"/>
      <c r="E667" s="11"/>
      <c r="F667" s="8"/>
      <c r="G667" s="8"/>
      <c r="H667" s="8"/>
      <c r="I667" s="8"/>
      <c r="J667" s="8"/>
      <c r="K667" s="8"/>
      <c r="L667" s="8"/>
      <c r="M667" s="8"/>
      <c r="N667" s="8"/>
      <c r="O667" s="8"/>
      <c r="P667" s="8"/>
      <c r="Q667" s="8"/>
      <c r="R667" s="8"/>
      <c r="S667" s="8"/>
      <c r="T667" s="8"/>
      <c r="U667" s="8"/>
      <c r="V667" s="8"/>
      <c r="W667" s="8"/>
      <c r="X667" s="8"/>
      <c r="Y667" s="8"/>
      <c r="Z667" s="8"/>
      <c r="AA667" s="8"/>
    </row>
    <row r="668" spans="1:27" ht="19.75">
      <c r="A668" s="8"/>
      <c r="B668" s="7"/>
      <c r="C668" s="8"/>
      <c r="D668" s="8"/>
      <c r="E668" s="11"/>
      <c r="F668" s="8"/>
      <c r="G668" s="8"/>
      <c r="H668" s="8"/>
      <c r="I668" s="8"/>
      <c r="J668" s="8"/>
      <c r="K668" s="8"/>
      <c r="L668" s="8"/>
      <c r="M668" s="8"/>
      <c r="N668" s="8"/>
      <c r="O668" s="8"/>
      <c r="P668" s="8"/>
      <c r="Q668" s="8"/>
      <c r="R668" s="8"/>
      <c r="S668" s="8"/>
      <c r="T668" s="8"/>
      <c r="U668" s="8"/>
      <c r="V668" s="8"/>
      <c r="W668" s="8"/>
      <c r="X668" s="8"/>
      <c r="Y668" s="8"/>
      <c r="Z668" s="8"/>
      <c r="AA668" s="8"/>
    </row>
    <row r="669" spans="1:27" ht="19.75">
      <c r="A669" s="8"/>
      <c r="B669" s="7"/>
      <c r="C669" s="8"/>
      <c r="D669" s="8"/>
      <c r="E669" s="11"/>
      <c r="F669" s="8"/>
      <c r="G669" s="8"/>
      <c r="H669" s="8"/>
      <c r="I669" s="8"/>
      <c r="J669" s="8"/>
      <c r="K669" s="8"/>
      <c r="L669" s="8"/>
      <c r="M669" s="8"/>
      <c r="N669" s="8"/>
      <c r="O669" s="8"/>
      <c r="P669" s="8"/>
      <c r="Q669" s="8"/>
      <c r="R669" s="8"/>
      <c r="S669" s="8"/>
      <c r="T669" s="8"/>
      <c r="U669" s="8"/>
      <c r="V669" s="8"/>
      <c r="W669" s="8"/>
      <c r="X669" s="8"/>
      <c r="Y669" s="8"/>
      <c r="Z669" s="8"/>
      <c r="AA669" s="8"/>
    </row>
    <row r="670" spans="1:27" ht="19.75">
      <c r="A670" s="8"/>
      <c r="B670" s="7"/>
      <c r="C670" s="8"/>
      <c r="D670" s="8"/>
      <c r="E670" s="11"/>
      <c r="F670" s="8"/>
      <c r="G670" s="8"/>
      <c r="H670" s="8"/>
      <c r="I670" s="8"/>
      <c r="J670" s="8"/>
      <c r="K670" s="8"/>
      <c r="L670" s="8"/>
      <c r="M670" s="8"/>
      <c r="N670" s="8"/>
      <c r="O670" s="8"/>
      <c r="P670" s="8"/>
      <c r="Q670" s="8"/>
      <c r="R670" s="8"/>
      <c r="S670" s="8"/>
      <c r="T670" s="8"/>
      <c r="U670" s="8"/>
      <c r="V670" s="8"/>
      <c r="W670" s="8"/>
      <c r="X670" s="8"/>
      <c r="Y670" s="8"/>
      <c r="Z670" s="8"/>
      <c r="AA670" s="8"/>
    </row>
    <row r="671" spans="1:27" ht="19.75">
      <c r="A671" s="8"/>
      <c r="B671" s="7"/>
      <c r="C671" s="8"/>
      <c r="D671" s="8"/>
      <c r="E671" s="11"/>
      <c r="F671" s="8"/>
      <c r="G671" s="8"/>
      <c r="H671" s="8"/>
      <c r="I671" s="8"/>
      <c r="J671" s="8"/>
      <c r="K671" s="8"/>
      <c r="L671" s="8"/>
      <c r="M671" s="8"/>
      <c r="N671" s="8"/>
      <c r="O671" s="8"/>
      <c r="P671" s="8"/>
      <c r="Q671" s="8"/>
      <c r="R671" s="8"/>
      <c r="S671" s="8"/>
      <c r="T671" s="8"/>
      <c r="U671" s="8"/>
      <c r="V671" s="8"/>
      <c r="W671" s="8"/>
      <c r="X671" s="8"/>
      <c r="Y671" s="8"/>
      <c r="Z671" s="8"/>
      <c r="AA671" s="8"/>
    </row>
    <row r="672" spans="1:27" ht="19.75">
      <c r="A672" s="8"/>
      <c r="B672" s="7"/>
      <c r="C672" s="8"/>
      <c r="D672" s="8"/>
      <c r="E672" s="11"/>
      <c r="F672" s="8"/>
      <c r="G672" s="8"/>
      <c r="H672" s="8"/>
      <c r="I672" s="8"/>
      <c r="J672" s="8"/>
      <c r="K672" s="8"/>
      <c r="L672" s="8"/>
      <c r="M672" s="8"/>
      <c r="N672" s="8"/>
      <c r="O672" s="8"/>
      <c r="P672" s="8"/>
      <c r="Q672" s="8"/>
      <c r="R672" s="8"/>
      <c r="S672" s="8"/>
      <c r="T672" s="8"/>
      <c r="U672" s="8"/>
      <c r="V672" s="8"/>
      <c r="W672" s="8"/>
      <c r="X672" s="8"/>
      <c r="Y672" s="8"/>
      <c r="Z672" s="8"/>
      <c r="AA672" s="8"/>
    </row>
    <row r="673" spans="1:27" ht="19.75">
      <c r="A673" s="8"/>
      <c r="B673" s="7"/>
      <c r="C673" s="8"/>
      <c r="D673" s="8"/>
      <c r="E673" s="11"/>
      <c r="F673" s="8"/>
      <c r="G673" s="8"/>
      <c r="H673" s="8"/>
      <c r="I673" s="8"/>
      <c r="J673" s="8"/>
      <c r="K673" s="8"/>
      <c r="L673" s="8"/>
      <c r="M673" s="8"/>
      <c r="N673" s="8"/>
      <c r="O673" s="8"/>
      <c r="P673" s="8"/>
      <c r="Q673" s="8"/>
      <c r="R673" s="8"/>
      <c r="S673" s="8"/>
      <c r="T673" s="8"/>
      <c r="U673" s="8"/>
      <c r="V673" s="8"/>
      <c r="W673" s="8"/>
      <c r="X673" s="8"/>
      <c r="Y673" s="8"/>
      <c r="Z673" s="8"/>
      <c r="AA673" s="8"/>
    </row>
    <row r="674" spans="1:27" ht="19.75">
      <c r="A674" s="8"/>
      <c r="B674" s="7"/>
      <c r="C674" s="8"/>
      <c r="D674" s="8"/>
      <c r="E674" s="11"/>
      <c r="F674" s="8"/>
      <c r="G674" s="8"/>
      <c r="H674" s="8"/>
      <c r="I674" s="8"/>
      <c r="J674" s="8"/>
      <c r="K674" s="8"/>
      <c r="L674" s="8"/>
      <c r="M674" s="8"/>
      <c r="N674" s="8"/>
      <c r="O674" s="8"/>
      <c r="P674" s="8"/>
      <c r="Q674" s="8"/>
      <c r="R674" s="8"/>
      <c r="S674" s="8"/>
      <c r="T674" s="8"/>
      <c r="U674" s="8"/>
      <c r="V674" s="8"/>
      <c r="W674" s="8"/>
      <c r="X674" s="8"/>
      <c r="Y674" s="8"/>
      <c r="Z674" s="8"/>
      <c r="AA674" s="8"/>
    </row>
    <row r="675" spans="1:27" ht="19.75">
      <c r="A675" s="8"/>
      <c r="B675" s="7"/>
      <c r="C675" s="8"/>
      <c r="D675" s="8"/>
      <c r="E675" s="11"/>
      <c r="F675" s="8"/>
      <c r="G675" s="8"/>
      <c r="H675" s="8"/>
      <c r="I675" s="8"/>
      <c r="J675" s="8"/>
      <c r="K675" s="8"/>
      <c r="L675" s="8"/>
      <c r="M675" s="8"/>
      <c r="N675" s="8"/>
      <c r="O675" s="8"/>
      <c r="P675" s="8"/>
      <c r="Q675" s="8"/>
      <c r="R675" s="8"/>
      <c r="S675" s="8"/>
      <c r="T675" s="8"/>
      <c r="U675" s="8"/>
      <c r="V675" s="8"/>
      <c r="W675" s="8"/>
      <c r="X675" s="8"/>
      <c r="Y675" s="8"/>
      <c r="Z675" s="8"/>
      <c r="AA675" s="8"/>
    </row>
    <row r="676" spans="1:27" ht="19.75">
      <c r="A676" s="8"/>
      <c r="B676" s="7"/>
      <c r="C676" s="8"/>
      <c r="D676" s="8"/>
      <c r="E676" s="11"/>
      <c r="F676" s="8"/>
      <c r="G676" s="8"/>
      <c r="H676" s="8"/>
      <c r="I676" s="8"/>
      <c r="J676" s="8"/>
      <c r="K676" s="8"/>
      <c r="L676" s="8"/>
      <c r="M676" s="8"/>
      <c r="N676" s="8"/>
      <c r="O676" s="8"/>
      <c r="P676" s="8"/>
      <c r="Q676" s="8"/>
      <c r="R676" s="8"/>
      <c r="S676" s="8"/>
      <c r="T676" s="8"/>
      <c r="U676" s="8"/>
      <c r="V676" s="8"/>
      <c r="W676" s="8"/>
      <c r="X676" s="8"/>
      <c r="Y676" s="8"/>
      <c r="Z676" s="8"/>
      <c r="AA676" s="8"/>
    </row>
    <row r="677" spans="1:27" ht="19.75">
      <c r="A677" s="8"/>
      <c r="B677" s="7"/>
      <c r="C677" s="8"/>
      <c r="D677" s="8"/>
      <c r="E677" s="11"/>
      <c r="F677" s="8"/>
      <c r="G677" s="8"/>
      <c r="H677" s="8"/>
      <c r="I677" s="8"/>
      <c r="J677" s="8"/>
      <c r="K677" s="8"/>
      <c r="L677" s="8"/>
      <c r="M677" s="8"/>
      <c r="N677" s="8"/>
      <c r="O677" s="8"/>
      <c r="P677" s="8"/>
      <c r="Q677" s="8"/>
      <c r="R677" s="8"/>
      <c r="S677" s="8"/>
      <c r="T677" s="8"/>
      <c r="U677" s="8"/>
      <c r="V677" s="8"/>
      <c r="W677" s="8"/>
      <c r="X677" s="8"/>
      <c r="Y677" s="8"/>
      <c r="Z677" s="8"/>
      <c r="AA677" s="8"/>
    </row>
    <row r="678" spans="1:27" ht="19.75">
      <c r="A678" s="8"/>
      <c r="B678" s="7"/>
      <c r="C678" s="8"/>
      <c r="D678" s="8"/>
      <c r="E678" s="11"/>
      <c r="F678" s="8"/>
      <c r="G678" s="8"/>
      <c r="H678" s="8"/>
      <c r="I678" s="8"/>
      <c r="J678" s="8"/>
      <c r="K678" s="8"/>
      <c r="L678" s="8"/>
      <c r="M678" s="8"/>
      <c r="N678" s="8"/>
      <c r="O678" s="8"/>
      <c r="P678" s="8"/>
      <c r="Q678" s="8"/>
      <c r="R678" s="8"/>
      <c r="S678" s="8"/>
      <c r="T678" s="8"/>
      <c r="U678" s="8"/>
      <c r="V678" s="8"/>
      <c r="W678" s="8"/>
      <c r="X678" s="8"/>
      <c r="Y678" s="8"/>
      <c r="Z678" s="8"/>
      <c r="AA678" s="8"/>
    </row>
    <row r="679" spans="1:27" ht="19.75">
      <c r="A679" s="8"/>
      <c r="B679" s="7"/>
      <c r="C679" s="8"/>
      <c r="D679" s="8"/>
      <c r="E679" s="11"/>
      <c r="F679" s="8"/>
      <c r="G679" s="8"/>
      <c r="H679" s="8"/>
      <c r="I679" s="8"/>
      <c r="J679" s="8"/>
      <c r="K679" s="8"/>
      <c r="L679" s="8"/>
      <c r="M679" s="8"/>
      <c r="N679" s="8"/>
      <c r="O679" s="8"/>
      <c r="P679" s="8"/>
      <c r="Q679" s="8"/>
      <c r="R679" s="8"/>
      <c r="S679" s="8"/>
      <c r="T679" s="8"/>
      <c r="U679" s="8"/>
      <c r="V679" s="8"/>
      <c r="W679" s="8"/>
      <c r="X679" s="8"/>
      <c r="Y679" s="8"/>
      <c r="Z679" s="8"/>
      <c r="AA679" s="8"/>
    </row>
    <row r="680" spans="1:27" ht="19.75">
      <c r="A680" s="8"/>
      <c r="B680" s="7"/>
      <c r="C680" s="8"/>
      <c r="D680" s="8"/>
      <c r="E680" s="11"/>
      <c r="F680" s="8"/>
      <c r="G680" s="8"/>
      <c r="H680" s="8"/>
      <c r="I680" s="8"/>
      <c r="J680" s="8"/>
      <c r="K680" s="8"/>
      <c r="L680" s="8"/>
      <c r="M680" s="8"/>
      <c r="N680" s="8"/>
      <c r="O680" s="8"/>
      <c r="P680" s="8"/>
      <c r="Q680" s="8"/>
      <c r="R680" s="8"/>
      <c r="S680" s="8"/>
      <c r="T680" s="8"/>
      <c r="U680" s="8"/>
      <c r="V680" s="8"/>
      <c r="W680" s="8"/>
      <c r="X680" s="8"/>
      <c r="Y680" s="8"/>
      <c r="Z680" s="8"/>
      <c r="AA680" s="8"/>
    </row>
    <row r="681" spans="1:27" ht="19.75">
      <c r="A681" s="8"/>
      <c r="B681" s="7"/>
      <c r="C681" s="8"/>
      <c r="D681" s="8"/>
      <c r="E681" s="11"/>
      <c r="F681" s="8"/>
      <c r="G681" s="8"/>
      <c r="H681" s="8"/>
      <c r="I681" s="8"/>
      <c r="J681" s="8"/>
      <c r="K681" s="8"/>
      <c r="L681" s="8"/>
      <c r="M681" s="8"/>
      <c r="N681" s="8"/>
      <c r="O681" s="8"/>
      <c r="P681" s="8"/>
      <c r="Q681" s="8"/>
      <c r="R681" s="8"/>
      <c r="S681" s="8"/>
      <c r="T681" s="8"/>
      <c r="U681" s="8"/>
      <c r="V681" s="8"/>
      <c r="W681" s="8"/>
      <c r="X681" s="8"/>
      <c r="Y681" s="8"/>
      <c r="Z681" s="8"/>
      <c r="AA681" s="8"/>
    </row>
    <row r="682" spans="1:27" ht="19.75">
      <c r="A682" s="8"/>
      <c r="B682" s="7"/>
      <c r="C682" s="8"/>
      <c r="D682" s="8"/>
      <c r="E682" s="11"/>
      <c r="F682" s="8"/>
      <c r="G682" s="8"/>
      <c r="H682" s="8"/>
      <c r="I682" s="8"/>
      <c r="J682" s="8"/>
      <c r="K682" s="8"/>
      <c r="L682" s="8"/>
      <c r="M682" s="8"/>
      <c r="N682" s="8"/>
      <c r="O682" s="8"/>
      <c r="P682" s="8"/>
      <c r="Q682" s="8"/>
      <c r="R682" s="8"/>
      <c r="S682" s="8"/>
      <c r="T682" s="8"/>
      <c r="U682" s="8"/>
      <c r="V682" s="8"/>
      <c r="W682" s="8"/>
      <c r="X682" s="8"/>
      <c r="Y682" s="8"/>
      <c r="Z682" s="8"/>
      <c r="AA682" s="8"/>
    </row>
    <row r="683" spans="1:27" ht="19.75">
      <c r="A683" s="8"/>
      <c r="B683" s="7"/>
      <c r="C683" s="8"/>
      <c r="D683" s="8"/>
      <c r="E683" s="11"/>
      <c r="F683" s="8"/>
      <c r="G683" s="8"/>
      <c r="H683" s="8"/>
      <c r="I683" s="8"/>
      <c r="J683" s="8"/>
      <c r="K683" s="8"/>
      <c r="L683" s="8"/>
      <c r="M683" s="8"/>
      <c r="N683" s="8"/>
      <c r="O683" s="8"/>
      <c r="P683" s="8"/>
      <c r="Q683" s="8"/>
      <c r="R683" s="8"/>
      <c r="S683" s="8"/>
      <c r="T683" s="8"/>
      <c r="U683" s="8"/>
      <c r="V683" s="8"/>
      <c r="W683" s="8"/>
      <c r="X683" s="8"/>
      <c r="Y683" s="8"/>
      <c r="Z683" s="8"/>
      <c r="AA683" s="8"/>
    </row>
    <row r="684" spans="1:27" ht="19.75">
      <c r="A684" s="8"/>
      <c r="B684" s="7"/>
      <c r="C684" s="8"/>
      <c r="D684" s="8"/>
      <c r="E684" s="11"/>
      <c r="F684" s="8"/>
      <c r="G684" s="8"/>
      <c r="H684" s="8"/>
      <c r="I684" s="8"/>
      <c r="J684" s="8"/>
      <c r="K684" s="8"/>
      <c r="L684" s="8"/>
      <c r="M684" s="8"/>
      <c r="N684" s="8"/>
      <c r="O684" s="8"/>
      <c r="P684" s="8"/>
      <c r="Q684" s="8"/>
      <c r="R684" s="8"/>
      <c r="S684" s="8"/>
      <c r="T684" s="8"/>
      <c r="U684" s="8"/>
      <c r="V684" s="8"/>
      <c r="W684" s="8"/>
      <c r="X684" s="8"/>
      <c r="Y684" s="8"/>
      <c r="Z684" s="8"/>
      <c r="AA684" s="8"/>
    </row>
    <row r="685" spans="1:27" ht="19.75">
      <c r="A685" s="8"/>
      <c r="B685" s="7"/>
      <c r="C685" s="8"/>
      <c r="D685" s="8"/>
      <c r="E685" s="11"/>
      <c r="F685" s="8"/>
      <c r="G685" s="8"/>
      <c r="H685" s="8"/>
      <c r="I685" s="8"/>
      <c r="J685" s="8"/>
      <c r="K685" s="8"/>
      <c r="L685" s="8"/>
      <c r="M685" s="8"/>
      <c r="N685" s="8"/>
      <c r="O685" s="8"/>
      <c r="P685" s="8"/>
      <c r="Q685" s="8"/>
      <c r="R685" s="8"/>
      <c r="S685" s="8"/>
      <c r="T685" s="8"/>
      <c r="U685" s="8"/>
      <c r="V685" s="8"/>
      <c r="W685" s="8"/>
      <c r="X685" s="8"/>
      <c r="Y685" s="8"/>
      <c r="Z685" s="8"/>
      <c r="AA685" s="8"/>
    </row>
    <row r="686" spans="1:27" ht="19.75">
      <c r="A686" s="8"/>
      <c r="B686" s="7"/>
      <c r="C686" s="8"/>
      <c r="D686" s="8"/>
      <c r="E686" s="11"/>
      <c r="F686" s="8"/>
      <c r="G686" s="8"/>
      <c r="H686" s="8"/>
      <c r="I686" s="8"/>
      <c r="J686" s="8"/>
      <c r="K686" s="8"/>
      <c r="L686" s="8"/>
      <c r="M686" s="8"/>
      <c r="N686" s="8"/>
      <c r="O686" s="8"/>
      <c r="P686" s="8"/>
      <c r="Q686" s="8"/>
      <c r="R686" s="8"/>
      <c r="S686" s="8"/>
      <c r="T686" s="8"/>
      <c r="U686" s="8"/>
      <c r="V686" s="8"/>
      <c r="W686" s="8"/>
      <c r="X686" s="8"/>
      <c r="Y686" s="8"/>
      <c r="Z686" s="8"/>
      <c r="AA686" s="8"/>
    </row>
    <row r="687" spans="1:27" ht="19.75">
      <c r="A687" s="8"/>
      <c r="B687" s="7"/>
      <c r="C687" s="8"/>
      <c r="D687" s="8"/>
      <c r="E687" s="11"/>
      <c r="F687" s="8"/>
      <c r="G687" s="8"/>
      <c r="H687" s="8"/>
      <c r="I687" s="8"/>
      <c r="J687" s="8"/>
      <c r="K687" s="8"/>
      <c r="L687" s="8"/>
      <c r="M687" s="8"/>
      <c r="N687" s="8"/>
      <c r="O687" s="8"/>
      <c r="P687" s="8"/>
      <c r="Q687" s="8"/>
      <c r="R687" s="8"/>
      <c r="S687" s="8"/>
      <c r="T687" s="8"/>
      <c r="U687" s="8"/>
      <c r="V687" s="8"/>
      <c r="W687" s="8"/>
      <c r="X687" s="8"/>
      <c r="Y687" s="8"/>
      <c r="Z687" s="8"/>
      <c r="AA687" s="8"/>
    </row>
    <row r="688" spans="1:27" ht="19.75">
      <c r="A688" s="8"/>
      <c r="B688" s="7"/>
      <c r="C688" s="8"/>
      <c r="D688" s="8"/>
      <c r="E688" s="11"/>
      <c r="F688" s="8"/>
      <c r="G688" s="8"/>
      <c r="H688" s="8"/>
      <c r="I688" s="8"/>
      <c r="J688" s="8"/>
      <c r="K688" s="8"/>
      <c r="L688" s="8"/>
      <c r="M688" s="8"/>
      <c r="N688" s="8"/>
      <c r="O688" s="8"/>
      <c r="P688" s="8"/>
      <c r="Q688" s="8"/>
      <c r="R688" s="8"/>
      <c r="S688" s="8"/>
      <c r="T688" s="8"/>
      <c r="U688" s="8"/>
      <c r="V688" s="8"/>
      <c r="W688" s="8"/>
      <c r="X688" s="8"/>
      <c r="Y688" s="8"/>
      <c r="Z688" s="8"/>
      <c r="AA688" s="8"/>
    </row>
    <row r="689" spans="1:27" ht="19.75">
      <c r="A689" s="8"/>
      <c r="B689" s="7"/>
      <c r="C689" s="8"/>
      <c r="D689" s="8"/>
      <c r="E689" s="11"/>
      <c r="F689" s="8"/>
      <c r="G689" s="8"/>
      <c r="H689" s="8"/>
      <c r="I689" s="8"/>
      <c r="J689" s="8"/>
      <c r="K689" s="8"/>
      <c r="L689" s="8"/>
      <c r="M689" s="8"/>
      <c r="N689" s="8"/>
      <c r="O689" s="8"/>
      <c r="P689" s="8"/>
      <c r="Q689" s="8"/>
      <c r="R689" s="8"/>
      <c r="S689" s="8"/>
      <c r="T689" s="8"/>
      <c r="U689" s="8"/>
      <c r="V689" s="8"/>
      <c r="W689" s="8"/>
      <c r="X689" s="8"/>
      <c r="Y689" s="8"/>
      <c r="Z689" s="8"/>
      <c r="AA689" s="8"/>
    </row>
    <row r="690" spans="1:27" ht="19.75">
      <c r="A690" s="8"/>
      <c r="B690" s="7"/>
      <c r="C690" s="8"/>
      <c r="D690" s="8"/>
      <c r="E690" s="11"/>
      <c r="F690" s="8"/>
      <c r="G690" s="8"/>
      <c r="H690" s="8"/>
      <c r="I690" s="8"/>
      <c r="J690" s="8"/>
      <c r="K690" s="8"/>
      <c r="L690" s="8"/>
      <c r="M690" s="8"/>
      <c r="N690" s="8"/>
      <c r="O690" s="8"/>
      <c r="P690" s="8"/>
      <c r="Q690" s="8"/>
      <c r="R690" s="8"/>
      <c r="S690" s="8"/>
      <c r="T690" s="8"/>
      <c r="U690" s="8"/>
      <c r="V690" s="8"/>
      <c r="W690" s="8"/>
      <c r="X690" s="8"/>
      <c r="Y690" s="8"/>
      <c r="Z690" s="8"/>
      <c r="AA690" s="8"/>
    </row>
    <row r="691" spans="1:27" ht="19.75">
      <c r="A691" s="8"/>
      <c r="B691" s="7"/>
      <c r="C691" s="8"/>
      <c r="D691" s="8"/>
      <c r="E691" s="11"/>
      <c r="F691" s="8"/>
      <c r="G691" s="8"/>
      <c r="H691" s="8"/>
      <c r="I691" s="8"/>
      <c r="J691" s="8"/>
      <c r="K691" s="8"/>
      <c r="L691" s="8"/>
      <c r="M691" s="8"/>
      <c r="N691" s="8"/>
      <c r="O691" s="8"/>
      <c r="P691" s="8"/>
      <c r="Q691" s="8"/>
      <c r="R691" s="8"/>
      <c r="S691" s="8"/>
      <c r="T691" s="8"/>
      <c r="U691" s="8"/>
      <c r="V691" s="8"/>
      <c r="W691" s="8"/>
      <c r="X691" s="8"/>
      <c r="Y691" s="8"/>
      <c r="Z691" s="8"/>
      <c r="AA691" s="8"/>
    </row>
    <row r="692" spans="1:27" ht="19.75">
      <c r="A692" s="8"/>
      <c r="B692" s="7"/>
      <c r="C692" s="8"/>
      <c r="D692" s="8"/>
      <c r="E692" s="11"/>
      <c r="F692" s="8"/>
      <c r="G692" s="8"/>
      <c r="H692" s="8"/>
      <c r="I692" s="8"/>
      <c r="J692" s="8"/>
      <c r="K692" s="8"/>
      <c r="L692" s="8"/>
      <c r="M692" s="8"/>
      <c r="N692" s="8"/>
      <c r="O692" s="8"/>
      <c r="P692" s="8"/>
      <c r="Q692" s="8"/>
      <c r="R692" s="8"/>
      <c r="S692" s="8"/>
      <c r="T692" s="8"/>
      <c r="U692" s="8"/>
      <c r="V692" s="8"/>
      <c r="W692" s="8"/>
      <c r="X692" s="8"/>
      <c r="Y692" s="8"/>
      <c r="Z692" s="8"/>
      <c r="AA692" s="8"/>
    </row>
    <row r="693" spans="1:27" ht="19.75">
      <c r="A693" s="8"/>
      <c r="B693" s="7"/>
      <c r="C693" s="8"/>
      <c r="D693" s="8"/>
      <c r="E693" s="11"/>
      <c r="F693" s="8"/>
      <c r="G693" s="8"/>
      <c r="H693" s="8"/>
      <c r="I693" s="8"/>
      <c r="J693" s="8"/>
      <c r="K693" s="8"/>
      <c r="L693" s="8"/>
      <c r="M693" s="8"/>
      <c r="N693" s="8"/>
      <c r="O693" s="8"/>
      <c r="P693" s="8"/>
      <c r="Q693" s="8"/>
      <c r="R693" s="8"/>
      <c r="S693" s="8"/>
      <c r="T693" s="8"/>
      <c r="U693" s="8"/>
      <c r="V693" s="8"/>
      <c r="W693" s="8"/>
      <c r="X693" s="8"/>
      <c r="Y693" s="8"/>
      <c r="Z693" s="8"/>
      <c r="AA693" s="8"/>
    </row>
    <row r="694" spans="1:27" ht="19.75">
      <c r="A694" s="8"/>
      <c r="B694" s="7"/>
      <c r="C694" s="8"/>
      <c r="D694" s="8"/>
      <c r="E694" s="11"/>
      <c r="F694" s="8"/>
      <c r="G694" s="8"/>
      <c r="H694" s="8"/>
      <c r="I694" s="8"/>
      <c r="J694" s="8"/>
      <c r="K694" s="8"/>
      <c r="L694" s="8"/>
      <c r="M694" s="8"/>
      <c r="N694" s="8"/>
      <c r="O694" s="8"/>
      <c r="P694" s="8"/>
      <c r="Q694" s="8"/>
      <c r="R694" s="8"/>
      <c r="S694" s="8"/>
      <c r="T694" s="8"/>
      <c r="U694" s="8"/>
      <c r="V694" s="8"/>
      <c r="W694" s="8"/>
      <c r="X694" s="8"/>
      <c r="Y694" s="8"/>
      <c r="Z694" s="8"/>
      <c r="AA694" s="8"/>
    </row>
    <row r="695" spans="1:27" ht="19.75">
      <c r="A695" s="8"/>
      <c r="B695" s="7"/>
      <c r="C695" s="8"/>
      <c r="D695" s="8"/>
      <c r="E695" s="11"/>
      <c r="F695" s="8"/>
      <c r="G695" s="8"/>
      <c r="H695" s="8"/>
      <c r="I695" s="8"/>
      <c r="J695" s="8"/>
      <c r="K695" s="8"/>
      <c r="L695" s="8"/>
      <c r="M695" s="8"/>
      <c r="N695" s="8"/>
      <c r="O695" s="8"/>
      <c r="P695" s="8"/>
      <c r="Q695" s="8"/>
      <c r="R695" s="8"/>
      <c r="S695" s="8"/>
      <c r="T695" s="8"/>
      <c r="U695" s="8"/>
      <c r="V695" s="8"/>
      <c r="W695" s="8"/>
      <c r="X695" s="8"/>
      <c r="Y695" s="8"/>
      <c r="Z695" s="8"/>
      <c r="AA695" s="8"/>
    </row>
    <row r="696" spans="1:27" ht="19.75">
      <c r="A696" s="8"/>
      <c r="B696" s="7"/>
      <c r="C696" s="8"/>
      <c r="D696" s="8"/>
      <c r="E696" s="11"/>
      <c r="F696" s="8"/>
      <c r="G696" s="8"/>
      <c r="H696" s="8"/>
      <c r="I696" s="8"/>
      <c r="J696" s="8"/>
      <c r="K696" s="8"/>
      <c r="L696" s="8"/>
      <c r="M696" s="8"/>
      <c r="N696" s="8"/>
      <c r="O696" s="8"/>
      <c r="P696" s="8"/>
      <c r="Q696" s="8"/>
      <c r="R696" s="8"/>
      <c r="S696" s="8"/>
      <c r="T696" s="8"/>
      <c r="U696" s="8"/>
      <c r="V696" s="8"/>
      <c r="W696" s="8"/>
      <c r="X696" s="8"/>
      <c r="Y696" s="8"/>
      <c r="Z696" s="8"/>
      <c r="AA696" s="8"/>
    </row>
    <row r="697" spans="1:27" ht="19.75">
      <c r="A697" s="8"/>
      <c r="B697" s="7"/>
      <c r="C697" s="8"/>
      <c r="D697" s="8"/>
      <c r="E697" s="11"/>
      <c r="F697" s="8"/>
      <c r="G697" s="8"/>
      <c r="H697" s="8"/>
      <c r="I697" s="8"/>
      <c r="J697" s="8"/>
      <c r="K697" s="8"/>
      <c r="L697" s="8"/>
      <c r="M697" s="8"/>
      <c r="N697" s="8"/>
      <c r="O697" s="8"/>
      <c r="P697" s="8"/>
      <c r="Q697" s="8"/>
      <c r="R697" s="8"/>
      <c r="S697" s="8"/>
      <c r="T697" s="8"/>
      <c r="U697" s="8"/>
      <c r="V697" s="8"/>
      <c r="W697" s="8"/>
      <c r="X697" s="8"/>
      <c r="Y697" s="8"/>
      <c r="Z697" s="8"/>
      <c r="AA697" s="8"/>
    </row>
    <row r="698" spans="1:27" ht="19.75">
      <c r="A698" s="8"/>
      <c r="B698" s="7"/>
      <c r="C698" s="8"/>
      <c r="D698" s="8"/>
      <c r="E698" s="11"/>
      <c r="F698" s="8"/>
      <c r="G698" s="8"/>
      <c r="H698" s="8"/>
      <c r="I698" s="8"/>
      <c r="J698" s="8"/>
      <c r="K698" s="8"/>
      <c r="L698" s="8"/>
      <c r="M698" s="8"/>
      <c r="N698" s="8"/>
      <c r="O698" s="8"/>
      <c r="P698" s="8"/>
      <c r="Q698" s="8"/>
      <c r="R698" s="8"/>
      <c r="S698" s="8"/>
      <c r="T698" s="8"/>
      <c r="U698" s="8"/>
      <c r="V698" s="8"/>
      <c r="W698" s="8"/>
      <c r="X698" s="8"/>
      <c r="Y698" s="8"/>
      <c r="Z698" s="8"/>
      <c r="AA698" s="8"/>
    </row>
    <row r="699" spans="1:27" ht="19.75">
      <c r="A699" s="8"/>
      <c r="B699" s="7"/>
      <c r="C699" s="8"/>
      <c r="D699" s="8"/>
      <c r="E699" s="11"/>
      <c r="F699" s="8"/>
      <c r="G699" s="8"/>
      <c r="H699" s="8"/>
      <c r="I699" s="8"/>
      <c r="J699" s="8"/>
      <c r="K699" s="8"/>
      <c r="L699" s="8"/>
      <c r="M699" s="8"/>
      <c r="N699" s="8"/>
      <c r="O699" s="8"/>
      <c r="P699" s="8"/>
      <c r="Q699" s="8"/>
      <c r="R699" s="8"/>
      <c r="S699" s="8"/>
      <c r="T699" s="8"/>
      <c r="U699" s="8"/>
      <c r="V699" s="8"/>
      <c r="W699" s="8"/>
      <c r="X699" s="8"/>
      <c r="Y699" s="8"/>
      <c r="Z699" s="8"/>
      <c r="AA699" s="8"/>
    </row>
    <row r="700" spans="1:27" ht="19.75">
      <c r="A700" s="8"/>
      <c r="B700" s="7"/>
      <c r="C700" s="8"/>
      <c r="D700" s="8"/>
      <c r="E700" s="11"/>
      <c r="F700" s="8"/>
      <c r="G700" s="8"/>
      <c r="H700" s="8"/>
      <c r="I700" s="8"/>
      <c r="J700" s="8"/>
      <c r="K700" s="8"/>
      <c r="L700" s="8"/>
      <c r="M700" s="8"/>
      <c r="N700" s="8"/>
      <c r="O700" s="8"/>
      <c r="P700" s="8"/>
      <c r="Q700" s="8"/>
      <c r="R700" s="8"/>
      <c r="S700" s="8"/>
      <c r="T700" s="8"/>
      <c r="U700" s="8"/>
      <c r="V700" s="8"/>
      <c r="W700" s="8"/>
      <c r="X700" s="8"/>
      <c r="Y700" s="8"/>
      <c r="Z700" s="8"/>
      <c r="AA700" s="8"/>
    </row>
    <row r="701" spans="1:27" ht="19.75">
      <c r="A701" s="8"/>
      <c r="B701" s="7"/>
      <c r="C701" s="8"/>
      <c r="D701" s="8"/>
      <c r="E701" s="11"/>
      <c r="F701" s="8"/>
      <c r="G701" s="8"/>
      <c r="H701" s="8"/>
      <c r="I701" s="8"/>
      <c r="J701" s="8"/>
      <c r="K701" s="8"/>
      <c r="L701" s="8"/>
      <c r="M701" s="8"/>
      <c r="N701" s="8"/>
      <c r="O701" s="8"/>
      <c r="P701" s="8"/>
      <c r="Q701" s="8"/>
      <c r="R701" s="8"/>
      <c r="S701" s="8"/>
      <c r="T701" s="8"/>
      <c r="U701" s="8"/>
      <c r="V701" s="8"/>
      <c r="W701" s="8"/>
      <c r="X701" s="8"/>
      <c r="Y701" s="8"/>
      <c r="Z701" s="8"/>
      <c r="AA701" s="8"/>
    </row>
    <row r="702" spans="1:27" ht="19.75">
      <c r="A702" s="8"/>
      <c r="B702" s="7"/>
      <c r="C702" s="8"/>
      <c r="D702" s="8"/>
      <c r="E702" s="11"/>
      <c r="F702" s="8"/>
      <c r="G702" s="8"/>
      <c r="H702" s="8"/>
      <c r="I702" s="8"/>
      <c r="J702" s="8"/>
      <c r="K702" s="8"/>
      <c r="L702" s="8"/>
      <c r="M702" s="8"/>
      <c r="N702" s="8"/>
      <c r="O702" s="8"/>
      <c r="P702" s="8"/>
      <c r="Q702" s="8"/>
      <c r="R702" s="8"/>
      <c r="S702" s="8"/>
      <c r="T702" s="8"/>
      <c r="U702" s="8"/>
      <c r="V702" s="8"/>
      <c r="W702" s="8"/>
      <c r="X702" s="8"/>
      <c r="Y702" s="8"/>
      <c r="Z702" s="8"/>
      <c r="AA702" s="8"/>
    </row>
    <row r="703" spans="1:27" ht="19.75">
      <c r="A703" s="8"/>
      <c r="B703" s="7"/>
      <c r="C703" s="8"/>
      <c r="D703" s="8"/>
      <c r="E703" s="11"/>
      <c r="F703" s="8"/>
      <c r="G703" s="8"/>
      <c r="H703" s="8"/>
      <c r="I703" s="8"/>
      <c r="J703" s="8"/>
      <c r="K703" s="8"/>
      <c r="L703" s="8"/>
      <c r="M703" s="8"/>
      <c r="N703" s="8"/>
      <c r="O703" s="8"/>
      <c r="P703" s="8"/>
      <c r="Q703" s="8"/>
      <c r="R703" s="8"/>
      <c r="S703" s="8"/>
      <c r="T703" s="8"/>
      <c r="U703" s="8"/>
      <c r="V703" s="8"/>
      <c r="W703" s="8"/>
      <c r="X703" s="8"/>
      <c r="Y703" s="8"/>
      <c r="Z703" s="8"/>
      <c r="AA703" s="8"/>
    </row>
    <row r="704" spans="1:27" ht="19.75">
      <c r="A704" s="8"/>
      <c r="B704" s="7"/>
      <c r="C704" s="8"/>
      <c r="D704" s="8"/>
      <c r="E704" s="11"/>
      <c r="F704" s="8"/>
      <c r="G704" s="8"/>
      <c r="H704" s="8"/>
      <c r="I704" s="8"/>
      <c r="J704" s="8"/>
      <c r="K704" s="8"/>
      <c r="L704" s="8"/>
      <c r="M704" s="8"/>
      <c r="N704" s="8"/>
      <c r="O704" s="8"/>
      <c r="P704" s="8"/>
      <c r="Q704" s="8"/>
      <c r="R704" s="8"/>
      <c r="S704" s="8"/>
      <c r="T704" s="8"/>
      <c r="U704" s="8"/>
      <c r="V704" s="8"/>
      <c r="W704" s="8"/>
      <c r="X704" s="8"/>
      <c r="Y704" s="8"/>
      <c r="Z704" s="8"/>
      <c r="AA704" s="8"/>
    </row>
    <row r="705" spans="1:27" ht="19.75">
      <c r="A705" s="8"/>
      <c r="B705" s="7"/>
      <c r="C705" s="8"/>
      <c r="D705" s="8"/>
      <c r="E705" s="11"/>
      <c r="F705" s="8"/>
      <c r="G705" s="8"/>
      <c r="H705" s="8"/>
      <c r="I705" s="8"/>
      <c r="J705" s="8"/>
      <c r="K705" s="8"/>
      <c r="L705" s="8"/>
      <c r="M705" s="8"/>
      <c r="N705" s="8"/>
      <c r="O705" s="8"/>
      <c r="P705" s="8"/>
      <c r="Q705" s="8"/>
      <c r="R705" s="8"/>
      <c r="S705" s="8"/>
      <c r="T705" s="8"/>
      <c r="U705" s="8"/>
      <c r="V705" s="8"/>
      <c r="W705" s="8"/>
      <c r="X705" s="8"/>
      <c r="Y705" s="8"/>
      <c r="Z705" s="8"/>
      <c r="AA705" s="8"/>
    </row>
    <row r="706" spans="1:27" ht="19.75">
      <c r="A706" s="8"/>
      <c r="B706" s="7"/>
      <c r="C706" s="8"/>
      <c r="D706" s="8"/>
      <c r="E706" s="11"/>
      <c r="F706" s="8"/>
      <c r="G706" s="8"/>
      <c r="H706" s="8"/>
      <c r="I706" s="8"/>
      <c r="J706" s="8"/>
      <c r="K706" s="8"/>
      <c r="L706" s="8"/>
      <c r="M706" s="8"/>
      <c r="N706" s="8"/>
      <c r="O706" s="8"/>
      <c r="P706" s="8"/>
      <c r="Q706" s="8"/>
      <c r="R706" s="8"/>
      <c r="S706" s="8"/>
      <c r="T706" s="8"/>
      <c r="U706" s="8"/>
      <c r="V706" s="8"/>
      <c r="W706" s="8"/>
      <c r="X706" s="8"/>
      <c r="Y706" s="8"/>
      <c r="Z706" s="8"/>
      <c r="AA706" s="8"/>
    </row>
    <row r="707" spans="1:27" ht="19.75">
      <c r="A707" s="8"/>
      <c r="B707" s="7"/>
      <c r="C707" s="8"/>
      <c r="D707" s="8"/>
      <c r="E707" s="11"/>
      <c r="F707" s="8"/>
      <c r="G707" s="8"/>
      <c r="H707" s="8"/>
      <c r="I707" s="8"/>
      <c r="J707" s="8"/>
      <c r="K707" s="8"/>
      <c r="L707" s="8"/>
      <c r="M707" s="8"/>
      <c r="N707" s="8"/>
      <c r="O707" s="8"/>
      <c r="P707" s="8"/>
      <c r="Q707" s="8"/>
      <c r="R707" s="8"/>
      <c r="S707" s="8"/>
      <c r="T707" s="8"/>
      <c r="U707" s="8"/>
      <c r="V707" s="8"/>
      <c r="W707" s="8"/>
      <c r="X707" s="8"/>
      <c r="Y707" s="8"/>
      <c r="Z707" s="8"/>
      <c r="AA707" s="8"/>
    </row>
    <row r="708" spans="1:27" ht="19.75">
      <c r="A708" s="8"/>
      <c r="B708" s="7"/>
      <c r="C708" s="8"/>
      <c r="D708" s="8"/>
      <c r="E708" s="11"/>
      <c r="F708" s="8"/>
      <c r="G708" s="8"/>
      <c r="H708" s="8"/>
      <c r="I708" s="8"/>
      <c r="J708" s="8"/>
      <c r="K708" s="8"/>
      <c r="L708" s="8"/>
      <c r="M708" s="8"/>
      <c r="N708" s="8"/>
      <c r="O708" s="8"/>
      <c r="P708" s="8"/>
      <c r="Q708" s="8"/>
      <c r="R708" s="8"/>
      <c r="S708" s="8"/>
      <c r="T708" s="8"/>
      <c r="U708" s="8"/>
      <c r="V708" s="8"/>
      <c r="W708" s="8"/>
      <c r="X708" s="8"/>
      <c r="Y708" s="8"/>
      <c r="Z708" s="8"/>
      <c r="AA708" s="8"/>
    </row>
    <row r="709" spans="1:27" ht="19.75">
      <c r="A709" s="8"/>
      <c r="B709" s="7"/>
      <c r="C709" s="8"/>
      <c r="D709" s="8"/>
      <c r="E709" s="11"/>
      <c r="F709" s="8"/>
      <c r="G709" s="8"/>
      <c r="H709" s="8"/>
      <c r="I709" s="8"/>
      <c r="J709" s="8"/>
      <c r="K709" s="8"/>
      <c r="L709" s="8"/>
      <c r="M709" s="8"/>
      <c r="N709" s="8"/>
      <c r="O709" s="8"/>
      <c r="P709" s="8"/>
      <c r="Q709" s="8"/>
      <c r="R709" s="8"/>
      <c r="S709" s="8"/>
      <c r="T709" s="8"/>
      <c r="U709" s="8"/>
      <c r="V709" s="8"/>
      <c r="W709" s="8"/>
      <c r="X709" s="8"/>
      <c r="Y709" s="8"/>
      <c r="Z709" s="8"/>
      <c r="AA709" s="8"/>
    </row>
    <row r="710" spans="1:27" ht="19.75">
      <c r="A710" s="8"/>
      <c r="B710" s="7"/>
      <c r="C710" s="8"/>
      <c r="D710" s="8"/>
      <c r="E710" s="11"/>
      <c r="F710" s="8"/>
      <c r="G710" s="8"/>
      <c r="H710" s="8"/>
      <c r="I710" s="8"/>
      <c r="J710" s="8"/>
      <c r="K710" s="8"/>
      <c r="L710" s="8"/>
      <c r="M710" s="8"/>
      <c r="N710" s="8"/>
      <c r="O710" s="8"/>
      <c r="P710" s="8"/>
      <c r="Q710" s="8"/>
      <c r="R710" s="8"/>
      <c r="S710" s="8"/>
      <c r="T710" s="8"/>
      <c r="U710" s="8"/>
      <c r="V710" s="8"/>
      <c r="W710" s="8"/>
      <c r="X710" s="8"/>
      <c r="Y710" s="8"/>
      <c r="Z710" s="8"/>
      <c r="AA710" s="8"/>
    </row>
    <row r="711" spans="1:27" ht="19.75">
      <c r="A711" s="8"/>
      <c r="B711" s="7"/>
      <c r="C711" s="8"/>
      <c r="D711" s="8"/>
      <c r="E711" s="11"/>
      <c r="F711" s="8"/>
      <c r="G711" s="8"/>
      <c r="H711" s="8"/>
      <c r="I711" s="8"/>
      <c r="J711" s="8"/>
      <c r="K711" s="8"/>
      <c r="L711" s="8"/>
      <c r="M711" s="8"/>
      <c r="N711" s="8"/>
      <c r="O711" s="8"/>
      <c r="P711" s="8"/>
      <c r="Q711" s="8"/>
      <c r="R711" s="8"/>
      <c r="S711" s="8"/>
      <c r="T711" s="8"/>
      <c r="U711" s="8"/>
      <c r="V711" s="8"/>
      <c r="W711" s="8"/>
      <c r="X711" s="8"/>
      <c r="Y711" s="8"/>
      <c r="Z711" s="8"/>
      <c r="AA711" s="8"/>
    </row>
    <row r="712" spans="1:27" ht="19.75">
      <c r="A712" s="8"/>
      <c r="B712" s="7"/>
      <c r="C712" s="8"/>
      <c r="D712" s="8"/>
      <c r="E712" s="11"/>
      <c r="F712" s="8"/>
      <c r="G712" s="8"/>
      <c r="H712" s="8"/>
      <c r="I712" s="8"/>
      <c r="J712" s="8"/>
      <c r="K712" s="8"/>
      <c r="L712" s="8"/>
      <c r="M712" s="8"/>
      <c r="N712" s="8"/>
      <c r="O712" s="8"/>
      <c r="P712" s="8"/>
      <c r="Q712" s="8"/>
      <c r="R712" s="8"/>
      <c r="S712" s="8"/>
      <c r="T712" s="8"/>
      <c r="U712" s="8"/>
      <c r="V712" s="8"/>
      <c r="W712" s="8"/>
      <c r="X712" s="8"/>
      <c r="Y712" s="8"/>
      <c r="Z712" s="8"/>
      <c r="AA712" s="8"/>
    </row>
    <row r="713" spans="1:27" ht="19.75">
      <c r="A713" s="8"/>
      <c r="B713" s="7"/>
      <c r="C713" s="8"/>
      <c r="D713" s="8"/>
      <c r="E713" s="11"/>
      <c r="F713" s="8"/>
      <c r="G713" s="8"/>
      <c r="H713" s="8"/>
      <c r="I713" s="8"/>
      <c r="J713" s="8"/>
      <c r="K713" s="8"/>
      <c r="L713" s="8"/>
      <c r="M713" s="8"/>
      <c r="N713" s="8"/>
      <c r="O713" s="8"/>
      <c r="P713" s="8"/>
      <c r="Q713" s="8"/>
      <c r="R713" s="8"/>
      <c r="S713" s="8"/>
      <c r="T713" s="8"/>
      <c r="U713" s="8"/>
      <c r="V713" s="8"/>
      <c r="W713" s="8"/>
      <c r="X713" s="8"/>
      <c r="Y713" s="8"/>
      <c r="Z713" s="8"/>
      <c r="AA713" s="8"/>
    </row>
    <row r="714" spans="1:27" ht="19.75">
      <c r="A714" s="8"/>
      <c r="B714" s="7"/>
      <c r="C714" s="8"/>
      <c r="D714" s="8"/>
      <c r="E714" s="11"/>
      <c r="F714" s="8"/>
      <c r="G714" s="8"/>
      <c r="H714" s="8"/>
      <c r="I714" s="8"/>
      <c r="J714" s="8"/>
      <c r="K714" s="8"/>
      <c r="L714" s="8"/>
      <c r="M714" s="8"/>
      <c r="N714" s="8"/>
      <c r="O714" s="8"/>
      <c r="P714" s="8"/>
      <c r="Q714" s="8"/>
      <c r="R714" s="8"/>
      <c r="S714" s="8"/>
      <c r="T714" s="8"/>
      <c r="U714" s="8"/>
      <c r="V714" s="8"/>
      <c r="W714" s="8"/>
      <c r="X714" s="8"/>
      <c r="Y714" s="8"/>
      <c r="Z714" s="8"/>
      <c r="AA714" s="8"/>
    </row>
    <row r="715" spans="1:27" ht="19.75">
      <c r="A715" s="8"/>
      <c r="B715" s="7"/>
      <c r="C715" s="8"/>
      <c r="D715" s="8"/>
      <c r="E715" s="11"/>
      <c r="F715" s="8"/>
      <c r="G715" s="8"/>
      <c r="H715" s="8"/>
      <c r="I715" s="8"/>
      <c r="J715" s="8"/>
      <c r="K715" s="8"/>
      <c r="L715" s="8"/>
      <c r="M715" s="8"/>
      <c r="N715" s="8"/>
      <c r="O715" s="8"/>
      <c r="P715" s="8"/>
      <c r="Q715" s="8"/>
      <c r="R715" s="8"/>
      <c r="S715" s="8"/>
      <c r="T715" s="8"/>
      <c r="U715" s="8"/>
      <c r="V715" s="8"/>
      <c r="W715" s="8"/>
      <c r="X715" s="8"/>
      <c r="Y715" s="8"/>
      <c r="Z715" s="8"/>
      <c r="AA715" s="8"/>
    </row>
    <row r="716" spans="1:27" ht="19.75">
      <c r="A716" s="8"/>
      <c r="B716" s="7"/>
      <c r="C716" s="8"/>
      <c r="D716" s="8"/>
      <c r="E716" s="11"/>
      <c r="F716" s="8"/>
      <c r="G716" s="8"/>
      <c r="H716" s="8"/>
      <c r="I716" s="8"/>
      <c r="J716" s="8"/>
      <c r="K716" s="8"/>
      <c r="L716" s="8"/>
      <c r="M716" s="8"/>
      <c r="N716" s="8"/>
      <c r="O716" s="8"/>
      <c r="P716" s="8"/>
      <c r="Q716" s="8"/>
      <c r="R716" s="8"/>
      <c r="S716" s="8"/>
      <c r="T716" s="8"/>
      <c r="U716" s="8"/>
      <c r="V716" s="8"/>
      <c r="W716" s="8"/>
      <c r="X716" s="8"/>
      <c r="Y716" s="8"/>
      <c r="Z716" s="8"/>
      <c r="AA716" s="8"/>
    </row>
    <row r="717" spans="1:27" ht="19.75">
      <c r="A717" s="8"/>
      <c r="B717" s="7"/>
      <c r="C717" s="8"/>
      <c r="D717" s="8"/>
      <c r="E717" s="11"/>
      <c r="F717" s="8"/>
      <c r="G717" s="8"/>
      <c r="H717" s="8"/>
      <c r="I717" s="8"/>
      <c r="J717" s="8"/>
      <c r="K717" s="8"/>
      <c r="L717" s="8"/>
      <c r="M717" s="8"/>
      <c r="N717" s="8"/>
      <c r="O717" s="8"/>
      <c r="P717" s="8"/>
      <c r="Q717" s="8"/>
      <c r="R717" s="8"/>
      <c r="S717" s="8"/>
      <c r="T717" s="8"/>
      <c r="U717" s="8"/>
      <c r="V717" s="8"/>
      <c r="W717" s="8"/>
      <c r="X717" s="8"/>
      <c r="Y717" s="8"/>
      <c r="Z717" s="8"/>
      <c r="AA717" s="8"/>
    </row>
    <row r="718" spans="1:27" ht="19.75">
      <c r="A718" s="8"/>
      <c r="B718" s="7"/>
      <c r="C718" s="8"/>
      <c r="D718" s="8"/>
      <c r="E718" s="11"/>
      <c r="F718" s="8"/>
      <c r="G718" s="8"/>
      <c r="H718" s="8"/>
      <c r="I718" s="8"/>
      <c r="J718" s="8"/>
      <c r="K718" s="8"/>
      <c r="L718" s="8"/>
      <c r="M718" s="8"/>
      <c r="N718" s="8"/>
      <c r="O718" s="8"/>
      <c r="P718" s="8"/>
      <c r="Q718" s="8"/>
      <c r="R718" s="8"/>
      <c r="S718" s="8"/>
      <c r="T718" s="8"/>
      <c r="U718" s="8"/>
      <c r="V718" s="8"/>
      <c r="W718" s="8"/>
      <c r="X718" s="8"/>
      <c r="Y718" s="8"/>
      <c r="Z718" s="8"/>
      <c r="AA718" s="8"/>
    </row>
    <row r="719" spans="1:27" ht="19.75">
      <c r="A719" s="8"/>
      <c r="B719" s="7"/>
      <c r="C719" s="8"/>
      <c r="D719" s="8"/>
      <c r="E719" s="11"/>
      <c r="F719" s="8"/>
      <c r="G719" s="8"/>
      <c r="H719" s="8"/>
      <c r="I719" s="8"/>
      <c r="J719" s="8"/>
      <c r="K719" s="8"/>
      <c r="L719" s="8"/>
      <c r="M719" s="8"/>
      <c r="N719" s="8"/>
      <c r="O719" s="8"/>
      <c r="P719" s="8"/>
      <c r="Q719" s="8"/>
      <c r="R719" s="8"/>
      <c r="S719" s="8"/>
      <c r="T719" s="8"/>
      <c r="U719" s="8"/>
      <c r="V719" s="8"/>
      <c r="W719" s="8"/>
      <c r="X719" s="8"/>
      <c r="Y719" s="8"/>
      <c r="Z719" s="8"/>
      <c r="AA719" s="8"/>
    </row>
    <row r="720" spans="1:27" ht="19.75">
      <c r="A720" s="8"/>
      <c r="B720" s="7"/>
      <c r="C720" s="8"/>
      <c r="D720" s="8"/>
      <c r="E720" s="11"/>
      <c r="F720" s="8"/>
      <c r="G720" s="8"/>
      <c r="H720" s="8"/>
      <c r="I720" s="8"/>
      <c r="J720" s="8"/>
      <c r="K720" s="8"/>
      <c r="L720" s="8"/>
      <c r="M720" s="8"/>
      <c r="N720" s="8"/>
      <c r="O720" s="8"/>
      <c r="P720" s="8"/>
      <c r="Q720" s="8"/>
      <c r="R720" s="8"/>
      <c r="S720" s="8"/>
      <c r="T720" s="8"/>
      <c r="U720" s="8"/>
      <c r="V720" s="8"/>
      <c r="W720" s="8"/>
      <c r="X720" s="8"/>
      <c r="Y720" s="8"/>
      <c r="Z720" s="8"/>
      <c r="AA720" s="8"/>
    </row>
    <row r="721" spans="1:27" ht="19.75">
      <c r="A721" s="8"/>
      <c r="B721" s="7"/>
      <c r="C721" s="8"/>
      <c r="D721" s="8"/>
      <c r="E721" s="11"/>
      <c r="F721" s="8"/>
      <c r="G721" s="8"/>
      <c r="H721" s="8"/>
      <c r="I721" s="8"/>
      <c r="J721" s="8"/>
      <c r="K721" s="8"/>
      <c r="L721" s="8"/>
      <c r="M721" s="8"/>
      <c r="N721" s="8"/>
      <c r="O721" s="8"/>
      <c r="P721" s="8"/>
      <c r="Q721" s="8"/>
      <c r="R721" s="8"/>
      <c r="S721" s="8"/>
      <c r="T721" s="8"/>
      <c r="U721" s="8"/>
      <c r="V721" s="8"/>
      <c r="W721" s="8"/>
      <c r="X721" s="8"/>
      <c r="Y721" s="8"/>
      <c r="Z721" s="8"/>
      <c r="AA721" s="8"/>
    </row>
    <row r="722" spans="1:27" ht="19.75">
      <c r="A722" s="8"/>
      <c r="B722" s="7"/>
      <c r="C722" s="8"/>
      <c r="D722" s="8"/>
      <c r="E722" s="11"/>
      <c r="F722" s="8"/>
      <c r="G722" s="8"/>
      <c r="H722" s="8"/>
      <c r="I722" s="8"/>
      <c r="J722" s="8"/>
      <c r="K722" s="8"/>
      <c r="L722" s="8"/>
      <c r="M722" s="8"/>
      <c r="N722" s="8"/>
      <c r="O722" s="8"/>
      <c r="P722" s="8"/>
      <c r="Q722" s="8"/>
      <c r="R722" s="8"/>
      <c r="S722" s="8"/>
      <c r="T722" s="8"/>
      <c r="U722" s="8"/>
      <c r="V722" s="8"/>
      <c r="W722" s="8"/>
      <c r="X722" s="8"/>
      <c r="Y722" s="8"/>
      <c r="Z722" s="8"/>
      <c r="AA722" s="8"/>
    </row>
    <row r="723" spans="1:27" ht="19.75">
      <c r="A723" s="8"/>
      <c r="B723" s="7"/>
      <c r="C723" s="8"/>
      <c r="D723" s="8"/>
      <c r="E723" s="11"/>
      <c r="F723" s="8"/>
      <c r="G723" s="8"/>
      <c r="H723" s="8"/>
      <c r="I723" s="8"/>
      <c r="J723" s="8"/>
      <c r="K723" s="8"/>
      <c r="L723" s="8"/>
      <c r="M723" s="8"/>
      <c r="N723" s="8"/>
      <c r="O723" s="8"/>
      <c r="P723" s="8"/>
      <c r="Q723" s="8"/>
      <c r="R723" s="8"/>
      <c r="S723" s="8"/>
      <c r="T723" s="8"/>
      <c r="U723" s="8"/>
      <c r="V723" s="8"/>
      <c r="W723" s="8"/>
      <c r="X723" s="8"/>
      <c r="Y723" s="8"/>
      <c r="Z723" s="8"/>
      <c r="AA723" s="8"/>
    </row>
    <row r="724" spans="1:27" ht="19.75">
      <c r="A724" s="8"/>
      <c r="B724" s="7"/>
      <c r="C724" s="8"/>
      <c r="D724" s="8"/>
      <c r="E724" s="11"/>
      <c r="F724" s="8"/>
      <c r="G724" s="8"/>
      <c r="H724" s="8"/>
      <c r="I724" s="8"/>
      <c r="J724" s="8"/>
      <c r="K724" s="8"/>
      <c r="L724" s="8"/>
      <c r="M724" s="8"/>
      <c r="N724" s="8"/>
      <c r="O724" s="8"/>
      <c r="P724" s="8"/>
      <c r="Q724" s="8"/>
      <c r="R724" s="8"/>
      <c r="S724" s="8"/>
      <c r="T724" s="8"/>
      <c r="U724" s="8"/>
      <c r="V724" s="8"/>
      <c r="W724" s="8"/>
      <c r="X724" s="8"/>
      <c r="Y724" s="8"/>
      <c r="Z724" s="8"/>
      <c r="AA724" s="8"/>
    </row>
    <row r="725" spans="1:27" ht="19.75">
      <c r="A725" s="8"/>
      <c r="B725" s="7"/>
      <c r="C725" s="8"/>
      <c r="D725" s="8"/>
      <c r="E725" s="11"/>
      <c r="F725" s="8"/>
      <c r="G725" s="8"/>
      <c r="H725" s="8"/>
      <c r="I725" s="8"/>
      <c r="J725" s="8"/>
      <c r="K725" s="8"/>
      <c r="L725" s="8"/>
      <c r="M725" s="8"/>
      <c r="N725" s="8"/>
      <c r="O725" s="8"/>
      <c r="P725" s="8"/>
      <c r="Q725" s="8"/>
      <c r="R725" s="8"/>
      <c r="S725" s="8"/>
      <c r="T725" s="8"/>
      <c r="U725" s="8"/>
      <c r="V725" s="8"/>
      <c r="W725" s="8"/>
      <c r="X725" s="8"/>
      <c r="Y725" s="8"/>
      <c r="Z725" s="8"/>
      <c r="AA725" s="8"/>
    </row>
    <row r="726" spans="1:27" ht="19.75">
      <c r="A726" s="8"/>
      <c r="B726" s="7"/>
      <c r="C726" s="8"/>
      <c r="D726" s="8"/>
      <c r="E726" s="11"/>
      <c r="F726" s="8"/>
      <c r="G726" s="8"/>
      <c r="H726" s="8"/>
      <c r="I726" s="8"/>
      <c r="J726" s="8"/>
      <c r="K726" s="8"/>
      <c r="L726" s="8"/>
      <c r="M726" s="8"/>
      <c r="N726" s="8"/>
      <c r="O726" s="8"/>
      <c r="P726" s="8"/>
      <c r="Q726" s="8"/>
      <c r="R726" s="8"/>
      <c r="S726" s="8"/>
      <c r="T726" s="8"/>
      <c r="U726" s="8"/>
      <c r="V726" s="8"/>
      <c r="W726" s="8"/>
      <c r="X726" s="8"/>
      <c r="Y726" s="8"/>
      <c r="Z726" s="8"/>
      <c r="AA726" s="8"/>
    </row>
    <row r="727" spans="1:27" ht="19.75">
      <c r="A727" s="8"/>
      <c r="B727" s="7"/>
      <c r="C727" s="8"/>
      <c r="D727" s="8"/>
      <c r="E727" s="11"/>
      <c r="F727" s="8"/>
      <c r="G727" s="8"/>
      <c r="H727" s="8"/>
      <c r="I727" s="8"/>
      <c r="J727" s="8"/>
      <c r="K727" s="8"/>
      <c r="L727" s="8"/>
      <c r="M727" s="8"/>
      <c r="N727" s="8"/>
      <c r="O727" s="8"/>
      <c r="P727" s="8"/>
      <c r="Q727" s="8"/>
      <c r="R727" s="8"/>
      <c r="S727" s="8"/>
      <c r="T727" s="8"/>
      <c r="U727" s="8"/>
      <c r="V727" s="8"/>
      <c r="W727" s="8"/>
      <c r="X727" s="8"/>
      <c r="Y727" s="8"/>
      <c r="Z727" s="8"/>
      <c r="AA727" s="8"/>
    </row>
    <row r="728" spans="1:27" ht="19.75">
      <c r="A728" s="8"/>
      <c r="B728" s="7"/>
      <c r="C728" s="8"/>
      <c r="D728" s="8"/>
      <c r="E728" s="11"/>
      <c r="F728" s="8"/>
      <c r="G728" s="8"/>
      <c r="H728" s="8"/>
      <c r="I728" s="8"/>
      <c r="J728" s="8"/>
      <c r="K728" s="8"/>
      <c r="L728" s="8"/>
      <c r="M728" s="8"/>
      <c r="N728" s="8"/>
      <c r="O728" s="8"/>
      <c r="P728" s="8"/>
      <c r="Q728" s="8"/>
      <c r="R728" s="8"/>
      <c r="S728" s="8"/>
      <c r="T728" s="8"/>
      <c r="U728" s="8"/>
      <c r="V728" s="8"/>
      <c r="W728" s="8"/>
      <c r="X728" s="8"/>
      <c r="Y728" s="8"/>
      <c r="Z728" s="8"/>
      <c r="AA728" s="8"/>
    </row>
    <row r="729" spans="1:27" ht="19.75">
      <c r="A729" s="8"/>
      <c r="B729" s="7"/>
      <c r="C729" s="8"/>
      <c r="D729" s="8"/>
      <c r="E729" s="11"/>
      <c r="F729" s="8"/>
      <c r="G729" s="8"/>
      <c r="H729" s="8"/>
      <c r="I729" s="8"/>
      <c r="J729" s="8"/>
      <c r="K729" s="8"/>
      <c r="L729" s="8"/>
      <c r="M729" s="8"/>
      <c r="N729" s="8"/>
      <c r="O729" s="8"/>
      <c r="P729" s="8"/>
      <c r="Q729" s="8"/>
      <c r="R729" s="8"/>
      <c r="S729" s="8"/>
      <c r="T729" s="8"/>
      <c r="U729" s="8"/>
      <c r="V729" s="8"/>
      <c r="W729" s="8"/>
      <c r="X729" s="8"/>
      <c r="Y729" s="8"/>
      <c r="Z729" s="8"/>
      <c r="AA729" s="8"/>
    </row>
    <row r="730" spans="1:27" ht="19.75">
      <c r="A730" s="8"/>
      <c r="B730" s="7"/>
      <c r="C730" s="8"/>
      <c r="D730" s="8"/>
      <c r="E730" s="11"/>
      <c r="F730" s="8"/>
      <c r="G730" s="8"/>
      <c r="H730" s="8"/>
      <c r="I730" s="8"/>
      <c r="J730" s="8"/>
      <c r="K730" s="8"/>
      <c r="L730" s="8"/>
      <c r="M730" s="8"/>
      <c r="N730" s="8"/>
      <c r="O730" s="8"/>
      <c r="P730" s="8"/>
      <c r="Q730" s="8"/>
      <c r="R730" s="8"/>
      <c r="S730" s="8"/>
      <c r="T730" s="8"/>
      <c r="U730" s="8"/>
      <c r="V730" s="8"/>
      <c r="W730" s="8"/>
      <c r="X730" s="8"/>
      <c r="Y730" s="8"/>
      <c r="Z730" s="8"/>
      <c r="AA730" s="8"/>
    </row>
    <row r="731" spans="1:27" ht="19.75">
      <c r="A731" s="8"/>
      <c r="B731" s="7"/>
      <c r="C731" s="8"/>
      <c r="D731" s="8"/>
      <c r="E731" s="11"/>
      <c r="F731" s="8"/>
      <c r="G731" s="8"/>
      <c r="H731" s="8"/>
      <c r="I731" s="8"/>
      <c r="J731" s="8"/>
      <c r="K731" s="8"/>
      <c r="L731" s="8"/>
      <c r="M731" s="8"/>
      <c r="N731" s="8"/>
      <c r="O731" s="8"/>
      <c r="P731" s="8"/>
      <c r="Q731" s="8"/>
      <c r="R731" s="8"/>
      <c r="S731" s="8"/>
      <c r="T731" s="8"/>
      <c r="U731" s="8"/>
      <c r="V731" s="8"/>
      <c r="W731" s="8"/>
      <c r="X731" s="8"/>
      <c r="Y731" s="8"/>
      <c r="Z731" s="8"/>
      <c r="AA731" s="8"/>
    </row>
    <row r="732" spans="1:27" ht="19.75">
      <c r="A732" s="8"/>
      <c r="B732" s="7"/>
      <c r="C732" s="8"/>
      <c r="D732" s="8"/>
      <c r="E732" s="11"/>
      <c r="F732" s="8"/>
      <c r="G732" s="8"/>
      <c r="H732" s="8"/>
      <c r="I732" s="8"/>
      <c r="J732" s="8"/>
      <c r="K732" s="8"/>
      <c r="L732" s="8"/>
      <c r="M732" s="8"/>
      <c r="N732" s="8"/>
      <c r="O732" s="8"/>
      <c r="P732" s="8"/>
      <c r="Q732" s="8"/>
      <c r="R732" s="8"/>
      <c r="S732" s="8"/>
      <c r="T732" s="8"/>
      <c r="U732" s="8"/>
      <c r="V732" s="8"/>
      <c r="W732" s="8"/>
      <c r="X732" s="8"/>
      <c r="Y732" s="8"/>
      <c r="Z732" s="8"/>
      <c r="AA732" s="8"/>
    </row>
    <row r="733" spans="1:27" ht="19.75">
      <c r="A733" s="8"/>
      <c r="B733" s="7"/>
      <c r="C733" s="8"/>
      <c r="D733" s="8"/>
      <c r="E733" s="11"/>
      <c r="F733" s="8"/>
      <c r="G733" s="8"/>
      <c r="H733" s="8"/>
      <c r="I733" s="8"/>
      <c r="J733" s="8"/>
      <c r="K733" s="8"/>
      <c r="L733" s="8"/>
      <c r="M733" s="8"/>
      <c r="N733" s="8"/>
      <c r="O733" s="8"/>
      <c r="P733" s="8"/>
      <c r="Q733" s="8"/>
      <c r="R733" s="8"/>
      <c r="S733" s="8"/>
      <c r="T733" s="8"/>
      <c r="U733" s="8"/>
      <c r="V733" s="8"/>
      <c r="W733" s="8"/>
      <c r="X733" s="8"/>
      <c r="Y733" s="8"/>
      <c r="Z733" s="8"/>
      <c r="AA733" s="8"/>
    </row>
    <row r="734" spans="1:27" ht="19.75">
      <c r="A734" s="8"/>
      <c r="B734" s="7"/>
      <c r="C734" s="8"/>
      <c r="D734" s="8"/>
      <c r="E734" s="11"/>
      <c r="F734" s="8"/>
      <c r="G734" s="8"/>
      <c r="H734" s="8"/>
      <c r="I734" s="8"/>
      <c r="J734" s="8"/>
      <c r="K734" s="8"/>
      <c r="L734" s="8"/>
      <c r="M734" s="8"/>
      <c r="N734" s="8"/>
      <c r="O734" s="8"/>
      <c r="P734" s="8"/>
      <c r="Q734" s="8"/>
      <c r="R734" s="8"/>
      <c r="S734" s="8"/>
      <c r="T734" s="8"/>
      <c r="U734" s="8"/>
      <c r="V734" s="8"/>
      <c r="W734" s="8"/>
      <c r="X734" s="8"/>
      <c r="Y734" s="8"/>
      <c r="Z734" s="8"/>
      <c r="AA734" s="8"/>
    </row>
    <row r="735" spans="1:27" ht="19.75">
      <c r="A735" s="8"/>
      <c r="B735" s="7"/>
      <c r="C735" s="8"/>
      <c r="D735" s="8"/>
      <c r="E735" s="11"/>
      <c r="F735" s="8"/>
      <c r="G735" s="8"/>
      <c r="H735" s="8"/>
      <c r="I735" s="8"/>
      <c r="J735" s="8"/>
      <c r="K735" s="8"/>
      <c r="L735" s="8"/>
      <c r="M735" s="8"/>
      <c r="N735" s="8"/>
      <c r="O735" s="8"/>
      <c r="P735" s="8"/>
      <c r="Q735" s="8"/>
      <c r="R735" s="8"/>
      <c r="S735" s="8"/>
      <c r="T735" s="8"/>
      <c r="U735" s="8"/>
      <c r="V735" s="8"/>
      <c r="W735" s="8"/>
      <c r="X735" s="8"/>
      <c r="Y735" s="8"/>
      <c r="Z735" s="8"/>
      <c r="AA735" s="8"/>
    </row>
    <row r="736" spans="1:27" ht="19.75">
      <c r="A736" s="8"/>
      <c r="B736" s="7"/>
      <c r="C736" s="8"/>
      <c r="D736" s="8"/>
      <c r="E736" s="11"/>
      <c r="F736" s="8"/>
      <c r="G736" s="8"/>
      <c r="H736" s="8"/>
      <c r="I736" s="8"/>
      <c r="J736" s="8"/>
      <c r="K736" s="8"/>
      <c r="L736" s="8"/>
      <c r="M736" s="8"/>
      <c r="N736" s="8"/>
      <c r="O736" s="8"/>
      <c r="P736" s="8"/>
      <c r="Q736" s="8"/>
      <c r="R736" s="8"/>
      <c r="S736" s="8"/>
      <c r="T736" s="8"/>
      <c r="U736" s="8"/>
      <c r="V736" s="8"/>
      <c r="W736" s="8"/>
      <c r="X736" s="8"/>
      <c r="Y736" s="8"/>
      <c r="Z736" s="8"/>
      <c r="AA736" s="8"/>
    </row>
    <row r="737" spans="1:27" ht="19.75">
      <c r="A737" s="8"/>
      <c r="B737" s="7"/>
      <c r="C737" s="8"/>
      <c r="D737" s="8"/>
      <c r="E737" s="11"/>
      <c r="F737" s="8"/>
      <c r="G737" s="8"/>
      <c r="H737" s="8"/>
      <c r="I737" s="8"/>
      <c r="J737" s="8"/>
      <c r="K737" s="8"/>
      <c r="L737" s="8"/>
      <c r="M737" s="8"/>
      <c r="N737" s="8"/>
      <c r="O737" s="8"/>
      <c r="P737" s="8"/>
      <c r="Q737" s="8"/>
      <c r="R737" s="8"/>
      <c r="S737" s="8"/>
      <c r="T737" s="8"/>
      <c r="U737" s="8"/>
      <c r="V737" s="8"/>
      <c r="W737" s="8"/>
      <c r="X737" s="8"/>
      <c r="Y737" s="8"/>
      <c r="Z737" s="8"/>
      <c r="AA737" s="8"/>
    </row>
    <row r="738" spans="1:27" ht="19.75">
      <c r="A738" s="8"/>
      <c r="B738" s="7"/>
      <c r="C738" s="8"/>
      <c r="D738" s="8"/>
      <c r="E738" s="11"/>
      <c r="F738" s="8"/>
      <c r="G738" s="8"/>
      <c r="H738" s="8"/>
      <c r="I738" s="8"/>
      <c r="J738" s="8"/>
      <c r="K738" s="8"/>
      <c r="L738" s="8"/>
      <c r="M738" s="8"/>
      <c r="N738" s="8"/>
      <c r="O738" s="8"/>
      <c r="P738" s="8"/>
      <c r="Q738" s="8"/>
      <c r="R738" s="8"/>
      <c r="S738" s="8"/>
      <c r="T738" s="8"/>
      <c r="U738" s="8"/>
      <c r="V738" s="8"/>
      <c r="W738" s="8"/>
      <c r="X738" s="8"/>
      <c r="Y738" s="8"/>
      <c r="Z738" s="8"/>
      <c r="AA738" s="8"/>
    </row>
    <row r="739" spans="1:27" ht="19.75">
      <c r="A739" s="8"/>
      <c r="B739" s="7"/>
      <c r="C739" s="8"/>
      <c r="D739" s="8"/>
      <c r="E739" s="11"/>
      <c r="F739" s="8"/>
      <c r="G739" s="8"/>
      <c r="H739" s="8"/>
      <c r="I739" s="8"/>
      <c r="J739" s="8"/>
      <c r="K739" s="8"/>
      <c r="L739" s="8"/>
      <c r="M739" s="8"/>
      <c r="N739" s="8"/>
      <c r="O739" s="8"/>
      <c r="P739" s="8"/>
      <c r="Q739" s="8"/>
      <c r="R739" s="8"/>
      <c r="S739" s="8"/>
      <c r="T739" s="8"/>
      <c r="U739" s="8"/>
      <c r="V739" s="8"/>
      <c r="W739" s="8"/>
      <c r="X739" s="8"/>
      <c r="Y739" s="8"/>
      <c r="Z739" s="8"/>
      <c r="AA739" s="8"/>
    </row>
    <row r="740" spans="1:27" ht="19.75">
      <c r="A740" s="8"/>
      <c r="B740" s="7"/>
      <c r="C740" s="8"/>
      <c r="D740" s="8"/>
      <c r="E740" s="11"/>
      <c r="F740" s="8"/>
      <c r="G740" s="8"/>
      <c r="H740" s="8"/>
      <c r="I740" s="8"/>
      <c r="J740" s="8"/>
      <c r="K740" s="8"/>
      <c r="L740" s="8"/>
      <c r="M740" s="8"/>
      <c r="N740" s="8"/>
      <c r="O740" s="8"/>
      <c r="P740" s="8"/>
      <c r="Q740" s="8"/>
      <c r="R740" s="8"/>
      <c r="S740" s="8"/>
      <c r="T740" s="8"/>
      <c r="U740" s="8"/>
      <c r="V740" s="8"/>
      <c r="W740" s="8"/>
      <c r="X740" s="8"/>
      <c r="Y740" s="8"/>
      <c r="Z740" s="8"/>
      <c r="AA740" s="8"/>
    </row>
    <row r="741" spans="1:27" ht="19.75">
      <c r="A741" s="8"/>
      <c r="B741" s="7"/>
      <c r="C741" s="8"/>
      <c r="D741" s="8"/>
      <c r="E741" s="11"/>
      <c r="F741" s="8"/>
      <c r="G741" s="8"/>
      <c r="H741" s="8"/>
      <c r="I741" s="8"/>
      <c r="J741" s="8"/>
      <c r="K741" s="8"/>
      <c r="L741" s="8"/>
      <c r="M741" s="8"/>
      <c r="N741" s="8"/>
      <c r="O741" s="8"/>
      <c r="P741" s="8"/>
      <c r="Q741" s="8"/>
      <c r="R741" s="8"/>
      <c r="S741" s="8"/>
      <c r="T741" s="8"/>
      <c r="U741" s="8"/>
      <c r="V741" s="8"/>
      <c r="W741" s="8"/>
      <c r="X741" s="8"/>
      <c r="Y741" s="8"/>
      <c r="Z741" s="8"/>
      <c r="AA741" s="8"/>
    </row>
    <row r="742" spans="1:27" ht="19.75">
      <c r="A742" s="8"/>
      <c r="B742" s="7"/>
      <c r="C742" s="8"/>
      <c r="D742" s="8"/>
      <c r="E742" s="11"/>
      <c r="F742" s="8"/>
      <c r="G742" s="8"/>
      <c r="H742" s="8"/>
      <c r="I742" s="8"/>
      <c r="J742" s="8"/>
      <c r="K742" s="8"/>
      <c r="L742" s="8"/>
      <c r="M742" s="8"/>
      <c r="N742" s="8"/>
      <c r="O742" s="8"/>
      <c r="P742" s="8"/>
      <c r="Q742" s="8"/>
      <c r="R742" s="8"/>
      <c r="S742" s="8"/>
      <c r="T742" s="8"/>
      <c r="U742" s="8"/>
      <c r="V742" s="8"/>
      <c r="W742" s="8"/>
      <c r="X742" s="8"/>
      <c r="Y742" s="8"/>
      <c r="Z742" s="8"/>
      <c r="AA742" s="8"/>
    </row>
    <row r="743" spans="1:27" ht="19.75">
      <c r="A743" s="8"/>
      <c r="B743" s="7"/>
      <c r="C743" s="8"/>
      <c r="D743" s="8"/>
      <c r="E743" s="11"/>
      <c r="F743" s="8"/>
      <c r="G743" s="8"/>
      <c r="H743" s="8"/>
      <c r="I743" s="8"/>
      <c r="J743" s="8"/>
      <c r="K743" s="8"/>
      <c r="L743" s="8"/>
      <c r="M743" s="8"/>
      <c r="N743" s="8"/>
      <c r="O743" s="8"/>
      <c r="P743" s="8"/>
      <c r="Q743" s="8"/>
      <c r="R743" s="8"/>
      <c r="S743" s="8"/>
      <c r="T743" s="8"/>
      <c r="U743" s="8"/>
      <c r="V743" s="8"/>
      <c r="W743" s="8"/>
      <c r="X743" s="8"/>
      <c r="Y743" s="8"/>
      <c r="Z743" s="8"/>
      <c r="AA743" s="8"/>
    </row>
    <row r="744" spans="1:27" ht="19.75">
      <c r="A744" s="8"/>
      <c r="B744" s="7"/>
      <c r="C744" s="8"/>
      <c r="D744" s="8"/>
      <c r="E744" s="11"/>
      <c r="F744" s="8"/>
      <c r="G744" s="8"/>
      <c r="H744" s="8"/>
      <c r="I744" s="8"/>
      <c r="J744" s="8"/>
      <c r="K744" s="8"/>
      <c r="L744" s="8"/>
      <c r="M744" s="8"/>
      <c r="N744" s="8"/>
      <c r="O744" s="8"/>
      <c r="P744" s="8"/>
      <c r="Q744" s="8"/>
      <c r="R744" s="8"/>
      <c r="S744" s="8"/>
      <c r="T744" s="8"/>
      <c r="U744" s="8"/>
      <c r="V744" s="8"/>
      <c r="W744" s="8"/>
      <c r="X744" s="8"/>
      <c r="Y744" s="8"/>
      <c r="Z744" s="8"/>
      <c r="AA744" s="8"/>
    </row>
    <row r="745" spans="1:27" ht="19.75">
      <c r="A745" s="8"/>
      <c r="B745" s="7"/>
      <c r="C745" s="8"/>
      <c r="D745" s="8"/>
      <c r="E745" s="11"/>
      <c r="F745" s="8"/>
      <c r="G745" s="8"/>
      <c r="H745" s="8"/>
      <c r="I745" s="8"/>
      <c r="J745" s="8"/>
      <c r="K745" s="8"/>
      <c r="L745" s="8"/>
      <c r="M745" s="8"/>
      <c r="N745" s="8"/>
      <c r="O745" s="8"/>
      <c r="P745" s="8"/>
      <c r="Q745" s="8"/>
      <c r="R745" s="8"/>
      <c r="S745" s="8"/>
      <c r="T745" s="8"/>
      <c r="U745" s="8"/>
      <c r="V745" s="8"/>
      <c r="W745" s="8"/>
      <c r="X745" s="8"/>
      <c r="Y745" s="8"/>
      <c r="Z745" s="8"/>
      <c r="AA745" s="8"/>
    </row>
    <row r="746" spans="1:27" ht="19.75">
      <c r="A746" s="8"/>
      <c r="B746" s="7"/>
      <c r="C746" s="8"/>
      <c r="D746" s="8"/>
      <c r="E746" s="11"/>
      <c r="F746" s="8"/>
      <c r="G746" s="8"/>
      <c r="H746" s="8"/>
      <c r="I746" s="8"/>
      <c r="J746" s="8"/>
      <c r="K746" s="8"/>
      <c r="L746" s="8"/>
      <c r="M746" s="8"/>
      <c r="N746" s="8"/>
      <c r="O746" s="8"/>
      <c r="P746" s="8"/>
      <c r="Q746" s="8"/>
      <c r="R746" s="8"/>
      <c r="S746" s="8"/>
      <c r="T746" s="8"/>
      <c r="U746" s="8"/>
      <c r="V746" s="8"/>
      <c r="W746" s="8"/>
      <c r="X746" s="8"/>
      <c r="Y746" s="8"/>
      <c r="Z746" s="8"/>
      <c r="AA746" s="8"/>
    </row>
    <row r="747" spans="1:27" ht="19.75">
      <c r="A747" s="8"/>
      <c r="B747" s="7"/>
      <c r="C747" s="8"/>
      <c r="D747" s="8"/>
      <c r="E747" s="11"/>
      <c r="F747" s="8"/>
      <c r="G747" s="8"/>
      <c r="H747" s="8"/>
      <c r="I747" s="8"/>
      <c r="J747" s="8"/>
      <c r="K747" s="8"/>
      <c r="L747" s="8"/>
      <c r="M747" s="8"/>
      <c r="N747" s="8"/>
      <c r="O747" s="8"/>
      <c r="P747" s="8"/>
      <c r="Q747" s="8"/>
      <c r="R747" s="8"/>
      <c r="S747" s="8"/>
      <c r="T747" s="8"/>
      <c r="U747" s="8"/>
      <c r="V747" s="8"/>
      <c r="W747" s="8"/>
      <c r="X747" s="8"/>
      <c r="Y747" s="8"/>
      <c r="Z747" s="8"/>
      <c r="AA747" s="8"/>
    </row>
    <row r="748" spans="1:27" ht="19.75">
      <c r="A748" s="8"/>
      <c r="B748" s="7"/>
      <c r="C748" s="8"/>
      <c r="D748" s="8"/>
      <c r="E748" s="11"/>
      <c r="F748" s="8"/>
      <c r="G748" s="8"/>
      <c r="H748" s="8"/>
      <c r="I748" s="8"/>
      <c r="J748" s="8"/>
      <c r="K748" s="8"/>
      <c r="L748" s="8"/>
      <c r="M748" s="8"/>
      <c r="N748" s="8"/>
      <c r="O748" s="8"/>
      <c r="P748" s="8"/>
      <c r="Q748" s="8"/>
      <c r="R748" s="8"/>
      <c r="S748" s="8"/>
      <c r="T748" s="8"/>
      <c r="U748" s="8"/>
      <c r="V748" s="8"/>
      <c r="W748" s="8"/>
      <c r="X748" s="8"/>
      <c r="Y748" s="8"/>
      <c r="Z748" s="8"/>
      <c r="AA748" s="8"/>
    </row>
    <row r="749" spans="1:27" ht="19.75">
      <c r="A749" s="8"/>
      <c r="B749" s="7"/>
      <c r="C749" s="8"/>
      <c r="D749" s="8"/>
      <c r="E749" s="11"/>
      <c r="F749" s="8"/>
      <c r="G749" s="8"/>
      <c r="H749" s="8"/>
      <c r="I749" s="8"/>
      <c r="J749" s="8"/>
      <c r="K749" s="8"/>
      <c r="L749" s="8"/>
      <c r="M749" s="8"/>
      <c r="N749" s="8"/>
      <c r="O749" s="8"/>
      <c r="P749" s="8"/>
      <c r="Q749" s="8"/>
      <c r="R749" s="8"/>
      <c r="S749" s="8"/>
      <c r="T749" s="8"/>
      <c r="U749" s="8"/>
      <c r="V749" s="8"/>
      <c r="W749" s="8"/>
      <c r="X749" s="8"/>
      <c r="Y749" s="8"/>
      <c r="Z749" s="8"/>
      <c r="AA749" s="8"/>
    </row>
    <row r="750" spans="1:27" ht="19.75">
      <c r="A750" s="8"/>
      <c r="B750" s="7"/>
      <c r="C750" s="8"/>
      <c r="D750" s="8"/>
      <c r="E750" s="11"/>
      <c r="F750" s="8"/>
      <c r="G750" s="8"/>
      <c r="H750" s="8"/>
      <c r="I750" s="8"/>
      <c r="J750" s="8"/>
      <c r="K750" s="8"/>
      <c r="L750" s="8"/>
      <c r="M750" s="8"/>
      <c r="N750" s="8"/>
      <c r="O750" s="8"/>
      <c r="P750" s="8"/>
      <c r="Q750" s="8"/>
      <c r="R750" s="8"/>
      <c r="S750" s="8"/>
      <c r="T750" s="8"/>
      <c r="U750" s="8"/>
      <c r="V750" s="8"/>
      <c r="W750" s="8"/>
      <c r="X750" s="8"/>
      <c r="Y750" s="8"/>
      <c r="Z750" s="8"/>
      <c r="AA750" s="8"/>
    </row>
    <row r="751" spans="1:27" ht="19.75">
      <c r="A751" s="8"/>
      <c r="B751" s="7"/>
      <c r="C751" s="8"/>
      <c r="D751" s="8"/>
      <c r="E751" s="11"/>
      <c r="F751" s="8"/>
      <c r="G751" s="8"/>
      <c r="H751" s="8"/>
      <c r="I751" s="8"/>
      <c r="J751" s="8"/>
      <c r="K751" s="8"/>
      <c r="L751" s="8"/>
      <c r="M751" s="8"/>
      <c r="N751" s="8"/>
      <c r="O751" s="8"/>
      <c r="P751" s="8"/>
      <c r="Q751" s="8"/>
      <c r="R751" s="8"/>
      <c r="S751" s="8"/>
      <c r="T751" s="8"/>
      <c r="U751" s="8"/>
      <c r="V751" s="8"/>
      <c r="W751" s="8"/>
      <c r="X751" s="8"/>
      <c r="Y751" s="8"/>
      <c r="Z751" s="8"/>
      <c r="AA751" s="8"/>
    </row>
    <row r="752" spans="1:27" ht="19.75">
      <c r="A752" s="8"/>
      <c r="B752" s="7"/>
      <c r="C752" s="8"/>
      <c r="D752" s="8"/>
      <c r="E752" s="11"/>
      <c r="F752" s="8"/>
      <c r="G752" s="8"/>
      <c r="H752" s="8"/>
      <c r="I752" s="8"/>
      <c r="J752" s="8"/>
      <c r="K752" s="8"/>
      <c r="L752" s="8"/>
      <c r="M752" s="8"/>
      <c r="N752" s="8"/>
      <c r="O752" s="8"/>
      <c r="P752" s="8"/>
      <c r="Q752" s="8"/>
      <c r="R752" s="8"/>
      <c r="S752" s="8"/>
      <c r="T752" s="8"/>
      <c r="U752" s="8"/>
      <c r="V752" s="8"/>
      <c r="W752" s="8"/>
      <c r="X752" s="8"/>
      <c r="Y752" s="8"/>
      <c r="Z752" s="8"/>
      <c r="AA752" s="8"/>
    </row>
    <row r="753" spans="1:27" ht="19.75">
      <c r="A753" s="8"/>
      <c r="B753" s="7"/>
      <c r="C753" s="8"/>
      <c r="D753" s="8"/>
      <c r="E753" s="11"/>
      <c r="F753" s="8"/>
      <c r="G753" s="8"/>
      <c r="H753" s="8"/>
      <c r="I753" s="8"/>
      <c r="J753" s="8"/>
      <c r="K753" s="8"/>
      <c r="L753" s="8"/>
      <c r="M753" s="8"/>
      <c r="N753" s="8"/>
      <c r="O753" s="8"/>
      <c r="P753" s="8"/>
      <c r="Q753" s="8"/>
      <c r="R753" s="8"/>
      <c r="S753" s="8"/>
      <c r="T753" s="8"/>
      <c r="U753" s="8"/>
      <c r="V753" s="8"/>
      <c r="W753" s="8"/>
      <c r="X753" s="8"/>
      <c r="Y753" s="8"/>
      <c r="Z753" s="8"/>
      <c r="AA753" s="8"/>
    </row>
    <row r="754" spans="1:27" ht="19.75">
      <c r="A754" s="8"/>
      <c r="B754" s="7"/>
      <c r="C754" s="8"/>
      <c r="D754" s="8"/>
      <c r="E754" s="11"/>
      <c r="F754" s="8"/>
      <c r="G754" s="8"/>
      <c r="H754" s="8"/>
      <c r="I754" s="8"/>
      <c r="J754" s="8"/>
      <c r="K754" s="8"/>
      <c r="L754" s="8"/>
      <c r="M754" s="8"/>
      <c r="N754" s="8"/>
      <c r="O754" s="8"/>
      <c r="P754" s="8"/>
      <c r="Q754" s="8"/>
      <c r="R754" s="8"/>
      <c r="S754" s="8"/>
      <c r="T754" s="8"/>
      <c r="U754" s="8"/>
      <c r="V754" s="8"/>
      <c r="W754" s="8"/>
      <c r="X754" s="8"/>
      <c r="Y754" s="8"/>
      <c r="Z754" s="8"/>
      <c r="AA754" s="8"/>
    </row>
    <row r="755" spans="1:27" ht="19.75">
      <c r="A755" s="8"/>
      <c r="B755" s="7"/>
      <c r="C755" s="8"/>
      <c r="D755" s="8"/>
      <c r="E755" s="11"/>
      <c r="F755" s="8"/>
      <c r="G755" s="8"/>
      <c r="H755" s="8"/>
      <c r="I755" s="8"/>
      <c r="J755" s="8"/>
      <c r="K755" s="8"/>
      <c r="L755" s="8"/>
      <c r="M755" s="8"/>
      <c r="N755" s="8"/>
      <c r="O755" s="8"/>
      <c r="P755" s="8"/>
      <c r="Q755" s="8"/>
      <c r="R755" s="8"/>
      <c r="S755" s="8"/>
      <c r="T755" s="8"/>
      <c r="U755" s="8"/>
      <c r="V755" s="8"/>
      <c r="W755" s="8"/>
      <c r="X755" s="8"/>
      <c r="Y755" s="8"/>
      <c r="Z755" s="8"/>
      <c r="AA755" s="8"/>
    </row>
    <row r="756" spans="1:27" ht="19.75">
      <c r="A756" s="8"/>
      <c r="B756" s="7"/>
      <c r="C756" s="8"/>
      <c r="D756" s="8"/>
      <c r="E756" s="11"/>
      <c r="F756" s="8"/>
      <c r="G756" s="8"/>
      <c r="H756" s="8"/>
      <c r="I756" s="8"/>
      <c r="J756" s="8"/>
      <c r="K756" s="8"/>
      <c r="L756" s="8"/>
      <c r="M756" s="8"/>
      <c r="N756" s="8"/>
      <c r="O756" s="8"/>
      <c r="P756" s="8"/>
      <c r="Q756" s="8"/>
      <c r="R756" s="8"/>
      <c r="S756" s="8"/>
      <c r="T756" s="8"/>
      <c r="U756" s="8"/>
      <c r="V756" s="8"/>
      <c r="W756" s="8"/>
      <c r="X756" s="8"/>
      <c r="Y756" s="8"/>
      <c r="Z756" s="8"/>
      <c r="AA756" s="8"/>
    </row>
    <row r="757" spans="1:27" ht="19.75">
      <c r="A757" s="8"/>
      <c r="B757" s="7"/>
      <c r="C757" s="8"/>
      <c r="D757" s="8"/>
      <c r="E757" s="11"/>
      <c r="F757" s="8"/>
      <c r="G757" s="8"/>
      <c r="H757" s="8"/>
      <c r="I757" s="8"/>
      <c r="J757" s="8"/>
      <c r="K757" s="8"/>
      <c r="L757" s="8"/>
      <c r="M757" s="8"/>
      <c r="N757" s="8"/>
      <c r="O757" s="8"/>
      <c r="P757" s="8"/>
      <c r="Q757" s="8"/>
      <c r="R757" s="8"/>
      <c r="S757" s="8"/>
      <c r="T757" s="8"/>
      <c r="U757" s="8"/>
      <c r="V757" s="8"/>
      <c r="W757" s="8"/>
      <c r="X757" s="8"/>
      <c r="Y757" s="8"/>
      <c r="Z757" s="8"/>
      <c r="AA757" s="8"/>
    </row>
    <row r="758" spans="1:27" ht="19.75">
      <c r="A758" s="8"/>
      <c r="B758" s="7"/>
      <c r="C758" s="8"/>
      <c r="D758" s="8"/>
      <c r="E758" s="11"/>
      <c r="F758" s="8"/>
      <c r="G758" s="8"/>
      <c r="H758" s="8"/>
      <c r="I758" s="8"/>
      <c r="J758" s="8"/>
      <c r="K758" s="8"/>
      <c r="L758" s="8"/>
      <c r="M758" s="8"/>
      <c r="N758" s="8"/>
      <c r="O758" s="8"/>
      <c r="P758" s="8"/>
      <c r="Q758" s="8"/>
      <c r="R758" s="8"/>
      <c r="S758" s="8"/>
      <c r="T758" s="8"/>
      <c r="U758" s="8"/>
      <c r="V758" s="8"/>
      <c r="W758" s="8"/>
      <c r="X758" s="8"/>
      <c r="Y758" s="8"/>
      <c r="Z758" s="8"/>
      <c r="AA758" s="8"/>
    </row>
    <row r="759" spans="1:27" ht="19.75">
      <c r="A759" s="8"/>
      <c r="B759" s="7"/>
      <c r="C759" s="8"/>
      <c r="D759" s="8"/>
      <c r="E759" s="11"/>
      <c r="F759" s="8"/>
      <c r="G759" s="8"/>
      <c r="H759" s="8"/>
      <c r="I759" s="8"/>
      <c r="J759" s="8"/>
      <c r="K759" s="8"/>
      <c r="L759" s="8"/>
      <c r="M759" s="8"/>
      <c r="N759" s="8"/>
      <c r="O759" s="8"/>
      <c r="P759" s="8"/>
      <c r="Q759" s="8"/>
      <c r="R759" s="8"/>
      <c r="S759" s="8"/>
      <c r="T759" s="8"/>
      <c r="U759" s="8"/>
      <c r="V759" s="8"/>
      <c r="W759" s="8"/>
      <c r="X759" s="8"/>
      <c r="Y759" s="8"/>
      <c r="Z759" s="8"/>
      <c r="AA759" s="8"/>
    </row>
    <row r="760" spans="1:27" ht="19.75">
      <c r="A760" s="8"/>
      <c r="B760" s="7"/>
      <c r="C760" s="8"/>
      <c r="D760" s="8"/>
      <c r="E760" s="11"/>
      <c r="F760" s="8"/>
      <c r="G760" s="8"/>
      <c r="H760" s="8"/>
      <c r="I760" s="8"/>
      <c r="J760" s="8"/>
      <c r="K760" s="8"/>
      <c r="L760" s="8"/>
      <c r="M760" s="8"/>
      <c r="N760" s="8"/>
      <c r="O760" s="8"/>
      <c r="P760" s="8"/>
      <c r="Q760" s="8"/>
      <c r="R760" s="8"/>
      <c r="S760" s="8"/>
      <c r="T760" s="8"/>
      <c r="U760" s="8"/>
      <c r="V760" s="8"/>
      <c r="W760" s="8"/>
      <c r="X760" s="8"/>
      <c r="Y760" s="8"/>
      <c r="Z760" s="8"/>
      <c r="AA760" s="8"/>
    </row>
    <row r="761" spans="1:27" ht="19.75">
      <c r="A761" s="8"/>
      <c r="B761" s="7"/>
      <c r="C761" s="8"/>
      <c r="D761" s="8"/>
      <c r="E761" s="11"/>
      <c r="F761" s="8"/>
      <c r="G761" s="8"/>
      <c r="H761" s="8"/>
      <c r="I761" s="8"/>
      <c r="J761" s="8"/>
      <c r="K761" s="8"/>
      <c r="L761" s="8"/>
      <c r="M761" s="8"/>
      <c r="N761" s="8"/>
      <c r="O761" s="8"/>
      <c r="P761" s="8"/>
      <c r="Q761" s="8"/>
      <c r="R761" s="8"/>
      <c r="S761" s="8"/>
      <c r="T761" s="8"/>
      <c r="U761" s="8"/>
      <c r="V761" s="8"/>
      <c r="W761" s="8"/>
      <c r="X761" s="8"/>
      <c r="Y761" s="8"/>
      <c r="Z761" s="8"/>
      <c r="AA761" s="8"/>
    </row>
    <row r="762" spans="1:27" ht="19.75">
      <c r="A762" s="8"/>
      <c r="B762" s="7"/>
      <c r="C762" s="8"/>
      <c r="D762" s="8"/>
      <c r="E762" s="11"/>
      <c r="F762" s="8"/>
      <c r="G762" s="8"/>
      <c r="H762" s="8"/>
      <c r="I762" s="8"/>
      <c r="J762" s="8"/>
      <c r="K762" s="8"/>
      <c r="L762" s="8"/>
      <c r="M762" s="8"/>
      <c r="N762" s="8"/>
      <c r="O762" s="8"/>
      <c r="P762" s="8"/>
      <c r="Q762" s="8"/>
      <c r="R762" s="8"/>
      <c r="S762" s="8"/>
      <c r="T762" s="8"/>
      <c r="U762" s="8"/>
      <c r="V762" s="8"/>
      <c r="W762" s="8"/>
      <c r="X762" s="8"/>
      <c r="Y762" s="8"/>
      <c r="Z762" s="8"/>
      <c r="AA762" s="8"/>
    </row>
    <row r="763" spans="1:27" ht="19.75">
      <c r="A763" s="8"/>
      <c r="B763" s="7"/>
      <c r="C763" s="8"/>
      <c r="D763" s="8"/>
      <c r="E763" s="11"/>
      <c r="F763" s="8"/>
      <c r="G763" s="8"/>
      <c r="H763" s="8"/>
      <c r="I763" s="8"/>
      <c r="J763" s="8"/>
      <c r="K763" s="8"/>
      <c r="L763" s="8"/>
      <c r="M763" s="8"/>
      <c r="N763" s="8"/>
      <c r="O763" s="8"/>
      <c r="P763" s="8"/>
      <c r="Q763" s="8"/>
      <c r="R763" s="8"/>
      <c r="S763" s="8"/>
      <c r="T763" s="8"/>
      <c r="U763" s="8"/>
      <c r="V763" s="8"/>
      <c r="W763" s="8"/>
      <c r="X763" s="8"/>
      <c r="Y763" s="8"/>
      <c r="Z763" s="8"/>
      <c r="AA763" s="8"/>
    </row>
    <row r="764" spans="1:27" ht="19.75">
      <c r="A764" s="8"/>
      <c r="B764" s="7"/>
      <c r="C764" s="8"/>
      <c r="D764" s="8"/>
      <c r="E764" s="11"/>
      <c r="F764" s="8"/>
      <c r="G764" s="8"/>
      <c r="H764" s="8"/>
      <c r="I764" s="8"/>
      <c r="J764" s="8"/>
      <c r="K764" s="8"/>
      <c r="L764" s="8"/>
      <c r="M764" s="8"/>
      <c r="N764" s="8"/>
      <c r="O764" s="8"/>
      <c r="P764" s="8"/>
      <c r="Q764" s="8"/>
      <c r="R764" s="8"/>
      <c r="S764" s="8"/>
      <c r="T764" s="8"/>
      <c r="U764" s="8"/>
      <c r="V764" s="8"/>
      <c r="W764" s="8"/>
      <c r="X764" s="8"/>
      <c r="Y764" s="8"/>
      <c r="Z764" s="8"/>
      <c r="AA764" s="8"/>
    </row>
    <row r="765" spans="1:27" ht="19.75">
      <c r="A765" s="8"/>
      <c r="B765" s="7"/>
      <c r="C765" s="8"/>
      <c r="D765" s="8"/>
      <c r="E765" s="11"/>
      <c r="F765" s="8"/>
      <c r="G765" s="8"/>
      <c r="H765" s="8"/>
      <c r="I765" s="8"/>
      <c r="J765" s="8"/>
      <c r="K765" s="8"/>
      <c r="L765" s="8"/>
      <c r="M765" s="8"/>
      <c r="N765" s="8"/>
      <c r="O765" s="8"/>
      <c r="P765" s="8"/>
      <c r="Q765" s="8"/>
      <c r="R765" s="8"/>
      <c r="S765" s="8"/>
      <c r="T765" s="8"/>
      <c r="U765" s="8"/>
      <c r="V765" s="8"/>
      <c r="W765" s="8"/>
      <c r="X765" s="8"/>
      <c r="Y765" s="8"/>
      <c r="Z765" s="8"/>
      <c r="AA765" s="8"/>
    </row>
    <row r="766" spans="1:27" ht="19.75">
      <c r="A766" s="8"/>
      <c r="B766" s="7"/>
      <c r="C766" s="8"/>
      <c r="D766" s="8"/>
      <c r="E766" s="11"/>
      <c r="F766" s="8"/>
      <c r="G766" s="8"/>
      <c r="H766" s="8"/>
      <c r="I766" s="8"/>
      <c r="J766" s="8"/>
      <c r="K766" s="8"/>
      <c r="L766" s="8"/>
      <c r="M766" s="8"/>
      <c r="N766" s="8"/>
      <c r="O766" s="8"/>
      <c r="P766" s="8"/>
      <c r="Q766" s="8"/>
      <c r="R766" s="8"/>
      <c r="S766" s="8"/>
      <c r="T766" s="8"/>
      <c r="U766" s="8"/>
      <c r="V766" s="8"/>
      <c r="W766" s="8"/>
      <c r="X766" s="8"/>
      <c r="Y766" s="8"/>
      <c r="Z766" s="8"/>
      <c r="AA766" s="8"/>
    </row>
    <row r="767" spans="1:27" ht="19.75">
      <c r="A767" s="8"/>
      <c r="B767" s="7"/>
      <c r="C767" s="8"/>
      <c r="D767" s="8"/>
      <c r="E767" s="11"/>
      <c r="F767" s="8"/>
      <c r="G767" s="8"/>
      <c r="H767" s="8"/>
      <c r="I767" s="8"/>
      <c r="J767" s="8"/>
      <c r="K767" s="8"/>
      <c r="L767" s="8"/>
      <c r="M767" s="8"/>
      <c r="N767" s="8"/>
      <c r="O767" s="8"/>
      <c r="P767" s="8"/>
      <c r="Q767" s="8"/>
      <c r="R767" s="8"/>
      <c r="S767" s="8"/>
      <c r="T767" s="8"/>
      <c r="U767" s="8"/>
      <c r="V767" s="8"/>
      <c r="W767" s="8"/>
      <c r="X767" s="8"/>
      <c r="Y767" s="8"/>
      <c r="Z767" s="8"/>
      <c r="AA767" s="8"/>
    </row>
    <row r="768" spans="1:27" ht="19.75">
      <c r="A768" s="8"/>
      <c r="B768" s="7"/>
      <c r="C768" s="8"/>
      <c r="D768" s="8"/>
      <c r="E768" s="11"/>
      <c r="F768" s="8"/>
      <c r="G768" s="8"/>
      <c r="H768" s="8"/>
      <c r="I768" s="8"/>
      <c r="J768" s="8"/>
      <c r="K768" s="8"/>
      <c r="L768" s="8"/>
      <c r="M768" s="8"/>
      <c r="N768" s="8"/>
      <c r="O768" s="8"/>
      <c r="P768" s="8"/>
      <c r="Q768" s="8"/>
      <c r="R768" s="8"/>
      <c r="S768" s="8"/>
      <c r="T768" s="8"/>
      <c r="U768" s="8"/>
      <c r="V768" s="8"/>
      <c r="W768" s="8"/>
      <c r="X768" s="8"/>
      <c r="Y768" s="8"/>
      <c r="Z768" s="8"/>
      <c r="AA768" s="8"/>
    </row>
    <row r="769" spans="1:27" ht="19.75">
      <c r="A769" s="8"/>
      <c r="B769" s="7"/>
      <c r="C769" s="8"/>
      <c r="D769" s="8"/>
      <c r="E769" s="11"/>
      <c r="F769" s="8"/>
      <c r="G769" s="8"/>
      <c r="H769" s="8"/>
      <c r="I769" s="8"/>
      <c r="J769" s="8"/>
      <c r="K769" s="8"/>
      <c r="L769" s="8"/>
      <c r="M769" s="8"/>
      <c r="N769" s="8"/>
      <c r="O769" s="8"/>
      <c r="P769" s="8"/>
      <c r="Q769" s="8"/>
      <c r="R769" s="8"/>
      <c r="S769" s="8"/>
      <c r="T769" s="8"/>
      <c r="U769" s="8"/>
      <c r="V769" s="8"/>
      <c r="W769" s="8"/>
      <c r="X769" s="8"/>
      <c r="Y769" s="8"/>
      <c r="Z769" s="8"/>
      <c r="AA769" s="8"/>
    </row>
    <row r="770" spans="1:27" ht="19.75">
      <c r="A770" s="8"/>
      <c r="B770" s="7"/>
      <c r="C770" s="8"/>
      <c r="D770" s="8"/>
      <c r="E770" s="11"/>
      <c r="F770" s="8"/>
      <c r="G770" s="8"/>
      <c r="H770" s="8"/>
      <c r="I770" s="8"/>
      <c r="J770" s="8"/>
      <c r="K770" s="8"/>
      <c r="L770" s="8"/>
      <c r="M770" s="8"/>
      <c r="N770" s="8"/>
      <c r="O770" s="8"/>
      <c r="P770" s="8"/>
      <c r="Q770" s="8"/>
      <c r="R770" s="8"/>
      <c r="S770" s="8"/>
      <c r="T770" s="8"/>
      <c r="U770" s="8"/>
      <c r="V770" s="8"/>
      <c r="W770" s="8"/>
      <c r="X770" s="8"/>
      <c r="Y770" s="8"/>
      <c r="Z770" s="8"/>
      <c r="AA770" s="8"/>
    </row>
    <row r="771" spans="1:27" ht="19.75">
      <c r="A771" s="8"/>
      <c r="B771" s="7"/>
      <c r="C771" s="8"/>
      <c r="D771" s="8"/>
      <c r="E771" s="11"/>
      <c r="F771" s="8"/>
      <c r="G771" s="8"/>
      <c r="H771" s="8"/>
      <c r="I771" s="8"/>
      <c r="J771" s="8"/>
      <c r="K771" s="8"/>
      <c r="L771" s="8"/>
      <c r="M771" s="8"/>
      <c r="N771" s="8"/>
      <c r="O771" s="8"/>
      <c r="P771" s="8"/>
      <c r="Q771" s="8"/>
      <c r="R771" s="8"/>
      <c r="S771" s="8"/>
      <c r="T771" s="8"/>
      <c r="U771" s="8"/>
      <c r="V771" s="8"/>
      <c r="W771" s="8"/>
      <c r="X771" s="8"/>
      <c r="Y771" s="8"/>
      <c r="Z771" s="8"/>
      <c r="AA771" s="8"/>
    </row>
    <row r="772" spans="1:27" ht="19.75">
      <c r="A772" s="8"/>
      <c r="B772" s="7"/>
      <c r="C772" s="8"/>
      <c r="D772" s="8"/>
      <c r="E772" s="11"/>
      <c r="F772" s="8"/>
      <c r="G772" s="8"/>
      <c r="H772" s="8"/>
      <c r="I772" s="8"/>
      <c r="J772" s="8"/>
      <c r="K772" s="8"/>
      <c r="L772" s="8"/>
      <c r="M772" s="8"/>
      <c r="N772" s="8"/>
      <c r="O772" s="8"/>
      <c r="P772" s="8"/>
      <c r="Q772" s="8"/>
      <c r="R772" s="8"/>
      <c r="S772" s="8"/>
      <c r="T772" s="8"/>
      <c r="U772" s="8"/>
      <c r="V772" s="8"/>
      <c r="W772" s="8"/>
      <c r="X772" s="8"/>
      <c r="Y772" s="8"/>
      <c r="Z772" s="8"/>
      <c r="AA772" s="8"/>
    </row>
    <row r="773" spans="1:27" ht="19.75">
      <c r="A773" s="8"/>
      <c r="B773" s="7"/>
      <c r="C773" s="8"/>
      <c r="D773" s="8"/>
      <c r="E773" s="11"/>
      <c r="F773" s="8"/>
      <c r="G773" s="8"/>
      <c r="H773" s="8"/>
      <c r="I773" s="8"/>
      <c r="J773" s="8"/>
      <c r="K773" s="8"/>
      <c r="L773" s="8"/>
      <c r="M773" s="8"/>
      <c r="N773" s="8"/>
      <c r="O773" s="8"/>
      <c r="P773" s="8"/>
      <c r="Q773" s="8"/>
      <c r="R773" s="8"/>
      <c r="S773" s="8"/>
      <c r="T773" s="8"/>
      <c r="U773" s="8"/>
      <c r="V773" s="8"/>
      <c r="W773" s="8"/>
      <c r="X773" s="8"/>
      <c r="Y773" s="8"/>
      <c r="Z773" s="8"/>
      <c r="AA773" s="8"/>
    </row>
    <row r="774" spans="1:27" ht="19.75">
      <c r="A774" s="8"/>
      <c r="B774" s="7"/>
      <c r="C774" s="8"/>
      <c r="D774" s="8"/>
      <c r="E774" s="11"/>
      <c r="F774" s="8"/>
      <c r="G774" s="8"/>
      <c r="H774" s="8"/>
      <c r="I774" s="8"/>
      <c r="J774" s="8"/>
      <c r="K774" s="8"/>
      <c r="L774" s="8"/>
      <c r="M774" s="8"/>
      <c r="N774" s="8"/>
      <c r="O774" s="8"/>
      <c r="P774" s="8"/>
      <c r="Q774" s="8"/>
      <c r="R774" s="8"/>
      <c r="S774" s="8"/>
      <c r="T774" s="8"/>
      <c r="U774" s="8"/>
      <c r="V774" s="8"/>
      <c r="W774" s="8"/>
      <c r="X774" s="8"/>
      <c r="Y774" s="8"/>
      <c r="Z774" s="8"/>
      <c r="AA774" s="8"/>
    </row>
    <row r="775" spans="1:27" ht="19.75">
      <c r="A775" s="8"/>
      <c r="B775" s="7"/>
      <c r="C775" s="8"/>
      <c r="D775" s="8"/>
      <c r="E775" s="11"/>
      <c r="F775" s="8"/>
      <c r="G775" s="8"/>
      <c r="H775" s="8"/>
      <c r="I775" s="8"/>
      <c r="J775" s="8"/>
      <c r="K775" s="8"/>
      <c r="L775" s="8"/>
      <c r="M775" s="8"/>
      <c r="N775" s="8"/>
      <c r="O775" s="8"/>
      <c r="P775" s="8"/>
      <c r="Q775" s="8"/>
      <c r="R775" s="8"/>
      <c r="S775" s="8"/>
      <c r="T775" s="8"/>
      <c r="U775" s="8"/>
      <c r="V775" s="8"/>
      <c r="W775" s="8"/>
      <c r="X775" s="8"/>
      <c r="Y775" s="8"/>
      <c r="Z775" s="8"/>
      <c r="AA775" s="8"/>
    </row>
    <row r="776" spans="1:27" ht="19.75">
      <c r="A776" s="8"/>
      <c r="B776" s="7"/>
      <c r="C776" s="8"/>
      <c r="D776" s="8"/>
      <c r="E776" s="11"/>
      <c r="F776" s="8"/>
      <c r="G776" s="8"/>
      <c r="H776" s="8"/>
      <c r="I776" s="8"/>
      <c r="J776" s="8"/>
      <c r="K776" s="8"/>
      <c r="L776" s="8"/>
      <c r="M776" s="8"/>
      <c r="N776" s="8"/>
      <c r="O776" s="8"/>
      <c r="P776" s="8"/>
      <c r="Q776" s="8"/>
      <c r="R776" s="8"/>
      <c r="S776" s="8"/>
      <c r="T776" s="8"/>
      <c r="U776" s="8"/>
      <c r="V776" s="8"/>
      <c r="W776" s="8"/>
      <c r="X776" s="8"/>
      <c r="Y776" s="8"/>
      <c r="Z776" s="8"/>
      <c r="AA776" s="8"/>
    </row>
    <row r="777" spans="1:27" ht="19.75">
      <c r="A777" s="8"/>
      <c r="B777" s="7"/>
      <c r="C777" s="8"/>
      <c r="D777" s="8"/>
      <c r="E777" s="11"/>
      <c r="F777" s="8"/>
      <c r="G777" s="8"/>
      <c r="H777" s="8"/>
      <c r="I777" s="8"/>
      <c r="J777" s="8"/>
      <c r="K777" s="8"/>
      <c r="L777" s="8"/>
      <c r="M777" s="8"/>
      <c r="N777" s="8"/>
      <c r="O777" s="8"/>
      <c r="P777" s="8"/>
      <c r="Q777" s="8"/>
      <c r="R777" s="8"/>
      <c r="S777" s="8"/>
      <c r="T777" s="8"/>
      <c r="U777" s="8"/>
      <c r="V777" s="8"/>
      <c r="W777" s="8"/>
      <c r="X777" s="8"/>
      <c r="Y777" s="8"/>
      <c r="Z777" s="8"/>
      <c r="AA777" s="8"/>
    </row>
    <row r="778" spans="1:27" ht="19.75">
      <c r="A778" s="8"/>
      <c r="B778" s="7"/>
      <c r="C778" s="8"/>
      <c r="D778" s="8"/>
      <c r="E778" s="11"/>
      <c r="F778" s="8"/>
      <c r="G778" s="8"/>
      <c r="H778" s="8"/>
      <c r="I778" s="8"/>
      <c r="J778" s="8"/>
      <c r="K778" s="8"/>
      <c r="L778" s="8"/>
      <c r="M778" s="8"/>
      <c r="N778" s="8"/>
      <c r="O778" s="8"/>
      <c r="P778" s="8"/>
      <c r="Q778" s="8"/>
      <c r="R778" s="8"/>
      <c r="S778" s="8"/>
      <c r="T778" s="8"/>
      <c r="U778" s="8"/>
      <c r="V778" s="8"/>
      <c r="W778" s="8"/>
      <c r="X778" s="8"/>
      <c r="Y778" s="8"/>
      <c r="Z778" s="8"/>
      <c r="AA778" s="8"/>
    </row>
    <row r="779" spans="1:27" ht="19.75">
      <c r="A779" s="8"/>
      <c r="B779" s="7"/>
      <c r="C779" s="8"/>
      <c r="D779" s="8"/>
      <c r="E779" s="11"/>
      <c r="F779" s="8"/>
      <c r="G779" s="8"/>
      <c r="H779" s="8"/>
      <c r="I779" s="8"/>
      <c r="J779" s="8"/>
      <c r="K779" s="8"/>
      <c r="L779" s="8"/>
      <c r="M779" s="8"/>
      <c r="N779" s="8"/>
      <c r="O779" s="8"/>
      <c r="P779" s="8"/>
      <c r="Q779" s="8"/>
      <c r="R779" s="8"/>
      <c r="S779" s="8"/>
      <c r="T779" s="8"/>
      <c r="U779" s="8"/>
      <c r="V779" s="8"/>
      <c r="W779" s="8"/>
      <c r="X779" s="8"/>
      <c r="Y779" s="8"/>
      <c r="Z779" s="8"/>
      <c r="AA779" s="8"/>
    </row>
    <row r="780" spans="1:27" ht="19.75">
      <c r="A780" s="8"/>
      <c r="B780" s="7"/>
      <c r="C780" s="8"/>
      <c r="D780" s="8"/>
      <c r="E780" s="11"/>
      <c r="F780" s="8"/>
      <c r="G780" s="8"/>
      <c r="H780" s="8"/>
      <c r="I780" s="8"/>
      <c r="J780" s="8"/>
      <c r="K780" s="8"/>
      <c r="L780" s="8"/>
      <c r="M780" s="8"/>
      <c r="N780" s="8"/>
      <c r="O780" s="8"/>
      <c r="P780" s="8"/>
      <c r="Q780" s="8"/>
      <c r="R780" s="8"/>
      <c r="S780" s="8"/>
      <c r="T780" s="8"/>
      <c r="U780" s="8"/>
      <c r="V780" s="8"/>
      <c r="W780" s="8"/>
      <c r="X780" s="8"/>
      <c r="Y780" s="8"/>
      <c r="Z780" s="8"/>
      <c r="AA780" s="8"/>
    </row>
    <row r="781" spans="1:27" ht="19.75">
      <c r="A781" s="8"/>
      <c r="B781" s="7"/>
      <c r="C781" s="8"/>
      <c r="D781" s="8"/>
      <c r="E781" s="11"/>
      <c r="F781" s="8"/>
      <c r="G781" s="8"/>
      <c r="H781" s="8"/>
      <c r="I781" s="8"/>
      <c r="J781" s="8"/>
      <c r="K781" s="8"/>
      <c r="L781" s="8"/>
      <c r="M781" s="8"/>
      <c r="N781" s="8"/>
      <c r="O781" s="8"/>
      <c r="P781" s="8"/>
      <c r="Q781" s="8"/>
      <c r="R781" s="8"/>
      <c r="S781" s="8"/>
      <c r="T781" s="8"/>
      <c r="U781" s="8"/>
      <c r="V781" s="8"/>
      <c r="W781" s="8"/>
      <c r="X781" s="8"/>
      <c r="Y781" s="8"/>
      <c r="Z781" s="8"/>
      <c r="AA781" s="8"/>
    </row>
    <row r="782" spans="1:27" ht="19.75">
      <c r="A782" s="8"/>
      <c r="B782" s="7"/>
      <c r="C782" s="8"/>
      <c r="D782" s="8"/>
      <c r="E782" s="11"/>
      <c r="F782" s="8"/>
      <c r="G782" s="8"/>
      <c r="H782" s="8"/>
      <c r="I782" s="8"/>
      <c r="J782" s="8"/>
      <c r="K782" s="8"/>
      <c r="L782" s="8"/>
      <c r="M782" s="8"/>
      <c r="N782" s="8"/>
      <c r="O782" s="8"/>
      <c r="P782" s="8"/>
      <c r="Q782" s="8"/>
      <c r="R782" s="8"/>
      <c r="S782" s="8"/>
      <c r="T782" s="8"/>
      <c r="U782" s="8"/>
      <c r="V782" s="8"/>
      <c r="W782" s="8"/>
      <c r="X782" s="8"/>
      <c r="Y782" s="8"/>
      <c r="Z782" s="8"/>
      <c r="AA782" s="8"/>
    </row>
    <row r="783" spans="1:27" ht="19.75">
      <c r="A783" s="8"/>
      <c r="B783" s="7"/>
      <c r="C783" s="8"/>
      <c r="D783" s="8"/>
      <c r="E783" s="11"/>
      <c r="F783" s="8"/>
      <c r="G783" s="8"/>
      <c r="H783" s="8"/>
      <c r="I783" s="8"/>
      <c r="J783" s="8"/>
      <c r="K783" s="8"/>
      <c r="L783" s="8"/>
      <c r="M783" s="8"/>
      <c r="N783" s="8"/>
      <c r="O783" s="8"/>
      <c r="P783" s="8"/>
      <c r="Q783" s="8"/>
      <c r="R783" s="8"/>
      <c r="S783" s="8"/>
      <c r="T783" s="8"/>
      <c r="U783" s="8"/>
      <c r="V783" s="8"/>
      <c r="W783" s="8"/>
      <c r="X783" s="8"/>
      <c r="Y783" s="8"/>
      <c r="Z783" s="8"/>
      <c r="AA783" s="8"/>
    </row>
    <row r="784" spans="1:27" ht="19.75">
      <c r="A784" s="8"/>
      <c r="B784" s="7"/>
      <c r="C784" s="8"/>
      <c r="D784" s="8"/>
      <c r="E784" s="11"/>
      <c r="F784" s="8"/>
      <c r="G784" s="8"/>
      <c r="H784" s="8"/>
      <c r="I784" s="8"/>
      <c r="J784" s="8"/>
      <c r="K784" s="8"/>
      <c r="L784" s="8"/>
      <c r="M784" s="8"/>
      <c r="N784" s="8"/>
      <c r="O784" s="8"/>
      <c r="P784" s="8"/>
      <c r="Q784" s="8"/>
      <c r="R784" s="8"/>
      <c r="S784" s="8"/>
      <c r="T784" s="8"/>
      <c r="U784" s="8"/>
      <c r="V784" s="8"/>
      <c r="W784" s="8"/>
      <c r="X784" s="8"/>
      <c r="Y784" s="8"/>
      <c r="Z784" s="8"/>
      <c r="AA784" s="8"/>
    </row>
    <row r="785" spans="1:27" ht="19.75">
      <c r="A785" s="8"/>
      <c r="B785" s="7"/>
      <c r="C785" s="8"/>
      <c r="D785" s="8"/>
      <c r="E785" s="11"/>
      <c r="F785" s="8"/>
      <c r="G785" s="8"/>
      <c r="H785" s="8"/>
      <c r="I785" s="8"/>
      <c r="J785" s="8"/>
      <c r="K785" s="8"/>
      <c r="L785" s="8"/>
      <c r="M785" s="8"/>
      <c r="N785" s="8"/>
      <c r="O785" s="8"/>
      <c r="P785" s="8"/>
      <c r="Q785" s="8"/>
      <c r="R785" s="8"/>
      <c r="S785" s="8"/>
      <c r="T785" s="8"/>
      <c r="U785" s="8"/>
      <c r="V785" s="8"/>
      <c r="W785" s="8"/>
      <c r="X785" s="8"/>
      <c r="Y785" s="8"/>
      <c r="Z785" s="8"/>
      <c r="AA785" s="8"/>
    </row>
    <row r="786" spans="1:27" ht="19.75">
      <c r="A786" s="8"/>
      <c r="B786" s="7"/>
      <c r="C786" s="8"/>
      <c r="D786" s="8"/>
      <c r="E786" s="11"/>
      <c r="F786" s="8"/>
      <c r="G786" s="8"/>
      <c r="H786" s="8"/>
      <c r="I786" s="8"/>
      <c r="J786" s="8"/>
      <c r="K786" s="8"/>
      <c r="L786" s="8"/>
      <c r="M786" s="8"/>
      <c r="N786" s="8"/>
      <c r="O786" s="8"/>
      <c r="P786" s="8"/>
      <c r="Q786" s="8"/>
      <c r="R786" s="8"/>
      <c r="S786" s="8"/>
      <c r="T786" s="8"/>
      <c r="U786" s="8"/>
      <c r="V786" s="8"/>
      <c r="W786" s="8"/>
      <c r="X786" s="8"/>
      <c r="Y786" s="8"/>
      <c r="Z786" s="8"/>
      <c r="AA786" s="8"/>
    </row>
    <row r="787" spans="1:27" ht="19.75">
      <c r="A787" s="8"/>
      <c r="B787" s="7"/>
      <c r="C787" s="8"/>
      <c r="D787" s="8"/>
      <c r="E787" s="11"/>
      <c r="F787" s="8"/>
      <c r="G787" s="8"/>
      <c r="H787" s="8"/>
      <c r="I787" s="8"/>
      <c r="J787" s="8"/>
      <c r="K787" s="8"/>
      <c r="L787" s="8"/>
      <c r="M787" s="8"/>
      <c r="N787" s="8"/>
      <c r="O787" s="8"/>
      <c r="P787" s="8"/>
      <c r="Q787" s="8"/>
      <c r="R787" s="8"/>
      <c r="S787" s="8"/>
      <c r="T787" s="8"/>
      <c r="U787" s="8"/>
      <c r="V787" s="8"/>
      <c r="W787" s="8"/>
      <c r="X787" s="8"/>
      <c r="Y787" s="8"/>
      <c r="Z787" s="8"/>
      <c r="AA787" s="8"/>
    </row>
    <row r="788" spans="1:27" ht="19.75">
      <c r="A788" s="8"/>
      <c r="B788" s="7"/>
      <c r="C788" s="8"/>
      <c r="D788" s="8"/>
      <c r="E788" s="11"/>
      <c r="F788" s="8"/>
      <c r="G788" s="8"/>
      <c r="H788" s="8"/>
      <c r="I788" s="8"/>
      <c r="J788" s="8"/>
      <c r="K788" s="8"/>
      <c r="L788" s="8"/>
      <c r="M788" s="8"/>
      <c r="N788" s="8"/>
      <c r="O788" s="8"/>
      <c r="P788" s="8"/>
      <c r="Q788" s="8"/>
      <c r="R788" s="8"/>
      <c r="S788" s="8"/>
      <c r="T788" s="8"/>
      <c r="U788" s="8"/>
      <c r="V788" s="8"/>
      <c r="W788" s="8"/>
      <c r="X788" s="8"/>
      <c r="Y788" s="8"/>
      <c r="Z788" s="8"/>
      <c r="AA788" s="8"/>
    </row>
    <row r="789" spans="1:27" ht="19.75">
      <c r="A789" s="8"/>
      <c r="B789" s="7"/>
      <c r="C789" s="8"/>
      <c r="D789" s="8"/>
      <c r="E789" s="11"/>
      <c r="F789" s="8"/>
      <c r="G789" s="8"/>
      <c r="H789" s="8"/>
      <c r="I789" s="8"/>
      <c r="J789" s="8"/>
      <c r="K789" s="8"/>
      <c r="L789" s="8"/>
      <c r="M789" s="8"/>
      <c r="N789" s="8"/>
      <c r="O789" s="8"/>
      <c r="P789" s="8"/>
      <c r="Q789" s="8"/>
      <c r="R789" s="8"/>
      <c r="S789" s="8"/>
      <c r="T789" s="8"/>
      <c r="U789" s="8"/>
      <c r="V789" s="8"/>
      <c r="W789" s="8"/>
      <c r="X789" s="8"/>
      <c r="Y789" s="8"/>
      <c r="Z789" s="8"/>
      <c r="AA789" s="8"/>
    </row>
    <row r="790" spans="1:27" ht="19.75">
      <c r="A790" s="8"/>
      <c r="B790" s="7"/>
      <c r="C790" s="8"/>
      <c r="D790" s="8"/>
      <c r="E790" s="11"/>
      <c r="F790" s="8"/>
      <c r="G790" s="8"/>
      <c r="H790" s="8"/>
      <c r="I790" s="8"/>
      <c r="J790" s="8"/>
      <c r="K790" s="8"/>
      <c r="L790" s="8"/>
      <c r="M790" s="8"/>
      <c r="N790" s="8"/>
      <c r="O790" s="8"/>
      <c r="P790" s="8"/>
      <c r="Q790" s="8"/>
      <c r="R790" s="8"/>
      <c r="S790" s="8"/>
      <c r="T790" s="8"/>
      <c r="U790" s="8"/>
      <c r="V790" s="8"/>
      <c r="W790" s="8"/>
      <c r="X790" s="8"/>
      <c r="Y790" s="8"/>
      <c r="Z790" s="8"/>
      <c r="AA790" s="8"/>
    </row>
    <row r="791" spans="1:27" ht="19.75">
      <c r="A791" s="8"/>
      <c r="B791" s="7"/>
      <c r="C791" s="8"/>
      <c r="D791" s="8"/>
      <c r="E791" s="11"/>
      <c r="F791" s="8"/>
      <c r="G791" s="8"/>
      <c r="H791" s="8"/>
      <c r="I791" s="8"/>
      <c r="J791" s="8"/>
      <c r="K791" s="8"/>
      <c r="L791" s="8"/>
      <c r="M791" s="8"/>
      <c r="N791" s="8"/>
      <c r="O791" s="8"/>
      <c r="P791" s="8"/>
      <c r="Q791" s="8"/>
      <c r="R791" s="8"/>
      <c r="S791" s="8"/>
      <c r="T791" s="8"/>
      <c r="U791" s="8"/>
      <c r="V791" s="8"/>
      <c r="W791" s="8"/>
      <c r="X791" s="8"/>
      <c r="Y791" s="8"/>
      <c r="Z791" s="8"/>
      <c r="AA791" s="8"/>
    </row>
    <row r="792" spans="1:27" ht="19.75">
      <c r="A792" s="8"/>
      <c r="B792" s="7"/>
      <c r="C792" s="8"/>
      <c r="D792" s="8"/>
      <c r="E792" s="11"/>
      <c r="F792" s="8"/>
      <c r="G792" s="8"/>
      <c r="H792" s="8"/>
      <c r="I792" s="8"/>
      <c r="J792" s="8"/>
      <c r="K792" s="8"/>
      <c r="L792" s="8"/>
      <c r="M792" s="8"/>
      <c r="N792" s="8"/>
      <c r="O792" s="8"/>
      <c r="P792" s="8"/>
      <c r="Q792" s="8"/>
      <c r="R792" s="8"/>
      <c r="S792" s="8"/>
      <c r="T792" s="8"/>
      <c r="U792" s="8"/>
      <c r="V792" s="8"/>
      <c r="W792" s="8"/>
      <c r="X792" s="8"/>
      <c r="Y792" s="8"/>
      <c r="Z792" s="8"/>
      <c r="AA792" s="8"/>
    </row>
    <row r="793" spans="1:27" ht="19.75">
      <c r="A793" s="8"/>
      <c r="B793" s="7"/>
      <c r="C793" s="8"/>
      <c r="D793" s="8"/>
      <c r="E793" s="11"/>
      <c r="F793" s="8"/>
      <c r="G793" s="8"/>
      <c r="H793" s="8"/>
      <c r="I793" s="8"/>
      <c r="J793" s="8"/>
      <c r="K793" s="8"/>
      <c r="L793" s="8"/>
      <c r="M793" s="8"/>
      <c r="N793" s="8"/>
      <c r="O793" s="8"/>
      <c r="P793" s="8"/>
      <c r="Q793" s="8"/>
      <c r="R793" s="8"/>
      <c r="S793" s="8"/>
      <c r="T793" s="8"/>
      <c r="U793" s="8"/>
      <c r="V793" s="8"/>
      <c r="W793" s="8"/>
      <c r="X793" s="8"/>
      <c r="Y793" s="8"/>
      <c r="Z793" s="8"/>
      <c r="AA793" s="8"/>
    </row>
    <row r="794" spans="1:27" ht="19.75">
      <c r="A794" s="8"/>
      <c r="B794" s="7"/>
      <c r="C794" s="8"/>
      <c r="D794" s="8"/>
      <c r="E794" s="11"/>
      <c r="F794" s="8"/>
      <c r="G794" s="8"/>
      <c r="H794" s="8"/>
      <c r="I794" s="8"/>
      <c r="J794" s="8"/>
      <c r="K794" s="8"/>
      <c r="L794" s="8"/>
      <c r="M794" s="8"/>
      <c r="N794" s="8"/>
      <c r="O794" s="8"/>
      <c r="P794" s="8"/>
      <c r="Q794" s="8"/>
      <c r="R794" s="8"/>
      <c r="S794" s="8"/>
      <c r="T794" s="8"/>
      <c r="U794" s="8"/>
      <c r="V794" s="8"/>
      <c r="W794" s="8"/>
      <c r="X794" s="8"/>
      <c r="Y794" s="8"/>
      <c r="Z794" s="8"/>
      <c r="AA794" s="8"/>
    </row>
    <row r="795" spans="1:27" ht="19.75">
      <c r="A795" s="8"/>
      <c r="B795" s="7"/>
      <c r="C795" s="8"/>
      <c r="D795" s="8"/>
      <c r="E795" s="11"/>
      <c r="F795" s="8"/>
      <c r="G795" s="8"/>
      <c r="H795" s="8"/>
      <c r="I795" s="8"/>
      <c r="J795" s="8"/>
      <c r="K795" s="8"/>
      <c r="L795" s="8"/>
      <c r="M795" s="8"/>
      <c r="N795" s="8"/>
      <c r="O795" s="8"/>
      <c r="P795" s="8"/>
      <c r="Q795" s="8"/>
      <c r="R795" s="8"/>
      <c r="S795" s="8"/>
      <c r="T795" s="8"/>
      <c r="U795" s="8"/>
      <c r="V795" s="8"/>
      <c r="W795" s="8"/>
      <c r="X795" s="8"/>
      <c r="Y795" s="8"/>
      <c r="Z795" s="8"/>
      <c r="AA795" s="8"/>
    </row>
    <row r="796" spans="1:27" ht="19.75">
      <c r="A796" s="8"/>
      <c r="B796" s="7"/>
      <c r="C796" s="8"/>
      <c r="D796" s="8"/>
      <c r="E796" s="11"/>
      <c r="F796" s="8"/>
      <c r="G796" s="8"/>
      <c r="H796" s="8"/>
      <c r="I796" s="8"/>
      <c r="J796" s="8"/>
      <c r="K796" s="8"/>
      <c r="L796" s="8"/>
      <c r="M796" s="8"/>
      <c r="N796" s="8"/>
      <c r="O796" s="8"/>
      <c r="P796" s="8"/>
      <c r="Q796" s="8"/>
      <c r="R796" s="8"/>
      <c r="S796" s="8"/>
      <c r="T796" s="8"/>
      <c r="U796" s="8"/>
      <c r="V796" s="8"/>
      <c r="W796" s="8"/>
      <c r="X796" s="8"/>
      <c r="Y796" s="8"/>
      <c r="Z796" s="8"/>
      <c r="AA796" s="8"/>
    </row>
    <row r="797" spans="1:27" ht="19.75">
      <c r="A797" s="8"/>
      <c r="B797" s="7"/>
      <c r="C797" s="8"/>
      <c r="D797" s="8"/>
      <c r="E797" s="11"/>
      <c r="F797" s="8"/>
      <c r="G797" s="8"/>
      <c r="H797" s="8"/>
      <c r="I797" s="8"/>
      <c r="J797" s="8"/>
      <c r="K797" s="8"/>
      <c r="L797" s="8"/>
      <c r="M797" s="8"/>
      <c r="N797" s="8"/>
      <c r="O797" s="8"/>
      <c r="P797" s="8"/>
      <c r="Q797" s="8"/>
      <c r="R797" s="8"/>
      <c r="S797" s="8"/>
      <c r="T797" s="8"/>
      <c r="U797" s="8"/>
      <c r="V797" s="8"/>
      <c r="W797" s="8"/>
      <c r="X797" s="8"/>
      <c r="Y797" s="8"/>
      <c r="Z797" s="8"/>
      <c r="AA797" s="8"/>
    </row>
    <row r="798" spans="1:27" ht="19.75">
      <c r="A798" s="8"/>
      <c r="B798" s="7"/>
      <c r="C798" s="8"/>
      <c r="D798" s="8"/>
      <c r="E798" s="11"/>
      <c r="F798" s="8"/>
      <c r="G798" s="8"/>
      <c r="H798" s="8"/>
      <c r="I798" s="8"/>
      <c r="J798" s="8"/>
      <c r="K798" s="8"/>
      <c r="L798" s="8"/>
      <c r="M798" s="8"/>
      <c r="N798" s="8"/>
      <c r="O798" s="8"/>
      <c r="P798" s="8"/>
      <c r="Q798" s="8"/>
      <c r="R798" s="8"/>
      <c r="S798" s="8"/>
      <c r="T798" s="8"/>
      <c r="U798" s="8"/>
      <c r="V798" s="8"/>
      <c r="W798" s="8"/>
      <c r="X798" s="8"/>
      <c r="Y798" s="8"/>
      <c r="Z798" s="8"/>
      <c r="AA798" s="8"/>
    </row>
    <row r="799" spans="1:27" ht="19.75">
      <c r="A799" s="8"/>
      <c r="B799" s="7"/>
      <c r="C799" s="8"/>
      <c r="D799" s="8"/>
      <c r="E799" s="11"/>
      <c r="F799" s="8"/>
      <c r="G799" s="8"/>
      <c r="H799" s="8"/>
      <c r="I799" s="8"/>
      <c r="J799" s="8"/>
      <c r="K799" s="8"/>
      <c r="L799" s="8"/>
      <c r="M799" s="8"/>
      <c r="N799" s="8"/>
      <c r="O799" s="8"/>
      <c r="P799" s="8"/>
      <c r="Q799" s="8"/>
      <c r="R799" s="8"/>
      <c r="S799" s="8"/>
      <c r="T799" s="8"/>
      <c r="U799" s="8"/>
      <c r="V799" s="8"/>
      <c r="W799" s="8"/>
      <c r="X799" s="8"/>
      <c r="Y799" s="8"/>
      <c r="Z799" s="8"/>
      <c r="AA799" s="8"/>
    </row>
    <row r="800" spans="1:27" ht="19.75">
      <c r="A800" s="8"/>
      <c r="B800" s="7"/>
      <c r="C800" s="8"/>
      <c r="D800" s="8"/>
      <c r="E800" s="11"/>
      <c r="F800" s="8"/>
      <c r="G800" s="8"/>
      <c r="H800" s="8"/>
      <c r="I800" s="8"/>
      <c r="J800" s="8"/>
      <c r="K800" s="8"/>
      <c r="L800" s="8"/>
      <c r="M800" s="8"/>
      <c r="N800" s="8"/>
      <c r="O800" s="8"/>
      <c r="P800" s="8"/>
      <c r="Q800" s="8"/>
      <c r="R800" s="8"/>
      <c r="S800" s="8"/>
      <c r="T800" s="8"/>
      <c r="U800" s="8"/>
      <c r="V800" s="8"/>
      <c r="W800" s="8"/>
      <c r="X800" s="8"/>
      <c r="Y800" s="8"/>
      <c r="Z800" s="8"/>
      <c r="AA800" s="8"/>
    </row>
    <row r="801" spans="1:27" ht="19.75">
      <c r="A801" s="8"/>
      <c r="B801" s="7"/>
      <c r="C801" s="8"/>
      <c r="D801" s="8"/>
      <c r="E801" s="11"/>
      <c r="F801" s="8"/>
      <c r="G801" s="8"/>
      <c r="H801" s="8"/>
      <c r="I801" s="8"/>
      <c r="J801" s="8"/>
      <c r="K801" s="8"/>
      <c r="L801" s="8"/>
      <c r="M801" s="8"/>
      <c r="N801" s="8"/>
      <c r="O801" s="8"/>
      <c r="P801" s="8"/>
      <c r="Q801" s="8"/>
      <c r="R801" s="8"/>
      <c r="S801" s="8"/>
      <c r="T801" s="8"/>
      <c r="U801" s="8"/>
      <c r="V801" s="8"/>
      <c r="W801" s="8"/>
      <c r="X801" s="8"/>
      <c r="Y801" s="8"/>
      <c r="Z801" s="8"/>
      <c r="AA801" s="8"/>
    </row>
    <row r="802" spans="1:27" ht="19.75">
      <c r="A802" s="8"/>
      <c r="B802" s="7"/>
      <c r="C802" s="8"/>
      <c r="D802" s="8"/>
      <c r="E802" s="11"/>
      <c r="F802" s="8"/>
      <c r="G802" s="8"/>
      <c r="H802" s="8"/>
      <c r="I802" s="8"/>
      <c r="J802" s="8"/>
      <c r="K802" s="8"/>
      <c r="L802" s="8"/>
      <c r="M802" s="8"/>
      <c r="N802" s="8"/>
      <c r="O802" s="8"/>
      <c r="P802" s="8"/>
      <c r="Q802" s="8"/>
      <c r="R802" s="8"/>
      <c r="S802" s="8"/>
      <c r="T802" s="8"/>
      <c r="U802" s="8"/>
      <c r="V802" s="8"/>
      <c r="W802" s="8"/>
      <c r="X802" s="8"/>
      <c r="Y802" s="8"/>
      <c r="Z802" s="8"/>
      <c r="AA802" s="8"/>
    </row>
    <row r="803" spans="1:27" ht="19.75">
      <c r="A803" s="8"/>
      <c r="B803" s="7"/>
      <c r="C803" s="8"/>
      <c r="D803" s="8"/>
      <c r="E803" s="11"/>
      <c r="F803" s="8"/>
      <c r="G803" s="8"/>
      <c r="H803" s="8"/>
      <c r="I803" s="8"/>
      <c r="J803" s="8"/>
      <c r="K803" s="8"/>
      <c r="L803" s="8"/>
      <c r="M803" s="8"/>
      <c r="N803" s="8"/>
      <c r="O803" s="8"/>
      <c r="P803" s="8"/>
      <c r="Q803" s="8"/>
      <c r="R803" s="8"/>
      <c r="S803" s="8"/>
      <c r="T803" s="8"/>
      <c r="U803" s="8"/>
      <c r="V803" s="8"/>
      <c r="W803" s="8"/>
      <c r="X803" s="8"/>
      <c r="Y803" s="8"/>
      <c r="Z803" s="8"/>
      <c r="AA803" s="8"/>
    </row>
    <row r="804" spans="1:27" ht="19.75">
      <c r="A804" s="8"/>
      <c r="B804" s="7"/>
      <c r="C804" s="8"/>
      <c r="D804" s="8"/>
      <c r="E804" s="11"/>
      <c r="F804" s="8"/>
      <c r="G804" s="8"/>
      <c r="H804" s="8"/>
      <c r="I804" s="8"/>
      <c r="J804" s="8"/>
      <c r="K804" s="8"/>
      <c r="L804" s="8"/>
      <c r="M804" s="8"/>
      <c r="N804" s="8"/>
      <c r="O804" s="8"/>
      <c r="P804" s="8"/>
      <c r="Q804" s="8"/>
      <c r="R804" s="8"/>
      <c r="S804" s="8"/>
      <c r="T804" s="8"/>
      <c r="U804" s="8"/>
      <c r="V804" s="8"/>
      <c r="W804" s="8"/>
      <c r="X804" s="8"/>
      <c r="Y804" s="8"/>
      <c r="Z804" s="8"/>
      <c r="AA804" s="8"/>
    </row>
    <row r="805" spans="1:27" ht="19.75">
      <c r="A805" s="8"/>
      <c r="B805" s="7"/>
      <c r="C805" s="8"/>
      <c r="D805" s="8"/>
      <c r="E805" s="11"/>
      <c r="F805" s="8"/>
      <c r="G805" s="8"/>
      <c r="H805" s="8"/>
      <c r="I805" s="8"/>
      <c r="J805" s="8"/>
      <c r="K805" s="8"/>
      <c r="L805" s="8"/>
      <c r="M805" s="8"/>
      <c r="N805" s="8"/>
      <c r="O805" s="8"/>
      <c r="P805" s="8"/>
      <c r="Q805" s="8"/>
      <c r="R805" s="8"/>
      <c r="S805" s="8"/>
      <c r="T805" s="8"/>
      <c r="U805" s="8"/>
      <c r="V805" s="8"/>
      <c r="W805" s="8"/>
      <c r="X805" s="8"/>
      <c r="Y805" s="8"/>
      <c r="Z805" s="8"/>
      <c r="AA805" s="8"/>
    </row>
    <row r="806" spans="1:27" ht="19.75">
      <c r="A806" s="8"/>
      <c r="B806" s="7"/>
      <c r="C806" s="8"/>
      <c r="D806" s="8"/>
      <c r="E806" s="11"/>
      <c r="F806" s="8"/>
      <c r="G806" s="8"/>
      <c r="H806" s="8"/>
      <c r="I806" s="8"/>
      <c r="J806" s="8"/>
      <c r="K806" s="8"/>
      <c r="L806" s="8"/>
      <c r="M806" s="8"/>
      <c r="N806" s="8"/>
      <c r="O806" s="8"/>
      <c r="P806" s="8"/>
      <c r="Q806" s="8"/>
      <c r="R806" s="8"/>
      <c r="S806" s="8"/>
      <c r="T806" s="8"/>
      <c r="U806" s="8"/>
      <c r="V806" s="8"/>
      <c r="W806" s="8"/>
      <c r="X806" s="8"/>
      <c r="Y806" s="8"/>
      <c r="Z806" s="8"/>
      <c r="AA806" s="8"/>
    </row>
    <row r="807" spans="1:27" ht="19.75">
      <c r="A807" s="8"/>
      <c r="B807" s="7"/>
      <c r="C807" s="8"/>
      <c r="D807" s="8"/>
      <c r="E807" s="11"/>
      <c r="F807" s="8"/>
      <c r="G807" s="8"/>
      <c r="H807" s="8"/>
      <c r="I807" s="8"/>
      <c r="J807" s="8"/>
      <c r="K807" s="8"/>
      <c r="L807" s="8"/>
      <c r="M807" s="8"/>
      <c r="N807" s="8"/>
      <c r="O807" s="8"/>
      <c r="P807" s="8"/>
      <c r="Q807" s="8"/>
      <c r="R807" s="8"/>
      <c r="S807" s="8"/>
      <c r="T807" s="8"/>
      <c r="U807" s="8"/>
      <c r="V807" s="8"/>
      <c r="W807" s="8"/>
      <c r="X807" s="8"/>
      <c r="Y807" s="8"/>
      <c r="Z807" s="8"/>
      <c r="AA807" s="8"/>
    </row>
    <row r="808" spans="1:27" ht="19.75">
      <c r="A808" s="8"/>
      <c r="B808" s="7"/>
      <c r="C808" s="8"/>
      <c r="D808" s="8"/>
      <c r="E808" s="11"/>
      <c r="F808" s="8"/>
      <c r="G808" s="8"/>
      <c r="H808" s="8"/>
      <c r="I808" s="8"/>
      <c r="J808" s="8"/>
      <c r="K808" s="8"/>
      <c r="L808" s="8"/>
      <c r="M808" s="8"/>
      <c r="N808" s="8"/>
      <c r="O808" s="8"/>
      <c r="P808" s="8"/>
      <c r="Q808" s="8"/>
      <c r="R808" s="8"/>
      <c r="S808" s="8"/>
      <c r="T808" s="8"/>
      <c r="U808" s="8"/>
      <c r="V808" s="8"/>
      <c r="W808" s="8"/>
      <c r="X808" s="8"/>
      <c r="Y808" s="8"/>
      <c r="Z808" s="8"/>
      <c r="AA808" s="8"/>
    </row>
    <row r="809" spans="1:27" ht="19.75">
      <c r="A809" s="8"/>
      <c r="B809" s="7"/>
      <c r="C809" s="8"/>
      <c r="D809" s="8"/>
      <c r="E809" s="11"/>
      <c r="F809" s="8"/>
      <c r="G809" s="8"/>
      <c r="H809" s="8"/>
      <c r="I809" s="8"/>
      <c r="J809" s="8"/>
      <c r="K809" s="8"/>
      <c r="L809" s="8"/>
      <c r="M809" s="8"/>
      <c r="N809" s="8"/>
      <c r="O809" s="8"/>
      <c r="P809" s="8"/>
      <c r="Q809" s="8"/>
      <c r="R809" s="8"/>
      <c r="S809" s="8"/>
      <c r="T809" s="8"/>
      <c r="U809" s="8"/>
      <c r="V809" s="8"/>
      <c r="W809" s="8"/>
      <c r="X809" s="8"/>
      <c r="Y809" s="8"/>
      <c r="Z809" s="8"/>
      <c r="AA809" s="8"/>
    </row>
    <row r="810" spans="1:27" ht="19.75">
      <c r="A810" s="8"/>
      <c r="B810" s="7"/>
      <c r="C810" s="8"/>
      <c r="D810" s="8"/>
      <c r="E810" s="11"/>
      <c r="F810" s="8"/>
      <c r="G810" s="8"/>
      <c r="H810" s="8"/>
      <c r="I810" s="8"/>
      <c r="J810" s="8"/>
      <c r="K810" s="8"/>
      <c r="L810" s="8"/>
      <c r="M810" s="8"/>
      <c r="N810" s="8"/>
      <c r="O810" s="8"/>
      <c r="P810" s="8"/>
      <c r="Q810" s="8"/>
      <c r="R810" s="8"/>
      <c r="S810" s="8"/>
      <c r="T810" s="8"/>
      <c r="U810" s="8"/>
      <c r="V810" s="8"/>
      <c r="W810" s="8"/>
      <c r="X810" s="8"/>
      <c r="Y810" s="8"/>
      <c r="Z810" s="8"/>
      <c r="AA810" s="8"/>
    </row>
    <row r="811" spans="1:27" ht="19.75">
      <c r="A811" s="8"/>
      <c r="B811" s="7"/>
      <c r="C811" s="8"/>
      <c r="D811" s="8"/>
      <c r="E811" s="11"/>
      <c r="F811" s="8"/>
      <c r="G811" s="8"/>
      <c r="H811" s="8"/>
      <c r="I811" s="8"/>
      <c r="J811" s="8"/>
      <c r="K811" s="8"/>
      <c r="L811" s="8"/>
      <c r="M811" s="8"/>
      <c r="N811" s="8"/>
      <c r="O811" s="8"/>
      <c r="P811" s="8"/>
      <c r="Q811" s="8"/>
      <c r="R811" s="8"/>
      <c r="S811" s="8"/>
      <c r="T811" s="8"/>
      <c r="U811" s="8"/>
      <c r="V811" s="8"/>
      <c r="W811" s="8"/>
      <c r="X811" s="8"/>
      <c r="Y811" s="8"/>
      <c r="Z811" s="8"/>
      <c r="AA811" s="8"/>
    </row>
    <row r="812" spans="1:27" ht="19.75">
      <c r="A812" s="8"/>
      <c r="B812" s="7"/>
      <c r="C812" s="8"/>
      <c r="D812" s="8"/>
      <c r="E812" s="11"/>
      <c r="F812" s="8"/>
      <c r="G812" s="8"/>
      <c r="H812" s="8"/>
      <c r="I812" s="8"/>
      <c r="J812" s="8"/>
      <c r="K812" s="8"/>
      <c r="L812" s="8"/>
      <c r="M812" s="8"/>
      <c r="N812" s="8"/>
      <c r="O812" s="8"/>
      <c r="P812" s="8"/>
      <c r="Q812" s="8"/>
      <c r="R812" s="8"/>
      <c r="S812" s="8"/>
      <c r="T812" s="8"/>
      <c r="U812" s="8"/>
      <c r="V812" s="8"/>
      <c r="W812" s="8"/>
      <c r="X812" s="8"/>
      <c r="Y812" s="8"/>
      <c r="Z812" s="8"/>
      <c r="AA812" s="8"/>
    </row>
    <row r="813" spans="1:27" ht="19.75">
      <c r="A813" s="8"/>
      <c r="B813" s="7"/>
      <c r="C813" s="8"/>
      <c r="D813" s="8"/>
      <c r="E813" s="11"/>
      <c r="F813" s="8"/>
      <c r="G813" s="8"/>
      <c r="H813" s="8"/>
      <c r="I813" s="8"/>
      <c r="J813" s="8"/>
      <c r="K813" s="8"/>
      <c r="L813" s="8"/>
      <c r="M813" s="8"/>
      <c r="N813" s="8"/>
      <c r="O813" s="8"/>
      <c r="P813" s="8"/>
      <c r="Q813" s="8"/>
      <c r="R813" s="8"/>
      <c r="S813" s="8"/>
      <c r="T813" s="8"/>
      <c r="U813" s="8"/>
      <c r="V813" s="8"/>
      <c r="W813" s="8"/>
      <c r="X813" s="8"/>
      <c r="Y813" s="8"/>
      <c r="Z813" s="8"/>
      <c r="AA813" s="8"/>
    </row>
    <row r="814" spans="1:27" ht="19.75">
      <c r="A814" s="8"/>
      <c r="B814" s="7"/>
      <c r="C814" s="8"/>
      <c r="D814" s="8"/>
      <c r="E814" s="11"/>
      <c r="F814" s="8"/>
      <c r="G814" s="8"/>
      <c r="H814" s="8"/>
      <c r="I814" s="8"/>
      <c r="J814" s="8"/>
      <c r="K814" s="8"/>
      <c r="L814" s="8"/>
      <c r="M814" s="8"/>
      <c r="N814" s="8"/>
      <c r="O814" s="8"/>
      <c r="P814" s="8"/>
      <c r="Q814" s="8"/>
      <c r="R814" s="8"/>
      <c r="S814" s="8"/>
      <c r="T814" s="8"/>
      <c r="U814" s="8"/>
      <c r="V814" s="8"/>
      <c r="W814" s="8"/>
      <c r="X814" s="8"/>
      <c r="Y814" s="8"/>
      <c r="Z814" s="8"/>
      <c r="AA814" s="8"/>
    </row>
    <row r="815" spans="1:27" ht="19.75">
      <c r="A815" s="8"/>
      <c r="B815" s="7"/>
      <c r="C815" s="8"/>
      <c r="D815" s="8"/>
      <c r="E815" s="11"/>
      <c r="F815" s="8"/>
      <c r="G815" s="8"/>
      <c r="H815" s="8"/>
      <c r="I815" s="8"/>
      <c r="J815" s="8"/>
      <c r="K815" s="8"/>
      <c r="L815" s="8"/>
      <c r="M815" s="8"/>
      <c r="N815" s="8"/>
      <c r="O815" s="8"/>
      <c r="P815" s="8"/>
      <c r="Q815" s="8"/>
      <c r="R815" s="8"/>
      <c r="S815" s="8"/>
      <c r="T815" s="8"/>
      <c r="U815" s="8"/>
      <c r="V815" s="8"/>
      <c r="W815" s="8"/>
      <c r="X815" s="8"/>
      <c r="Y815" s="8"/>
      <c r="Z815" s="8"/>
      <c r="AA815" s="8"/>
    </row>
    <row r="816" spans="1:27" ht="19.75">
      <c r="A816" s="8"/>
      <c r="B816" s="7"/>
      <c r="C816" s="8"/>
      <c r="D816" s="8"/>
      <c r="E816" s="11"/>
      <c r="F816" s="8"/>
      <c r="G816" s="8"/>
      <c r="H816" s="8"/>
      <c r="I816" s="8"/>
      <c r="J816" s="8"/>
      <c r="K816" s="8"/>
      <c r="L816" s="8"/>
      <c r="M816" s="8"/>
      <c r="N816" s="8"/>
      <c r="O816" s="8"/>
      <c r="P816" s="8"/>
      <c r="Q816" s="8"/>
      <c r="R816" s="8"/>
      <c r="S816" s="8"/>
      <c r="T816" s="8"/>
      <c r="U816" s="8"/>
      <c r="V816" s="8"/>
      <c r="W816" s="8"/>
      <c r="X816" s="8"/>
      <c r="Y816" s="8"/>
      <c r="Z816" s="8"/>
      <c r="AA816" s="8"/>
    </row>
    <row r="817" spans="1:27" ht="19.75">
      <c r="A817" s="8"/>
      <c r="B817" s="7"/>
      <c r="C817" s="8"/>
      <c r="D817" s="8"/>
      <c r="E817" s="11"/>
      <c r="F817" s="8"/>
      <c r="G817" s="8"/>
      <c r="H817" s="8"/>
      <c r="I817" s="8"/>
      <c r="J817" s="8"/>
      <c r="K817" s="8"/>
      <c r="L817" s="8"/>
      <c r="M817" s="8"/>
      <c r="N817" s="8"/>
      <c r="O817" s="8"/>
      <c r="P817" s="8"/>
      <c r="Q817" s="8"/>
      <c r="R817" s="8"/>
      <c r="S817" s="8"/>
      <c r="T817" s="8"/>
      <c r="U817" s="8"/>
      <c r="V817" s="8"/>
      <c r="W817" s="8"/>
      <c r="X817" s="8"/>
      <c r="Y817" s="8"/>
      <c r="Z817" s="8"/>
      <c r="AA817" s="8"/>
    </row>
    <row r="818" spans="1:27" ht="19.75">
      <c r="A818" s="8"/>
      <c r="B818" s="7"/>
      <c r="C818" s="8"/>
      <c r="D818" s="8"/>
      <c r="E818" s="11"/>
      <c r="F818" s="8"/>
      <c r="G818" s="8"/>
      <c r="H818" s="8"/>
      <c r="I818" s="8"/>
      <c r="J818" s="8"/>
      <c r="K818" s="8"/>
      <c r="L818" s="8"/>
      <c r="M818" s="8"/>
      <c r="N818" s="8"/>
      <c r="O818" s="8"/>
      <c r="P818" s="8"/>
      <c r="Q818" s="8"/>
      <c r="R818" s="8"/>
      <c r="S818" s="8"/>
      <c r="T818" s="8"/>
      <c r="U818" s="8"/>
      <c r="V818" s="8"/>
      <c r="W818" s="8"/>
      <c r="X818" s="8"/>
      <c r="Y818" s="8"/>
      <c r="Z818" s="8"/>
      <c r="AA818" s="8"/>
    </row>
    <row r="819" spans="1:27" ht="19.75">
      <c r="A819" s="8"/>
      <c r="B819" s="7"/>
      <c r="C819" s="8"/>
      <c r="D819" s="8"/>
      <c r="E819" s="11"/>
      <c r="F819" s="8"/>
      <c r="G819" s="8"/>
      <c r="H819" s="8"/>
      <c r="I819" s="8"/>
      <c r="J819" s="8"/>
      <c r="K819" s="8"/>
      <c r="L819" s="8"/>
      <c r="M819" s="8"/>
      <c r="N819" s="8"/>
      <c r="O819" s="8"/>
      <c r="P819" s="8"/>
      <c r="Q819" s="8"/>
      <c r="R819" s="8"/>
      <c r="S819" s="8"/>
      <c r="T819" s="8"/>
      <c r="U819" s="8"/>
      <c r="V819" s="8"/>
      <c r="W819" s="8"/>
      <c r="X819" s="8"/>
      <c r="Y819" s="8"/>
      <c r="Z819" s="8"/>
      <c r="AA819" s="8"/>
    </row>
    <row r="820" spans="1:27" ht="19.75">
      <c r="A820" s="8"/>
      <c r="B820" s="7"/>
      <c r="C820" s="8"/>
      <c r="D820" s="8"/>
      <c r="E820" s="11"/>
      <c r="F820" s="8"/>
      <c r="G820" s="8"/>
      <c r="H820" s="8"/>
      <c r="I820" s="8"/>
      <c r="J820" s="8"/>
      <c r="K820" s="8"/>
      <c r="L820" s="8"/>
      <c r="M820" s="8"/>
      <c r="N820" s="8"/>
      <c r="O820" s="8"/>
      <c r="P820" s="8"/>
      <c r="Q820" s="8"/>
      <c r="R820" s="8"/>
      <c r="S820" s="8"/>
      <c r="T820" s="8"/>
      <c r="U820" s="8"/>
      <c r="V820" s="8"/>
      <c r="W820" s="8"/>
      <c r="X820" s="8"/>
      <c r="Y820" s="8"/>
      <c r="Z820" s="8"/>
      <c r="AA820" s="8"/>
    </row>
    <row r="821" spans="1:27" ht="19.75">
      <c r="A821" s="8"/>
      <c r="B821" s="7"/>
      <c r="C821" s="8"/>
      <c r="D821" s="8"/>
      <c r="E821" s="11"/>
      <c r="F821" s="8"/>
      <c r="G821" s="8"/>
      <c r="H821" s="8"/>
      <c r="I821" s="8"/>
      <c r="J821" s="8"/>
      <c r="K821" s="8"/>
      <c r="L821" s="8"/>
      <c r="M821" s="8"/>
      <c r="N821" s="8"/>
      <c r="O821" s="8"/>
      <c r="P821" s="8"/>
      <c r="Q821" s="8"/>
      <c r="R821" s="8"/>
      <c r="S821" s="8"/>
      <c r="T821" s="8"/>
      <c r="U821" s="8"/>
      <c r="V821" s="8"/>
      <c r="W821" s="8"/>
      <c r="X821" s="8"/>
      <c r="Y821" s="8"/>
      <c r="Z821" s="8"/>
      <c r="AA821" s="8"/>
    </row>
    <row r="822" spans="1:27" ht="19.75">
      <c r="A822" s="8"/>
      <c r="B822" s="7"/>
      <c r="C822" s="8"/>
      <c r="D822" s="8"/>
      <c r="E822" s="11"/>
      <c r="F822" s="8"/>
      <c r="G822" s="8"/>
      <c r="H822" s="8"/>
      <c r="I822" s="8"/>
      <c r="J822" s="8"/>
      <c r="K822" s="8"/>
      <c r="L822" s="8"/>
      <c r="M822" s="8"/>
      <c r="N822" s="8"/>
      <c r="O822" s="8"/>
      <c r="P822" s="8"/>
      <c r="Q822" s="8"/>
      <c r="R822" s="8"/>
      <c r="S822" s="8"/>
      <c r="T822" s="8"/>
      <c r="U822" s="8"/>
      <c r="V822" s="8"/>
      <c r="W822" s="8"/>
      <c r="X822" s="8"/>
      <c r="Y822" s="8"/>
      <c r="Z822" s="8"/>
      <c r="AA822" s="8"/>
    </row>
    <row r="823" spans="1:27" ht="19.75">
      <c r="A823" s="8"/>
      <c r="B823" s="7"/>
      <c r="C823" s="8"/>
      <c r="D823" s="8"/>
      <c r="E823" s="11"/>
      <c r="F823" s="8"/>
      <c r="G823" s="8"/>
      <c r="H823" s="8"/>
      <c r="I823" s="8"/>
      <c r="J823" s="8"/>
      <c r="K823" s="8"/>
      <c r="L823" s="8"/>
      <c r="M823" s="8"/>
      <c r="N823" s="8"/>
      <c r="O823" s="8"/>
      <c r="P823" s="8"/>
      <c r="Q823" s="8"/>
      <c r="R823" s="8"/>
      <c r="S823" s="8"/>
      <c r="T823" s="8"/>
      <c r="U823" s="8"/>
      <c r="V823" s="8"/>
      <c r="W823" s="8"/>
      <c r="X823" s="8"/>
      <c r="Y823" s="8"/>
      <c r="Z823" s="8"/>
      <c r="AA823" s="8"/>
    </row>
    <row r="824" spans="1:27" ht="19.75">
      <c r="A824" s="8"/>
      <c r="B824" s="7"/>
      <c r="C824" s="8"/>
      <c r="D824" s="8"/>
      <c r="E824" s="11"/>
      <c r="F824" s="8"/>
      <c r="G824" s="8"/>
      <c r="H824" s="8"/>
      <c r="I824" s="8"/>
      <c r="J824" s="8"/>
      <c r="K824" s="8"/>
      <c r="L824" s="8"/>
      <c r="M824" s="8"/>
      <c r="N824" s="8"/>
      <c r="O824" s="8"/>
      <c r="P824" s="8"/>
      <c r="Q824" s="8"/>
      <c r="R824" s="8"/>
      <c r="S824" s="8"/>
      <c r="T824" s="8"/>
      <c r="U824" s="8"/>
      <c r="V824" s="8"/>
      <c r="W824" s="8"/>
      <c r="X824" s="8"/>
      <c r="Y824" s="8"/>
      <c r="Z824" s="8"/>
      <c r="AA824" s="8"/>
    </row>
    <row r="825" spans="1:27" ht="19.75">
      <c r="A825" s="8"/>
      <c r="B825" s="7"/>
      <c r="C825" s="8"/>
      <c r="D825" s="8"/>
      <c r="E825" s="11"/>
      <c r="F825" s="8"/>
      <c r="G825" s="8"/>
      <c r="H825" s="8"/>
      <c r="I825" s="8"/>
      <c r="J825" s="8"/>
      <c r="K825" s="8"/>
      <c r="L825" s="8"/>
      <c r="M825" s="8"/>
      <c r="N825" s="8"/>
      <c r="O825" s="8"/>
      <c r="P825" s="8"/>
      <c r="Q825" s="8"/>
      <c r="R825" s="8"/>
      <c r="S825" s="8"/>
      <c r="T825" s="8"/>
      <c r="U825" s="8"/>
      <c r="V825" s="8"/>
      <c r="W825" s="8"/>
      <c r="X825" s="8"/>
      <c r="Y825" s="8"/>
      <c r="Z825" s="8"/>
      <c r="AA825" s="8"/>
    </row>
    <row r="826" spans="1:27" ht="19.75">
      <c r="A826" s="8"/>
      <c r="B826" s="7"/>
      <c r="C826" s="8"/>
      <c r="D826" s="8"/>
      <c r="E826" s="11"/>
      <c r="F826" s="8"/>
      <c r="G826" s="8"/>
      <c r="H826" s="8"/>
      <c r="I826" s="8"/>
      <c r="J826" s="8"/>
      <c r="K826" s="8"/>
      <c r="L826" s="8"/>
      <c r="M826" s="8"/>
      <c r="N826" s="8"/>
      <c r="O826" s="8"/>
      <c r="P826" s="8"/>
      <c r="Q826" s="8"/>
      <c r="R826" s="8"/>
      <c r="S826" s="8"/>
      <c r="T826" s="8"/>
      <c r="U826" s="8"/>
      <c r="V826" s="8"/>
      <c r="W826" s="8"/>
      <c r="X826" s="8"/>
      <c r="Y826" s="8"/>
      <c r="Z826" s="8"/>
      <c r="AA826" s="8"/>
    </row>
    <row r="827" spans="1:27" ht="19.75">
      <c r="A827" s="8"/>
      <c r="B827" s="7"/>
      <c r="C827" s="8"/>
      <c r="D827" s="8"/>
      <c r="E827" s="11"/>
      <c r="F827" s="8"/>
      <c r="G827" s="8"/>
      <c r="H827" s="8"/>
      <c r="I827" s="8"/>
      <c r="J827" s="8"/>
      <c r="K827" s="8"/>
      <c r="L827" s="8"/>
      <c r="M827" s="8"/>
      <c r="N827" s="8"/>
      <c r="O827" s="8"/>
      <c r="P827" s="8"/>
      <c r="Q827" s="8"/>
      <c r="R827" s="8"/>
      <c r="S827" s="8"/>
      <c r="T827" s="8"/>
      <c r="U827" s="8"/>
      <c r="V827" s="8"/>
      <c r="W827" s="8"/>
      <c r="X827" s="8"/>
      <c r="Y827" s="8"/>
      <c r="Z827" s="8"/>
      <c r="AA827" s="8"/>
    </row>
    <row r="828" spans="1:27" ht="19.75">
      <c r="A828" s="8"/>
      <c r="B828" s="7"/>
      <c r="C828" s="8"/>
      <c r="D828" s="8"/>
      <c r="E828" s="11"/>
      <c r="F828" s="8"/>
      <c r="G828" s="8"/>
      <c r="H828" s="8"/>
      <c r="I828" s="8"/>
      <c r="J828" s="8"/>
      <c r="K828" s="8"/>
      <c r="L828" s="8"/>
      <c r="M828" s="8"/>
      <c r="N828" s="8"/>
      <c r="O828" s="8"/>
      <c r="P828" s="8"/>
      <c r="Q828" s="8"/>
      <c r="R828" s="8"/>
      <c r="S828" s="8"/>
      <c r="T828" s="8"/>
      <c r="U828" s="8"/>
      <c r="V828" s="8"/>
      <c r="W828" s="8"/>
      <c r="X828" s="8"/>
      <c r="Y828" s="8"/>
      <c r="Z828" s="8"/>
      <c r="AA828" s="8"/>
    </row>
    <row r="829" spans="1:27" ht="19.75">
      <c r="A829" s="8"/>
      <c r="B829" s="7"/>
      <c r="C829" s="8"/>
      <c r="D829" s="8"/>
      <c r="E829" s="11"/>
      <c r="F829" s="8"/>
      <c r="G829" s="8"/>
      <c r="H829" s="8"/>
      <c r="I829" s="8"/>
      <c r="J829" s="8"/>
      <c r="K829" s="8"/>
      <c r="L829" s="8"/>
      <c r="M829" s="8"/>
      <c r="N829" s="8"/>
      <c r="O829" s="8"/>
      <c r="P829" s="8"/>
      <c r="Q829" s="8"/>
      <c r="R829" s="8"/>
      <c r="S829" s="8"/>
      <c r="T829" s="8"/>
      <c r="U829" s="8"/>
      <c r="V829" s="8"/>
      <c r="W829" s="8"/>
      <c r="X829" s="8"/>
      <c r="Y829" s="8"/>
      <c r="Z829" s="8"/>
      <c r="AA829" s="8"/>
    </row>
    <row r="830" spans="1:27" ht="19.75">
      <c r="A830" s="8"/>
      <c r="B830" s="7"/>
      <c r="C830" s="8"/>
      <c r="D830" s="8"/>
      <c r="E830" s="11"/>
      <c r="F830" s="8"/>
      <c r="G830" s="8"/>
      <c r="H830" s="8"/>
      <c r="I830" s="8"/>
      <c r="J830" s="8"/>
      <c r="K830" s="8"/>
      <c r="L830" s="8"/>
      <c r="M830" s="8"/>
      <c r="N830" s="8"/>
      <c r="O830" s="8"/>
      <c r="P830" s="8"/>
      <c r="Q830" s="8"/>
      <c r="R830" s="8"/>
      <c r="S830" s="8"/>
      <c r="T830" s="8"/>
      <c r="U830" s="8"/>
      <c r="V830" s="8"/>
      <c r="W830" s="8"/>
      <c r="X830" s="8"/>
      <c r="Y830" s="8"/>
      <c r="Z830" s="8"/>
      <c r="AA830" s="8"/>
    </row>
    <row r="831" spans="1:27" ht="19.75">
      <c r="A831" s="8"/>
      <c r="B831" s="7"/>
      <c r="C831" s="8"/>
      <c r="D831" s="8"/>
      <c r="E831" s="11"/>
      <c r="F831" s="8"/>
      <c r="G831" s="8"/>
      <c r="H831" s="8"/>
      <c r="I831" s="8"/>
      <c r="J831" s="8"/>
      <c r="K831" s="8"/>
      <c r="L831" s="8"/>
      <c r="M831" s="8"/>
      <c r="N831" s="8"/>
      <c r="O831" s="8"/>
      <c r="P831" s="8"/>
      <c r="Q831" s="8"/>
      <c r="R831" s="8"/>
      <c r="S831" s="8"/>
      <c r="T831" s="8"/>
      <c r="U831" s="8"/>
      <c r="V831" s="8"/>
      <c r="W831" s="8"/>
      <c r="X831" s="8"/>
      <c r="Y831" s="8"/>
      <c r="Z831" s="8"/>
      <c r="AA831" s="8"/>
    </row>
    <row r="832" spans="1:27" ht="19.75">
      <c r="A832" s="8"/>
      <c r="B832" s="7"/>
      <c r="C832" s="8"/>
      <c r="D832" s="8"/>
      <c r="E832" s="11"/>
      <c r="F832" s="8"/>
      <c r="G832" s="8"/>
      <c r="H832" s="8"/>
      <c r="I832" s="8"/>
      <c r="J832" s="8"/>
      <c r="K832" s="8"/>
      <c r="L832" s="8"/>
      <c r="M832" s="8"/>
      <c r="N832" s="8"/>
      <c r="O832" s="8"/>
      <c r="P832" s="8"/>
      <c r="Q832" s="8"/>
      <c r="R832" s="8"/>
      <c r="S832" s="8"/>
      <c r="T832" s="8"/>
      <c r="U832" s="8"/>
      <c r="V832" s="8"/>
      <c r="W832" s="8"/>
      <c r="X832" s="8"/>
      <c r="Y832" s="8"/>
      <c r="Z832" s="8"/>
      <c r="AA832" s="8"/>
    </row>
    <row r="833" spans="1:27" ht="19.75">
      <c r="A833" s="8"/>
      <c r="B833" s="7"/>
      <c r="C833" s="8"/>
      <c r="D833" s="8"/>
      <c r="E833" s="11"/>
      <c r="F833" s="8"/>
      <c r="G833" s="8"/>
      <c r="H833" s="8"/>
      <c r="I833" s="8"/>
      <c r="J833" s="8"/>
      <c r="K833" s="8"/>
      <c r="L833" s="8"/>
      <c r="M833" s="8"/>
      <c r="N833" s="8"/>
      <c r="O833" s="8"/>
      <c r="P833" s="8"/>
      <c r="Q833" s="8"/>
      <c r="R833" s="8"/>
      <c r="S833" s="8"/>
      <c r="T833" s="8"/>
      <c r="U833" s="8"/>
      <c r="V833" s="8"/>
      <c r="W833" s="8"/>
      <c r="X833" s="8"/>
      <c r="Y833" s="8"/>
      <c r="Z833" s="8"/>
      <c r="AA833" s="8"/>
    </row>
    <row r="834" spans="1:27" ht="19.75">
      <c r="A834" s="8"/>
      <c r="B834" s="7"/>
      <c r="C834" s="8"/>
      <c r="D834" s="8"/>
      <c r="E834" s="11"/>
      <c r="F834" s="8"/>
      <c r="G834" s="8"/>
      <c r="H834" s="8"/>
      <c r="I834" s="8"/>
      <c r="J834" s="8"/>
      <c r="K834" s="8"/>
      <c r="L834" s="8"/>
      <c r="M834" s="8"/>
      <c r="N834" s="8"/>
      <c r="O834" s="8"/>
      <c r="P834" s="8"/>
      <c r="Q834" s="8"/>
      <c r="R834" s="8"/>
      <c r="S834" s="8"/>
      <c r="T834" s="8"/>
      <c r="U834" s="8"/>
      <c r="V834" s="8"/>
      <c r="W834" s="8"/>
      <c r="X834" s="8"/>
      <c r="Y834" s="8"/>
      <c r="Z834" s="8"/>
      <c r="AA834" s="8"/>
    </row>
    <row r="835" spans="1:27" ht="19.75">
      <c r="A835" s="8"/>
      <c r="B835" s="7"/>
      <c r="C835" s="8"/>
      <c r="D835" s="8"/>
      <c r="E835" s="11"/>
      <c r="F835" s="8"/>
      <c r="G835" s="8"/>
      <c r="H835" s="8"/>
      <c r="I835" s="8"/>
      <c r="J835" s="8"/>
      <c r="K835" s="8"/>
      <c r="L835" s="8"/>
      <c r="M835" s="8"/>
      <c r="N835" s="8"/>
      <c r="O835" s="8"/>
      <c r="P835" s="8"/>
      <c r="Q835" s="8"/>
      <c r="R835" s="8"/>
      <c r="S835" s="8"/>
      <c r="T835" s="8"/>
      <c r="U835" s="8"/>
      <c r="V835" s="8"/>
      <c r="W835" s="8"/>
      <c r="X835" s="8"/>
      <c r="Y835" s="8"/>
      <c r="Z835" s="8"/>
      <c r="AA835" s="8"/>
    </row>
    <row r="836" spans="1:27" ht="19.75">
      <c r="A836" s="8"/>
      <c r="B836" s="7"/>
      <c r="C836" s="8"/>
      <c r="D836" s="8"/>
      <c r="E836" s="11"/>
      <c r="F836" s="8"/>
      <c r="G836" s="8"/>
      <c r="H836" s="8"/>
      <c r="I836" s="8"/>
      <c r="J836" s="8"/>
      <c r="K836" s="8"/>
      <c r="L836" s="8"/>
      <c r="M836" s="8"/>
      <c r="N836" s="8"/>
      <c r="O836" s="8"/>
      <c r="P836" s="8"/>
      <c r="Q836" s="8"/>
      <c r="R836" s="8"/>
      <c r="S836" s="8"/>
      <c r="T836" s="8"/>
      <c r="U836" s="8"/>
      <c r="V836" s="8"/>
      <c r="W836" s="8"/>
      <c r="X836" s="8"/>
      <c r="Y836" s="8"/>
      <c r="Z836" s="8"/>
      <c r="AA836" s="8"/>
    </row>
    <row r="837" spans="1:27" ht="19.75">
      <c r="A837" s="8"/>
      <c r="B837" s="7"/>
      <c r="C837" s="8"/>
      <c r="D837" s="8"/>
      <c r="E837" s="11"/>
      <c r="F837" s="8"/>
      <c r="G837" s="8"/>
      <c r="H837" s="8"/>
      <c r="I837" s="8"/>
      <c r="J837" s="8"/>
      <c r="K837" s="8"/>
      <c r="L837" s="8"/>
      <c r="M837" s="8"/>
      <c r="N837" s="8"/>
      <c r="O837" s="8"/>
      <c r="P837" s="8"/>
      <c r="Q837" s="8"/>
      <c r="R837" s="8"/>
      <c r="S837" s="8"/>
      <c r="T837" s="8"/>
      <c r="U837" s="8"/>
      <c r="V837" s="8"/>
      <c r="W837" s="8"/>
      <c r="X837" s="8"/>
      <c r="Y837" s="8"/>
      <c r="Z837" s="8"/>
      <c r="AA837" s="8"/>
    </row>
    <row r="838" spans="1:27" ht="19.75">
      <c r="A838" s="8"/>
      <c r="B838" s="7"/>
      <c r="C838" s="8"/>
      <c r="D838" s="8"/>
      <c r="E838" s="11"/>
      <c r="F838" s="8"/>
      <c r="G838" s="8"/>
      <c r="H838" s="8"/>
      <c r="I838" s="8"/>
      <c r="J838" s="8"/>
      <c r="K838" s="8"/>
      <c r="L838" s="8"/>
      <c r="M838" s="8"/>
      <c r="N838" s="8"/>
      <c r="O838" s="8"/>
      <c r="P838" s="8"/>
      <c r="Q838" s="8"/>
      <c r="R838" s="8"/>
      <c r="S838" s="8"/>
      <c r="T838" s="8"/>
      <c r="U838" s="8"/>
      <c r="V838" s="8"/>
      <c r="W838" s="8"/>
      <c r="X838" s="8"/>
      <c r="Y838" s="8"/>
      <c r="Z838" s="8"/>
      <c r="AA838" s="8"/>
    </row>
    <row r="839" spans="1:27" ht="19.75">
      <c r="A839" s="8"/>
      <c r="B839" s="7"/>
      <c r="C839" s="8"/>
      <c r="D839" s="8"/>
      <c r="E839" s="11"/>
      <c r="F839" s="8"/>
      <c r="G839" s="8"/>
      <c r="H839" s="8"/>
      <c r="I839" s="8"/>
      <c r="J839" s="8"/>
      <c r="K839" s="8"/>
      <c r="L839" s="8"/>
      <c r="M839" s="8"/>
      <c r="N839" s="8"/>
      <c r="O839" s="8"/>
      <c r="P839" s="8"/>
      <c r="Q839" s="8"/>
      <c r="R839" s="8"/>
      <c r="S839" s="8"/>
      <c r="T839" s="8"/>
      <c r="U839" s="8"/>
      <c r="V839" s="8"/>
      <c r="W839" s="8"/>
      <c r="X839" s="8"/>
      <c r="Y839" s="8"/>
      <c r="Z839" s="8"/>
      <c r="AA839" s="8"/>
    </row>
    <row r="840" spans="1:27" ht="19.75">
      <c r="A840" s="8"/>
      <c r="B840" s="7"/>
      <c r="C840" s="8"/>
      <c r="D840" s="8"/>
      <c r="E840" s="11"/>
      <c r="F840" s="8"/>
      <c r="G840" s="8"/>
      <c r="H840" s="8"/>
      <c r="I840" s="8"/>
      <c r="J840" s="8"/>
      <c r="K840" s="8"/>
      <c r="L840" s="8"/>
      <c r="M840" s="8"/>
      <c r="N840" s="8"/>
      <c r="O840" s="8"/>
      <c r="P840" s="8"/>
      <c r="Q840" s="8"/>
      <c r="R840" s="8"/>
      <c r="S840" s="8"/>
      <c r="T840" s="8"/>
      <c r="U840" s="8"/>
      <c r="V840" s="8"/>
      <c r="W840" s="8"/>
      <c r="X840" s="8"/>
      <c r="Y840" s="8"/>
      <c r="Z840" s="8"/>
      <c r="AA840" s="8"/>
    </row>
    <row r="841" spans="1:27" ht="19.75">
      <c r="A841" s="8"/>
      <c r="B841" s="7"/>
      <c r="C841" s="8"/>
      <c r="D841" s="8"/>
      <c r="E841" s="11"/>
      <c r="F841" s="8"/>
      <c r="G841" s="8"/>
      <c r="H841" s="8"/>
      <c r="I841" s="8"/>
      <c r="J841" s="8"/>
      <c r="K841" s="8"/>
      <c r="L841" s="8"/>
      <c r="M841" s="8"/>
      <c r="N841" s="8"/>
      <c r="O841" s="8"/>
      <c r="P841" s="8"/>
      <c r="Q841" s="8"/>
      <c r="R841" s="8"/>
      <c r="S841" s="8"/>
      <c r="T841" s="8"/>
      <c r="U841" s="8"/>
      <c r="V841" s="8"/>
      <c r="W841" s="8"/>
      <c r="X841" s="8"/>
      <c r="Y841" s="8"/>
      <c r="Z841" s="8"/>
      <c r="AA841" s="8"/>
    </row>
    <row r="842" spans="1:27" ht="19.75">
      <c r="A842" s="8"/>
      <c r="B842" s="7"/>
      <c r="C842" s="8"/>
      <c r="D842" s="8"/>
      <c r="E842" s="11"/>
      <c r="F842" s="8"/>
      <c r="G842" s="8"/>
      <c r="H842" s="8"/>
      <c r="I842" s="8"/>
      <c r="J842" s="8"/>
      <c r="K842" s="8"/>
      <c r="L842" s="8"/>
      <c r="M842" s="8"/>
      <c r="N842" s="8"/>
      <c r="O842" s="8"/>
      <c r="P842" s="8"/>
      <c r="Q842" s="8"/>
      <c r="R842" s="8"/>
      <c r="S842" s="8"/>
      <c r="T842" s="8"/>
      <c r="U842" s="8"/>
      <c r="V842" s="8"/>
      <c r="W842" s="8"/>
      <c r="X842" s="8"/>
      <c r="Y842" s="8"/>
      <c r="Z842" s="8"/>
      <c r="AA842" s="8"/>
    </row>
    <row r="843" spans="1:27" ht="19.75">
      <c r="A843" s="8"/>
      <c r="B843" s="7"/>
      <c r="C843" s="8"/>
      <c r="D843" s="8"/>
      <c r="E843" s="11"/>
      <c r="F843" s="8"/>
      <c r="G843" s="8"/>
      <c r="H843" s="8"/>
      <c r="I843" s="8"/>
      <c r="J843" s="8"/>
      <c r="K843" s="8"/>
      <c r="L843" s="8"/>
      <c r="M843" s="8"/>
      <c r="N843" s="8"/>
      <c r="O843" s="8"/>
      <c r="P843" s="8"/>
      <c r="Q843" s="8"/>
      <c r="R843" s="8"/>
      <c r="S843" s="8"/>
      <c r="T843" s="8"/>
      <c r="U843" s="8"/>
      <c r="V843" s="8"/>
      <c r="W843" s="8"/>
      <c r="X843" s="8"/>
      <c r="Y843" s="8"/>
      <c r="Z843" s="8"/>
      <c r="AA843" s="8"/>
    </row>
    <row r="844" spans="1:27" ht="19.75">
      <c r="A844" s="8"/>
      <c r="B844" s="7"/>
      <c r="C844" s="8"/>
      <c r="D844" s="8"/>
      <c r="E844" s="11"/>
      <c r="F844" s="8"/>
      <c r="G844" s="8"/>
      <c r="H844" s="8"/>
      <c r="I844" s="8"/>
      <c r="J844" s="8"/>
      <c r="K844" s="8"/>
      <c r="L844" s="8"/>
      <c r="M844" s="8"/>
      <c r="N844" s="8"/>
      <c r="O844" s="8"/>
      <c r="P844" s="8"/>
      <c r="Q844" s="8"/>
      <c r="R844" s="8"/>
      <c r="S844" s="8"/>
      <c r="T844" s="8"/>
      <c r="U844" s="8"/>
      <c r="V844" s="8"/>
      <c r="W844" s="8"/>
      <c r="X844" s="8"/>
      <c r="Y844" s="8"/>
      <c r="Z844" s="8"/>
      <c r="AA844" s="8"/>
    </row>
    <row r="845" spans="1:27" ht="19.75">
      <c r="A845" s="8"/>
      <c r="B845" s="7"/>
      <c r="C845" s="8"/>
      <c r="D845" s="8"/>
      <c r="E845" s="11"/>
      <c r="F845" s="8"/>
      <c r="G845" s="8"/>
      <c r="H845" s="8"/>
      <c r="I845" s="8"/>
      <c r="J845" s="8"/>
      <c r="K845" s="8"/>
      <c r="L845" s="8"/>
      <c r="M845" s="8"/>
      <c r="N845" s="8"/>
      <c r="O845" s="8"/>
      <c r="P845" s="8"/>
      <c r="Q845" s="8"/>
      <c r="R845" s="8"/>
      <c r="S845" s="8"/>
      <c r="T845" s="8"/>
      <c r="U845" s="8"/>
      <c r="V845" s="8"/>
      <c r="W845" s="8"/>
      <c r="X845" s="8"/>
      <c r="Y845" s="8"/>
      <c r="Z845" s="8"/>
      <c r="AA845" s="8"/>
    </row>
    <row r="846" spans="1:27" ht="19.75">
      <c r="A846" s="8"/>
      <c r="B846" s="7"/>
      <c r="C846" s="8"/>
      <c r="D846" s="8"/>
      <c r="E846" s="11"/>
      <c r="F846" s="8"/>
      <c r="G846" s="8"/>
      <c r="H846" s="8"/>
      <c r="I846" s="8"/>
      <c r="J846" s="8"/>
      <c r="K846" s="8"/>
      <c r="L846" s="8"/>
      <c r="M846" s="8"/>
      <c r="N846" s="8"/>
      <c r="O846" s="8"/>
      <c r="P846" s="8"/>
      <c r="Q846" s="8"/>
      <c r="R846" s="8"/>
      <c r="S846" s="8"/>
      <c r="T846" s="8"/>
      <c r="U846" s="8"/>
      <c r="V846" s="8"/>
      <c r="W846" s="8"/>
      <c r="X846" s="8"/>
      <c r="Y846" s="8"/>
      <c r="Z846" s="8"/>
      <c r="AA846" s="8"/>
    </row>
    <row r="847" spans="1:27" ht="19.75">
      <c r="A847" s="8"/>
      <c r="B847" s="7"/>
      <c r="C847" s="8"/>
      <c r="D847" s="8"/>
      <c r="E847" s="11"/>
      <c r="F847" s="8"/>
      <c r="G847" s="8"/>
      <c r="H847" s="8"/>
      <c r="I847" s="8"/>
      <c r="J847" s="8"/>
      <c r="K847" s="8"/>
      <c r="L847" s="8"/>
      <c r="M847" s="8"/>
      <c r="N847" s="8"/>
      <c r="O847" s="8"/>
      <c r="P847" s="8"/>
      <c r="Q847" s="8"/>
      <c r="R847" s="8"/>
      <c r="S847" s="8"/>
      <c r="T847" s="8"/>
      <c r="U847" s="8"/>
      <c r="V847" s="8"/>
      <c r="W847" s="8"/>
      <c r="X847" s="8"/>
      <c r="Y847" s="8"/>
      <c r="Z847" s="8"/>
      <c r="AA847" s="8"/>
    </row>
    <row r="848" spans="1:27" ht="19.75">
      <c r="A848" s="8"/>
      <c r="B848" s="7"/>
      <c r="C848" s="8"/>
      <c r="D848" s="8"/>
      <c r="E848" s="11"/>
      <c r="F848" s="8"/>
      <c r="G848" s="8"/>
      <c r="H848" s="8"/>
      <c r="I848" s="8"/>
      <c r="J848" s="8"/>
      <c r="K848" s="8"/>
      <c r="L848" s="8"/>
      <c r="M848" s="8"/>
      <c r="N848" s="8"/>
      <c r="O848" s="8"/>
      <c r="P848" s="8"/>
      <c r="Q848" s="8"/>
      <c r="R848" s="8"/>
      <c r="S848" s="8"/>
      <c r="T848" s="8"/>
      <c r="U848" s="8"/>
      <c r="V848" s="8"/>
      <c r="W848" s="8"/>
      <c r="X848" s="8"/>
      <c r="Y848" s="8"/>
      <c r="Z848" s="8"/>
      <c r="AA848" s="8"/>
    </row>
    <row r="849" spans="1:27" ht="19.75">
      <c r="A849" s="8"/>
      <c r="B849" s="7"/>
      <c r="C849" s="8"/>
      <c r="D849" s="8"/>
      <c r="E849" s="11"/>
      <c r="F849" s="8"/>
      <c r="G849" s="8"/>
      <c r="H849" s="8"/>
      <c r="I849" s="8"/>
      <c r="J849" s="8"/>
      <c r="K849" s="8"/>
      <c r="L849" s="8"/>
      <c r="M849" s="8"/>
      <c r="N849" s="8"/>
      <c r="O849" s="8"/>
      <c r="P849" s="8"/>
      <c r="Q849" s="8"/>
      <c r="R849" s="8"/>
      <c r="S849" s="8"/>
      <c r="T849" s="8"/>
      <c r="U849" s="8"/>
      <c r="V849" s="8"/>
      <c r="W849" s="8"/>
      <c r="X849" s="8"/>
      <c r="Y849" s="8"/>
      <c r="Z849" s="8"/>
      <c r="AA849" s="8"/>
    </row>
    <row r="850" spans="1:27" ht="19.75">
      <c r="A850" s="8"/>
      <c r="B850" s="7"/>
      <c r="C850" s="8"/>
      <c r="D850" s="8"/>
      <c r="E850" s="11"/>
      <c r="F850" s="8"/>
      <c r="G850" s="8"/>
      <c r="H850" s="8"/>
      <c r="I850" s="8"/>
      <c r="J850" s="8"/>
      <c r="K850" s="8"/>
      <c r="L850" s="8"/>
      <c r="M850" s="8"/>
      <c r="N850" s="8"/>
      <c r="O850" s="8"/>
      <c r="P850" s="8"/>
      <c r="Q850" s="8"/>
      <c r="R850" s="8"/>
      <c r="S850" s="8"/>
      <c r="T850" s="8"/>
      <c r="U850" s="8"/>
      <c r="V850" s="8"/>
      <c r="W850" s="8"/>
      <c r="X850" s="8"/>
      <c r="Y850" s="8"/>
      <c r="Z850" s="8"/>
      <c r="AA850" s="8"/>
    </row>
    <row r="851" spans="1:27" ht="19.75">
      <c r="A851" s="8"/>
      <c r="B851" s="7"/>
      <c r="C851" s="8"/>
      <c r="D851" s="8"/>
      <c r="E851" s="11"/>
      <c r="F851" s="8"/>
      <c r="G851" s="8"/>
      <c r="H851" s="8"/>
      <c r="I851" s="8"/>
      <c r="J851" s="8"/>
      <c r="K851" s="8"/>
      <c r="L851" s="8"/>
      <c r="M851" s="8"/>
      <c r="N851" s="8"/>
      <c r="O851" s="8"/>
      <c r="P851" s="8"/>
      <c r="Q851" s="8"/>
      <c r="R851" s="8"/>
      <c r="S851" s="8"/>
      <c r="T851" s="8"/>
      <c r="U851" s="8"/>
      <c r="V851" s="8"/>
      <c r="W851" s="8"/>
      <c r="X851" s="8"/>
      <c r="Y851" s="8"/>
      <c r="Z851" s="8"/>
      <c r="AA851" s="8"/>
    </row>
    <row r="852" spans="1:27" ht="19.75">
      <c r="A852" s="8"/>
      <c r="B852" s="7"/>
      <c r="C852" s="8"/>
      <c r="D852" s="8"/>
      <c r="E852" s="11"/>
      <c r="F852" s="8"/>
      <c r="G852" s="8"/>
      <c r="H852" s="8"/>
      <c r="I852" s="8"/>
      <c r="J852" s="8"/>
      <c r="K852" s="8"/>
      <c r="L852" s="8"/>
      <c r="M852" s="8"/>
      <c r="N852" s="8"/>
      <c r="O852" s="8"/>
      <c r="P852" s="8"/>
      <c r="Q852" s="8"/>
      <c r="R852" s="8"/>
      <c r="S852" s="8"/>
      <c r="T852" s="8"/>
      <c r="U852" s="8"/>
      <c r="V852" s="8"/>
      <c r="W852" s="8"/>
      <c r="X852" s="8"/>
      <c r="Y852" s="8"/>
      <c r="Z852" s="8"/>
      <c r="AA852" s="8"/>
    </row>
    <row r="853" spans="1:27" ht="19.75">
      <c r="A853" s="8"/>
      <c r="B853" s="7"/>
      <c r="C853" s="8"/>
      <c r="D853" s="8"/>
      <c r="E853" s="11"/>
      <c r="F853" s="8"/>
      <c r="G853" s="8"/>
      <c r="H853" s="8"/>
      <c r="I853" s="8"/>
      <c r="J853" s="8"/>
      <c r="K853" s="8"/>
      <c r="L853" s="8"/>
      <c r="M853" s="8"/>
      <c r="N853" s="8"/>
      <c r="O853" s="8"/>
      <c r="P853" s="8"/>
      <c r="Q853" s="8"/>
      <c r="R853" s="8"/>
      <c r="S853" s="8"/>
      <c r="T853" s="8"/>
      <c r="U853" s="8"/>
      <c r="V853" s="8"/>
      <c r="W853" s="8"/>
      <c r="X853" s="8"/>
      <c r="Y853" s="8"/>
      <c r="Z853" s="8"/>
      <c r="AA853" s="8"/>
    </row>
    <row r="854" spans="1:27" ht="19.75">
      <c r="A854" s="8"/>
      <c r="B854" s="7"/>
      <c r="C854" s="8"/>
      <c r="D854" s="8"/>
      <c r="E854" s="11"/>
      <c r="F854" s="8"/>
      <c r="G854" s="8"/>
      <c r="H854" s="8"/>
      <c r="I854" s="8"/>
      <c r="J854" s="8"/>
      <c r="K854" s="8"/>
      <c r="L854" s="8"/>
      <c r="M854" s="8"/>
      <c r="N854" s="8"/>
      <c r="O854" s="8"/>
      <c r="P854" s="8"/>
      <c r="Q854" s="8"/>
      <c r="R854" s="8"/>
      <c r="S854" s="8"/>
      <c r="T854" s="8"/>
      <c r="U854" s="8"/>
      <c r="V854" s="8"/>
      <c r="W854" s="8"/>
      <c r="X854" s="8"/>
      <c r="Y854" s="8"/>
      <c r="Z854" s="8"/>
      <c r="AA854" s="8"/>
    </row>
    <row r="855" spans="1:27" ht="19.75">
      <c r="A855" s="8"/>
      <c r="B855" s="7"/>
      <c r="C855" s="8"/>
      <c r="D855" s="8"/>
      <c r="E855" s="11"/>
      <c r="F855" s="8"/>
      <c r="G855" s="8"/>
      <c r="H855" s="8"/>
      <c r="I855" s="8"/>
      <c r="J855" s="8"/>
      <c r="K855" s="8"/>
      <c r="L855" s="8"/>
      <c r="M855" s="8"/>
      <c r="N855" s="8"/>
      <c r="O855" s="8"/>
      <c r="P855" s="8"/>
      <c r="Q855" s="8"/>
      <c r="R855" s="8"/>
      <c r="S855" s="8"/>
      <c r="T855" s="8"/>
      <c r="U855" s="8"/>
      <c r="V855" s="8"/>
      <c r="W855" s="8"/>
      <c r="X855" s="8"/>
      <c r="Y855" s="8"/>
      <c r="Z855" s="8"/>
      <c r="AA855" s="8"/>
    </row>
    <row r="856" spans="1:27" ht="19.75">
      <c r="A856" s="8"/>
      <c r="B856" s="7"/>
      <c r="C856" s="8"/>
      <c r="D856" s="8"/>
      <c r="E856" s="11"/>
      <c r="F856" s="8"/>
      <c r="G856" s="8"/>
      <c r="H856" s="8"/>
      <c r="I856" s="8"/>
      <c r="J856" s="8"/>
      <c r="K856" s="8"/>
      <c r="L856" s="8"/>
      <c r="M856" s="8"/>
      <c r="N856" s="8"/>
      <c r="O856" s="8"/>
      <c r="P856" s="8"/>
      <c r="Q856" s="8"/>
      <c r="R856" s="8"/>
      <c r="S856" s="8"/>
      <c r="T856" s="8"/>
      <c r="U856" s="8"/>
      <c r="V856" s="8"/>
      <c r="W856" s="8"/>
      <c r="X856" s="8"/>
      <c r="Y856" s="8"/>
      <c r="Z856" s="8"/>
      <c r="AA856" s="8"/>
    </row>
    <row r="857" spans="1:27" ht="19.75">
      <c r="A857" s="8"/>
      <c r="B857" s="7"/>
      <c r="C857" s="8"/>
      <c r="D857" s="8"/>
      <c r="E857" s="11"/>
      <c r="F857" s="8"/>
      <c r="G857" s="8"/>
      <c r="H857" s="8"/>
      <c r="I857" s="8"/>
      <c r="J857" s="8"/>
      <c r="K857" s="8"/>
      <c r="L857" s="8"/>
      <c r="M857" s="8"/>
      <c r="N857" s="8"/>
      <c r="O857" s="8"/>
      <c r="P857" s="8"/>
      <c r="Q857" s="8"/>
      <c r="R857" s="8"/>
      <c r="S857" s="8"/>
      <c r="T857" s="8"/>
      <c r="U857" s="8"/>
      <c r="V857" s="8"/>
      <c r="W857" s="8"/>
      <c r="X857" s="8"/>
      <c r="Y857" s="8"/>
      <c r="Z857" s="8"/>
      <c r="AA857" s="8"/>
    </row>
    <row r="858" spans="1:27" ht="19.75">
      <c r="A858" s="8"/>
      <c r="B858" s="7"/>
      <c r="C858" s="8"/>
      <c r="D858" s="8"/>
      <c r="E858" s="11"/>
      <c r="F858" s="8"/>
      <c r="G858" s="8"/>
      <c r="H858" s="8"/>
      <c r="I858" s="8"/>
      <c r="J858" s="8"/>
      <c r="K858" s="8"/>
      <c r="L858" s="8"/>
      <c r="M858" s="8"/>
      <c r="N858" s="8"/>
      <c r="O858" s="8"/>
      <c r="P858" s="8"/>
      <c r="Q858" s="8"/>
      <c r="R858" s="8"/>
      <c r="S858" s="8"/>
      <c r="T858" s="8"/>
      <c r="U858" s="8"/>
      <c r="V858" s="8"/>
      <c r="W858" s="8"/>
      <c r="X858" s="8"/>
      <c r="Y858" s="8"/>
      <c r="Z858" s="8"/>
      <c r="AA858" s="8"/>
    </row>
    <row r="859" spans="1:27" ht="19.75">
      <c r="A859" s="8"/>
      <c r="B859" s="7"/>
      <c r="C859" s="8"/>
      <c r="D859" s="8"/>
      <c r="E859" s="11"/>
      <c r="F859" s="8"/>
      <c r="G859" s="8"/>
      <c r="H859" s="8"/>
      <c r="I859" s="8"/>
      <c r="J859" s="8"/>
      <c r="K859" s="8"/>
      <c r="L859" s="8"/>
      <c r="M859" s="8"/>
      <c r="N859" s="8"/>
      <c r="O859" s="8"/>
      <c r="P859" s="8"/>
      <c r="Q859" s="8"/>
      <c r="R859" s="8"/>
      <c r="S859" s="8"/>
      <c r="T859" s="8"/>
      <c r="U859" s="8"/>
      <c r="V859" s="8"/>
      <c r="W859" s="8"/>
      <c r="X859" s="8"/>
      <c r="Y859" s="8"/>
      <c r="Z859" s="8"/>
      <c r="AA859" s="8"/>
    </row>
    <row r="860" spans="1:27" ht="19.75">
      <c r="A860" s="8"/>
      <c r="B860" s="7"/>
      <c r="C860" s="8"/>
      <c r="D860" s="8"/>
      <c r="E860" s="11"/>
      <c r="F860" s="8"/>
      <c r="G860" s="8"/>
      <c r="H860" s="8"/>
      <c r="I860" s="8"/>
      <c r="J860" s="8"/>
      <c r="K860" s="8"/>
      <c r="L860" s="8"/>
      <c r="M860" s="8"/>
      <c r="N860" s="8"/>
      <c r="O860" s="8"/>
      <c r="P860" s="8"/>
      <c r="Q860" s="8"/>
      <c r="R860" s="8"/>
      <c r="S860" s="8"/>
      <c r="T860" s="8"/>
      <c r="U860" s="8"/>
      <c r="V860" s="8"/>
      <c r="W860" s="8"/>
      <c r="X860" s="8"/>
      <c r="Y860" s="8"/>
      <c r="Z860" s="8"/>
      <c r="AA860" s="8"/>
    </row>
    <row r="861" spans="1:27" ht="19.75">
      <c r="A861" s="8"/>
      <c r="B861" s="7"/>
      <c r="C861" s="8"/>
      <c r="D861" s="8"/>
      <c r="E861" s="11"/>
      <c r="F861" s="8"/>
      <c r="G861" s="8"/>
      <c r="H861" s="8"/>
      <c r="I861" s="8"/>
      <c r="J861" s="8"/>
      <c r="K861" s="8"/>
      <c r="L861" s="8"/>
      <c r="M861" s="8"/>
      <c r="N861" s="8"/>
      <c r="O861" s="8"/>
      <c r="P861" s="8"/>
      <c r="Q861" s="8"/>
      <c r="R861" s="8"/>
      <c r="S861" s="8"/>
      <c r="T861" s="8"/>
      <c r="U861" s="8"/>
      <c r="V861" s="8"/>
      <c r="W861" s="8"/>
      <c r="X861" s="8"/>
      <c r="Y861" s="8"/>
      <c r="Z861" s="8"/>
      <c r="AA861" s="8"/>
    </row>
    <row r="862" spans="1:27" ht="19.75">
      <c r="A862" s="8"/>
      <c r="B862" s="7"/>
      <c r="C862" s="8"/>
      <c r="D862" s="8"/>
      <c r="E862" s="11"/>
      <c r="F862" s="8"/>
      <c r="G862" s="8"/>
      <c r="H862" s="8"/>
      <c r="I862" s="8"/>
      <c r="J862" s="8"/>
      <c r="K862" s="8"/>
      <c r="L862" s="8"/>
      <c r="M862" s="8"/>
      <c r="N862" s="8"/>
      <c r="O862" s="8"/>
      <c r="P862" s="8"/>
      <c r="Q862" s="8"/>
      <c r="R862" s="8"/>
      <c r="S862" s="8"/>
      <c r="T862" s="8"/>
      <c r="U862" s="8"/>
      <c r="V862" s="8"/>
      <c r="W862" s="8"/>
      <c r="X862" s="8"/>
      <c r="Y862" s="8"/>
      <c r="Z862" s="8"/>
      <c r="AA862" s="8"/>
    </row>
    <row r="863" spans="1:27" ht="19.75">
      <c r="A863" s="8"/>
      <c r="B863" s="7"/>
      <c r="C863" s="8"/>
      <c r="D863" s="8"/>
      <c r="E863" s="11"/>
      <c r="F863" s="8"/>
      <c r="G863" s="8"/>
      <c r="H863" s="8"/>
      <c r="I863" s="8"/>
      <c r="J863" s="8"/>
      <c r="K863" s="8"/>
      <c r="L863" s="8"/>
      <c r="M863" s="8"/>
      <c r="N863" s="8"/>
      <c r="O863" s="8"/>
      <c r="P863" s="8"/>
      <c r="Q863" s="8"/>
      <c r="R863" s="8"/>
      <c r="S863" s="8"/>
      <c r="T863" s="8"/>
      <c r="U863" s="8"/>
      <c r="V863" s="8"/>
      <c r="W863" s="8"/>
      <c r="X863" s="8"/>
      <c r="Y863" s="8"/>
      <c r="Z863" s="8"/>
      <c r="AA863" s="8"/>
    </row>
    <row r="864" spans="1:27" ht="19.75">
      <c r="A864" s="8"/>
      <c r="B864" s="7"/>
      <c r="C864" s="8"/>
      <c r="D864" s="8"/>
      <c r="E864" s="11"/>
      <c r="F864" s="8"/>
      <c r="G864" s="8"/>
      <c r="H864" s="8"/>
      <c r="I864" s="8"/>
      <c r="J864" s="8"/>
      <c r="K864" s="8"/>
      <c r="L864" s="8"/>
      <c r="M864" s="8"/>
      <c r="N864" s="8"/>
      <c r="O864" s="8"/>
      <c r="P864" s="8"/>
      <c r="Q864" s="8"/>
      <c r="R864" s="8"/>
      <c r="S864" s="8"/>
      <c r="T864" s="8"/>
      <c r="U864" s="8"/>
      <c r="V864" s="8"/>
      <c r="W864" s="8"/>
      <c r="X864" s="8"/>
      <c r="Y864" s="8"/>
      <c r="Z864" s="8"/>
      <c r="AA864" s="8"/>
    </row>
    <row r="865" spans="1:27" ht="19.75">
      <c r="A865" s="8"/>
      <c r="B865" s="7"/>
      <c r="C865" s="8"/>
      <c r="D865" s="8"/>
      <c r="E865" s="11"/>
      <c r="F865" s="8"/>
      <c r="G865" s="8"/>
      <c r="H865" s="8"/>
      <c r="I865" s="8"/>
      <c r="J865" s="8"/>
      <c r="K865" s="8"/>
      <c r="L865" s="8"/>
      <c r="M865" s="8"/>
      <c r="N865" s="8"/>
      <c r="O865" s="8"/>
      <c r="P865" s="8"/>
      <c r="Q865" s="8"/>
      <c r="R865" s="8"/>
      <c r="S865" s="8"/>
      <c r="T865" s="8"/>
      <c r="U865" s="8"/>
      <c r="V865" s="8"/>
      <c r="W865" s="8"/>
      <c r="X865" s="8"/>
      <c r="Y865" s="8"/>
      <c r="Z865" s="8"/>
      <c r="AA865" s="8"/>
    </row>
    <row r="866" spans="1:27" ht="19.75">
      <c r="A866" s="8"/>
      <c r="B866" s="7"/>
      <c r="C866" s="8"/>
      <c r="D866" s="8"/>
      <c r="E866" s="11"/>
      <c r="F866" s="8"/>
      <c r="G866" s="8"/>
      <c r="H866" s="8"/>
      <c r="I866" s="8"/>
      <c r="J866" s="8"/>
      <c r="K866" s="8"/>
      <c r="L866" s="8"/>
      <c r="M866" s="8"/>
      <c r="N866" s="8"/>
      <c r="O866" s="8"/>
      <c r="P866" s="8"/>
      <c r="Q866" s="8"/>
      <c r="R866" s="8"/>
      <c r="S866" s="8"/>
      <c r="T866" s="8"/>
      <c r="U866" s="8"/>
      <c r="V866" s="8"/>
      <c r="W866" s="8"/>
      <c r="X866" s="8"/>
      <c r="Y866" s="8"/>
      <c r="Z866" s="8"/>
      <c r="AA866" s="8"/>
    </row>
    <row r="867" spans="1:27" ht="19.75">
      <c r="A867" s="8"/>
      <c r="B867" s="7"/>
      <c r="C867" s="8"/>
      <c r="D867" s="8"/>
      <c r="E867" s="11"/>
      <c r="F867" s="8"/>
      <c r="G867" s="8"/>
      <c r="H867" s="8"/>
      <c r="I867" s="8"/>
      <c r="J867" s="8"/>
      <c r="K867" s="8"/>
      <c r="L867" s="8"/>
      <c r="M867" s="8"/>
      <c r="N867" s="8"/>
      <c r="O867" s="8"/>
      <c r="P867" s="8"/>
      <c r="Q867" s="8"/>
      <c r="R867" s="8"/>
      <c r="S867" s="8"/>
      <c r="T867" s="8"/>
      <c r="U867" s="8"/>
      <c r="V867" s="8"/>
      <c r="W867" s="8"/>
      <c r="X867" s="8"/>
      <c r="Y867" s="8"/>
      <c r="Z867" s="8"/>
      <c r="AA867" s="8"/>
    </row>
    <row r="868" spans="1:27" ht="19.75">
      <c r="A868" s="8"/>
      <c r="B868" s="7"/>
      <c r="C868" s="8"/>
      <c r="D868" s="8"/>
      <c r="E868" s="11"/>
      <c r="F868" s="8"/>
      <c r="G868" s="8"/>
      <c r="H868" s="8"/>
      <c r="I868" s="8"/>
      <c r="J868" s="8"/>
      <c r="K868" s="8"/>
      <c r="L868" s="8"/>
      <c r="M868" s="8"/>
      <c r="N868" s="8"/>
      <c r="O868" s="8"/>
      <c r="P868" s="8"/>
      <c r="Q868" s="8"/>
      <c r="R868" s="8"/>
      <c r="S868" s="8"/>
      <c r="T868" s="8"/>
      <c r="U868" s="8"/>
      <c r="V868" s="8"/>
      <c r="W868" s="8"/>
      <c r="X868" s="8"/>
      <c r="Y868" s="8"/>
      <c r="Z868" s="8"/>
      <c r="AA868" s="8"/>
    </row>
    <row r="869" spans="1:27" ht="19.75">
      <c r="A869" s="8"/>
      <c r="B869" s="7"/>
      <c r="C869" s="8"/>
      <c r="D869" s="8"/>
      <c r="E869" s="11"/>
      <c r="F869" s="8"/>
      <c r="G869" s="8"/>
      <c r="H869" s="8"/>
      <c r="I869" s="8"/>
      <c r="J869" s="8"/>
      <c r="K869" s="8"/>
      <c r="L869" s="8"/>
      <c r="M869" s="8"/>
      <c r="N869" s="8"/>
      <c r="O869" s="8"/>
      <c r="P869" s="8"/>
      <c r="Q869" s="8"/>
      <c r="R869" s="8"/>
      <c r="S869" s="8"/>
      <c r="T869" s="8"/>
      <c r="U869" s="8"/>
      <c r="V869" s="8"/>
      <c r="W869" s="8"/>
      <c r="X869" s="8"/>
      <c r="Y869" s="8"/>
      <c r="Z869" s="8"/>
      <c r="AA869" s="8"/>
    </row>
    <row r="870" spans="1:27" ht="19.75">
      <c r="A870" s="8"/>
      <c r="B870" s="7"/>
      <c r="C870" s="8"/>
      <c r="D870" s="8"/>
      <c r="E870" s="11"/>
      <c r="F870" s="8"/>
      <c r="G870" s="8"/>
      <c r="H870" s="8"/>
      <c r="I870" s="8"/>
      <c r="J870" s="8"/>
      <c r="K870" s="8"/>
      <c r="L870" s="8"/>
      <c r="M870" s="8"/>
      <c r="N870" s="8"/>
      <c r="O870" s="8"/>
      <c r="P870" s="8"/>
      <c r="Q870" s="8"/>
      <c r="R870" s="8"/>
      <c r="S870" s="8"/>
      <c r="T870" s="8"/>
      <c r="U870" s="8"/>
      <c r="V870" s="8"/>
      <c r="W870" s="8"/>
      <c r="X870" s="8"/>
      <c r="Y870" s="8"/>
      <c r="Z870" s="8"/>
      <c r="AA870" s="8"/>
    </row>
    <row r="871" spans="1:27" ht="19.75">
      <c r="A871" s="8"/>
      <c r="B871" s="7"/>
      <c r="C871" s="8"/>
      <c r="D871" s="8"/>
      <c r="E871" s="11"/>
      <c r="F871" s="8"/>
      <c r="G871" s="8"/>
      <c r="H871" s="8"/>
      <c r="I871" s="8"/>
      <c r="J871" s="8"/>
      <c r="K871" s="8"/>
      <c r="L871" s="8"/>
      <c r="M871" s="8"/>
      <c r="N871" s="8"/>
      <c r="O871" s="8"/>
      <c r="P871" s="8"/>
      <c r="Q871" s="8"/>
      <c r="R871" s="8"/>
      <c r="S871" s="8"/>
      <c r="T871" s="8"/>
      <c r="U871" s="8"/>
      <c r="V871" s="8"/>
      <c r="W871" s="8"/>
      <c r="X871" s="8"/>
      <c r="Y871" s="8"/>
      <c r="Z871" s="8"/>
      <c r="AA871" s="8"/>
    </row>
    <row r="872" spans="1:27" ht="19.75">
      <c r="A872" s="8"/>
      <c r="B872" s="7"/>
      <c r="C872" s="8"/>
      <c r="D872" s="8"/>
      <c r="E872" s="11"/>
      <c r="F872" s="8"/>
      <c r="G872" s="8"/>
      <c r="H872" s="8"/>
      <c r="I872" s="8"/>
      <c r="J872" s="8"/>
      <c r="K872" s="8"/>
      <c r="L872" s="8"/>
      <c r="M872" s="8"/>
      <c r="N872" s="8"/>
      <c r="O872" s="8"/>
      <c r="P872" s="8"/>
      <c r="Q872" s="8"/>
      <c r="R872" s="8"/>
      <c r="S872" s="8"/>
      <c r="T872" s="8"/>
      <c r="U872" s="8"/>
      <c r="V872" s="8"/>
      <c r="W872" s="8"/>
      <c r="X872" s="8"/>
      <c r="Y872" s="8"/>
      <c r="Z872" s="8"/>
      <c r="AA872" s="8"/>
    </row>
    <row r="873" spans="1:27" ht="19.75">
      <c r="A873" s="8"/>
      <c r="B873" s="7"/>
      <c r="C873" s="8"/>
      <c r="D873" s="8"/>
      <c r="E873" s="11"/>
      <c r="F873" s="8"/>
      <c r="G873" s="8"/>
      <c r="H873" s="8"/>
      <c r="I873" s="8"/>
      <c r="J873" s="8"/>
      <c r="K873" s="8"/>
      <c r="L873" s="8"/>
      <c r="M873" s="8"/>
      <c r="N873" s="8"/>
      <c r="O873" s="8"/>
      <c r="P873" s="8"/>
      <c r="Q873" s="8"/>
      <c r="R873" s="8"/>
      <c r="S873" s="8"/>
      <c r="T873" s="8"/>
      <c r="U873" s="8"/>
      <c r="V873" s="8"/>
      <c r="W873" s="8"/>
      <c r="X873" s="8"/>
      <c r="Y873" s="8"/>
      <c r="Z873" s="8"/>
      <c r="AA873" s="8"/>
    </row>
    <row r="874" spans="1:27" ht="19.75">
      <c r="A874" s="8"/>
      <c r="B874" s="7"/>
      <c r="C874" s="8"/>
      <c r="D874" s="8"/>
      <c r="E874" s="11"/>
      <c r="F874" s="8"/>
      <c r="G874" s="8"/>
      <c r="H874" s="8"/>
      <c r="I874" s="8"/>
      <c r="J874" s="8"/>
      <c r="K874" s="8"/>
      <c r="L874" s="8"/>
      <c r="M874" s="8"/>
      <c r="N874" s="8"/>
      <c r="O874" s="8"/>
      <c r="P874" s="8"/>
      <c r="Q874" s="8"/>
      <c r="R874" s="8"/>
      <c r="S874" s="8"/>
      <c r="T874" s="8"/>
      <c r="U874" s="8"/>
      <c r="V874" s="8"/>
      <c r="W874" s="8"/>
      <c r="X874" s="8"/>
      <c r="Y874" s="8"/>
      <c r="Z874" s="8"/>
      <c r="AA874" s="8"/>
    </row>
    <row r="875" spans="1:27" ht="19.75">
      <c r="A875" s="8"/>
      <c r="B875" s="7"/>
      <c r="C875" s="8"/>
      <c r="D875" s="8"/>
      <c r="E875" s="11"/>
      <c r="F875" s="8"/>
      <c r="G875" s="8"/>
      <c r="H875" s="8"/>
      <c r="I875" s="8"/>
      <c r="J875" s="8"/>
      <c r="K875" s="8"/>
      <c r="L875" s="8"/>
      <c r="M875" s="8"/>
      <c r="N875" s="8"/>
      <c r="O875" s="8"/>
      <c r="P875" s="8"/>
      <c r="Q875" s="8"/>
      <c r="R875" s="8"/>
      <c r="S875" s="8"/>
      <c r="T875" s="8"/>
      <c r="U875" s="8"/>
      <c r="V875" s="8"/>
      <c r="W875" s="8"/>
      <c r="X875" s="8"/>
      <c r="Y875" s="8"/>
      <c r="Z875" s="8"/>
      <c r="AA875" s="8"/>
    </row>
    <row r="876" spans="1:27" ht="19.75">
      <c r="A876" s="8"/>
      <c r="B876" s="7"/>
      <c r="C876" s="8"/>
      <c r="D876" s="8"/>
      <c r="E876" s="11"/>
      <c r="F876" s="8"/>
      <c r="G876" s="8"/>
      <c r="H876" s="8"/>
      <c r="I876" s="8"/>
      <c r="J876" s="8"/>
      <c r="K876" s="8"/>
      <c r="L876" s="8"/>
      <c r="M876" s="8"/>
      <c r="N876" s="8"/>
      <c r="O876" s="8"/>
      <c r="P876" s="8"/>
      <c r="Q876" s="8"/>
      <c r="R876" s="8"/>
      <c r="S876" s="8"/>
      <c r="T876" s="8"/>
      <c r="U876" s="8"/>
      <c r="V876" s="8"/>
      <c r="W876" s="8"/>
      <c r="X876" s="8"/>
      <c r="Y876" s="8"/>
      <c r="Z876" s="8"/>
      <c r="AA876" s="8"/>
    </row>
    <row r="877" spans="1:27" ht="19.75">
      <c r="A877" s="8"/>
      <c r="B877" s="7"/>
      <c r="C877" s="8"/>
      <c r="D877" s="8"/>
      <c r="E877" s="11"/>
      <c r="F877" s="8"/>
      <c r="G877" s="8"/>
      <c r="H877" s="8"/>
      <c r="I877" s="8"/>
      <c r="J877" s="8"/>
      <c r="K877" s="8"/>
      <c r="L877" s="8"/>
      <c r="M877" s="8"/>
      <c r="N877" s="8"/>
      <c r="O877" s="8"/>
      <c r="P877" s="8"/>
      <c r="Q877" s="8"/>
      <c r="R877" s="8"/>
      <c r="S877" s="8"/>
      <c r="T877" s="8"/>
      <c r="U877" s="8"/>
      <c r="V877" s="8"/>
      <c r="W877" s="8"/>
      <c r="X877" s="8"/>
      <c r="Y877" s="8"/>
      <c r="Z877" s="8"/>
      <c r="AA877" s="8"/>
    </row>
    <row r="878" spans="1:27" ht="19.75">
      <c r="A878" s="8"/>
      <c r="B878" s="7"/>
      <c r="C878" s="8"/>
      <c r="D878" s="8"/>
      <c r="E878" s="11"/>
      <c r="F878" s="8"/>
      <c r="G878" s="8"/>
      <c r="H878" s="8"/>
      <c r="I878" s="8"/>
      <c r="J878" s="8"/>
      <c r="K878" s="8"/>
      <c r="L878" s="8"/>
      <c r="M878" s="8"/>
      <c r="N878" s="8"/>
      <c r="O878" s="8"/>
      <c r="P878" s="8"/>
      <c r="Q878" s="8"/>
      <c r="R878" s="8"/>
      <c r="S878" s="8"/>
      <c r="T878" s="8"/>
      <c r="U878" s="8"/>
      <c r="V878" s="8"/>
      <c r="W878" s="8"/>
      <c r="X878" s="8"/>
      <c r="Y878" s="8"/>
      <c r="Z878" s="8"/>
      <c r="AA878" s="8"/>
    </row>
    <row r="879" spans="1:27" ht="19.75">
      <c r="A879" s="8"/>
      <c r="B879" s="7"/>
      <c r="C879" s="8"/>
      <c r="D879" s="8"/>
      <c r="E879" s="11"/>
      <c r="F879" s="8"/>
      <c r="G879" s="8"/>
      <c r="H879" s="8"/>
      <c r="I879" s="8"/>
      <c r="J879" s="8"/>
      <c r="K879" s="8"/>
      <c r="L879" s="8"/>
      <c r="M879" s="8"/>
      <c r="N879" s="8"/>
      <c r="O879" s="8"/>
      <c r="P879" s="8"/>
      <c r="Q879" s="8"/>
      <c r="R879" s="8"/>
      <c r="S879" s="8"/>
      <c r="T879" s="8"/>
      <c r="U879" s="8"/>
      <c r="V879" s="8"/>
      <c r="W879" s="8"/>
      <c r="X879" s="8"/>
      <c r="Y879" s="8"/>
      <c r="Z879" s="8"/>
      <c r="AA879" s="8"/>
    </row>
    <row r="880" spans="1:27" ht="19.75">
      <c r="A880" s="8"/>
      <c r="B880" s="7"/>
      <c r="C880" s="8"/>
      <c r="D880" s="8"/>
      <c r="E880" s="11"/>
      <c r="F880" s="8"/>
      <c r="G880" s="8"/>
      <c r="H880" s="8"/>
      <c r="I880" s="8"/>
      <c r="J880" s="8"/>
      <c r="K880" s="8"/>
      <c r="L880" s="8"/>
      <c r="M880" s="8"/>
      <c r="N880" s="8"/>
      <c r="O880" s="8"/>
      <c r="P880" s="8"/>
      <c r="Q880" s="8"/>
      <c r="R880" s="8"/>
      <c r="S880" s="8"/>
      <c r="T880" s="8"/>
      <c r="U880" s="8"/>
      <c r="V880" s="8"/>
      <c r="W880" s="8"/>
      <c r="X880" s="8"/>
      <c r="Y880" s="8"/>
      <c r="Z880" s="8"/>
      <c r="AA880" s="8"/>
    </row>
    <row r="881" spans="1:27" ht="19.75">
      <c r="A881" s="8"/>
      <c r="B881" s="7"/>
      <c r="C881" s="8"/>
      <c r="D881" s="8"/>
      <c r="E881" s="11"/>
      <c r="F881" s="8"/>
      <c r="G881" s="8"/>
      <c r="H881" s="8"/>
      <c r="I881" s="8"/>
      <c r="J881" s="8"/>
      <c r="K881" s="8"/>
      <c r="L881" s="8"/>
      <c r="M881" s="8"/>
      <c r="N881" s="8"/>
      <c r="O881" s="8"/>
      <c r="P881" s="8"/>
      <c r="Q881" s="8"/>
      <c r="R881" s="8"/>
      <c r="S881" s="8"/>
      <c r="T881" s="8"/>
      <c r="U881" s="8"/>
      <c r="V881" s="8"/>
      <c r="W881" s="8"/>
      <c r="X881" s="8"/>
      <c r="Y881" s="8"/>
      <c r="Z881" s="8"/>
      <c r="AA881" s="8"/>
    </row>
    <row r="882" spans="1:27" ht="19.75">
      <c r="A882" s="8"/>
      <c r="B882" s="7"/>
      <c r="C882" s="8"/>
      <c r="D882" s="8"/>
      <c r="E882" s="11"/>
      <c r="F882" s="8"/>
      <c r="G882" s="8"/>
      <c r="H882" s="8"/>
      <c r="I882" s="8"/>
      <c r="J882" s="8"/>
      <c r="K882" s="8"/>
      <c r="L882" s="8"/>
      <c r="M882" s="8"/>
      <c r="N882" s="8"/>
      <c r="O882" s="8"/>
      <c r="P882" s="8"/>
      <c r="Q882" s="8"/>
      <c r="R882" s="8"/>
      <c r="S882" s="8"/>
      <c r="T882" s="8"/>
      <c r="U882" s="8"/>
      <c r="V882" s="8"/>
      <c r="W882" s="8"/>
      <c r="X882" s="8"/>
      <c r="Y882" s="8"/>
      <c r="Z882" s="8"/>
      <c r="AA882" s="8"/>
    </row>
    <row r="883" spans="1:27" ht="19.75">
      <c r="A883" s="8"/>
      <c r="B883" s="7"/>
      <c r="C883" s="8"/>
      <c r="D883" s="8"/>
      <c r="E883" s="11"/>
      <c r="F883" s="8"/>
      <c r="G883" s="8"/>
      <c r="H883" s="8"/>
      <c r="I883" s="8"/>
      <c r="J883" s="8"/>
      <c r="K883" s="8"/>
      <c r="L883" s="8"/>
      <c r="M883" s="8"/>
      <c r="N883" s="8"/>
      <c r="O883" s="8"/>
      <c r="P883" s="8"/>
      <c r="Q883" s="8"/>
      <c r="R883" s="8"/>
      <c r="S883" s="8"/>
      <c r="T883" s="8"/>
      <c r="U883" s="8"/>
      <c r="V883" s="8"/>
      <c r="W883" s="8"/>
      <c r="X883" s="8"/>
      <c r="Y883" s="8"/>
      <c r="Z883" s="8"/>
      <c r="AA883" s="8"/>
    </row>
    <row r="884" spans="1:27" ht="19.75">
      <c r="A884" s="8"/>
      <c r="B884" s="7"/>
      <c r="C884" s="8"/>
      <c r="D884" s="8"/>
      <c r="E884" s="11"/>
      <c r="F884" s="8"/>
      <c r="G884" s="8"/>
      <c r="H884" s="8"/>
      <c r="I884" s="8"/>
      <c r="J884" s="8"/>
      <c r="K884" s="8"/>
      <c r="L884" s="8"/>
      <c r="M884" s="8"/>
      <c r="N884" s="8"/>
      <c r="O884" s="8"/>
      <c r="P884" s="8"/>
      <c r="Q884" s="8"/>
      <c r="R884" s="8"/>
      <c r="S884" s="8"/>
      <c r="T884" s="8"/>
      <c r="U884" s="8"/>
      <c r="V884" s="8"/>
      <c r="W884" s="8"/>
      <c r="X884" s="8"/>
      <c r="Y884" s="8"/>
      <c r="Z884" s="8"/>
      <c r="AA884" s="8"/>
    </row>
    <row r="885" spans="1:27" ht="19.75">
      <c r="A885" s="8"/>
      <c r="B885" s="7"/>
      <c r="C885" s="8"/>
      <c r="D885" s="8"/>
      <c r="E885" s="11"/>
      <c r="F885" s="8"/>
      <c r="G885" s="8"/>
      <c r="H885" s="8"/>
      <c r="I885" s="8"/>
      <c r="J885" s="8"/>
      <c r="K885" s="8"/>
      <c r="L885" s="8"/>
      <c r="M885" s="8"/>
      <c r="N885" s="8"/>
      <c r="O885" s="8"/>
      <c r="P885" s="8"/>
      <c r="Q885" s="8"/>
      <c r="R885" s="8"/>
      <c r="S885" s="8"/>
      <c r="T885" s="8"/>
      <c r="U885" s="8"/>
      <c r="V885" s="8"/>
      <c r="W885" s="8"/>
      <c r="X885" s="8"/>
      <c r="Y885" s="8"/>
      <c r="Z885" s="8"/>
      <c r="AA885" s="8"/>
    </row>
    <row r="886" spans="1:27" ht="19.75">
      <c r="A886" s="8"/>
      <c r="B886" s="7"/>
      <c r="C886" s="8"/>
      <c r="D886" s="8"/>
      <c r="E886" s="11"/>
      <c r="F886" s="8"/>
      <c r="G886" s="8"/>
      <c r="H886" s="8"/>
      <c r="I886" s="8"/>
      <c r="J886" s="8"/>
      <c r="K886" s="8"/>
      <c r="L886" s="8"/>
      <c r="M886" s="8"/>
      <c r="N886" s="8"/>
      <c r="O886" s="8"/>
      <c r="P886" s="8"/>
      <c r="Q886" s="8"/>
      <c r="R886" s="8"/>
      <c r="S886" s="8"/>
      <c r="T886" s="8"/>
      <c r="U886" s="8"/>
      <c r="V886" s="8"/>
      <c r="W886" s="8"/>
      <c r="X886" s="8"/>
      <c r="Y886" s="8"/>
      <c r="Z886" s="8"/>
      <c r="AA886" s="8"/>
    </row>
    <row r="887" spans="1:27" ht="19.75">
      <c r="A887" s="8"/>
      <c r="B887" s="7"/>
      <c r="C887" s="8"/>
      <c r="D887" s="8"/>
      <c r="E887" s="11"/>
      <c r="F887" s="8"/>
      <c r="G887" s="8"/>
      <c r="H887" s="8"/>
      <c r="I887" s="8"/>
      <c r="J887" s="8"/>
      <c r="K887" s="8"/>
      <c r="L887" s="8"/>
      <c r="M887" s="8"/>
      <c r="N887" s="8"/>
      <c r="O887" s="8"/>
      <c r="P887" s="8"/>
      <c r="Q887" s="8"/>
      <c r="R887" s="8"/>
      <c r="S887" s="8"/>
      <c r="T887" s="8"/>
      <c r="U887" s="8"/>
      <c r="V887" s="8"/>
      <c r="W887" s="8"/>
      <c r="X887" s="8"/>
      <c r="Y887" s="8"/>
      <c r="Z887" s="8"/>
      <c r="AA887" s="8"/>
    </row>
    <row r="888" spans="1:27" ht="19.75">
      <c r="A888" s="8"/>
      <c r="B888" s="7"/>
      <c r="C888" s="8"/>
      <c r="D888" s="8"/>
      <c r="E888" s="11"/>
      <c r="F888" s="8"/>
      <c r="G888" s="8"/>
      <c r="H888" s="8"/>
      <c r="I888" s="8"/>
      <c r="J888" s="8"/>
      <c r="K888" s="8"/>
      <c r="L888" s="8"/>
      <c r="M888" s="8"/>
      <c r="N888" s="8"/>
      <c r="O888" s="8"/>
      <c r="P888" s="8"/>
      <c r="Q888" s="8"/>
      <c r="R888" s="8"/>
      <c r="S888" s="8"/>
      <c r="T888" s="8"/>
      <c r="U888" s="8"/>
      <c r="V888" s="8"/>
      <c r="W888" s="8"/>
      <c r="X888" s="8"/>
      <c r="Y888" s="8"/>
      <c r="Z888" s="8"/>
      <c r="AA888" s="8"/>
    </row>
    <row r="889" spans="1:27" ht="19.75">
      <c r="A889" s="8"/>
      <c r="B889" s="7"/>
      <c r="C889" s="8"/>
      <c r="D889" s="8"/>
      <c r="E889" s="11"/>
      <c r="F889" s="8"/>
      <c r="G889" s="8"/>
      <c r="H889" s="8"/>
      <c r="I889" s="8"/>
      <c r="J889" s="8"/>
      <c r="K889" s="8"/>
      <c r="L889" s="8"/>
      <c r="M889" s="8"/>
      <c r="N889" s="8"/>
      <c r="O889" s="8"/>
      <c r="P889" s="8"/>
      <c r="Q889" s="8"/>
      <c r="R889" s="8"/>
      <c r="S889" s="8"/>
      <c r="T889" s="8"/>
      <c r="U889" s="8"/>
      <c r="V889" s="8"/>
      <c r="W889" s="8"/>
      <c r="X889" s="8"/>
      <c r="Y889" s="8"/>
      <c r="Z889" s="8"/>
      <c r="AA889" s="8"/>
    </row>
    <row r="890" spans="1:27" ht="19.75">
      <c r="A890" s="8"/>
      <c r="B890" s="7"/>
      <c r="C890" s="8"/>
      <c r="D890" s="8"/>
      <c r="E890" s="11"/>
      <c r="F890" s="8"/>
      <c r="G890" s="8"/>
      <c r="H890" s="8"/>
      <c r="I890" s="8"/>
      <c r="J890" s="8"/>
      <c r="K890" s="8"/>
      <c r="L890" s="8"/>
      <c r="M890" s="8"/>
      <c r="N890" s="8"/>
      <c r="O890" s="8"/>
      <c r="P890" s="8"/>
      <c r="Q890" s="8"/>
      <c r="R890" s="8"/>
      <c r="S890" s="8"/>
      <c r="T890" s="8"/>
      <c r="U890" s="8"/>
      <c r="V890" s="8"/>
      <c r="W890" s="8"/>
      <c r="X890" s="8"/>
      <c r="Y890" s="8"/>
      <c r="Z890" s="8"/>
      <c r="AA890" s="8"/>
    </row>
    <row r="891" spans="1:27" ht="19.75">
      <c r="A891" s="8"/>
      <c r="B891" s="7"/>
      <c r="C891" s="8"/>
      <c r="D891" s="8"/>
      <c r="E891" s="11"/>
      <c r="F891" s="8"/>
      <c r="G891" s="8"/>
      <c r="H891" s="8"/>
      <c r="I891" s="8"/>
      <c r="J891" s="8"/>
      <c r="K891" s="8"/>
      <c r="L891" s="8"/>
      <c r="M891" s="8"/>
      <c r="N891" s="8"/>
      <c r="O891" s="8"/>
      <c r="P891" s="8"/>
      <c r="Q891" s="8"/>
      <c r="R891" s="8"/>
      <c r="S891" s="8"/>
      <c r="T891" s="8"/>
      <c r="U891" s="8"/>
      <c r="V891" s="8"/>
      <c r="W891" s="8"/>
      <c r="X891" s="8"/>
      <c r="Y891" s="8"/>
      <c r="Z891" s="8"/>
      <c r="AA891" s="8"/>
    </row>
    <row r="892" spans="1:27" ht="19.75">
      <c r="A892" s="8"/>
      <c r="B892" s="7"/>
      <c r="C892" s="8"/>
      <c r="D892" s="8"/>
      <c r="E892" s="11"/>
      <c r="F892" s="8"/>
      <c r="G892" s="8"/>
      <c r="H892" s="8"/>
      <c r="I892" s="8"/>
      <c r="J892" s="8"/>
      <c r="K892" s="8"/>
      <c r="L892" s="8"/>
      <c r="M892" s="8"/>
      <c r="N892" s="8"/>
      <c r="O892" s="8"/>
      <c r="P892" s="8"/>
      <c r="Q892" s="8"/>
      <c r="R892" s="8"/>
      <c r="S892" s="8"/>
      <c r="T892" s="8"/>
      <c r="U892" s="8"/>
      <c r="V892" s="8"/>
      <c r="W892" s="8"/>
      <c r="X892" s="8"/>
      <c r="Y892" s="8"/>
      <c r="Z892" s="8"/>
      <c r="AA892" s="8"/>
    </row>
    <row r="893" spans="1:27" ht="19.75">
      <c r="A893" s="8"/>
      <c r="B893" s="7"/>
      <c r="C893" s="8"/>
      <c r="D893" s="8"/>
      <c r="E893" s="11"/>
      <c r="F893" s="8"/>
      <c r="G893" s="8"/>
      <c r="H893" s="8"/>
      <c r="I893" s="8"/>
      <c r="J893" s="8"/>
      <c r="K893" s="8"/>
      <c r="L893" s="8"/>
      <c r="M893" s="8"/>
      <c r="N893" s="8"/>
      <c r="O893" s="8"/>
      <c r="P893" s="8"/>
      <c r="Q893" s="8"/>
      <c r="R893" s="8"/>
      <c r="S893" s="8"/>
      <c r="T893" s="8"/>
      <c r="U893" s="8"/>
      <c r="V893" s="8"/>
      <c r="W893" s="8"/>
      <c r="X893" s="8"/>
      <c r="Y893" s="8"/>
      <c r="Z893" s="8"/>
      <c r="AA893" s="8"/>
    </row>
    <row r="894" spans="1:27" ht="19.75">
      <c r="A894" s="8"/>
      <c r="B894" s="7"/>
      <c r="C894" s="8"/>
      <c r="D894" s="8"/>
      <c r="E894" s="11"/>
      <c r="F894" s="8"/>
      <c r="G894" s="8"/>
      <c r="H894" s="8"/>
      <c r="I894" s="8"/>
      <c r="J894" s="8"/>
      <c r="K894" s="8"/>
      <c r="L894" s="8"/>
      <c r="M894" s="8"/>
      <c r="N894" s="8"/>
      <c r="O894" s="8"/>
      <c r="P894" s="8"/>
      <c r="Q894" s="8"/>
      <c r="R894" s="8"/>
      <c r="S894" s="8"/>
      <c r="T894" s="8"/>
      <c r="U894" s="8"/>
      <c r="V894" s="8"/>
      <c r="W894" s="8"/>
      <c r="X894" s="8"/>
      <c r="Y894" s="8"/>
      <c r="Z894" s="8"/>
      <c r="AA894" s="8"/>
    </row>
    <row r="895" spans="1:27" ht="19.75">
      <c r="A895" s="8"/>
      <c r="B895" s="7"/>
      <c r="C895" s="8"/>
      <c r="D895" s="8"/>
      <c r="E895" s="11"/>
      <c r="F895" s="8"/>
      <c r="G895" s="8"/>
      <c r="H895" s="8"/>
      <c r="I895" s="8"/>
      <c r="J895" s="8"/>
      <c r="K895" s="8"/>
      <c r="L895" s="8"/>
      <c r="M895" s="8"/>
      <c r="N895" s="8"/>
      <c r="O895" s="8"/>
      <c r="P895" s="8"/>
      <c r="Q895" s="8"/>
      <c r="R895" s="8"/>
      <c r="S895" s="8"/>
      <c r="T895" s="8"/>
      <c r="U895" s="8"/>
      <c r="V895" s="8"/>
      <c r="W895" s="8"/>
      <c r="X895" s="8"/>
      <c r="Y895" s="8"/>
      <c r="Z895" s="8"/>
      <c r="AA895" s="8"/>
    </row>
    <row r="896" spans="1:27" ht="19.75">
      <c r="A896" s="8"/>
      <c r="B896" s="7"/>
      <c r="C896" s="8"/>
      <c r="D896" s="8"/>
      <c r="E896" s="11"/>
      <c r="F896" s="8"/>
      <c r="G896" s="8"/>
      <c r="H896" s="8"/>
      <c r="I896" s="8"/>
      <c r="J896" s="8"/>
      <c r="K896" s="8"/>
      <c r="L896" s="8"/>
      <c r="M896" s="8"/>
      <c r="N896" s="8"/>
      <c r="O896" s="8"/>
      <c r="P896" s="8"/>
      <c r="Q896" s="8"/>
      <c r="R896" s="8"/>
      <c r="S896" s="8"/>
      <c r="T896" s="8"/>
      <c r="U896" s="8"/>
      <c r="V896" s="8"/>
      <c r="W896" s="8"/>
      <c r="X896" s="8"/>
      <c r="Y896" s="8"/>
      <c r="Z896" s="8"/>
      <c r="AA896" s="8"/>
    </row>
    <row r="897" spans="1:27" ht="19.75">
      <c r="A897" s="8"/>
      <c r="B897" s="7"/>
      <c r="C897" s="8"/>
      <c r="D897" s="8"/>
      <c r="E897" s="11"/>
      <c r="F897" s="8"/>
      <c r="G897" s="8"/>
      <c r="H897" s="8"/>
      <c r="I897" s="8"/>
      <c r="J897" s="8"/>
      <c r="K897" s="8"/>
      <c r="L897" s="8"/>
      <c r="M897" s="8"/>
      <c r="N897" s="8"/>
      <c r="O897" s="8"/>
      <c r="P897" s="8"/>
      <c r="Q897" s="8"/>
      <c r="R897" s="8"/>
      <c r="S897" s="8"/>
      <c r="T897" s="8"/>
      <c r="U897" s="8"/>
      <c r="V897" s="8"/>
      <c r="W897" s="8"/>
      <c r="X897" s="8"/>
      <c r="Y897" s="8"/>
      <c r="Z897" s="8"/>
      <c r="AA897" s="8"/>
    </row>
    <row r="898" spans="1:27" ht="19.75">
      <c r="A898" s="8"/>
      <c r="B898" s="7"/>
      <c r="C898" s="8"/>
      <c r="D898" s="8"/>
      <c r="E898" s="11"/>
      <c r="F898" s="8"/>
      <c r="G898" s="8"/>
      <c r="H898" s="8"/>
      <c r="I898" s="8"/>
      <c r="J898" s="8"/>
      <c r="K898" s="8"/>
      <c r="L898" s="8"/>
      <c r="M898" s="8"/>
      <c r="N898" s="8"/>
      <c r="O898" s="8"/>
      <c r="P898" s="8"/>
      <c r="Q898" s="8"/>
      <c r="R898" s="8"/>
      <c r="S898" s="8"/>
      <c r="T898" s="8"/>
      <c r="U898" s="8"/>
      <c r="V898" s="8"/>
      <c r="W898" s="8"/>
      <c r="X898" s="8"/>
      <c r="Y898" s="8"/>
      <c r="Z898" s="8"/>
      <c r="AA898" s="8"/>
    </row>
    <row r="899" spans="1:27" ht="19.75">
      <c r="A899" s="8"/>
      <c r="B899" s="7"/>
      <c r="C899" s="8"/>
      <c r="D899" s="8"/>
      <c r="E899" s="11"/>
      <c r="F899" s="8"/>
      <c r="G899" s="8"/>
      <c r="H899" s="8"/>
      <c r="I899" s="8"/>
      <c r="J899" s="8"/>
      <c r="K899" s="8"/>
      <c r="L899" s="8"/>
      <c r="M899" s="8"/>
      <c r="N899" s="8"/>
      <c r="O899" s="8"/>
      <c r="P899" s="8"/>
      <c r="Q899" s="8"/>
      <c r="R899" s="8"/>
      <c r="S899" s="8"/>
      <c r="T899" s="8"/>
      <c r="U899" s="8"/>
      <c r="V899" s="8"/>
      <c r="W899" s="8"/>
      <c r="X899" s="8"/>
      <c r="Y899" s="8"/>
      <c r="Z899" s="8"/>
      <c r="AA899" s="8"/>
    </row>
    <row r="900" spans="1:27" ht="19.75">
      <c r="A900" s="8"/>
      <c r="B900" s="7"/>
      <c r="C900" s="8"/>
      <c r="D900" s="8"/>
      <c r="E900" s="11"/>
      <c r="F900" s="8"/>
      <c r="G900" s="8"/>
      <c r="H900" s="8"/>
      <c r="I900" s="8"/>
      <c r="J900" s="8"/>
      <c r="K900" s="8"/>
      <c r="L900" s="8"/>
      <c r="M900" s="8"/>
      <c r="N900" s="8"/>
      <c r="O900" s="8"/>
      <c r="P900" s="8"/>
      <c r="Q900" s="8"/>
      <c r="R900" s="8"/>
      <c r="S900" s="8"/>
      <c r="T900" s="8"/>
      <c r="U900" s="8"/>
      <c r="V900" s="8"/>
      <c r="W900" s="8"/>
      <c r="X900" s="8"/>
      <c r="Y900" s="8"/>
      <c r="Z900" s="8"/>
      <c r="AA900" s="8"/>
    </row>
    <row r="901" spans="1:27" ht="19.75">
      <c r="A901" s="8"/>
      <c r="B901" s="7"/>
      <c r="C901" s="8"/>
      <c r="D901" s="8"/>
      <c r="E901" s="11"/>
      <c r="F901" s="8"/>
      <c r="G901" s="8"/>
      <c r="H901" s="8"/>
      <c r="I901" s="8"/>
      <c r="J901" s="8"/>
      <c r="K901" s="8"/>
      <c r="L901" s="8"/>
      <c r="M901" s="8"/>
      <c r="N901" s="8"/>
      <c r="O901" s="8"/>
      <c r="P901" s="8"/>
      <c r="Q901" s="8"/>
      <c r="R901" s="8"/>
      <c r="S901" s="8"/>
      <c r="T901" s="8"/>
      <c r="U901" s="8"/>
      <c r="V901" s="8"/>
      <c r="W901" s="8"/>
      <c r="X901" s="8"/>
      <c r="Y901" s="8"/>
      <c r="Z901" s="8"/>
      <c r="AA901" s="8"/>
    </row>
    <row r="902" spans="1:27" ht="19.75">
      <c r="A902" s="8"/>
      <c r="B902" s="7"/>
      <c r="C902" s="8"/>
      <c r="D902" s="8"/>
      <c r="E902" s="11"/>
      <c r="F902" s="8"/>
      <c r="G902" s="8"/>
      <c r="H902" s="8"/>
      <c r="I902" s="8"/>
      <c r="J902" s="8"/>
      <c r="K902" s="8"/>
      <c r="L902" s="8"/>
      <c r="M902" s="8"/>
      <c r="N902" s="8"/>
      <c r="O902" s="8"/>
      <c r="P902" s="8"/>
      <c r="Q902" s="8"/>
      <c r="R902" s="8"/>
      <c r="S902" s="8"/>
      <c r="T902" s="8"/>
      <c r="U902" s="8"/>
      <c r="V902" s="8"/>
      <c r="W902" s="8"/>
      <c r="X902" s="8"/>
      <c r="Y902" s="8"/>
      <c r="Z902" s="8"/>
      <c r="AA902" s="8"/>
    </row>
    <row r="903" spans="1:27" ht="19.75">
      <c r="A903" s="8"/>
      <c r="B903" s="7"/>
      <c r="C903" s="8"/>
      <c r="D903" s="8"/>
      <c r="E903" s="11"/>
      <c r="F903" s="8"/>
      <c r="G903" s="8"/>
      <c r="H903" s="8"/>
      <c r="I903" s="8"/>
      <c r="J903" s="8"/>
      <c r="K903" s="8"/>
      <c r="L903" s="8"/>
      <c r="M903" s="8"/>
      <c r="N903" s="8"/>
      <c r="O903" s="8"/>
      <c r="P903" s="8"/>
      <c r="Q903" s="8"/>
      <c r="R903" s="8"/>
      <c r="S903" s="8"/>
      <c r="T903" s="8"/>
      <c r="U903" s="8"/>
      <c r="V903" s="8"/>
      <c r="W903" s="8"/>
      <c r="X903" s="8"/>
      <c r="Y903" s="8"/>
      <c r="Z903" s="8"/>
      <c r="AA903" s="8"/>
    </row>
    <row r="904" spans="1:27" ht="19.75">
      <c r="A904" s="8"/>
      <c r="B904" s="7"/>
      <c r="C904" s="8"/>
      <c r="D904" s="8"/>
      <c r="E904" s="11"/>
      <c r="F904" s="8"/>
      <c r="G904" s="8"/>
      <c r="H904" s="8"/>
      <c r="I904" s="8"/>
      <c r="J904" s="8"/>
      <c r="K904" s="8"/>
      <c r="L904" s="8"/>
      <c r="M904" s="8"/>
      <c r="N904" s="8"/>
      <c r="O904" s="8"/>
      <c r="P904" s="8"/>
      <c r="Q904" s="8"/>
      <c r="R904" s="8"/>
      <c r="S904" s="8"/>
      <c r="T904" s="8"/>
      <c r="U904" s="8"/>
      <c r="V904" s="8"/>
      <c r="W904" s="8"/>
      <c r="X904" s="8"/>
      <c r="Y904" s="8"/>
      <c r="Z904" s="8"/>
      <c r="AA904" s="8"/>
    </row>
    <row r="905" spans="1:27" ht="19.75">
      <c r="A905" s="8"/>
      <c r="B905" s="7"/>
      <c r="C905" s="8"/>
      <c r="D905" s="8"/>
      <c r="E905" s="11"/>
      <c r="F905" s="8"/>
      <c r="G905" s="8"/>
      <c r="H905" s="8"/>
      <c r="I905" s="8"/>
      <c r="J905" s="8"/>
      <c r="K905" s="8"/>
      <c r="L905" s="8"/>
      <c r="M905" s="8"/>
      <c r="N905" s="8"/>
      <c r="O905" s="8"/>
      <c r="P905" s="8"/>
      <c r="Q905" s="8"/>
      <c r="R905" s="8"/>
      <c r="S905" s="8"/>
      <c r="T905" s="8"/>
      <c r="U905" s="8"/>
      <c r="V905" s="8"/>
      <c r="W905" s="8"/>
      <c r="X905" s="8"/>
      <c r="Y905" s="8"/>
      <c r="Z905" s="8"/>
      <c r="AA905" s="8"/>
    </row>
    <row r="906" spans="1:27" ht="19.75">
      <c r="A906" s="8"/>
      <c r="B906" s="7"/>
      <c r="C906" s="8"/>
      <c r="D906" s="8"/>
      <c r="E906" s="11"/>
      <c r="F906" s="8"/>
      <c r="G906" s="8"/>
      <c r="H906" s="8"/>
      <c r="I906" s="8"/>
      <c r="J906" s="8"/>
      <c r="K906" s="8"/>
      <c r="L906" s="8"/>
      <c r="M906" s="8"/>
      <c r="N906" s="8"/>
      <c r="O906" s="8"/>
      <c r="P906" s="8"/>
      <c r="Q906" s="8"/>
      <c r="R906" s="8"/>
      <c r="S906" s="8"/>
      <c r="T906" s="8"/>
      <c r="U906" s="8"/>
      <c r="V906" s="8"/>
      <c r="W906" s="8"/>
      <c r="X906" s="8"/>
      <c r="Y906" s="8"/>
      <c r="Z906" s="8"/>
      <c r="AA906" s="8"/>
    </row>
    <row r="907" spans="1:27" ht="19.75">
      <c r="A907" s="8"/>
      <c r="B907" s="7"/>
      <c r="C907" s="8"/>
      <c r="D907" s="8"/>
      <c r="E907" s="11"/>
      <c r="F907" s="8"/>
      <c r="G907" s="8"/>
      <c r="H907" s="8"/>
      <c r="I907" s="8"/>
      <c r="J907" s="8"/>
      <c r="K907" s="8"/>
      <c r="L907" s="8"/>
      <c r="M907" s="8"/>
      <c r="N907" s="8"/>
      <c r="O907" s="8"/>
      <c r="P907" s="8"/>
      <c r="Q907" s="8"/>
      <c r="R907" s="8"/>
      <c r="S907" s="8"/>
      <c r="T907" s="8"/>
      <c r="U907" s="8"/>
      <c r="V907" s="8"/>
      <c r="W907" s="8"/>
      <c r="X907" s="8"/>
      <c r="Y907" s="8"/>
      <c r="Z907" s="8"/>
      <c r="AA907" s="8"/>
    </row>
    <row r="908" spans="1:27" ht="19.75">
      <c r="A908" s="8"/>
      <c r="B908" s="7"/>
      <c r="C908" s="8"/>
      <c r="D908" s="8"/>
      <c r="E908" s="11"/>
      <c r="F908" s="8"/>
      <c r="G908" s="8"/>
      <c r="H908" s="8"/>
      <c r="I908" s="8"/>
      <c r="J908" s="8"/>
      <c r="K908" s="8"/>
      <c r="L908" s="8"/>
      <c r="M908" s="8"/>
      <c r="N908" s="8"/>
      <c r="O908" s="8"/>
      <c r="P908" s="8"/>
      <c r="Q908" s="8"/>
      <c r="R908" s="8"/>
      <c r="S908" s="8"/>
      <c r="T908" s="8"/>
      <c r="U908" s="8"/>
      <c r="V908" s="8"/>
      <c r="W908" s="8"/>
      <c r="X908" s="8"/>
      <c r="Y908" s="8"/>
      <c r="Z908" s="8"/>
      <c r="AA908" s="8"/>
    </row>
    <row r="909" spans="1:27" ht="19.75">
      <c r="A909" s="8"/>
      <c r="B909" s="7"/>
      <c r="C909" s="8"/>
      <c r="D909" s="8"/>
      <c r="E909" s="11"/>
      <c r="F909" s="8"/>
      <c r="G909" s="8"/>
      <c r="H909" s="8"/>
      <c r="I909" s="8"/>
      <c r="J909" s="8"/>
      <c r="K909" s="8"/>
      <c r="L909" s="8"/>
      <c r="M909" s="8"/>
      <c r="N909" s="8"/>
      <c r="O909" s="8"/>
      <c r="P909" s="8"/>
      <c r="Q909" s="8"/>
      <c r="R909" s="8"/>
      <c r="S909" s="8"/>
      <c r="T909" s="8"/>
      <c r="U909" s="8"/>
      <c r="V909" s="8"/>
      <c r="W909" s="8"/>
      <c r="X909" s="8"/>
      <c r="Y909" s="8"/>
      <c r="Z909" s="8"/>
      <c r="AA909" s="8"/>
    </row>
    <row r="910" spans="1:27" ht="19.75">
      <c r="A910" s="8"/>
      <c r="B910" s="7"/>
      <c r="C910" s="8"/>
      <c r="D910" s="8"/>
      <c r="E910" s="11"/>
      <c r="F910" s="8"/>
      <c r="G910" s="8"/>
      <c r="H910" s="8"/>
      <c r="I910" s="8"/>
      <c r="J910" s="8"/>
      <c r="K910" s="8"/>
      <c r="L910" s="8"/>
      <c r="M910" s="8"/>
      <c r="N910" s="8"/>
      <c r="O910" s="8"/>
      <c r="P910" s="8"/>
      <c r="Q910" s="8"/>
      <c r="R910" s="8"/>
      <c r="S910" s="8"/>
      <c r="T910" s="8"/>
      <c r="U910" s="8"/>
      <c r="V910" s="8"/>
      <c r="W910" s="8"/>
      <c r="X910" s="8"/>
      <c r="Y910" s="8"/>
      <c r="Z910" s="8"/>
      <c r="AA910" s="8"/>
    </row>
    <row r="911" spans="1:27" ht="19.75">
      <c r="A911" s="8"/>
      <c r="B911" s="7"/>
      <c r="C911" s="8"/>
      <c r="D911" s="8"/>
      <c r="E911" s="11"/>
      <c r="F911" s="8"/>
      <c r="G911" s="8"/>
      <c r="H911" s="8"/>
      <c r="I911" s="8"/>
      <c r="J911" s="8"/>
      <c r="K911" s="8"/>
      <c r="L911" s="8"/>
      <c r="M911" s="8"/>
      <c r="N911" s="8"/>
      <c r="O911" s="8"/>
      <c r="P911" s="8"/>
      <c r="Q911" s="8"/>
      <c r="R911" s="8"/>
      <c r="S911" s="8"/>
      <c r="T911" s="8"/>
      <c r="U911" s="8"/>
      <c r="V911" s="8"/>
      <c r="W911" s="8"/>
      <c r="X911" s="8"/>
      <c r="Y911" s="8"/>
      <c r="Z911" s="8"/>
      <c r="AA911" s="8"/>
    </row>
    <row r="912" spans="1:27" ht="19.75">
      <c r="A912" s="8"/>
      <c r="B912" s="7"/>
      <c r="C912" s="8"/>
      <c r="D912" s="8"/>
      <c r="E912" s="11"/>
      <c r="F912" s="8"/>
      <c r="G912" s="8"/>
      <c r="H912" s="8"/>
      <c r="I912" s="8"/>
      <c r="J912" s="8"/>
      <c r="K912" s="8"/>
      <c r="L912" s="8"/>
      <c r="M912" s="8"/>
      <c r="N912" s="8"/>
      <c r="O912" s="8"/>
      <c r="P912" s="8"/>
      <c r="Q912" s="8"/>
      <c r="R912" s="8"/>
      <c r="S912" s="8"/>
      <c r="T912" s="8"/>
      <c r="U912" s="8"/>
      <c r="V912" s="8"/>
      <c r="W912" s="8"/>
      <c r="X912" s="8"/>
      <c r="Y912" s="8"/>
      <c r="Z912" s="8"/>
      <c r="AA912" s="8"/>
    </row>
    <row r="913" spans="1:27" ht="19.75">
      <c r="A913" s="8"/>
      <c r="B913" s="7"/>
      <c r="C913" s="8"/>
      <c r="D913" s="8"/>
      <c r="E913" s="11"/>
      <c r="F913" s="8"/>
      <c r="G913" s="8"/>
      <c r="H913" s="8"/>
      <c r="I913" s="8"/>
      <c r="J913" s="8"/>
      <c r="K913" s="8"/>
      <c r="L913" s="8"/>
      <c r="M913" s="8"/>
      <c r="N913" s="8"/>
      <c r="O913" s="8"/>
      <c r="P913" s="8"/>
      <c r="Q913" s="8"/>
      <c r="R913" s="8"/>
      <c r="S913" s="8"/>
      <c r="T913" s="8"/>
      <c r="U913" s="8"/>
      <c r="V913" s="8"/>
      <c r="W913" s="8"/>
      <c r="X913" s="8"/>
      <c r="Y913" s="8"/>
      <c r="Z913" s="8"/>
      <c r="AA913" s="8"/>
    </row>
    <row r="914" spans="1:27" ht="19.75">
      <c r="A914" s="8"/>
      <c r="B914" s="7"/>
      <c r="C914" s="8"/>
      <c r="D914" s="8"/>
      <c r="E914" s="11"/>
      <c r="F914" s="8"/>
      <c r="G914" s="8"/>
      <c r="H914" s="8"/>
      <c r="I914" s="8"/>
      <c r="J914" s="8"/>
      <c r="K914" s="8"/>
      <c r="L914" s="8"/>
      <c r="M914" s="8"/>
      <c r="N914" s="8"/>
      <c r="O914" s="8"/>
      <c r="P914" s="8"/>
      <c r="Q914" s="8"/>
      <c r="R914" s="8"/>
      <c r="S914" s="8"/>
      <c r="T914" s="8"/>
      <c r="U914" s="8"/>
      <c r="V914" s="8"/>
      <c r="W914" s="8"/>
      <c r="X914" s="8"/>
      <c r="Y914" s="8"/>
      <c r="Z914" s="8"/>
      <c r="AA914" s="8"/>
    </row>
    <row r="915" spans="1:27" ht="19.75">
      <c r="A915" s="8"/>
      <c r="B915" s="7"/>
      <c r="C915" s="8"/>
      <c r="D915" s="8"/>
      <c r="E915" s="11"/>
      <c r="F915" s="8"/>
      <c r="G915" s="8"/>
      <c r="H915" s="8"/>
      <c r="I915" s="8"/>
      <c r="J915" s="8"/>
      <c r="K915" s="8"/>
      <c r="L915" s="8"/>
      <c r="M915" s="8"/>
      <c r="N915" s="8"/>
      <c r="O915" s="8"/>
      <c r="P915" s="8"/>
      <c r="Q915" s="8"/>
      <c r="R915" s="8"/>
      <c r="S915" s="8"/>
      <c r="T915" s="8"/>
      <c r="U915" s="8"/>
      <c r="V915" s="8"/>
      <c r="W915" s="8"/>
      <c r="X915" s="8"/>
      <c r="Y915" s="8"/>
      <c r="Z915" s="8"/>
      <c r="AA915" s="8"/>
    </row>
    <row r="916" spans="1:27" ht="19.75">
      <c r="A916" s="8"/>
      <c r="B916" s="7"/>
      <c r="C916" s="8"/>
      <c r="D916" s="8"/>
      <c r="E916" s="11"/>
      <c r="F916" s="8"/>
      <c r="G916" s="8"/>
      <c r="H916" s="8"/>
      <c r="I916" s="8"/>
      <c r="J916" s="8"/>
      <c r="K916" s="8"/>
      <c r="L916" s="8"/>
      <c r="M916" s="8"/>
      <c r="N916" s="8"/>
      <c r="O916" s="8"/>
      <c r="P916" s="8"/>
      <c r="Q916" s="8"/>
      <c r="R916" s="8"/>
      <c r="S916" s="8"/>
      <c r="T916" s="8"/>
      <c r="U916" s="8"/>
      <c r="V916" s="8"/>
      <c r="W916" s="8"/>
      <c r="X916" s="8"/>
      <c r="Y916" s="8"/>
      <c r="Z916" s="8"/>
      <c r="AA916" s="8"/>
    </row>
    <row r="917" spans="1:27" ht="19.75">
      <c r="A917" s="8"/>
      <c r="B917" s="7"/>
      <c r="C917" s="8"/>
      <c r="D917" s="8"/>
      <c r="E917" s="11"/>
      <c r="F917" s="8"/>
      <c r="G917" s="8"/>
      <c r="H917" s="8"/>
      <c r="I917" s="8"/>
      <c r="J917" s="8"/>
      <c r="K917" s="8"/>
      <c r="L917" s="8"/>
      <c r="M917" s="8"/>
      <c r="N917" s="8"/>
      <c r="O917" s="8"/>
      <c r="P917" s="8"/>
      <c r="Q917" s="8"/>
      <c r="R917" s="8"/>
      <c r="S917" s="8"/>
      <c r="T917" s="8"/>
      <c r="U917" s="8"/>
      <c r="V917" s="8"/>
      <c r="W917" s="8"/>
      <c r="X917" s="8"/>
      <c r="Y917" s="8"/>
      <c r="Z917" s="8"/>
      <c r="AA917" s="8"/>
    </row>
    <row r="918" spans="1:27" ht="19.75">
      <c r="A918" s="8"/>
      <c r="B918" s="7"/>
      <c r="C918" s="8"/>
      <c r="D918" s="8"/>
      <c r="E918" s="11"/>
      <c r="F918" s="8"/>
      <c r="G918" s="8"/>
      <c r="H918" s="8"/>
      <c r="I918" s="8"/>
      <c r="J918" s="8"/>
      <c r="K918" s="8"/>
      <c r="L918" s="8"/>
      <c r="M918" s="8"/>
      <c r="N918" s="8"/>
      <c r="O918" s="8"/>
      <c r="P918" s="8"/>
      <c r="Q918" s="8"/>
      <c r="R918" s="8"/>
      <c r="S918" s="8"/>
      <c r="T918" s="8"/>
      <c r="U918" s="8"/>
      <c r="V918" s="8"/>
      <c r="W918" s="8"/>
      <c r="X918" s="8"/>
      <c r="Y918" s="8"/>
      <c r="Z918" s="8"/>
      <c r="AA918" s="8"/>
    </row>
    <row r="919" spans="1:27" ht="19.75">
      <c r="A919" s="8"/>
      <c r="B919" s="7"/>
      <c r="C919" s="8"/>
      <c r="D919" s="8"/>
      <c r="E919" s="11"/>
      <c r="F919" s="8"/>
      <c r="G919" s="8"/>
      <c r="H919" s="8"/>
      <c r="I919" s="8"/>
      <c r="J919" s="8"/>
      <c r="K919" s="8"/>
      <c r="L919" s="8"/>
      <c r="M919" s="8"/>
      <c r="N919" s="8"/>
      <c r="O919" s="8"/>
      <c r="P919" s="8"/>
      <c r="Q919" s="8"/>
      <c r="R919" s="8"/>
      <c r="S919" s="8"/>
      <c r="T919" s="8"/>
      <c r="U919" s="8"/>
      <c r="V919" s="8"/>
      <c r="W919" s="8"/>
      <c r="X919" s="8"/>
      <c r="Y919" s="8"/>
      <c r="Z919" s="8"/>
      <c r="AA919" s="8"/>
    </row>
    <row r="920" spans="1:27" ht="19.75">
      <c r="A920" s="8"/>
      <c r="B920" s="7"/>
      <c r="C920" s="8"/>
      <c r="D920" s="8"/>
      <c r="E920" s="11"/>
      <c r="F920" s="8"/>
      <c r="G920" s="8"/>
      <c r="H920" s="8"/>
      <c r="I920" s="8"/>
      <c r="J920" s="8"/>
      <c r="K920" s="8"/>
      <c r="L920" s="8"/>
      <c r="M920" s="8"/>
      <c r="N920" s="8"/>
      <c r="O920" s="8"/>
      <c r="P920" s="8"/>
      <c r="Q920" s="8"/>
      <c r="R920" s="8"/>
      <c r="S920" s="8"/>
      <c r="T920" s="8"/>
      <c r="U920" s="8"/>
      <c r="V920" s="8"/>
      <c r="W920" s="8"/>
      <c r="X920" s="8"/>
      <c r="Y920" s="8"/>
      <c r="Z920" s="8"/>
      <c r="AA920" s="8"/>
    </row>
    <row r="921" spans="1:27" ht="19.75">
      <c r="A921" s="8"/>
      <c r="B921" s="7"/>
      <c r="C921" s="8"/>
      <c r="D921" s="8"/>
      <c r="E921" s="11"/>
      <c r="F921" s="8"/>
      <c r="G921" s="8"/>
      <c r="H921" s="8"/>
      <c r="I921" s="8"/>
      <c r="J921" s="8"/>
      <c r="K921" s="8"/>
      <c r="L921" s="8"/>
      <c r="M921" s="8"/>
      <c r="N921" s="8"/>
      <c r="O921" s="8"/>
      <c r="P921" s="8"/>
      <c r="Q921" s="8"/>
      <c r="R921" s="8"/>
      <c r="S921" s="8"/>
      <c r="T921" s="8"/>
      <c r="U921" s="8"/>
      <c r="V921" s="8"/>
      <c r="W921" s="8"/>
      <c r="X921" s="8"/>
      <c r="Y921" s="8"/>
      <c r="Z921" s="8"/>
      <c r="AA921" s="8"/>
    </row>
    <row r="922" spans="1:27" ht="19.75">
      <c r="A922" s="8"/>
      <c r="B922" s="7"/>
      <c r="C922" s="8"/>
      <c r="D922" s="8"/>
      <c r="E922" s="11"/>
      <c r="F922" s="8"/>
      <c r="G922" s="8"/>
      <c r="H922" s="8"/>
      <c r="I922" s="8"/>
      <c r="J922" s="8"/>
      <c r="K922" s="8"/>
      <c r="L922" s="8"/>
      <c r="M922" s="8"/>
      <c r="N922" s="8"/>
      <c r="O922" s="8"/>
      <c r="P922" s="8"/>
      <c r="Q922" s="8"/>
      <c r="R922" s="8"/>
      <c r="S922" s="8"/>
      <c r="T922" s="8"/>
      <c r="U922" s="8"/>
      <c r="V922" s="8"/>
      <c r="W922" s="8"/>
      <c r="X922" s="8"/>
      <c r="Y922" s="8"/>
      <c r="Z922" s="8"/>
      <c r="AA922" s="8"/>
    </row>
    <row r="923" spans="1:27" ht="19.75">
      <c r="A923" s="8"/>
      <c r="B923" s="7"/>
      <c r="C923" s="8"/>
      <c r="D923" s="8"/>
      <c r="E923" s="11"/>
      <c r="F923" s="8"/>
      <c r="G923" s="8"/>
      <c r="H923" s="8"/>
      <c r="I923" s="8"/>
      <c r="J923" s="8"/>
      <c r="K923" s="8"/>
      <c r="L923" s="8"/>
      <c r="M923" s="8"/>
      <c r="N923" s="8"/>
      <c r="O923" s="8"/>
      <c r="P923" s="8"/>
      <c r="Q923" s="8"/>
      <c r="R923" s="8"/>
      <c r="S923" s="8"/>
      <c r="T923" s="8"/>
      <c r="U923" s="8"/>
      <c r="V923" s="8"/>
      <c r="W923" s="8"/>
      <c r="X923" s="8"/>
      <c r="Y923" s="8"/>
      <c r="Z923" s="8"/>
      <c r="AA923" s="8"/>
    </row>
    <row r="924" spans="1:27" ht="19.75">
      <c r="A924" s="8"/>
      <c r="B924" s="7"/>
      <c r="C924" s="8"/>
      <c r="D924" s="8"/>
      <c r="E924" s="11"/>
      <c r="F924" s="8"/>
      <c r="G924" s="8"/>
      <c r="H924" s="8"/>
      <c r="I924" s="8"/>
      <c r="J924" s="8"/>
      <c r="K924" s="8"/>
      <c r="L924" s="8"/>
      <c r="M924" s="8"/>
      <c r="N924" s="8"/>
      <c r="O924" s="8"/>
      <c r="P924" s="8"/>
      <c r="Q924" s="8"/>
      <c r="R924" s="8"/>
      <c r="S924" s="8"/>
      <c r="T924" s="8"/>
      <c r="U924" s="8"/>
      <c r="V924" s="8"/>
      <c r="W924" s="8"/>
      <c r="X924" s="8"/>
      <c r="Y924" s="8"/>
      <c r="Z924" s="8"/>
      <c r="AA924" s="8"/>
    </row>
    <row r="925" spans="1:27" ht="19.75">
      <c r="A925" s="8"/>
      <c r="B925" s="7"/>
      <c r="C925" s="8"/>
      <c r="D925" s="8"/>
      <c r="E925" s="11"/>
      <c r="F925" s="8"/>
      <c r="G925" s="8"/>
      <c r="H925" s="8"/>
      <c r="I925" s="8"/>
      <c r="J925" s="8"/>
      <c r="K925" s="8"/>
      <c r="L925" s="8"/>
      <c r="M925" s="8"/>
      <c r="N925" s="8"/>
      <c r="O925" s="8"/>
      <c r="P925" s="8"/>
      <c r="Q925" s="8"/>
      <c r="R925" s="8"/>
      <c r="S925" s="8"/>
      <c r="T925" s="8"/>
      <c r="U925" s="8"/>
      <c r="V925" s="8"/>
      <c r="W925" s="8"/>
      <c r="X925" s="8"/>
      <c r="Y925" s="8"/>
      <c r="Z925" s="8"/>
      <c r="AA925" s="8"/>
    </row>
    <row r="926" spans="1:27" ht="19.75">
      <c r="A926" s="8"/>
      <c r="B926" s="7"/>
      <c r="C926" s="8"/>
      <c r="D926" s="8"/>
      <c r="E926" s="11"/>
      <c r="F926" s="8"/>
      <c r="G926" s="8"/>
      <c r="H926" s="8"/>
      <c r="I926" s="8"/>
      <c r="J926" s="8"/>
      <c r="K926" s="8"/>
      <c r="L926" s="8"/>
      <c r="M926" s="8"/>
      <c r="N926" s="8"/>
      <c r="O926" s="8"/>
      <c r="P926" s="8"/>
      <c r="Q926" s="8"/>
      <c r="R926" s="8"/>
      <c r="S926" s="8"/>
      <c r="T926" s="8"/>
      <c r="U926" s="8"/>
      <c r="V926" s="8"/>
      <c r="W926" s="8"/>
      <c r="X926" s="8"/>
      <c r="Y926" s="8"/>
      <c r="Z926" s="8"/>
      <c r="AA926" s="8"/>
    </row>
    <row r="927" spans="1:27" ht="19.75">
      <c r="A927" s="8"/>
      <c r="B927" s="7"/>
      <c r="C927" s="8"/>
      <c r="D927" s="8"/>
      <c r="E927" s="11"/>
      <c r="F927" s="8"/>
      <c r="G927" s="8"/>
      <c r="H927" s="8"/>
      <c r="I927" s="8"/>
      <c r="J927" s="8"/>
      <c r="K927" s="8"/>
      <c r="L927" s="8"/>
      <c r="M927" s="8"/>
      <c r="N927" s="8"/>
      <c r="O927" s="8"/>
      <c r="P927" s="8"/>
      <c r="Q927" s="8"/>
      <c r="R927" s="8"/>
      <c r="S927" s="8"/>
      <c r="T927" s="8"/>
      <c r="U927" s="8"/>
      <c r="V927" s="8"/>
      <c r="W927" s="8"/>
      <c r="X927" s="8"/>
      <c r="Y927" s="8"/>
      <c r="Z927" s="8"/>
      <c r="AA927" s="8"/>
    </row>
    <row r="928" spans="1:27" ht="19.75">
      <c r="A928" s="8"/>
      <c r="B928" s="7"/>
      <c r="C928" s="8"/>
      <c r="D928" s="8"/>
      <c r="E928" s="11"/>
      <c r="F928" s="8"/>
      <c r="G928" s="8"/>
      <c r="H928" s="8"/>
      <c r="I928" s="8"/>
      <c r="J928" s="8"/>
      <c r="K928" s="8"/>
      <c r="L928" s="8"/>
      <c r="M928" s="8"/>
      <c r="N928" s="8"/>
      <c r="O928" s="8"/>
      <c r="P928" s="8"/>
      <c r="Q928" s="8"/>
      <c r="R928" s="8"/>
      <c r="S928" s="8"/>
      <c r="T928" s="8"/>
      <c r="U928" s="8"/>
      <c r="V928" s="8"/>
      <c r="W928" s="8"/>
      <c r="X928" s="8"/>
      <c r="Y928" s="8"/>
      <c r="Z928" s="8"/>
      <c r="AA928" s="8"/>
    </row>
    <row r="929" spans="1:27" ht="19.75">
      <c r="A929" s="8"/>
      <c r="B929" s="7"/>
      <c r="C929" s="8"/>
      <c r="D929" s="8"/>
      <c r="E929" s="11"/>
      <c r="F929" s="8"/>
      <c r="G929" s="8"/>
      <c r="H929" s="8"/>
      <c r="I929" s="8"/>
      <c r="J929" s="8"/>
      <c r="K929" s="8"/>
      <c r="L929" s="8"/>
      <c r="M929" s="8"/>
      <c r="N929" s="8"/>
      <c r="O929" s="8"/>
      <c r="P929" s="8"/>
      <c r="Q929" s="8"/>
      <c r="R929" s="8"/>
      <c r="S929" s="8"/>
      <c r="T929" s="8"/>
      <c r="U929" s="8"/>
      <c r="V929" s="8"/>
      <c r="W929" s="8"/>
      <c r="X929" s="8"/>
      <c r="Y929" s="8"/>
      <c r="Z929" s="8"/>
      <c r="AA929" s="8"/>
    </row>
    <row r="930" spans="1:27" ht="19.75">
      <c r="A930" s="8"/>
      <c r="B930" s="7"/>
      <c r="C930" s="8"/>
      <c r="D930" s="8"/>
      <c r="E930" s="11"/>
      <c r="F930" s="8"/>
      <c r="G930" s="8"/>
      <c r="H930" s="8"/>
      <c r="I930" s="8"/>
      <c r="J930" s="8"/>
      <c r="K930" s="8"/>
      <c r="L930" s="8"/>
      <c r="M930" s="8"/>
      <c r="N930" s="8"/>
      <c r="O930" s="8"/>
      <c r="P930" s="8"/>
      <c r="Q930" s="8"/>
      <c r="R930" s="8"/>
      <c r="S930" s="8"/>
      <c r="T930" s="8"/>
      <c r="U930" s="8"/>
      <c r="V930" s="8"/>
      <c r="W930" s="8"/>
      <c r="X930" s="8"/>
      <c r="Y930" s="8"/>
      <c r="Z930" s="8"/>
      <c r="AA930" s="8"/>
    </row>
    <row r="931" spans="1:27" ht="19.75">
      <c r="A931" s="8"/>
      <c r="B931" s="7"/>
      <c r="C931" s="8"/>
      <c r="D931" s="8"/>
      <c r="E931" s="11"/>
      <c r="F931" s="8"/>
      <c r="G931" s="8"/>
      <c r="H931" s="8"/>
      <c r="I931" s="8"/>
      <c r="J931" s="8"/>
      <c r="K931" s="8"/>
      <c r="L931" s="8"/>
      <c r="M931" s="8"/>
      <c r="N931" s="8"/>
      <c r="O931" s="8"/>
      <c r="P931" s="8"/>
      <c r="Q931" s="8"/>
      <c r="R931" s="8"/>
      <c r="S931" s="8"/>
      <c r="T931" s="8"/>
      <c r="U931" s="8"/>
      <c r="V931" s="8"/>
      <c r="W931" s="8"/>
      <c r="X931" s="8"/>
      <c r="Y931" s="8"/>
      <c r="Z931" s="8"/>
      <c r="AA931" s="8"/>
    </row>
    <row r="932" spans="1:27" ht="19.75">
      <c r="A932" s="8"/>
      <c r="B932" s="7"/>
      <c r="C932" s="8"/>
      <c r="D932" s="8"/>
      <c r="E932" s="11"/>
      <c r="F932" s="8"/>
      <c r="G932" s="8"/>
      <c r="H932" s="8"/>
      <c r="I932" s="8"/>
      <c r="J932" s="8"/>
      <c r="K932" s="8"/>
      <c r="L932" s="8"/>
      <c r="M932" s="8"/>
      <c r="N932" s="8"/>
      <c r="O932" s="8"/>
      <c r="P932" s="8"/>
      <c r="Q932" s="8"/>
      <c r="R932" s="8"/>
      <c r="S932" s="8"/>
      <c r="T932" s="8"/>
      <c r="U932" s="8"/>
      <c r="V932" s="8"/>
      <c r="W932" s="8"/>
      <c r="X932" s="8"/>
      <c r="Y932" s="8"/>
      <c r="Z932" s="8"/>
      <c r="AA932" s="8"/>
    </row>
    <row r="933" spans="1:27" ht="19.75">
      <c r="A933" s="8"/>
      <c r="B933" s="7"/>
      <c r="C933" s="8"/>
      <c r="D933" s="8"/>
      <c r="E933" s="11"/>
      <c r="F933" s="8"/>
      <c r="G933" s="8"/>
      <c r="H933" s="8"/>
      <c r="I933" s="8"/>
      <c r="J933" s="8"/>
      <c r="K933" s="8"/>
      <c r="L933" s="8"/>
      <c r="M933" s="8"/>
      <c r="N933" s="8"/>
      <c r="O933" s="8"/>
      <c r="P933" s="8"/>
      <c r="Q933" s="8"/>
      <c r="R933" s="8"/>
      <c r="S933" s="8"/>
      <c r="T933" s="8"/>
      <c r="U933" s="8"/>
      <c r="V933" s="8"/>
      <c r="W933" s="8"/>
      <c r="X933" s="8"/>
      <c r="Y933" s="8"/>
      <c r="Z933" s="8"/>
      <c r="AA933" s="8"/>
    </row>
    <row r="934" spans="1:27" ht="19.75">
      <c r="A934" s="8"/>
      <c r="B934" s="7"/>
      <c r="C934" s="8"/>
      <c r="D934" s="8"/>
      <c r="E934" s="11"/>
      <c r="F934" s="8"/>
      <c r="G934" s="8"/>
      <c r="H934" s="8"/>
      <c r="I934" s="8"/>
      <c r="J934" s="8"/>
      <c r="K934" s="8"/>
      <c r="L934" s="8"/>
      <c r="M934" s="8"/>
      <c r="N934" s="8"/>
      <c r="O934" s="8"/>
      <c r="P934" s="8"/>
      <c r="Q934" s="8"/>
      <c r="R934" s="8"/>
      <c r="S934" s="8"/>
      <c r="T934" s="8"/>
      <c r="U934" s="8"/>
      <c r="V934" s="8"/>
      <c r="W934" s="8"/>
      <c r="X934" s="8"/>
      <c r="Y934" s="8"/>
      <c r="Z934" s="8"/>
      <c r="AA934" s="8"/>
    </row>
    <row r="935" spans="1:27" ht="19.75">
      <c r="A935" s="8"/>
      <c r="B935" s="7"/>
      <c r="C935" s="8"/>
      <c r="D935" s="8"/>
      <c r="E935" s="11"/>
      <c r="F935" s="8"/>
      <c r="G935" s="8"/>
      <c r="H935" s="8"/>
      <c r="I935" s="8"/>
      <c r="J935" s="8"/>
      <c r="K935" s="8"/>
      <c r="L935" s="8"/>
      <c r="M935" s="8"/>
      <c r="N935" s="8"/>
      <c r="O935" s="8"/>
      <c r="P935" s="8"/>
      <c r="Q935" s="8"/>
      <c r="R935" s="8"/>
      <c r="S935" s="8"/>
      <c r="T935" s="8"/>
      <c r="U935" s="8"/>
      <c r="V935" s="8"/>
      <c r="W935" s="8"/>
      <c r="X935" s="8"/>
      <c r="Y935" s="8"/>
      <c r="Z935" s="8"/>
      <c r="AA935" s="8"/>
    </row>
    <row r="936" spans="1:27" ht="19.75">
      <c r="A936" s="8"/>
      <c r="B936" s="7"/>
      <c r="C936" s="8"/>
      <c r="D936" s="8"/>
      <c r="E936" s="11"/>
      <c r="F936" s="8"/>
      <c r="G936" s="8"/>
      <c r="H936" s="8"/>
      <c r="I936" s="8"/>
      <c r="J936" s="8"/>
      <c r="K936" s="8"/>
      <c r="L936" s="8"/>
      <c r="M936" s="8"/>
      <c r="N936" s="8"/>
      <c r="O936" s="8"/>
      <c r="P936" s="8"/>
      <c r="Q936" s="8"/>
      <c r="R936" s="8"/>
      <c r="S936" s="8"/>
      <c r="T936" s="8"/>
      <c r="U936" s="8"/>
      <c r="V936" s="8"/>
      <c r="W936" s="8"/>
      <c r="X936" s="8"/>
      <c r="Y936" s="8"/>
      <c r="Z936" s="8"/>
      <c r="AA936" s="8"/>
    </row>
    <row r="937" spans="1:27" ht="19.75">
      <c r="A937" s="8"/>
      <c r="B937" s="7"/>
      <c r="C937" s="8"/>
      <c r="D937" s="8"/>
      <c r="E937" s="11"/>
      <c r="F937" s="8"/>
      <c r="G937" s="8"/>
      <c r="H937" s="8"/>
      <c r="I937" s="8"/>
      <c r="J937" s="8"/>
      <c r="K937" s="8"/>
      <c r="L937" s="8"/>
      <c r="M937" s="8"/>
      <c r="N937" s="8"/>
      <c r="O937" s="8"/>
      <c r="P937" s="8"/>
      <c r="Q937" s="8"/>
      <c r="R937" s="8"/>
      <c r="S937" s="8"/>
      <c r="T937" s="8"/>
      <c r="U937" s="8"/>
      <c r="V937" s="8"/>
      <c r="W937" s="8"/>
      <c r="X937" s="8"/>
      <c r="Y937" s="8"/>
      <c r="Z937" s="8"/>
      <c r="AA937" s="8"/>
    </row>
    <row r="938" spans="1:27" ht="19.75">
      <c r="A938" s="8"/>
      <c r="B938" s="7"/>
      <c r="C938" s="8"/>
      <c r="D938" s="8"/>
      <c r="E938" s="11"/>
      <c r="F938" s="8"/>
      <c r="G938" s="8"/>
      <c r="H938" s="8"/>
      <c r="I938" s="8"/>
      <c r="J938" s="8"/>
      <c r="K938" s="8"/>
      <c r="L938" s="8"/>
      <c r="M938" s="8"/>
      <c r="N938" s="8"/>
      <c r="O938" s="8"/>
      <c r="P938" s="8"/>
      <c r="Q938" s="8"/>
      <c r="R938" s="8"/>
      <c r="S938" s="8"/>
      <c r="T938" s="8"/>
      <c r="U938" s="8"/>
      <c r="V938" s="8"/>
      <c r="W938" s="8"/>
      <c r="X938" s="8"/>
      <c r="Y938" s="8"/>
      <c r="Z938" s="8"/>
      <c r="AA938" s="8"/>
    </row>
    <row r="939" spans="1:27" ht="19.75">
      <c r="A939" s="8"/>
      <c r="B939" s="7"/>
      <c r="C939" s="8"/>
      <c r="D939" s="8"/>
      <c r="E939" s="11"/>
      <c r="F939" s="8"/>
      <c r="G939" s="8"/>
      <c r="H939" s="8"/>
      <c r="I939" s="8"/>
      <c r="J939" s="8"/>
      <c r="K939" s="8"/>
      <c r="L939" s="8"/>
      <c r="M939" s="8"/>
      <c r="N939" s="8"/>
      <c r="O939" s="8"/>
      <c r="P939" s="8"/>
      <c r="Q939" s="8"/>
      <c r="R939" s="8"/>
      <c r="S939" s="8"/>
      <c r="T939" s="8"/>
      <c r="U939" s="8"/>
      <c r="V939" s="8"/>
      <c r="W939" s="8"/>
      <c r="X939" s="8"/>
      <c r="Y939" s="8"/>
      <c r="Z939" s="8"/>
      <c r="AA939" s="8"/>
    </row>
    <row r="940" spans="1:27" ht="19.75">
      <c r="A940" s="8"/>
      <c r="B940" s="7"/>
      <c r="C940" s="8"/>
      <c r="D940" s="8"/>
      <c r="E940" s="11"/>
      <c r="F940" s="8"/>
      <c r="G940" s="8"/>
      <c r="H940" s="8"/>
      <c r="I940" s="8"/>
      <c r="J940" s="8"/>
      <c r="K940" s="8"/>
      <c r="L940" s="8"/>
      <c r="M940" s="8"/>
      <c r="N940" s="8"/>
      <c r="O940" s="8"/>
      <c r="P940" s="8"/>
      <c r="Q940" s="8"/>
      <c r="R940" s="8"/>
      <c r="S940" s="8"/>
      <c r="T940" s="8"/>
      <c r="U940" s="8"/>
      <c r="V940" s="8"/>
      <c r="W940" s="8"/>
      <c r="X940" s="8"/>
      <c r="Y940" s="8"/>
      <c r="Z940" s="8"/>
      <c r="AA940" s="8"/>
    </row>
    <row r="941" spans="1:27" ht="19.75">
      <c r="A941" s="8"/>
      <c r="B941" s="7"/>
      <c r="C941" s="8"/>
      <c r="D941" s="8"/>
      <c r="E941" s="11"/>
      <c r="F941" s="8"/>
      <c r="G941" s="8"/>
      <c r="H941" s="8"/>
      <c r="I941" s="8"/>
      <c r="J941" s="8"/>
      <c r="K941" s="8"/>
      <c r="L941" s="8"/>
      <c r="M941" s="8"/>
      <c r="N941" s="8"/>
      <c r="O941" s="8"/>
      <c r="P941" s="8"/>
      <c r="Q941" s="8"/>
      <c r="R941" s="8"/>
      <c r="S941" s="8"/>
      <c r="T941" s="8"/>
      <c r="U941" s="8"/>
      <c r="V941" s="8"/>
      <c r="W941" s="8"/>
      <c r="X941" s="8"/>
      <c r="Y941" s="8"/>
      <c r="Z941" s="8"/>
      <c r="AA941" s="8"/>
    </row>
    <row r="942" spans="1:27" ht="19.75">
      <c r="A942" s="8"/>
      <c r="B942" s="7"/>
      <c r="C942" s="8"/>
      <c r="D942" s="8"/>
      <c r="E942" s="11"/>
      <c r="F942" s="8"/>
      <c r="G942" s="8"/>
      <c r="H942" s="8"/>
      <c r="I942" s="8"/>
      <c r="J942" s="8"/>
      <c r="K942" s="8"/>
      <c r="L942" s="8"/>
      <c r="M942" s="8"/>
      <c r="N942" s="8"/>
      <c r="O942" s="8"/>
      <c r="P942" s="8"/>
      <c r="Q942" s="8"/>
      <c r="R942" s="8"/>
      <c r="S942" s="8"/>
      <c r="T942" s="8"/>
      <c r="U942" s="8"/>
      <c r="V942" s="8"/>
      <c r="W942" s="8"/>
      <c r="X942" s="8"/>
      <c r="Y942" s="8"/>
      <c r="Z942" s="8"/>
      <c r="AA942" s="8"/>
    </row>
    <row r="943" spans="1:27" ht="19.75">
      <c r="A943" s="8"/>
      <c r="B943" s="7"/>
      <c r="C943" s="8"/>
      <c r="D943" s="8"/>
      <c r="E943" s="11"/>
      <c r="F943" s="8"/>
      <c r="G943" s="8"/>
      <c r="H943" s="8"/>
      <c r="I943" s="8"/>
      <c r="J943" s="8"/>
      <c r="K943" s="8"/>
      <c r="L943" s="8"/>
      <c r="M943" s="8"/>
      <c r="N943" s="8"/>
      <c r="O943" s="8"/>
      <c r="P943" s="8"/>
      <c r="Q943" s="8"/>
      <c r="R943" s="8"/>
      <c r="S943" s="8"/>
      <c r="T943" s="8"/>
      <c r="U943" s="8"/>
      <c r="V943" s="8"/>
      <c r="W943" s="8"/>
      <c r="X943" s="8"/>
      <c r="Y943" s="8"/>
      <c r="Z943" s="8"/>
      <c r="AA943" s="8"/>
    </row>
    <row r="944" spans="1:27" ht="19.75">
      <c r="A944" s="8"/>
      <c r="B944" s="7"/>
      <c r="C944" s="8"/>
      <c r="D944" s="8"/>
      <c r="E944" s="11"/>
      <c r="F944" s="8"/>
      <c r="G944" s="8"/>
      <c r="H944" s="8"/>
      <c r="I944" s="8"/>
      <c r="J944" s="8"/>
      <c r="K944" s="8"/>
      <c r="L944" s="8"/>
      <c r="M944" s="8"/>
      <c r="N944" s="8"/>
      <c r="O944" s="8"/>
      <c r="P944" s="8"/>
      <c r="Q944" s="8"/>
      <c r="R944" s="8"/>
      <c r="S944" s="8"/>
      <c r="T944" s="8"/>
      <c r="U944" s="8"/>
      <c r="V944" s="8"/>
      <c r="W944" s="8"/>
      <c r="X944" s="8"/>
      <c r="Y944" s="8"/>
      <c r="Z944" s="8"/>
      <c r="AA944" s="8"/>
    </row>
    <row r="945" spans="1:27" ht="19.75">
      <c r="A945" s="8"/>
      <c r="B945" s="7"/>
      <c r="C945" s="8"/>
      <c r="D945" s="8"/>
      <c r="E945" s="11"/>
      <c r="F945" s="8"/>
      <c r="G945" s="8"/>
      <c r="H945" s="8"/>
      <c r="I945" s="8"/>
      <c r="J945" s="8"/>
      <c r="K945" s="8"/>
      <c r="L945" s="8"/>
      <c r="M945" s="8"/>
      <c r="N945" s="8"/>
      <c r="O945" s="8"/>
      <c r="P945" s="8"/>
      <c r="Q945" s="8"/>
      <c r="R945" s="8"/>
      <c r="S945" s="8"/>
      <c r="T945" s="8"/>
      <c r="U945" s="8"/>
      <c r="V945" s="8"/>
      <c r="W945" s="8"/>
      <c r="X945" s="8"/>
      <c r="Y945" s="8"/>
      <c r="Z945" s="8"/>
      <c r="AA945" s="8"/>
    </row>
    <row r="946" spans="1:27" ht="19.75">
      <c r="A946" s="8"/>
      <c r="B946" s="7"/>
      <c r="C946" s="8"/>
      <c r="D946" s="8"/>
      <c r="E946" s="11"/>
      <c r="F946" s="8"/>
      <c r="G946" s="8"/>
      <c r="H946" s="8"/>
      <c r="I946" s="8"/>
      <c r="J946" s="8"/>
      <c r="K946" s="8"/>
      <c r="L946" s="8"/>
      <c r="M946" s="8"/>
      <c r="N946" s="8"/>
      <c r="O946" s="8"/>
      <c r="P946" s="8"/>
      <c r="Q946" s="8"/>
      <c r="R946" s="8"/>
      <c r="S946" s="8"/>
      <c r="T946" s="8"/>
      <c r="U946" s="8"/>
      <c r="V946" s="8"/>
      <c r="W946" s="8"/>
      <c r="X946" s="8"/>
      <c r="Y946" s="8"/>
      <c r="Z946" s="8"/>
      <c r="AA946" s="8"/>
    </row>
    <row r="947" spans="1:27" ht="19.75">
      <c r="A947" s="8"/>
      <c r="B947" s="7"/>
      <c r="C947" s="8"/>
      <c r="D947" s="8"/>
      <c r="E947" s="11"/>
      <c r="F947" s="8"/>
      <c r="G947" s="8"/>
      <c r="H947" s="8"/>
      <c r="I947" s="8"/>
      <c r="J947" s="8"/>
      <c r="K947" s="8"/>
      <c r="L947" s="8"/>
      <c r="M947" s="8"/>
      <c r="N947" s="8"/>
      <c r="O947" s="8"/>
      <c r="P947" s="8"/>
      <c r="Q947" s="8"/>
      <c r="R947" s="8"/>
      <c r="S947" s="8"/>
      <c r="T947" s="8"/>
      <c r="U947" s="8"/>
      <c r="V947" s="8"/>
      <c r="W947" s="8"/>
      <c r="X947" s="8"/>
      <c r="Y947" s="8"/>
      <c r="Z947" s="8"/>
      <c r="AA947" s="8"/>
    </row>
    <row r="948" spans="1:27" ht="19.75">
      <c r="A948" s="8"/>
      <c r="B948" s="7"/>
      <c r="C948" s="8"/>
      <c r="D948" s="8"/>
      <c r="E948" s="11"/>
      <c r="F948" s="8"/>
      <c r="G948" s="8"/>
      <c r="H948" s="8"/>
      <c r="I948" s="8"/>
      <c r="J948" s="8"/>
      <c r="K948" s="8"/>
      <c r="L948" s="8"/>
      <c r="M948" s="8"/>
      <c r="N948" s="8"/>
      <c r="O948" s="8"/>
      <c r="P948" s="8"/>
      <c r="Q948" s="8"/>
      <c r="R948" s="8"/>
      <c r="S948" s="8"/>
      <c r="T948" s="8"/>
      <c r="U948" s="8"/>
      <c r="V948" s="8"/>
      <c r="W948" s="8"/>
      <c r="X948" s="8"/>
      <c r="Y948" s="8"/>
      <c r="Z948" s="8"/>
      <c r="AA948" s="8"/>
    </row>
    <row r="949" spans="1:27" ht="19.75">
      <c r="A949" s="8"/>
      <c r="B949" s="7"/>
      <c r="C949" s="8"/>
      <c r="D949" s="8"/>
      <c r="E949" s="11"/>
      <c r="F949" s="8"/>
      <c r="G949" s="8"/>
      <c r="H949" s="8"/>
      <c r="I949" s="8"/>
      <c r="J949" s="8"/>
      <c r="K949" s="8"/>
      <c r="L949" s="8"/>
      <c r="M949" s="8"/>
      <c r="N949" s="8"/>
      <c r="O949" s="8"/>
      <c r="P949" s="8"/>
      <c r="Q949" s="8"/>
      <c r="R949" s="8"/>
      <c r="S949" s="8"/>
      <c r="T949" s="8"/>
      <c r="U949" s="8"/>
      <c r="V949" s="8"/>
      <c r="W949" s="8"/>
      <c r="X949" s="8"/>
      <c r="Y949" s="8"/>
      <c r="Z949" s="8"/>
      <c r="AA949" s="8"/>
    </row>
    <row r="950" spans="1:27" ht="19.75">
      <c r="A950" s="8"/>
      <c r="B950" s="7"/>
      <c r="C950" s="8"/>
      <c r="D950" s="8"/>
      <c r="E950" s="11"/>
      <c r="F950" s="8"/>
      <c r="G950" s="8"/>
      <c r="H950" s="8"/>
      <c r="I950" s="8"/>
      <c r="J950" s="8"/>
      <c r="K950" s="8"/>
      <c r="L950" s="8"/>
      <c r="M950" s="8"/>
      <c r="N950" s="8"/>
      <c r="O950" s="8"/>
      <c r="P950" s="8"/>
      <c r="Q950" s="8"/>
      <c r="R950" s="8"/>
      <c r="S950" s="8"/>
      <c r="T950" s="8"/>
      <c r="U950" s="8"/>
      <c r="V950" s="8"/>
      <c r="W950" s="8"/>
      <c r="X950" s="8"/>
      <c r="Y950" s="8"/>
      <c r="Z950" s="8"/>
      <c r="AA950" s="8"/>
    </row>
    <row r="951" spans="1:27" ht="19.75">
      <c r="A951" s="8"/>
      <c r="B951" s="7"/>
      <c r="C951" s="8"/>
      <c r="D951" s="8"/>
      <c r="E951" s="11"/>
      <c r="F951" s="8"/>
      <c r="G951" s="8"/>
      <c r="H951" s="8"/>
      <c r="I951" s="8"/>
      <c r="J951" s="8"/>
      <c r="K951" s="8"/>
      <c r="L951" s="8"/>
      <c r="M951" s="8"/>
      <c r="N951" s="8"/>
      <c r="O951" s="8"/>
      <c r="P951" s="8"/>
      <c r="Q951" s="8"/>
      <c r="R951" s="8"/>
      <c r="S951" s="8"/>
      <c r="T951" s="8"/>
      <c r="U951" s="8"/>
      <c r="V951" s="8"/>
      <c r="W951" s="8"/>
      <c r="X951" s="8"/>
      <c r="Y951" s="8"/>
      <c r="Z951" s="8"/>
      <c r="AA951" s="8"/>
    </row>
    <row r="952" spans="1:27" ht="19.75">
      <c r="A952" s="8"/>
      <c r="B952" s="7"/>
      <c r="C952" s="8"/>
      <c r="D952" s="8"/>
      <c r="E952" s="11"/>
      <c r="F952" s="8"/>
      <c r="G952" s="8"/>
      <c r="H952" s="8"/>
      <c r="I952" s="8"/>
      <c r="J952" s="8"/>
      <c r="K952" s="8"/>
      <c r="L952" s="8"/>
      <c r="M952" s="8"/>
      <c r="N952" s="8"/>
      <c r="O952" s="8"/>
      <c r="P952" s="8"/>
      <c r="Q952" s="8"/>
      <c r="R952" s="8"/>
      <c r="S952" s="8"/>
      <c r="T952" s="8"/>
      <c r="U952" s="8"/>
      <c r="V952" s="8"/>
      <c r="W952" s="8"/>
      <c r="X952" s="8"/>
      <c r="Y952" s="8"/>
      <c r="Z952" s="8"/>
      <c r="AA952" s="8"/>
    </row>
    <row r="953" spans="1:27" ht="19.75">
      <c r="A953" s="8"/>
      <c r="B953" s="7"/>
      <c r="C953" s="8"/>
      <c r="D953" s="8"/>
      <c r="E953" s="11"/>
      <c r="F953" s="8"/>
      <c r="G953" s="8"/>
      <c r="H953" s="8"/>
      <c r="I953" s="8"/>
      <c r="J953" s="8"/>
      <c r="K953" s="8"/>
      <c r="L953" s="8"/>
      <c r="M953" s="8"/>
      <c r="N953" s="8"/>
      <c r="O953" s="8"/>
      <c r="P953" s="8"/>
      <c r="Q953" s="8"/>
      <c r="R953" s="8"/>
      <c r="S953" s="8"/>
      <c r="T953" s="8"/>
      <c r="U953" s="8"/>
      <c r="V953" s="8"/>
      <c r="W953" s="8"/>
      <c r="X953" s="8"/>
      <c r="Y953" s="8"/>
      <c r="Z953" s="8"/>
      <c r="AA953" s="8"/>
    </row>
    <row r="954" spans="1:27" ht="19.75">
      <c r="A954" s="8"/>
      <c r="B954" s="7"/>
      <c r="C954" s="8"/>
      <c r="D954" s="8"/>
      <c r="E954" s="11"/>
      <c r="F954" s="8"/>
      <c r="G954" s="8"/>
      <c r="H954" s="8"/>
      <c r="I954" s="8"/>
      <c r="J954" s="8"/>
      <c r="K954" s="8"/>
      <c r="L954" s="8"/>
      <c r="M954" s="8"/>
      <c r="N954" s="8"/>
      <c r="O954" s="8"/>
      <c r="P954" s="8"/>
      <c r="Q954" s="8"/>
      <c r="R954" s="8"/>
      <c r="S954" s="8"/>
      <c r="T954" s="8"/>
      <c r="U954" s="8"/>
      <c r="V954" s="8"/>
      <c r="W954" s="8"/>
      <c r="X954" s="8"/>
      <c r="Y954" s="8"/>
      <c r="Z954" s="8"/>
      <c r="AA954" s="8"/>
    </row>
    <row r="955" spans="1:27" ht="19.75">
      <c r="A955" s="8"/>
      <c r="B955" s="7"/>
      <c r="C955" s="8"/>
      <c r="D955" s="8"/>
      <c r="E955" s="11"/>
      <c r="F955" s="8"/>
      <c r="G955" s="8"/>
      <c r="H955" s="8"/>
      <c r="I955" s="8"/>
      <c r="J955" s="8"/>
      <c r="K955" s="8"/>
      <c r="L955" s="8"/>
      <c r="M955" s="8"/>
      <c r="N955" s="8"/>
      <c r="O955" s="8"/>
      <c r="P955" s="8"/>
      <c r="Q955" s="8"/>
      <c r="R955" s="8"/>
      <c r="S955" s="8"/>
      <c r="T955" s="8"/>
      <c r="U955" s="8"/>
      <c r="V955" s="8"/>
      <c r="W955" s="8"/>
      <c r="X955" s="8"/>
      <c r="Y955" s="8"/>
      <c r="Z955" s="8"/>
      <c r="AA955" s="8"/>
    </row>
    <row r="956" spans="1:27" ht="19.75">
      <c r="A956" s="8"/>
      <c r="B956" s="7"/>
      <c r="C956" s="8"/>
      <c r="D956" s="8"/>
      <c r="E956" s="11"/>
      <c r="F956" s="8"/>
      <c r="G956" s="8"/>
      <c r="H956" s="8"/>
      <c r="I956" s="8"/>
      <c r="J956" s="8"/>
      <c r="K956" s="8"/>
      <c r="L956" s="8"/>
      <c r="M956" s="8"/>
      <c r="N956" s="8"/>
      <c r="O956" s="8"/>
      <c r="P956" s="8"/>
      <c r="Q956" s="8"/>
      <c r="R956" s="8"/>
      <c r="S956" s="8"/>
      <c r="T956" s="8"/>
      <c r="U956" s="8"/>
      <c r="V956" s="8"/>
      <c r="W956" s="8"/>
      <c r="X956" s="8"/>
      <c r="Y956" s="8"/>
      <c r="Z956" s="8"/>
      <c r="AA956" s="8"/>
    </row>
    <row r="957" spans="1:27" ht="19.75">
      <c r="A957" s="8"/>
      <c r="B957" s="7"/>
      <c r="C957" s="8"/>
      <c r="D957" s="8"/>
      <c r="E957" s="11"/>
      <c r="F957" s="8"/>
      <c r="G957" s="8"/>
      <c r="H957" s="8"/>
      <c r="I957" s="8"/>
      <c r="J957" s="8"/>
      <c r="K957" s="8"/>
      <c r="L957" s="8"/>
      <c r="M957" s="8"/>
      <c r="N957" s="8"/>
      <c r="O957" s="8"/>
      <c r="P957" s="8"/>
      <c r="Q957" s="8"/>
      <c r="R957" s="8"/>
      <c r="S957" s="8"/>
      <c r="T957" s="8"/>
      <c r="U957" s="8"/>
      <c r="V957" s="8"/>
      <c r="W957" s="8"/>
      <c r="X957" s="8"/>
      <c r="Y957" s="8"/>
      <c r="Z957" s="8"/>
      <c r="AA957" s="8"/>
    </row>
    <row r="958" spans="1:27" ht="19.75">
      <c r="A958" s="8"/>
      <c r="B958" s="7"/>
      <c r="C958" s="8"/>
      <c r="D958" s="8"/>
      <c r="E958" s="11"/>
      <c r="F958" s="8"/>
      <c r="G958" s="8"/>
      <c r="H958" s="8"/>
      <c r="I958" s="8"/>
      <c r="J958" s="8"/>
      <c r="K958" s="8"/>
      <c r="L958" s="8"/>
      <c r="M958" s="8"/>
      <c r="N958" s="8"/>
      <c r="O958" s="8"/>
      <c r="P958" s="8"/>
      <c r="Q958" s="8"/>
      <c r="R958" s="8"/>
      <c r="S958" s="8"/>
      <c r="T958" s="8"/>
      <c r="U958" s="8"/>
      <c r="V958" s="8"/>
      <c r="W958" s="8"/>
      <c r="X958" s="8"/>
      <c r="Y958" s="8"/>
      <c r="Z958" s="8"/>
      <c r="AA958" s="8"/>
    </row>
    <row r="959" spans="1:27" ht="19.75">
      <c r="A959" s="8"/>
      <c r="B959" s="7"/>
      <c r="C959" s="8"/>
      <c r="D959" s="8"/>
      <c r="E959" s="11"/>
      <c r="F959" s="8"/>
      <c r="G959" s="8"/>
      <c r="H959" s="8"/>
      <c r="I959" s="8"/>
      <c r="J959" s="8"/>
      <c r="K959" s="8"/>
      <c r="L959" s="8"/>
      <c r="M959" s="8"/>
      <c r="N959" s="8"/>
      <c r="O959" s="8"/>
      <c r="P959" s="8"/>
      <c r="Q959" s="8"/>
      <c r="R959" s="8"/>
      <c r="S959" s="8"/>
      <c r="T959" s="8"/>
      <c r="U959" s="8"/>
      <c r="V959" s="8"/>
      <c r="W959" s="8"/>
      <c r="X959" s="8"/>
      <c r="Y959" s="8"/>
      <c r="Z959" s="8"/>
      <c r="AA959" s="8"/>
    </row>
    <row r="960" spans="1:27" ht="19.75">
      <c r="A960" s="8"/>
      <c r="B960" s="7"/>
      <c r="C960" s="8"/>
      <c r="D960" s="8"/>
      <c r="E960" s="11"/>
      <c r="F960" s="8"/>
      <c r="G960" s="8"/>
      <c r="H960" s="8"/>
      <c r="I960" s="8"/>
      <c r="J960" s="8"/>
      <c r="K960" s="8"/>
      <c r="L960" s="8"/>
      <c r="M960" s="8"/>
      <c r="N960" s="8"/>
      <c r="O960" s="8"/>
      <c r="P960" s="8"/>
      <c r="Q960" s="8"/>
      <c r="R960" s="8"/>
      <c r="S960" s="8"/>
      <c r="T960" s="8"/>
      <c r="U960" s="8"/>
      <c r="V960" s="8"/>
      <c r="W960" s="8"/>
      <c r="X960" s="8"/>
      <c r="Y960" s="8"/>
      <c r="Z960" s="8"/>
      <c r="AA960" s="8"/>
    </row>
    <row r="961" spans="1:27" ht="19.75">
      <c r="A961" s="8"/>
      <c r="B961" s="7"/>
      <c r="C961" s="8"/>
      <c r="D961" s="8"/>
      <c r="E961" s="11"/>
      <c r="F961" s="8"/>
      <c r="G961" s="8"/>
      <c r="H961" s="8"/>
      <c r="I961" s="8"/>
      <c r="J961" s="8"/>
      <c r="K961" s="8"/>
      <c r="L961" s="8"/>
      <c r="M961" s="8"/>
      <c r="N961" s="8"/>
      <c r="O961" s="8"/>
      <c r="P961" s="8"/>
      <c r="Q961" s="8"/>
      <c r="R961" s="8"/>
      <c r="S961" s="8"/>
      <c r="T961" s="8"/>
      <c r="U961" s="8"/>
      <c r="V961" s="8"/>
      <c r="W961" s="8"/>
      <c r="X961" s="8"/>
      <c r="Y961" s="8"/>
      <c r="Z961" s="8"/>
      <c r="AA961" s="8"/>
    </row>
    <row r="962" spans="1:27" ht="19.75">
      <c r="A962" s="8"/>
      <c r="B962" s="7"/>
      <c r="C962" s="8"/>
      <c r="D962" s="8"/>
      <c r="E962" s="11"/>
      <c r="F962" s="8"/>
      <c r="G962" s="8"/>
      <c r="H962" s="8"/>
      <c r="I962" s="8"/>
      <c r="J962" s="8"/>
      <c r="K962" s="8"/>
      <c r="L962" s="8"/>
      <c r="M962" s="8"/>
      <c r="N962" s="8"/>
      <c r="O962" s="8"/>
      <c r="P962" s="8"/>
      <c r="Q962" s="8"/>
      <c r="R962" s="8"/>
      <c r="S962" s="8"/>
      <c r="T962" s="8"/>
      <c r="U962" s="8"/>
      <c r="V962" s="8"/>
      <c r="W962" s="8"/>
      <c r="X962" s="8"/>
      <c r="Y962" s="8"/>
      <c r="Z962" s="8"/>
      <c r="AA962" s="8"/>
    </row>
    <row r="963" spans="1:27" ht="19.75">
      <c r="A963" s="8"/>
      <c r="B963" s="7"/>
      <c r="C963" s="8"/>
      <c r="D963" s="8"/>
      <c r="E963" s="11"/>
      <c r="F963" s="8"/>
      <c r="G963" s="8"/>
      <c r="H963" s="8"/>
      <c r="I963" s="8"/>
      <c r="J963" s="8"/>
      <c r="K963" s="8"/>
      <c r="L963" s="8"/>
      <c r="M963" s="8"/>
      <c r="N963" s="8"/>
      <c r="O963" s="8"/>
      <c r="P963" s="8"/>
      <c r="Q963" s="8"/>
      <c r="R963" s="8"/>
      <c r="S963" s="8"/>
      <c r="T963" s="8"/>
      <c r="U963" s="8"/>
      <c r="V963" s="8"/>
      <c r="W963" s="8"/>
      <c r="X963" s="8"/>
      <c r="Y963" s="8"/>
      <c r="Z963" s="8"/>
      <c r="AA963" s="8"/>
    </row>
    <row r="964" spans="1:27" ht="19.75">
      <c r="A964" s="8"/>
      <c r="B964" s="7"/>
      <c r="C964" s="8"/>
      <c r="D964" s="8"/>
      <c r="E964" s="11"/>
      <c r="F964" s="8"/>
      <c r="G964" s="8"/>
      <c r="H964" s="8"/>
      <c r="I964" s="8"/>
      <c r="J964" s="8"/>
      <c r="K964" s="8"/>
      <c r="L964" s="8"/>
      <c r="M964" s="8"/>
      <c r="N964" s="8"/>
      <c r="O964" s="8"/>
      <c r="P964" s="8"/>
      <c r="Q964" s="8"/>
      <c r="R964" s="8"/>
      <c r="S964" s="8"/>
      <c r="T964" s="8"/>
      <c r="U964" s="8"/>
      <c r="V964" s="8"/>
      <c r="W964" s="8"/>
      <c r="X964" s="8"/>
      <c r="Y964" s="8"/>
      <c r="Z964" s="8"/>
      <c r="AA964" s="8"/>
    </row>
    <row r="965" spans="1:27" ht="19.75">
      <c r="A965" s="8"/>
      <c r="B965" s="7"/>
      <c r="C965" s="8"/>
      <c r="D965" s="8"/>
      <c r="E965" s="11"/>
      <c r="F965" s="8"/>
      <c r="G965" s="8"/>
      <c r="H965" s="8"/>
      <c r="I965" s="8"/>
      <c r="J965" s="8"/>
      <c r="K965" s="8"/>
      <c r="L965" s="8"/>
      <c r="M965" s="8"/>
      <c r="N965" s="8"/>
      <c r="O965" s="8"/>
      <c r="P965" s="8"/>
      <c r="Q965" s="8"/>
      <c r="R965" s="8"/>
      <c r="S965" s="8"/>
      <c r="T965" s="8"/>
      <c r="U965" s="8"/>
      <c r="V965" s="8"/>
      <c r="W965" s="8"/>
      <c r="X965" s="8"/>
      <c r="Y965" s="8"/>
      <c r="Z965" s="8"/>
      <c r="AA965" s="8"/>
    </row>
    <row r="966" spans="1:27" ht="19.75">
      <c r="A966" s="8"/>
      <c r="B966" s="7"/>
      <c r="C966" s="8"/>
      <c r="D966" s="8"/>
      <c r="E966" s="11"/>
      <c r="F966" s="8"/>
      <c r="G966" s="8"/>
      <c r="H966" s="8"/>
      <c r="I966" s="8"/>
      <c r="J966" s="8"/>
      <c r="K966" s="8"/>
      <c r="L966" s="8"/>
      <c r="M966" s="8"/>
      <c r="N966" s="8"/>
      <c r="O966" s="8"/>
      <c r="P966" s="8"/>
      <c r="Q966" s="8"/>
      <c r="R966" s="8"/>
      <c r="S966" s="8"/>
      <c r="T966" s="8"/>
      <c r="U966" s="8"/>
      <c r="V966" s="8"/>
      <c r="W966" s="8"/>
      <c r="X966" s="8"/>
      <c r="Y966" s="8"/>
      <c r="Z966" s="8"/>
      <c r="AA966" s="8"/>
    </row>
    <row r="967" spans="1:27" ht="19.75">
      <c r="A967" s="8"/>
      <c r="B967" s="7"/>
      <c r="C967" s="8"/>
      <c r="D967" s="8"/>
      <c r="E967" s="11"/>
      <c r="F967" s="8"/>
      <c r="G967" s="8"/>
      <c r="H967" s="8"/>
      <c r="I967" s="8"/>
      <c r="J967" s="8"/>
      <c r="K967" s="8"/>
      <c r="L967" s="8"/>
      <c r="M967" s="8"/>
      <c r="N967" s="8"/>
      <c r="O967" s="8"/>
      <c r="P967" s="8"/>
      <c r="Q967" s="8"/>
      <c r="R967" s="8"/>
      <c r="S967" s="8"/>
      <c r="T967" s="8"/>
      <c r="U967" s="8"/>
      <c r="V967" s="8"/>
      <c r="W967" s="8"/>
      <c r="X967" s="8"/>
      <c r="Y967" s="8"/>
      <c r="Z967" s="8"/>
      <c r="AA967" s="8"/>
    </row>
    <row r="968" spans="1:27" ht="19.75">
      <c r="A968" s="8"/>
      <c r="B968" s="7"/>
      <c r="C968" s="8"/>
      <c r="D968" s="8"/>
      <c r="E968" s="11"/>
      <c r="F968" s="8"/>
      <c r="G968" s="8"/>
      <c r="H968" s="8"/>
      <c r="I968" s="8"/>
      <c r="J968" s="8"/>
      <c r="K968" s="8"/>
      <c r="L968" s="8"/>
      <c r="M968" s="8"/>
      <c r="N968" s="8"/>
      <c r="O968" s="8"/>
      <c r="P968" s="8"/>
      <c r="Q968" s="8"/>
      <c r="R968" s="8"/>
      <c r="S968" s="8"/>
      <c r="T968" s="8"/>
      <c r="U968" s="8"/>
      <c r="V968" s="8"/>
      <c r="W968" s="8"/>
      <c r="X968" s="8"/>
      <c r="Y968" s="8"/>
      <c r="Z968" s="8"/>
      <c r="AA968" s="8"/>
    </row>
    <row r="969" spans="1:27" ht="19.75">
      <c r="A969" s="8"/>
      <c r="B969" s="7"/>
      <c r="C969" s="8"/>
      <c r="D969" s="8"/>
      <c r="E969" s="11"/>
      <c r="F969" s="8"/>
      <c r="G969" s="8"/>
      <c r="H969" s="8"/>
      <c r="I969" s="8"/>
      <c r="J969" s="8"/>
      <c r="K969" s="8"/>
      <c r="L969" s="8"/>
      <c r="M969" s="8"/>
      <c r="N969" s="8"/>
      <c r="O969" s="8"/>
      <c r="P969" s="8"/>
      <c r="Q969" s="8"/>
      <c r="R969" s="8"/>
      <c r="S969" s="8"/>
      <c r="T969" s="8"/>
      <c r="U969" s="8"/>
      <c r="V969" s="8"/>
      <c r="W969" s="8"/>
      <c r="X969" s="8"/>
      <c r="Y969" s="8"/>
      <c r="Z969" s="8"/>
      <c r="AA969" s="8"/>
    </row>
    <row r="970" spans="1:27" ht="19.75">
      <c r="A970" s="8"/>
      <c r="B970" s="7"/>
      <c r="C970" s="8"/>
      <c r="D970" s="8"/>
      <c r="E970" s="11"/>
      <c r="F970" s="8"/>
      <c r="G970" s="8"/>
      <c r="H970" s="8"/>
      <c r="I970" s="8"/>
      <c r="J970" s="8"/>
      <c r="K970" s="8"/>
      <c r="L970" s="8"/>
      <c r="M970" s="8"/>
      <c r="N970" s="8"/>
      <c r="O970" s="8"/>
      <c r="P970" s="8"/>
      <c r="Q970" s="8"/>
      <c r="R970" s="8"/>
      <c r="S970" s="8"/>
      <c r="T970" s="8"/>
      <c r="U970" s="8"/>
      <c r="V970" s="8"/>
      <c r="W970" s="8"/>
      <c r="X970" s="8"/>
      <c r="Y970" s="8"/>
      <c r="Z970" s="8"/>
      <c r="AA970" s="8"/>
    </row>
    <row r="971" spans="1:27" ht="19.75">
      <c r="A971" s="8"/>
      <c r="B971" s="7"/>
      <c r="C971" s="8"/>
      <c r="D971" s="8"/>
      <c r="E971" s="11"/>
      <c r="F971" s="8"/>
      <c r="G971" s="8"/>
      <c r="H971" s="8"/>
      <c r="I971" s="8"/>
      <c r="J971" s="8"/>
      <c r="K971" s="8"/>
      <c r="L971" s="8"/>
      <c r="M971" s="8"/>
      <c r="N971" s="8"/>
      <c r="O971" s="8"/>
      <c r="P971" s="8"/>
      <c r="Q971" s="8"/>
      <c r="R971" s="8"/>
      <c r="S971" s="8"/>
      <c r="T971" s="8"/>
      <c r="U971" s="8"/>
      <c r="V971" s="8"/>
      <c r="W971" s="8"/>
      <c r="X971" s="8"/>
      <c r="Y971" s="8"/>
      <c r="Z971" s="8"/>
      <c r="AA971" s="8"/>
    </row>
  </sheetData>
  <mergeCells count="2">
    <mergeCell ref="C92:C93"/>
    <mergeCell ref="E92:E93"/>
  </mergeCells>
  <hyperlinks>
    <hyperlink ref="D2" r:id="rId1" xr:uid="{00000000-0004-0000-0200-000000000000}"/>
    <hyperlink ref="C3" r:id="rId2" xr:uid="{00000000-0004-0000-0200-000001000000}"/>
    <hyperlink ref="D4" r:id="rId3" xr:uid="{00000000-0004-0000-0200-000002000000}"/>
    <hyperlink ref="D5" r:id="rId4" xr:uid="{00000000-0004-0000-0200-000003000000}"/>
    <hyperlink ref="D6" r:id="rId5" xr:uid="{00000000-0004-0000-0200-000004000000}"/>
    <hyperlink ref="D7" r:id="rId6" xr:uid="{00000000-0004-0000-0200-000005000000}"/>
    <hyperlink ref="D8" r:id="rId7" xr:uid="{00000000-0004-0000-0200-000006000000}"/>
    <hyperlink ref="D9" r:id="rId8" xr:uid="{00000000-0004-0000-0200-000007000000}"/>
    <hyperlink ref="D10" r:id="rId9" xr:uid="{00000000-0004-0000-0200-000008000000}"/>
    <hyperlink ref="D11" r:id="rId10" xr:uid="{00000000-0004-0000-0200-000009000000}"/>
    <hyperlink ref="D12" r:id="rId11" xr:uid="{00000000-0004-0000-0200-00000A000000}"/>
    <hyperlink ref="D13" r:id="rId12" xr:uid="{00000000-0004-0000-0200-00000B000000}"/>
    <hyperlink ref="D14" r:id="rId13" xr:uid="{00000000-0004-0000-0200-00000C000000}"/>
    <hyperlink ref="D15" r:id="rId14" xr:uid="{00000000-0004-0000-0200-00000D000000}"/>
    <hyperlink ref="D16" r:id="rId15" xr:uid="{00000000-0004-0000-0200-00000E000000}"/>
    <hyperlink ref="D17" r:id="rId16" xr:uid="{00000000-0004-0000-0200-00000F000000}"/>
    <hyperlink ref="D18" r:id="rId17" xr:uid="{00000000-0004-0000-0200-000010000000}"/>
    <hyperlink ref="D19" r:id="rId18" xr:uid="{00000000-0004-0000-0200-000011000000}"/>
    <hyperlink ref="D20" r:id="rId19" xr:uid="{00000000-0004-0000-0200-000012000000}"/>
    <hyperlink ref="D21" r:id="rId20" xr:uid="{00000000-0004-0000-0200-000013000000}"/>
    <hyperlink ref="D22" r:id="rId21" xr:uid="{00000000-0004-0000-0200-000014000000}"/>
    <hyperlink ref="D23" r:id="rId22" xr:uid="{00000000-0004-0000-0200-000015000000}"/>
    <hyperlink ref="D24" r:id="rId23" xr:uid="{00000000-0004-0000-0200-000016000000}"/>
    <hyperlink ref="D25" r:id="rId24" xr:uid="{00000000-0004-0000-0200-000017000000}"/>
    <hyperlink ref="D26" r:id="rId25" xr:uid="{00000000-0004-0000-0200-000018000000}"/>
    <hyperlink ref="D27" r:id="rId26" xr:uid="{00000000-0004-0000-0200-000019000000}"/>
    <hyperlink ref="D28" r:id="rId27" xr:uid="{00000000-0004-0000-0200-00001A000000}"/>
    <hyperlink ref="D29" r:id="rId28" xr:uid="{00000000-0004-0000-0200-00001B000000}"/>
    <hyperlink ref="D30" r:id="rId29" xr:uid="{00000000-0004-0000-0200-00001C000000}"/>
    <hyperlink ref="D31" r:id="rId30" xr:uid="{00000000-0004-0000-0200-00001D000000}"/>
    <hyperlink ref="D32" r:id="rId31" xr:uid="{00000000-0004-0000-0200-00001E000000}"/>
    <hyperlink ref="D33" r:id="rId32" xr:uid="{00000000-0004-0000-0200-00001F000000}"/>
    <hyperlink ref="C35" r:id="rId33" xr:uid="{00000000-0004-0000-0200-000020000000}"/>
    <hyperlink ref="D36" r:id="rId34" xr:uid="{00000000-0004-0000-0200-000021000000}"/>
    <hyperlink ref="D37" r:id="rId35" xr:uid="{00000000-0004-0000-0200-000022000000}"/>
    <hyperlink ref="D38" r:id="rId36" xr:uid="{00000000-0004-0000-0200-000023000000}"/>
    <hyperlink ref="D39" r:id="rId37" xr:uid="{00000000-0004-0000-0200-000024000000}"/>
    <hyperlink ref="D40" r:id="rId38" xr:uid="{00000000-0004-0000-0200-000025000000}"/>
    <hyperlink ref="D41" r:id="rId39" xr:uid="{00000000-0004-0000-0200-000026000000}"/>
    <hyperlink ref="D42" r:id="rId40" xr:uid="{00000000-0004-0000-0200-000027000000}"/>
    <hyperlink ref="D43" r:id="rId41" xr:uid="{00000000-0004-0000-0200-000028000000}"/>
    <hyperlink ref="D44" r:id="rId42" xr:uid="{00000000-0004-0000-0200-000029000000}"/>
    <hyperlink ref="D45" r:id="rId43" xr:uid="{00000000-0004-0000-0200-00002A000000}"/>
    <hyperlink ref="D46" r:id="rId44" xr:uid="{00000000-0004-0000-0200-00002B000000}"/>
    <hyperlink ref="D47" r:id="rId45" xr:uid="{00000000-0004-0000-0200-00002C000000}"/>
    <hyperlink ref="D48" r:id="rId46" xr:uid="{00000000-0004-0000-0200-00002D000000}"/>
    <hyperlink ref="D49" r:id="rId47" xr:uid="{00000000-0004-0000-0200-00002E000000}"/>
    <hyperlink ref="D50" r:id="rId48" xr:uid="{00000000-0004-0000-0200-00002F000000}"/>
    <hyperlink ref="D51" r:id="rId49" xr:uid="{00000000-0004-0000-0200-000030000000}"/>
    <hyperlink ref="D52" r:id="rId50" xr:uid="{00000000-0004-0000-0200-000031000000}"/>
    <hyperlink ref="D53" r:id="rId51" xr:uid="{00000000-0004-0000-0200-000032000000}"/>
    <hyperlink ref="D54" r:id="rId52" xr:uid="{00000000-0004-0000-0200-000033000000}"/>
    <hyperlink ref="D55" r:id="rId53" xr:uid="{00000000-0004-0000-0200-000034000000}"/>
    <hyperlink ref="D56" r:id="rId54" xr:uid="{00000000-0004-0000-0200-000035000000}"/>
    <hyperlink ref="D57" r:id="rId55" xr:uid="{00000000-0004-0000-0200-000036000000}"/>
    <hyperlink ref="D58" r:id="rId56" xr:uid="{00000000-0004-0000-0200-000037000000}"/>
    <hyperlink ref="D59" r:id="rId57" xr:uid="{00000000-0004-0000-0200-000038000000}"/>
    <hyperlink ref="D60" r:id="rId58" xr:uid="{00000000-0004-0000-0200-000039000000}"/>
    <hyperlink ref="D61" r:id="rId59" xr:uid="{00000000-0004-0000-0200-00003A000000}"/>
    <hyperlink ref="D62" r:id="rId60" xr:uid="{00000000-0004-0000-0200-00003B000000}"/>
    <hyperlink ref="D63" r:id="rId61" xr:uid="{00000000-0004-0000-0200-00003C000000}"/>
    <hyperlink ref="D64" r:id="rId62" xr:uid="{00000000-0004-0000-0200-00003D000000}"/>
    <hyperlink ref="D65" r:id="rId63" xr:uid="{00000000-0004-0000-0200-00003E000000}"/>
    <hyperlink ref="D66" r:id="rId64" xr:uid="{00000000-0004-0000-0200-00003F000000}"/>
    <hyperlink ref="D67" r:id="rId65" xr:uid="{00000000-0004-0000-0200-000040000000}"/>
    <hyperlink ref="D68" r:id="rId66" xr:uid="{00000000-0004-0000-0200-000041000000}"/>
    <hyperlink ref="D69" r:id="rId67" xr:uid="{00000000-0004-0000-0200-000042000000}"/>
    <hyperlink ref="D70" r:id="rId68" xr:uid="{00000000-0004-0000-0200-000043000000}"/>
    <hyperlink ref="D71" r:id="rId69" xr:uid="{00000000-0004-0000-0200-000044000000}"/>
    <hyperlink ref="D72" r:id="rId70" xr:uid="{00000000-0004-0000-0200-000045000000}"/>
    <hyperlink ref="D73" r:id="rId71" xr:uid="{00000000-0004-0000-0200-000046000000}"/>
    <hyperlink ref="D74" r:id="rId72" xr:uid="{00000000-0004-0000-0200-000047000000}"/>
    <hyperlink ref="D75" r:id="rId73" xr:uid="{00000000-0004-0000-0200-000048000000}"/>
    <hyperlink ref="D76" r:id="rId74" xr:uid="{00000000-0004-0000-0200-000049000000}"/>
    <hyperlink ref="D77" r:id="rId75" xr:uid="{00000000-0004-0000-0200-00004A000000}"/>
    <hyperlink ref="D79" r:id="rId76" xr:uid="{00000000-0004-0000-0200-00004B000000}"/>
    <hyperlink ref="D80" r:id="rId77" xr:uid="{00000000-0004-0000-0200-00004C000000}"/>
    <hyperlink ref="D81" r:id="rId78" xr:uid="{00000000-0004-0000-0200-00004D000000}"/>
    <hyperlink ref="D82" r:id="rId79" xr:uid="{00000000-0004-0000-0200-00004E000000}"/>
    <hyperlink ref="D83" r:id="rId80" xr:uid="{00000000-0004-0000-0200-00004F000000}"/>
    <hyperlink ref="E83" r:id="rId81" xr:uid="{00000000-0004-0000-0200-000050000000}"/>
    <hyperlink ref="D84" r:id="rId82" xr:uid="{00000000-0004-0000-0200-000051000000}"/>
    <hyperlink ref="D85" r:id="rId83" xr:uid="{00000000-0004-0000-0200-000052000000}"/>
    <hyperlink ref="D86" r:id="rId84" xr:uid="{00000000-0004-0000-0200-000053000000}"/>
    <hyperlink ref="D87" r:id="rId85" xr:uid="{00000000-0004-0000-0200-000054000000}"/>
    <hyperlink ref="D88" r:id="rId86" xr:uid="{00000000-0004-0000-0200-000055000000}"/>
    <hyperlink ref="D89" r:id="rId87" xr:uid="{00000000-0004-0000-0200-000056000000}"/>
    <hyperlink ref="D90" r:id="rId88" xr:uid="{00000000-0004-0000-0200-000057000000}"/>
    <hyperlink ref="D91" r:id="rId89" xr:uid="{00000000-0004-0000-0200-000058000000}"/>
    <hyperlink ref="D92" r:id="rId90" xr:uid="{00000000-0004-0000-0200-000059000000}"/>
    <hyperlink ref="D93" r:id="rId91" xr:uid="{00000000-0004-0000-0200-00005A000000}"/>
    <hyperlink ref="D94" r:id="rId92" xr:uid="{00000000-0004-0000-0200-00005B000000}"/>
    <hyperlink ref="D95" r:id="rId93" xr:uid="{00000000-0004-0000-0200-00005C000000}"/>
    <hyperlink ref="D96" r:id="rId94" xr:uid="{00000000-0004-0000-0200-00005D000000}"/>
    <hyperlink ref="D97" r:id="rId95" xr:uid="{00000000-0004-0000-0200-00005E000000}"/>
    <hyperlink ref="D98" r:id="rId96" xr:uid="{00000000-0004-0000-0200-00005F000000}"/>
    <hyperlink ref="D99" r:id="rId97" xr:uid="{00000000-0004-0000-0200-000060000000}"/>
    <hyperlink ref="D100" r:id="rId98" xr:uid="{00000000-0004-0000-0200-000061000000}"/>
    <hyperlink ref="D101" r:id="rId99" xr:uid="{00000000-0004-0000-0200-000062000000}"/>
    <hyperlink ref="D102" r:id="rId100" xr:uid="{00000000-0004-0000-0200-000063000000}"/>
    <hyperlink ref="D103" r:id="rId101" xr:uid="{00000000-0004-0000-0200-000064000000}"/>
    <hyperlink ref="D104" r:id="rId102" xr:uid="{00000000-0004-0000-0200-000065000000}"/>
    <hyperlink ref="D105" r:id="rId103" xr:uid="{00000000-0004-0000-0200-000066000000}"/>
    <hyperlink ref="D106" r:id="rId104" xr:uid="{00000000-0004-0000-0200-000067000000}"/>
    <hyperlink ref="D107" r:id="rId105" xr:uid="{00000000-0004-0000-0200-000068000000}"/>
    <hyperlink ref="D108" r:id="rId106" xr:uid="{00000000-0004-0000-0200-000069000000}"/>
    <hyperlink ref="D109" r:id="rId107" xr:uid="{00000000-0004-0000-0200-00006A000000}"/>
    <hyperlink ref="D110" r:id="rId108" xr:uid="{00000000-0004-0000-0200-00006B000000}"/>
    <hyperlink ref="D111" r:id="rId109" xr:uid="{00000000-0004-0000-0200-00006C000000}"/>
    <hyperlink ref="D112" r:id="rId110" xr:uid="{00000000-0004-0000-0200-00006D000000}"/>
    <hyperlink ref="D113" r:id="rId111" xr:uid="{00000000-0004-0000-0200-00006E000000}"/>
    <hyperlink ref="D114" r:id="rId112" xr:uid="{00000000-0004-0000-0200-00006F000000}"/>
    <hyperlink ref="D115" r:id="rId113" xr:uid="{00000000-0004-0000-0200-000070000000}"/>
    <hyperlink ref="D116" r:id="rId114" xr:uid="{00000000-0004-0000-0200-000071000000}"/>
    <hyperlink ref="D117" r:id="rId115" xr:uid="{00000000-0004-0000-0200-000072000000}"/>
    <hyperlink ref="D118" r:id="rId116" xr:uid="{00000000-0004-0000-0200-000073000000}"/>
    <hyperlink ref="D119" r:id="rId117" xr:uid="{00000000-0004-0000-0200-000074000000}"/>
    <hyperlink ref="D120" r:id="rId118" xr:uid="{00000000-0004-0000-0200-000075000000}"/>
    <hyperlink ref="D121" r:id="rId119" xr:uid="{00000000-0004-0000-0200-000076000000}"/>
    <hyperlink ref="D122" r:id="rId120" xr:uid="{00000000-0004-0000-0200-000077000000}"/>
    <hyperlink ref="D123" r:id="rId121" xr:uid="{00000000-0004-0000-0200-000078000000}"/>
    <hyperlink ref="D125" r:id="rId122" xr:uid="{00000000-0004-0000-0200-000079000000}"/>
    <hyperlink ref="D126" r:id="rId123" xr:uid="{00000000-0004-0000-0200-00007A000000}"/>
    <hyperlink ref="D127" r:id="rId124" xr:uid="{00000000-0004-0000-0200-00007B000000}"/>
    <hyperlink ref="D128" r:id="rId125" xr:uid="{00000000-0004-0000-0200-00007C000000}"/>
    <hyperlink ref="D129" r:id="rId126" xr:uid="{00000000-0004-0000-0200-00007D000000}"/>
    <hyperlink ref="D130" r:id="rId127" xr:uid="{00000000-0004-0000-0200-00007E000000}"/>
    <hyperlink ref="D131" r:id="rId128" xr:uid="{00000000-0004-0000-0200-00007F000000}"/>
    <hyperlink ref="D132" r:id="rId129" xr:uid="{00000000-0004-0000-0200-000080000000}"/>
    <hyperlink ref="D133" r:id="rId130" xr:uid="{00000000-0004-0000-0200-000081000000}"/>
    <hyperlink ref="D134" r:id="rId131" xr:uid="{00000000-0004-0000-0200-000082000000}"/>
    <hyperlink ref="D135" r:id="rId132" xr:uid="{00000000-0004-0000-0200-000083000000}"/>
    <hyperlink ref="D136" r:id="rId133" xr:uid="{00000000-0004-0000-0200-000084000000}"/>
    <hyperlink ref="D137" r:id="rId134" xr:uid="{00000000-0004-0000-0200-000085000000}"/>
    <hyperlink ref="D138" r:id="rId135" xr:uid="{00000000-0004-0000-0200-000086000000}"/>
    <hyperlink ref="D139" r:id="rId136" xr:uid="{00000000-0004-0000-0200-000087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925"/>
  <sheetViews>
    <sheetView tabSelected="1" workbookViewId="0">
      <pane ySplit="1" topLeftCell="A2" activePane="bottomLeft" state="frozen"/>
      <selection pane="bottomLeft" sqref="A1:E1048576"/>
    </sheetView>
  </sheetViews>
  <sheetFormatPr defaultColWidth="12.61328125" defaultRowHeight="15.75" customHeight="1"/>
  <cols>
    <col min="1" max="1" width="8" customWidth="1"/>
    <col min="2" max="2" width="16.84375" customWidth="1"/>
    <col min="3" max="3" width="75.23046875" customWidth="1"/>
    <col min="4" max="4" width="41" customWidth="1"/>
    <col min="5" max="5" width="57.84375" customWidth="1"/>
  </cols>
  <sheetData>
    <row r="1" spans="1:27" ht="18.899999999999999">
      <c r="A1" s="4" t="s">
        <v>167</v>
      </c>
      <c r="B1" s="5" t="s">
        <v>1</v>
      </c>
      <c r="C1" s="5" t="s">
        <v>2</v>
      </c>
      <c r="D1" s="5" t="s">
        <v>3</v>
      </c>
      <c r="E1" s="6" t="s">
        <v>4</v>
      </c>
      <c r="F1" s="7"/>
      <c r="G1" s="7"/>
      <c r="H1" s="7"/>
      <c r="I1" s="7"/>
      <c r="J1" s="7"/>
      <c r="K1" s="7"/>
      <c r="L1" s="7"/>
      <c r="M1" s="7"/>
      <c r="N1" s="7"/>
      <c r="O1" s="7"/>
      <c r="P1" s="7"/>
      <c r="Q1" s="7"/>
      <c r="R1" s="7"/>
      <c r="S1" s="7"/>
      <c r="T1" s="7"/>
      <c r="U1" s="7"/>
      <c r="V1" s="7"/>
      <c r="W1" s="7"/>
      <c r="X1" s="7"/>
      <c r="Y1" s="7"/>
      <c r="Z1" s="7"/>
      <c r="AA1" s="7"/>
    </row>
    <row r="2" spans="1:27" ht="19.75">
      <c r="A2" s="8">
        <v>1</v>
      </c>
      <c r="B2" s="25">
        <v>45447</v>
      </c>
      <c r="C2" s="8" t="s">
        <v>168</v>
      </c>
      <c r="D2" s="10" t="s">
        <v>53</v>
      </c>
      <c r="E2" s="11"/>
      <c r="F2" s="8"/>
      <c r="G2" s="8"/>
      <c r="H2" s="8"/>
      <c r="I2" s="8"/>
      <c r="J2" s="8"/>
      <c r="K2" s="8"/>
      <c r="L2" s="8"/>
      <c r="M2" s="8"/>
      <c r="N2" s="8"/>
      <c r="O2" s="8"/>
      <c r="P2" s="8"/>
      <c r="Q2" s="8"/>
      <c r="R2" s="8"/>
      <c r="S2" s="8"/>
      <c r="T2" s="8"/>
      <c r="U2" s="8"/>
      <c r="V2" s="8"/>
      <c r="W2" s="8"/>
      <c r="X2" s="8"/>
      <c r="Y2" s="8"/>
      <c r="Z2" s="8"/>
      <c r="AA2" s="8"/>
    </row>
    <row r="3" spans="1:27" ht="282">
      <c r="A3" s="8">
        <v>2</v>
      </c>
      <c r="B3" s="7" t="s">
        <v>169</v>
      </c>
      <c r="C3" s="24" t="s">
        <v>170</v>
      </c>
      <c r="D3" s="10" t="s">
        <v>53</v>
      </c>
      <c r="E3" s="18"/>
      <c r="F3" s="8"/>
      <c r="G3" s="8"/>
      <c r="H3" s="8"/>
      <c r="I3" s="8"/>
      <c r="J3" s="8"/>
      <c r="K3" s="8"/>
      <c r="L3" s="8"/>
      <c r="M3" s="8"/>
      <c r="N3" s="8"/>
      <c r="O3" s="8"/>
      <c r="P3" s="8"/>
      <c r="Q3" s="8"/>
      <c r="R3" s="8"/>
      <c r="S3" s="8"/>
      <c r="T3" s="8"/>
      <c r="U3" s="8"/>
      <c r="V3" s="8"/>
      <c r="W3" s="8"/>
      <c r="X3" s="8"/>
      <c r="Y3" s="8"/>
      <c r="Z3" s="8"/>
      <c r="AA3" s="8"/>
    </row>
    <row r="4" spans="1:27" ht="19.75">
      <c r="A4" s="8">
        <v>3</v>
      </c>
      <c r="B4" s="7" t="s">
        <v>171</v>
      </c>
      <c r="C4" s="9" t="s">
        <v>172</v>
      </c>
      <c r="D4" s="10" t="s">
        <v>53</v>
      </c>
      <c r="E4" s="26" t="s">
        <v>173</v>
      </c>
      <c r="F4" s="8"/>
      <c r="G4" s="8"/>
      <c r="H4" s="8"/>
      <c r="I4" s="8"/>
      <c r="J4" s="8"/>
      <c r="K4" s="8"/>
      <c r="L4" s="8"/>
      <c r="M4" s="8"/>
      <c r="N4" s="8"/>
      <c r="O4" s="8"/>
      <c r="P4" s="8"/>
      <c r="Q4" s="8"/>
      <c r="R4" s="8"/>
      <c r="S4" s="8"/>
      <c r="T4" s="8"/>
      <c r="U4" s="8"/>
      <c r="V4" s="8"/>
      <c r="W4" s="8"/>
      <c r="X4" s="8"/>
      <c r="Y4" s="8"/>
      <c r="Z4" s="8"/>
      <c r="AA4" s="8"/>
    </row>
    <row r="5" spans="1:27" ht="19.75">
      <c r="A5" s="8">
        <v>4</v>
      </c>
      <c r="B5" s="7" t="s">
        <v>174</v>
      </c>
      <c r="C5" s="9" t="s">
        <v>175</v>
      </c>
      <c r="D5" s="10" t="s">
        <v>53</v>
      </c>
      <c r="E5" s="11"/>
      <c r="F5" s="8"/>
      <c r="G5" s="8"/>
      <c r="H5" s="8"/>
      <c r="I5" s="8"/>
      <c r="J5" s="8"/>
      <c r="K5" s="8"/>
      <c r="L5" s="8"/>
      <c r="M5" s="8"/>
      <c r="N5" s="8"/>
      <c r="O5" s="8"/>
      <c r="P5" s="8"/>
      <c r="Q5" s="8"/>
      <c r="R5" s="8"/>
      <c r="S5" s="8"/>
      <c r="T5" s="8"/>
      <c r="U5" s="8"/>
      <c r="V5" s="8"/>
      <c r="W5" s="8"/>
      <c r="X5" s="8"/>
      <c r="Y5" s="8"/>
      <c r="Z5" s="8"/>
      <c r="AA5" s="8"/>
    </row>
    <row r="6" spans="1:27" ht="19.75">
      <c r="A6" s="8">
        <v>5</v>
      </c>
      <c r="B6" s="12">
        <v>45387</v>
      </c>
      <c r="C6" s="9" t="s">
        <v>176</v>
      </c>
      <c r="D6" s="10" t="s">
        <v>53</v>
      </c>
      <c r="E6" s="26" t="s">
        <v>173</v>
      </c>
      <c r="F6" s="8"/>
      <c r="G6" s="8"/>
      <c r="H6" s="8"/>
      <c r="I6" s="8"/>
      <c r="J6" s="8"/>
      <c r="K6" s="8"/>
      <c r="L6" s="8"/>
      <c r="M6" s="8"/>
      <c r="N6" s="8"/>
      <c r="O6" s="8"/>
      <c r="P6" s="8"/>
      <c r="Q6" s="8"/>
      <c r="R6" s="8"/>
      <c r="S6" s="8"/>
      <c r="T6" s="8"/>
      <c r="U6" s="8"/>
      <c r="V6" s="8"/>
      <c r="W6" s="8"/>
      <c r="X6" s="8"/>
      <c r="Y6" s="8"/>
      <c r="Z6" s="8"/>
      <c r="AA6" s="8"/>
    </row>
    <row r="7" spans="1:27" ht="19.75">
      <c r="A7" s="8"/>
      <c r="B7" s="7"/>
      <c r="C7" s="9" t="s">
        <v>177</v>
      </c>
      <c r="D7" s="8"/>
      <c r="E7" s="26"/>
      <c r="F7" s="8"/>
      <c r="G7" s="8"/>
      <c r="H7" s="8"/>
      <c r="I7" s="8"/>
      <c r="J7" s="8"/>
      <c r="K7" s="8"/>
      <c r="L7" s="8"/>
      <c r="M7" s="8"/>
      <c r="N7" s="8"/>
      <c r="O7" s="8"/>
      <c r="P7" s="8"/>
      <c r="Q7" s="8"/>
      <c r="R7" s="8"/>
      <c r="S7" s="8"/>
      <c r="T7" s="8"/>
      <c r="U7" s="8"/>
      <c r="V7" s="8"/>
      <c r="W7" s="8"/>
      <c r="X7" s="8"/>
      <c r="Y7" s="8"/>
      <c r="Z7" s="8"/>
      <c r="AA7" s="8"/>
    </row>
    <row r="8" spans="1:27" ht="19.75">
      <c r="A8" s="8">
        <v>6</v>
      </c>
      <c r="B8" s="7" t="s">
        <v>178</v>
      </c>
      <c r="C8" s="9" t="s">
        <v>179</v>
      </c>
      <c r="D8" s="10" t="s">
        <v>53</v>
      </c>
      <c r="E8" s="26" t="s">
        <v>180</v>
      </c>
      <c r="F8" s="8"/>
      <c r="G8" s="8"/>
      <c r="H8" s="8"/>
      <c r="I8" s="8"/>
      <c r="J8" s="8"/>
      <c r="K8" s="8"/>
      <c r="L8" s="8"/>
      <c r="M8" s="8"/>
      <c r="N8" s="8"/>
      <c r="O8" s="8"/>
      <c r="P8" s="8"/>
      <c r="Q8" s="8"/>
      <c r="R8" s="8"/>
      <c r="S8" s="8"/>
      <c r="T8" s="8"/>
      <c r="U8" s="8"/>
      <c r="V8" s="8"/>
      <c r="W8" s="8"/>
      <c r="X8" s="8"/>
      <c r="Y8" s="8"/>
      <c r="Z8" s="8"/>
      <c r="AA8" s="8"/>
    </row>
    <row r="9" spans="1:27" ht="19.75">
      <c r="A9" s="8">
        <v>7</v>
      </c>
      <c r="B9" s="7" t="s">
        <v>181</v>
      </c>
      <c r="C9" s="9" t="s">
        <v>182</v>
      </c>
      <c r="D9" s="10" t="s">
        <v>53</v>
      </c>
      <c r="E9" s="26" t="s">
        <v>183</v>
      </c>
      <c r="F9" s="8"/>
      <c r="G9" s="8"/>
      <c r="H9" s="8"/>
      <c r="I9" s="8"/>
      <c r="J9" s="8"/>
      <c r="K9" s="8"/>
      <c r="L9" s="8"/>
      <c r="M9" s="8"/>
      <c r="N9" s="8"/>
      <c r="O9" s="8"/>
      <c r="P9" s="8"/>
      <c r="Q9" s="8"/>
      <c r="R9" s="8"/>
      <c r="S9" s="8"/>
      <c r="T9" s="8"/>
      <c r="U9" s="8"/>
      <c r="V9" s="8"/>
      <c r="W9" s="8"/>
      <c r="X9" s="8"/>
      <c r="Y9" s="8"/>
      <c r="Z9" s="8"/>
      <c r="AA9" s="8"/>
    </row>
    <row r="10" spans="1:27" ht="42" customHeight="1">
      <c r="A10" s="8">
        <v>8</v>
      </c>
      <c r="B10" s="7" t="s">
        <v>184</v>
      </c>
      <c r="C10" s="8" t="s">
        <v>185</v>
      </c>
      <c r="D10" s="10" t="s">
        <v>53</v>
      </c>
      <c r="E10" s="11" t="s">
        <v>186</v>
      </c>
      <c r="F10" s="8"/>
      <c r="G10" s="8"/>
      <c r="H10" s="8"/>
      <c r="I10" s="8"/>
      <c r="J10" s="8"/>
      <c r="K10" s="8"/>
      <c r="L10" s="8"/>
      <c r="M10" s="8"/>
      <c r="N10" s="8"/>
      <c r="O10" s="8"/>
      <c r="P10" s="8"/>
      <c r="Q10" s="8"/>
      <c r="R10" s="8"/>
      <c r="S10" s="8"/>
      <c r="T10" s="8"/>
      <c r="U10" s="8"/>
      <c r="V10" s="8"/>
      <c r="W10" s="8"/>
      <c r="X10" s="8"/>
      <c r="Y10" s="8"/>
      <c r="Z10" s="8"/>
      <c r="AA10" s="8"/>
    </row>
    <row r="11" spans="1:27" ht="19.75">
      <c r="A11" s="8">
        <v>9</v>
      </c>
      <c r="B11" s="7" t="s">
        <v>187</v>
      </c>
      <c r="C11" s="8" t="s">
        <v>188</v>
      </c>
      <c r="D11" s="10" t="s">
        <v>53</v>
      </c>
      <c r="E11" s="26" t="s">
        <v>180</v>
      </c>
      <c r="F11" s="8"/>
      <c r="G11" s="8"/>
      <c r="H11" s="8"/>
      <c r="I11" s="8"/>
      <c r="J11" s="8"/>
      <c r="K11" s="8"/>
      <c r="L11" s="8"/>
      <c r="M11" s="8"/>
      <c r="N11" s="8"/>
      <c r="O11" s="8"/>
      <c r="P11" s="8"/>
      <c r="Q11" s="8"/>
      <c r="R11" s="8"/>
      <c r="S11" s="8"/>
      <c r="T11" s="8"/>
      <c r="U11" s="8"/>
      <c r="V11" s="8"/>
      <c r="W11" s="8"/>
      <c r="X11" s="8"/>
      <c r="Y11" s="8"/>
      <c r="Z11" s="8"/>
      <c r="AA11" s="8"/>
    </row>
    <row r="12" spans="1:27" ht="19.75">
      <c r="A12" s="8">
        <v>10</v>
      </c>
      <c r="B12" s="7" t="s">
        <v>189</v>
      </c>
      <c r="C12" s="9" t="s">
        <v>190</v>
      </c>
      <c r="D12" s="10" t="s">
        <v>53</v>
      </c>
      <c r="E12" s="11" t="s">
        <v>191</v>
      </c>
      <c r="F12" s="8"/>
      <c r="G12" s="8"/>
      <c r="H12" s="8"/>
      <c r="I12" s="8"/>
      <c r="J12" s="8"/>
      <c r="K12" s="8"/>
      <c r="L12" s="8"/>
      <c r="M12" s="8"/>
      <c r="N12" s="8"/>
      <c r="O12" s="8"/>
      <c r="P12" s="8"/>
      <c r="Q12" s="8"/>
      <c r="R12" s="8"/>
      <c r="S12" s="8"/>
      <c r="T12" s="8"/>
      <c r="U12" s="8"/>
      <c r="V12" s="8"/>
      <c r="W12" s="8"/>
      <c r="X12" s="8"/>
      <c r="Y12" s="8"/>
      <c r="Z12" s="8"/>
      <c r="AA12" s="8"/>
    </row>
    <row r="13" spans="1:27" ht="18.899999999999999">
      <c r="A13" s="8"/>
      <c r="B13" s="7"/>
      <c r="C13" s="9" t="s">
        <v>192</v>
      </c>
      <c r="D13" s="8"/>
      <c r="E13" s="27"/>
      <c r="F13" s="8"/>
      <c r="G13" s="8"/>
      <c r="H13" s="8"/>
      <c r="I13" s="8"/>
      <c r="J13" s="8"/>
      <c r="K13" s="8"/>
      <c r="L13" s="8"/>
      <c r="M13" s="8"/>
      <c r="N13" s="8"/>
      <c r="O13" s="8"/>
      <c r="P13" s="8"/>
      <c r="Q13" s="8"/>
      <c r="R13" s="8"/>
      <c r="S13" s="8"/>
      <c r="T13" s="8"/>
      <c r="U13" s="8"/>
      <c r="V13" s="8"/>
      <c r="W13" s="8"/>
      <c r="X13" s="8"/>
      <c r="Y13" s="8"/>
      <c r="Z13" s="8"/>
      <c r="AA13" s="8"/>
    </row>
    <row r="14" spans="1:27" ht="18.899999999999999">
      <c r="A14" s="8"/>
      <c r="B14" s="7" t="s">
        <v>193</v>
      </c>
      <c r="C14" s="38" t="s">
        <v>194</v>
      </c>
      <c r="D14" s="10" t="s">
        <v>195</v>
      </c>
      <c r="F14" s="8"/>
      <c r="G14" s="8"/>
      <c r="H14" s="8"/>
      <c r="I14" s="8"/>
      <c r="J14" s="8"/>
      <c r="K14" s="8"/>
      <c r="L14" s="8"/>
      <c r="M14" s="8"/>
      <c r="N14" s="8"/>
      <c r="O14" s="8"/>
      <c r="P14" s="8"/>
      <c r="Q14" s="8"/>
      <c r="R14" s="8"/>
      <c r="S14" s="8"/>
      <c r="T14" s="8"/>
      <c r="U14" s="8"/>
      <c r="V14" s="8"/>
      <c r="W14" s="8"/>
      <c r="X14" s="8"/>
      <c r="Y14" s="8"/>
      <c r="Z14" s="8"/>
      <c r="AA14" s="8"/>
    </row>
    <row r="15" spans="1:27" ht="18.899999999999999">
      <c r="A15" s="8"/>
      <c r="B15" s="7"/>
      <c r="C15" s="39"/>
      <c r="D15" s="10" t="s">
        <v>196</v>
      </c>
      <c r="E15" s="27"/>
      <c r="F15" s="8"/>
      <c r="G15" s="8"/>
      <c r="H15" s="8"/>
      <c r="I15" s="8"/>
      <c r="J15" s="8"/>
      <c r="K15" s="8"/>
      <c r="L15" s="8"/>
      <c r="M15" s="8"/>
      <c r="N15" s="8"/>
      <c r="O15" s="8"/>
      <c r="P15" s="8"/>
      <c r="Q15" s="8"/>
      <c r="R15" s="8"/>
      <c r="S15" s="8"/>
      <c r="T15" s="8"/>
      <c r="U15" s="8"/>
      <c r="V15" s="8"/>
      <c r="W15" s="8"/>
      <c r="X15" s="8"/>
      <c r="Y15" s="8"/>
      <c r="Z15" s="8"/>
      <c r="AA15" s="8"/>
    </row>
    <row r="16" spans="1:27" ht="18.899999999999999">
      <c r="A16" s="8"/>
      <c r="B16" s="7" t="s">
        <v>197</v>
      </c>
      <c r="C16" s="7" t="s">
        <v>198</v>
      </c>
      <c r="D16" s="10" t="s">
        <v>28</v>
      </c>
      <c r="E16" s="27"/>
      <c r="F16" s="8"/>
      <c r="G16" s="8"/>
      <c r="H16" s="8"/>
      <c r="I16" s="8"/>
      <c r="J16" s="8"/>
      <c r="K16" s="8"/>
      <c r="L16" s="8"/>
      <c r="M16" s="8"/>
      <c r="N16" s="8"/>
      <c r="O16" s="8"/>
      <c r="P16" s="8"/>
      <c r="Q16" s="8"/>
      <c r="R16" s="8"/>
      <c r="S16" s="8"/>
      <c r="T16" s="8"/>
      <c r="U16" s="8"/>
      <c r="V16" s="8"/>
      <c r="W16" s="8"/>
      <c r="X16" s="8"/>
      <c r="Y16" s="8"/>
      <c r="Z16" s="8"/>
      <c r="AA16" s="8"/>
    </row>
    <row r="17" spans="1:27" ht="18.899999999999999">
      <c r="A17" s="8"/>
      <c r="B17" s="7"/>
      <c r="C17" s="7"/>
      <c r="D17" s="10" t="s">
        <v>45</v>
      </c>
      <c r="E17" s="27"/>
      <c r="F17" s="8"/>
      <c r="G17" s="8"/>
      <c r="H17" s="8"/>
      <c r="I17" s="8"/>
      <c r="J17" s="8"/>
      <c r="K17" s="8"/>
      <c r="L17" s="8"/>
      <c r="M17" s="8"/>
      <c r="N17" s="8"/>
      <c r="O17" s="8"/>
      <c r="P17" s="8"/>
      <c r="Q17" s="8"/>
      <c r="R17" s="8"/>
      <c r="S17" s="8"/>
      <c r="T17" s="8"/>
      <c r="U17" s="8"/>
      <c r="V17" s="8"/>
      <c r="W17" s="8"/>
      <c r="X17" s="8"/>
      <c r="Y17" s="8"/>
      <c r="Z17" s="8"/>
      <c r="AA17" s="8"/>
    </row>
    <row r="18" spans="1:27" ht="19.75">
      <c r="A18" s="8"/>
      <c r="B18" s="7" t="s">
        <v>199</v>
      </c>
      <c r="C18" s="8" t="s">
        <v>200</v>
      </c>
      <c r="D18" s="10" t="s">
        <v>53</v>
      </c>
      <c r="E18" s="11"/>
      <c r="F18" s="8"/>
      <c r="G18" s="8"/>
      <c r="H18" s="8"/>
      <c r="I18" s="8"/>
      <c r="J18" s="8"/>
      <c r="K18" s="8"/>
      <c r="L18" s="8"/>
      <c r="M18" s="8"/>
      <c r="N18" s="8"/>
      <c r="O18" s="8"/>
      <c r="P18" s="8"/>
      <c r="Q18" s="8"/>
      <c r="R18" s="8"/>
      <c r="S18" s="8"/>
      <c r="T18" s="8"/>
      <c r="U18" s="8"/>
      <c r="V18" s="8"/>
      <c r="W18" s="8"/>
      <c r="X18" s="8"/>
      <c r="Y18" s="8"/>
      <c r="Z18" s="8"/>
      <c r="AA18" s="8"/>
    </row>
    <row r="19" spans="1:27" ht="18.899999999999999">
      <c r="A19" s="8">
        <v>34</v>
      </c>
      <c r="B19" s="7" t="s">
        <v>201</v>
      </c>
      <c r="C19" s="7" t="s">
        <v>202</v>
      </c>
      <c r="D19" s="10" t="s">
        <v>31</v>
      </c>
      <c r="E19" s="27" t="s">
        <v>203</v>
      </c>
      <c r="F19" s="8"/>
      <c r="G19" s="8"/>
      <c r="H19" s="8"/>
      <c r="I19" s="8"/>
      <c r="J19" s="8"/>
      <c r="K19" s="8"/>
      <c r="L19" s="8"/>
      <c r="M19" s="8"/>
      <c r="N19" s="8"/>
      <c r="O19" s="8"/>
      <c r="P19" s="8"/>
      <c r="Q19" s="8"/>
      <c r="R19" s="8"/>
      <c r="S19" s="8"/>
      <c r="T19" s="8"/>
      <c r="U19" s="8"/>
      <c r="V19" s="8"/>
      <c r="W19" s="8"/>
      <c r="X19" s="8"/>
      <c r="Y19" s="8"/>
      <c r="Z19" s="8"/>
      <c r="AA19" s="8"/>
    </row>
    <row r="20" spans="1:27" ht="19.75">
      <c r="A20" s="8"/>
      <c r="B20" s="7"/>
      <c r="C20" s="8"/>
      <c r="D20" s="10" t="s">
        <v>59</v>
      </c>
      <c r="E20" s="11"/>
      <c r="F20" s="8"/>
      <c r="G20" s="8"/>
      <c r="H20" s="8"/>
      <c r="I20" s="8"/>
      <c r="J20" s="8"/>
      <c r="K20" s="8"/>
      <c r="L20" s="8"/>
      <c r="M20" s="8"/>
      <c r="N20" s="8"/>
      <c r="O20" s="8"/>
      <c r="P20" s="8"/>
      <c r="Q20" s="8"/>
      <c r="R20" s="8"/>
      <c r="S20" s="8"/>
      <c r="T20" s="8"/>
      <c r="U20" s="8"/>
      <c r="V20" s="8"/>
      <c r="W20" s="8"/>
      <c r="X20" s="8"/>
      <c r="Y20" s="8"/>
      <c r="Z20" s="8"/>
      <c r="AA20" s="8"/>
    </row>
    <row r="21" spans="1:27" ht="19.75">
      <c r="A21" s="8"/>
      <c r="B21" s="7"/>
      <c r="C21" s="8"/>
      <c r="D21" s="10" t="s">
        <v>28</v>
      </c>
      <c r="E21" s="11"/>
      <c r="F21" s="8"/>
      <c r="G21" s="8"/>
      <c r="H21" s="8"/>
      <c r="I21" s="8"/>
      <c r="J21" s="8"/>
      <c r="K21" s="8"/>
      <c r="L21" s="8"/>
      <c r="M21" s="8"/>
      <c r="N21" s="8"/>
      <c r="O21" s="8"/>
      <c r="P21" s="8"/>
      <c r="Q21" s="8"/>
      <c r="R21" s="8"/>
      <c r="S21" s="8"/>
      <c r="T21" s="8"/>
      <c r="U21" s="8"/>
      <c r="V21" s="8"/>
      <c r="W21" s="8"/>
      <c r="X21" s="8"/>
      <c r="Y21" s="8"/>
      <c r="Z21" s="8"/>
      <c r="AA21" s="8"/>
    </row>
    <row r="22" spans="1:27" ht="19.75">
      <c r="A22" s="8"/>
      <c r="B22" s="7"/>
      <c r="C22" s="8"/>
      <c r="D22" s="10" t="s">
        <v>65</v>
      </c>
      <c r="E22" s="11"/>
      <c r="F22" s="8"/>
      <c r="G22" s="8"/>
      <c r="H22" s="8"/>
      <c r="I22" s="8"/>
      <c r="J22" s="8"/>
      <c r="K22" s="8"/>
      <c r="L22" s="8"/>
      <c r="M22" s="8"/>
      <c r="N22" s="8"/>
      <c r="O22" s="8"/>
      <c r="P22" s="8"/>
      <c r="Q22" s="8"/>
      <c r="R22" s="8"/>
      <c r="S22" s="8"/>
      <c r="T22" s="8"/>
      <c r="U22" s="8"/>
      <c r="V22" s="8"/>
      <c r="W22" s="8"/>
      <c r="X22" s="8"/>
      <c r="Y22" s="8"/>
      <c r="Z22" s="8"/>
      <c r="AA22" s="8"/>
    </row>
    <row r="23" spans="1:27" ht="37.75">
      <c r="A23" s="8">
        <v>39</v>
      </c>
      <c r="B23" s="12">
        <v>45453</v>
      </c>
      <c r="C23" s="28" t="s">
        <v>204</v>
      </c>
      <c r="D23" s="10" t="s">
        <v>31</v>
      </c>
      <c r="E23" s="11" t="s">
        <v>205</v>
      </c>
      <c r="F23" s="8"/>
      <c r="G23" s="8"/>
      <c r="H23" s="8"/>
      <c r="I23" s="8"/>
      <c r="J23" s="8"/>
      <c r="K23" s="8"/>
      <c r="L23" s="8"/>
      <c r="M23" s="8"/>
      <c r="N23" s="8"/>
      <c r="O23" s="8"/>
      <c r="P23" s="8"/>
      <c r="Q23" s="8"/>
      <c r="R23" s="8"/>
      <c r="S23" s="8"/>
      <c r="T23" s="8"/>
      <c r="U23" s="8"/>
      <c r="V23" s="8"/>
      <c r="W23" s="8"/>
      <c r="X23" s="8"/>
      <c r="Y23" s="8"/>
      <c r="Z23" s="8"/>
      <c r="AA23" s="8"/>
    </row>
    <row r="24" spans="1:27" ht="19.75">
      <c r="A24" s="8">
        <v>43</v>
      </c>
      <c r="B24" s="7" t="s">
        <v>73</v>
      </c>
      <c r="C24" s="7" t="s">
        <v>74</v>
      </c>
      <c r="D24" s="10" t="s">
        <v>11</v>
      </c>
      <c r="E24" s="11" t="s">
        <v>75</v>
      </c>
      <c r="F24" s="8"/>
      <c r="G24" s="8"/>
      <c r="H24" s="8"/>
      <c r="I24" s="8"/>
      <c r="J24" s="8"/>
      <c r="K24" s="8"/>
      <c r="L24" s="8"/>
      <c r="M24" s="8"/>
      <c r="N24" s="8"/>
      <c r="O24" s="8"/>
      <c r="P24" s="8"/>
      <c r="Q24" s="8"/>
      <c r="R24" s="8"/>
      <c r="S24" s="8"/>
      <c r="T24" s="8"/>
      <c r="U24" s="8"/>
      <c r="V24" s="8"/>
      <c r="W24" s="8"/>
      <c r="X24" s="8"/>
      <c r="Y24" s="8"/>
      <c r="Z24" s="8"/>
      <c r="AA24" s="8"/>
    </row>
    <row r="25" spans="1:27" ht="19.75">
      <c r="A25" s="8"/>
      <c r="B25" s="7"/>
      <c r="C25" s="8"/>
      <c r="D25" s="10" t="s">
        <v>45</v>
      </c>
      <c r="E25" s="11"/>
      <c r="F25" s="8"/>
      <c r="G25" s="8"/>
      <c r="H25" s="8"/>
      <c r="I25" s="8"/>
      <c r="J25" s="8"/>
      <c r="K25" s="8"/>
      <c r="L25" s="8"/>
      <c r="M25" s="8"/>
      <c r="N25" s="8"/>
      <c r="O25" s="8"/>
      <c r="P25" s="8"/>
      <c r="Q25" s="8"/>
      <c r="R25" s="8"/>
      <c r="S25" s="8"/>
      <c r="T25" s="8"/>
      <c r="U25" s="8"/>
      <c r="V25" s="8"/>
      <c r="W25" s="8"/>
      <c r="X25" s="8"/>
      <c r="Y25" s="8"/>
      <c r="Z25" s="8"/>
      <c r="AA25" s="8"/>
    </row>
    <row r="26" spans="1:27" ht="19.75">
      <c r="A26" s="8"/>
      <c r="B26" s="7" t="s">
        <v>206</v>
      </c>
      <c r="C26" s="7" t="s">
        <v>207</v>
      </c>
      <c r="D26" s="10" t="s">
        <v>11</v>
      </c>
      <c r="E26" s="11"/>
      <c r="F26" s="8"/>
      <c r="G26" s="8"/>
      <c r="H26" s="8"/>
      <c r="I26" s="8"/>
      <c r="J26" s="8"/>
      <c r="K26" s="8"/>
      <c r="L26" s="8"/>
      <c r="M26" s="8"/>
      <c r="N26" s="8"/>
      <c r="O26" s="8"/>
      <c r="P26" s="8"/>
      <c r="Q26" s="8"/>
      <c r="R26" s="8"/>
      <c r="S26" s="8"/>
      <c r="T26" s="8"/>
      <c r="U26" s="8"/>
      <c r="V26" s="8"/>
      <c r="W26" s="8"/>
      <c r="X26" s="8"/>
      <c r="Y26" s="8"/>
      <c r="Z26" s="8"/>
      <c r="AA26" s="8"/>
    </row>
    <row r="27" spans="1:27" ht="19.75">
      <c r="A27" s="8"/>
      <c r="B27" s="7"/>
      <c r="C27" s="7"/>
      <c r="D27" s="10" t="s">
        <v>208</v>
      </c>
      <c r="E27" s="11"/>
      <c r="F27" s="8"/>
      <c r="G27" s="8"/>
      <c r="H27" s="8"/>
      <c r="I27" s="8"/>
      <c r="J27" s="8"/>
      <c r="K27" s="8"/>
      <c r="L27" s="8"/>
      <c r="M27" s="8"/>
      <c r="N27" s="8"/>
      <c r="O27" s="8"/>
      <c r="P27" s="8"/>
      <c r="Q27" s="8"/>
      <c r="R27" s="8"/>
      <c r="S27" s="8"/>
      <c r="T27" s="8"/>
      <c r="U27" s="8"/>
      <c r="V27" s="8"/>
      <c r="W27" s="8"/>
      <c r="X27" s="8"/>
      <c r="Y27" s="8"/>
      <c r="Z27" s="8"/>
      <c r="AA27" s="8"/>
    </row>
    <row r="28" spans="1:27" ht="19.75">
      <c r="A28" s="8">
        <v>52</v>
      </c>
      <c r="B28" s="12">
        <v>45546</v>
      </c>
      <c r="C28" s="7" t="s">
        <v>209</v>
      </c>
      <c r="D28" s="10" t="s">
        <v>11</v>
      </c>
      <c r="E28" s="11" t="s">
        <v>210</v>
      </c>
      <c r="F28" s="8"/>
      <c r="G28" s="8"/>
      <c r="H28" s="8"/>
      <c r="I28" s="8"/>
      <c r="J28" s="8"/>
      <c r="K28" s="8"/>
      <c r="L28" s="8"/>
      <c r="M28" s="8"/>
      <c r="N28" s="8"/>
      <c r="O28" s="8"/>
      <c r="P28" s="8"/>
      <c r="Q28" s="8"/>
      <c r="R28" s="8"/>
      <c r="S28" s="8"/>
      <c r="T28" s="8"/>
      <c r="U28" s="8"/>
      <c r="V28" s="8"/>
      <c r="W28" s="8"/>
      <c r="X28" s="8"/>
      <c r="Y28" s="8"/>
      <c r="Z28" s="8"/>
      <c r="AA28" s="8"/>
    </row>
    <row r="29" spans="1:27" ht="19.75">
      <c r="A29" s="8"/>
      <c r="B29" s="7"/>
      <c r="C29" s="8"/>
      <c r="D29" s="10" t="s">
        <v>12</v>
      </c>
      <c r="E29" s="11"/>
      <c r="F29" s="8"/>
      <c r="G29" s="8"/>
      <c r="H29" s="8"/>
      <c r="I29" s="8"/>
      <c r="J29" s="8"/>
      <c r="K29" s="8"/>
      <c r="L29" s="8"/>
      <c r="M29" s="8"/>
      <c r="N29" s="8"/>
      <c r="O29" s="8"/>
      <c r="P29" s="8"/>
      <c r="Q29" s="8"/>
      <c r="R29" s="8"/>
      <c r="S29" s="8"/>
      <c r="T29" s="8"/>
      <c r="U29" s="8"/>
      <c r="V29" s="8"/>
      <c r="W29" s="8"/>
      <c r="X29" s="8"/>
      <c r="Y29" s="8"/>
      <c r="Z29" s="8"/>
      <c r="AA29" s="8"/>
    </row>
    <row r="30" spans="1:27" ht="19.75">
      <c r="A30" s="8">
        <v>54</v>
      </c>
      <c r="B30" s="7" t="s">
        <v>211</v>
      </c>
      <c r="C30" s="7" t="s">
        <v>212</v>
      </c>
      <c r="D30" s="10" t="s">
        <v>28</v>
      </c>
      <c r="E30" s="11"/>
      <c r="F30" s="8"/>
      <c r="G30" s="8"/>
      <c r="H30" s="8"/>
      <c r="I30" s="8"/>
      <c r="J30" s="8"/>
      <c r="K30" s="8"/>
      <c r="L30" s="8"/>
      <c r="M30" s="8"/>
      <c r="N30" s="8"/>
      <c r="O30" s="8"/>
      <c r="P30" s="8"/>
      <c r="Q30" s="8"/>
      <c r="R30" s="8"/>
      <c r="S30" s="8"/>
      <c r="T30" s="8"/>
      <c r="U30" s="8"/>
      <c r="V30" s="8"/>
      <c r="W30" s="8"/>
      <c r="X30" s="8"/>
      <c r="Y30" s="8"/>
      <c r="Z30" s="8"/>
      <c r="AA30" s="8"/>
    </row>
    <row r="31" spans="1:27" ht="19.75">
      <c r="A31" s="8"/>
      <c r="B31" s="7"/>
      <c r="C31" s="8"/>
      <c r="D31" s="10" t="s">
        <v>80</v>
      </c>
      <c r="E31" s="11"/>
      <c r="F31" s="8"/>
      <c r="G31" s="8"/>
      <c r="H31" s="8"/>
      <c r="I31" s="8"/>
      <c r="J31" s="8"/>
      <c r="K31" s="8"/>
      <c r="L31" s="8"/>
      <c r="M31" s="8"/>
      <c r="N31" s="8"/>
      <c r="O31" s="8"/>
      <c r="P31" s="8"/>
      <c r="Q31" s="8"/>
      <c r="R31" s="8"/>
      <c r="S31" s="8"/>
      <c r="T31" s="8"/>
      <c r="U31" s="8"/>
      <c r="V31" s="8"/>
      <c r="W31" s="8"/>
      <c r="X31" s="8"/>
      <c r="Y31" s="8"/>
      <c r="Z31" s="8"/>
      <c r="AA31" s="8"/>
    </row>
    <row r="32" spans="1:27" ht="19.75">
      <c r="A32" s="8">
        <v>57</v>
      </c>
      <c r="B32" s="7" t="s">
        <v>213</v>
      </c>
      <c r="C32" s="7" t="s">
        <v>214</v>
      </c>
      <c r="D32" s="10" t="s">
        <v>215</v>
      </c>
      <c r="E32" s="11"/>
      <c r="F32" s="8"/>
      <c r="G32" s="8"/>
      <c r="H32" s="8"/>
      <c r="I32" s="8"/>
      <c r="J32" s="8"/>
      <c r="K32" s="8"/>
      <c r="L32" s="8"/>
      <c r="M32" s="8"/>
      <c r="N32" s="8"/>
      <c r="O32" s="8"/>
      <c r="P32" s="8"/>
      <c r="Q32" s="8"/>
      <c r="R32" s="8"/>
      <c r="S32" s="8"/>
      <c r="T32" s="8"/>
      <c r="U32" s="8"/>
      <c r="V32" s="8"/>
      <c r="W32" s="8"/>
      <c r="X32" s="8"/>
      <c r="Y32" s="8"/>
      <c r="Z32" s="8"/>
      <c r="AA32" s="8"/>
    </row>
    <row r="33" spans="1:27" ht="19.75">
      <c r="A33" s="8"/>
      <c r="B33" s="7"/>
      <c r="C33" s="8"/>
      <c r="D33" s="29" t="s">
        <v>216</v>
      </c>
      <c r="E33" s="11"/>
      <c r="F33" s="8"/>
      <c r="G33" s="8"/>
      <c r="H33" s="8"/>
      <c r="I33" s="8"/>
      <c r="J33" s="8"/>
      <c r="K33" s="8"/>
      <c r="L33" s="8"/>
      <c r="M33" s="8"/>
      <c r="N33" s="8"/>
      <c r="O33" s="8"/>
      <c r="P33" s="8"/>
      <c r="Q33" s="8"/>
      <c r="R33" s="8"/>
      <c r="S33" s="8"/>
      <c r="T33" s="8"/>
      <c r="U33" s="8"/>
      <c r="V33" s="8"/>
      <c r="W33" s="8"/>
      <c r="X33" s="8"/>
      <c r="Y33" s="8"/>
      <c r="Z33" s="8"/>
      <c r="AA33" s="8"/>
    </row>
    <row r="34" spans="1:27" ht="18.899999999999999">
      <c r="A34" s="8">
        <v>58</v>
      </c>
      <c r="B34" s="7" t="s">
        <v>217</v>
      </c>
      <c r="C34" s="28" t="s">
        <v>218</v>
      </c>
      <c r="D34" s="21" t="s">
        <v>31</v>
      </c>
      <c r="E34" s="40" t="s">
        <v>219</v>
      </c>
      <c r="F34" s="8"/>
      <c r="G34" s="8"/>
      <c r="H34" s="8"/>
      <c r="I34" s="8"/>
      <c r="J34" s="8"/>
      <c r="K34" s="8"/>
      <c r="L34" s="8"/>
      <c r="M34" s="8"/>
      <c r="N34" s="8"/>
      <c r="O34" s="8"/>
      <c r="P34" s="8"/>
      <c r="Q34" s="8"/>
      <c r="R34" s="8"/>
      <c r="S34" s="8"/>
      <c r="T34" s="8"/>
      <c r="U34" s="8"/>
      <c r="V34" s="8"/>
      <c r="W34" s="8"/>
      <c r="X34" s="8"/>
      <c r="Y34" s="8"/>
      <c r="Z34" s="8"/>
      <c r="AA34" s="8"/>
    </row>
    <row r="35" spans="1:27" ht="18.899999999999999">
      <c r="A35" s="8"/>
      <c r="B35" s="7"/>
      <c r="C35" s="28"/>
      <c r="D35" s="21" t="s">
        <v>59</v>
      </c>
      <c r="E35" s="39"/>
      <c r="F35" s="8"/>
      <c r="G35" s="8"/>
      <c r="H35" s="8"/>
      <c r="I35" s="8"/>
      <c r="J35" s="8"/>
      <c r="K35" s="8"/>
      <c r="L35" s="8"/>
      <c r="M35" s="8"/>
      <c r="N35" s="8"/>
      <c r="O35" s="8"/>
      <c r="P35" s="8"/>
      <c r="Q35" s="8"/>
      <c r="R35" s="8"/>
      <c r="S35" s="8"/>
      <c r="T35" s="8"/>
      <c r="U35" s="8"/>
      <c r="V35" s="8"/>
      <c r="W35" s="8"/>
      <c r="X35" s="8"/>
      <c r="Y35" s="8"/>
      <c r="Z35" s="8"/>
      <c r="AA35" s="8"/>
    </row>
    <row r="36" spans="1:27" ht="37.75">
      <c r="A36" s="8">
        <v>60</v>
      </c>
      <c r="B36" s="7" t="s">
        <v>220</v>
      </c>
      <c r="C36" s="28" t="s">
        <v>221</v>
      </c>
      <c r="D36" s="21" t="s">
        <v>222</v>
      </c>
      <c r="E36" s="11" t="s">
        <v>210</v>
      </c>
      <c r="F36" s="8"/>
      <c r="G36" s="8"/>
      <c r="H36" s="8"/>
      <c r="I36" s="8"/>
      <c r="J36" s="8"/>
      <c r="K36" s="8"/>
      <c r="L36" s="8"/>
      <c r="M36" s="8"/>
      <c r="N36" s="8"/>
      <c r="O36" s="8"/>
      <c r="P36" s="8"/>
      <c r="Q36" s="8"/>
      <c r="R36" s="8"/>
      <c r="S36" s="8"/>
      <c r="T36" s="8"/>
      <c r="U36" s="8"/>
      <c r="V36" s="8"/>
      <c r="W36" s="8"/>
      <c r="X36" s="8"/>
      <c r="Y36" s="8"/>
      <c r="Z36" s="8"/>
      <c r="AA36" s="8"/>
    </row>
    <row r="37" spans="1:27" ht="19.75">
      <c r="A37" s="8"/>
      <c r="B37" s="12"/>
      <c r="C37" s="7"/>
      <c r="D37" s="10" t="s">
        <v>223</v>
      </c>
      <c r="E37" s="11"/>
      <c r="F37" s="11"/>
      <c r="G37" s="8"/>
      <c r="H37" s="8"/>
      <c r="I37" s="8"/>
      <c r="J37" s="8"/>
      <c r="K37" s="8"/>
      <c r="L37" s="8"/>
      <c r="M37" s="8"/>
      <c r="N37" s="8"/>
      <c r="O37" s="8"/>
      <c r="P37" s="8"/>
      <c r="Q37" s="8"/>
      <c r="R37" s="8"/>
      <c r="S37" s="8"/>
      <c r="T37" s="8"/>
      <c r="U37" s="8"/>
      <c r="V37" s="8"/>
      <c r="W37" s="8"/>
      <c r="X37" s="8"/>
      <c r="Y37" s="8"/>
      <c r="Z37" s="8"/>
      <c r="AA37" s="8"/>
    </row>
    <row r="38" spans="1:27" ht="19.75">
      <c r="A38" s="8"/>
      <c r="B38" s="12"/>
      <c r="C38" s="7"/>
      <c r="D38" s="10" t="s">
        <v>59</v>
      </c>
      <c r="E38" s="11"/>
      <c r="F38" s="11"/>
      <c r="G38" s="8"/>
      <c r="H38" s="8"/>
      <c r="I38" s="8"/>
      <c r="J38" s="8"/>
      <c r="K38" s="8"/>
      <c r="L38" s="8"/>
      <c r="M38" s="8"/>
      <c r="N38" s="8"/>
      <c r="O38" s="8"/>
      <c r="P38" s="8"/>
      <c r="Q38" s="8"/>
      <c r="R38" s="8"/>
      <c r="S38" s="8"/>
      <c r="T38" s="8"/>
      <c r="U38" s="8"/>
      <c r="V38" s="8"/>
      <c r="W38" s="8"/>
      <c r="X38" s="8"/>
      <c r="Y38" s="8"/>
      <c r="Z38" s="8"/>
      <c r="AA38" s="8"/>
    </row>
    <row r="39" spans="1:27" ht="18.899999999999999">
      <c r="A39" s="8">
        <v>70</v>
      </c>
      <c r="B39" s="12">
        <v>45303</v>
      </c>
      <c r="C39" s="7" t="s">
        <v>224</v>
      </c>
      <c r="D39" s="10" t="s">
        <v>222</v>
      </c>
      <c r="E39" s="40" t="s">
        <v>225</v>
      </c>
      <c r="F39" s="39"/>
      <c r="G39" s="8"/>
      <c r="H39" s="8"/>
      <c r="I39" s="8"/>
      <c r="J39" s="8"/>
      <c r="K39" s="8"/>
      <c r="L39" s="8"/>
      <c r="M39" s="8"/>
      <c r="N39" s="8"/>
      <c r="O39" s="8"/>
      <c r="P39" s="8"/>
      <c r="Q39" s="8"/>
      <c r="R39" s="8"/>
      <c r="S39" s="8"/>
      <c r="T39" s="8"/>
      <c r="U39" s="8"/>
      <c r="V39" s="8"/>
      <c r="W39" s="8"/>
      <c r="X39" s="8"/>
      <c r="Y39" s="8"/>
      <c r="Z39" s="8"/>
      <c r="AA39" s="8"/>
    </row>
    <row r="40" spans="1:27" ht="18.899999999999999">
      <c r="A40" s="8"/>
      <c r="B40" s="7"/>
      <c r="C40" s="8" t="s">
        <v>226</v>
      </c>
      <c r="D40" s="10" t="s">
        <v>20</v>
      </c>
      <c r="E40" s="39"/>
      <c r="F40" s="39"/>
      <c r="G40" s="8"/>
      <c r="H40" s="8"/>
      <c r="I40" s="8"/>
      <c r="J40" s="8"/>
      <c r="K40" s="8"/>
      <c r="L40" s="8"/>
      <c r="M40" s="8"/>
      <c r="N40" s="8"/>
      <c r="O40" s="8"/>
      <c r="P40" s="8"/>
      <c r="Q40" s="8"/>
      <c r="R40" s="8"/>
      <c r="S40" s="8"/>
      <c r="T40" s="8"/>
      <c r="U40" s="8"/>
      <c r="V40" s="8"/>
      <c r="W40" s="8"/>
      <c r="X40" s="8"/>
      <c r="Y40" s="8"/>
      <c r="Z40" s="8"/>
      <c r="AA40" s="8"/>
    </row>
    <row r="41" spans="1:27" ht="19.75">
      <c r="A41" s="8">
        <v>71</v>
      </c>
      <c r="B41" s="12">
        <v>45516</v>
      </c>
      <c r="C41" s="7" t="s">
        <v>227</v>
      </c>
      <c r="D41" s="10" t="s">
        <v>9</v>
      </c>
      <c r="E41" s="11"/>
      <c r="F41" s="8"/>
      <c r="G41" s="8"/>
      <c r="H41" s="8"/>
      <c r="I41" s="8"/>
      <c r="J41" s="8"/>
      <c r="K41" s="8"/>
      <c r="L41" s="8"/>
      <c r="M41" s="8"/>
      <c r="N41" s="8"/>
      <c r="O41" s="8"/>
      <c r="P41" s="8"/>
      <c r="Q41" s="8"/>
      <c r="R41" s="8"/>
      <c r="S41" s="8"/>
      <c r="T41" s="8"/>
      <c r="U41" s="8"/>
      <c r="V41" s="8"/>
      <c r="W41" s="8"/>
      <c r="X41" s="8"/>
      <c r="Y41" s="8"/>
      <c r="Z41" s="8"/>
      <c r="AA41" s="8"/>
    </row>
    <row r="42" spans="1:27" ht="19.75">
      <c r="A42" s="8"/>
      <c r="B42" s="7"/>
      <c r="C42" s="8"/>
      <c r="D42" s="10" t="s">
        <v>228</v>
      </c>
      <c r="E42" s="11"/>
      <c r="F42" s="8"/>
      <c r="G42" s="8"/>
      <c r="H42" s="8"/>
      <c r="I42" s="8"/>
      <c r="J42" s="8"/>
      <c r="K42" s="8"/>
      <c r="L42" s="8"/>
      <c r="M42" s="8"/>
      <c r="N42" s="8"/>
      <c r="O42" s="8"/>
      <c r="P42" s="8"/>
      <c r="Q42" s="8"/>
      <c r="R42" s="8"/>
      <c r="S42" s="8"/>
      <c r="T42" s="8"/>
      <c r="U42" s="8"/>
      <c r="V42" s="8"/>
      <c r="W42" s="8"/>
      <c r="X42" s="8"/>
      <c r="Y42" s="8"/>
      <c r="Z42" s="8"/>
      <c r="AA42" s="8"/>
    </row>
    <row r="43" spans="1:27" ht="19.75">
      <c r="A43" s="8"/>
      <c r="B43" s="7"/>
      <c r="C43" s="8"/>
      <c r="D43" s="10" t="s">
        <v>229</v>
      </c>
      <c r="E43" s="11"/>
      <c r="F43" s="8"/>
      <c r="G43" s="8"/>
      <c r="H43" s="8"/>
      <c r="I43" s="8"/>
      <c r="J43" s="8"/>
      <c r="K43" s="8"/>
      <c r="L43" s="8"/>
      <c r="M43" s="8"/>
      <c r="N43" s="8"/>
      <c r="O43" s="8"/>
      <c r="P43" s="8"/>
      <c r="Q43" s="8"/>
      <c r="R43" s="8"/>
      <c r="S43" s="8"/>
      <c r="T43" s="8"/>
      <c r="U43" s="8"/>
      <c r="V43" s="8"/>
      <c r="W43" s="8"/>
      <c r="X43" s="8"/>
      <c r="Y43" s="8"/>
      <c r="Z43" s="8"/>
      <c r="AA43" s="8"/>
    </row>
    <row r="44" spans="1:27" ht="19.75">
      <c r="A44" s="41"/>
      <c r="B44" s="42">
        <v>45778</v>
      </c>
      <c r="C44" s="38" t="s">
        <v>230</v>
      </c>
      <c r="D44" s="30" t="s">
        <v>45</v>
      </c>
      <c r="E44" s="40" t="s">
        <v>225</v>
      </c>
      <c r="F44" s="11"/>
      <c r="G44" s="8"/>
      <c r="H44" s="8"/>
      <c r="I44" s="8"/>
      <c r="J44" s="8"/>
      <c r="K44" s="8"/>
      <c r="L44" s="8"/>
      <c r="M44" s="8"/>
      <c r="N44" s="8"/>
      <c r="O44" s="8"/>
      <c r="P44" s="8"/>
      <c r="Q44" s="8"/>
      <c r="R44" s="8"/>
      <c r="S44" s="8"/>
      <c r="T44" s="8"/>
      <c r="U44" s="8"/>
      <c r="V44" s="8"/>
      <c r="W44" s="8"/>
      <c r="X44" s="8"/>
      <c r="Y44" s="8"/>
      <c r="Z44" s="8"/>
      <c r="AA44" s="8"/>
    </row>
    <row r="45" spans="1:27" ht="19.75">
      <c r="A45" s="39"/>
      <c r="B45" s="39"/>
      <c r="C45" s="39"/>
      <c r="D45" s="30" t="s">
        <v>59</v>
      </c>
      <c r="E45" s="39"/>
      <c r="F45" s="11"/>
      <c r="G45" s="8"/>
      <c r="H45" s="8"/>
      <c r="I45" s="8"/>
      <c r="J45" s="8"/>
      <c r="K45" s="8"/>
      <c r="L45" s="8"/>
      <c r="M45" s="8"/>
      <c r="N45" s="8"/>
      <c r="O45" s="8"/>
      <c r="P45" s="8"/>
      <c r="Q45" s="8"/>
      <c r="R45" s="8"/>
      <c r="S45" s="8"/>
      <c r="T45" s="8"/>
      <c r="U45" s="8"/>
      <c r="V45" s="8"/>
      <c r="W45" s="8"/>
      <c r="X45" s="8"/>
      <c r="Y45" s="8"/>
      <c r="Z45" s="8"/>
      <c r="AA45" s="8"/>
    </row>
    <row r="46" spans="1:27" ht="19.75">
      <c r="A46" s="8"/>
      <c r="B46" s="39"/>
      <c r="C46" s="39"/>
      <c r="D46" s="10" t="s">
        <v>231</v>
      </c>
      <c r="E46" s="11"/>
      <c r="F46" s="8"/>
      <c r="G46" s="8"/>
      <c r="H46" s="8"/>
      <c r="I46" s="8"/>
      <c r="J46" s="8"/>
      <c r="K46" s="8"/>
      <c r="L46" s="8"/>
      <c r="M46" s="8"/>
      <c r="N46" s="8"/>
      <c r="O46" s="8"/>
      <c r="P46" s="8"/>
      <c r="Q46" s="8"/>
      <c r="R46" s="8"/>
      <c r="S46" s="8"/>
      <c r="T46" s="8"/>
      <c r="U46" s="8"/>
      <c r="V46" s="8"/>
      <c r="W46" s="8"/>
      <c r="X46" s="8"/>
      <c r="Y46" s="8"/>
      <c r="Z46" s="8"/>
      <c r="AA46" s="8"/>
    </row>
    <row r="47" spans="1:27" ht="19.75">
      <c r="A47" s="8"/>
      <c r="B47" s="7" t="s">
        <v>232</v>
      </c>
      <c r="C47" s="7" t="s">
        <v>233</v>
      </c>
      <c r="D47" s="10" t="s">
        <v>31</v>
      </c>
      <c r="E47" s="11"/>
      <c r="F47" s="8"/>
      <c r="G47" s="8"/>
      <c r="H47" s="8"/>
      <c r="I47" s="8"/>
      <c r="J47" s="8"/>
      <c r="K47" s="8"/>
      <c r="L47" s="8"/>
      <c r="M47" s="8"/>
      <c r="N47" s="8"/>
      <c r="O47" s="8"/>
      <c r="P47" s="8"/>
      <c r="Q47" s="8"/>
      <c r="R47" s="8"/>
      <c r="S47" s="8"/>
      <c r="T47" s="8"/>
      <c r="U47" s="8"/>
      <c r="V47" s="8"/>
      <c r="W47" s="8"/>
      <c r="X47" s="8"/>
      <c r="Y47" s="8"/>
      <c r="Z47" s="8"/>
      <c r="AA47" s="8"/>
    </row>
    <row r="48" spans="1:27" ht="19.75">
      <c r="A48" s="8"/>
      <c r="B48" s="7"/>
      <c r="D48" s="10" t="s">
        <v>59</v>
      </c>
      <c r="E48" s="11"/>
      <c r="F48" s="8"/>
      <c r="G48" s="8"/>
      <c r="H48" s="8"/>
      <c r="I48" s="8"/>
      <c r="J48" s="8"/>
      <c r="K48" s="8"/>
      <c r="L48" s="8"/>
      <c r="M48" s="8"/>
      <c r="N48" s="8"/>
      <c r="O48" s="8"/>
      <c r="P48" s="8"/>
      <c r="Q48" s="8"/>
      <c r="R48" s="8"/>
      <c r="S48" s="8"/>
      <c r="T48" s="8"/>
      <c r="U48" s="8"/>
      <c r="V48" s="8"/>
      <c r="W48" s="8"/>
      <c r="X48" s="8"/>
      <c r="Y48" s="8"/>
      <c r="Z48" s="8"/>
      <c r="AA48" s="8"/>
    </row>
    <row r="49" spans="1:27" ht="59.15">
      <c r="A49" s="8"/>
      <c r="B49" s="12">
        <v>45902</v>
      </c>
      <c r="C49" s="7" t="s">
        <v>234</v>
      </c>
      <c r="D49" s="21" t="s">
        <v>235</v>
      </c>
      <c r="E49" s="18" t="s">
        <v>236</v>
      </c>
      <c r="F49" s="8"/>
      <c r="G49" s="8"/>
      <c r="H49" s="8"/>
      <c r="I49" s="8"/>
      <c r="J49" s="8"/>
      <c r="K49" s="8"/>
      <c r="L49" s="8"/>
      <c r="M49" s="8"/>
      <c r="N49" s="8"/>
      <c r="O49" s="8"/>
      <c r="P49" s="8"/>
      <c r="Q49" s="8"/>
      <c r="R49" s="8"/>
      <c r="S49" s="8"/>
      <c r="T49" s="8"/>
      <c r="U49" s="8"/>
      <c r="V49" s="8"/>
      <c r="W49" s="8"/>
      <c r="X49" s="8"/>
      <c r="Y49" s="8"/>
      <c r="Z49" s="8"/>
      <c r="AA49" s="8"/>
    </row>
    <row r="50" spans="1:27" ht="19.75">
      <c r="A50" s="8"/>
      <c r="B50" s="7" t="s">
        <v>237</v>
      </c>
      <c r="C50" s="7" t="s">
        <v>238</v>
      </c>
      <c r="D50" s="10" t="s">
        <v>31</v>
      </c>
      <c r="E50" s="11"/>
      <c r="F50" s="8"/>
      <c r="G50" s="8"/>
      <c r="H50" s="8"/>
      <c r="I50" s="8"/>
      <c r="J50" s="8"/>
      <c r="K50" s="8"/>
      <c r="L50" s="8"/>
      <c r="M50" s="8"/>
      <c r="N50" s="8"/>
      <c r="O50" s="8"/>
      <c r="P50" s="8"/>
      <c r="Q50" s="8"/>
      <c r="R50" s="8"/>
      <c r="S50" s="8"/>
      <c r="T50" s="8"/>
      <c r="U50" s="8"/>
      <c r="V50" s="8"/>
      <c r="W50" s="8"/>
      <c r="X50" s="8"/>
      <c r="Y50" s="8"/>
      <c r="Z50" s="8"/>
      <c r="AA50" s="8"/>
    </row>
    <row r="51" spans="1:27" ht="19.75">
      <c r="A51" s="8"/>
      <c r="B51" s="7"/>
      <c r="C51" s="8"/>
      <c r="D51" s="10" t="s">
        <v>59</v>
      </c>
      <c r="E51" s="11"/>
      <c r="F51" s="8"/>
      <c r="G51" s="8"/>
      <c r="H51" s="8"/>
      <c r="I51" s="8"/>
      <c r="J51" s="8"/>
      <c r="K51" s="8"/>
      <c r="L51" s="8"/>
      <c r="M51" s="8"/>
      <c r="N51" s="8"/>
      <c r="O51" s="8"/>
      <c r="P51" s="8"/>
      <c r="Q51" s="8"/>
      <c r="R51" s="8"/>
      <c r="S51" s="8"/>
      <c r="T51" s="8"/>
      <c r="U51" s="8"/>
      <c r="V51" s="8"/>
      <c r="W51" s="8"/>
      <c r="X51" s="8"/>
      <c r="Y51" s="8"/>
      <c r="Z51" s="8"/>
      <c r="AA51" s="8"/>
    </row>
    <row r="52" spans="1:27" ht="19.75">
      <c r="A52" s="8"/>
      <c r="B52" s="7"/>
      <c r="C52" s="8"/>
      <c r="D52" s="8"/>
      <c r="E52" s="11"/>
      <c r="F52" s="8"/>
      <c r="G52" s="8"/>
      <c r="H52" s="8"/>
      <c r="I52" s="8"/>
      <c r="J52" s="8"/>
      <c r="K52" s="8"/>
      <c r="L52" s="8"/>
      <c r="M52" s="8"/>
      <c r="N52" s="8"/>
      <c r="O52" s="8"/>
      <c r="P52" s="8"/>
      <c r="Q52" s="8"/>
      <c r="R52" s="8"/>
      <c r="S52" s="8"/>
      <c r="T52" s="8"/>
      <c r="U52" s="8"/>
      <c r="V52" s="8"/>
      <c r="W52" s="8"/>
      <c r="X52" s="8"/>
      <c r="Y52" s="8"/>
      <c r="Z52" s="8"/>
      <c r="AA52" s="8"/>
    </row>
    <row r="53" spans="1:27" ht="19.75">
      <c r="A53" s="8"/>
      <c r="B53" s="7"/>
      <c r="C53" s="8"/>
      <c r="D53" s="8"/>
      <c r="E53" s="11"/>
      <c r="F53" s="8"/>
      <c r="G53" s="8"/>
      <c r="H53" s="8"/>
      <c r="I53" s="8"/>
      <c r="J53" s="8"/>
      <c r="K53" s="8"/>
      <c r="L53" s="8"/>
      <c r="M53" s="8"/>
      <c r="N53" s="8"/>
      <c r="O53" s="8"/>
      <c r="P53" s="8"/>
      <c r="Q53" s="8"/>
      <c r="R53" s="8"/>
      <c r="S53" s="8"/>
      <c r="T53" s="8"/>
      <c r="U53" s="8"/>
      <c r="V53" s="8"/>
      <c r="W53" s="8"/>
      <c r="X53" s="8"/>
      <c r="Y53" s="8"/>
      <c r="Z53" s="8"/>
      <c r="AA53" s="8"/>
    </row>
    <row r="54" spans="1:27" ht="19.75">
      <c r="A54" s="8"/>
      <c r="B54" s="7"/>
      <c r="C54" s="8"/>
      <c r="D54" s="8"/>
      <c r="E54" s="11"/>
      <c r="F54" s="8"/>
      <c r="G54" s="8"/>
      <c r="H54" s="8"/>
      <c r="I54" s="8"/>
      <c r="J54" s="8"/>
      <c r="K54" s="8"/>
      <c r="L54" s="8"/>
      <c r="M54" s="8"/>
      <c r="N54" s="8"/>
      <c r="O54" s="8"/>
      <c r="P54" s="8"/>
      <c r="Q54" s="8"/>
      <c r="R54" s="8"/>
      <c r="S54" s="8"/>
      <c r="T54" s="8"/>
      <c r="U54" s="8"/>
      <c r="V54" s="8"/>
      <c r="W54" s="8"/>
      <c r="X54" s="8"/>
      <c r="Y54" s="8"/>
      <c r="Z54" s="8"/>
      <c r="AA54" s="8"/>
    </row>
    <row r="55" spans="1:27" ht="19.75">
      <c r="A55" s="8"/>
      <c r="B55" s="7"/>
      <c r="C55" s="8"/>
      <c r="D55" s="8"/>
      <c r="E55" s="11"/>
      <c r="F55" s="8"/>
      <c r="G55" s="8"/>
      <c r="H55" s="8"/>
      <c r="I55" s="8"/>
      <c r="J55" s="8"/>
      <c r="K55" s="8"/>
      <c r="L55" s="8"/>
      <c r="M55" s="8"/>
      <c r="N55" s="8"/>
      <c r="O55" s="8"/>
      <c r="P55" s="8"/>
      <c r="Q55" s="8"/>
      <c r="R55" s="8"/>
      <c r="S55" s="8"/>
      <c r="T55" s="8"/>
      <c r="U55" s="8"/>
      <c r="V55" s="8"/>
      <c r="W55" s="8"/>
      <c r="X55" s="8"/>
      <c r="Y55" s="8"/>
      <c r="Z55" s="8"/>
      <c r="AA55" s="8"/>
    </row>
    <row r="56" spans="1:27" ht="19.75">
      <c r="A56" s="8"/>
      <c r="B56" s="7"/>
      <c r="C56" s="8"/>
      <c r="D56" s="8"/>
      <c r="E56" s="11"/>
      <c r="F56" s="8"/>
      <c r="G56" s="8"/>
      <c r="H56" s="8"/>
      <c r="I56" s="8"/>
      <c r="J56" s="8"/>
      <c r="K56" s="8"/>
      <c r="L56" s="8"/>
      <c r="M56" s="8"/>
      <c r="N56" s="8"/>
      <c r="O56" s="8"/>
      <c r="P56" s="8"/>
      <c r="Q56" s="8"/>
      <c r="R56" s="8"/>
      <c r="S56" s="8"/>
      <c r="T56" s="8"/>
      <c r="U56" s="8"/>
      <c r="V56" s="8"/>
      <c r="W56" s="8"/>
      <c r="X56" s="8"/>
      <c r="Y56" s="8"/>
      <c r="Z56" s="8"/>
      <c r="AA56" s="8"/>
    </row>
    <row r="57" spans="1:27" ht="19.75">
      <c r="A57" s="8"/>
      <c r="B57" s="7"/>
      <c r="C57" s="8"/>
      <c r="D57" s="8"/>
      <c r="E57" s="11"/>
      <c r="F57" s="8"/>
      <c r="G57" s="8"/>
      <c r="H57" s="8"/>
      <c r="I57" s="8"/>
      <c r="J57" s="8"/>
      <c r="K57" s="8"/>
      <c r="L57" s="8"/>
      <c r="M57" s="8"/>
      <c r="N57" s="8"/>
      <c r="O57" s="8"/>
      <c r="P57" s="8"/>
      <c r="Q57" s="8"/>
      <c r="R57" s="8"/>
      <c r="S57" s="8"/>
      <c r="T57" s="8"/>
      <c r="U57" s="8"/>
      <c r="V57" s="8"/>
      <c r="W57" s="8"/>
      <c r="X57" s="8"/>
      <c r="Y57" s="8"/>
      <c r="Z57" s="8"/>
      <c r="AA57" s="8"/>
    </row>
    <row r="58" spans="1:27" ht="19.75">
      <c r="A58" s="8"/>
      <c r="B58" s="7"/>
      <c r="C58" s="8"/>
      <c r="D58" s="8"/>
      <c r="E58" s="11"/>
      <c r="F58" s="8"/>
      <c r="G58" s="8"/>
      <c r="H58" s="8"/>
      <c r="I58" s="8"/>
      <c r="J58" s="8"/>
      <c r="K58" s="8"/>
      <c r="L58" s="8"/>
      <c r="M58" s="8"/>
      <c r="N58" s="8"/>
      <c r="O58" s="8"/>
      <c r="P58" s="8"/>
      <c r="Q58" s="8"/>
      <c r="R58" s="8"/>
      <c r="S58" s="8"/>
      <c r="T58" s="8"/>
      <c r="U58" s="8"/>
      <c r="V58" s="8"/>
      <c r="W58" s="8"/>
      <c r="X58" s="8"/>
      <c r="Y58" s="8"/>
      <c r="Z58" s="8"/>
      <c r="AA58" s="8"/>
    </row>
    <row r="59" spans="1:27" ht="19.75">
      <c r="A59" s="8"/>
      <c r="B59" s="7"/>
      <c r="C59" s="8"/>
      <c r="D59" s="8"/>
      <c r="E59" s="11"/>
      <c r="F59" s="8"/>
      <c r="G59" s="8"/>
      <c r="H59" s="8"/>
      <c r="I59" s="8"/>
      <c r="J59" s="8"/>
      <c r="K59" s="8"/>
      <c r="L59" s="8"/>
      <c r="M59" s="8"/>
      <c r="N59" s="8"/>
      <c r="O59" s="8"/>
      <c r="P59" s="8"/>
      <c r="Q59" s="8"/>
      <c r="R59" s="8"/>
      <c r="S59" s="8"/>
      <c r="T59" s="8"/>
      <c r="U59" s="8"/>
      <c r="V59" s="8"/>
      <c r="W59" s="8"/>
      <c r="X59" s="8"/>
      <c r="Y59" s="8"/>
      <c r="Z59" s="8"/>
      <c r="AA59" s="8"/>
    </row>
    <row r="60" spans="1:27" ht="19.75">
      <c r="A60" s="8"/>
      <c r="B60" s="7"/>
      <c r="C60" s="8"/>
      <c r="D60" s="8"/>
      <c r="E60" s="11"/>
      <c r="F60" s="8"/>
      <c r="G60" s="8"/>
      <c r="H60" s="8"/>
      <c r="I60" s="8"/>
      <c r="J60" s="8"/>
      <c r="K60" s="8"/>
      <c r="L60" s="8"/>
      <c r="M60" s="8"/>
      <c r="N60" s="8"/>
      <c r="O60" s="8"/>
      <c r="P60" s="8"/>
      <c r="Q60" s="8"/>
      <c r="R60" s="8"/>
      <c r="S60" s="8"/>
      <c r="T60" s="8"/>
      <c r="U60" s="8"/>
      <c r="V60" s="8"/>
      <c r="W60" s="8"/>
      <c r="X60" s="8"/>
      <c r="Y60" s="8"/>
      <c r="Z60" s="8"/>
      <c r="AA60" s="8"/>
    </row>
    <row r="61" spans="1:27" ht="19.75">
      <c r="A61" s="8"/>
      <c r="B61" s="7"/>
      <c r="C61" s="8"/>
      <c r="D61" s="8"/>
      <c r="E61" s="11"/>
      <c r="F61" s="8"/>
      <c r="G61" s="8"/>
      <c r="H61" s="8"/>
      <c r="I61" s="8"/>
      <c r="J61" s="8"/>
      <c r="K61" s="8"/>
      <c r="L61" s="8"/>
      <c r="M61" s="8"/>
      <c r="N61" s="8"/>
      <c r="O61" s="8"/>
      <c r="P61" s="8"/>
      <c r="Q61" s="8"/>
      <c r="R61" s="8"/>
      <c r="S61" s="8"/>
      <c r="T61" s="8"/>
      <c r="U61" s="8"/>
      <c r="V61" s="8"/>
      <c r="W61" s="8"/>
      <c r="X61" s="8"/>
      <c r="Y61" s="8"/>
      <c r="Z61" s="8"/>
      <c r="AA61" s="8"/>
    </row>
    <row r="62" spans="1:27" ht="19.75">
      <c r="A62" s="8"/>
      <c r="B62" s="7"/>
      <c r="C62" s="8"/>
      <c r="D62" s="8"/>
      <c r="E62" s="11"/>
      <c r="F62" s="8"/>
      <c r="G62" s="8"/>
      <c r="H62" s="8"/>
      <c r="I62" s="8"/>
      <c r="J62" s="8"/>
      <c r="K62" s="8"/>
      <c r="L62" s="8"/>
      <c r="M62" s="8"/>
      <c r="N62" s="8"/>
      <c r="O62" s="8"/>
      <c r="P62" s="8"/>
      <c r="Q62" s="8"/>
      <c r="R62" s="8"/>
      <c r="S62" s="8"/>
      <c r="T62" s="8"/>
      <c r="U62" s="8"/>
      <c r="V62" s="8"/>
      <c r="W62" s="8"/>
      <c r="X62" s="8"/>
      <c r="Y62" s="8"/>
      <c r="Z62" s="8"/>
      <c r="AA62" s="8"/>
    </row>
    <row r="63" spans="1:27" ht="19.75">
      <c r="A63" s="8"/>
      <c r="B63" s="7"/>
      <c r="C63" s="8"/>
      <c r="D63" s="8"/>
      <c r="E63" s="11"/>
      <c r="F63" s="8"/>
      <c r="G63" s="8"/>
      <c r="H63" s="8"/>
      <c r="I63" s="8"/>
      <c r="J63" s="8"/>
      <c r="K63" s="8"/>
      <c r="L63" s="8"/>
      <c r="M63" s="8"/>
      <c r="N63" s="8"/>
      <c r="O63" s="8"/>
      <c r="P63" s="8"/>
      <c r="Q63" s="8"/>
      <c r="R63" s="8"/>
      <c r="S63" s="8"/>
      <c r="T63" s="8"/>
      <c r="U63" s="8"/>
      <c r="V63" s="8"/>
      <c r="W63" s="8"/>
      <c r="X63" s="8"/>
      <c r="Y63" s="8"/>
      <c r="Z63" s="8"/>
      <c r="AA63" s="8"/>
    </row>
    <row r="64" spans="1:27" ht="19.75">
      <c r="A64" s="8"/>
      <c r="B64" s="7"/>
      <c r="C64" s="8"/>
      <c r="D64" s="8"/>
      <c r="E64" s="11"/>
      <c r="F64" s="8"/>
      <c r="G64" s="8"/>
      <c r="H64" s="8"/>
      <c r="I64" s="8"/>
      <c r="J64" s="8"/>
      <c r="K64" s="8"/>
      <c r="L64" s="8"/>
      <c r="M64" s="8"/>
      <c r="N64" s="8"/>
      <c r="O64" s="8"/>
      <c r="P64" s="8"/>
      <c r="Q64" s="8"/>
      <c r="R64" s="8"/>
      <c r="S64" s="8"/>
      <c r="T64" s="8"/>
      <c r="U64" s="8"/>
      <c r="V64" s="8"/>
      <c r="W64" s="8"/>
      <c r="X64" s="8"/>
      <c r="Y64" s="8"/>
      <c r="Z64" s="8"/>
      <c r="AA64" s="8"/>
    </row>
    <row r="65" spans="1:27" ht="19.75">
      <c r="A65" s="8"/>
      <c r="B65" s="7"/>
      <c r="C65" s="8"/>
      <c r="D65" s="8"/>
      <c r="E65" s="11"/>
      <c r="F65" s="8"/>
      <c r="G65" s="8"/>
      <c r="H65" s="8"/>
      <c r="I65" s="8"/>
      <c r="J65" s="8"/>
      <c r="K65" s="8"/>
      <c r="L65" s="8"/>
      <c r="M65" s="8"/>
      <c r="N65" s="8"/>
      <c r="O65" s="8"/>
      <c r="P65" s="8"/>
      <c r="Q65" s="8"/>
      <c r="R65" s="8"/>
      <c r="S65" s="8"/>
      <c r="T65" s="8"/>
      <c r="U65" s="8"/>
      <c r="V65" s="8"/>
      <c r="W65" s="8"/>
      <c r="X65" s="8"/>
      <c r="Y65" s="8"/>
      <c r="Z65" s="8"/>
      <c r="AA65" s="8"/>
    </row>
    <row r="66" spans="1:27" ht="19.75">
      <c r="A66" s="8"/>
      <c r="B66" s="7"/>
      <c r="C66" s="8"/>
      <c r="D66" s="8"/>
      <c r="E66" s="11"/>
      <c r="F66" s="8"/>
      <c r="G66" s="8"/>
      <c r="H66" s="8"/>
      <c r="I66" s="8"/>
      <c r="J66" s="8"/>
      <c r="K66" s="8"/>
      <c r="L66" s="8"/>
      <c r="M66" s="8"/>
      <c r="N66" s="8"/>
      <c r="O66" s="8"/>
      <c r="P66" s="8"/>
      <c r="Q66" s="8"/>
      <c r="R66" s="8"/>
      <c r="S66" s="8"/>
      <c r="T66" s="8"/>
      <c r="U66" s="8"/>
      <c r="V66" s="8"/>
      <c r="W66" s="8"/>
      <c r="X66" s="8"/>
      <c r="Y66" s="8"/>
      <c r="Z66" s="8"/>
      <c r="AA66" s="8"/>
    </row>
    <row r="67" spans="1:27" ht="19.75">
      <c r="A67" s="8"/>
      <c r="B67" s="7"/>
      <c r="C67" s="8"/>
      <c r="D67" s="8"/>
      <c r="E67" s="11"/>
      <c r="F67" s="8"/>
      <c r="G67" s="8"/>
      <c r="H67" s="8"/>
      <c r="I67" s="8"/>
      <c r="J67" s="8"/>
      <c r="K67" s="8"/>
      <c r="L67" s="8"/>
      <c r="M67" s="8"/>
      <c r="N67" s="8"/>
      <c r="O67" s="8"/>
      <c r="P67" s="8"/>
      <c r="Q67" s="8"/>
      <c r="R67" s="8"/>
      <c r="S67" s="8"/>
      <c r="T67" s="8"/>
      <c r="U67" s="8"/>
      <c r="V67" s="8"/>
      <c r="W67" s="8"/>
      <c r="X67" s="8"/>
      <c r="Y67" s="8"/>
      <c r="Z67" s="8"/>
      <c r="AA67" s="8"/>
    </row>
    <row r="68" spans="1:27" ht="19.75">
      <c r="A68" s="8"/>
      <c r="B68" s="7"/>
      <c r="C68" s="8"/>
      <c r="D68" s="8"/>
      <c r="E68" s="11"/>
      <c r="F68" s="8"/>
      <c r="G68" s="8"/>
      <c r="H68" s="8"/>
      <c r="I68" s="8"/>
      <c r="J68" s="8"/>
      <c r="K68" s="8"/>
      <c r="L68" s="8"/>
      <c r="M68" s="8"/>
      <c r="N68" s="8"/>
      <c r="O68" s="8"/>
      <c r="P68" s="8"/>
      <c r="Q68" s="8"/>
      <c r="R68" s="8"/>
      <c r="S68" s="8"/>
      <c r="T68" s="8"/>
      <c r="U68" s="8"/>
      <c r="V68" s="8"/>
      <c r="W68" s="8"/>
      <c r="X68" s="8"/>
      <c r="Y68" s="8"/>
      <c r="Z68" s="8"/>
      <c r="AA68" s="8"/>
    </row>
    <row r="69" spans="1:27" ht="19.75">
      <c r="A69" s="8"/>
      <c r="B69" s="7"/>
      <c r="C69" s="8"/>
      <c r="D69" s="8"/>
      <c r="E69" s="11"/>
      <c r="F69" s="8"/>
      <c r="G69" s="8"/>
      <c r="H69" s="8"/>
      <c r="I69" s="8"/>
      <c r="J69" s="8"/>
      <c r="K69" s="8"/>
      <c r="L69" s="8"/>
      <c r="M69" s="8"/>
      <c r="N69" s="8"/>
      <c r="O69" s="8"/>
      <c r="P69" s="8"/>
      <c r="Q69" s="8"/>
      <c r="R69" s="8"/>
      <c r="S69" s="8"/>
      <c r="T69" s="8"/>
      <c r="U69" s="8"/>
      <c r="V69" s="8"/>
      <c r="W69" s="8"/>
      <c r="X69" s="8"/>
      <c r="Y69" s="8"/>
      <c r="Z69" s="8"/>
      <c r="AA69" s="8"/>
    </row>
    <row r="70" spans="1:27" ht="19.75">
      <c r="A70" s="8"/>
      <c r="B70" s="7"/>
      <c r="C70" s="8"/>
      <c r="D70" s="8"/>
      <c r="E70" s="11"/>
      <c r="F70" s="8"/>
      <c r="G70" s="8"/>
      <c r="H70" s="8"/>
      <c r="I70" s="8"/>
      <c r="J70" s="8"/>
      <c r="K70" s="8"/>
      <c r="L70" s="8"/>
      <c r="M70" s="8"/>
      <c r="N70" s="8"/>
      <c r="O70" s="8"/>
      <c r="P70" s="8"/>
      <c r="Q70" s="8"/>
      <c r="R70" s="8"/>
      <c r="S70" s="8"/>
      <c r="T70" s="8"/>
      <c r="U70" s="8"/>
      <c r="V70" s="8"/>
      <c r="W70" s="8"/>
      <c r="X70" s="8"/>
      <c r="Y70" s="8"/>
      <c r="Z70" s="8"/>
      <c r="AA70" s="8"/>
    </row>
    <row r="71" spans="1:27" ht="19.75">
      <c r="A71" s="8"/>
      <c r="B71" s="7"/>
      <c r="C71" s="8"/>
      <c r="D71" s="8"/>
      <c r="E71" s="11"/>
      <c r="F71" s="8"/>
      <c r="G71" s="8"/>
      <c r="H71" s="8"/>
      <c r="I71" s="8"/>
      <c r="J71" s="8"/>
      <c r="K71" s="8"/>
      <c r="L71" s="8"/>
      <c r="M71" s="8"/>
      <c r="N71" s="8"/>
      <c r="O71" s="8"/>
      <c r="P71" s="8"/>
      <c r="Q71" s="8"/>
      <c r="R71" s="8"/>
      <c r="S71" s="8"/>
      <c r="T71" s="8"/>
      <c r="U71" s="8"/>
      <c r="V71" s="8"/>
      <c r="W71" s="8"/>
      <c r="X71" s="8"/>
      <c r="Y71" s="8"/>
      <c r="Z71" s="8"/>
      <c r="AA71" s="8"/>
    </row>
    <row r="72" spans="1:27" ht="19.75">
      <c r="A72" s="8"/>
      <c r="B72" s="7"/>
      <c r="C72" s="8"/>
      <c r="D72" s="8"/>
      <c r="E72" s="11"/>
      <c r="F72" s="8"/>
      <c r="G72" s="8"/>
      <c r="H72" s="8"/>
      <c r="I72" s="8"/>
      <c r="J72" s="8"/>
      <c r="K72" s="8"/>
      <c r="L72" s="8"/>
      <c r="M72" s="8"/>
      <c r="N72" s="8"/>
      <c r="O72" s="8"/>
      <c r="P72" s="8"/>
      <c r="Q72" s="8"/>
      <c r="R72" s="8"/>
      <c r="S72" s="8"/>
      <c r="T72" s="8"/>
      <c r="U72" s="8"/>
      <c r="V72" s="8"/>
      <c r="W72" s="8"/>
      <c r="X72" s="8"/>
      <c r="Y72" s="8"/>
      <c r="Z72" s="8"/>
      <c r="AA72" s="8"/>
    </row>
    <row r="73" spans="1:27" ht="19.75">
      <c r="A73" s="8"/>
      <c r="B73" s="7"/>
      <c r="C73" s="8"/>
      <c r="D73" s="8"/>
      <c r="E73" s="11"/>
      <c r="F73" s="8"/>
      <c r="G73" s="8"/>
      <c r="H73" s="8"/>
      <c r="I73" s="8"/>
      <c r="J73" s="8"/>
      <c r="K73" s="8"/>
      <c r="L73" s="8"/>
      <c r="M73" s="8"/>
      <c r="N73" s="8"/>
      <c r="O73" s="8"/>
      <c r="P73" s="8"/>
      <c r="Q73" s="8"/>
      <c r="R73" s="8"/>
      <c r="S73" s="8"/>
      <c r="T73" s="8"/>
      <c r="U73" s="8"/>
      <c r="V73" s="8"/>
      <c r="W73" s="8"/>
      <c r="X73" s="8"/>
      <c r="Y73" s="8"/>
      <c r="Z73" s="8"/>
      <c r="AA73" s="8"/>
    </row>
    <row r="74" spans="1:27" ht="19.75">
      <c r="A74" s="8"/>
      <c r="B74" s="7"/>
      <c r="C74" s="8"/>
      <c r="D74" s="8"/>
      <c r="E74" s="11"/>
      <c r="F74" s="8"/>
      <c r="G74" s="8"/>
      <c r="H74" s="8"/>
      <c r="I74" s="8"/>
      <c r="J74" s="8"/>
      <c r="K74" s="8"/>
      <c r="L74" s="8"/>
      <c r="M74" s="8"/>
      <c r="N74" s="8"/>
      <c r="O74" s="8"/>
      <c r="P74" s="8"/>
      <c r="Q74" s="8"/>
      <c r="R74" s="8"/>
      <c r="S74" s="8"/>
      <c r="T74" s="8"/>
      <c r="U74" s="8"/>
      <c r="V74" s="8"/>
      <c r="W74" s="8"/>
      <c r="X74" s="8"/>
      <c r="Y74" s="8"/>
      <c r="Z74" s="8"/>
      <c r="AA74" s="8"/>
    </row>
    <row r="75" spans="1:27" ht="19.75">
      <c r="A75" s="8"/>
      <c r="B75" s="7"/>
      <c r="C75" s="8"/>
      <c r="D75" s="8"/>
      <c r="E75" s="11"/>
      <c r="F75" s="8"/>
      <c r="G75" s="8"/>
      <c r="H75" s="8"/>
      <c r="I75" s="8"/>
      <c r="J75" s="8"/>
      <c r="K75" s="8"/>
      <c r="L75" s="8"/>
      <c r="M75" s="8"/>
      <c r="N75" s="8"/>
      <c r="O75" s="8"/>
      <c r="P75" s="8"/>
      <c r="Q75" s="8"/>
      <c r="R75" s="8"/>
      <c r="S75" s="8"/>
      <c r="T75" s="8"/>
      <c r="U75" s="8"/>
      <c r="V75" s="8"/>
      <c r="W75" s="8"/>
      <c r="X75" s="8"/>
      <c r="Y75" s="8"/>
      <c r="Z75" s="8"/>
      <c r="AA75" s="8"/>
    </row>
    <row r="76" spans="1:27" ht="19.75">
      <c r="A76" s="8"/>
      <c r="B76" s="7"/>
      <c r="C76" s="8"/>
      <c r="D76" s="8"/>
      <c r="E76" s="11"/>
      <c r="F76" s="8"/>
      <c r="G76" s="8"/>
      <c r="H76" s="8"/>
      <c r="I76" s="8"/>
      <c r="J76" s="8"/>
      <c r="K76" s="8"/>
      <c r="L76" s="8"/>
      <c r="M76" s="8"/>
      <c r="N76" s="8"/>
      <c r="O76" s="8"/>
      <c r="P76" s="8"/>
      <c r="Q76" s="8"/>
      <c r="R76" s="8"/>
      <c r="S76" s="8"/>
      <c r="T76" s="8"/>
      <c r="U76" s="8"/>
      <c r="V76" s="8"/>
      <c r="W76" s="8"/>
      <c r="X76" s="8"/>
      <c r="Y76" s="8"/>
      <c r="Z76" s="8"/>
      <c r="AA76" s="8"/>
    </row>
    <row r="77" spans="1:27" ht="19.75">
      <c r="A77" s="8"/>
      <c r="B77" s="7"/>
      <c r="C77" s="8"/>
      <c r="D77" s="8"/>
      <c r="E77" s="11"/>
      <c r="F77" s="8"/>
      <c r="G77" s="8"/>
      <c r="H77" s="8"/>
      <c r="I77" s="8"/>
      <c r="J77" s="8"/>
      <c r="K77" s="8"/>
      <c r="L77" s="8"/>
      <c r="M77" s="8"/>
      <c r="N77" s="8"/>
      <c r="O77" s="8"/>
      <c r="P77" s="8"/>
      <c r="Q77" s="8"/>
      <c r="R77" s="8"/>
      <c r="S77" s="8"/>
      <c r="T77" s="8"/>
      <c r="U77" s="8"/>
      <c r="V77" s="8"/>
      <c r="W77" s="8"/>
      <c r="X77" s="8"/>
      <c r="Y77" s="8"/>
      <c r="Z77" s="8"/>
      <c r="AA77" s="8"/>
    </row>
    <row r="78" spans="1:27" ht="19.75">
      <c r="A78" s="8"/>
      <c r="B78" s="7"/>
      <c r="C78" s="8"/>
      <c r="D78" s="8"/>
      <c r="E78" s="11"/>
      <c r="F78" s="8"/>
      <c r="G78" s="8"/>
      <c r="H78" s="8"/>
      <c r="I78" s="8"/>
      <c r="J78" s="8"/>
      <c r="K78" s="8"/>
      <c r="L78" s="8"/>
      <c r="M78" s="8"/>
      <c r="N78" s="8"/>
      <c r="O78" s="8"/>
      <c r="P78" s="8"/>
      <c r="Q78" s="8"/>
      <c r="R78" s="8"/>
      <c r="S78" s="8"/>
      <c r="T78" s="8"/>
      <c r="U78" s="8"/>
      <c r="V78" s="8"/>
      <c r="W78" s="8"/>
      <c r="X78" s="8"/>
      <c r="Y78" s="8"/>
      <c r="Z78" s="8"/>
      <c r="AA78" s="8"/>
    </row>
    <row r="79" spans="1:27" ht="19.75">
      <c r="A79" s="8"/>
      <c r="B79" s="7"/>
      <c r="C79" s="8"/>
      <c r="D79" s="8"/>
      <c r="E79" s="11"/>
      <c r="F79" s="8"/>
      <c r="G79" s="8"/>
      <c r="H79" s="8"/>
      <c r="I79" s="8"/>
      <c r="J79" s="8"/>
      <c r="K79" s="8"/>
      <c r="L79" s="8"/>
      <c r="M79" s="8"/>
      <c r="N79" s="8"/>
      <c r="O79" s="8"/>
      <c r="P79" s="8"/>
      <c r="Q79" s="8"/>
      <c r="R79" s="8"/>
      <c r="S79" s="8"/>
      <c r="T79" s="8"/>
      <c r="U79" s="8"/>
      <c r="V79" s="8"/>
      <c r="W79" s="8"/>
      <c r="X79" s="8"/>
      <c r="Y79" s="8"/>
      <c r="Z79" s="8"/>
      <c r="AA79" s="8"/>
    </row>
    <row r="80" spans="1:27" ht="19.75">
      <c r="A80" s="8"/>
      <c r="B80" s="7"/>
      <c r="C80" s="8"/>
      <c r="D80" s="8"/>
      <c r="E80" s="11"/>
      <c r="F80" s="8"/>
      <c r="G80" s="8"/>
      <c r="H80" s="8"/>
      <c r="I80" s="8"/>
      <c r="J80" s="8"/>
      <c r="K80" s="8"/>
      <c r="L80" s="8"/>
      <c r="M80" s="8"/>
      <c r="N80" s="8"/>
      <c r="O80" s="8"/>
      <c r="P80" s="8"/>
      <c r="Q80" s="8"/>
      <c r="R80" s="8"/>
      <c r="S80" s="8"/>
      <c r="T80" s="8"/>
      <c r="U80" s="8"/>
      <c r="V80" s="8"/>
      <c r="W80" s="8"/>
      <c r="X80" s="8"/>
      <c r="Y80" s="8"/>
      <c r="Z80" s="8"/>
      <c r="AA80" s="8"/>
    </row>
    <row r="81" spans="1:27" ht="19.75">
      <c r="A81" s="8"/>
      <c r="B81" s="7"/>
      <c r="C81" s="8"/>
      <c r="D81" s="8"/>
      <c r="E81" s="11"/>
      <c r="F81" s="8"/>
      <c r="G81" s="8"/>
      <c r="H81" s="8"/>
      <c r="I81" s="8"/>
      <c r="J81" s="8"/>
      <c r="K81" s="8"/>
      <c r="L81" s="8"/>
      <c r="M81" s="8"/>
      <c r="N81" s="8"/>
      <c r="O81" s="8"/>
      <c r="P81" s="8"/>
      <c r="Q81" s="8"/>
      <c r="R81" s="8"/>
      <c r="S81" s="8"/>
      <c r="T81" s="8"/>
      <c r="U81" s="8"/>
      <c r="V81" s="8"/>
      <c r="W81" s="8"/>
      <c r="X81" s="8"/>
      <c r="Y81" s="8"/>
      <c r="Z81" s="8"/>
      <c r="AA81" s="8"/>
    </row>
    <row r="82" spans="1:27" ht="19.75">
      <c r="A82" s="8"/>
      <c r="B82" s="7"/>
      <c r="C82" s="8"/>
      <c r="D82" s="8"/>
      <c r="E82" s="11"/>
      <c r="F82" s="8"/>
      <c r="G82" s="8"/>
      <c r="H82" s="8"/>
      <c r="I82" s="8"/>
      <c r="J82" s="8"/>
      <c r="K82" s="8"/>
      <c r="L82" s="8"/>
      <c r="M82" s="8"/>
      <c r="N82" s="8"/>
      <c r="O82" s="8"/>
      <c r="P82" s="8"/>
      <c r="Q82" s="8"/>
      <c r="R82" s="8"/>
      <c r="S82" s="8"/>
      <c r="T82" s="8"/>
      <c r="U82" s="8"/>
      <c r="V82" s="8"/>
      <c r="W82" s="8"/>
      <c r="X82" s="8"/>
      <c r="Y82" s="8"/>
      <c r="Z82" s="8"/>
      <c r="AA82" s="8"/>
    </row>
    <row r="83" spans="1:27" ht="19.75">
      <c r="A83" s="8"/>
      <c r="B83" s="7"/>
      <c r="C83" s="8"/>
      <c r="D83" s="8"/>
      <c r="E83" s="11"/>
      <c r="F83" s="8"/>
      <c r="G83" s="8"/>
      <c r="H83" s="8"/>
      <c r="I83" s="8"/>
      <c r="J83" s="8"/>
      <c r="K83" s="8"/>
      <c r="L83" s="8"/>
      <c r="M83" s="8"/>
      <c r="N83" s="8"/>
      <c r="O83" s="8"/>
      <c r="P83" s="8"/>
      <c r="Q83" s="8"/>
      <c r="R83" s="8"/>
      <c r="S83" s="8"/>
      <c r="T83" s="8"/>
      <c r="U83" s="8"/>
      <c r="V83" s="8"/>
      <c r="W83" s="8"/>
      <c r="X83" s="8"/>
      <c r="Y83" s="8"/>
      <c r="Z83" s="8"/>
      <c r="AA83" s="8"/>
    </row>
    <row r="84" spans="1:27" ht="19.75">
      <c r="A84" s="8"/>
      <c r="B84" s="7"/>
      <c r="C84" s="8"/>
      <c r="D84" s="8"/>
      <c r="E84" s="11"/>
      <c r="F84" s="8"/>
      <c r="G84" s="8"/>
      <c r="H84" s="8"/>
      <c r="I84" s="8"/>
      <c r="J84" s="8"/>
      <c r="K84" s="8"/>
      <c r="L84" s="8"/>
      <c r="M84" s="8"/>
      <c r="N84" s="8"/>
      <c r="O84" s="8"/>
      <c r="P84" s="8"/>
      <c r="Q84" s="8"/>
      <c r="R84" s="8"/>
      <c r="S84" s="8"/>
      <c r="T84" s="8"/>
      <c r="U84" s="8"/>
      <c r="V84" s="8"/>
      <c r="W84" s="8"/>
      <c r="X84" s="8"/>
      <c r="Y84" s="8"/>
      <c r="Z84" s="8"/>
      <c r="AA84" s="8"/>
    </row>
    <row r="85" spans="1:27" ht="19.75">
      <c r="A85" s="8"/>
      <c r="B85" s="7"/>
      <c r="C85" s="8"/>
      <c r="D85" s="8"/>
      <c r="E85" s="11"/>
      <c r="F85" s="8"/>
      <c r="G85" s="8"/>
      <c r="H85" s="8"/>
      <c r="I85" s="8"/>
      <c r="J85" s="8"/>
      <c r="K85" s="8"/>
      <c r="L85" s="8"/>
      <c r="M85" s="8"/>
      <c r="N85" s="8"/>
      <c r="O85" s="8"/>
      <c r="P85" s="8"/>
      <c r="Q85" s="8"/>
      <c r="R85" s="8"/>
      <c r="S85" s="8"/>
      <c r="T85" s="8"/>
      <c r="U85" s="8"/>
      <c r="V85" s="8"/>
      <c r="W85" s="8"/>
      <c r="X85" s="8"/>
      <c r="Y85" s="8"/>
      <c r="Z85" s="8"/>
      <c r="AA85" s="8"/>
    </row>
    <row r="86" spans="1:27" ht="19.75">
      <c r="A86" s="8"/>
      <c r="B86" s="7"/>
      <c r="C86" s="8"/>
      <c r="D86" s="8"/>
      <c r="E86" s="11"/>
      <c r="F86" s="8"/>
      <c r="G86" s="8"/>
      <c r="H86" s="8"/>
      <c r="I86" s="8"/>
      <c r="J86" s="8"/>
      <c r="K86" s="8"/>
      <c r="L86" s="8"/>
      <c r="M86" s="8"/>
      <c r="N86" s="8"/>
      <c r="O86" s="8"/>
      <c r="P86" s="8"/>
      <c r="Q86" s="8"/>
      <c r="R86" s="8"/>
      <c r="S86" s="8"/>
      <c r="T86" s="8"/>
      <c r="U86" s="8"/>
      <c r="V86" s="8"/>
      <c r="W86" s="8"/>
      <c r="X86" s="8"/>
      <c r="Y86" s="8"/>
      <c r="Z86" s="8"/>
      <c r="AA86" s="8"/>
    </row>
    <row r="87" spans="1:27" ht="19.75">
      <c r="A87" s="8"/>
      <c r="B87" s="7"/>
      <c r="C87" s="8"/>
      <c r="D87" s="8"/>
      <c r="E87" s="11"/>
      <c r="F87" s="8"/>
      <c r="G87" s="8"/>
      <c r="H87" s="8"/>
      <c r="I87" s="8"/>
      <c r="J87" s="8"/>
      <c r="K87" s="8"/>
      <c r="L87" s="8"/>
      <c r="M87" s="8"/>
      <c r="N87" s="8"/>
      <c r="O87" s="8"/>
      <c r="P87" s="8"/>
      <c r="Q87" s="8"/>
      <c r="R87" s="8"/>
      <c r="S87" s="8"/>
      <c r="T87" s="8"/>
      <c r="U87" s="8"/>
      <c r="V87" s="8"/>
      <c r="W87" s="8"/>
      <c r="X87" s="8"/>
      <c r="Y87" s="8"/>
      <c r="Z87" s="8"/>
      <c r="AA87" s="8"/>
    </row>
    <row r="88" spans="1:27" ht="19.75">
      <c r="A88" s="8"/>
      <c r="B88" s="7"/>
      <c r="C88" s="8"/>
      <c r="D88" s="8"/>
      <c r="E88" s="11"/>
      <c r="F88" s="8"/>
      <c r="G88" s="8"/>
      <c r="H88" s="8"/>
      <c r="I88" s="8"/>
      <c r="J88" s="8"/>
      <c r="K88" s="8"/>
      <c r="L88" s="8"/>
      <c r="M88" s="8"/>
      <c r="N88" s="8"/>
      <c r="O88" s="8"/>
      <c r="P88" s="8"/>
      <c r="Q88" s="8"/>
      <c r="R88" s="8"/>
      <c r="S88" s="8"/>
      <c r="T88" s="8"/>
      <c r="U88" s="8"/>
      <c r="V88" s="8"/>
      <c r="W88" s="8"/>
      <c r="X88" s="8"/>
      <c r="Y88" s="8"/>
      <c r="Z88" s="8"/>
      <c r="AA88" s="8"/>
    </row>
    <row r="89" spans="1:27" ht="19.75">
      <c r="A89" s="8"/>
      <c r="B89" s="7"/>
      <c r="C89" s="8"/>
      <c r="D89" s="8"/>
      <c r="E89" s="11"/>
      <c r="F89" s="8"/>
      <c r="G89" s="8"/>
      <c r="H89" s="8"/>
      <c r="I89" s="8"/>
      <c r="J89" s="8"/>
      <c r="K89" s="8"/>
      <c r="L89" s="8"/>
      <c r="M89" s="8"/>
      <c r="N89" s="8"/>
      <c r="O89" s="8"/>
      <c r="P89" s="8"/>
      <c r="Q89" s="8"/>
      <c r="R89" s="8"/>
      <c r="S89" s="8"/>
      <c r="T89" s="8"/>
      <c r="U89" s="8"/>
      <c r="V89" s="8"/>
      <c r="W89" s="8"/>
      <c r="X89" s="8"/>
      <c r="Y89" s="8"/>
      <c r="Z89" s="8"/>
      <c r="AA89" s="8"/>
    </row>
    <row r="90" spans="1:27" ht="19.75">
      <c r="A90" s="8"/>
      <c r="B90" s="7"/>
      <c r="C90" s="8"/>
      <c r="D90" s="8"/>
      <c r="E90" s="11"/>
      <c r="F90" s="8"/>
      <c r="G90" s="8"/>
      <c r="H90" s="8"/>
      <c r="I90" s="8"/>
      <c r="J90" s="8"/>
      <c r="K90" s="8"/>
      <c r="L90" s="8"/>
      <c r="M90" s="8"/>
      <c r="N90" s="8"/>
      <c r="O90" s="8"/>
      <c r="P90" s="8"/>
      <c r="Q90" s="8"/>
      <c r="R90" s="8"/>
      <c r="S90" s="8"/>
      <c r="T90" s="8"/>
      <c r="U90" s="8"/>
      <c r="V90" s="8"/>
      <c r="W90" s="8"/>
      <c r="X90" s="8"/>
      <c r="Y90" s="8"/>
      <c r="Z90" s="8"/>
      <c r="AA90" s="8"/>
    </row>
    <row r="91" spans="1:27" ht="19.75">
      <c r="A91" s="8"/>
      <c r="B91" s="7"/>
      <c r="C91" s="8"/>
      <c r="D91" s="8"/>
      <c r="E91" s="11"/>
      <c r="F91" s="8"/>
      <c r="G91" s="8"/>
      <c r="H91" s="8"/>
      <c r="I91" s="8"/>
      <c r="J91" s="8"/>
      <c r="K91" s="8"/>
      <c r="L91" s="8"/>
      <c r="M91" s="8"/>
      <c r="N91" s="8"/>
      <c r="O91" s="8"/>
      <c r="P91" s="8"/>
      <c r="Q91" s="8"/>
      <c r="R91" s="8"/>
      <c r="S91" s="8"/>
      <c r="T91" s="8"/>
      <c r="U91" s="8"/>
      <c r="V91" s="8"/>
      <c r="W91" s="8"/>
      <c r="X91" s="8"/>
      <c r="Y91" s="8"/>
      <c r="Z91" s="8"/>
      <c r="AA91" s="8"/>
    </row>
    <row r="92" spans="1:27" ht="19.75">
      <c r="A92" s="8"/>
      <c r="B92" s="7"/>
      <c r="C92" s="8"/>
      <c r="D92" s="8"/>
      <c r="E92" s="11"/>
      <c r="F92" s="8"/>
      <c r="G92" s="8"/>
      <c r="H92" s="8"/>
      <c r="I92" s="8"/>
      <c r="J92" s="8"/>
      <c r="K92" s="8"/>
      <c r="L92" s="8"/>
      <c r="M92" s="8"/>
      <c r="N92" s="8"/>
      <c r="O92" s="8"/>
      <c r="P92" s="8"/>
      <c r="Q92" s="8"/>
      <c r="R92" s="8"/>
      <c r="S92" s="8"/>
      <c r="T92" s="8"/>
      <c r="U92" s="8"/>
      <c r="V92" s="8"/>
      <c r="W92" s="8"/>
      <c r="X92" s="8"/>
      <c r="Y92" s="8"/>
      <c r="Z92" s="8"/>
      <c r="AA92" s="8"/>
    </row>
    <row r="93" spans="1:27" ht="19.75">
      <c r="A93" s="8"/>
      <c r="B93" s="7"/>
      <c r="C93" s="8"/>
      <c r="D93" s="8"/>
      <c r="E93" s="11"/>
      <c r="F93" s="8"/>
      <c r="G93" s="8"/>
      <c r="H93" s="8"/>
      <c r="I93" s="8"/>
      <c r="J93" s="8"/>
      <c r="K93" s="8"/>
      <c r="L93" s="8"/>
      <c r="M93" s="8"/>
      <c r="N93" s="8"/>
      <c r="O93" s="8"/>
      <c r="P93" s="8"/>
      <c r="Q93" s="8"/>
      <c r="R93" s="8"/>
      <c r="S93" s="8"/>
      <c r="T93" s="8"/>
      <c r="U93" s="8"/>
      <c r="V93" s="8"/>
      <c r="W93" s="8"/>
      <c r="X93" s="8"/>
      <c r="Y93" s="8"/>
      <c r="Z93" s="8"/>
      <c r="AA93" s="8"/>
    </row>
    <row r="94" spans="1:27" ht="19.75">
      <c r="A94" s="8"/>
      <c r="B94" s="7"/>
      <c r="C94" s="8"/>
      <c r="D94" s="8"/>
      <c r="E94" s="11"/>
      <c r="F94" s="8"/>
      <c r="G94" s="8"/>
      <c r="H94" s="8"/>
      <c r="I94" s="8"/>
      <c r="J94" s="8"/>
      <c r="K94" s="8"/>
      <c r="L94" s="8"/>
      <c r="M94" s="8"/>
      <c r="N94" s="8"/>
      <c r="O94" s="8"/>
      <c r="P94" s="8"/>
      <c r="Q94" s="8"/>
      <c r="R94" s="8"/>
      <c r="S94" s="8"/>
      <c r="T94" s="8"/>
      <c r="U94" s="8"/>
      <c r="V94" s="8"/>
      <c r="W94" s="8"/>
      <c r="X94" s="8"/>
      <c r="Y94" s="8"/>
      <c r="Z94" s="8"/>
      <c r="AA94" s="8"/>
    </row>
    <row r="95" spans="1:27" ht="19.75">
      <c r="A95" s="8"/>
      <c r="B95" s="7"/>
      <c r="C95" s="8"/>
      <c r="D95" s="8"/>
      <c r="E95" s="11"/>
      <c r="F95" s="8"/>
      <c r="G95" s="8"/>
      <c r="H95" s="8"/>
      <c r="I95" s="8"/>
      <c r="J95" s="8"/>
      <c r="K95" s="8"/>
      <c r="L95" s="8"/>
      <c r="M95" s="8"/>
      <c r="N95" s="8"/>
      <c r="O95" s="8"/>
      <c r="P95" s="8"/>
      <c r="Q95" s="8"/>
      <c r="R95" s="8"/>
      <c r="S95" s="8"/>
      <c r="T95" s="8"/>
      <c r="U95" s="8"/>
      <c r="V95" s="8"/>
      <c r="W95" s="8"/>
      <c r="X95" s="8"/>
      <c r="Y95" s="8"/>
      <c r="Z95" s="8"/>
      <c r="AA95" s="8"/>
    </row>
    <row r="96" spans="1:27" ht="19.75">
      <c r="A96" s="8"/>
      <c r="B96" s="7"/>
      <c r="C96" s="8"/>
      <c r="D96" s="8"/>
      <c r="E96" s="11"/>
      <c r="F96" s="8"/>
      <c r="G96" s="8"/>
      <c r="H96" s="8"/>
      <c r="I96" s="8"/>
      <c r="J96" s="8"/>
      <c r="K96" s="8"/>
      <c r="L96" s="8"/>
      <c r="M96" s="8"/>
      <c r="N96" s="8"/>
      <c r="O96" s="8"/>
      <c r="P96" s="8"/>
      <c r="Q96" s="8"/>
      <c r="R96" s="8"/>
      <c r="S96" s="8"/>
      <c r="T96" s="8"/>
      <c r="U96" s="8"/>
      <c r="V96" s="8"/>
      <c r="W96" s="8"/>
      <c r="X96" s="8"/>
      <c r="Y96" s="8"/>
      <c r="Z96" s="8"/>
      <c r="AA96" s="8"/>
    </row>
    <row r="97" spans="1:27" ht="19.75">
      <c r="A97" s="8"/>
      <c r="B97" s="7"/>
      <c r="C97" s="8"/>
      <c r="D97" s="8"/>
      <c r="E97" s="11"/>
      <c r="F97" s="8"/>
      <c r="G97" s="8"/>
      <c r="H97" s="8"/>
      <c r="I97" s="8"/>
      <c r="J97" s="8"/>
      <c r="K97" s="8"/>
      <c r="L97" s="8"/>
      <c r="M97" s="8"/>
      <c r="N97" s="8"/>
      <c r="O97" s="8"/>
      <c r="P97" s="8"/>
      <c r="Q97" s="8"/>
      <c r="R97" s="8"/>
      <c r="S97" s="8"/>
      <c r="T97" s="8"/>
      <c r="U97" s="8"/>
      <c r="V97" s="8"/>
      <c r="W97" s="8"/>
      <c r="X97" s="8"/>
      <c r="Y97" s="8"/>
      <c r="Z97" s="8"/>
      <c r="AA97" s="8"/>
    </row>
    <row r="98" spans="1:27" ht="19.75">
      <c r="A98" s="8"/>
      <c r="B98" s="7"/>
      <c r="C98" s="8"/>
      <c r="D98" s="8"/>
      <c r="E98" s="11"/>
      <c r="F98" s="8"/>
      <c r="G98" s="8"/>
      <c r="H98" s="8"/>
      <c r="I98" s="8"/>
      <c r="J98" s="8"/>
      <c r="K98" s="8"/>
      <c r="L98" s="8"/>
      <c r="M98" s="8"/>
      <c r="N98" s="8"/>
      <c r="O98" s="8"/>
      <c r="P98" s="8"/>
      <c r="Q98" s="8"/>
      <c r="R98" s="8"/>
      <c r="S98" s="8"/>
      <c r="T98" s="8"/>
      <c r="U98" s="8"/>
      <c r="V98" s="8"/>
      <c r="W98" s="8"/>
      <c r="X98" s="8"/>
      <c r="Y98" s="8"/>
      <c r="Z98" s="8"/>
      <c r="AA98" s="8"/>
    </row>
    <row r="99" spans="1:27" ht="19.75">
      <c r="A99" s="8"/>
      <c r="B99" s="7"/>
      <c r="C99" s="8"/>
      <c r="D99" s="8"/>
      <c r="E99" s="11"/>
      <c r="F99" s="8"/>
      <c r="G99" s="8"/>
      <c r="H99" s="8"/>
      <c r="I99" s="8"/>
      <c r="J99" s="8"/>
      <c r="K99" s="8"/>
      <c r="L99" s="8"/>
      <c r="M99" s="8"/>
      <c r="N99" s="8"/>
      <c r="O99" s="8"/>
      <c r="P99" s="8"/>
      <c r="Q99" s="8"/>
      <c r="R99" s="8"/>
      <c r="S99" s="8"/>
      <c r="T99" s="8"/>
      <c r="U99" s="8"/>
      <c r="V99" s="8"/>
      <c r="W99" s="8"/>
      <c r="X99" s="8"/>
      <c r="Y99" s="8"/>
      <c r="Z99" s="8"/>
      <c r="AA99" s="8"/>
    </row>
    <row r="100" spans="1:27" ht="19.75">
      <c r="A100" s="8"/>
      <c r="B100" s="7"/>
      <c r="C100" s="8"/>
      <c r="D100" s="8"/>
      <c r="E100" s="11"/>
      <c r="F100" s="8"/>
      <c r="G100" s="8"/>
      <c r="H100" s="8"/>
      <c r="I100" s="8"/>
      <c r="J100" s="8"/>
      <c r="K100" s="8"/>
      <c r="L100" s="8"/>
      <c r="M100" s="8"/>
      <c r="N100" s="8"/>
      <c r="O100" s="8"/>
      <c r="P100" s="8"/>
      <c r="Q100" s="8"/>
      <c r="R100" s="8"/>
      <c r="S100" s="8"/>
      <c r="T100" s="8"/>
      <c r="U100" s="8"/>
      <c r="V100" s="8"/>
      <c r="W100" s="8"/>
      <c r="X100" s="8"/>
      <c r="Y100" s="8"/>
      <c r="Z100" s="8"/>
      <c r="AA100" s="8"/>
    </row>
    <row r="101" spans="1:27" ht="19.75">
      <c r="A101" s="8"/>
      <c r="B101" s="7"/>
      <c r="C101" s="8"/>
      <c r="D101" s="8"/>
      <c r="E101" s="11"/>
      <c r="F101" s="8"/>
      <c r="G101" s="8"/>
      <c r="H101" s="8"/>
      <c r="I101" s="8"/>
      <c r="J101" s="8"/>
      <c r="K101" s="8"/>
      <c r="L101" s="8"/>
      <c r="M101" s="8"/>
      <c r="N101" s="8"/>
      <c r="O101" s="8"/>
      <c r="P101" s="8"/>
      <c r="Q101" s="8"/>
      <c r="R101" s="8"/>
      <c r="S101" s="8"/>
      <c r="T101" s="8"/>
      <c r="U101" s="8"/>
      <c r="V101" s="8"/>
      <c r="W101" s="8"/>
      <c r="X101" s="8"/>
      <c r="Y101" s="8"/>
      <c r="Z101" s="8"/>
      <c r="AA101" s="8"/>
    </row>
    <row r="102" spans="1:27" ht="19.75">
      <c r="A102" s="8"/>
      <c r="B102" s="7"/>
      <c r="C102" s="8"/>
      <c r="D102" s="8"/>
      <c r="E102" s="11"/>
      <c r="F102" s="8"/>
      <c r="G102" s="8"/>
      <c r="H102" s="8"/>
      <c r="I102" s="8"/>
      <c r="J102" s="8"/>
      <c r="K102" s="8"/>
      <c r="L102" s="8"/>
      <c r="M102" s="8"/>
      <c r="N102" s="8"/>
      <c r="O102" s="8"/>
      <c r="P102" s="8"/>
      <c r="Q102" s="8"/>
      <c r="R102" s="8"/>
      <c r="S102" s="8"/>
      <c r="T102" s="8"/>
      <c r="U102" s="8"/>
      <c r="V102" s="8"/>
      <c r="W102" s="8"/>
      <c r="X102" s="8"/>
      <c r="Y102" s="8"/>
      <c r="Z102" s="8"/>
      <c r="AA102" s="8"/>
    </row>
    <row r="103" spans="1:27" ht="19.75">
      <c r="A103" s="8"/>
      <c r="B103" s="7"/>
      <c r="C103" s="8"/>
      <c r="D103" s="8"/>
      <c r="E103" s="11"/>
      <c r="F103" s="8"/>
      <c r="G103" s="8"/>
      <c r="H103" s="8"/>
      <c r="I103" s="8"/>
      <c r="J103" s="8"/>
      <c r="K103" s="8"/>
      <c r="L103" s="8"/>
      <c r="M103" s="8"/>
      <c r="N103" s="8"/>
      <c r="O103" s="8"/>
      <c r="P103" s="8"/>
      <c r="Q103" s="8"/>
      <c r="R103" s="8"/>
      <c r="S103" s="8"/>
      <c r="T103" s="8"/>
      <c r="U103" s="8"/>
      <c r="V103" s="8"/>
      <c r="W103" s="8"/>
      <c r="X103" s="8"/>
      <c r="Y103" s="8"/>
      <c r="Z103" s="8"/>
      <c r="AA103" s="8"/>
    </row>
    <row r="104" spans="1:27" ht="19.75">
      <c r="A104" s="8"/>
      <c r="B104" s="7"/>
      <c r="C104" s="8"/>
      <c r="D104" s="8"/>
      <c r="E104" s="11"/>
      <c r="F104" s="8"/>
      <c r="G104" s="8"/>
      <c r="H104" s="8"/>
      <c r="I104" s="8"/>
      <c r="J104" s="8"/>
      <c r="K104" s="8"/>
      <c r="L104" s="8"/>
      <c r="M104" s="8"/>
      <c r="N104" s="8"/>
      <c r="O104" s="8"/>
      <c r="P104" s="8"/>
      <c r="Q104" s="8"/>
      <c r="R104" s="8"/>
      <c r="S104" s="8"/>
      <c r="T104" s="8"/>
      <c r="U104" s="8"/>
      <c r="V104" s="8"/>
      <c r="W104" s="8"/>
      <c r="X104" s="8"/>
      <c r="Y104" s="8"/>
      <c r="Z104" s="8"/>
      <c r="AA104" s="8"/>
    </row>
    <row r="105" spans="1:27" ht="19.75">
      <c r="A105" s="8"/>
      <c r="B105" s="7"/>
      <c r="C105" s="8"/>
      <c r="D105" s="8"/>
      <c r="E105" s="11"/>
      <c r="F105" s="8"/>
      <c r="G105" s="8"/>
      <c r="H105" s="8"/>
      <c r="I105" s="8"/>
      <c r="J105" s="8"/>
      <c r="K105" s="8"/>
      <c r="L105" s="8"/>
      <c r="M105" s="8"/>
      <c r="N105" s="8"/>
      <c r="O105" s="8"/>
      <c r="P105" s="8"/>
      <c r="Q105" s="8"/>
      <c r="R105" s="8"/>
      <c r="S105" s="8"/>
      <c r="T105" s="8"/>
      <c r="U105" s="8"/>
      <c r="V105" s="8"/>
      <c r="W105" s="8"/>
      <c r="X105" s="8"/>
      <c r="Y105" s="8"/>
      <c r="Z105" s="8"/>
      <c r="AA105" s="8"/>
    </row>
    <row r="106" spans="1:27" ht="19.75">
      <c r="A106" s="8"/>
      <c r="B106" s="7"/>
      <c r="C106" s="8"/>
      <c r="D106" s="8"/>
      <c r="E106" s="11"/>
      <c r="F106" s="8"/>
      <c r="G106" s="8"/>
      <c r="H106" s="8"/>
      <c r="I106" s="8"/>
      <c r="J106" s="8"/>
      <c r="K106" s="8"/>
      <c r="L106" s="8"/>
      <c r="M106" s="8"/>
      <c r="N106" s="8"/>
      <c r="O106" s="8"/>
      <c r="P106" s="8"/>
      <c r="Q106" s="8"/>
      <c r="R106" s="8"/>
      <c r="S106" s="8"/>
      <c r="T106" s="8"/>
      <c r="U106" s="8"/>
      <c r="V106" s="8"/>
      <c r="W106" s="8"/>
      <c r="X106" s="8"/>
      <c r="Y106" s="8"/>
      <c r="Z106" s="8"/>
      <c r="AA106" s="8"/>
    </row>
    <row r="107" spans="1:27" ht="19.75">
      <c r="A107" s="8"/>
      <c r="B107" s="7"/>
      <c r="C107" s="8"/>
      <c r="D107" s="8"/>
      <c r="E107" s="11"/>
      <c r="F107" s="8"/>
      <c r="G107" s="8"/>
      <c r="H107" s="8"/>
      <c r="I107" s="8"/>
      <c r="J107" s="8"/>
      <c r="K107" s="8"/>
      <c r="L107" s="8"/>
      <c r="M107" s="8"/>
      <c r="N107" s="8"/>
      <c r="O107" s="8"/>
      <c r="P107" s="8"/>
      <c r="Q107" s="8"/>
      <c r="R107" s="8"/>
      <c r="S107" s="8"/>
      <c r="T107" s="8"/>
      <c r="U107" s="8"/>
      <c r="V107" s="8"/>
      <c r="W107" s="8"/>
      <c r="X107" s="8"/>
      <c r="Y107" s="8"/>
      <c r="Z107" s="8"/>
      <c r="AA107" s="8"/>
    </row>
    <row r="108" spans="1:27" ht="19.75">
      <c r="A108" s="8"/>
      <c r="B108" s="7"/>
      <c r="C108" s="8"/>
      <c r="D108" s="8"/>
      <c r="E108" s="11"/>
      <c r="F108" s="8"/>
      <c r="G108" s="8"/>
      <c r="H108" s="8"/>
      <c r="I108" s="8"/>
      <c r="J108" s="8"/>
      <c r="K108" s="8"/>
      <c r="L108" s="8"/>
      <c r="M108" s="8"/>
      <c r="N108" s="8"/>
      <c r="O108" s="8"/>
      <c r="P108" s="8"/>
      <c r="Q108" s="8"/>
      <c r="R108" s="8"/>
      <c r="S108" s="8"/>
      <c r="T108" s="8"/>
      <c r="U108" s="8"/>
      <c r="V108" s="8"/>
      <c r="W108" s="8"/>
      <c r="X108" s="8"/>
      <c r="Y108" s="8"/>
      <c r="Z108" s="8"/>
      <c r="AA108" s="8"/>
    </row>
    <row r="109" spans="1:27" ht="19.75">
      <c r="A109" s="8"/>
      <c r="B109" s="7"/>
      <c r="C109" s="8"/>
      <c r="D109" s="8"/>
      <c r="E109" s="11"/>
      <c r="F109" s="8"/>
      <c r="G109" s="8"/>
      <c r="H109" s="8"/>
      <c r="I109" s="8"/>
      <c r="J109" s="8"/>
      <c r="K109" s="8"/>
      <c r="L109" s="8"/>
      <c r="M109" s="8"/>
      <c r="N109" s="8"/>
      <c r="O109" s="8"/>
      <c r="P109" s="8"/>
      <c r="Q109" s="8"/>
      <c r="R109" s="8"/>
      <c r="S109" s="8"/>
      <c r="T109" s="8"/>
      <c r="U109" s="8"/>
      <c r="V109" s="8"/>
      <c r="W109" s="8"/>
      <c r="X109" s="8"/>
      <c r="Y109" s="8"/>
      <c r="Z109" s="8"/>
      <c r="AA109" s="8"/>
    </row>
    <row r="110" spans="1:27" ht="19.75">
      <c r="A110" s="8"/>
      <c r="B110" s="7"/>
      <c r="C110" s="8"/>
      <c r="D110" s="8"/>
      <c r="E110" s="11"/>
      <c r="F110" s="8"/>
      <c r="G110" s="8"/>
      <c r="H110" s="8"/>
      <c r="I110" s="8"/>
      <c r="J110" s="8"/>
      <c r="K110" s="8"/>
      <c r="L110" s="8"/>
      <c r="M110" s="8"/>
      <c r="N110" s="8"/>
      <c r="O110" s="8"/>
      <c r="P110" s="8"/>
      <c r="Q110" s="8"/>
      <c r="R110" s="8"/>
      <c r="S110" s="8"/>
      <c r="T110" s="8"/>
      <c r="U110" s="8"/>
      <c r="V110" s="8"/>
      <c r="W110" s="8"/>
      <c r="X110" s="8"/>
      <c r="Y110" s="8"/>
      <c r="Z110" s="8"/>
      <c r="AA110" s="8"/>
    </row>
    <row r="111" spans="1:27" ht="19.75">
      <c r="A111" s="8"/>
      <c r="B111" s="7"/>
      <c r="C111" s="8"/>
      <c r="D111" s="8"/>
      <c r="E111" s="11"/>
      <c r="F111" s="8"/>
      <c r="G111" s="8"/>
      <c r="H111" s="8"/>
      <c r="I111" s="8"/>
      <c r="J111" s="8"/>
      <c r="K111" s="8"/>
      <c r="L111" s="8"/>
      <c r="M111" s="8"/>
      <c r="N111" s="8"/>
      <c r="O111" s="8"/>
      <c r="P111" s="8"/>
      <c r="Q111" s="8"/>
      <c r="R111" s="8"/>
      <c r="S111" s="8"/>
      <c r="T111" s="8"/>
      <c r="U111" s="8"/>
      <c r="V111" s="8"/>
      <c r="W111" s="8"/>
      <c r="X111" s="8"/>
      <c r="Y111" s="8"/>
      <c r="Z111" s="8"/>
      <c r="AA111" s="8"/>
    </row>
    <row r="112" spans="1:27" ht="19.75">
      <c r="A112" s="8"/>
      <c r="B112" s="7"/>
      <c r="C112" s="8"/>
      <c r="D112" s="8"/>
      <c r="E112" s="11"/>
      <c r="F112" s="8"/>
      <c r="G112" s="8"/>
      <c r="H112" s="8"/>
      <c r="I112" s="8"/>
      <c r="J112" s="8"/>
      <c r="K112" s="8"/>
      <c r="L112" s="8"/>
      <c r="M112" s="8"/>
      <c r="N112" s="8"/>
      <c r="O112" s="8"/>
      <c r="P112" s="8"/>
      <c r="Q112" s="8"/>
      <c r="R112" s="8"/>
      <c r="S112" s="8"/>
      <c r="T112" s="8"/>
      <c r="U112" s="8"/>
      <c r="V112" s="8"/>
      <c r="W112" s="8"/>
      <c r="X112" s="8"/>
      <c r="Y112" s="8"/>
      <c r="Z112" s="8"/>
      <c r="AA112" s="8"/>
    </row>
    <row r="113" spans="1:27" ht="19.75">
      <c r="A113" s="8"/>
      <c r="B113" s="7"/>
      <c r="C113" s="8"/>
      <c r="D113" s="8"/>
      <c r="E113" s="11"/>
      <c r="F113" s="8"/>
      <c r="G113" s="8"/>
      <c r="H113" s="8"/>
      <c r="I113" s="8"/>
      <c r="J113" s="8"/>
      <c r="K113" s="8"/>
      <c r="L113" s="8"/>
      <c r="M113" s="8"/>
      <c r="N113" s="8"/>
      <c r="O113" s="8"/>
      <c r="P113" s="8"/>
      <c r="Q113" s="8"/>
      <c r="R113" s="8"/>
      <c r="S113" s="8"/>
      <c r="T113" s="8"/>
      <c r="U113" s="8"/>
      <c r="V113" s="8"/>
      <c r="W113" s="8"/>
      <c r="X113" s="8"/>
      <c r="Y113" s="8"/>
      <c r="Z113" s="8"/>
      <c r="AA113" s="8"/>
    </row>
    <row r="114" spans="1:27" ht="19.75">
      <c r="A114" s="8"/>
      <c r="B114" s="7"/>
      <c r="C114" s="8"/>
      <c r="D114" s="8"/>
      <c r="E114" s="11"/>
      <c r="F114" s="8"/>
      <c r="G114" s="8"/>
      <c r="H114" s="8"/>
      <c r="I114" s="8"/>
      <c r="J114" s="8"/>
      <c r="K114" s="8"/>
      <c r="L114" s="8"/>
      <c r="M114" s="8"/>
      <c r="N114" s="8"/>
      <c r="O114" s="8"/>
      <c r="P114" s="8"/>
      <c r="Q114" s="8"/>
      <c r="R114" s="8"/>
      <c r="S114" s="8"/>
      <c r="T114" s="8"/>
      <c r="U114" s="8"/>
      <c r="V114" s="8"/>
      <c r="W114" s="8"/>
      <c r="X114" s="8"/>
      <c r="Y114" s="8"/>
      <c r="Z114" s="8"/>
      <c r="AA114" s="8"/>
    </row>
    <row r="115" spans="1:27" ht="19.75">
      <c r="A115" s="8"/>
      <c r="B115" s="7"/>
      <c r="C115" s="8"/>
      <c r="D115" s="8"/>
      <c r="E115" s="11"/>
      <c r="F115" s="8"/>
      <c r="G115" s="8"/>
      <c r="H115" s="8"/>
      <c r="I115" s="8"/>
      <c r="J115" s="8"/>
      <c r="K115" s="8"/>
      <c r="L115" s="8"/>
      <c r="M115" s="8"/>
      <c r="N115" s="8"/>
      <c r="O115" s="8"/>
      <c r="P115" s="8"/>
      <c r="Q115" s="8"/>
      <c r="R115" s="8"/>
      <c r="S115" s="8"/>
      <c r="T115" s="8"/>
      <c r="U115" s="8"/>
      <c r="V115" s="8"/>
      <c r="W115" s="8"/>
      <c r="X115" s="8"/>
      <c r="Y115" s="8"/>
      <c r="Z115" s="8"/>
      <c r="AA115" s="8"/>
    </row>
    <row r="116" spans="1:27" ht="19.75">
      <c r="A116" s="8"/>
      <c r="B116" s="7"/>
      <c r="C116" s="8"/>
      <c r="D116" s="8"/>
      <c r="E116" s="11"/>
      <c r="F116" s="8"/>
      <c r="G116" s="8"/>
      <c r="H116" s="8"/>
      <c r="I116" s="8"/>
      <c r="J116" s="8"/>
      <c r="K116" s="8"/>
      <c r="L116" s="8"/>
      <c r="M116" s="8"/>
      <c r="N116" s="8"/>
      <c r="O116" s="8"/>
      <c r="P116" s="8"/>
      <c r="Q116" s="8"/>
      <c r="R116" s="8"/>
      <c r="S116" s="8"/>
      <c r="T116" s="8"/>
      <c r="U116" s="8"/>
      <c r="V116" s="8"/>
      <c r="W116" s="8"/>
      <c r="X116" s="8"/>
      <c r="Y116" s="8"/>
      <c r="Z116" s="8"/>
      <c r="AA116" s="8"/>
    </row>
    <row r="117" spans="1:27" ht="19.75">
      <c r="A117" s="8"/>
      <c r="B117" s="7"/>
      <c r="C117" s="8"/>
      <c r="D117" s="8"/>
      <c r="E117" s="11"/>
      <c r="F117" s="8"/>
      <c r="G117" s="8"/>
      <c r="H117" s="8"/>
      <c r="I117" s="8"/>
      <c r="J117" s="8"/>
      <c r="K117" s="8"/>
      <c r="L117" s="8"/>
      <c r="M117" s="8"/>
      <c r="N117" s="8"/>
      <c r="O117" s="8"/>
      <c r="P117" s="8"/>
      <c r="Q117" s="8"/>
      <c r="R117" s="8"/>
      <c r="S117" s="8"/>
      <c r="T117" s="8"/>
      <c r="U117" s="8"/>
      <c r="V117" s="8"/>
      <c r="W117" s="8"/>
      <c r="X117" s="8"/>
      <c r="Y117" s="8"/>
      <c r="Z117" s="8"/>
      <c r="AA117" s="8"/>
    </row>
    <row r="118" spans="1:27" ht="19.75">
      <c r="A118" s="8"/>
      <c r="B118" s="7"/>
      <c r="C118" s="8"/>
      <c r="D118" s="8"/>
      <c r="E118" s="11"/>
      <c r="F118" s="8"/>
      <c r="G118" s="8"/>
      <c r="H118" s="8"/>
      <c r="I118" s="8"/>
      <c r="J118" s="8"/>
      <c r="K118" s="8"/>
      <c r="L118" s="8"/>
      <c r="M118" s="8"/>
      <c r="N118" s="8"/>
      <c r="O118" s="8"/>
      <c r="P118" s="8"/>
      <c r="Q118" s="8"/>
      <c r="R118" s="8"/>
      <c r="S118" s="8"/>
      <c r="T118" s="8"/>
      <c r="U118" s="8"/>
      <c r="V118" s="8"/>
      <c r="W118" s="8"/>
      <c r="X118" s="8"/>
      <c r="Y118" s="8"/>
      <c r="Z118" s="8"/>
      <c r="AA118" s="8"/>
    </row>
    <row r="119" spans="1:27" ht="19.75">
      <c r="A119" s="8"/>
      <c r="B119" s="7"/>
      <c r="C119" s="8"/>
      <c r="D119" s="8"/>
      <c r="E119" s="11"/>
      <c r="F119" s="8"/>
      <c r="G119" s="8"/>
      <c r="H119" s="8"/>
      <c r="I119" s="8"/>
      <c r="J119" s="8"/>
      <c r="K119" s="8"/>
      <c r="L119" s="8"/>
      <c r="M119" s="8"/>
      <c r="N119" s="8"/>
      <c r="O119" s="8"/>
      <c r="P119" s="8"/>
      <c r="Q119" s="8"/>
      <c r="R119" s="8"/>
      <c r="S119" s="8"/>
      <c r="T119" s="8"/>
      <c r="U119" s="8"/>
      <c r="V119" s="8"/>
      <c r="W119" s="8"/>
      <c r="X119" s="8"/>
      <c r="Y119" s="8"/>
      <c r="Z119" s="8"/>
      <c r="AA119" s="8"/>
    </row>
    <row r="120" spans="1:27" ht="19.75">
      <c r="A120" s="8"/>
      <c r="B120" s="7"/>
      <c r="C120" s="8"/>
      <c r="D120" s="8"/>
      <c r="E120" s="11"/>
      <c r="F120" s="8"/>
      <c r="G120" s="8"/>
      <c r="H120" s="8"/>
      <c r="I120" s="8"/>
      <c r="J120" s="8"/>
      <c r="K120" s="8"/>
      <c r="L120" s="8"/>
      <c r="M120" s="8"/>
      <c r="N120" s="8"/>
      <c r="O120" s="8"/>
      <c r="P120" s="8"/>
      <c r="Q120" s="8"/>
      <c r="R120" s="8"/>
      <c r="S120" s="8"/>
      <c r="T120" s="8"/>
      <c r="U120" s="8"/>
      <c r="V120" s="8"/>
      <c r="W120" s="8"/>
      <c r="X120" s="8"/>
      <c r="Y120" s="8"/>
      <c r="Z120" s="8"/>
      <c r="AA120" s="8"/>
    </row>
    <row r="121" spans="1:27" ht="19.75">
      <c r="A121" s="8"/>
      <c r="B121" s="7"/>
      <c r="C121" s="8"/>
      <c r="D121" s="8"/>
      <c r="E121" s="11"/>
      <c r="F121" s="8"/>
      <c r="G121" s="8"/>
      <c r="H121" s="8"/>
      <c r="I121" s="8"/>
      <c r="J121" s="8"/>
      <c r="K121" s="8"/>
      <c r="L121" s="8"/>
      <c r="M121" s="8"/>
      <c r="N121" s="8"/>
      <c r="O121" s="8"/>
      <c r="P121" s="8"/>
      <c r="Q121" s="8"/>
      <c r="R121" s="8"/>
      <c r="S121" s="8"/>
      <c r="T121" s="8"/>
      <c r="U121" s="8"/>
      <c r="V121" s="8"/>
      <c r="W121" s="8"/>
      <c r="X121" s="8"/>
      <c r="Y121" s="8"/>
      <c r="Z121" s="8"/>
      <c r="AA121" s="8"/>
    </row>
    <row r="122" spans="1:27" ht="19.75">
      <c r="A122" s="8"/>
      <c r="B122" s="7"/>
      <c r="C122" s="8"/>
      <c r="D122" s="8"/>
      <c r="E122" s="11"/>
      <c r="F122" s="8"/>
      <c r="G122" s="8"/>
      <c r="H122" s="8"/>
      <c r="I122" s="8"/>
      <c r="J122" s="8"/>
      <c r="K122" s="8"/>
      <c r="L122" s="8"/>
      <c r="M122" s="8"/>
      <c r="N122" s="8"/>
      <c r="O122" s="8"/>
      <c r="P122" s="8"/>
      <c r="Q122" s="8"/>
      <c r="R122" s="8"/>
      <c r="S122" s="8"/>
      <c r="T122" s="8"/>
      <c r="U122" s="8"/>
      <c r="V122" s="8"/>
      <c r="W122" s="8"/>
      <c r="X122" s="8"/>
      <c r="Y122" s="8"/>
      <c r="Z122" s="8"/>
      <c r="AA122" s="8"/>
    </row>
    <row r="123" spans="1:27" ht="19.75">
      <c r="A123" s="8"/>
      <c r="B123" s="7"/>
      <c r="C123" s="8"/>
      <c r="D123" s="8"/>
      <c r="E123" s="11"/>
      <c r="F123" s="8"/>
      <c r="G123" s="8"/>
      <c r="H123" s="8"/>
      <c r="I123" s="8"/>
      <c r="J123" s="8"/>
      <c r="K123" s="8"/>
      <c r="L123" s="8"/>
      <c r="M123" s="8"/>
      <c r="N123" s="8"/>
      <c r="O123" s="8"/>
      <c r="P123" s="8"/>
      <c r="Q123" s="8"/>
      <c r="R123" s="8"/>
      <c r="S123" s="8"/>
      <c r="T123" s="8"/>
      <c r="U123" s="8"/>
      <c r="V123" s="8"/>
      <c r="W123" s="8"/>
      <c r="X123" s="8"/>
      <c r="Y123" s="8"/>
      <c r="Z123" s="8"/>
      <c r="AA123" s="8"/>
    </row>
    <row r="124" spans="1:27" ht="19.75">
      <c r="A124" s="8"/>
      <c r="B124" s="7"/>
      <c r="C124" s="8"/>
      <c r="D124" s="8"/>
      <c r="E124" s="11"/>
      <c r="F124" s="8"/>
      <c r="G124" s="8"/>
      <c r="H124" s="8"/>
      <c r="I124" s="8"/>
      <c r="J124" s="8"/>
      <c r="K124" s="8"/>
      <c r="L124" s="8"/>
      <c r="M124" s="8"/>
      <c r="N124" s="8"/>
      <c r="O124" s="8"/>
      <c r="P124" s="8"/>
      <c r="Q124" s="8"/>
      <c r="R124" s="8"/>
      <c r="S124" s="8"/>
      <c r="T124" s="8"/>
      <c r="U124" s="8"/>
      <c r="V124" s="8"/>
      <c r="W124" s="8"/>
      <c r="X124" s="8"/>
      <c r="Y124" s="8"/>
      <c r="Z124" s="8"/>
      <c r="AA124" s="8"/>
    </row>
    <row r="125" spans="1:27" ht="19.75">
      <c r="A125" s="8"/>
      <c r="B125" s="7"/>
      <c r="C125" s="8"/>
      <c r="D125" s="8"/>
      <c r="E125" s="11"/>
      <c r="F125" s="8"/>
      <c r="G125" s="8"/>
      <c r="H125" s="8"/>
      <c r="I125" s="8"/>
      <c r="J125" s="8"/>
      <c r="K125" s="8"/>
      <c r="L125" s="8"/>
      <c r="M125" s="8"/>
      <c r="N125" s="8"/>
      <c r="O125" s="8"/>
      <c r="P125" s="8"/>
      <c r="Q125" s="8"/>
      <c r="R125" s="8"/>
      <c r="S125" s="8"/>
      <c r="T125" s="8"/>
      <c r="U125" s="8"/>
      <c r="V125" s="8"/>
      <c r="W125" s="8"/>
      <c r="X125" s="8"/>
      <c r="Y125" s="8"/>
      <c r="Z125" s="8"/>
      <c r="AA125" s="8"/>
    </row>
    <row r="126" spans="1:27" ht="19.75">
      <c r="A126" s="8"/>
      <c r="B126" s="7"/>
      <c r="C126" s="8"/>
      <c r="D126" s="8"/>
      <c r="E126" s="11"/>
      <c r="F126" s="8"/>
      <c r="G126" s="8"/>
      <c r="H126" s="8"/>
      <c r="I126" s="8"/>
      <c r="J126" s="8"/>
      <c r="K126" s="8"/>
      <c r="L126" s="8"/>
      <c r="M126" s="8"/>
      <c r="N126" s="8"/>
      <c r="O126" s="8"/>
      <c r="P126" s="8"/>
      <c r="Q126" s="8"/>
      <c r="R126" s="8"/>
      <c r="S126" s="8"/>
      <c r="T126" s="8"/>
      <c r="U126" s="8"/>
      <c r="V126" s="8"/>
      <c r="W126" s="8"/>
      <c r="X126" s="8"/>
      <c r="Y126" s="8"/>
      <c r="Z126" s="8"/>
      <c r="AA126" s="8"/>
    </row>
    <row r="127" spans="1:27" ht="19.75">
      <c r="A127" s="8"/>
      <c r="B127" s="7"/>
      <c r="C127" s="8"/>
      <c r="D127" s="8"/>
      <c r="E127" s="11"/>
      <c r="F127" s="8"/>
      <c r="G127" s="8"/>
      <c r="H127" s="8"/>
      <c r="I127" s="8"/>
      <c r="J127" s="8"/>
      <c r="K127" s="8"/>
      <c r="L127" s="8"/>
      <c r="M127" s="8"/>
      <c r="N127" s="8"/>
      <c r="O127" s="8"/>
      <c r="P127" s="8"/>
      <c r="Q127" s="8"/>
      <c r="R127" s="8"/>
      <c r="S127" s="8"/>
      <c r="T127" s="8"/>
      <c r="U127" s="8"/>
      <c r="V127" s="8"/>
      <c r="W127" s="8"/>
      <c r="X127" s="8"/>
      <c r="Y127" s="8"/>
      <c r="Z127" s="8"/>
      <c r="AA127" s="8"/>
    </row>
    <row r="128" spans="1:27" ht="19.75">
      <c r="A128" s="8"/>
      <c r="B128" s="7"/>
      <c r="C128" s="8"/>
      <c r="D128" s="8"/>
      <c r="E128" s="11"/>
      <c r="F128" s="8"/>
      <c r="G128" s="8"/>
      <c r="H128" s="8"/>
      <c r="I128" s="8"/>
      <c r="J128" s="8"/>
      <c r="K128" s="8"/>
      <c r="L128" s="8"/>
      <c r="M128" s="8"/>
      <c r="N128" s="8"/>
      <c r="O128" s="8"/>
      <c r="P128" s="8"/>
      <c r="Q128" s="8"/>
      <c r="R128" s="8"/>
      <c r="S128" s="8"/>
      <c r="T128" s="8"/>
      <c r="U128" s="8"/>
      <c r="V128" s="8"/>
      <c r="W128" s="8"/>
      <c r="X128" s="8"/>
      <c r="Y128" s="8"/>
      <c r="Z128" s="8"/>
      <c r="AA128" s="8"/>
    </row>
    <row r="129" spans="1:27" ht="19.75">
      <c r="A129" s="8"/>
      <c r="B129" s="7"/>
      <c r="C129" s="8"/>
      <c r="D129" s="8"/>
      <c r="E129" s="11"/>
      <c r="F129" s="8"/>
      <c r="G129" s="8"/>
      <c r="H129" s="8"/>
      <c r="I129" s="8"/>
      <c r="J129" s="8"/>
      <c r="K129" s="8"/>
      <c r="L129" s="8"/>
      <c r="M129" s="8"/>
      <c r="N129" s="8"/>
      <c r="O129" s="8"/>
      <c r="P129" s="8"/>
      <c r="Q129" s="8"/>
      <c r="R129" s="8"/>
      <c r="S129" s="8"/>
      <c r="T129" s="8"/>
      <c r="U129" s="8"/>
      <c r="V129" s="8"/>
      <c r="W129" s="8"/>
      <c r="X129" s="8"/>
      <c r="Y129" s="8"/>
      <c r="Z129" s="8"/>
      <c r="AA129" s="8"/>
    </row>
    <row r="130" spans="1:27" ht="19.75">
      <c r="A130" s="8"/>
      <c r="B130" s="7"/>
      <c r="C130" s="8"/>
      <c r="D130" s="8"/>
      <c r="E130" s="11"/>
      <c r="F130" s="8"/>
      <c r="G130" s="8"/>
      <c r="H130" s="8"/>
      <c r="I130" s="8"/>
      <c r="J130" s="8"/>
      <c r="K130" s="8"/>
      <c r="L130" s="8"/>
      <c r="M130" s="8"/>
      <c r="N130" s="8"/>
      <c r="O130" s="8"/>
      <c r="P130" s="8"/>
      <c r="Q130" s="8"/>
      <c r="R130" s="8"/>
      <c r="S130" s="8"/>
      <c r="T130" s="8"/>
      <c r="U130" s="8"/>
      <c r="V130" s="8"/>
      <c r="W130" s="8"/>
      <c r="X130" s="8"/>
      <c r="Y130" s="8"/>
      <c r="Z130" s="8"/>
      <c r="AA130" s="8"/>
    </row>
    <row r="131" spans="1:27" ht="19.75">
      <c r="A131" s="8"/>
      <c r="B131" s="7"/>
      <c r="C131" s="8"/>
      <c r="D131" s="8"/>
      <c r="E131" s="11"/>
      <c r="F131" s="8"/>
      <c r="G131" s="8"/>
      <c r="H131" s="8"/>
      <c r="I131" s="8"/>
      <c r="J131" s="8"/>
      <c r="K131" s="8"/>
      <c r="L131" s="8"/>
      <c r="M131" s="8"/>
      <c r="N131" s="8"/>
      <c r="O131" s="8"/>
      <c r="P131" s="8"/>
      <c r="Q131" s="8"/>
      <c r="R131" s="8"/>
      <c r="S131" s="8"/>
      <c r="T131" s="8"/>
      <c r="U131" s="8"/>
      <c r="V131" s="8"/>
      <c r="W131" s="8"/>
      <c r="X131" s="8"/>
      <c r="Y131" s="8"/>
      <c r="Z131" s="8"/>
      <c r="AA131" s="8"/>
    </row>
    <row r="132" spans="1:27" ht="19.75">
      <c r="A132" s="8"/>
      <c r="B132" s="7"/>
      <c r="C132" s="8"/>
      <c r="D132" s="8"/>
      <c r="E132" s="11"/>
      <c r="F132" s="8"/>
      <c r="G132" s="8"/>
      <c r="H132" s="8"/>
      <c r="I132" s="8"/>
      <c r="J132" s="8"/>
      <c r="K132" s="8"/>
      <c r="L132" s="8"/>
      <c r="M132" s="8"/>
      <c r="N132" s="8"/>
      <c r="O132" s="8"/>
      <c r="P132" s="8"/>
      <c r="Q132" s="8"/>
      <c r="R132" s="8"/>
      <c r="S132" s="8"/>
      <c r="T132" s="8"/>
      <c r="U132" s="8"/>
      <c r="V132" s="8"/>
      <c r="W132" s="8"/>
      <c r="X132" s="8"/>
      <c r="Y132" s="8"/>
      <c r="Z132" s="8"/>
      <c r="AA132" s="8"/>
    </row>
    <row r="133" spans="1:27" ht="19.75">
      <c r="A133" s="8"/>
      <c r="B133" s="7"/>
      <c r="C133" s="8"/>
      <c r="D133" s="8"/>
      <c r="E133" s="11"/>
      <c r="F133" s="8"/>
      <c r="G133" s="8"/>
      <c r="H133" s="8"/>
      <c r="I133" s="8"/>
      <c r="J133" s="8"/>
      <c r="K133" s="8"/>
      <c r="L133" s="8"/>
      <c r="M133" s="8"/>
      <c r="N133" s="8"/>
      <c r="O133" s="8"/>
      <c r="P133" s="8"/>
      <c r="Q133" s="8"/>
      <c r="R133" s="8"/>
      <c r="S133" s="8"/>
      <c r="T133" s="8"/>
      <c r="U133" s="8"/>
      <c r="V133" s="8"/>
      <c r="W133" s="8"/>
      <c r="X133" s="8"/>
      <c r="Y133" s="8"/>
      <c r="Z133" s="8"/>
      <c r="AA133" s="8"/>
    </row>
    <row r="134" spans="1:27" ht="19.75">
      <c r="A134" s="8"/>
      <c r="B134" s="7"/>
      <c r="C134" s="8"/>
      <c r="D134" s="8"/>
      <c r="E134" s="11"/>
      <c r="F134" s="8"/>
      <c r="G134" s="8"/>
      <c r="H134" s="8"/>
      <c r="I134" s="8"/>
      <c r="J134" s="8"/>
      <c r="K134" s="8"/>
      <c r="L134" s="8"/>
      <c r="M134" s="8"/>
      <c r="N134" s="8"/>
      <c r="O134" s="8"/>
      <c r="P134" s="8"/>
      <c r="Q134" s="8"/>
      <c r="R134" s="8"/>
      <c r="S134" s="8"/>
      <c r="T134" s="8"/>
      <c r="U134" s="8"/>
      <c r="V134" s="8"/>
      <c r="W134" s="8"/>
      <c r="X134" s="8"/>
      <c r="Y134" s="8"/>
      <c r="Z134" s="8"/>
      <c r="AA134" s="8"/>
    </row>
    <row r="135" spans="1:27" ht="19.75">
      <c r="A135" s="8"/>
      <c r="B135" s="7"/>
      <c r="C135" s="8"/>
      <c r="D135" s="8"/>
      <c r="E135" s="11"/>
      <c r="F135" s="8"/>
      <c r="G135" s="8"/>
      <c r="H135" s="8"/>
      <c r="I135" s="8"/>
      <c r="J135" s="8"/>
      <c r="K135" s="8"/>
      <c r="L135" s="8"/>
      <c r="M135" s="8"/>
      <c r="N135" s="8"/>
      <c r="O135" s="8"/>
      <c r="P135" s="8"/>
      <c r="Q135" s="8"/>
      <c r="R135" s="8"/>
      <c r="S135" s="8"/>
      <c r="T135" s="8"/>
      <c r="U135" s="8"/>
      <c r="V135" s="8"/>
      <c r="W135" s="8"/>
      <c r="X135" s="8"/>
      <c r="Y135" s="8"/>
      <c r="Z135" s="8"/>
      <c r="AA135" s="8"/>
    </row>
    <row r="136" spans="1:27" ht="19.75">
      <c r="A136" s="8"/>
      <c r="B136" s="7"/>
      <c r="C136" s="8"/>
      <c r="D136" s="8"/>
      <c r="E136" s="11"/>
      <c r="F136" s="8"/>
      <c r="G136" s="8"/>
      <c r="H136" s="8"/>
      <c r="I136" s="8"/>
      <c r="J136" s="8"/>
      <c r="K136" s="8"/>
      <c r="L136" s="8"/>
      <c r="M136" s="8"/>
      <c r="N136" s="8"/>
      <c r="O136" s="8"/>
      <c r="P136" s="8"/>
      <c r="Q136" s="8"/>
      <c r="R136" s="8"/>
      <c r="S136" s="8"/>
      <c r="T136" s="8"/>
      <c r="U136" s="8"/>
      <c r="V136" s="8"/>
      <c r="W136" s="8"/>
      <c r="X136" s="8"/>
      <c r="Y136" s="8"/>
      <c r="Z136" s="8"/>
      <c r="AA136" s="8"/>
    </row>
    <row r="137" spans="1:27" ht="19.75">
      <c r="A137" s="8"/>
      <c r="B137" s="7"/>
      <c r="C137" s="8"/>
      <c r="D137" s="8"/>
      <c r="E137" s="11"/>
      <c r="F137" s="8"/>
      <c r="G137" s="8"/>
      <c r="H137" s="8"/>
      <c r="I137" s="8"/>
      <c r="J137" s="8"/>
      <c r="K137" s="8"/>
      <c r="L137" s="8"/>
      <c r="M137" s="8"/>
      <c r="N137" s="8"/>
      <c r="O137" s="8"/>
      <c r="P137" s="8"/>
      <c r="Q137" s="8"/>
      <c r="R137" s="8"/>
      <c r="S137" s="8"/>
      <c r="T137" s="8"/>
      <c r="U137" s="8"/>
      <c r="V137" s="8"/>
      <c r="W137" s="8"/>
      <c r="X137" s="8"/>
      <c r="Y137" s="8"/>
      <c r="Z137" s="8"/>
      <c r="AA137" s="8"/>
    </row>
    <row r="138" spans="1:27" ht="19.75">
      <c r="A138" s="8"/>
      <c r="B138" s="7"/>
      <c r="C138" s="8"/>
      <c r="D138" s="8"/>
      <c r="E138" s="11"/>
      <c r="F138" s="8"/>
      <c r="G138" s="8"/>
      <c r="H138" s="8"/>
      <c r="I138" s="8"/>
      <c r="J138" s="8"/>
      <c r="K138" s="8"/>
      <c r="L138" s="8"/>
      <c r="M138" s="8"/>
      <c r="N138" s="8"/>
      <c r="O138" s="8"/>
      <c r="P138" s="8"/>
      <c r="Q138" s="8"/>
      <c r="R138" s="8"/>
      <c r="S138" s="8"/>
      <c r="T138" s="8"/>
      <c r="U138" s="8"/>
      <c r="V138" s="8"/>
      <c r="W138" s="8"/>
      <c r="X138" s="8"/>
      <c r="Y138" s="8"/>
      <c r="Z138" s="8"/>
      <c r="AA138" s="8"/>
    </row>
    <row r="139" spans="1:27" ht="19.75">
      <c r="A139" s="8"/>
      <c r="B139" s="7"/>
      <c r="C139" s="8"/>
      <c r="D139" s="8"/>
      <c r="E139" s="11"/>
      <c r="F139" s="8"/>
      <c r="G139" s="8"/>
      <c r="H139" s="8"/>
      <c r="I139" s="8"/>
      <c r="J139" s="8"/>
      <c r="K139" s="8"/>
      <c r="L139" s="8"/>
      <c r="M139" s="8"/>
      <c r="N139" s="8"/>
      <c r="O139" s="8"/>
      <c r="P139" s="8"/>
      <c r="Q139" s="8"/>
      <c r="R139" s="8"/>
      <c r="S139" s="8"/>
      <c r="T139" s="8"/>
      <c r="U139" s="8"/>
      <c r="V139" s="8"/>
      <c r="W139" s="8"/>
      <c r="X139" s="8"/>
      <c r="Y139" s="8"/>
      <c r="Z139" s="8"/>
      <c r="AA139" s="8"/>
    </row>
    <row r="140" spans="1:27" ht="19.75">
      <c r="A140" s="8"/>
      <c r="B140" s="7"/>
      <c r="C140" s="8"/>
      <c r="D140" s="8"/>
      <c r="E140" s="11"/>
      <c r="F140" s="8"/>
      <c r="G140" s="8"/>
      <c r="H140" s="8"/>
      <c r="I140" s="8"/>
      <c r="J140" s="8"/>
      <c r="K140" s="8"/>
      <c r="L140" s="8"/>
      <c r="M140" s="8"/>
      <c r="N140" s="8"/>
      <c r="O140" s="8"/>
      <c r="P140" s="8"/>
      <c r="Q140" s="8"/>
      <c r="R140" s="8"/>
      <c r="S140" s="8"/>
      <c r="T140" s="8"/>
      <c r="U140" s="8"/>
      <c r="V140" s="8"/>
      <c r="W140" s="8"/>
      <c r="X140" s="8"/>
      <c r="Y140" s="8"/>
      <c r="Z140" s="8"/>
      <c r="AA140" s="8"/>
    </row>
    <row r="141" spans="1:27" ht="19.75">
      <c r="A141" s="8"/>
      <c r="B141" s="7"/>
      <c r="C141" s="8"/>
      <c r="D141" s="8"/>
      <c r="E141" s="11"/>
      <c r="F141" s="8"/>
      <c r="G141" s="8"/>
      <c r="H141" s="8"/>
      <c r="I141" s="8"/>
      <c r="J141" s="8"/>
      <c r="K141" s="8"/>
      <c r="L141" s="8"/>
      <c r="M141" s="8"/>
      <c r="N141" s="8"/>
      <c r="O141" s="8"/>
      <c r="P141" s="8"/>
      <c r="Q141" s="8"/>
      <c r="R141" s="8"/>
      <c r="S141" s="8"/>
      <c r="T141" s="8"/>
      <c r="U141" s="8"/>
      <c r="V141" s="8"/>
      <c r="W141" s="8"/>
      <c r="X141" s="8"/>
      <c r="Y141" s="8"/>
      <c r="Z141" s="8"/>
      <c r="AA141" s="8"/>
    </row>
    <row r="142" spans="1:27" ht="19.75">
      <c r="A142" s="8"/>
      <c r="B142" s="7"/>
      <c r="C142" s="8"/>
      <c r="D142" s="8"/>
      <c r="E142" s="11"/>
      <c r="F142" s="8"/>
      <c r="G142" s="8"/>
      <c r="H142" s="8"/>
      <c r="I142" s="8"/>
      <c r="J142" s="8"/>
      <c r="K142" s="8"/>
      <c r="L142" s="8"/>
      <c r="M142" s="8"/>
      <c r="N142" s="8"/>
      <c r="O142" s="8"/>
      <c r="P142" s="8"/>
      <c r="Q142" s="8"/>
      <c r="R142" s="8"/>
      <c r="S142" s="8"/>
      <c r="T142" s="8"/>
      <c r="U142" s="8"/>
      <c r="V142" s="8"/>
      <c r="W142" s="8"/>
      <c r="X142" s="8"/>
      <c r="Y142" s="8"/>
      <c r="Z142" s="8"/>
      <c r="AA142" s="8"/>
    </row>
    <row r="143" spans="1:27" ht="19.75">
      <c r="A143" s="8"/>
      <c r="B143" s="7"/>
      <c r="C143" s="8"/>
      <c r="D143" s="8"/>
      <c r="E143" s="11"/>
      <c r="F143" s="8"/>
      <c r="G143" s="8"/>
      <c r="H143" s="8"/>
      <c r="I143" s="8"/>
      <c r="J143" s="8"/>
      <c r="K143" s="8"/>
      <c r="L143" s="8"/>
      <c r="M143" s="8"/>
      <c r="N143" s="8"/>
      <c r="O143" s="8"/>
      <c r="P143" s="8"/>
      <c r="Q143" s="8"/>
      <c r="R143" s="8"/>
      <c r="S143" s="8"/>
      <c r="T143" s="8"/>
      <c r="U143" s="8"/>
      <c r="V143" s="8"/>
      <c r="W143" s="8"/>
      <c r="X143" s="8"/>
      <c r="Y143" s="8"/>
      <c r="Z143" s="8"/>
      <c r="AA143" s="8"/>
    </row>
    <row r="144" spans="1:27" ht="19.75">
      <c r="A144" s="8"/>
      <c r="B144" s="7"/>
      <c r="C144" s="8"/>
      <c r="D144" s="8"/>
      <c r="E144" s="11"/>
      <c r="F144" s="8"/>
      <c r="G144" s="8"/>
      <c r="H144" s="8"/>
      <c r="I144" s="8"/>
      <c r="J144" s="8"/>
      <c r="K144" s="8"/>
      <c r="L144" s="8"/>
      <c r="M144" s="8"/>
      <c r="N144" s="8"/>
      <c r="O144" s="8"/>
      <c r="P144" s="8"/>
      <c r="Q144" s="8"/>
      <c r="R144" s="8"/>
      <c r="S144" s="8"/>
      <c r="T144" s="8"/>
      <c r="U144" s="8"/>
      <c r="V144" s="8"/>
      <c r="W144" s="8"/>
      <c r="X144" s="8"/>
      <c r="Y144" s="8"/>
      <c r="Z144" s="8"/>
      <c r="AA144" s="8"/>
    </row>
    <row r="145" spans="1:27" ht="19.75">
      <c r="A145" s="8"/>
      <c r="B145" s="7"/>
      <c r="C145" s="8"/>
      <c r="D145" s="8"/>
      <c r="E145" s="11"/>
      <c r="F145" s="8"/>
      <c r="G145" s="8"/>
      <c r="H145" s="8"/>
      <c r="I145" s="8"/>
      <c r="J145" s="8"/>
      <c r="K145" s="8"/>
      <c r="L145" s="8"/>
      <c r="M145" s="8"/>
      <c r="N145" s="8"/>
      <c r="O145" s="8"/>
      <c r="P145" s="8"/>
      <c r="Q145" s="8"/>
      <c r="R145" s="8"/>
      <c r="S145" s="8"/>
      <c r="T145" s="8"/>
      <c r="U145" s="8"/>
      <c r="V145" s="8"/>
      <c r="W145" s="8"/>
      <c r="X145" s="8"/>
      <c r="Y145" s="8"/>
      <c r="Z145" s="8"/>
      <c r="AA145" s="8"/>
    </row>
    <row r="146" spans="1:27" ht="19.75">
      <c r="A146" s="8"/>
      <c r="B146" s="7"/>
      <c r="C146" s="8"/>
      <c r="D146" s="8"/>
      <c r="E146" s="11"/>
      <c r="F146" s="8"/>
      <c r="G146" s="8"/>
      <c r="H146" s="8"/>
      <c r="I146" s="8"/>
      <c r="J146" s="8"/>
      <c r="K146" s="8"/>
      <c r="L146" s="8"/>
      <c r="M146" s="8"/>
      <c r="N146" s="8"/>
      <c r="O146" s="8"/>
      <c r="P146" s="8"/>
      <c r="Q146" s="8"/>
      <c r="R146" s="8"/>
      <c r="S146" s="8"/>
      <c r="T146" s="8"/>
      <c r="U146" s="8"/>
      <c r="V146" s="8"/>
      <c r="W146" s="8"/>
      <c r="X146" s="8"/>
      <c r="Y146" s="8"/>
      <c r="Z146" s="8"/>
      <c r="AA146" s="8"/>
    </row>
    <row r="147" spans="1:27" ht="19.75">
      <c r="A147" s="8"/>
      <c r="B147" s="7"/>
      <c r="C147" s="8"/>
      <c r="D147" s="8"/>
      <c r="E147" s="11"/>
      <c r="F147" s="8"/>
      <c r="G147" s="8"/>
      <c r="H147" s="8"/>
      <c r="I147" s="8"/>
      <c r="J147" s="8"/>
      <c r="K147" s="8"/>
      <c r="L147" s="8"/>
      <c r="M147" s="8"/>
      <c r="N147" s="8"/>
      <c r="O147" s="8"/>
      <c r="P147" s="8"/>
      <c r="Q147" s="8"/>
      <c r="R147" s="8"/>
      <c r="S147" s="8"/>
      <c r="T147" s="8"/>
      <c r="U147" s="8"/>
      <c r="V147" s="8"/>
      <c r="W147" s="8"/>
      <c r="X147" s="8"/>
      <c r="Y147" s="8"/>
      <c r="Z147" s="8"/>
      <c r="AA147" s="8"/>
    </row>
    <row r="148" spans="1:27" ht="19.75">
      <c r="A148" s="8"/>
      <c r="B148" s="7"/>
      <c r="C148" s="8"/>
      <c r="D148" s="8"/>
      <c r="E148" s="11"/>
      <c r="F148" s="8"/>
      <c r="G148" s="8"/>
      <c r="H148" s="8"/>
      <c r="I148" s="8"/>
      <c r="J148" s="8"/>
      <c r="K148" s="8"/>
      <c r="L148" s="8"/>
      <c r="M148" s="8"/>
      <c r="N148" s="8"/>
      <c r="O148" s="8"/>
      <c r="P148" s="8"/>
      <c r="Q148" s="8"/>
      <c r="R148" s="8"/>
      <c r="S148" s="8"/>
      <c r="T148" s="8"/>
      <c r="U148" s="8"/>
      <c r="V148" s="8"/>
      <c r="W148" s="8"/>
      <c r="X148" s="8"/>
      <c r="Y148" s="8"/>
      <c r="Z148" s="8"/>
      <c r="AA148" s="8"/>
    </row>
    <row r="149" spans="1:27" ht="19.75">
      <c r="A149" s="8"/>
      <c r="B149" s="7"/>
      <c r="C149" s="8"/>
      <c r="D149" s="8"/>
      <c r="E149" s="11"/>
      <c r="F149" s="8"/>
      <c r="G149" s="8"/>
      <c r="H149" s="8"/>
      <c r="I149" s="8"/>
      <c r="J149" s="8"/>
      <c r="K149" s="8"/>
      <c r="L149" s="8"/>
      <c r="M149" s="8"/>
      <c r="N149" s="8"/>
      <c r="O149" s="8"/>
      <c r="P149" s="8"/>
      <c r="Q149" s="8"/>
      <c r="R149" s="8"/>
      <c r="S149" s="8"/>
      <c r="T149" s="8"/>
      <c r="U149" s="8"/>
      <c r="V149" s="8"/>
      <c r="W149" s="8"/>
      <c r="X149" s="8"/>
      <c r="Y149" s="8"/>
      <c r="Z149" s="8"/>
      <c r="AA149" s="8"/>
    </row>
    <row r="150" spans="1:27" ht="19.75">
      <c r="A150" s="8"/>
      <c r="B150" s="7"/>
      <c r="C150" s="8"/>
      <c r="D150" s="8"/>
      <c r="E150" s="11"/>
      <c r="F150" s="8"/>
      <c r="G150" s="8"/>
      <c r="H150" s="8"/>
      <c r="I150" s="8"/>
      <c r="J150" s="8"/>
      <c r="K150" s="8"/>
      <c r="L150" s="8"/>
      <c r="M150" s="8"/>
      <c r="N150" s="8"/>
      <c r="O150" s="8"/>
      <c r="P150" s="8"/>
      <c r="Q150" s="8"/>
      <c r="R150" s="8"/>
      <c r="S150" s="8"/>
      <c r="T150" s="8"/>
      <c r="U150" s="8"/>
      <c r="V150" s="8"/>
      <c r="W150" s="8"/>
      <c r="X150" s="8"/>
      <c r="Y150" s="8"/>
      <c r="Z150" s="8"/>
      <c r="AA150" s="8"/>
    </row>
    <row r="151" spans="1:27" ht="19.75">
      <c r="A151" s="8"/>
      <c r="B151" s="7"/>
      <c r="C151" s="8"/>
      <c r="D151" s="8"/>
      <c r="E151" s="11"/>
      <c r="F151" s="8"/>
      <c r="G151" s="8"/>
      <c r="H151" s="8"/>
      <c r="I151" s="8"/>
      <c r="J151" s="8"/>
      <c r="K151" s="8"/>
      <c r="L151" s="8"/>
      <c r="M151" s="8"/>
      <c r="N151" s="8"/>
      <c r="O151" s="8"/>
      <c r="P151" s="8"/>
      <c r="Q151" s="8"/>
      <c r="R151" s="8"/>
      <c r="S151" s="8"/>
      <c r="T151" s="8"/>
      <c r="U151" s="8"/>
      <c r="V151" s="8"/>
      <c r="W151" s="8"/>
      <c r="X151" s="8"/>
      <c r="Y151" s="8"/>
      <c r="Z151" s="8"/>
      <c r="AA151" s="8"/>
    </row>
    <row r="152" spans="1:27" ht="19.75">
      <c r="A152" s="8"/>
      <c r="B152" s="7"/>
      <c r="C152" s="8"/>
      <c r="D152" s="8"/>
      <c r="E152" s="11"/>
      <c r="F152" s="8"/>
      <c r="G152" s="8"/>
      <c r="H152" s="8"/>
      <c r="I152" s="8"/>
      <c r="J152" s="8"/>
      <c r="K152" s="8"/>
      <c r="L152" s="8"/>
      <c r="M152" s="8"/>
      <c r="N152" s="8"/>
      <c r="O152" s="8"/>
      <c r="P152" s="8"/>
      <c r="Q152" s="8"/>
      <c r="R152" s="8"/>
      <c r="S152" s="8"/>
      <c r="T152" s="8"/>
      <c r="U152" s="8"/>
      <c r="V152" s="8"/>
      <c r="W152" s="8"/>
      <c r="X152" s="8"/>
      <c r="Y152" s="8"/>
      <c r="Z152" s="8"/>
      <c r="AA152" s="8"/>
    </row>
    <row r="153" spans="1:27" ht="19.75">
      <c r="A153" s="8"/>
      <c r="B153" s="7"/>
      <c r="C153" s="8"/>
      <c r="D153" s="8"/>
      <c r="E153" s="11"/>
      <c r="F153" s="8"/>
      <c r="G153" s="8"/>
      <c r="H153" s="8"/>
      <c r="I153" s="8"/>
      <c r="J153" s="8"/>
      <c r="K153" s="8"/>
      <c r="L153" s="8"/>
      <c r="M153" s="8"/>
      <c r="N153" s="8"/>
      <c r="O153" s="8"/>
      <c r="P153" s="8"/>
      <c r="Q153" s="8"/>
      <c r="R153" s="8"/>
      <c r="S153" s="8"/>
      <c r="T153" s="8"/>
      <c r="U153" s="8"/>
      <c r="V153" s="8"/>
      <c r="W153" s="8"/>
      <c r="X153" s="8"/>
      <c r="Y153" s="8"/>
      <c r="Z153" s="8"/>
      <c r="AA153" s="8"/>
    </row>
    <row r="154" spans="1:27" ht="19.75">
      <c r="A154" s="8"/>
      <c r="B154" s="7"/>
      <c r="C154" s="8"/>
      <c r="D154" s="8"/>
      <c r="E154" s="11"/>
      <c r="F154" s="8"/>
      <c r="G154" s="8"/>
      <c r="H154" s="8"/>
      <c r="I154" s="8"/>
      <c r="J154" s="8"/>
      <c r="K154" s="8"/>
      <c r="L154" s="8"/>
      <c r="M154" s="8"/>
      <c r="N154" s="8"/>
      <c r="O154" s="8"/>
      <c r="P154" s="8"/>
      <c r="Q154" s="8"/>
      <c r="R154" s="8"/>
      <c r="S154" s="8"/>
      <c r="T154" s="8"/>
      <c r="U154" s="8"/>
      <c r="V154" s="8"/>
      <c r="W154" s="8"/>
      <c r="X154" s="8"/>
      <c r="Y154" s="8"/>
      <c r="Z154" s="8"/>
      <c r="AA154" s="8"/>
    </row>
    <row r="155" spans="1:27" ht="19.75">
      <c r="A155" s="8"/>
      <c r="B155" s="7"/>
      <c r="C155" s="8"/>
      <c r="D155" s="8"/>
      <c r="E155" s="11"/>
      <c r="F155" s="8"/>
      <c r="G155" s="8"/>
      <c r="H155" s="8"/>
      <c r="I155" s="8"/>
      <c r="J155" s="8"/>
      <c r="K155" s="8"/>
      <c r="L155" s="8"/>
      <c r="M155" s="8"/>
      <c r="N155" s="8"/>
      <c r="O155" s="8"/>
      <c r="P155" s="8"/>
      <c r="Q155" s="8"/>
      <c r="R155" s="8"/>
      <c r="S155" s="8"/>
      <c r="T155" s="8"/>
      <c r="U155" s="8"/>
      <c r="V155" s="8"/>
      <c r="W155" s="8"/>
      <c r="X155" s="8"/>
      <c r="Y155" s="8"/>
      <c r="Z155" s="8"/>
      <c r="AA155" s="8"/>
    </row>
    <row r="156" spans="1:27" ht="19.75">
      <c r="A156" s="8"/>
      <c r="B156" s="7"/>
      <c r="C156" s="8"/>
      <c r="D156" s="8"/>
      <c r="E156" s="11"/>
      <c r="F156" s="8"/>
      <c r="G156" s="8"/>
      <c r="H156" s="8"/>
      <c r="I156" s="8"/>
      <c r="J156" s="8"/>
      <c r="K156" s="8"/>
      <c r="L156" s="8"/>
      <c r="M156" s="8"/>
      <c r="N156" s="8"/>
      <c r="O156" s="8"/>
      <c r="P156" s="8"/>
      <c r="Q156" s="8"/>
      <c r="R156" s="8"/>
      <c r="S156" s="8"/>
      <c r="T156" s="8"/>
      <c r="U156" s="8"/>
      <c r="V156" s="8"/>
      <c r="W156" s="8"/>
      <c r="X156" s="8"/>
      <c r="Y156" s="8"/>
      <c r="Z156" s="8"/>
      <c r="AA156" s="8"/>
    </row>
    <row r="157" spans="1:27" ht="19.75">
      <c r="A157" s="8"/>
      <c r="B157" s="7"/>
      <c r="C157" s="8"/>
      <c r="D157" s="8"/>
      <c r="E157" s="11"/>
      <c r="F157" s="8"/>
      <c r="G157" s="8"/>
      <c r="H157" s="8"/>
      <c r="I157" s="8"/>
      <c r="J157" s="8"/>
      <c r="K157" s="8"/>
      <c r="L157" s="8"/>
      <c r="M157" s="8"/>
      <c r="N157" s="8"/>
      <c r="O157" s="8"/>
      <c r="P157" s="8"/>
      <c r="Q157" s="8"/>
      <c r="R157" s="8"/>
      <c r="S157" s="8"/>
      <c r="T157" s="8"/>
      <c r="U157" s="8"/>
      <c r="V157" s="8"/>
      <c r="W157" s="8"/>
      <c r="X157" s="8"/>
      <c r="Y157" s="8"/>
      <c r="Z157" s="8"/>
      <c r="AA157" s="8"/>
    </row>
    <row r="158" spans="1:27" ht="19.75">
      <c r="A158" s="8"/>
      <c r="B158" s="7"/>
      <c r="C158" s="8"/>
      <c r="D158" s="8"/>
      <c r="E158" s="11"/>
      <c r="F158" s="8"/>
      <c r="G158" s="8"/>
      <c r="H158" s="8"/>
      <c r="I158" s="8"/>
      <c r="J158" s="8"/>
      <c r="K158" s="8"/>
      <c r="L158" s="8"/>
      <c r="M158" s="8"/>
      <c r="N158" s="8"/>
      <c r="O158" s="8"/>
      <c r="P158" s="8"/>
      <c r="Q158" s="8"/>
      <c r="R158" s="8"/>
      <c r="S158" s="8"/>
      <c r="T158" s="8"/>
      <c r="U158" s="8"/>
      <c r="V158" s="8"/>
      <c r="W158" s="8"/>
      <c r="X158" s="8"/>
      <c r="Y158" s="8"/>
      <c r="Z158" s="8"/>
      <c r="AA158" s="8"/>
    </row>
    <row r="159" spans="1:27" ht="19.75">
      <c r="A159" s="8"/>
      <c r="B159" s="7"/>
      <c r="C159" s="8"/>
      <c r="D159" s="8"/>
      <c r="E159" s="11"/>
      <c r="F159" s="8"/>
      <c r="G159" s="8"/>
      <c r="H159" s="8"/>
      <c r="I159" s="8"/>
      <c r="J159" s="8"/>
      <c r="K159" s="8"/>
      <c r="L159" s="8"/>
      <c r="M159" s="8"/>
      <c r="N159" s="8"/>
      <c r="O159" s="8"/>
      <c r="P159" s="8"/>
      <c r="Q159" s="8"/>
      <c r="R159" s="8"/>
      <c r="S159" s="8"/>
      <c r="T159" s="8"/>
      <c r="U159" s="8"/>
      <c r="V159" s="8"/>
      <c r="W159" s="8"/>
      <c r="X159" s="8"/>
      <c r="Y159" s="8"/>
      <c r="Z159" s="8"/>
      <c r="AA159" s="8"/>
    </row>
    <row r="160" spans="1:27" ht="19.75">
      <c r="A160" s="8"/>
      <c r="B160" s="7"/>
      <c r="C160" s="8"/>
      <c r="D160" s="8"/>
      <c r="E160" s="11"/>
      <c r="F160" s="8"/>
      <c r="G160" s="8"/>
      <c r="H160" s="8"/>
      <c r="I160" s="8"/>
      <c r="J160" s="8"/>
      <c r="K160" s="8"/>
      <c r="L160" s="8"/>
      <c r="M160" s="8"/>
      <c r="N160" s="8"/>
      <c r="O160" s="8"/>
      <c r="P160" s="8"/>
      <c r="Q160" s="8"/>
      <c r="R160" s="8"/>
      <c r="S160" s="8"/>
      <c r="T160" s="8"/>
      <c r="U160" s="8"/>
      <c r="V160" s="8"/>
      <c r="W160" s="8"/>
      <c r="X160" s="8"/>
      <c r="Y160" s="8"/>
      <c r="Z160" s="8"/>
      <c r="AA160" s="8"/>
    </row>
    <row r="161" spans="1:27" ht="19.75">
      <c r="A161" s="8"/>
      <c r="B161" s="7"/>
      <c r="C161" s="8"/>
      <c r="D161" s="8"/>
      <c r="E161" s="11"/>
      <c r="F161" s="8"/>
      <c r="G161" s="8"/>
      <c r="H161" s="8"/>
      <c r="I161" s="8"/>
      <c r="J161" s="8"/>
      <c r="K161" s="8"/>
      <c r="L161" s="8"/>
      <c r="M161" s="8"/>
      <c r="N161" s="8"/>
      <c r="O161" s="8"/>
      <c r="P161" s="8"/>
      <c r="Q161" s="8"/>
      <c r="R161" s="8"/>
      <c r="S161" s="8"/>
      <c r="T161" s="8"/>
      <c r="U161" s="8"/>
      <c r="V161" s="8"/>
      <c r="W161" s="8"/>
      <c r="X161" s="8"/>
      <c r="Y161" s="8"/>
      <c r="Z161" s="8"/>
      <c r="AA161" s="8"/>
    </row>
    <row r="162" spans="1:27" ht="19.75">
      <c r="A162" s="8"/>
      <c r="B162" s="7"/>
      <c r="C162" s="8"/>
      <c r="D162" s="8"/>
      <c r="E162" s="11"/>
      <c r="F162" s="8"/>
      <c r="G162" s="8"/>
      <c r="H162" s="8"/>
      <c r="I162" s="8"/>
      <c r="J162" s="8"/>
      <c r="K162" s="8"/>
      <c r="L162" s="8"/>
      <c r="M162" s="8"/>
      <c r="N162" s="8"/>
      <c r="O162" s="8"/>
      <c r="P162" s="8"/>
      <c r="Q162" s="8"/>
      <c r="R162" s="8"/>
      <c r="S162" s="8"/>
      <c r="T162" s="8"/>
      <c r="U162" s="8"/>
      <c r="V162" s="8"/>
      <c r="W162" s="8"/>
      <c r="X162" s="8"/>
      <c r="Y162" s="8"/>
      <c r="Z162" s="8"/>
      <c r="AA162" s="8"/>
    </row>
    <row r="163" spans="1:27" ht="19.75">
      <c r="A163" s="8"/>
      <c r="B163" s="7"/>
      <c r="C163" s="8"/>
      <c r="D163" s="8"/>
      <c r="E163" s="11"/>
      <c r="F163" s="8"/>
      <c r="G163" s="8"/>
      <c r="H163" s="8"/>
      <c r="I163" s="8"/>
      <c r="J163" s="8"/>
      <c r="K163" s="8"/>
      <c r="L163" s="8"/>
      <c r="M163" s="8"/>
      <c r="N163" s="8"/>
      <c r="O163" s="8"/>
      <c r="P163" s="8"/>
      <c r="Q163" s="8"/>
      <c r="R163" s="8"/>
      <c r="S163" s="8"/>
      <c r="T163" s="8"/>
      <c r="U163" s="8"/>
      <c r="V163" s="8"/>
      <c r="W163" s="8"/>
      <c r="X163" s="8"/>
      <c r="Y163" s="8"/>
      <c r="Z163" s="8"/>
      <c r="AA163" s="8"/>
    </row>
    <row r="164" spans="1:27" ht="19.75">
      <c r="A164" s="8"/>
      <c r="B164" s="7"/>
      <c r="C164" s="8"/>
      <c r="D164" s="8"/>
      <c r="E164" s="11"/>
      <c r="F164" s="8"/>
      <c r="G164" s="8"/>
      <c r="H164" s="8"/>
      <c r="I164" s="8"/>
      <c r="J164" s="8"/>
      <c r="K164" s="8"/>
      <c r="L164" s="8"/>
      <c r="M164" s="8"/>
      <c r="N164" s="8"/>
      <c r="O164" s="8"/>
      <c r="P164" s="8"/>
      <c r="Q164" s="8"/>
      <c r="R164" s="8"/>
      <c r="S164" s="8"/>
      <c r="T164" s="8"/>
      <c r="U164" s="8"/>
      <c r="V164" s="8"/>
      <c r="W164" s="8"/>
      <c r="X164" s="8"/>
      <c r="Y164" s="8"/>
      <c r="Z164" s="8"/>
      <c r="AA164" s="8"/>
    </row>
    <row r="165" spans="1:27" ht="19.75">
      <c r="A165" s="8"/>
      <c r="B165" s="7"/>
      <c r="C165" s="8"/>
      <c r="D165" s="8"/>
      <c r="E165" s="11"/>
      <c r="F165" s="8"/>
      <c r="G165" s="8"/>
      <c r="H165" s="8"/>
      <c r="I165" s="8"/>
      <c r="J165" s="8"/>
      <c r="K165" s="8"/>
      <c r="L165" s="8"/>
      <c r="M165" s="8"/>
      <c r="N165" s="8"/>
      <c r="O165" s="8"/>
      <c r="P165" s="8"/>
      <c r="Q165" s="8"/>
      <c r="R165" s="8"/>
      <c r="S165" s="8"/>
      <c r="T165" s="8"/>
      <c r="U165" s="8"/>
      <c r="V165" s="8"/>
      <c r="W165" s="8"/>
      <c r="X165" s="8"/>
      <c r="Y165" s="8"/>
      <c r="Z165" s="8"/>
      <c r="AA165" s="8"/>
    </row>
    <row r="166" spans="1:27" ht="19.75">
      <c r="A166" s="8"/>
      <c r="B166" s="7"/>
      <c r="C166" s="8"/>
      <c r="D166" s="8"/>
      <c r="E166" s="11"/>
      <c r="F166" s="8"/>
      <c r="G166" s="8"/>
      <c r="H166" s="8"/>
      <c r="I166" s="8"/>
      <c r="J166" s="8"/>
      <c r="K166" s="8"/>
      <c r="L166" s="8"/>
      <c r="M166" s="8"/>
      <c r="N166" s="8"/>
      <c r="O166" s="8"/>
      <c r="P166" s="8"/>
      <c r="Q166" s="8"/>
      <c r="R166" s="8"/>
      <c r="S166" s="8"/>
      <c r="T166" s="8"/>
      <c r="U166" s="8"/>
      <c r="V166" s="8"/>
      <c r="W166" s="8"/>
      <c r="X166" s="8"/>
      <c r="Y166" s="8"/>
      <c r="Z166" s="8"/>
      <c r="AA166" s="8"/>
    </row>
    <row r="167" spans="1:27" ht="19.75">
      <c r="A167" s="8"/>
      <c r="B167" s="7"/>
      <c r="C167" s="8"/>
      <c r="D167" s="8"/>
      <c r="E167" s="11"/>
      <c r="F167" s="8"/>
      <c r="G167" s="8"/>
      <c r="H167" s="8"/>
      <c r="I167" s="8"/>
      <c r="J167" s="8"/>
      <c r="K167" s="8"/>
      <c r="L167" s="8"/>
      <c r="M167" s="8"/>
      <c r="N167" s="8"/>
      <c r="O167" s="8"/>
      <c r="P167" s="8"/>
      <c r="Q167" s="8"/>
      <c r="R167" s="8"/>
      <c r="S167" s="8"/>
      <c r="T167" s="8"/>
      <c r="U167" s="8"/>
      <c r="V167" s="8"/>
      <c r="W167" s="8"/>
      <c r="X167" s="8"/>
      <c r="Y167" s="8"/>
      <c r="Z167" s="8"/>
      <c r="AA167" s="8"/>
    </row>
    <row r="168" spans="1:27" ht="19.75">
      <c r="A168" s="8"/>
      <c r="B168" s="7"/>
      <c r="C168" s="8"/>
      <c r="D168" s="8"/>
      <c r="E168" s="11"/>
      <c r="F168" s="8"/>
      <c r="G168" s="8"/>
      <c r="H168" s="8"/>
      <c r="I168" s="8"/>
      <c r="J168" s="8"/>
      <c r="K168" s="8"/>
      <c r="L168" s="8"/>
      <c r="M168" s="8"/>
      <c r="N168" s="8"/>
      <c r="O168" s="8"/>
      <c r="P168" s="8"/>
      <c r="Q168" s="8"/>
      <c r="R168" s="8"/>
      <c r="S168" s="8"/>
      <c r="T168" s="8"/>
      <c r="U168" s="8"/>
      <c r="V168" s="8"/>
      <c r="W168" s="8"/>
      <c r="X168" s="8"/>
      <c r="Y168" s="8"/>
      <c r="Z168" s="8"/>
      <c r="AA168" s="8"/>
    </row>
    <row r="169" spans="1:27" ht="19.75">
      <c r="A169" s="8"/>
      <c r="B169" s="7"/>
      <c r="C169" s="8"/>
      <c r="D169" s="8"/>
      <c r="E169" s="11"/>
      <c r="F169" s="8"/>
      <c r="G169" s="8"/>
      <c r="H169" s="8"/>
      <c r="I169" s="8"/>
      <c r="J169" s="8"/>
      <c r="K169" s="8"/>
      <c r="L169" s="8"/>
      <c r="M169" s="8"/>
      <c r="N169" s="8"/>
      <c r="O169" s="8"/>
      <c r="P169" s="8"/>
      <c r="Q169" s="8"/>
      <c r="R169" s="8"/>
      <c r="S169" s="8"/>
      <c r="T169" s="8"/>
      <c r="U169" s="8"/>
      <c r="V169" s="8"/>
      <c r="W169" s="8"/>
      <c r="X169" s="8"/>
      <c r="Y169" s="8"/>
      <c r="Z169" s="8"/>
      <c r="AA169" s="8"/>
    </row>
    <row r="170" spans="1:27" ht="19.75">
      <c r="A170" s="8"/>
      <c r="B170" s="7"/>
      <c r="C170" s="8"/>
      <c r="D170" s="8"/>
      <c r="E170" s="11"/>
      <c r="F170" s="8"/>
      <c r="G170" s="8"/>
      <c r="H170" s="8"/>
      <c r="I170" s="8"/>
      <c r="J170" s="8"/>
      <c r="K170" s="8"/>
      <c r="L170" s="8"/>
      <c r="M170" s="8"/>
      <c r="N170" s="8"/>
      <c r="O170" s="8"/>
      <c r="P170" s="8"/>
      <c r="Q170" s="8"/>
      <c r="R170" s="8"/>
      <c r="S170" s="8"/>
      <c r="T170" s="8"/>
      <c r="U170" s="8"/>
      <c r="V170" s="8"/>
      <c r="W170" s="8"/>
      <c r="X170" s="8"/>
      <c r="Y170" s="8"/>
      <c r="Z170" s="8"/>
      <c r="AA170" s="8"/>
    </row>
    <row r="171" spans="1:27" ht="19.75">
      <c r="A171" s="8"/>
      <c r="B171" s="7"/>
      <c r="C171" s="8"/>
      <c r="D171" s="8"/>
      <c r="E171" s="11"/>
      <c r="F171" s="8"/>
      <c r="G171" s="8"/>
      <c r="H171" s="8"/>
      <c r="I171" s="8"/>
      <c r="J171" s="8"/>
      <c r="K171" s="8"/>
      <c r="L171" s="8"/>
      <c r="M171" s="8"/>
      <c r="N171" s="8"/>
      <c r="O171" s="8"/>
      <c r="P171" s="8"/>
      <c r="Q171" s="8"/>
      <c r="R171" s="8"/>
      <c r="S171" s="8"/>
      <c r="T171" s="8"/>
      <c r="U171" s="8"/>
      <c r="V171" s="8"/>
      <c r="W171" s="8"/>
      <c r="X171" s="8"/>
      <c r="Y171" s="8"/>
      <c r="Z171" s="8"/>
      <c r="AA171" s="8"/>
    </row>
    <row r="172" spans="1:27" ht="19.75">
      <c r="A172" s="8"/>
      <c r="B172" s="7"/>
      <c r="C172" s="8"/>
      <c r="D172" s="8"/>
      <c r="E172" s="11"/>
      <c r="F172" s="8"/>
      <c r="G172" s="8"/>
      <c r="H172" s="8"/>
      <c r="I172" s="8"/>
      <c r="J172" s="8"/>
      <c r="K172" s="8"/>
      <c r="L172" s="8"/>
      <c r="M172" s="8"/>
      <c r="N172" s="8"/>
      <c r="O172" s="8"/>
      <c r="P172" s="8"/>
      <c r="Q172" s="8"/>
      <c r="R172" s="8"/>
      <c r="S172" s="8"/>
      <c r="T172" s="8"/>
      <c r="U172" s="8"/>
      <c r="V172" s="8"/>
      <c r="W172" s="8"/>
      <c r="X172" s="8"/>
      <c r="Y172" s="8"/>
      <c r="Z172" s="8"/>
      <c r="AA172" s="8"/>
    </row>
    <row r="173" spans="1:27" ht="19.75">
      <c r="A173" s="8"/>
      <c r="B173" s="7"/>
      <c r="C173" s="8"/>
      <c r="D173" s="8"/>
      <c r="E173" s="11"/>
      <c r="F173" s="8"/>
      <c r="G173" s="8"/>
      <c r="H173" s="8"/>
      <c r="I173" s="8"/>
      <c r="J173" s="8"/>
      <c r="K173" s="8"/>
      <c r="L173" s="8"/>
      <c r="M173" s="8"/>
      <c r="N173" s="8"/>
      <c r="O173" s="8"/>
      <c r="P173" s="8"/>
      <c r="Q173" s="8"/>
      <c r="R173" s="8"/>
      <c r="S173" s="8"/>
      <c r="T173" s="8"/>
      <c r="U173" s="8"/>
      <c r="V173" s="8"/>
      <c r="W173" s="8"/>
      <c r="X173" s="8"/>
      <c r="Y173" s="8"/>
      <c r="Z173" s="8"/>
      <c r="AA173" s="8"/>
    </row>
    <row r="174" spans="1:27" ht="19.75">
      <c r="A174" s="8"/>
      <c r="B174" s="7"/>
      <c r="C174" s="8"/>
      <c r="D174" s="8"/>
      <c r="E174" s="11"/>
      <c r="F174" s="8"/>
      <c r="G174" s="8"/>
      <c r="H174" s="8"/>
      <c r="I174" s="8"/>
      <c r="J174" s="8"/>
      <c r="K174" s="8"/>
      <c r="L174" s="8"/>
      <c r="M174" s="8"/>
      <c r="N174" s="8"/>
      <c r="O174" s="8"/>
      <c r="P174" s="8"/>
      <c r="Q174" s="8"/>
      <c r="R174" s="8"/>
      <c r="S174" s="8"/>
      <c r="T174" s="8"/>
      <c r="U174" s="8"/>
      <c r="V174" s="8"/>
      <c r="W174" s="8"/>
      <c r="X174" s="8"/>
      <c r="Y174" s="8"/>
      <c r="Z174" s="8"/>
      <c r="AA174" s="8"/>
    </row>
    <row r="175" spans="1:27" ht="19.75">
      <c r="A175" s="8"/>
      <c r="B175" s="7"/>
      <c r="C175" s="8"/>
      <c r="D175" s="8"/>
      <c r="E175" s="11"/>
      <c r="F175" s="8"/>
      <c r="G175" s="8"/>
      <c r="H175" s="8"/>
      <c r="I175" s="8"/>
      <c r="J175" s="8"/>
      <c r="K175" s="8"/>
      <c r="L175" s="8"/>
      <c r="M175" s="8"/>
      <c r="N175" s="8"/>
      <c r="O175" s="8"/>
      <c r="P175" s="8"/>
      <c r="Q175" s="8"/>
      <c r="R175" s="8"/>
      <c r="S175" s="8"/>
      <c r="T175" s="8"/>
      <c r="U175" s="8"/>
      <c r="V175" s="8"/>
      <c r="W175" s="8"/>
      <c r="X175" s="8"/>
      <c r="Y175" s="8"/>
      <c r="Z175" s="8"/>
      <c r="AA175" s="8"/>
    </row>
    <row r="176" spans="1:27" ht="19.75">
      <c r="A176" s="8"/>
      <c r="B176" s="7"/>
      <c r="C176" s="8"/>
      <c r="D176" s="8"/>
      <c r="E176" s="11"/>
      <c r="F176" s="8"/>
      <c r="G176" s="8"/>
      <c r="H176" s="8"/>
      <c r="I176" s="8"/>
      <c r="J176" s="8"/>
      <c r="K176" s="8"/>
      <c r="L176" s="8"/>
      <c r="M176" s="8"/>
      <c r="N176" s="8"/>
      <c r="O176" s="8"/>
      <c r="P176" s="8"/>
      <c r="Q176" s="8"/>
      <c r="R176" s="8"/>
      <c r="S176" s="8"/>
      <c r="T176" s="8"/>
      <c r="U176" s="8"/>
      <c r="V176" s="8"/>
      <c r="W176" s="8"/>
      <c r="X176" s="8"/>
      <c r="Y176" s="8"/>
      <c r="Z176" s="8"/>
      <c r="AA176" s="8"/>
    </row>
    <row r="177" spans="1:27" ht="19.75">
      <c r="A177" s="8"/>
      <c r="B177" s="7"/>
      <c r="C177" s="8"/>
      <c r="D177" s="8"/>
      <c r="E177" s="11"/>
      <c r="F177" s="8"/>
      <c r="G177" s="8"/>
      <c r="H177" s="8"/>
      <c r="I177" s="8"/>
      <c r="J177" s="8"/>
      <c r="K177" s="8"/>
      <c r="L177" s="8"/>
      <c r="M177" s="8"/>
      <c r="N177" s="8"/>
      <c r="O177" s="8"/>
      <c r="P177" s="8"/>
      <c r="Q177" s="8"/>
      <c r="R177" s="8"/>
      <c r="S177" s="8"/>
      <c r="T177" s="8"/>
      <c r="U177" s="8"/>
      <c r="V177" s="8"/>
      <c r="W177" s="8"/>
      <c r="X177" s="8"/>
      <c r="Y177" s="8"/>
      <c r="Z177" s="8"/>
      <c r="AA177" s="8"/>
    </row>
    <row r="178" spans="1:27" ht="19.75">
      <c r="A178" s="8"/>
      <c r="B178" s="7"/>
      <c r="C178" s="8"/>
      <c r="D178" s="8"/>
      <c r="E178" s="11"/>
      <c r="F178" s="8"/>
      <c r="G178" s="8"/>
      <c r="H178" s="8"/>
      <c r="I178" s="8"/>
      <c r="J178" s="8"/>
      <c r="K178" s="8"/>
      <c r="L178" s="8"/>
      <c r="M178" s="8"/>
      <c r="N178" s="8"/>
      <c r="O178" s="8"/>
      <c r="P178" s="8"/>
      <c r="Q178" s="8"/>
      <c r="R178" s="8"/>
      <c r="S178" s="8"/>
      <c r="T178" s="8"/>
      <c r="U178" s="8"/>
      <c r="V178" s="8"/>
      <c r="W178" s="8"/>
      <c r="X178" s="8"/>
      <c r="Y178" s="8"/>
      <c r="Z178" s="8"/>
      <c r="AA178" s="8"/>
    </row>
    <row r="179" spans="1:27" ht="19.75">
      <c r="A179" s="8"/>
      <c r="B179" s="7"/>
      <c r="C179" s="8"/>
      <c r="D179" s="8"/>
      <c r="E179" s="11"/>
      <c r="F179" s="8"/>
      <c r="G179" s="8"/>
      <c r="H179" s="8"/>
      <c r="I179" s="8"/>
      <c r="J179" s="8"/>
      <c r="K179" s="8"/>
      <c r="L179" s="8"/>
      <c r="M179" s="8"/>
      <c r="N179" s="8"/>
      <c r="O179" s="8"/>
      <c r="P179" s="8"/>
      <c r="Q179" s="8"/>
      <c r="R179" s="8"/>
      <c r="S179" s="8"/>
      <c r="T179" s="8"/>
      <c r="U179" s="8"/>
      <c r="V179" s="8"/>
      <c r="W179" s="8"/>
      <c r="X179" s="8"/>
      <c r="Y179" s="8"/>
      <c r="Z179" s="8"/>
      <c r="AA179" s="8"/>
    </row>
    <row r="180" spans="1:27" ht="19.75">
      <c r="A180" s="8"/>
      <c r="B180" s="7"/>
      <c r="C180" s="8"/>
      <c r="D180" s="8"/>
      <c r="E180" s="11"/>
      <c r="F180" s="8"/>
      <c r="G180" s="8"/>
      <c r="H180" s="8"/>
      <c r="I180" s="8"/>
      <c r="J180" s="8"/>
      <c r="K180" s="8"/>
      <c r="L180" s="8"/>
      <c r="M180" s="8"/>
      <c r="N180" s="8"/>
      <c r="O180" s="8"/>
      <c r="P180" s="8"/>
      <c r="Q180" s="8"/>
      <c r="R180" s="8"/>
      <c r="S180" s="8"/>
      <c r="T180" s="8"/>
      <c r="U180" s="8"/>
      <c r="V180" s="8"/>
      <c r="W180" s="8"/>
      <c r="X180" s="8"/>
      <c r="Y180" s="8"/>
      <c r="Z180" s="8"/>
      <c r="AA180" s="8"/>
    </row>
    <row r="181" spans="1:27" ht="19.75">
      <c r="A181" s="8"/>
      <c r="B181" s="7"/>
      <c r="C181" s="8"/>
      <c r="D181" s="8"/>
      <c r="E181" s="11"/>
      <c r="F181" s="8"/>
      <c r="G181" s="8"/>
      <c r="H181" s="8"/>
      <c r="I181" s="8"/>
      <c r="J181" s="8"/>
      <c r="K181" s="8"/>
      <c r="L181" s="8"/>
      <c r="M181" s="8"/>
      <c r="N181" s="8"/>
      <c r="O181" s="8"/>
      <c r="P181" s="8"/>
      <c r="Q181" s="8"/>
      <c r="R181" s="8"/>
      <c r="S181" s="8"/>
      <c r="T181" s="8"/>
      <c r="U181" s="8"/>
      <c r="V181" s="8"/>
      <c r="W181" s="8"/>
      <c r="X181" s="8"/>
      <c r="Y181" s="8"/>
      <c r="Z181" s="8"/>
      <c r="AA181" s="8"/>
    </row>
    <row r="182" spans="1:27" ht="19.75">
      <c r="A182" s="8"/>
      <c r="B182" s="7"/>
      <c r="C182" s="8"/>
      <c r="D182" s="8"/>
      <c r="E182" s="11"/>
      <c r="F182" s="8"/>
      <c r="G182" s="8"/>
      <c r="H182" s="8"/>
      <c r="I182" s="8"/>
      <c r="J182" s="8"/>
      <c r="K182" s="8"/>
      <c r="L182" s="8"/>
      <c r="M182" s="8"/>
      <c r="N182" s="8"/>
      <c r="O182" s="8"/>
      <c r="P182" s="8"/>
      <c r="Q182" s="8"/>
      <c r="R182" s="8"/>
      <c r="S182" s="8"/>
      <c r="T182" s="8"/>
      <c r="U182" s="8"/>
      <c r="V182" s="8"/>
      <c r="W182" s="8"/>
      <c r="X182" s="8"/>
      <c r="Y182" s="8"/>
      <c r="Z182" s="8"/>
      <c r="AA182" s="8"/>
    </row>
    <row r="183" spans="1:27" ht="19.75">
      <c r="A183" s="8"/>
      <c r="B183" s="7"/>
      <c r="C183" s="8"/>
      <c r="D183" s="8"/>
      <c r="E183" s="11"/>
      <c r="F183" s="8"/>
      <c r="G183" s="8"/>
      <c r="H183" s="8"/>
      <c r="I183" s="8"/>
      <c r="J183" s="8"/>
      <c r="K183" s="8"/>
      <c r="L183" s="8"/>
      <c r="M183" s="8"/>
      <c r="N183" s="8"/>
      <c r="O183" s="8"/>
      <c r="P183" s="8"/>
      <c r="Q183" s="8"/>
      <c r="R183" s="8"/>
      <c r="S183" s="8"/>
      <c r="T183" s="8"/>
      <c r="U183" s="8"/>
      <c r="V183" s="8"/>
      <c r="W183" s="8"/>
      <c r="X183" s="8"/>
      <c r="Y183" s="8"/>
      <c r="Z183" s="8"/>
      <c r="AA183" s="8"/>
    </row>
    <row r="184" spans="1:27" ht="19.75">
      <c r="A184" s="8"/>
      <c r="B184" s="7"/>
      <c r="C184" s="8"/>
      <c r="D184" s="8"/>
      <c r="E184" s="11"/>
      <c r="F184" s="8"/>
      <c r="G184" s="8"/>
      <c r="H184" s="8"/>
      <c r="I184" s="8"/>
      <c r="J184" s="8"/>
      <c r="K184" s="8"/>
      <c r="L184" s="8"/>
      <c r="M184" s="8"/>
      <c r="N184" s="8"/>
      <c r="O184" s="8"/>
      <c r="P184" s="8"/>
      <c r="Q184" s="8"/>
      <c r="R184" s="8"/>
      <c r="S184" s="8"/>
      <c r="T184" s="8"/>
      <c r="U184" s="8"/>
      <c r="V184" s="8"/>
      <c r="W184" s="8"/>
      <c r="X184" s="8"/>
      <c r="Y184" s="8"/>
      <c r="Z184" s="8"/>
      <c r="AA184" s="8"/>
    </row>
    <row r="185" spans="1:27" ht="19.75">
      <c r="A185" s="8"/>
      <c r="B185" s="7"/>
      <c r="C185" s="8"/>
      <c r="D185" s="8"/>
      <c r="E185" s="11"/>
      <c r="F185" s="8"/>
      <c r="G185" s="8"/>
      <c r="H185" s="8"/>
      <c r="I185" s="8"/>
      <c r="J185" s="8"/>
      <c r="K185" s="8"/>
      <c r="L185" s="8"/>
      <c r="M185" s="8"/>
      <c r="N185" s="8"/>
      <c r="O185" s="8"/>
      <c r="P185" s="8"/>
      <c r="Q185" s="8"/>
      <c r="R185" s="8"/>
      <c r="S185" s="8"/>
      <c r="T185" s="8"/>
      <c r="U185" s="8"/>
      <c r="V185" s="8"/>
      <c r="W185" s="8"/>
      <c r="X185" s="8"/>
      <c r="Y185" s="8"/>
      <c r="Z185" s="8"/>
      <c r="AA185" s="8"/>
    </row>
    <row r="186" spans="1:27" ht="19.75">
      <c r="A186" s="8"/>
      <c r="B186" s="7"/>
      <c r="C186" s="8"/>
      <c r="D186" s="8"/>
      <c r="E186" s="11"/>
      <c r="F186" s="8"/>
      <c r="G186" s="8"/>
      <c r="H186" s="8"/>
      <c r="I186" s="8"/>
      <c r="J186" s="8"/>
      <c r="K186" s="8"/>
      <c r="L186" s="8"/>
      <c r="M186" s="8"/>
      <c r="N186" s="8"/>
      <c r="O186" s="8"/>
      <c r="P186" s="8"/>
      <c r="Q186" s="8"/>
      <c r="R186" s="8"/>
      <c r="S186" s="8"/>
      <c r="T186" s="8"/>
      <c r="U186" s="8"/>
      <c r="V186" s="8"/>
      <c r="W186" s="8"/>
      <c r="X186" s="8"/>
      <c r="Y186" s="8"/>
      <c r="Z186" s="8"/>
      <c r="AA186" s="8"/>
    </row>
    <row r="187" spans="1:27" ht="19.75">
      <c r="A187" s="8"/>
      <c r="B187" s="7"/>
      <c r="C187" s="8"/>
      <c r="D187" s="8"/>
      <c r="E187" s="11"/>
      <c r="F187" s="8"/>
      <c r="G187" s="8"/>
      <c r="H187" s="8"/>
      <c r="I187" s="8"/>
      <c r="J187" s="8"/>
      <c r="K187" s="8"/>
      <c r="L187" s="8"/>
      <c r="M187" s="8"/>
      <c r="N187" s="8"/>
      <c r="O187" s="8"/>
      <c r="P187" s="8"/>
      <c r="Q187" s="8"/>
      <c r="R187" s="8"/>
      <c r="S187" s="8"/>
      <c r="T187" s="8"/>
      <c r="U187" s="8"/>
      <c r="V187" s="8"/>
      <c r="W187" s="8"/>
      <c r="X187" s="8"/>
      <c r="Y187" s="8"/>
      <c r="Z187" s="8"/>
      <c r="AA187" s="8"/>
    </row>
    <row r="188" spans="1:27" ht="19.75">
      <c r="A188" s="8"/>
      <c r="B188" s="7"/>
      <c r="C188" s="8"/>
      <c r="D188" s="8"/>
      <c r="E188" s="11"/>
      <c r="F188" s="8"/>
      <c r="G188" s="8"/>
      <c r="H188" s="8"/>
      <c r="I188" s="8"/>
      <c r="J188" s="8"/>
      <c r="K188" s="8"/>
      <c r="L188" s="8"/>
      <c r="M188" s="8"/>
      <c r="N188" s="8"/>
      <c r="O188" s="8"/>
      <c r="P188" s="8"/>
      <c r="Q188" s="8"/>
      <c r="R188" s="8"/>
      <c r="S188" s="8"/>
      <c r="T188" s="8"/>
      <c r="U188" s="8"/>
      <c r="V188" s="8"/>
      <c r="W188" s="8"/>
      <c r="X188" s="8"/>
      <c r="Y188" s="8"/>
      <c r="Z188" s="8"/>
      <c r="AA188" s="8"/>
    </row>
    <row r="189" spans="1:27" ht="19.75">
      <c r="A189" s="8"/>
      <c r="B189" s="7"/>
      <c r="C189" s="8"/>
      <c r="D189" s="8"/>
      <c r="E189" s="11"/>
      <c r="F189" s="8"/>
      <c r="G189" s="8"/>
      <c r="H189" s="8"/>
      <c r="I189" s="8"/>
      <c r="J189" s="8"/>
      <c r="K189" s="8"/>
      <c r="L189" s="8"/>
      <c r="M189" s="8"/>
      <c r="N189" s="8"/>
      <c r="O189" s="8"/>
      <c r="P189" s="8"/>
      <c r="Q189" s="8"/>
      <c r="R189" s="8"/>
      <c r="S189" s="8"/>
      <c r="T189" s="8"/>
      <c r="U189" s="8"/>
      <c r="V189" s="8"/>
      <c r="W189" s="8"/>
      <c r="X189" s="8"/>
      <c r="Y189" s="8"/>
      <c r="Z189" s="8"/>
      <c r="AA189" s="8"/>
    </row>
    <row r="190" spans="1:27" ht="19.75">
      <c r="A190" s="8"/>
      <c r="B190" s="7"/>
      <c r="C190" s="8"/>
      <c r="D190" s="8"/>
      <c r="E190" s="11"/>
      <c r="F190" s="8"/>
      <c r="G190" s="8"/>
      <c r="H190" s="8"/>
      <c r="I190" s="8"/>
      <c r="J190" s="8"/>
      <c r="K190" s="8"/>
      <c r="L190" s="8"/>
      <c r="M190" s="8"/>
      <c r="N190" s="8"/>
      <c r="O190" s="8"/>
      <c r="P190" s="8"/>
      <c r="Q190" s="8"/>
      <c r="R190" s="8"/>
      <c r="S190" s="8"/>
      <c r="T190" s="8"/>
      <c r="U190" s="8"/>
      <c r="V190" s="8"/>
      <c r="W190" s="8"/>
      <c r="X190" s="8"/>
      <c r="Y190" s="8"/>
      <c r="Z190" s="8"/>
      <c r="AA190" s="8"/>
    </row>
    <row r="191" spans="1:27" ht="19.75">
      <c r="A191" s="8"/>
      <c r="B191" s="7"/>
      <c r="C191" s="8"/>
      <c r="D191" s="8"/>
      <c r="E191" s="11"/>
      <c r="F191" s="8"/>
      <c r="G191" s="8"/>
      <c r="H191" s="8"/>
      <c r="I191" s="8"/>
      <c r="J191" s="8"/>
      <c r="K191" s="8"/>
      <c r="L191" s="8"/>
      <c r="M191" s="8"/>
      <c r="N191" s="8"/>
      <c r="O191" s="8"/>
      <c r="P191" s="8"/>
      <c r="Q191" s="8"/>
      <c r="R191" s="8"/>
      <c r="S191" s="8"/>
      <c r="T191" s="8"/>
      <c r="U191" s="8"/>
      <c r="V191" s="8"/>
      <c r="W191" s="8"/>
      <c r="X191" s="8"/>
      <c r="Y191" s="8"/>
      <c r="Z191" s="8"/>
      <c r="AA191" s="8"/>
    </row>
    <row r="192" spans="1:27" ht="19.75">
      <c r="A192" s="8"/>
      <c r="B192" s="7"/>
      <c r="C192" s="8"/>
      <c r="D192" s="8"/>
      <c r="E192" s="11"/>
      <c r="F192" s="8"/>
      <c r="G192" s="8"/>
      <c r="H192" s="8"/>
      <c r="I192" s="8"/>
      <c r="J192" s="8"/>
      <c r="K192" s="8"/>
      <c r="L192" s="8"/>
      <c r="M192" s="8"/>
      <c r="N192" s="8"/>
      <c r="O192" s="8"/>
      <c r="P192" s="8"/>
      <c r="Q192" s="8"/>
      <c r="R192" s="8"/>
      <c r="S192" s="8"/>
      <c r="T192" s="8"/>
      <c r="U192" s="8"/>
      <c r="V192" s="8"/>
      <c r="W192" s="8"/>
      <c r="X192" s="8"/>
      <c r="Y192" s="8"/>
      <c r="Z192" s="8"/>
      <c r="AA192" s="8"/>
    </row>
    <row r="193" spans="1:27" ht="19.75">
      <c r="A193" s="8"/>
      <c r="B193" s="7"/>
      <c r="C193" s="8"/>
      <c r="D193" s="8"/>
      <c r="E193" s="11"/>
      <c r="F193" s="8"/>
      <c r="G193" s="8"/>
      <c r="H193" s="8"/>
      <c r="I193" s="8"/>
      <c r="J193" s="8"/>
      <c r="K193" s="8"/>
      <c r="L193" s="8"/>
      <c r="M193" s="8"/>
      <c r="N193" s="8"/>
      <c r="O193" s="8"/>
      <c r="P193" s="8"/>
      <c r="Q193" s="8"/>
      <c r="R193" s="8"/>
      <c r="S193" s="8"/>
      <c r="T193" s="8"/>
      <c r="U193" s="8"/>
      <c r="V193" s="8"/>
      <c r="W193" s="8"/>
      <c r="X193" s="8"/>
      <c r="Y193" s="8"/>
      <c r="Z193" s="8"/>
      <c r="AA193" s="8"/>
    </row>
    <row r="194" spans="1:27" ht="19.75">
      <c r="A194" s="8"/>
      <c r="B194" s="7"/>
      <c r="C194" s="8"/>
      <c r="D194" s="8"/>
      <c r="E194" s="11"/>
      <c r="F194" s="8"/>
      <c r="G194" s="8"/>
      <c r="H194" s="8"/>
      <c r="I194" s="8"/>
      <c r="J194" s="8"/>
      <c r="K194" s="8"/>
      <c r="L194" s="8"/>
      <c r="M194" s="8"/>
      <c r="N194" s="8"/>
      <c r="O194" s="8"/>
      <c r="P194" s="8"/>
      <c r="Q194" s="8"/>
      <c r="R194" s="8"/>
      <c r="S194" s="8"/>
      <c r="T194" s="8"/>
      <c r="U194" s="8"/>
      <c r="V194" s="8"/>
      <c r="W194" s="8"/>
      <c r="X194" s="8"/>
      <c r="Y194" s="8"/>
      <c r="Z194" s="8"/>
      <c r="AA194" s="8"/>
    </row>
    <row r="195" spans="1:27" ht="19.75">
      <c r="A195" s="8"/>
      <c r="B195" s="7"/>
      <c r="C195" s="8"/>
      <c r="D195" s="8"/>
      <c r="E195" s="11"/>
      <c r="F195" s="8"/>
      <c r="G195" s="8"/>
      <c r="H195" s="8"/>
      <c r="I195" s="8"/>
      <c r="J195" s="8"/>
      <c r="K195" s="8"/>
      <c r="L195" s="8"/>
      <c r="M195" s="8"/>
      <c r="N195" s="8"/>
      <c r="O195" s="8"/>
      <c r="P195" s="8"/>
      <c r="Q195" s="8"/>
      <c r="R195" s="8"/>
      <c r="S195" s="8"/>
      <c r="T195" s="8"/>
      <c r="U195" s="8"/>
      <c r="V195" s="8"/>
      <c r="W195" s="8"/>
      <c r="X195" s="8"/>
      <c r="Y195" s="8"/>
      <c r="Z195" s="8"/>
      <c r="AA195" s="8"/>
    </row>
    <row r="196" spans="1:27" ht="19.75">
      <c r="A196" s="8"/>
      <c r="B196" s="7"/>
      <c r="C196" s="8"/>
      <c r="D196" s="8"/>
      <c r="E196" s="11"/>
      <c r="F196" s="8"/>
      <c r="G196" s="8"/>
      <c r="H196" s="8"/>
      <c r="I196" s="8"/>
      <c r="J196" s="8"/>
      <c r="K196" s="8"/>
      <c r="L196" s="8"/>
      <c r="M196" s="8"/>
      <c r="N196" s="8"/>
      <c r="O196" s="8"/>
      <c r="P196" s="8"/>
      <c r="Q196" s="8"/>
      <c r="R196" s="8"/>
      <c r="S196" s="8"/>
      <c r="T196" s="8"/>
      <c r="U196" s="8"/>
      <c r="V196" s="8"/>
      <c r="W196" s="8"/>
      <c r="X196" s="8"/>
      <c r="Y196" s="8"/>
      <c r="Z196" s="8"/>
      <c r="AA196" s="8"/>
    </row>
    <row r="197" spans="1:27" ht="19.75">
      <c r="A197" s="8"/>
      <c r="B197" s="7"/>
      <c r="C197" s="8"/>
      <c r="D197" s="8"/>
      <c r="E197" s="11"/>
      <c r="F197" s="8"/>
      <c r="G197" s="8"/>
      <c r="H197" s="8"/>
      <c r="I197" s="8"/>
      <c r="J197" s="8"/>
      <c r="K197" s="8"/>
      <c r="L197" s="8"/>
      <c r="M197" s="8"/>
      <c r="N197" s="8"/>
      <c r="O197" s="8"/>
      <c r="P197" s="8"/>
      <c r="Q197" s="8"/>
      <c r="R197" s="8"/>
      <c r="S197" s="8"/>
      <c r="T197" s="8"/>
      <c r="U197" s="8"/>
      <c r="V197" s="8"/>
      <c r="W197" s="8"/>
      <c r="X197" s="8"/>
      <c r="Y197" s="8"/>
      <c r="Z197" s="8"/>
      <c r="AA197" s="8"/>
    </row>
    <row r="198" spans="1:27" ht="19.75">
      <c r="A198" s="8"/>
      <c r="B198" s="7"/>
      <c r="C198" s="8"/>
      <c r="D198" s="8"/>
      <c r="E198" s="11"/>
      <c r="F198" s="8"/>
      <c r="G198" s="8"/>
      <c r="H198" s="8"/>
      <c r="I198" s="8"/>
      <c r="J198" s="8"/>
      <c r="K198" s="8"/>
      <c r="L198" s="8"/>
      <c r="M198" s="8"/>
      <c r="N198" s="8"/>
      <c r="O198" s="8"/>
      <c r="P198" s="8"/>
      <c r="Q198" s="8"/>
      <c r="R198" s="8"/>
      <c r="S198" s="8"/>
      <c r="T198" s="8"/>
      <c r="U198" s="8"/>
      <c r="V198" s="8"/>
      <c r="W198" s="8"/>
      <c r="X198" s="8"/>
      <c r="Y198" s="8"/>
      <c r="Z198" s="8"/>
      <c r="AA198" s="8"/>
    </row>
    <row r="199" spans="1:27" ht="19.75">
      <c r="A199" s="8"/>
      <c r="B199" s="7"/>
      <c r="C199" s="8"/>
      <c r="D199" s="8"/>
      <c r="E199" s="11"/>
      <c r="F199" s="8"/>
      <c r="G199" s="8"/>
      <c r="H199" s="8"/>
      <c r="I199" s="8"/>
      <c r="J199" s="8"/>
      <c r="K199" s="8"/>
      <c r="L199" s="8"/>
      <c r="M199" s="8"/>
      <c r="N199" s="8"/>
      <c r="O199" s="8"/>
      <c r="P199" s="8"/>
      <c r="Q199" s="8"/>
      <c r="R199" s="8"/>
      <c r="S199" s="8"/>
      <c r="T199" s="8"/>
      <c r="U199" s="8"/>
      <c r="V199" s="8"/>
      <c r="W199" s="8"/>
      <c r="X199" s="8"/>
      <c r="Y199" s="8"/>
      <c r="Z199" s="8"/>
      <c r="AA199" s="8"/>
    </row>
    <row r="200" spans="1:27" ht="19.75">
      <c r="A200" s="8"/>
      <c r="B200" s="7"/>
      <c r="C200" s="8"/>
      <c r="D200" s="8"/>
      <c r="E200" s="11"/>
      <c r="F200" s="8"/>
      <c r="G200" s="8"/>
      <c r="H200" s="8"/>
      <c r="I200" s="8"/>
      <c r="J200" s="8"/>
      <c r="K200" s="8"/>
      <c r="L200" s="8"/>
      <c r="M200" s="8"/>
      <c r="N200" s="8"/>
      <c r="O200" s="8"/>
      <c r="P200" s="8"/>
      <c r="Q200" s="8"/>
      <c r="R200" s="8"/>
      <c r="S200" s="8"/>
      <c r="T200" s="8"/>
      <c r="U200" s="8"/>
      <c r="V200" s="8"/>
      <c r="W200" s="8"/>
      <c r="X200" s="8"/>
      <c r="Y200" s="8"/>
      <c r="Z200" s="8"/>
      <c r="AA200" s="8"/>
    </row>
    <row r="201" spans="1:27" ht="19.75">
      <c r="A201" s="8"/>
      <c r="B201" s="7"/>
      <c r="C201" s="8"/>
      <c r="D201" s="8"/>
      <c r="E201" s="11"/>
      <c r="F201" s="8"/>
      <c r="G201" s="8"/>
      <c r="H201" s="8"/>
      <c r="I201" s="8"/>
      <c r="J201" s="8"/>
      <c r="K201" s="8"/>
      <c r="L201" s="8"/>
      <c r="M201" s="8"/>
      <c r="N201" s="8"/>
      <c r="O201" s="8"/>
      <c r="P201" s="8"/>
      <c r="Q201" s="8"/>
      <c r="R201" s="8"/>
      <c r="S201" s="8"/>
      <c r="T201" s="8"/>
      <c r="U201" s="8"/>
      <c r="V201" s="8"/>
      <c r="W201" s="8"/>
      <c r="X201" s="8"/>
      <c r="Y201" s="8"/>
      <c r="Z201" s="8"/>
      <c r="AA201" s="8"/>
    </row>
    <row r="202" spans="1:27" ht="19.75">
      <c r="A202" s="8"/>
      <c r="B202" s="7"/>
      <c r="C202" s="8"/>
      <c r="D202" s="8"/>
      <c r="E202" s="11"/>
      <c r="F202" s="8"/>
      <c r="G202" s="8"/>
      <c r="H202" s="8"/>
      <c r="I202" s="8"/>
      <c r="J202" s="8"/>
      <c r="K202" s="8"/>
      <c r="L202" s="8"/>
      <c r="M202" s="8"/>
      <c r="N202" s="8"/>
      <c r="O202" s="8"/>
      <c r="P202" s="8"/>
      <c r="Q202" s="8"/>
      <c r="R202" s="8"/>
      <c r="S202" s="8"/>
      <c r="T202" s="8"/>
      <c r="U202" s="8"/>
      <c r="V202" s="8"/>
      <c r="W202" s="8"/>
      <c r="X202" s="8"/>
      <c r="Y202" s="8"/>
      <c r="Z202" s="8"/>
      <c r="AA202" s="8"/>
    </row>
    <row r="203" spans="1:27" ht="19.75">
      <c r="A203" s="8"/>
      <c r="B203" s="7"/>
      <c r="C203" s="8"/>
      <c r="D203" s="8"/>
      <c r="E203" s="11"/>
      <c r="F203" s="8"/>
      <c r="G203" s="8"/>
      <c r="H203" s="8"/>
      <c r="I203" s="8"/>
      <c r="J203" s="8"/>
      <c r="K203" s="8"/>
      <c r="L203" s="8"/>
      <c r="M203" s="8"/>
      <c r="N203" s="8"/>
      <c r="O203" s="8"/>
      <c r="P203" s="8"/>
      <c r="Q203" s="8"/>
      <c r="R203" s="8"/>
      <c r="S203" s="8"/>
      <c r="T203" s="8"/>
      <c r="U203" s="8"/>
      <c r="V203" s="8"/>
      <c r="W203" s="8"/>
      <c r="X203" s="8"/>
      <c r="Y203" s="8"/>
      <c r="Z203" s="8"/>
      <c r="AA203" s="8"/>
    </row>
    <row r="204" spans="1:27" ht="19.75">
      <c r="A204" s="8"/>
      <c r="B204" s="7"/>
      <c r="C204" s="8"/>
      <c r="D204" s="8"/>
      <c r="E204" s="11"/>
      <c r="F204" s="8"/>
      <c r="G204" s="8"/>
      <c r="H204" s="8"/>
      <c r="I204" s="8"/>
      <c r="J204" s="8"/>
      <c r="K204" s="8"/>
      <c r="L204" s="8"/>
      <c r="M204" s="8"/>
      <c r="N204" s="8"/>
      <c r="O204" s="8"/>
      <c r="P204" s="8"/>
      <c r="Q204" s="8"/>
      <c r="R204" s="8"/>
      <c r="S204" s="8"/>
      <c r="T204" s="8"/>
      <c r="U204" s="8"/>
      <c r="V204" s="8"/>
      <c r="W204" s="8"/>
      <c r="X204" s="8"/>
      <c r="Y204" s="8"/>
      <c r="Z204" s="8"/>
      <c r="AA204" s="8"/>
    </row>
    <row r="205" spans="1:27" ht="19.75">
      <c r="A205" s="8"/>
      <c r="B205" s="7"/>
      <c r="C205" s="8"/>
      <c r="D205" s="8"/>
      <c r="E205" s="11"/>
      <c r="F205" s="8"/>
      <c r="G205" s="8"/>
      <c r="H205" s="8"/>
      <c r="I205" s="8"/>
      <c r="J205" s="8"/>
      <c r="K205" s="8"/>
      <c r="L205" s="8"/>
      <c r="M205" s="8"/>
      <c r="N205" s="8"/>
      <c r="O205" s="8"/>
      <c r="P205" s="8"/>
      <c r="Q205" s="8"/>
      <c r="R205" s="8"/>
      <c r="S205" s="8"/>
      <c r="T205" s="8"/>
      <c r="U205" s="8"/>
      <c r="V205" s="8"/>
      <c r="W205" s="8"/>
      <c r="X205" s="8"/>
      <c r="Y205" s="8"/>
      <c r="Z205" s="8"/>
      <c r="AA205" s="8"/>
    </row>
    <row r="206" spans="1:27" ht="19.75">
      <c r="A206" s="8"/>
      <c r="B206" s="7"/>
      <c r="C206" s="8"/>
      <c r="D206" s="8"/>
      <c r="E206" s="11"/>
      <c r="F206" s="8"/>
      <c r="G206" s="8"/>
      <c r="H206" s="8"/>
      <c r="I206" s="8"/>
      <c r="J206" s="8"/>
      <c r="K206" s="8"/>
      <c r="L206" s="8"/>
      <c r="M206" s="8"/>
      <c r="N206" s="8"/>
      <c r="O206" s="8"/>
      <c r="P206" s="8"/>
      <c r="Q206" s="8"/>
      <c r="R206" s="8"/>
      <c r="S206" s="8"/>
      <c r="T206" s="8"/>
      <c r="U206" s="8"/>
      <c r="V206" s="8"/>
      <c r="W206" s="8"/>
      <c r="X206" s="8"/>
      <c r="Y206" s="8"/>
      <c r="Z206" s="8"/>
      <c r="AA206" s="8"/>
    </row>
    <row r="207" spans="1:27" ht="19.75">
      <c r="A207" s="8"/>
      <c r="B207" s="7"/>
      <c r="C207" s="8"/>
      <c r="D207" s="8"/>
      <c r="E207" s="11"/>
      <c r="F207" s="8"/>
      <c r="G207" s="8"/>
      <c r="H207" s="8"/>
      <c r="I207" s="8"/>
      <c r="J207" s="8"/>
      <c r="K207" s="8"/>
      <c r="L207" s="8"/>
      <c r="M207" s="8"/>
      <c r="N207" s="8"/>
      <c r="O207" s="8"/>
      <c r="P207" s="8"/>
      <c r="Q207" s="8"/>
      <c r="R207" s="8"/>
      <c r="S207" s="8"/>
      <c r="T207" s="8"/>
      <c r="U207" s="8"/>
      <c r="V207" s="8"/>
      <c r="W207" s="8"/>
      <c r="X207" s="8"/>
      <c r="Y207" s="8"/>
      <c r="Z207" s="8"/>
      <c r="AA207" s="8"/>
    </row>
    <row r="208" spans="1:27" ht="19.75">
      <c r="A208" s="8"/>
      <c r="B208" s="7"/>
      <c r="C208" s="8"/>
      <c r="D208" s="8"/>
      <c r="E208" s="11"/>
      <c r="F208" s="8"/>
      <c r="G208" s="8"/>
      <c r="H208" s="8"/>
      <c r="I208" s="8"/>
      <c r="J208" s="8"/>
      <c r="K208" s="8"/>
      <c r="L208" s="8"/>
      <c r="M208" s="8"/>
      <c r="N208" s="8"/>
      <c r="O208" s="8"/>
      <c r="P208" s="8"/>
      <c r="Q208" s="8"/>
      <c r="R208" s="8"/>
      <c r="S208" s="8"/>
      <c r="T208" s="8"/>
      <c r="U208" s="8"/>
      <c r="V208" s="8"/>
      <c r="W208" s="8"/>
      <c r="X208" s="8"/>
      <c r="Y208" s="8"/>
      <c r="Z208" s="8"/>
      <c r="AA208" s="8"/>
    </row>
    <row r="209" spans="1:27" ht="19.75">
      <c r="A209" s="8"/>
      <c r="B209" s="7"/>
      <c r="C209" s="8"/>
      <c r="D209" s="8"/>
      <c r="E209" s="11"/>
      <c r="F209" s="8"/>
      <c r="G209" s="8"/>
      <c r="H209" s="8"/>
      <c r="I209" s="8"/>
      <c r="J209" s="8"/>
      <c r="K209" s="8"/>
      <c r="L209" s="8"/>
      <c r="M209" s="8"/>
      <c r="N209" s="8"/>
      <c r="O209" s="8"/>
      <c r="P209" s="8"/>
      <c r="Q209" s="8"/>
      <c r="R209" s="8"/>
      <c r="S209" s="8"/>
      <c r="T209" s="8"/>
      <c r="U209" s="8"/>
      <c r="V209" s="8"/>
      <c r="W209" s="8"/>
      <c r="X209" s="8"/>
      <c r="Y209" s="8"/>
      <c r="Z209" s="8"/>
      <c r="AA209" s="8"/>
    </row>
    <row r="210" spans="1:27" ht="19.75">
      <c r="A210" s="8"/>
      <c r="B210" s="7"/>
      <c r="C210" s="8"/>
      <c r="D210" s="8"/>
      <c r="E210" s="11"/>
      <c r="F210" s="8"/>
      <c r="G210" s="8"/>
      <c r="H210" s="8"/>
      <c r="I210" s="8"/>
      <c r="J210" s="8"/>
      <c r="K210" s="8"/>
      <c r="L210" s="8"/>
      <c r="M210" s="8"/>
      <c r="N210" s="8"/>
      <c r="O210" s="8"/>
      <c r="P210" s="8"/>
      <c r="Q210" s="8"/>
      <c r="R210" s="8"/>
      <c r="S210" s="8"/>
      <c r="T210" s="8"/>
      <c r="U210" s="8"/>
      <c r="V210" s="8"/>
      <c r="W210" s="8"/>
      <c r="X210" s="8"/>
      <c r="Y210" s="8"/>
      <c r="Z210" s="8"/>
      <c r="AA210" s="8"/>
    </row>
    <row r="211" spans="1:27" ht="19.75">
      <c r="A211" s="8"/>
      <c r="B211" s="7"/>
      <c r="C211" s="8"/>
      <c r="D211" s="8"/>
      <c r="E211" s="11"/>
      <c r="F211" s="8"/>
      <c r="G211" s="8"/>
      <c r="H211" s="8"/>
      <c r="I211" s="8"/>
      <c r="J211" s="8"/>
      <c r="K211" s="8"/>
      <c r="L211" s="8"/>
      <c r="M211" s="8"/>
      <c r="N211" s="8"/>
      <c r="O211" s="8"/>
      <c r="P211" s="8"/>
      <c r="Q211" s="8"/>
      <c r="R211" s="8"/>
      <c r="S211" s="8"/>
      <c r="T211" s="8"/>
      <c r="U211" s="8"/>
      <c r="V211" s="8"/>
      <c r="W211" s="8"/>
      <c r="X211" s="8"/>
      <c r="Y211" s="8"/>
      <c r="Z211" s="8"/>
      <c r="AA211" s="8"/>
    </row>
    <row r="212" spans="1:27" ht="19.75">
      <c r="A212" s="8"/>
      <c r="B212" s="7"/>
      <c r="C212" s="8"/>
      <c r="D212" s="8"/>
      <c r="E212" s="11"/>
      <c r="F212" s="8"/>
      <c r="G212" s="8"/>
      <c r="H212" s="8"/>
      <c r="I212" s="8"/>
      <c r="J212" s="8"/>
      <c r="K212" s="8"/>
      <c r="L212" s="8"/>
      <c r="M212" s="8"/>
      <c r="N212" s="8"/>
      <c r="O212" s="8"/>
      <c r="P212" s="8"/>
      <c r="Q212" s="8"/>
      <c r="R212" s="8"/>
      <c r="S212" s="8"/>
      <c r="T212" s="8"/>
      <c r="U212" s="8"/>
      <c r="V212" s="8"/>
      <c r="W212" s="8"/>
      <c r="X212" s="8"/>
      <c r="Y212" s="8"/>
      <c r="Z212" s="8"/>
      <c r="AA212" s="8"/>
    </row>
    <row r="213" spans="1:27" ht="19.75">
      <c r="A213" s="8"/>
      <c r="B213" s="7"/>
      <c r="C213" s="8"/>
      <c r="D213" s="8"/>
      <c r="E213" s="11"/>
      <c r="F213" s="8"/>
      <c r="G213" s="8"/>
      <c r="H213" s="8"/>
      <c r="I213" s="8"/>
      <c r="J213" s="8"/>
      <c r="K213" s="8"/>
      <c r="L213" s="8"/>
      <c r="M213" s="8"/>
      <c r="N213" s="8"/>
      <c r="O213" s="8"/>
      <c r="P213" s="8"/>
      <c r="Q213" s="8"/>
      <c r="R213" s="8"/>
      <c r="S213" s="8"/>
      <c r="T213" s="8"/>
      <c r="U213" s="8"/>
      <c r="V213" s="8"/>
      <c r="W213" s="8"/>
      <c r="X213" s="8"/>
      <c r="Y213" s="8"/>
      <c r="Z213" s="8"/>
      <c r="AA213" s="8"/>
    </row>
    <row r="214" spans="1:27" ht="19.75">
      <c r="A214" s="8"/>
      <c r="B214" s="7"/>
      <c r="C214" s="8"/>
      <c r="D214" s="8"/>
      <c r="E214" s="11"/>
      <c r="F214" s="8"/>
      <c r="G214" s="8"/>
      <c r="H214" s="8"/>
      <c r="I214" s="8"/>
      <c r="J214" s="8"/>
      <c r="K214" s="8"/>
      <c r="L214" s="8"/>
      <c r="M214" s="8"/>
      <c r="N214" s="8"/>
      <c r="O214" s="8"/>
      <c r="P214" s="8"/>
      <c r="Q214" s="8"/>
      <c r="R214" s="8"/>
      <c r="S214" s="8"/>
      <c r="T214" s="8"/>
      <c r="U214" s="8"/>
      <c r="V214" s="8"/>
      <c r="W214" s="8"/>
      <c r="X214" s="8"/>
      <c r="Y214" s="8"/>
      <c r="Z214" s="8"/>
      <c r="AA214" s="8"/>
    </row>
    <row r="215" spans="1:27" ht="19.75">
      <c r="A215" s="8"/>
      <c r="B215" s="7"/>
      <c r="C215" s="8"/>
      <c r="D215" s="8"/>
      <c r="E215" s="11"/>
      <c r="F215" s="8"/>
      <c r="G215" s="8"/>
      <c r="H215" s="8"/>
      <c r="I215" s="8"/>
      <c r="J215" s="8"/>
      <c r="K215" s="8"/>
      <c r="L215" s="8"/>
      <c r="M215" s="8"/>
      <c r="N215" s="8"/>
      <c r="O215" s="8"/>
      <c r="P215" s="8"/>
      <c r="Q215" s="8"/>
      <c r="R215" s="8"/>
      <c r="S215" s="8"/>
      <c r="T215" s="8"/>
      <c r="U215" s="8"/>
      <c r="V215" s="8"/>
      <c r="W215" s="8"/>
      <c r="X215" s="8"/>
      <c r="Y215" s="8"/>
      <c r="Z215" s="8"/>
      <c r="AA215" s="8"/>
    </row>
    <row r="216" spans="1:27" ht="19.75">
      <c r="A216" s="8"/>
      <c r="B216" s="7"/>
      <c r="C216" s="8"/>
      <c r="D216" s="8"/>
      <c r="E216" s="11"/>
      <c r="F216" s="8"/>
      <c r="G216" s="8"/>
      <c r="H216" s="8"/>
      <c r="I216" s="8"/>
      <c r="J216" s="8"/>
      <c r="K216" s="8"/>
      <c r="L216" s="8"/>
      <c r="M216" s="8"/>
      <c r="N216" s="8"/>
      <c r="O216" s="8"/>
      <c r="P216" s="8"/>
      <c r="Q216" s="8"/>
      <c r="R216" s="8"/>
      <c r="S216" s="8"/>
      <c r="T216" s="8"/>
      <c r="U216" s="8"/>
      <c r="V216" s="8"/>
      <c r="W216" s="8"/>
      <c r="X216" s="8"/>
      <c r="Y216" s="8"/>
      <c r="Z216" s="8"/>
      <c r="AA216" s="8"/>
    </row>
    <row r="217" spans="1:27" ht="19.75">
      <c r="A217" s="8"/>
      <c r="B217" s="7"/>
      <c r="C217" s="8"/>
      <c r="D217" s="8"/>
      <c r="E217" s="11"/>
      <c r="F217" s="8"/>
      <c r="G217" s="8"/>
      <c r="H217" s="8"/>
      <c r="I217" s="8"/>
      <c r="J217" s="8"/>
      <c r="K217" s="8"/>
      <c r="L217" s="8"/>
      <c r="M217" s="8"/>
      <c r="N217" s="8"/>
      <c r="O217" s="8"/>
      <c r="P217" s="8"/>
      <c r="Q217" s="8"/>
      <c r="R217" s="8"/>
      <c r="S217" s="8"/>
      <c r="T217" s="8"/>
      <c r="U217" s="8"/>
      <c r="V217" s="8"/>
      <c r="W217" s="8"/>
      <c r="X217" s="8"/>
      <c r="Y217" s="8"/>
      <c r="Z217" s="8"/>
      <c r="AA217" s="8"/>
    </row>
    <row r="218" spans="1:27" ht="19.75">
      <c r="A218" s="8"/>
      <c r="B218" s="7"/>
      <c r="C218" s="8"/>
      <c r="D218" s="8"/>
      <c r="E218" s="11"/>
      <c r="F218" s="8"/>
      <c r="G218" s="8"/>
      <c r="H218" s="8"/>
      <c r="I218" s="8"/>
      <c r="J218" s="8"/>
      <c r="K218" s="8"/>
      <c r="L218" s="8"/>
      <c r="M218" s="8"/>
      <c r="N218" s="8"/>
      <c r="O218" s="8"/>
      <c r="P218" s="8"/>
      <c r="Q218" s="8"/>
      <c r="R218" s="8"/>
      <c r="S218" s="8"/>
      <c r="T218" s="8"/>
      <c r="U218" s="8"/>
      <c r="V218" s="8"/>
      <c r="W218" s="8"/>
      <c r="X218" s="8"/>
      <c r="Y218" s="8"/>
      <c r="Z218" s="8"/>
      <c r="AA218" s="8"/>
    </row>
    <row r="219" spans="1:27" ht="19.75">
      <c r="A219" s="8"/>
      <c r="B219" s="7"/>
      <c r="C219" s="8"/>
      <c r="D219" s="8"/>
      <c r="E219" s="11"/>
      <c r="F219" s="8"/>
      <c r="G219" s="8"/>
      <c r="H219" s="8"/>
      <c r="I219" s="8"/>
      <c r="J219" s="8"/>
      <c r="K219" s="8"/>
      <c r="L219" s="8"/>
      <c r="M219" s="8"/>
      <c r="N219" s="8"/>
      <c r="O219" s="8"/>
      <c r="P219" s="8"/>
      <c r="Q219" s="8"/>
      <c r="R219" s="8"/>
      <c r="S219" s="8"/>
      <c r="T219" s="8"/>
      <c r="U219" s="8"/>
      <c r="V219" s="8"/>
      <c r="W219" s="8"/>
      <c r="X219" s="8"/>
      <c r="Y219" s="8"/>
      <c r="Z219" s="8"/>
      <c r="AA219" s="8"/>
    </row>
    <row r="220" spans="1:27" ht="19.75">
      <c r="A220" s="8"/>
      <c r="B220" s="7"/>
      <c r="C220" s="8"/>
      <c r="D220" s="8"/>
      <c r="E220" s="11"/>
      <c r="F220" s="8"/>
      <c r="G220" s="8"/>
      <c r="H220" s="8"/>
      <c r="I220" s="8"/>
      <c r="J220" s="8"/>
      <c r="K220" s="8"/>
      <c r="L220" s="8"/>
      <c r="M220" s="8"/>
      <c r="N220" s="8"/>
      <c r="O220" s="8"/>
      <c r="P220" s="8"/>
      <c r="Q220" s="8"/>
      <c r="R220" s="8"/>
      <c r="S220" s="8"/>
      <c r="T220" s="8"/>
      <c r="U220" s="8"/>
      <c r="V220" s="8"/>
      <c r="W220" s="8"/>
      <c r="X220" s="8"/>
      <c r="Y220" s="8"/>
      <c r="Z220" s="8"/>
      <c r="AA220" s="8"/>
    </row>
    <row r="221" spans="1:27" ht="19.75">
      <c r="A221" s="8"/>
      <c r="B221" s="7"/>
      <c r="C221" s="8"/>
      <c r="D221" s="8"/>
      <c r="E221" s="11"/>
      <c r="F221" s="8"/>
      <c r="G221" s="8"/>
      <c r="H221" s="8"/>
      <c r="I221" s="8"/>
      <c r="J221" s="8"/>
      <c r="K221" s="8"/>
      <c r="L221" s="8"/>
      <c r="M221" s="8"/>
      <c r="N221" s="8"/>
      <c r="O221" s="8"/>
      <c r="P221" s="8"/>
      <c r="Q221" s="8"/>
      <c r="R221" s="8"/>
      <c r="S221" s="8"/>
      <c r="T221" s="8"/>
      <c r="U221" s="8"/>
      <c r="V221" s="8"/>
      <c r="W221" s="8"/>
      <c r="X221" s="8"/>
      <c r="Y221" s="8"/>
      <c r="Z221" s="8"/>
      <c r="AA221" s="8"/>
    </row>
    <row r="222" spans="1:27" ht="19.75">
      <c r="A222" s="8"/>
      <c r="B222" s="7"/>
      <c r="C222" s="8"/>
      <c r="D222" s="8"/>
      <c r="E222" s="11"/>
      <c r="F222" s="8"/>
      <c r="G222" s="8"/>
      <c r="H222" s="8"/>
      <c r="I222" s="8"/>
      <c r="J222" s="8"/>
      <c r="K222" s="8"/>
      <c r="L222" s="8"/>
      <c r="M222" s="8"/>
      <c r="N222" s="8"/>
      <c r="O222" s="8"/>
      <c r="P222" s="8"/>
      <c r="Q222" s="8"/>
      <c r="R222" s="8"/>
      <c r="S222" s="8"/>
      <c r="T222" s="8"/>
      <c r="U222" s="8"/>
      <c r="V222" s="8"/>
      <c r="W222" s="8"/>
      <c r="X222" s="8"/>
      <c r="Y222" s="8"/>
      <c r="Z222" s="8"/>
      <c r="AA222" s="8"/>
    </row>
    <row r="223" spans="1:27" ht="19.75">
      <c r="A223" s="8"/>
      <c r="B223" s="7"/>
      <c r="C223" s="8"/>
      <c r="D223" s="8"/>
      <c r="E223" s="11"/>
      <c r="F223" s="8"/>
      <c r="G223" s="8"/>
      <c r="H223" s="8"/>
      <c r="I223" s="8"/>
      <c r="J223" s="8"/>
      <c r="K223" s="8"/>
      <c r="L223" s="8"/>
      <c r="M223" s="8"/>
      <c r="N223" s="8"/>
      <c r="O223" s="8"/>
      <c r="P223" s="8"/>
      <c r="Q223" s="8"/>
      <c r="R223" s="8"/>
      <c r="S223" s="8"/>
      <c r="T223" s="8"/>
      <c r="U223" s="8"/>
      <c r="V223" s="8"/>
      <c r="W223" s="8"/>
      <c r="X223" s="8"/>
      <c r="Y223" s="8"/>
      <c r="Z223" s="8"/>
      <c r="AA223" s="8"/>
    </row>
    <row r="224" spans="1:27" ht="19.75">
      <c r="A224" s="8"/>
      <c r="B224" s="7"/>
      <c r="C224" s="8"/>
      <c r="D224" s="8"/>
      <c r="E224" s="11"/>
      <c r="F224" s="8"/>
      <c r="G224" s="8"/>
      <c r="H224" s="8"/>
      <c r="I224" s="8"/>
      <c r="J224" s="8"/>
      <c r="K224" s="8"/>
      <c r="L224" s="8"/>
      <c r="M224" s="8"/>
      <c r="N224" s="8"/>
      <c r="O224" s="8"/>
      <c r="P224" s="8"/>
      <c r="Q224" s="8"/>
      <c r="R224" s="8"/>
      <c r="S224" s="8"/>
      <c r="T224" s="8"/>
      <c r="U224" s="8"/>
      <c r="V224" s="8"/>
      <c r="W224" s="8"/>
      <c r="X224" s="8"/>
      <c r="Y224" s="8"/>
      <c r="Z224" s="8"/>
      <c r="AA224" s="8"/>
    </row>
    <row r="225" spans="1:27" ht="19.75">
      <c r="A225" s="8"/>
      <c r="B225" s="7"/>
      <c r="C225" s="8"/>
      <c r="D225" s="8"/>
      <c r="E225" s="11"/>
      <c r="F225" s="8"/>
      <c r="G225" s="8"/>
      <c r="H225" s="8"/>
      <c r="I225" s="8"/>
      <c r="J225" s="8"/>
      <c r="K225" s="8"/>
      <c r="L225" s="8"/>
      <c r="M225" s="8"/>
      <c r="N225" s="8"/>
      <c r="O225" s="8"/>
      <c r="P225" s="8"/>
      <c r="Q225" s="8"/>
      <c r="R225" s="8"/>
      <c r="S225" s="8"/>
      <c r="T225" s="8"/>
      <c r="U225" s="8"/>
      <c r="V225" s="8"/>
      <c r="W225" s="8"/>
      <c r="X225" s="8"/>
      <c r="Y225" s="8"/>
      <c r="Z225" s="8"/>
      <c r="AA225" s="8"/>
    </row>
    <row r="226" spans="1:27" ht="19.75">
      <c r="A226" s="8"/>
      <c r="B226" s="7"/>
      <c r="C226" s="8"/>
      <c r="D226" s="8"/>
      <c r="E226" s="11"/>
      <c r="F226" s="8"/>
      <c r="G226" s="8"/>
      <c r="H226" s="8"/>
      <c r="I226" s="8"/>
      <c r="J226" s="8"/>
      <c r="K226" s="8"/>
      <c r="L226" s="8"/>
      <c r="M226" s="8"/>
      <c r="N226" s="8"/>
      <c r="O226" s="8"/>
      <c r="P226" s="8"/>
      <c r="Q226" s="8"/>
      <c r="R226" s="8"/>
      <c r="S226" s="8"/>
      <c r="T226" s="8"/>
      <c r="U226" s="8"/>
      <c r="V226" s="8"/>
      <c r="W226" s="8"/>
      <c r="X226" s="8"/>
      <c r="Y226" s="8"/>
      <c r="Z226" s="8"/>
      <c r="AA226" s="8"/>
    </row>
    <row r="227" spans="1:27" ht="19.75">
      <c r="A227" s="8"/>
      <c r="B227" s="7"/>
      <c r="C227" s="8"/>
      <c r="D227" s="8"/>
      <c r="E227" s="11"/>
      <c r="F227" s="8"/>
      <c r="G227" s="8"/>
      <c r="H227" s="8"/>
      <c r="I227" s="8"/>
      <c r="J227" s="8"/>
      <c r="K227" s="8"/>
      <c r="L227" s="8"/>
      <c r="M227" s="8"/>
      <c r="N227" s="8"/>
      <c r="O227" s="8"/>
      <c r="P227" s="8"/>
      <c r="Q227" s="8"/>
      <c r="R227" s="8"/>
      <c r="S227" s="8"/>
      <c r="T227" s="8"/>
      <c r="U227" s="8"/>
      <c r="V227" s="8"/>
      <c r="W227" s="8"/>
      <c r="X227" s="8"/>
      <c r="Y227" s="8"/>
      <c r="Z227" s="8"/>
      <c r="AA227" s="8"/>
    </row>
    <row r="228" spans="1:27" ht="19.75">
      <c r="A228" s="8"/>
      <c r="B228" s="7"/>
      <c r="C228" s="8"/>
      <c r="D228" s="8"/>
      <c r="E228" s="11"/>
      <c r="F228" s="8"/>
      <c r="G228" s="8"/>
      <c r="H228" s="8"/>
      <c r="I228" s="8"/>
      <c r="J228" s="8"/>
      <c r="K228" s="8"/>
      <c r="L228" s="8"/>
      <c r="M228" s="8"/>
      <c r="N228" s="8"/>
      <c r="O228" s="8"/>
      <c r="P228" s="8"/>
      <c r="Q228" s="8"/>
      <c r="R228" s="8"/>
      <c r="S228" s="8"/>
      <c r="T228" s="8"/>
      <c r="U228" s="8"/>
      <c r="V228" s="8"/>
      <c r="W228" s="8"/>
      <c r="X228" s="8"/>
      <c r="Y228" s="8"/>
      <c r="Z228" s="8"/>
      <c r="AA228" s="8"/>
    </row>
    <row r="229" spans="1:27" ht="19.75">
      <c r="A229" s="8"/>
      <c r="B229" s="7"/>
      <c r="C229" s="8"/>
      <c r="D229" s="8"/>
      <c r="E229" s="11"/>
      <c r="F229" s="8"/>
      <c r="G229" s="8"/>
      <c r="H229" s="8"/>
      <c r="I229" s="8"/>
      <c r="J229" s="8"/>
      <c r="K229" s="8"/>
      <c r="L229" s="8"/>
      <c r="M229" s="8"/>
      <c r="N229" s="8"/>
      <c r="O229" s="8"/>
      <c r="P229" s="8"/>
      <c r="Q229" s="8"/>
      <c r="R229" s="8"/>
      <c r="S229" s="8"/>
      <c r="T229" s="8"/>
      <c r="U229" s="8"/>
      <c r="V229" s="8"/>
      <c r="W229" s="8"/>
      <c r="X229" s="8"/>
      <c r="Y229" s="8"/>
      <c r="Z229" s="8"/>
      <c r="AA229" s="8"/>
    </row>
    <row r="230" spans="1:27" ht="19.75">
      <c r="A230" s="8"/>
      <c r="B230" s="7"/>
      <c r="C230" s="8"/>
      <c r="D230" s="8"/>
      <c r="E230" s="11"/>
      <c r="F230" s="8"/>
      <c r="G230" s="8"/>
      <c r="H230" s="8"/>
      <c r="I230" s="8"/>
      <c r="J230" s="8"/>
      <c r="K230" s="8"/>
      <c r="L230" s="8"/>
      <c r="M230" s="8"/>
      <c r="N230" s="8"/>
      <c r="O230" s="8"/>
      <c r="P230" s="8"/>
      <c r="Q230" s="8"/>
      <c r="R230" s="8"/>
      <c r="S230" s="8"/>
      <c r="T230" s="8"/>
      <c r="U230" s="8"/>
      <c r="V230" s="8"/>
      <c r="W230" s="8"/>
      <c r="X230" s="8"/>
      <c r="Y230" s="8"/>
      <c r="Z230" s="8"/>
      <c r="AA230" s="8"/>
    </row>
    <row r="231" spans="1:27" ht="19.75">
      <c r="A231" s="8"/>
      <c r="B231" s="7"/>
      <c r="C231" s="8"/>
      <c r="D231" s="8"/>
      <c r="E231" s="11"/>
      <c r="F231" s="8"/>
      <c r="G231" s="8"/>
      <c r="H231" s="8"/>
      <c r="I231" s="8"/>
      <c r="J231" s="8"/>
      <c r="K231" s="8"/>
      <c r="L231" s="8"/>
      <c r="M231" s="8"/>
      <c r="N231" s="8"/>
      <c r="O231" s="8"/>
      <c r="P231" s="8"/>
      <c r="Q231" s="8"/>
      <c r="R231" s="8"/>
      <c r="S231" s="8"/>
      <c r="T231" s="8"/>
      <c r="U231" s="8"/>
      <c r="V231" s="8"/>
      <c r="W231" s="8"/>
      <c r="X231" s="8"/>
      <c r="Y231" s="8"/>
      <c r="Z231" s="8"/>
      <c r="AA231" s="8"/>
    </row>
    <row r="232" spans="1:27" ht="19.75">
      <c r="A232" s="8"/>
      <c r="B232" s="7"/>
      <c r="C232" s="8"/>
      <c r="D232" s="8"/>
      <c r="E232" s="11"/>
      <c r="F232" s="8"/>
      <c r="G232" s="8"/>
      <c r="H232" s="8"/>
      <c r="I232" s="8"/>
      <c r="J232" s="8"/>
      <c r="K232" s="8"/>
      <c r="L232" s="8"/>
      <c r="M232" s="8"/>
      <c r="N232" s="8"/>
      <c r="O232" s="8"/>
      <c r="P232" s="8"/>
      <c r="Q232" s="8"/>
      <c r="R232" s="8"/>
      <c r="S232" s="8"/>
      <c r="T232" s="8"/>
      <c r="U232" s="8"/>
      <c r="V232" s="8"/>
      <c r="W232" s="8"/>
      <c r="X232" s="8"/>
      <c r="Y232" s="8"/>
      <c r="Z232" s="8"/>
      <c r="AA232" s="8"/>
    </row>
    <row r="233" spans="1:27" ht="19.75">
      <c r="A233" s="8"/>
      <c r="B233" s="7"/>
      <c r="C233" s="8"/>
      <c r="D233" s="8"/>
      <c r="E233" s="11"/>
      <c r="F233" s="8"/>
      <c r="G233" s="8"/>
      <c r="H233" s="8"/>
      <c r="I233" s="8"/>
      <c r="J233" s="8"/>
      <c r="K233" s="8"/>
      <c r="L233" s="8"/>
      <c r="M233" s="8"/>
      <c r="N233" s="8"/>
      <c r="O233" s="8"/>
      <c r="P233" s="8"/>
      <c r="Q233" s="8"/>
      <c r="R233" s="8"/>
      <c r="S233" s="8"/>
      <c r="T233" s="8"/>
      <c r="U233" s="8"/>
      <c r="V233" s="8"/>
      <c r="W233" s="8"/>
      <c r="X233" s="8"/>
      <c r="Y233" s="8"/>
      <c r="Z233" s="8"/>
      <c r="AA233" s="8"/>
    </row>
    <row r="234" spans="1:27" ht="19.75">
      <c r="A234" s="8"/>
      <c r="B234" s="7"/>
      <c r="C234" s="8"/>
      <c r="D234" s="8"/>
      <c r="E234" s="11"/>
      <c r="F234" s="8"/>
      <c r="G234" s="8"/>
      <c r="H234" s="8"/>
      <c r="I234" s="8"/>
      <c r="J234" s="8"/>
      <c r="K234" s="8"/>
      <c r="L234" s="8"/>
      <c r="M234" s="8"/>
      <c r="N234" s="8"/>
      <c r="O234" s="8"/>
      <c r="P234" s="8"/>
      <c r="Q234" s="8"/>
      <c r="R234" s="8"/>
      <c r="S234" s="8"/>
      <c r="T234" s="8"/>
      <c r="U234" s="8"/>
      <c r="V234" s="8"/>
      <c r="W234" s="8"/>
      <c r="X234" s="8"/>
      <c r="Y234" s="8"/>
      <c r="Z234" s="8"/>
      <c r="AA234" s="8"/>
    </row>
    <row r="235" spans="1:27" ht="19.75">
      <c r="A235" s="8"/>
      <c r="B235" s="7"/>
      <c r="C235" s="8"/>
      <c r="D235" s="8"/>
      <c r="E235" s="11"/>
      <c r="F235" s="8"/>
      <c r="G235" s="8"/>
      <c r="H235" s="8"/>
      <c r="I235" s="8"/>
      <c r="J235" s="8"/>
      <c r="K235" s="8"/>
      <c r="L235" s="8"/>
      <c r="M235" s="8"/>
      <c r="N235" s="8"/>
      <c r="O235" s="8"/>
      <c r="P235" s="8"/>
      <c r="Q235" s="8"/>
      <c r="R235" s="8"/>
      <c r="S235" s="8"/>
      <c r="T235" s="8"/>
      <c r="U235" s="8"/>
      <c r="V235" s="8"/>
      <c r="W235" s="8"/>
      <c r="X235" s="8"/>
      <c r="Y235" s="8"/>
      <c r="Z235" s="8"/>
      <c r="AA235" s="8"/>
    </row>
    <row r="236" spans="1:27" ht="19.75">
      <c r="A236" s="8"/>
      <c r="B236" s="7"/>
      <c r="C236" s="8"/>
      <c r="D236" s="8"/>
      <c r="E236" s="11"/>
      <c r="F236" s="8"/>
      <c r="G236" s="8"/>
      <c r="H236" s="8"/>
      <c r="I236" s="8"/>
      <c r="J236" s="8"/>
      <c r="K236" s="8"/>
      <c r="L236" s="8"/>
      <c r="M236" s="8"/>
      <c r="N236" s="8"/>
      <c r="O236" s="8"/>
      <c r="P236" s="8"/>
      <c r="Q236" s="8"/>
      <c r="R236" s="8"/>
      <c r="S236" s="8"/>
      <c r="T236" s="8"/>
      <c r="U236" s="8"/>
      <c r="V236" s="8"/>
      <c r="W236" s="8"/>
      <c r="X236" s="8"/>
      <c r="Y236" s="8"/>
      <c r="Z236" s="8"/>
      <c r="AA236" s="8"/>
    </row>
    <row r="237" spans="1:27" ht="19.75">
      <c r="A237" s="8"/>
      <c r="B237" s="7"/>
      <c r="C237" s="8"/>
      <c r="D237" s="8"/>
      <c r="E237" s="11"/>
      <c r="F237" s="8"/>
      <c r="G237" s="8"/>
      <c r="H237" s="8"/>
      <c r="I237" s="8"/>
      <c r="J237" s="8"/>
      <c r="K237" s="8"/>
      <c r="L237" s="8"/>
      <c r="M237" s="8"/>
      <c r="N237" s="8"/>
      <c r="O237" s="8"/>
      <c r="P237" s="8"/>
      <c r="Q237" s="8"/>
      <c r="R237" s="8"/>
      <c r="S237" s="8"/>
      <c r="T237" s="8"/>
      <c r="U237" s="8"/>
      <c r="V237" s="8"/>
      <c r="W237" s="8"/>
      <c r="X237" s="8"/>
      <c r="Y237" s="8"/>
      <c r="Z237" s="8"/>
      <c r="AA237" s="8"/>
    </row>
    <row r="238" spans="1:27" ht="19.75">
      <c r="A238" s="8"/>
      <c r="B238" s="7"/>
      <c r="C238" s="8"/>
      <c r="D238" s="8"/>
      <c r="E238" s="11"/>
      <c r="F238" s="8"/>
      <c r="G238" s="8"/>
      <c r="H238" s="8"/>
      <c r="I238" s="8"/>
      <c r="J238" s="8"/>
      <c r="K238" s="8"/>
      <c r="L238" s="8"/>
      <c r="M238" s="8"/>
      <c r="N238" s="8"/>
      <c r="O238" s="8"/>
      <c r="P238" s="8"/>
      <c r="Q238" s="8"/>
      <c r="R238" s="8"/>
      <c r="S238" s="8"/>
      <c r="T238" s="8"/>
      <c r="U238" s="8"/>
      <c r="V238" s="8"/>
      <c r="W238" s="8"/>
      <c r="X238" s="8"/>
      <c r="Y238" s="8"/>
      <c r="Z238" s="8"/>
      <c r="AA238" s="8"/>
    </row>
    <row r="239" spans="1:27" ht="19.75">
      <c r="A239" s="8"/>
      <c r="B239" s="7"/>
      <c r="C239" s="8"/>
      <c r="D239" s="8"/>
      <c r="E239" s="11"/>
      <c r="F239" s="8"/>
      <c r="G239" s="8"/>
      <c r="H239" s="8"/>
      <c r="I239" s="8"/>
      <c r="J239" s="8"/>
      <c r="K239" s="8"/>
      <c r="L239" s="8"/>
      <c r="M239" s="8"/>
      <c r="N239" s="8"/>
      <c r="O239" s="8"/>
      <c r="P239" s="8"/>
      <c r="Q239" s="8"/>
      <c r="R239" s="8"/>
      <c r="S239" s="8"/>
      <c r="T239" s="8"/>
      <c r="U239" s="8"/>
      <c r="V239" s="8"/>
      <c r="W239" s="8"/>
      <c r="X239" s="8"/>
      <c r="Y239" s="8"/>
      <c r="Z239" s="8"/>
      <c r="AA239" s="8"/>
    </row>
    <row r="240" spans="1:27" ht="19.75">
      <c r="A240" s="8"/>
      <c r="B240" s="7"/>
      <c r="C240" s="8"/>
      <c r="D240" s="8"/>
      <c r="E240" s="11"/>
      <c r="F240" s="8"/>
      <c r="G240" s="8"/>
      <c r="H240" s="8"/>
      <c r="I240" s="8"/>
      <c r="J240" s="8"/>
      <c r="K240" s="8"/>
      <c r="L240" s="8"/>
      <c r="M240" s="8"/>
      <c r="N240" s="8"/>
      <c r="O240" s="8"/>
      <c r="P240" s="8"/>
      <c r="Q240" s="8"/>
      <c r="R240" s="8"/>
      <c r="S240" s="8"/>
      <c r="T240" s="8"/>
      <c r="U240" s="8"/>
      <c r="V240" s="8"/>
      <c r="W240" s="8"/>
      <c r="X240" s="8"/>
      <c r="Y240" s="8"/>
      <c r="Z240" s="8"/>
      <c r="AA240" s="8"/>
    </row>
    <row r="241" spans="1:27" ht="19.75">
      <c r="A241" s="8"/>
      <c r="B241" s="7"/>
      <c r="C241" s="8"/>
      <c r="D241" s="8"/>
      <c r="E241" s="11"/>
      <c r="F241" s="8"/>
      <c r="G241" s="8"/>
      <c r="H241" s="8"/>
      <c r="I241" s="8"/>
      <c r="J241" s="8"/>
      <c r="K241" s="8"/>
      <c r="L241" s="8"/>
      <c r="M241" s="8"/>
      <c r="N241" s="8"/>
      <c r="O241" s="8"/>
      <c r="P241" s="8"/>
      <c r="Q241" s="8"/>
      <c r="R241" s="8"/>
      <c r="S241" s="8"/>
      <c r="T241" s="8"/>
      <c r="U241" s="8"/>
      <c r="V241" s="8"/>
      <c r="W241" s="8"/>
      <c r="X241" s="8"/>
      <c r="Y241" s="8"/>
      <c r="Z241" s="8"/>
      <c r="AA241" s="8"/>
    </row>
    <row r="242" spans="1:27" ht="19.75">
      <c r="A242" s="8"/>
      <c r="B242" s="7"/>
      <c r="C242" s="8"/>
      <c r="D242" s="8"/>
      <c r="E242" s="11"/>
      <c r="F242" s="8"/>
      <c r="G242" s="8"/>
      <c r="H242" s="8"/>
      <c r="I242" s="8"/>
      <c r="J242" s="8"/>
      <c r="K242" s="8"/>
      <c r="L242" s="8"/>
      <c r="M242" s="8"/>
      <c r="N242" s="8"/>
      <c r="O242" s="8"/>
      <c r="P242" s="8"/>
      <c r="Q242" s="8"/>
      <c r="R242" s="8"/>
      <c r="S242" s="8"/>
      <c r="T242" s="8"/>
      <c r="U242" s="8"/>
      <c r="V242" s="8"/>
      <c r="W242" s="8"/>
      <c r="X242" s="8"/>
      <c r="Y242" s="8"/>
      <c r="Z242" s="8"/>
      <c r="AA242" s="8"/>
    </row>
    <row r="243" spans="1:27" ht="19.75">
      <c r="A243" s="8"/>
      <c r="B243" s="7"/>
      <c r="C243" s="8"/>
      <c r="D243" s="8"/>
      <c r="E243" s="11"/>
      <c r="F243" s="8"/>
      <c r="G243" s="8"/>
      <c r="H243" s="8"/>
      <c r="I243" s="8"/>
      <c r="J243" s="8"/>
      <c r="K243" s="8"/>
      <c r="L243" s="8"/>
      <c r="M243" s="8"/>
      <c r="N243" s="8"/>
      <c r="O243" s="8"/>
      <c r="P243" s="8"/>
      <c r="Q243" s="8"/>
      <c r="R243" s="8"/>
      <c r="S243" s="8"/>
      <c r="T243" s="8"/>
      <c r="U243" s="8"/>
      <c r="V243" s="8"/>
      <c r="W243" s="8"/>
      <c r="X243" s="8"/>
      <c r="Y243" s="8"/>
      <c r="Z243" s="8"/>
      <c r="AA243" s="8"/>
    </row>
    <row r="244" spans="1:27" ht="19.75">
      <c r="A244" s="8"/>
      <c r="B244" s="7"/>
      <c r="C244" s="8"/>
      <c r="D244" s="8"/>
      <c r="E244" s="11"/>
      <c r="F244" s="8"/>
      <c r="G244" s="8"/>
      <c r="H244" s="8"/>
      <c r="I244" s="8"/>
      <c r="J244" s="8"/>
      <c r="K244" s="8"/>
      <c r="L244" s="8"/>
      <c r="M244" s="8"/>
      <c r="N244" s="8"/>
      <c r="O244" s="8"/>
      <c r="P244" s="8"/>
      <c r="Q244" s="8"/>
      <c r="R244" s="8"/>
      <c r="S244" s="8"/>
      <c r="T244" s="8"/>
      <c r="U244" s="8"/>
      <c r="V244" s="8"/>
      <c r="W244" s="8"/>
      <c r="X244" s="8"/>
      <c r="Y244" s="8"/>
      <c r="Z244" s="8"/>
      <c r="AA244" s="8"/>
    </row>
    <row r="245" spans="1:27" ht="19.75">
      <c r="A245" s="8"/>
      <c r="B245" s="7"/>
      <c r="C245" s="8"/>
      <c r="D245" s="8"/>
      <c r="E245" s="11"/>
      <c r="F245" s="8"/>
      <c r="G245" s="8"/>
      <c r="H245" s="8"/>
      <c r="I245" s="8"/>
      <c r="J245" s="8"/>
      <c r="K245" s="8"/>
      <c r="L245" s="8"/>
      <c r="M245" s="8"/>
      <c r="N245" s="8"/>
      <c r="O245" s="8"/>
      <c r="P245" s="8"/>
      <c r="Q245" s="8"/>
      <c r="R245" s="8"/>
      <c r="S245" s="8"/>
      <c r="T245" s="8"/>
      <c r="U245" s="8"/>
      <c r="V245" s="8"/>
      <c r="W245" s="8"/>
      <c r="X245" s="8"/>
      <c r="Y245" s="8"/>
      <c r="Z245" s="8"/>
      <c r="AA245" s="8"/>
    </row>
    <row r="246" spans="1:27" ht="19.75">
      <c r="A246" s="8"/>
      <c r="B246" s="7"/>
      <c r="C246" s="8"/>
      <c r="D246" s="8"/>
      <c r="E246" s="11"/>
      <c r="F246" s="8"/>
      <c r="G246" s="8"/>
      <c r="H246" s="8"/>
      <c r="I246" s="8"/>
      <c r="J246" s="8"/>
      <c r="K246" s="8"/>
      <c r="L246" s="8"/>
      <c r="M246" s="8"/>
      <c r="N246" s="8"/>
      <c r="O246" s="8"/>
      <c r="P246" s="8"/>
      <c r="Q246" s="8"/>
      <c r="R246" s="8"/>
      <c r="S246" s="8"/>
      <c r="T246" s="8"/>
      <c r="U246" s="8"/>
      <c r="V246" s="8"/>
      <c r="W246" s="8"/>
      <c r="X246" s="8"/>
      <c r="Y246" s="8"/>
      <c r="Z246" s="8"/>
      <c r="AA246" s="8"/>
    </row>
    <row r="247" spans="1:27" ht="19.75">
      <c r="A247" s="8"/>
      <c r="B247" s="7"/>
      <c r="C247" s="8"/>
      <c r="D247" s="8"/>
      <c r="E247" s="11"/>
      <c r="F247" s="8"/>
      <c r="G247" s="8"/>
      <c r="H247" s="8"/>
      <c r="I247" s="8"/>
      <c r="J247" s="8"/>
      <c r="K247" s="8"/>
      <c r="L247" s="8"/>
      <c r="M247" s="8"/>
      <c r="N247" s="8"/>
      <c r="O247" s="8"/>
      <c r="P247" s="8"/>
      <c r="Q247" s="8"/>
      <c r="R247" s="8"/>
      <c r="S247" s="8"/>
      <c r="T247" s="8"/>
      <c r="U247" s="8"/>
      <c r="V247" s="8"/>
      <c r="W247" s="8"/>
      <c r="X247" s="8"/>
      <c r="Y247" s="8"/>
      <c r="Z247" s="8"/>
      <c r="AA247" s="8"/>
    </row>
    <row r="248" spans="1:27" ht="19.75">
      <c r="A248" s="8"/>
      <c r="B248" s="7"/>
      <c r="C248" s="8"/>
      <c r="D248" s="8"/>
      <c r="E248" s="11"/>
      <c r="F248" s="8"/>
      <c r="G248" s="8"/>
      <c r="H248" s="8"/>
      <c r="I248" s="8"/>
      <c r="J248" s="8"/>
      <c r="K248" s="8"/>
      <c r="L248" s="8"/>
      <c r="M248" s="8"/>
      <c r="N248" s="8"/>
      <c r="O248" s="8"/>
      <c r="P248" s="8"/>
      <c r="Q248" s="8"/>
      <c r="R248" s="8"/>
      <c r="S248" s="8"/>
      <c r="T248" s="8"/>
      <c r="U248" s="8"/>
      <c r="V248" s="8"/>
      <c r="W248" s="8"/>
      <c r="X248" s="8"/>
      <c r="Y248" s="8"/>
      <c r="Z248" s="8"/>
      <c r="AA248" s="8"/>
    </row>
    <row r="249" spans="1:27" ht="19.75">
      <c r="A249" s="8"/>
      <c r="B249" s="7"/>
      <c r="C249" s="8"/>
      <c r="D249" s="8"/>
      <c r="E249" s="11"/>
      <c r="F249" s="8"/>
      <c r="G249" s="8"/>
      <c r="H249" s="8"/>
      <c r="I249" s="8"/>
      <c r="J249" s="8"/>
      <c r="K249" s="8"/>
      <c r="L249" s="8"/>
      <c r="M249" s="8"/>
      <c r="N249" s="8"/>
      <c r="O249" s="8"/>
      <c r="P249" s="8"/>
      <c r="Q249" s="8"/>
      <c r="R249" s="8"/>
      <c r="S249" s="8"/>
      <c r="T249" s="8"/>
      <c r="U249" s="8"/>
      <c r="V249" s="8"/>
      <c r="W249" s="8"/>
      <c r="X249" s="8"/>
      <c r="Y249" s="8"/>
      <c r="Z249" s="8"/>
      <c r="AA249" s="8"/>
    </row>
    <row r="250" spans="1:27" ht="19.75">
      <c r="A250" s="8"/>
      <c r="B250" s="7"/>
      <c r="C250" s="8"/>
      <c r="D250" s="8"/>
      <c r="E250" s="11"/>
      <c r="F250" s="8"/>
      <c r="G250" s="8"/>
      <c r="H250" s="8"/>
      <c r="I250" s="8"/>
      <c r="J250" s="8"/>
      <c r="K250" s="8"/>
      <c r="L250" s="8"/>
      <c r="M250" s="8"/>
      <c r="N250" s="8"/>
      <c r="O250" s="8"/>
      <c r="P250" s="8"/>
      <c r="Q250" s="8"/>
      <c r="R250" s="8"/>
      <c r="S250" s="8"/>
      <c r="T250" s="8"/>
      <c r="U250" s="8"/>
      <c r="V250" s="8"/>
      <c r="W250" s="8"/>
      <c r="X250" s="8"/>
      <c r="Y250" s="8"/>
      <c r="Z250" s="8"/>
      <c r="AA250" s="8"/>
    </row>
    <row r="251" spans="1:27" ht="19.75">
      <c r="A251" s="8"/>
      <c r="B251" s="7"/>
      <c r="C251" s="8"/>
      <c r="D251" s="8"/>
      <c r="E251" s="11"/>
      <c r="F251" s="8"/>
      <c r="G251" s="8"/>
      <c r="H251" s="8"/>
      <c r="I251" s="8"/>
      <c r="J251" s="8"/>
      <c r="K251" s="8"/>
      <c r="L251" s="8"/>
      <c r="M251" s="8"/>
      <c r="N251" s="8"/>
      <c r="O251" s="8"/>
      <c r="P251" s="8"/>
      <c r="Q251" s="8"/>
      <c r="R251" s="8"/>
      <c r="S251" s="8"/>
      <c r="T251" s="8"/>
      <c r="U251" s="8"/>
      <c r="V251" s="8"/>
      <c r="W251" s="8"/>
      <c r="X251" s="8"/>
      <c r="Y251" s="8"/>
      <c r="Z251" s="8"/>
      <c r="AA251" s="8"/>
    </row>
    <row r="252" spans="1:27" ht="19.75">
      <c r="A252" s="8"/>
      <c r="B252" s="7"/>
      <c r="C252" s="8"/>
      <c r="D252" s="8"/>
      <c r="E252" s="11"/>
      <c r="F252" s="8"/>
      <c r="G252" s="8"/>
      <c r="H252" s="8"/>
      <c r="I252" s="8"/>
      <c r="J252" s="8"/>
      <c r="K252" s="8"/>
      <c r="L252" s="8"/>
      <c r="M252" s="8"/>
      <c r="N252" s="8"/>
      <c r="O252" s="8"/>
      <c r="P252" s="8"/>
      <c r="Q252" s="8"/>
      <c r="R252" s="8"/>
      <c r="S252" s="8"/>
      <c r="T252" s="8"/>
      <c r="U252" s="8"/>
      <c r="V252" s="8"/>
      <c r="W252" s="8"/>
      <c r="X252" s="8"/>
      <c r="Y252" s="8"/>
      <c r="Z252" s="8"/>
      <c r="AA252" s="8"/>
    </row>
    <row r="253" spans="1:27" ht="19.75">
      <c r="A253" s="8"/>
      <c r="B253" s="7"/>
      <c r="C253" s="8"/>
      <c r="D253" s="8"/>
      <c r="E253" s="11"/>
      <c r="F253" s="8"/>
      <c r="G253" s="8"/>
      <c r="H253" s="8"/>
      <c r="I253" s="8"/>
      <c r="J253" s="8"/>
      <c r="K253" s="8"/>
      <c r="L253" s="8"/>
      <c r="M253" s="8"/>
      <c r="N253" s="8"/>
      <c r="O253" s="8"/>
      <c r="P253" s="8"/>
      <c r="Q253" s="8"/>
      <c r="R253" s="8"/>
      <c r="S253" s="8"/>
      <c r="T253" s="8"/>
      <c r="U253" s="8"/>
      <c r="V253" s="8"/>
      <c r="W253" s="8"/>
      <c r="X253" s="8"/>
      <c r="Y253" s="8"/>
      <c r="Z253" s="8"/>
      <c r="AA253" s="8"/>
    </row>
    <row r="254" spans="1:27" ht="19.75">
      <c r="A254" s="8"/>
      <c r="B254" s="7"/>
      <c r="C254" s="8"/>
      <c r="D254" s="8"/>
      <c r="E254" s="11"/>
      <c r="F254" s="8"/>
      <c r="G254" s="8"/>
      <c r="H254" s="8"/>
      <c r="I254" s="8"/>
      <c r="J254" s="8"/>
      <c r="K254" s="8"/>
      <c r="L254" s="8"/>
      <c r="M254" s="8"/>
      <c r="N254" s="8"/>
      <c r="O254" s="8"/>
      <c r="P254" s="8"/>
      <c r="Q254" s="8"/>
      <c r="R254" s="8"/>
      <c r="S254" s="8"/>
      <c r="T254" s="8"/>
      <c r="U254" s="8"/>
      <c r="V254" s="8"/>
      <c r="W254" s="8"/>
      <c r="X254" s="8"/>
      <c r="Y254" s="8"/>
      <c r="Z254" s="8"/>
      <c r="AA254" s="8"/>
    </row>
    <row r="255" spans="1:27" ht="19.75">
      <c r="A255" s="8"/>
      <c r="B255" s="7"/>
      <c r="C255" s="8"/>
      <c r="D255" s="8"/>
      <c r="E255" s="11"/>
      <c r="F255" s="8"/>
      <c r="G255" s="8"/>
      <c r="H255" s="8"/>
      <c r="I255" s="8"/>
      <c r="J255" s="8"/>
      <c r="K255" s="8"/>
      <c r="L255" s="8"/>
      <c r="M255" s="8"/>
      <c r="N255" s="8"/>
      <c r="O255" s="8"/>
      <c r="P255" s="8"/>
      <c r="Q255" s="8"/>
      <c r="R255" s="8"/>
      <c r="S255" s="8"/>
      <c r="T255" s="8"/>
      <c r="U255" s="8"/>
      <c r="V255" s="8"/>
      <c r="W255" s="8"/>
      <c r="X255" s="8"/>
      <c r="Y255" s="8"/>
      <c r="Z255" s="8"/>
      <c r="AA255" s="8"/>
    </row>
    <row r="256" spans="1:27" ht="19.75">
      <c r="A256" s="8"/>
      <c r="B256" s="7"/>
      <c r="C256" s="8"/>
      <c r="D256" s="8"/>
      <c r="E256" s="11"/>
      <c r="F256" s="8"/>
      <c r="G256" s="8"/>
      <c r="H256" s="8"/>
      <c r="I256" s="8"/>
      <c r="J256" s="8"/>
      <c r="K256" s="8"/>
      <c r="L256" s="8"/>
      <c r="M256" s="8"/>
      <c r="N256" s="8"/>
      <c r="O256" s="8"/>
      <c r="P256" s="8"/>
      <c r="Q256" s="8"/>
      <c r="R256" s="8"/>
      <c r="S256" s="8"/>
      <c r="T256" s="8"/>
      <c r="U256" s="8"/>
      <c r="V256" s="8"/>
      <c r="W256" s="8"/>
      <c r="X256" s="8"/>
      <c r="Y256" s="8"/>
      <c r="Z256" s="8"/>
      <c r="AA256" s="8"/>
    </row>
    <row r="257" spans="1:27" ht="19.75">
      <c r="A257" s="8"/>
      <c r="B257" s="7"/>
      <c r="C257" s="8"/>
      <c r="D257" s="8"/>
      <c r="E257" s="11"/>
      <c r="F257" s="8"/>
      <c r="G257" s="8"/>
      <c r="H257" s="8"/>
      <c r="I257" s="8"/>
      <c r="J257" s="8"/>
      <c r="K257" s="8"/>
      <c r="L257" s="8"/>
      <c r="M257" s="8"/>
      <c r="N257" s="8"/>
      <c r="O257" s="8"/>
      <c r="P257" s="8"/>
      <c r="Q257" s="8"/>
      <c r="R257" s="8"/>
      <c r="S257" s="8"/>
      <c r="T257" s="8"/>
      <c r="U257" s="8"/>
      <c r="V257" s="8"/>
      <c r="W257" s="8"/>
      <c r="X257" s="8"/>
      <c r="Y257" s="8"/>
      <c r="Z257" s="8"/>
      <c r="AA257" s="8"/>
    </row>
    <row r="258" spans="1:27" ht="19.75">
      <c r="A258" s="8"/>
      <c r="B258" s="7"/>
      <c r="C258" s="8"/>
      <c r="D258" s="8"/>
      <c r="E258" s="11"/>
      <c r="F258" s="8"/>
      <c r="G258" s="8"/>
      <c r="H258" s="8"/>
      <c r="I258" s="8"/>
      <c r="J258" s="8"/>
      <c r="K258" s="8"/>
      <c r="L258" s="8"/>
      <c r="M258" s="8"/>
      <c r="N258" s="8"/>
      <c r="O258" s="8"/>
      <c r="P258" s="8"/>
      <c r="Q258" s="8"/>
      <c r="R258" s="8"/>
      <c r="S258" s="8"/>
      <c r="T258" s="8"/>
      <c r="U258" s="8"/>
      <c r="V258" s="8"/>
      <c r="W258" s="8"/>
      <c r="X258" s="8"/>
      <c r="Y258" s="8"/>
      <c r="Z258" s="8"/>
      <c r="AA258" s="8"/>
    </row>
    <row r="259" spans="1:27" ht="19.75">
      <c r="A259" s="8"/>
      <c r="B259" s="7"/>
      <c r="C259" s="8"/>
      <c r="D259" s="8"/>
      <c r="E259" s="11"/>
      <c r="F259" s="8"/>
      <c r="G259" s="8"/>
      <c r="H259" s="8"/>
      <c r="I259" s="8"/>
      <c r="J259" s="8"/>
      <c r="K259" s="8"/>
      <c r="L259" s="8"/>
      <c r="M259" s="8"/>
      <c r="N259" s="8"/>
      <c r="O259" s="8"/>
      <c r="P259" s="8"/>
      <c r="Q259" s="8"/>
      <c r="R259" s="8"/>
      <c r="S259" s="8"/>
      <c r="T259" s="8"/>
      <c r="U259" s="8"/>
      <c r="V259" s="8"/>
      <c r="W259" s="8"/>
      <c r="X259" s="8"/>
      <c r="Y259" s="8"/>
      <c r="Z259" s="8"/>
      <c r="AA259" s="8"/>
    </row>
    <row r="260" spans="1:27" ht="19.75">
      <c r="A260" s="8"/>
      <c r="B260" s="7"/>
      <c r="C260" s="8"/>
      <c r="D260" s="8"/>
      <c r="E260" s="11"/>
      <c r="F260" s="8"/>
      <c r="G260" s="8"/>
      <c r="H260" s="8"/>
      <c r="I260" s="8"/>
      <c r="J260" s="8"/>
      <c r="K260" s="8"/>
      <c r="L260" s="8"/>
      <c r="M260" s="8"/>
      <c r="N260" s="8"/>
      <c r="O260" s="8"/>
      <c r="P260" s="8"/>
      <c r="Q260" s="8"/>
      <c r="R260" s="8"/>
      <c r="S260" s="8"/>
      <c r="T260" s="8"/>
      <c r="U260" s="8"/>
      <c r="V260" s="8"/>
      <c r="W260" s="8"/>
      <c r="X260" s="8"/>
      <c r="Y260" s="8"/>
      <c r="Z260" s="8"/>
      <c r="AA260" s="8"/>
    </row>
    <row r="261" spans="1:27" ht="19.75">
      <c r="A261" s="8"/>
      <c r="B261" s="7"/>
      <c r="C261" s="8"/>
      <c r="D261" s="8"/>
      <c r="E261" s="11"/>
      <c r="F261" s="8"/>
      <c r="G261" s="8"/>
      <c r="H261" s="8"/>
      <c r="I261" s="8"/>
      <c r="J261" s="8"/>
      <c r="K261" s="8"/>
      <c r="L261" s="8"/>
      <c r="M261" s="8"/>
      <c r="N261" s="8"/>
      <c r="O261" s="8"/>
      <c r="P261" s="8"/>
      <c r="Q261" s="8"/>
      <c r="R261" s="8"/>
      <c r="S261" s="8"/>
      <c r="T261" s="8"/>
      <c r="U261" s="8"/>
      <c r="V261" s="8"/>
      <c r="W261" s="8"/>
      <c r="X261" s="8"/>
      <c r="Y261" s="8"/>
      <c r="Z261" s="8"/>
      <c r="AA261" s="8"/>
    </row>
    <row r="262" spans="1:27" ht="19.75">
      <c r="A262" s="8"/>
      <c r="B262" s="7"/>
      <c r="C262" s="8"/>
      <c r="D262" s="8"/>
      <c r="E262" s="11"/>
      <c r="F262" s="8"/>
      <c r="G262" s="8"/>
      <c r="H262" s="8"/>
      <c r="I262" s="8"/>
      <c r="J262" s="8"/>
      <c r="K262" s="8"/>
      <c r="L262" s="8"/>
      <c r="M262" s="8"/>
      <c r="N262" s="8"/>
      <c r="O262" s="8"/>
      <c r="P262" s="8"/>
      <c r="Q262" s="8"/>
      <c r="R262" s="8"/>
      <c r="S262" s="8"/>
      <c r="T262" s="8"/>
      <c r="U262" s="8"/>
      <c r="V262" s="8"/>
      <c r="W262" s="8"/>
      <c r="X262" s="8"/>
      <c r="Y262" s="8"/>
      <c r="Z262" s="8"/>
      <c r="AA262" s="8"/>
    </row>
    <row r="263" spans="1:27" ht="19.75">
      <c r="A263" s="8"/>
      <c r="B263" s="7"/>
      <c r="C263" s="8"/>
      <c r="D263" s="8"/>
      <c r="E263" s="11"/>
      <c r="F263" s="8"/>
      <c r="G263" s="8"/>
      <c r="H263" s="8"/>
      <c r="I263" s="8"/>
      <c r="J263" s="8"/>
      <c r="K263" s="8"/>
      <c r="L263" s="8"/>
      <c r="M263" s="8"/>
      <c r="N263" s="8"/>
      <c r="O263" s="8"/>
      <c r="P263" s="8"/>
      <c r="Q263" s="8"/>
      <c r="R263" s="8"/>
      <c r="S263" s="8"/>
      <c r="T263" s="8"/>
      <c r="U263" s="8"/>
      <c r="V263" s="8"/>
      <c r="W263" s="8"/>
      <c r="X263" s="8"/>
      <c r="Y263" s="8"/>
      <c r="Z263" s="8"/>
      <c r="AA263" s="8"/>
    </row>
    <row r="264" spans="1:27" ht="19.75">
      <c r="A264" s="8"/>
      <c r="B264" s="7"/>
      <c r="C264" s="8"/>
      <c r="D264" s="8"/>
      <c r="E264" s="11"/>
      <c r="F264" s="8"/>
      <c r="G264" s="8"/>
      <c r="H264" s="8"/>
      <c r="I264" s="8"/>
      <c r="J264" s="8"/>
      <c r="K264" s="8"/>
      <c r="L264" s="8"/>
      <c r="M264" s="8"/>
      <c r="N264" s="8"/>
      <c r="O264" s="8"/>
      <c r="P264" s="8"/>
      <c r="Q264" s="8"/>
      <c r="R264" s="8"/>
      <c r="S264" s="8"/>
      <c r="T264" s="8"/>
      <c r="U264" s="8"/>
      <c r="V264" s="8"/>
      <c r="W264" s="8"/>
      <c r="X264" s="8"/>
      <c r="Y264" s="8"/>
      <c r="Z264" s="8"/>
      <c r="AA264" s="8"/>
    </row>
    <row r="265" spans="1:27" ht="19.75">
      <c r="A265" s="8"/>
      <c r="B265" s="7"/>
      <c r="C265" s="8"/>
      <c r="D265" s="8"/>
      <c r="E265" s="11"/>
      <c r="F265" s="8"/>
      <c r="G265" s="8"/>
      <c r="H265" s="8"/>
      <c r="I265" s="8"/>
      <c r="J265" s="8"/>
      <c r="K265" s="8"/>
      <c r="L265" s="8"/>
      <c r="M265" s="8"/>
      <c r="N265" s="8"/>
      <c r="O265" s="8"/>
      <c r="P265" s="8"/>
      <c r="Q265" s="8"/>
      <c r="R265" s="8"/>
      <c r="S265" s="8"/>
      <c r="T265" s="8"/>
      <c r="U265" s="8"/>
      <c r="V265" s="8"/>
      <c r="W265" s="8"/>
      <c r="X265" s="8"/>
      <c r="Y265" s="8"/>
      <c r="Z265" s="8"/>
      <c r="AA265" s="8"/>
    </row>
    <row r="266" spans="1:27" ht="19.75">
      <c r="A266" s="8"/>
      <c r="B266" s="7"/>
      <c r="C266" s="8"/>
      <c r="D266" s="8"/>
      <c r="E266" s="11"/>
      <c r="F266" s="8"/>
      <c r="G266" s="8"/>
      <c r="H266" s="8"/>
      <c r="I266" s="8"/>
      <c r="J266" s="8"/>
      <c r="K266" s="8"/>
      <c r="L266" s="8"/>
      <c r="M266" s="8"/>
      <c r="N266" s="8"/>
      <c r="O266" s="8"/>
      <c r="P266" s="8"/>
      <c r="Q266" s="8"/>
      <c r="R266" s="8"/>
      <c r="S266" s="8"/>
      <c r="T266" s="8"/>
      <c r="U266" s="8"/>
      <c r="V266" s="8"/>
      <c r="W266" s="8"/>
      <c r="X266" s="8"/>
      <c r="Y266" s="8"/>
      <c r="Z266" s="8"/>
      <c r="AA266" s="8"/>
    </row>
    <row r="267" spans="1:27" ht="19.75">
      <c r="A267" s="8"/>
      <c r="B267" s="7"/>
      <c r="C267" s="8"/>
      <c r="D267" s="8"/>
      <c r="E267" s="11"/>
      <c r="F267" s="8"/>
      <c r="G267" s="8"/>
      <c r="H267" s="8"/>
      <c r="I267" s="8"/>
      <c r="J267" s="8"/>
      <c r="K267" s="8"/>
      <c r="L267" s="8"/>
      <c r="M267" s="8"/>
      <c r="N267" s="8"/>
      <c r="O267" s="8"/>
      <c r="P267" s="8"/>
      <c r="Q267" s="8"/>
      <c r="R267" s="8"/>
      <c r="S267" s="8"/>
      <c r="T267" s="8"/>
      <c r="U267" s="8"/>
      <c r="V267" s="8"/>
      <c r="W267" s="8"/>
      <c r="X267" s="8"/>
      <c r="Y267" s="8"/>
      <c r="Z267" s="8"/>
      <c r="AA267" s="8"/>
    </row>
    <row r="268" spans="1:27" ht="19.75">
      <c r="A268" s="8"/>
      <c r="B268" s="7"/>
      <c r="C268" s="8"/>
      <c r="D268" s="8"/>
      <c r="E268" s="11"/>
      <c r="F268" s="8"/>
      <c r="G268" s="8"/>
      <c r="H268" s="8"/>
      <c r="I268" s="8"/>
      <c r="J268" s="8"/>
      <c r="K268" s="8"/>
      <c r="L268" s="8"/>
      <c r="M268" s="8"/>
      <c r="N268" s="8"/>
      <c r="O268" s="8"/>
      <c r="P268" s="8"/>
      <c r="Q268" s="8"/>
      <c r="R268" s="8"/>
      <c r="S268" s="8"/>
      <c r="T268" s="8"/>
      <c r="U268" s="8"/>
      <c r="V268" s="8"/>
      <c r="W268" s="8"/>
      <c r="X268" s="8"/>
      <c r="Y268" s="8"/>
      <c r="Z268" s="8"/>
      <c r="AA268" s="8"/>
    </row>
    <row r="269" spans="1:27" ht="19.75">
      <c r="A269" s="8"/>
      <c r="B269" s="7"/>
      <c r="C269" s="8"/>
      <c r="D269" s="8"/>
      <c r="E269" s="11"/>
      <c r="F269" s="8"/>
      <c r="G269" s="8"/>
      <c r="H269" s="8"/>
      <c r="I269" s="8"/>
      <c r="J269" s="8"/>
      <c r="K269" s="8"/>
      <c r="L269" s="8"/>
      <c r="M269" s="8"/>
      <c r="N269" s="8"/>
      <c r="O269" s="8"/>
      <c r="P269" s="8"/>
      <c r="Q269" s="8"/>
      <c r="R269" s="8"/>
      <c r="S269" s="8"/>
      <c r="T269" s="8"/>
      <c r="U269" s="8"/>
      <c r="V269" s="8"/>
      <c r="W269" s="8"/>
      <c r="X269" s="8"/>
      <c r="Y269" s="8"/>
      <c r="Z269" s="8"/>
      <c r="AA269" s="8"/>
    </row>
    <row r="270" spans="1:27" ht="19.75">
      <c r="A270" s="8"/>
      <c r="B270" s="7"/>
      <c r="C270" s="8"/>
      <c r="D270" s="8"/>
      <c r="E270" s="11"/>
      <c r="F270" s="8"/>
      <c r="G270" s="8"/>
      <c r="H270" s="8"/>
      <c r="I270" s="8"/>
      <c r="J270" s="8"/>
      <c r="K270" s="8"/>
      <c r="L270" s="8"/>
      <c r="M270" s="8"/>
      <c r="N270" s="8"/>
      <c r="O270" s="8"/>
      <c r="P270" s="8"/>
      <c r="Q270" s="8"/>
      <c r="R270" s="8"/>
      <c r="S270" s="8"/>
      <c r="T270" s="8"/>
      <c r="U270" s="8"/>
      <c r="V270" s="8"/>
      <c r="W270" s="8"/>
      <c r="X270" s="8"/>
      <c r="Y270" s="8"/>
      <c r="Z270" s="8"/>
      <c r="AA270" s="8"/>
    </row>
    <row r="271" spans="1:27" ht="19.75">
      <c r="A271" s="8"/>
      <c r="B271" s="7"/>
      <c r="C271" s="8"/>
      <c r="D271" s="8"/>
      <c r="E271" s="11"/>
      <c r="F271" s="8"/>
      <c r="G271" s="8"/>
      <c r="H271" s="8"/>
      <c r="I271" s="8"/>
      <c r="J271" s="8"/>
      <c r="K271" s="8"/>
      <c r="L271" s="8"/>
      <c r="M271" s="8"/>
      <c r="N271" s="8"/>
      <c r="O271" s="8"/>
      <c r="P271" s="8"/>
      <c r="Q271" s="8"/>
      <c r="R271" s="8"/>
      <c r="S271" s="8"/>
      <c r="T271" s="8"/>
      <c r="U271" s="8"/>
      <c r="V271" s="8"/>
      <c r="W271" s="8"/>
      <c r="X271" s="8"/>
      <c r="Y271" s="8"/>
      <c r="Z271" s="8"/>
      <c r="AA271" s="8"/>
    </row>
    <row r="272" spans="1:27" ht="19.75">
      <c r="A272" s="8"/>
      <c r="B272" s="7"/>
      <c r="C272" s="8"/>
      <c r="D272" s="8"/>
      <c r="E272" s="11"/>
      <c r="F272" s="8"/>
      <c r="G272" s="8"/>
      <c r="H272" s="8"/>
      <c r="I272" s="8"/>
      <c r="J272" s="8"/>
      <c r="K272" s="8"/>
      <c r="L272" s="8"/>
      <c r="M272" s="8"/>
      <c r="N272" s="8"/>
      <c r="O272" s="8"/>
      <c r="P272" s="8"/>
      <c r="Q272" s="8"/>
      <c r="R272" s="8"/>
      <c r="S272" s="8"/>
      <c r="T272" s="8"/>
      <c r="U272" s="8"/>
      <c r="V272" s="8"/>
      <c r="W272" s="8"/>
      <c r="X272" s="8"/>
      <c r="Y272" s="8"/>
      <c r="Z272" s="8"/>
      <c r="AA272" s="8"/>
    </row>
    <row r="273" spans="1:27" ht="19.75">
      <c r="A273" s="8"/>
      <c r="B273" s="7"/>
      <c r="C273" s="8"/>
      <c r="D273" s="8"/>
      <c r="E273" s="11"/>
      <c r="F273" s="8"/>
      <c r="G273" s="8"/>
      <c r="H273" s="8"/>
      <c r="I273" s="8"/>
      <c r="J273" s="8"/>
      <c r="K273" s="8"/>
      <c r="L273" s="8"/>
      <c r="M273" s="8"/>
      <c r="N273" s="8"/>
      <c r="O273" s="8"/>
      <c r="P273" s="8"/>
      <c r="Q273" s="8"/>
      <c r="R273" s="8"/>
      <c r="S273" s="8"/>
      <c r="T273" s="8"/>
      <c r="U273" s="8"/>
      <c r="V273" s="8"/>
      <c r="W273" s="8"/>
      <c r="X273" s="8"/>
      <c r="Y273" s="8"/>
      <c r="Z273" s="8"/>
      <c r="AA273" s="8"/>
    </row>
    <row r="274" spans="1:27" ht="19.75">
      <c r="A274" s="8"/>
      <c r="B274" s="7"/>
      <c r="C274" s="8"/>
      <c r="D274" s="8"/>
      <c r="E274" s="11"/>
      <c r="F274" s="8"/>
      <c r="G274" s="8"/>
      <c r="H274" s="8"/>
      <c r="I274" s="8"/>
      <c r="J274" s="8"/>
      <c r="K274" s="8"/>
      <c r="L274" s="8"/>
      <c r="M274" s="8"/>
      <c r="N274" s="8"/>
      <c r="O274" s="8"/>
      <c r="P274" s="8"/>
      <c r="Q274" s="8"/>
      <c r="R274" s="8"/>
      <c r="S274" s="8"/>
      <c r="T274" s="8"/>
      <c r="U274" s="8"/>
      <c r="V274" s="8"/>
      <c r="W274" s="8"/>
      <c r="X274" s="8"/>
      <c r="Y274" s="8"/>
      <c r="Z274" s="8"/>
      <c r="AA274" s="8"/>
    </row>
    <row r="275" spans="1:27" ht="19.75">
      <c r="A275" s="8"/>
      <c r="B275" s="7"/>
      <c r="C275" s="8"/>
      <c r="D275" s="8"/>
      <c r="E275" s="11"/>
      <c r="F275" s="8"/>
      <c r="G275" s="8"/>
      <c r="H275" s="8"/>
      <c r="I275" s="8"/>
      <c r="J275" s="8"/>
      <c r="K275" s="8"/>
      <c r="L275" s="8"/>
      <c r="M275" s="8"/>
      <c r="N275" s="8"/>
      <c r="O275" s="8"/>
      <c r="P275" s="8"/>
      <c r="Q275" s="8"/>
      <c r="R275" s="8"/>
      <c r="S275" s="8"/>
      <c r="T275" s="8"/>
      <c r="U275" s="8"/>
      <c r="V275" s="8"/>
      <c r="W275" s="8"/>
      <c r="X275" s="8"/>
      <c r="Y275" s="8"/>
      <c r="Z275" s="8"/>
      <c r="AA275" s="8"/>
    </row>
    <row r="276" spans="1:27" ht="19.75">
      <c r="A276" s="8"/>
      <c r="B276" s="7"/>
      <c r="C276" s="8"/>
      <c r="D276" s="8"/>
      <c r="E276" s="11"/>
      <c r="F276" s="8"/>
      <c r="G276" s="8"/>
      <c r="H276" s="8"/>
      <c r="I276" s="8"/>
      <c r="J276" s="8"/>
      <c r="K276" s="8"/>
      <c r="L276" s="8"/>
      <c r="M276" s="8"/>
      <c r="N276" s="8"/>
      <c r="O276" s="8"/>
      <c r="P276" s="8"/>
      <c r="Q276" s="8"/>
      <c r="R276" s="8"/>
      <c r="S276" s="8"/>
      <c r="T276" s="8"/>
      <c r="U276" s="8"/>
      <c r="V276" s="8"/>
      <c r="W276" s="8"/>
      <c r="X276" s="8"/>
      <c r="Y276" s="8"/>
      <c r="Z276" s="8"/>
      <c r="AA276" s="8"/>
    </row>
    <row r="277" spans="1:27" ht="19.75">
      <c r="A277" s="8"/>
      <c r="B277" s="7"/>
      <c r="C277" s="8"/>
      <c r="D277" s="8"/>
      <c r="E277" s="11"/>
      <c r="F277" s="8"/>
      <c r="G277" s="8"/>
      <c r="H277" s="8"/>
      <c r="I277" s="8"/>
      <c r="J277" s="8"/>
      <c r="K277" s="8"/>
      <c r="L277" s="8"/>
      <c r="M277" s="8"/>
      <c r="N277" s="8"/>
      <c r="O277" s="8"/>
      <c r="P277" s="8"/>
      <c r="Q277" s="8"/>
      <c r="R277" s="8"/>
      <c r="S277" s="8"/>
      <c r="T277" s="8"/>
      <c r="U277" s="8"/>
      <c r="V277" s="8"/>
      <c r="W277" s="8"/>
      <c r="X277" s="8"/>
      <c r="Y277" s="8"/>
      <c r="Z277" s="8"/>
      <c r="AA277" s="8"/>
    </row>
    <row r="278" spans="1:27" ht="19.75">
      <c r="A278" s="8"/>
      <c r="B278" s="7"/>
      <c r="C278" s="8"/>
      <c r="D278" s="8"/>
      <c r="E278" s="11"/>
      <c r="F278" s="8"/>
      <c r="G278" s="8"/>
      <c r="H278" s="8"/>
      <c r="I278" s="8"/>
      <c r="J278" s="8"/>
      <c r="K278" s="8"/>
      <c r="L278" s="8"/>
      <c r="M278" s="8"/>
      <c r="N278" s="8"/>
      <c r="O278" s="8"/>
      <c r="P278" s="8"/>
      <c r="Q278" s="8"/>
      <c r="R278" s="8"/>
      <c r="S278" s="8"/>
      <c r="T278" s="8"/>
      <c r="U278" s="8"/>
      <c r="V278" s="8"/>
      <c r="W278" s="8"/>
      <c r="X278" s="8"/>
      <c r="Y278" s="8"/>
      <c r="Z278" s="8"/>
      <c r="AA278" s="8"/>
    </row>
    <row r="279" spans="1:27" ht="19.75">
      <c r="A279" s="8"/>
      <c r="B279" s="7"/>
      <c r="C279" s="8"/>
      <c r="D279" s="8"/>
      <c r="E279" s="11"/>
      <c r="F279" s="8"/>
      <c r="G279" s="8"/>
      <c r="H279" s="8"/>
      <c r="I279" s="8"/>
      <c r="J279" s="8"/>
      <c r="K279" s="8"/>
      <c r="L279" s="8"/>
      <c r="M279" s="8"/>
      <c r="N279" s="8"/>
      <c r="O279" s="8"/>
      <c r="P279" s="8"/>
      <c r="Q279" s="8"/>
      <c r="R279" s="8"/>
      <c r="S279" s="8"/>
      <c r="T279" s="8"/>
      <c r="U279" s="8"/>
      <c r="V279" s="8"/>
      <c r="W279" s="8"/>
      <c r="X279" s="8"/>
      <c r="Y279" s="8"/>
      <c r="Z279" s="8"/>
      <c r="AA279" s="8"/>
    </row>
    <row r="280" spans="1:27" ht="19.75">
      <c r="A280" s="8"/>
      <c r="B280" s="7"/>
      <c r="C280" s="8"/>
      <c r="D280" s="8"/>
      <c r="E280" s="11"/>
      <c r="F280" s="8"/>
      <c r="G280" s="8"/>
      <c r="H280" s="8"/>
      <c r="I280" s="8"/>
      <c r="J280" s="8"/>
      <c r="K280" s="8"/>
      <c r="L280" s="8"/>
      <c r="M280" s="8"/>
      <c r="N280" s="8"/>
      <c r="O280" s="8"/>
      <c r="P280" s="8"/>
      <c r="Q280" s="8"/>
      <c r="R280" s="8"/>
      <c r="S280" s="8"/>
      <c r="T280" s="8"/>
      <c r="U280" s="8"/>
      <c r="V280" s="8"/>
      <c r="W280" s="8"/>
      <c r="X280" s="8"/>
      <c r="Y280" s="8"/>
      <c r="Z280" s="8"/>
      <c r="AA280" s="8"/>
    </row>
    <row r="281" spans="1:27" ht="19.75">
      <c r="A281" s="8"/>
      <c r="B281" s="7"/>
      <c r="C281" s="8"/>
      <c r="D281" s="8"/>
      <c r="E281" s="11"/>
      <c r="F281" s="8"/>
      <c r="G281" s="8"/>
      <c r="H281" s="8"/>
      <c r="I281" s="8"/>
      <c r="J281" s="8"/>
      <c r="K281" s="8"/>
      <c r="L281" s="8"/>
      <c r="M281" s="8"/>
      <c r="N281" s="8"/>
      <c r="O281" s="8"/>
      <c r="P281" s="8"/>
      <c r="Q281" s="8"/>
      <c r="R281" s="8"/>
      <c r="S281" s="8"/>
      <c r="T281" s="8"/>
      <c r="U281" s="8"/>
      <c r="V281" s="8"/>
      <c r="W281" s="8"/>
      <c r="X281" s="8"/>
      <c r="Y281" s="8"/>
      <c r="Z281" s="8"/>
      <c r="AA281" s="8"/>
    </row>
    <row r="282" spans="1:27" ht="19.75">
      <c r="A282" s="8"/>
      <c r="B282" s="7"/>
      <c r="C282" s="8"/>
      <c r="D282" s="8"/>
      <c r="E282" s="11"/>
      <c r="F282" s="8"/>
      <c r="G282" s="8"/>
      <c r="H282" s="8"/>
      <c r="I282" s="8"/>
      <c r="J282" s="8"/>
      <c r="K282" s="8"/>
      <c r="L282" s="8"/>
      <c r="M282" s="8"/>
      <c r="N282" s="8"/>
      <c r="O282" s="8"/>
      <c r="P282" s="8"/>
      <c r="Q282" s="8"/>
      <c r="R282" s="8"/>
      <c r="S282" s="8"/>
      <c r="T282" s="8"/>
      <c r="U282" s="8"/>
      <c r="V282" s="8"/>
      <c r="W282" s="8"/>
      <c r="X282" s="8"/>
      <c r="Y282" s="8"/>
      <c r="Z282" s="8"/>
      <c r="AA282" s="8"/>
    </row>
    <row r="283" spans="1:27" ht="19.75">
      <c r="A283" s="8"/>
      <c r="B283" s="7"/>
      <c r="C283" s="8"/>
      <c r="D283" s="8"/>
      <c r="E283" s="11"/>
      <c r="F283" s="8"/>
      <c r="G283" s="8"/>
      <c r="H283" s="8"/>
      <c r="I283" s="8"/>
      <c r="J283" s="8"/>
      <c r="K283" s="8"/>
      <c r="L283" s="8"/>
      <c r="M283" s="8"/>
      <c r="N283" s="8"/>
      <c r="O283" s="8"/>
      <c r="P283" s="8"/>
      <c r="Q283" s="8"/>
      <c r="R283" s="8"/>
      <c r="S283" s="8"/>
      <c r="T283" s="8"/>
      <c r="U283" s="8"/>
      <c r="V283" s="8"/>
      <c r="W283" s="8"/>
      <c r="X283" s="8"/>
      <c r="Y283" s="8"/>
      <c r="Z283" s="8"/>
      <c r="AA283" s="8"/>
    </row>
    <row r="284" spans="1:27" ht="19.75">
      <c r="A284" s="8"/>
      <c r="B284" s="7"/>
      <c r="C284" s="8"/>
      <c r="D284" s="8"/>
      <c r="E284" s="11"/>
      <c r="F284" s="8"/>
      <c r="G284" s="8"/>
      <c r="H284" s="8"/>
      <c r="I284" s="8"/>
      <c r="J284" s="8"/>
      <c r="K284" s="8"/>
      <c r="L284" s="8"/>
      <c r="M284" s="8"/>
      <c r="N284" s="8"/>
      <c r="O284" s="8"/>
      <c r="P284" s="8"/>
      <c r="Q284" s="8"/>
      <c r="R284" s="8"/>
      <c r="S284" s="8"/>
      <c r="T284" s="8"/>
      <c r="U284" s="8"/>
      <c r="V284" s="8"/>
      <c r="W284" s="8"/>
      <c r="X284" s="8"/>
      <c r="Y284" s="8"/>
      <c r="Z284" s="8"/>
      <c r="AA284" s="8"/>
    </row>
    <row r="285" spans="1:27" ht="19.75">
      <c r="A285" s="8"/>
      <c r="B285" s="7"/>
      <c r="C285" s="8"/>
      <c r="D285" s="8"/>
      <c r="E285" s="11"/>
      <c r="F285" s="8"/>
      <c r="G285" s="8"/>
      <c r="H285" s="8"/>
      <c r="I285" s="8"/>
      <c r="J285" s="8"/>
      <c r="K285" s="8"/>
      <c r="L285" s="8"/>
      <c r="M285" s="8"/>
      <c r="N285" s="8"/>
      <c r="O285" s="8"/>
      <c r="P285" s="8"/>
      <c r="Q285" s="8"/>
      <c r="R285" s="8"/>
      <c r="S285" s="8"/>
      <c r="T285" s="8"/>
      <c r="U285" s="8"/>
      <c r="V285" s="8"/>
      <c r="W285" s="8"/>
      <c r="X285" s="8"/>
      <c r="Y285" s="8"/>
      <c r="Z285" s="8"/>
      <c r="AA285" s="8"/>
    </row>
    <row r="286" spans="1:27" ht="19.75">
      <c r="A286" s="8"/>
      <c r="B286" s="7"/>
      <c r="C286" s="8"/>
      <c r="D286" s="8"/>
      <c r="E286" s="11"/>
      <c r="F286" s="8"/>
      <c r="G286" s="8"/>
      <c r="H286" s="8"/>
      <c r="I286" s="8"/>
      <c r="J286" s="8"/>
      <c r="K286" s="8"/>
      <c r="L286" s="8"/>
      <c r="M286" s="8"/>
      <c r="N286" s="8"/>
      <c r="O286" s="8"/>
      <c r="P286" s="8"/>
      <c r="Q286" s="8"/>
      <c r="R286" s="8"/>
      <c r="S286" s="8"/>
      <c r="T286" s="8"/>
      <c r="U286" s="8"/>
      <c r="V286" s="8"/>
      <c r="W286" s="8"/>
      <c r="X286" s="8"/>
      <c r="Y286" s="8"/>
      <c r="Z286" s="8"/>
      <c r="AA286" s="8"/>
    </row>
    <row r="287" spans="1:27" ht="19.75">
      <c r="A287" s="8"/>
      <c r="B287" s="7"/>
      <c r="C287" s="8"/>
      <c r="D287" s="8"/>
      <c r="E287" s="11"/>
      <c r="F287" s="8"/>
      <c r="G287" s="8"/>
      <c r="H287" s="8"/>
      <c r="I287" s="8"/>
      <c r="J287" s="8"/>
      <c r="K287" s="8"/>
      <c r="L287" s="8"/>
      <c r="M287" s="8"/>
      <c r="N287" s="8"/>
      <c r="O287" s="8"/>
      <c r="P287" s="8"/>
      <c r="Q287" s="8"/>
      <c r="R287" s="8"/>
      <c r="S287" s="8"/>
      <c r="T287" s="8"/>
      <c r="U287" s="8"/>
      <c r="V287" s="8"/>
      <c r="W287" s="8"/>
      <c r="X287" s="8"/>
      <c r="Y287" s="8"/>
      <c r="Z287" s="8"/>
      <c r="AA287" s="8"/>
    </row>
    <row r="288" spans="1:27" ht="19.75">
      <c r="A288" s="8"/>
      <c r="B288" s="7"/>
      <c r="C288" s="8"/>
      <c r="D288" s="8"/>
      <c r="E288" s="11"/>
      <c r="F288" s="8"/>
      <c r="G288" s="8"/>
      <c r="H288" s="8"/>
      <c r="I288" s="8"/>
      <c r="J288" s="8"/>
      <c r="K288" s="8"/>
      <c r="L288" s="8"/>
      <c r="M288" s="8"/>
      <c r="N288" s="8"/>
      <c r="O288" s="8"/>
      <c r="P288" s="8"/>
      <c r="Q288" s="8"/>
      <c r="R288" s="8"/>
      <c r="S288" s="8"/>
      <c r="T288" s="8"/>
      <c r="U288" s="8"/>
      <c r="V288" s="8"/>
      <c r="W288" s="8"/>
      <c r="X288" s="8"/>
      <c r="Y288" s="8"/>
      <c r="Z288" s="8"/>
      <c r="AA288" s="8"/>
    </row>
    <row r="289" spans="1:27" ht="19.75">
      <c r="A289" s="8"/>
      <c r="B289" s="7"/>
      <c r="C289" s="8"/>
      <c r="D289" s="8"/>
      <c r="E289" s="11"/>
      <c r="F289" s="8"/>
      <c r="G289" s="8"/>
      <c r="H289" s="8"/>
      <c r="I289" s="8"/>
      <c r="J289" s="8"/>
      <c r="K289" s="8"/>
      <c r="L289" s="8"/>
      <c r="M289" s="8"/>
      <c r="N289" s="8"/>
      <c r="O289" s="8"/>
      <c r="P289" s="8"/>
      <c r="Q289" s="8"/>
      <c r="R289" s="8"/>
      <c r="S289" s="8"/>
      <c r="T289" s="8"/>
      <c r="U289" s="8"/>
      <c r="V289" s="8"/>
      <c r="W289" s="8"/>
      <c r="X289" s="8"/>
      <c r="Y289" s="8"/>
      <c r="Z289" s="8"/>
      <c r="AA289" s="8"/>
    </row>
    <row r="290" spans="1:27" ht="19.75">
      <c r="A290" s="8"/>
      <c r="B290" s="7"/>
      <c r="C290" s="8"/>
      <c r="D290" s="8"/>
      <c r="E290" s="11"/>
      <c r="F290" s="8"/>
      <c r="G290" s="8"/>
      <c r="H290" s="8"/>
      <c r="I290" s="8"/>
      <c r="J290" s="8"/>
      <c r="K290" s="8"/>
      <c r="L290" s="8"/>
      <c r="M290" s="8"/>
      <c r="N290" s="8"/>
      <c r="O290" s="8"/>
      <c r="P290" s="8"/>
      <c r="Q290" s="8"/>
      <c r="R290" s="8"/>
      <c r="S290" s="8"/>
      <c r="T290" s="8"/>
      <c r="U290" s="8"/>
      <c r="V290" s="8"/>
      <c r="W290" s="8"/>
      <c r="X290" s="8"/>
      <c r="Y290" s="8"/>
      <c r="Z290" s="8"/>
      <c r="AA290" s="8"/>
    </row>
    <row r="291" spans="1:27" ht="19.75">
      <c r="A291" s="8"/>
      <c r="B291" s="7"/>
      <c r="C291" s="8"/>
      <c r="D291" s="8"/>
      <c r="E291" s="11"/>
      <c r="F291" s="8"/>
      <c r="G291" s="8"/>
      <c r="H291" s="8"/>
      <c r="I291" s="8"/>
      <c r="J291" s="8"/>
      <c r="K291" s="8"/>
      <c r="L291" s="8"/>
      <c r="M291" s="8"/>
      <c r="N291" s="8"/>
      <c r="O291" s="8"/>
      <c r="P291" s="8"/>
      <c r="Q291" s="8"/>
      <c r="R291" s="8"/>
      <c r="S291" s="8"/>
      <c r="T291" s="8"/>
      <c r="U291" s="8"/>
      <c r="V291" s="8"/>
      <c r="W291" s="8"/>
      <c r="X291" s="8"/>
      <c r="Y291" s="8"/>
      <c r="Z291" s="8"/>
      <c r="AA291" s="8"/>
    </row>
    <row r="292" spans="1:27" ht="19.75">
      <c r="A292" s="8"/>
      <c r="B292" s="7"/>
      <c r="C292" s="8"/>
      <c r="D292" s="8"/>
      <c r="E292" s="11"/>
      <c r="F292" s="8"/>
      <c r="G292" s="8"/>
      <c r="H292" s="8"/>
      <c r="I292" s="8"/>
      <c r="J292" s="8"/>
      <c r="K292" s="8"/>
      <c r="L292" s="8"/>
      <c r="M292" s="8"/>
      <c r="N292" s="8"/>
      <c r="O292" s="8"/>
      <c r="P292" s="8"/>
      <c r="Q292" s="8"/>
      <c r="R292" s="8"/>
      <c r="S292" s="8"/>
      <c r="T292" s="8"/>
      <c r="U292" s="8"/>
      <c r="V292" s="8"/>
      <c r="W292" s="8"/>
      <c r="X292" s="8"/>
      <c r="Y292" s="8"/>
      <c r="Z292" s="8"/>
      <c r="AA292" s="8"/>
    </row>
    <row r="293" spans="1:27" ht="19.75">
      <c r="A293" s="8"/>
      <c r="B293" s="7"/>
      <c r="C293" s="8"/>
      <c r="D293" s="8"/>
      <c r="E293" s="11"/>
      <c r="F293" s="8"/>
      <c r="G293" s="8"/>
      <c r="H293" s="8"/>
      <c r="I293" s="8"/>
      <c r="J293" s="8"/>
      <c r="K293" s="8"/>
      <c r="L293" s="8"/>
      <c r="M293" s="8"/>
      <c r="N293" s="8"/>
      <c r="O293" s="8"/>
      <c r="P293" s="8"/>
      <c r="Q293" s="8"/>
      <c r="R293" s="8"/>
      <c r="S293" s="8"/>
      <c r="T293" s="8"/>
      <c r="U293" s="8"/>
      <c r="V293" s="8"/>
      <c r="W293" s="8"/>
      <c r="X293" s="8"/>
      <c r="Y293" s="8"/>
      <c r="Z293" s="8"/>
      <c r="AA293" s="8"/>
    </row>
    <row r="294" spans="1:27" ht="19.75">
      <c r="A294" s="8"/>
      <c r="B294" s="7"/>
      <c r="C294" s="8"/>
      <c r="D294" s="8"/>
      <c r="E294" s="11"/>
      <c r="F294" s="8"/>
      <c r="G294" s="8"/>
      <c r="H294" s="8"/>
      <c r="I294" s="8"/>
      <c r="J294" s="8"/>
      <c r="K294" s="8"/>
      <c r="L294" s="8"/>
      <c r="M294" s="8"/>
      <c r="N294" s="8"/>
      <c r="O294" s="8"/>
      <c r="P294" s="8"/>
      <c r="Q294" s="8"/>
      <c r="R294" s="8"/>
      <c r="S294" s="8"/>
      <c r="T294" s="8"/>
      <c r="U294" s="8"/>
      <c r="V294" s="8"/>
      <c r="W294" s="8"/>
      <c r="X294" s="8"/>
      <c r="Y294" s="8"/>
      <c r="Z294" s="8"/>
      <c r="AA294" s="8"/>
    </row>
    <row r="295" spans="1:27" ht="19.75">
      <c r="A295" s="8"/>
      <c r="B295" s="7"/>
      <c r="C295" s="8"/>
      <c r="D295" s="8"/>
      <c r="E295" s="11"/>
      <c r="F295" s="8"/>
      <c r="G295" s="8"/>
      <c r="H295" s="8"/>
      <c r="I295" s="8"/>
      <c r="J295" s="8"/>
      <c r="K295" s="8"/>
      <c r="L295" s="8"/>
      <c r="M295" s="8"/>
      <c r="N295" s="8"/>
      <c r="O295" s="8"/>
      <c r="P295" s="8"/>
      <c r="Q295" s="8"/>
      <c r="R295" s="8"/>
      <c r="S295" s="8"/>
      <c r="T295" s="8"/>
      <c r="U295" s="8"/>
      <c r="V295" s="8"/>
      <c r="W295" s="8"/>
      <c r="X295" s="8"/>
      <c r="Y295" s="8"/>
      <c r="Z295" s="8"/>
      <c r="AA295" s="8"/>
    </row>
    <row r="296" spans="1:27" ht="19.75">
      <c r="A296" s="8"/>
      <c r="B296" s="7"/>
      <c r="C296" s="8"/>
      <c r="D296" s="8"/>
      <c r="E296" s="11"/>
      <c r="F296" s="8"/>
      <c r="G296" s="8"/>
      <c r="H296" s="8"/>
      <c r="I296" s="8"/>
      <c r="J296" s="8"/>
      <c r="K296" s="8"/>
      <c r="L296" s="8"/>
      <c r="M296" s="8"/>
      <c r="N296" s="8"/>
      <c r="O296" s="8"/>
      <c r="P296" s="8"/>
      <c r="Q296" s="8"/>
      <c r="R296" s="8"/>
      <c r="S296" s="8"/>
      <c r="T296" s="8"/>
      <c r="U296" s="8"/>
      <c r="V296" s="8"/>
      <c r="W296" s="8"/>
      <c r="X296" s="8"/>
      <c r="Y296" s="8"/>
      <c r="Z296" s="8"/>
      <c r="AA296" s="8"/>
    </row>
    <row r="297" spans="1:27" ht="19.75">
      <c r="A297" s="8"/>
      <c r="B297" s="7"/>
      <c r="C297" s="8"/>
      <c r="D297" s="8"/>
      <c r="E297" s="11"/>
      <c r="F297" s="8"/>
      <c r="G297" s="8"/>
      <c r="H297" s="8"/>
      <c r="I297" s="8"/>
      <c r="J297" s="8"/>
      <c r="K297" s="8"/>
      <c r="L297" s="8"/>
      <c r="M297" s="8"/>
      <c r="N297" s="8"/>
      <c r="O297" s="8"/>
      <c r="P297" s="8"/>
      <c r="Q297" s="8"/>
      <c r="R297" s="8"/>
      <c r="S297" s="8"/>
      <c r="T297" s="8"/>
      <c r="U297" s="8"/>
      <c r="V297" s="8"/>
      <c r="W297" s="8"/>
      <c r="X297" s="8"/>
      <c r="Y297" s="8"/>
      <c r="Z297" s="8"/>
      <c r="AA297" s="8"/>
    </row>
    <row r="298" spans="1:27" ht="19.75">
      <c r="A298" s="8"/>
      <c r="B298" s="7"/>
      <c r="C298" s="8"/>
      <c r="D298" s="8"/>
      <c r="E298" s="11"/>
      <c r="F298" s="8"/>
      <c r="G298" s="8"/>
      <c r="H298" s="8"/>
      <c r="I298" s="8"/>
      <c r="J298" s="8"/>
      <c r="K298" s="8"/>
      <c r="L298" s="8"/>
      <c r="M298" s="8"/>
      <c r="N298" s="8"/>
      <c r="O298" s="8"/>
      <c r="P298" s="8"/>
      <c r="Q298" s="8"/>
      <c r="R298" s="8"/>
      <c r="S298" s="8"/>
      <c r="T298" s="8"/>
      <c r="U298" s="8"/>
      <c r="V298" s="8"/>
      <c r="W298" s="8"/>
      <c r="X298" s="8"/>
      <c r="Y298" s="8"/>
      <c r="Z298" s="8"/>
      <c r="AA298" s="8"/>
    </row>
    <row r="299" spans="1:27" ht="19.75">
      <c r="A299" s="8"/>
      <c r="B299" s="7"/>
      <c r="C299" s="8"/>
      <c r="D299" s="8"/>
      <c r="E299" s="11"/>
      <c r="F299" s="8"/>
      <c r="G299" s="8"/>
      <c r="H299" s="8"/>
      <c r="I299" s="8"/>
      <c r="J299" s="8"/>
      <c r="K299" s="8"/>
      <c r="L299" s="8"/>
      <c r="M299" s="8"/>
      <c r="N299" s="8"/>
      <c r="O299" s="8"/>
      <c r="P299" s="8"/>
      <c r="Q299" s="8"/>
      <c r="R299" s="8"/>
      <c r="S299" s="8"/>
      <c r="T299" s="8"/>
      <c r="U299" s="8"/>
      <c r="V299" s="8"/>
      <c r="W299" s="8"/>
      <c r="X299" s="8"/>
      <c r="Y299" s="8"/>
      <c r="Z299" s="8"/>
      <c r="AA299" s="8"/>
    </row>
    <row r="300" spans="1:27" ht="19.75">
      <c r="A300" s="8"/>
      <c r="B300" s="7"/>
      <c r="C300" s="8"/>
      <c r="D300" s="8"/>
      <c r="E300" s="11"/>
      <c r="F300" s="8"/>
      <c r="G300" s="8"/>
      <c r="H300" s="8"/>
      <c r="I300" s="8"/>
      <c r="J300" s="8"/>
      <c r="K300" s="8"/>
      <c r="L300" s="8"/>
      <c r="M300" s="8"/>
      <c r="N300" s="8"/>
      <c r="O300" s="8"/>
      <c r="P300" s="8"/>
      <c r="Q300" s="8"/>
      <c r="R300" s="8"/>
      <c r="S300" s="8"/>
      <c r="T300" s="8"/>
      <c r="U300" s="8"/>
      <c r="V300" s="8"/>
      <c r="W300" s="8"/>
      <c r="X300" s="8"/>
      <c r="Y300" s="8"/>
      <c r="Z300" s="8"/>
      <c r="AA300" s="8"/>
    </row>
    <row r="301" spans="1:27" ht="19.75">
      <c r="A301" s="8"/>
      <c r="B301" s="7"/>
      <c r="C301" s="8"/>
      <c r="D301" s="8"/>
      <c r="E301" s="11"/>
      <c r="F301" s="8"/>
      <c r="G301" s="8"/>
      <c r="H301" s="8"/>
      <c r="I301" s="8"/>
      <c r="J301" s="8"/>
      <c r="K301" s="8"/>
      <c r="L301" s="8"/>
      <c r="M301" s="8"/>
      <c r="N301" s="8"/>
      <c r="O301" s="8"/>
      <c r="P301" s="8"/>
      <c r="Q301" s="8"/>
      <c r="R301" s="8"/>
      <c r="S301" s="8"/>
      <c r="T301" s="8"/>
      <c r="U301" s="8"/>
      <c r="V301" s="8"/>
      <c r="W301" s="8"/>
      <c r="X301" s="8"/>
      <c r="Y301" s="8"/>
      <c r="Z301" s="8"/>
      <c r="AA301" s="8"/>
    </row>
    <row r="302" spans="1:27" ht="19.75">
      <c r="A302" s="8"/>
      <c r="B302" s="7"/>
      <c r="C302" s="8"/>
      <c r="D302" s="8"/>
      <c r="E302" s="11"/>
      <c r="F302" s="8"/>
      <c r="G302" s="8"/>
      <c r="H302" s="8"/>
      <c r="I302" s="8"/>
      <c r="J302" s="8"/>
      <c r="K302" s="8"/>
      <c r="L302" s="8"/>
      <c r="M302" s="8"/>
      <c r="N302" s="8"/>
      <c r="O302" s="8"/>
      <c r="P302" s="8"/>
      <c r="Q302" s="8"/>
      <c r="R302" s="8"/>
      <c r="S302" s="8"/>
      <c r="T302" s="8"/>
      <c r="U302" s="8"/>
      <c r="V302" s="8"/>
      <c r="W302" s="8"/>
      <c r="X302" s="8"/>
      <c r="Y302" s="8"/>
      <c r="Z302" s="8"/>
      <c r="AA302" s="8"/>
    </row>
    <row r="303" spans="1:27" ht="19.75">
      <c r="A303" s="8"/>
      <c r="B303" s="7"/>
      <c r="C303" s="8"/>
      <c r="D303" s="8"/>
      <c r="E303" s="11"/>
      <c r="F303" s="8"/>
      <c r="G303" s="8"/>
      <c r="H303" s="8"/>
      <c r="I303" s="8"/>
      <c r="J303" s="8"/>
      <c r="K303" s="8"/>
      <c r="L303" s="8"/>
      <c r="M303" s="8"/>
      <c r="N303" s="8"/>
      <c r="O303" s="8"/>
      <c r="P303" s="8"/>
      <c r="Q303" s="8"/>
      <c r="R303" s="8"/>
      <c r="S303" s="8"/>
      <c r="T303" s="8"/>
      <c r="U303" s="8"/>
      <c r="V303" s="8"/>
      <c r="W303" s="8"/>
      <c r="X303" s="8"/>
      <c r="Y303" s="8"/>
      <c r="Z303" s="8"/>
      <c r="AA303" s="8"/>
    </row>
    <row r="304" spans="1:27" ht="19.75">
      <c r="A304" s="8"/>
      <c r="B304" s="7"/>
      <c r="C304" s="8"/>
      <c r="D304" s="8"/>
      <c r="E304" s="11"/>
      <c r="F304" s="8"/>
      <c r="G304" s="8"/>
      <c r="H304" s="8"/>
      <c r="I304" s="8"/>
      <c r="J304" s="8"/>
      <c r="K304" s="8"/>
      <c r="L304" s="8"/>
      <c r="M304" s="8"/>
      <c r="N304" s="8"/>
      <c r="O304" s="8"/>
      <c r="P304" s="8"/>
      <c r="Q304" s="8"/>
      <c r="R304" s="8"/>
      <c r="S304" s="8"/>
      <c r="T304" s="8"/>
      <c r="U304" s="8"/>
      <c r="V304" s="8"/>
      <c r="W304" s="8"/>
      <c r="X304" s="8"/>
      <c r="Y304" s="8"/>
      <c r="Z304" s="8"/>
      <c r="AA304" s="8"/>
    </row>
    <row r="305" spans="1:27" ht="19.75">
      <c r="A305" s="8"/>
      <c r="B305" s="7"/>
      <c r="C305" s="8"/>
      <c r="D305" s="8"/>
      <c r="E305" s="11"/>
      <c r="F305" s="8"/>
      <c r="G305" s="8"/>
      <c r="H305" s="8"/>
      <c r="I305" s="8"/>
      <c r="J305" s="8"/>
      <c r="K305" s="8"/>
      <c r="L305" s="8"/>
      <c r="M305" s="8"/>
      <c r="N305" s="8"/>
      <c r="O305" s="8"/>
      <c r="P305" s="8"/>
      <c r="Q305" s="8"/>
      <c r="R305" s="8"/>
      <c r="S305" s="8"/>
      <c r="T305" s="8"/>
      <c r="U305" s="8"/>
      <c r="V305" s="8"/>
      <c r="W305" s="8"/>
      <c r="X305" s="8"/>
      <c r="Y305" s="8"/>
      <c r="Z305" s="8"/>
      <c r="AA305" s="8"/>
    </row>
    <row r="306" spans="1:27" ht="19.75">
      <c r="A306" s="8"/>
      <c r="B306" s="7"/>
      <c r="C306" s="8"/>
      <c r="D306" s="8"/>
      <c r="E306" s="11"/>
      <c r="F306" s="8"/>
      <c r="G306" s="8"/>
      <c r="H306" s="8"/>
      <c r="I306" s="8"/>
      <c r="J306" s="8"/>
      <c r="K306" s="8"/>
      <c r="L306" s="8"/>
      <c r="M306" s="8"/>
      <c r="N306" s="8"/>
      <c r="O306" s="8"/>
      <c r="P306" s="8"/>
      <c r="Q306" s="8"/>
      <c r="R306" s="8"/>
      <c r="S306" s="8"/>
      <c r="T306" s="8"/>
      <c r="U306" s="8"/>
      <c r="V306" s="8"/>
      <c r="W306" s="8"/>
      <c r="X306" s="8"/>
      <c r="Y306" s="8"/>
      <c r="Z306" s="8"/>
      <c r="AA306" s="8"/>
    </row>
    <row r="307" spans="1:27" ht="19.75">
      <c r="A307" s="8"/>
      <c r="B307" s="7"/>
      <c r="C307" s="8"/>
      <c r="D307" s="8"/>
      <c r="E307" s="11"/>
      <c r="F307" s="8"/>
      <c r="G307" s="8"/>
      <c r="H307" s="8"/>
      <c r="I307" s="8"/>
      <c r="J307" s="8"/>
      <c r="K307" s="8"/>
      <c r="L307" s="8"/>
      <c r="M307" s="8"/>
      <c r="N307" s="8"/>
      <c r="O307" s="8"/>
      <c r="P307" s="8"/>
      <c r="Q307" s="8"/>
      <c r="R307" s="8"/>
      <c r="S307" s="8"/>
      <c r="T307" s="8"/>
      <c r="U307" s="8"/>
      <c r="V307" s="8"/>
      <c r="W307" s="8"/>
      <c r="X307" s="8"/>
      <c r="Y307" s="8"/>
      <c r="Z307" s="8"/>
      <c r="AA307" s="8"/>
    </row>
    <row r="308" spans="1:27" ht="19.75">
      <c r="A308" s="8"/>
      <c r="B308" s="7"/>
      <c r="C308" s="8"/>
      <c r="D308" s="8"/>
      <c r="E308" s="11"/>
      <c r="F308" s="8"/>
      <c r="G308" s="8"/>
      <c r="H308" s="8"/>
      <c r="I308" s="8"/>
      <c r="J308" s="8"/>
      <c r="K308" s="8"/>
      <c r="L308" s="8"/>
      <c r="M308" s="8"/>
      <c r="N308" s="8"/>
      <c r="O308" s="8"/>
      <c r="P308" s="8"/>
      <c r="Q308" s="8"/>
      <c r="R308" s="8"/>
      <c r="S308" s="8"/>
      <c r="T308" s="8"/>
      <c r="U308" s="8"/>
      <c r="V308" s="8"/>
      <c r="W308" s="8"/>
      <c r="X308" s="8"/>
      <c r="Y308" s="8"/>
      <c r="Z308" s="8"/>
      <c r="AA308" s="8"/>
    </row>
    <row r="309" spans="1:27" ht="19.75">
      <c r="A309" s="8"/>
      <c r="B309" s="7"/>
      <c r="C309" s="8"/>
      <c r="D309" s="8"/>
      <c r="E309" s="11"/>
      <c r="F309" s="8"/>
      <c r="G309" s="8"/>
      <c r="H309" s="8"/>
      <c r="I309" s="8"/>
      <c r="J309" s="8"/>
      <c r="K309" s="8"/>
      <c r="L309" s="8"/>
      <c r="M309" s="8"/>
      <c r="N309" s="8"/>
      <c r="O309" s="8"/>
      <c r="P309" s="8"/>
      <c r="Q309" s="8"/>
      <c r="R309" s="8"/>
      <c r="S309" s="8"/>
      <c r="T309" s="8"/>
      <c r="U309" s="8"/>
      <c r="V309" s="8"/>
      <c r="W309" s="8"/>
      <c r="X309" s="8"/>
      <c r="Y309" s="8"/>
      <c r="Z309" s="8"/>
      <c r="AA309" s="8"/>
    </row>
    <row r="310" spans="1:27" ht="19.75">
      <c r="A310" s="8"/>
      <c r="B310" s="7"/>
      <c r="C310" s="8"/>
      <c r="D310" s="8"/>
      <c r="E310" s="11"/>
      <c r="F310" s="8"/>
      <c r="G310" s="8"/>
      <c r="H310" s="8"/>
      <c r="I310" s="8"/>
      <c r="J310" s="8"/>
      <c r="K310" s="8"/>
      <c r="L310" s="8"/>
      <c r="M310" s="8"/>
      <c r="N310" s="8"/>
      <c r="O310" s="8"/>
      <c r="P310" s="8"/>
      <c r="Q310" s="8"/>
      <c r="R310" s="8"/>
      <c r="S310" s="8"/>
      <c r="T310" s="8"/>
      <c r="U310" s="8"/>
      <c r="V310" s="8"/>
      <c r="W310" s="8"/>
      <c r="X310" s="8"/>
      <c r="Y310" s="8"/>
      <c r="Z310" s="8"/>
      <c r="AA310" s="8"/>
    </row>
    <row r="311" spans="1:27" ht="19.75">
      <c r="A311" s="8"/>
      <c r="B311" s="7"/>
      <c r="C311" s="8"/>
      <c r="D311" s="8"/>
      <c r="E311" s="11"/>
      <c r="F311" s="8"/>
      <c r="G311" s="8"/>
      <c r="H311" s="8"/>
      <c r="I311" s="8"/>
      <c r="J311" s="8"/>
      <c r="K311" s="8"/>
      <c r="L311" s="8"/>
      <c r="M311" s="8"/>
      <c r="N311" s="8"/>
      <c r="O311" s="8"/>
      <c r="P311" s="8"/>
      <c r="Q311" s="8"/>
      <c r="R311" s="8"/>
      <c r="S311" s="8"/>
      <c r="T311" s="8"/>
      <c r="U311" s="8"/>
      <c r="V311" s="8"/>
      <c r="W311" s="8"/>
      <c r="X311" s="8"/>
      <c r="Y311" s="8"/>
      <c r="Z311" s="8"/>
      <c r="AA311" s="8"/>
    </row>
    <row r="312" spans="1:27" ht="19.75">
      <c r="A312" s="8"/>
      <c r="B312" s="7"/>
      <c r="C312" s="8"/>
      <c r="D312" s="8"/>
      <c r="E312" s="11"/>
      <c r="F312" s="8"/>
      <c r="G312" s="8"/>
      <c r="H312" s="8"/>
      <c r="I312" s="8"/>
      <c r="J312" s="8"/>
      <c r="K312" s="8"/>
      <c r="L312" s="8"/>
      <c r="M312" s="8"/>
      <c r="N312" s="8"/>
      <c r="O312" s="8"/>
      <c r="P312" s="8"/>
      <c r="Q312" s="8"/>
      <c r="R312" s="8"/>
      <c r="S312" s="8"/>
      <c r="T312" s="8"/>
      <c r="U312" s="8"/>
      <c r="V312" s="8"/>
      <c r="W312" s="8"/>
      <c r="X312" s="8"/>
      <c r="Y312" s="8"/>
      <c r="Z312" s="8"/>
      <c r="AA312" s="8"/>
    </row>
    <row r="313" spans="1:27" ht="19.75">
      <c r="A313" s="8"/>
      <c r="B313" s="7"/>
      <c r="C313" s="8"/>
      <c r="D313" s="8"/>
      <c r="E313" s="11"/>
      <c r="F313" s="8"/>
      <c r="G313" s="8"/>
      <c r="H313" s="8"/>
      <c r="I313" s="8"/>
      <c r="J313" s="8"/>
      <c r="K313" s="8"/>
      <c r="L313" s="8"/>
      <c r="M313" s="8"/>
      <c r="N313" s="8"/>
      <c r="O313" s="8"/>
      <c r="P313" s="8"/>
      <c r="Q313" s="8"/>
      <c r="R313" s="8"/>
      <c r="S313" s="8"/>
      <c r="T313" s="8"/>
      <c r="U313" s="8"/>
      <c r="V313" s="8"/>
      <c r="W313" s="8"/>
      <c r="X313" s="8"/>
      <c r="Y313" s="8"/>
      <c r="Z313" s="8"/>
      <c r="AA313" s="8"/>
    </row>
    <row r="314" spans="1:27" ht="19.75">
      <c r="A314" s="8"/>
      <c r="B314" s="7"/>
      <c r="C314" s="8"/>
      <c r="D314" s="8"/>
      <c r="E314" s="11"/>
      <c r="F314" s="8"/>
      <c r="G314" s="8"/>
      <c r="H314" s="8"/>
      <c r="I314" s="8"/>
      <c r="J314" s="8"/>
      <c r="K314" s="8"/>
      <c r="L314" s="8"/>
      <c r="M314" s="8"/>
      <c r="N314" s="8"/>
      <c r="O314" s="8"/>
      <c r="P314" s="8"/>
      <c r="Q314" s="8"/>
      <c r="R314" s="8"/>
      <c r="S314" s="8"/>
      <c r="T314" s="8"/>
      <c r="U314" s="8"/>
      <c r="V314" s="8"/>
      <c r="W314" s="8"/>
      <c r="X314" s="8"/>
      <c r="Y314" s="8"/>
      <c r="Z314" s="8"/>
      <c r="AA314" s="8"/>
    </row>
    <row r="315" spans="1:27" ht="19.75">
      <c r="A315" s="8"/>
      <c r="B315" s="7"/>
      <c r="C315" s="8"/>
      <c r="D315" s="8"/>
      <c r="E315" s="11"/>
      <c r="F315" s="8"/>
      <c r="G315" s="8"/>
      <c r="H315" s="8"/>
      <c r="I315" s="8"/>
      <c r="J315" s="8"/>
      <c r="K315" s="8"/>
      <c r="L315" s="8"/>
      <c r="M315" s="8"/>
      <c r="N315" s="8"/>
      <c r="O315" s="8"/>
      <c r="P315" s="8"/>
      <c r="Q315" s="8"/>
      <c r="R315" s="8"/>
      <c r="S315" s="8"/>
      <c r="T315" s="8"/>
      <c r="U315" s="8"/>
      <c r="V315" s="8"/>
      <c r="W315" s="8"/>
      <c r="X315" s="8"/>
      <c r="Y315" s="8"/>
      <c r="Z315" s="8"/>
      <c r="AA315" s="8"/>
    </row>
    <row r="316" spans="1:27" ht="19.75">
      <c r="A316" s="8"/>
      <c r="B316" s="7"/>
      <c r="C316" s="8"/>
      <c r="D316" s="8"/>
      <c r="E316" s="11"/>
      <c r="F316" s="8"/>
      <c r="G316" s="8"/>
      <c r="H316" s="8"/>
      <c r="I316" s="8"/>
      <c r="J316" s="8"/>
      <c r="K316" s="8"/>
      <c r="L316" s="8"/>
      <c r="M316" s="8"/>
      <c r="N316" s="8"/>
      <c r="O316" s="8"/>
      <c r="P316" s="8"/>
      <c r="Q316" s="8"/>
      <c r="R316" s="8"/>
      <c r="S316" s="8"/>
      <c r="T316" s="8"/>
      <c r="U316" s="8"/>
      <c r="V316" s="8"/>
      <c r="W316" s="8"/>
      <c r="X316" s="8"/>
      <c r="Y316" s="8"/>
      <c r="Z316" s="8"/>
      <c r="AA316" s="8"/>
    </row>
    <row r="317" spans="1:27" ht="19.75">
      <c r="A317" s="8"/>
      <c r="B317" s="7"/>
      <c r="C317" s="8"/>
      <c r="D317" s="8"/>
      <c r="E317" s="11"/>
      <c r="F317" s="8"/>
      <c r="G317" s="8"/>
      <c r="H317" s="8"/>
      <c r="I317" s="8"/>
      <c r="J317" s="8"/>
      <c r="K317" s="8"/>
      <c r="L317" s="8"/>
      <c r="M317" s="8"/>
      <c r="N317" s="8"/>
      <c r="O317" s="8"/>
      <c r="P317" s="8"/>
      <c r="Q317" s="8"/>
      <c r="R317" s="8"/>
      <c r="S317" s="8"/>
      <c r="T317" s="8"/>
      <c r="U317" s="8"/>
      <c r="V317" s="8"/>
      <c r="W317" s="8"/>
      <c r="X317" s="8"/>
      <c r="Y317" s="8"/>
      <c r="Z317" s="8"/>
      <c r="AA317" s="8"/>
    </row>
    <row r="318" spans="1:27" ht="19.75">
      <c r="A318" s="8"/>
      <c r="B318" s="7"/>
      <c r="C318" s="8"/>
      <c r="D318" s="8"/>
      <c r="E318" s="11"/>
      <c r="F318" s="8"/>
      <c r="G318" s="8"/>
      <c r="H318" s="8"/>
      <c r="I318" s="8"/>
      <c r="J318" s="8"/>
      <c r="K318" s="8"/>
      <c r="L318" s="8"/>
      <c r="M318" s="8"/>
      <c r="N318" s="8"/>
      <c r="O318" s="8"/>
      <c r="P318" s="8"/>
      <c r="Q318" s="8"/>
      <c r="R318" s="8"/>
      <c r="S318" s="8"/>
      <c r="T318" s="8"/>
      <c r="U318" s="8"/>
      <c r="V318" s="8"/>
      <c r="W318" s="8"/>
      <c r="X318" s="8"/>
      <c r="Y318" s="8"/>
      <c r="Z318" s="8"/>
      <c r="AA318" s="8"/>
    </row>
    <row r="319" spans="1:27" ht="19.75">
      <c r="A319" s="8"/>
      <c r="B319" s="7"/>
      <c r="C319" s="8"/>
      <c r="D319" s="8"/>
      <c r="E319" s="11"/>
      <c r="F319" s="8"/>
      <c r="G319" s="8"/>
      <c r="H319" s="8"/>
      <c r="I319" s="8"/>
      <c r="J319" s="8"/>
      <c r="K319" s="8"/>
      <c r="L319" s="8"/>
      <c r="M319" s="8"/>
      <c r="N319" s="8"/>
      <c r="O319" s="8"/>
      <c r="P319" s="8"/>
      <c r="Q319" s="8"/>
      <c r="R319" s="8"/>
      <c r="S319" s="8"/>
      <c r="T319" s="8"/>
      <c r="U319" s="8"/>
      <c r="V319" s="8"/>
      <c r="W319" s="8"/>
      <c r="X319" s="8"/>
      <c r="Y319" s="8"/>
      <c r="Z319" s="8"/>
      <c r="AA319" s="8"/>
    </row>
    <row r="320" spans="1:27" ht="19.75">
      <c r="A320" s="8"/>
      <c r="B320" s="7"/>
      <c r="C320" s="8"/>
      <c r="D320" s="8"/>
      <c r="E320" s="11"/>
      <c r="F320" s="8"/>
      <c r="G320" s="8"/>
      <c r="H320" s="8"/>
      <c r="I320" s="8"/>
      <c r="J320" s="8"/>
      <c r="K320" s="8"/>
      <c r="L320" s="8"/>
      <c r="M320" s="8"/>
      <c r="N320" s="8"/>
      <c r="O320" s="8"/>
      <c r="P320" s="8"/>
      <c r="Q320" s="8"/>
      <c r="R320" s="8"/>
      <c r="S320" s="8"/>
      <c r="T320" s="8"/>
      <c r="U320" s="8"/>
      <c r="V320" s="8"/>
      <c r="W320" s="8"/>
      <c r="X320" s="8"/>
      <c r="Y320" s="8"/>
      <c r="Z320" s="8"/>
      <c r="AA320" s="8"/>
    </row>
    <row r="321" spans="1:27" ht="19.75">
      <c r="A321" s="8"/>
      <c r="B321" s="7"/>
      <c r="C321" s="8"/>
      <c r="D321" s="8"/>
      <c r="E321" s="11"/>
      <c r="F321" s="8"/>
      <c r="G321" s="8"/>
      <c r="H321" s="8"/>
      <c r="I321" s="8"/>
      <c r="J321" s="8"/>
      <c r="K321" s="8"/>
      <c r="L321" s="8"/>
      <c r="M321" s="8"/>
      <c r="N321" s="8"/>
      <c r="O321" s="8"/>
      <c r="P321" s="8"/>
      <c r="Q321" s="8"/>
      <c r="R321" s="8"/>
      <c r="S321" s="8"/>
      <c r="T321" s="8"/>
      <c r="U321" s="8"/>
      <c r="V321" s="8"/>
      <c r="W321" s="8"/>
      <c r="X321" s="8"/>
      <c r="Y321" s="8"/>
      <c r="Z321" s="8"/>
      <c r="AA321" s="8"/>
    </row>
    <row r="322" spans="1:27" ht="19.75">
      <c r="A322" s="8"/>
      <c r="B322" s="7"/>
      <c r="C322" s="8"/>
      <c r="D322" s="8"/>
      <c r="E322" s="11"/>
      <c r="F322" s="8"/>
      <c r="G322" s="8"/>
      <c r="H322" s="8"/>
      <c r="I322" s="8"/>
      <c r="J322" s="8"/>
      <c r="K322" s="8"/>
      <c r="L322" s="8"/>
      <c r="M322" s="8"/>
      <c r="N322" s="8"/>
      <c r="O322" s="8"/>
      <c r="P322" s="8"/>
      <c r="Q322" s="8"/>
      <c r="R322" s="8"/>
      <c r="S322" s="8"/>
      <c r="T322" s="8"/>
      <c r="U322" s="8"/>
      <c r="V322" s="8"/>
      <c r="W322" s="8"/>
      <c r="X322" s="8"/>
      <c r="Y322" s="8"/>
      <c r="Z322" s="8"/>
      <c r="AA322" s="8"/>
    </row>
    <row r="323" spans="1:27" ht="19.75">
      <c r="A323" s="8"/>
      <c r="B323" s="7"/>
      <c r="C323" s="8"/>
      <c r="D323" s="8"/>
      <c r="E323" s="11"/>
      <c r="F323" s="8"/>
      <c r="G323" s="8"/>
      <c r="H323" s="8"/>
      <c r="I323" s="8"/>
      <c r="J323" s="8"/>
      <c r="K323" s="8"/>
      <c r="L323" s="8"/>
      <c r="M323" s="8"/>
      <c r="N323" s="8"/>
      <c r="O323" s="8"/>
      <c r="P323" s="8"/>
      <c r="Q323" s="8"/>
      <c r="R323" s="8"/>
      <c r="S323" s="8"/>
      <c r="T323" s="8"/>
      <c r="U323" s="8"/>
      <c r="V323" s="8"/>
      <c r="W323" s="8"/>
      <c r="X323" s="8"/>
      <c r="Y323" s="8"/>
      <c r="Z323" s="8"/>
      <c r="AA323" s="8"/>
    </row>
    <row r="324" spans="1:27" ht="19.75">
      <c r="A324" s="8"/>
      <c r="B324" s="7"/>
      <c r="C324" s="8"/>
      <c r="D324" s="8"/>
      <c r="E324" s="11"/>
      <c r="F324" s="8"/>
      <c r="G324" s="8"/>
      <c r="H324" s="8"/>
      <c r="I324" s="8"/>
      <c r="J324" s="8"/>
      <c r="K324" s="8"/>
      <c r="L324" s="8"/>
      <c r="M324" s="8"/>
      <c r="N324" s="8"/>
      <c r="O324" s="8"/>
      <c r="P324" s="8"/>
      <c r="Q324" s="8"/>
      <c r="R324" s="8"/>
      <c r="S324" s="8"/>
      <c r="T324" s="8"/>
      <c r="U324" s="8"/>
      <c r="V324" s="8"/>
      <c r="W324" s="8"/>
      <c r="X324" s="8"/>
      <c r="Y324" s="8"/>
      <c r="Z324" s="8"/>
      <c r="AA324" s="8"/>
    </row>
    <row r="325" spans="1:27" ht="19.75">
      <c r="A325" s="8"/>
      <c r="B325" s="7"/>
      <c r="C325" s="8"/>
      <c r="D325" s="8"/>
      <c r="E325" s="11"/>
      <c r="F325" s="8"/>
      <c r="G325" s="8"/>
      <c r="H325" s="8"/>
      <c r="I325" s="8"/>
      <c r="J325" s="8"/>
      <c r="K325" s="8"/>
      <c r="L325" s="8"/>
      <c r="M325" s="8"/>
      <c r="N325" s="8"/>
      <c r="O325" s="8"/>
      <c r="P325" s="8"/>
      <c r="Q325" s="8"/>
      <c r="R325" s="8"/>
      <c r="S325" s="8"/>
      <c r="T325" s="8"/>
      <c r="U325" s="8"/>
      <c r="V325" s="8"/>
      <c r="W325" s="8"/>
      <c r="X325" s="8"/>
      <c r="Y325" s="8"/>
      <c r="Z325" s="8"/>
      <c r="AA325" s="8"/>
    </row>
    <row r="326" spans="1:27" ht="19.75">
      <c r="A326" s="8"/>
      <c r="B326" s="7"/>
      <c r="C326" s="8"/>
      <c r="D326" s="8"/>
      <c r="E326" s="11"/>
      <c r="F326" s="8"/>
      <c r="G326" s="8"/>
      <c r="H326" s="8"/>
      <c r="I326" s="8"/>
      <c r="J326" s="8"/>
      <c r="K326" s="8"/>
      <c r="L326" s="8"/>
      <c r="M326" s="8"/>
      <c r="N326" s="8"/>
      <c r="O326" s="8"/>
      <c r="P326" s="8"/>
      <c r="Q326" s="8"/>
      <c r="R326" s="8"/>
      <c r="S326" s="8"/>
      <c r="T326" s="8"/>
      <c r="U326" s="8"/>
      <c r="V326" s="8"/>
      <c r="W326" s="8"/>
      <c r="X326" s="8"/>
      <c r="Y326" s="8"/>
      <c r="Z326" s="8"/>
      <c r="AA326" s="8"/>
    </row>
    <row r="327" spans="1:27" ht="19.75">
      <c r="A327" s="8"/>
      <c r="B327" s="7"/>
      <c r="C327" s="8"/>
      <c r="D327" s="8"/>
      <c r="E327" s="11"/>
      <c r="F327" s="8"/>
      <c r="G327" s="8"/>
      <c r="H327" s="8"/>
      <c r="I327" s="8"/>
      <c r="J327" s="8"/>
      <c r="K327" s="8"/>
      <c r="L327" s="8"/>
      <c r="M327" s="8"/>
      <c r="N327" s="8"/>
      <c r="O327" s="8"/>
      <c r="P327" s="8"/>
      <c r="Q327" s="8"/>
      <c r="R327" s="8"/>
      <c r="S327" s="8"/>
      <c r="T327" s="8"/>
      <c r="U327" s="8"/>
      <c r="V327" s="8"/>
      <c r="W327" s="8"/>
      <c r="X327" s="8"/>
      <c r="Y327" s="8"/>
      <c r="Z327" s="8"/>
      <c r="AA327" s="8"/>
    </row>
    <row r="328" spans="1:27" ht="19.75">
      <c r="A328" s="8"/>
      <c r="B328" s="7"/>
      <c r="C328" s="8"/>
      <c r="D328" s="8"/>
      <c r="E328" s="11"/>
      <c r="F328" s="8"/>
      <c r="G328" s="8"/>
      <c r="H328" s="8"/>
      <c r="I328" s="8"/>
      <c r="J328" s="8"/>
      <c r="K328" s="8"/>
      <c r="L328" s="8"/>
      <c r="M328" s="8"/>
      <c r="N328" s="8"/>
      <c r="O328" s="8"/>
      <c r="P328" s="8"/>
      <c r="Q328" s="8"/>
      <c r="R328" s="8"/>
      <c r="S328" s="8"/>
      <c r="T328" s="8"/>
      <c r="U328" s="8"/>
      <c r="V328" s="8"/>
      <c r="W328" s="8"/>
      <c r="X328" s="8"/>
      <c r="Y328" s="8"/>
      <c r="Z328" s="8"/>
      <c r="AA328" s="8"/>
    </row>
    <row r="329" spans="1:27" ht="19.75">
      <c r="A329" s="8"/>
      <c r="B329" s="7"/>
      <c r="C329" s="8"/>
      <c r="D329" s="8"/>
      <c r="E329" s="11"/>
      <c r="F329" s="8"/>
      <c r="G329" s="8"/>
      <c r="H329" s="8"/>
      <c r="I329" s="8"/>
      <c r="J329" s="8"/>
      <c r="K329" s="8"/>
      <c r="L329" s="8"/>
      <c r="M329" s="8"/>
      <c r="N329" s="8"/>
      <c r="O329" s="8"/>
      <c r="P329" s="8"/>
      <c r="Q329" s="8"/>
      <c r="R329" s="8"/>
      <c r="S329" s="8"/>
      <c r="T329" s="8"/>
      <c r="U329" s="8"/>
      <c r="V329" s="8"/>
      <c r="W329" s="8"/>
      <c r="X329" s="8"/>
      <c r="Y329" s="8"/>
      <c r="Z329" s="8"/>
      <c r="AA329" s="8"/>
    </row>
    <row r="330" spans="1:27" ht="19.75">
      <c r="A330" s="8"/>
      <c r="B330" s="7"/>
      <c r="C330" s="8"/>
      <c r="D330" s="8"/>
      <c r="E330" s="11"/>
      <c r="F330" s="8"/>
      <c r="G330" s="8"/>
      <c r="H330" s="8"/>
      <c r="I330" s="8"/>
      <c r="J330" s="8"/>
      <c r="K330" s="8"/>
      <c r="L330" s="8"/>
      <c r="M330" s="8"/>
      <c r="N330" s="8"/>
      <c r="O330" s="8"/>
      <c r="P330" s="8"/>
      <c r="Q330" s="8"/>
      <c r="R330" s="8"/>
      <c r="S330" s="8"/>
      <c r="T330" s="8"/>
      <c r="U330" s="8"/>
      <c r="V330" s="8"/>
      <c r="W330" s="8"/>
      <c r="X330" s="8"/>
      <c r="Y330" s="8"/>
      <c r="Z330" s="8"/>
      <c r="AA330" s="8"/>
    </row>
    <row r="331" spans="1:27" ht="19.75">
      <c r="A331" s="8"/>
      <c r="B331" s="7"/>
      <c r="C331" s="8"/>
      <c r="D331" s="8"/>
      <c r="E331" s="11"/>
      <c r="F331" s="8"/>
      <c r="G331" s="8"/>
      <c r="H331" s="8"/>
      <c r="I331" s="8"/>
      <c r="J331" s="8"/>
      <c r="K331" s="8"/>
      <c r="L331" s="8"/>
      <c r="M331" s="8"/>
      <c r="N331" s="8"/>
      <c r="O331" s="8"/>
      <c r="P331" s="8"/>
      <c r="Q331" s="8"/>
      <c r="R331" s="8"/>
      <c r="S331" s="8"/>
      <c r="T331" s="8"/>
      <c r="U331" s="8"/>
      <c r="V331" s="8"/>
      <c r="W331" s="8"/>
      <c r="X331" s="8"/>
      <c r="Y331" s="8"/>
      <c r="Z331" s="8"/>
      <c r="AA331" s="8"/>
    </row>
    <row r="332" spans="1:27" ht="19.75">
      <c r="A332" s="8"/>
      <c r="B332" s="7"/>
      <c r="C332" s="8"/>
      <c r="D332" s="8"/>
      <c r="E332" s="11"/>
      <c r="F332" s="8"/>
      <c r="G332" s="8"/>
      <c r="H332" s="8"/>
      <c r="I332" s="8"/>
      <c r="J332" s="8"/>
      <c r="K332" s="8"/>
      <c r="L332" s="8"/>
      <c r="M332" s="8"/>
      <c r="N332" s="8"/>
      <c r="O332" s="8"/>
      <c r="P332" s="8"/>
      <c r="Q332" s="8"/>
      <c r="R332" s="8"/>
      <c r="S332" s="8"/>
      <c r="T332" s="8"/>
      <c r="U332" s="8"/>
      <c r="V332" s="8"/>
      <c r="W332" s="8"/>
      <c r="X332" s="8"/>
      <c r="Y332" s="8"/>
      <c r="Z332" s="8"/>
      <c r="AA332" s="8"/>
    </row>
    <row r="333" spans="1:27" ht="19.75">
      <c r="A333" s="8"/>
      <c r="B333" s="7"/>
      <c r="C333" s="8"/>
      <c r="D333" s="8"/>
      <c r="E333" s="11"/>
      <c r="F333" s="8"/>
      <c r="G333" s="8"/>
      <c r="H333" s="8"/>
      <c r="I333" s="8"/>
      <c r="J333" s="8"/>
      <c r="K333" s="8"/>
      <c r="L333" s="8"/>
      <c r="M333" s="8"/>
      <c r="N333" s="8"/>
      <c r="O333" s="8"/>
      <c r="P333" s="8"/>
      <c r="Q333" s="8"/>
      <c r="R333" s="8"/>
      <c r="S333" s="8"/>
      <c r="T333" s="8"/>
      <c r="U333" s="8"/>
      <c r="V333" s="8"/>
      <c r="W333" s="8"/>
      <c r="X333" s="8"/>
      <c r="Y333" s="8"/>
      <c r="Z333" s="8"/>
      <c r="AA333" s="8"/>
    </row>
    <row r="334" spans="1:27" ht="19.75">
      <c r="A334" s="8"/>
      <c r="B334" s="7"/>
      <c r="C334" s="8"/>
      <c r="D334" s="8"/>
      <c r="E334" s="11"/>
      <c r="F334" s="8"/>
      <c r="G334" s="8"/>
      <c r="H334" s="8"/>
      <c r="I334" s="8"/>
      <c r="J334" s="8"/>
      <c r="K334" s="8"/>
      <c r="L334" s="8"/>
      <c r="M334" s="8"/>
      <c r="N334" s="8"/>
      <c r="O334" s="8"/>
      <c r="P334" s="8"/>
      <c r="Q334" s="8"/>
      <c r="R334" s="8"/>
      <c r="S334" s="8"/>
      <c r="T334" s="8"/>
      <c r="U334" s="8"/>
      <c r="V334" s="8"/>
      <c r="W334" s="8"/>
      <c r="X334" s="8"/>
      <c r="Y334" s="8"/>
      <c r="Z334" s="8"/>
      <c r="AA334" s="8"/>
    </row>
    <row r="335" spans="1:27" ht="19.75">
      <c r="A335" s="8"/>
      <c r="B335" s="7"/>
      <c r="C335" s="8"/>
      <c r="D335" s="8"/>
      <c r="E335" s="11"/>
      <c r="F335" s="8"/>
      <c r="G335" s="8"/>
      <c r="H335" s="8"/>
      <c r="I335" s="8"/>
      <c r="J335" s="8"/>
      <c r="K335" s="8"/>
      <c r="L335" s="8"/>
      <c r="M335" s="8"/>
      <c r="N335" s="8"/>
      <c r="O335" s="8"/>
      <c r="P335" s="8"/>
      <c r="Q335" s="8"/>
      <c r="R335" s="8"/>
      <c r="S335" s="8"/>
      <c r="T335" s="8"/>
      <c r="U335" s="8"/>
      <c r="V335" s="8"/>
      <c r="W335" s="8"/>
      <c r="X335" s="8"/>
      <c r="Y335" s="8"/>
      <c r="Z335" s="8"/>
      <c r="AA335" s="8"/>
    </row>
    <row r="336" spans="1:27" ht="19.75">
      <c r="A336" s="8"/>
      <c r="B336" s="7"/>
      <c r="C336" s="8"/>
      <c r="D336" s="8"/>
      <c r="E336" s="11"/>
      <c r="F336" s="8"/>
      <c r="G336" s="8"/>
      <c r="H336" s="8"/>
      <c r="I336" s="8"/>
      <c r="J336" s="8"/>
      <c r="K336" s="8"/>
      <c r="L336" s="8"/>
      <c r="M336" s="8"/>
      <c r="N336" s="8"/>
      <c r="O336" s="8"/>
      <c r="P336" s="8"/>
      <c r="Q336" s="8"/>
      <c r="R336" s="8"/>
      <c r="S336" s="8"/>
      <c r="T336" s="8"/>
      <c r="U336" s="8"/>
      <c r="V336" s="8"/>
      <c r="W336" s="8"/>
      <c r="X336" s="8"/>
      <c r="Y336" s="8"/>
      <c r="Z336" s="8"/>
      <c r="AA336" s="8"/>
    </row>
    <row r="337" spans="1:27" ht="19.75">
      <c r="A337" s="8"/>
      <c r="B337" s="7"/>
      <c r="C337" s="8"/>
      <c r="D337" s="8"/>
      <c r="E337" s="11"/>
      <c r="F337" s="8"/>
      <c r="G337" s="8"/>
      <c r="H337" s="8"/>
      <c r="I337" s="8"/>
      <c r="J337" s="8"/>
      <c r="K337" s="8"/>
      <c r="L337" s="8"/>
      <c r="M337" s="8"/>
      <c r="N337" s="8"/>
      <c r="O337" s="8"/>
      <c r="P337" s="8"/>
      <c r="Q337" s="8"/>
      <c r="R337" s="8"/>
      <c r="S337" s="8"/>
      <c r="T337" s="8"/>
      <c r="U337" s="8"/>
      <c r="V337" s="8"/>
      <c r="W337" s="8"/>
      <c r="X337" s="8"/>
      <c r="Y337" s="8"/>
      <c r="Z337" s="8"/>
      <c r="AA337" s="8"/>
    </row>
    <row r="338" spans="1:27" ht="19.75">
      <c r="A338" s="8"/>
      <c r="B338" s="7"/>
      <c r="C338" s="8"/>
      <c r="D338" s="8"/>
      <c r="E338" s="11"/>
      <c r="F338" s="8"/>
      <c r="G338" s="8"/>
      <c r="H338" s="8"/>
      <c r="I338" s="8"/>
      <c r="J338" s="8"/>
      <c r="K338" s="8"/>
      <c r="L338" s="8"/>
      <c r="M338" s="8"/>
      <c r="N338" s="8"/>
      <c r="O338" s="8"/>
      <c r="P338" s="8"/>
      <c r="Q338" s="8"/>
      <c r="R338" s="8"/>
      <c r="S338" s="8"/>
      <c r="T338" s="8"/>
      <c r="U338" s="8"/>
      <c r="V338" s="8"/>
      <c r="W338" s="8"/>
      <c r="X338" s="8"/>
      <c r="Y338" s="8"/>
      <c r="Z338" s="8"/>
      <c r="AA338" s="8"/>
    </row>
    <row r="339" spans="1:27" ht="19.75">
      <c r="A339" s="8"/>
      <c r="B339" s="7"/>
      <c r="C339" s="8"/>
      <c r="D339" s="8"/>
      <c r="E339" s="11"/>
      <c r="F339" s="8"/>
      <c r="G339" s="8"/>
      <c r="H339" s="8"/>
      <c r="I339" s="8"/>
      <c r="J339" s="8"/>
      <c r="K339" s="8"/>
      <c r="L339" s="8"/>
      <c r="M339" s="8"/>
      <c r="N339" s="8"/>
      <c r="O339" s="8"/>
      <c r="P339" s="8"/>
      <c r="Q339" s="8"/>
      <c r="R339" s="8"/>
      <c r="S339" s="8"/>
      <c r="T339" s="8"/>
      <c r="U339" s="8"/>
      <c r="V339" s="8"/>
      <c r="W339" s="8"/>
      <c r="X339" s="8"/>
      <c r="Y339" s="8"/>
      <c r="Z339" s="8"/>
      <c r="AA339" s="8"/>
    </row>
    <row r="340" spans="1:27" ht="19.75">
      <c r="A340" s="8"/>
      <c r="B340" s="7"/>
      <c r="C340" s="8"/>
      <c r="D340" s="8"/>
      <c r="E340" s="11"/>
      <c r="F340" s="8"/>
      <c r="G340" s="8"/>
      <c r="H340" s="8"/>
      <c r="I340" s="8"/>
      <c r="J340" s="8"/>
      <c r="K340" s="8"/>
      <c r="L340" s="8"/>
      <c r="M340" s="8"/>
      <c r="N340" s="8"/>
      <c r="O340" s="8"/>
      <c r="P340" s="8"/>
      <c r="Q340" s="8"/>
      <c r="R340" s="8"/>
      <c r="S340" s="8"/>
      <c r="T340" s="8"/>
      <c r="U340" s="8"/>
      <c r="V340" s="8"/>
      <c r="W340" s="8"/>
      <c r="X340" s="8"/>
      <c r="Y340" s="8"/>
      <c r="Z340" s="8"/>
      <c r="AA340" s="8"/>
    </row>
    <row r="341" spans="1:27" ht="19.75">
      <c r="A341" s="8"/>
      <c r="B341" s="7"/>
      <c r="C341" s="8"/>
      <c r="D341" s="8"/>
      <c r="E341" s="11"/>
      <c r="F341" s="8"/>
      <c r="G341" s="8"/>
      <c r="H341" s="8"/>
      <c r="I341" s="8"/>
      <c r="J341" s="8"/>
      <c r="K341" s="8"/>
      <c r="L341" s="8"/>
      <c r="M341" s="8"/>
      <c r="N341" s="8"/>
      <c r="O341" s="8"/>
      <c r="P341" s="8"/>
      <c r="Q341" s="8"/>
      <c r="R341" s="8"/>
      <c r="S341" s="8"/>
      <c r="T341" s="8"/>
      <c r="U341" s="8"/>
      <c r="V341" s="8"/>
      <c r="W341" s="8"/>
      <c r="X341" s="8"/>
      <c r="Y341" s="8"/>
      <c r="Z341" s="8"/>
      <c r="AA341" s="8"/>
    </row>
    <row r="342" spans="1:27" ht="19.75">
      <c r="A342" s="8"/>
      <c r="B342" s="7"/>
      <c r="C342" s="8"/>
      <c r="D342" s="8"/>
      <c r="E342" s="11"/>
      <c r="F342" s="8"/>
      <c r="G342" s="8"/>
      <c r="H342" s="8"/>
      <c r="I342" s="8"/>
      <c r="J342" s="8"/>
      <c r="K342" s="8"/>
      <c r="L342" s="8"/>
      <c r="M342" s="8"/>
      <c r="N342" s="8"/>
      <c r="O342" s="8"/>
      <c r="P342" s="8"/>
      <c r="Q342" s="8"/>
      <c r="R342" s="8"/>
      <c r="S342" s="8"/>
      <c r="T342" s="8"/>
      <c r="U342" s="8"/>
      <c r="V342" s="8"/>
      <c r="W342" s="8"/>
      <c r="X342" s="8"/>
      <c r="Y342" s="8"/>
      <c r="Z342" s="8"/>
      <c r="AA342" s="8"/>
    </row>
    <row r="343" spans="1:27" ht="19.75">
      <c r="A343" s="8"/>
      <c r="B343" s="7"/>
      <c r="C343" s="8"/>
      <c r="D343" s="8"/>
      <c r="E343" s="11"/>
      <c r="F343" s="8"/>
      <c r="G343" s="8"/>
      <c r="H343" s="8"/>
      <c r="I343" s="8"/>
      <c r="J343" s="8"/>
      <c r="K343" s="8"/>
      <c r="L343" s="8"/>
      <c r="M343" s="8"/>
      <c r="N343" s="8"/>
      <c r="O343" s="8"/>
      <c r="P343" s="8"/>
      <c r="Q343" s="8"/>
      <c r="R343" s="8"/>
      <c r="S343" s="8"/>
      <c r="T343" s="8"/>
      <c r="U343" s="8"/>
      <c r="V343" s="8"/>
      <c r="W343" s="8"/>
      <c r="X343" s="8"/>
      <c r="Y343" s="8"/>
      <c r="Z343" s="8"/>
      <c r="AA343" s="8"/>
    </row>
    <row r="344" spans="1:27" ht="19.75">
      <c r="A344" s="8"/>
      <c r="B344" s="7"/>
      <c r="C344" s="8"/>
      <c r="D344" s="8"/>
      <c r="E344" s="11"/>
      <c r="F344" s="8"/>
      <c r="G344" s="8"/>
      <c r="H344" s="8"/>
      <c r="I344" s="8"/>
      <c r="J344" s="8"/>
      <c r="K344" s="8"/>
      <c r="L344" s="8"/>
      <c r="M344" s="8"/>
      <c r="N344" s="8"/>
      <c r="O344" s="8"/>
      <c r="P344" s="8"/>
      <c r="Q344" s="8"/>
      <c r="R344" s="8"/>
      <c r="S344" s="8"/>
      <c r="T344" s="8"/>
      <c r="U344" s="8"/>
      <c r="V344" s="8"/>
      <c r="W344" s="8"/>
      <c r="X344" s="8"/>
      <c r="Y344" s="8"/>
      <c r="Z344" s="8"/>
      <c r="AA344" s="8"/>
    </row>
    <row r="345" spans="1:27" ht="19.75">
      <c r="A345" s="8"/>
      <c r="B345" s="7"/>
      <c r="C345" s="8"/>
      <c r="D345" s="8"/>
      <c r="E345" s="11"/>
      <c r="F345" s="8"/>
      <c r="G345" s="8"/>
      <c r="H345" s="8"/>
      <c r="I345" s="8"/>
      <c r="J345" s="8"/>
      <c r="K345" s="8"/>
      <c r="L345" s="8"/>
      <c r="M345" s="8"/>
      <c r="N345" s="8"/>
      <c r="O345" s="8"/>
      <c r="P345" s="8"/>
      <c r="Q345" s="8"/>
      <c r="R345" s="8"/>
      <c r="S345" s="8"/>
      <c r="T345" s="8"/>
      <c r="U345" s="8"/>
      <c r="V345" s="8"/>
      <c r="W345" s="8"/>
      <c r="X345" s="8"/>
      <c r="Y345" s="8"/>
      <c r="Z345" s="8"/>
      <c r="AA345" s="8"/>
    </row>
    <row r="346" spans="1:27" ht="19.75">
      <c r="A346" s="8"/>
      <c r="B346" s="7"/>
      <c r="C346" s="8"/>
      <c r="D346" s="8"/>
      <c r="E346" s="11"/>
      <c r="F346" s="8"/>
      <c r="G346" s="8"/>
      <c r="H346" s="8"/>
      <c r="I346" s="8"/>
      <c r="J346" s="8"/>
      <c r="K346" s="8"/>
      <c r="L346" s="8"/>
      <c r="M346" s="8"/>
      <c r="N346" s="8"/>
      <c r="O346" s="8"/>
      <c r="P346" s="8"/>
      <c r="Q346" s="8"/>
      <c r="R346" s="8"/>
      <c r="S346" s="8"/>
      <c r="T346" s="8"/>
      <c r="U346" s="8"/>
      <c r="V346" s="8"/>
      <c r="W346" s="8"/>
      <c r="X346" s="8"/>
      <c r="Y346" s="8"/>
      <c r="Z346" s="8"/>
      <c r="AA346" s="8"/>
    </row>
    <row r="347" spans="1:27" ht="19.75">
      <c r="A347" s="8"/>
      <c r="B347" s="7"/>
      <c r="C347" s="8"/>
      <c r="D347" s="8"/>
      <c r="E347" s="11"/>
      <c r="F347" s="8"/>
      <c r="G347" s="8"/>
      <c r="H347" s="8"/>
      <c r="I347" s="8"/>
      <c r="J347" s="8"/>
      <c r="K347" s="8"/>
      <c r="L347" s="8"/>
      <c r="M347" s="8"/>
      <c r="N347" s="8"/>
      <c r="O347" s="8"/>
      <c r="P347" s="8"/>
      <c r="Q347" s="8"/>
      <c r="R347" s="8"/>
      <c r="S347" s="8"/>
      <c r="T347" s="8"/>
      <c r="U347" s="8"/>
      <c r="V347" s="8"/>
      <c r="W347" s="8"/>
      <c r="X347" s="8"/>
      <c r="Y347" s="8"/>
      <c r="Z347" s="8"/>
      <c r="AA347" s="8"/>
    </row>
    <row r="348" spans="1:27" ht="19.75">
      <c r="A348" s="8"/>
      <c r="B348" s="7"/>
      <c r="C348" s="8"/>
      <c r="D348" s="8"/>
      <c r="E348" s="11"/>
      <c r="F348" s="8"/>
      <c r="G348" s="8"/>
      <c r="H348" s="8"/>
      <c r="I348" s="8"/>
      <c r="J348" s="8"/>
      <c r="K348" s="8"/>
      <c r="L348" s="8"/>
      <c r="M348" s="8"/>
      <c r="N348" s="8"/>
      <c r="O348" s="8"/>
      <c r="P348" s="8"/>
      <c r="Q348" s="8"/>
      <c r="R348" s="8"/>
      <c r="S348" s="8"/>
      <c r="T348" s="8"/>
      <c r="U348" s="8"/>
      <c r="V348" s="8"/>
      <c r="W348" s="8"/>
      <c r="X348" s="8"/>
      <c r="Y348" s="8"/>
      <c r="Z348" s="8"/>
      <c r="AA348" s="8"/>
    </row>
    <row r="349" spans="1:27" ht="19.75">
      <c r="A349" s="8"/>
      <c r="B349" s="7"/>
      <c r="C349" s="8"/>
      <c r="D349" s="8"/>
      <c r="E349" s="11"/>
      <c r="F349" s="8"/>
      <c r="G349" s="8"/>
      <c r="H349" s="8"/>
      <c r="I349" s="8"/>
      <c r="J349" s="8"/>
      <c r="K349" s="8"/>
      <c r="L349" s="8"/>
      <c r="M349" s="8"/>
      <c r="N349" s="8"/>
      <c r="O349" s="8"/>
      <c r="P349" s="8"/>
      <c r="Q349" s="8"/>
      <c r="R349" s="8"/>
      <c r="S349" s="8"/>
      <c r="T349" s="8"/>
      <c r="U349" s="8"/>
      <c r="V349" s="8"/>
      <c r="W349" s="8"/>
      <c r="X349" s="8"/>
      <c r="Y349" s="8"/>
      <c r="Z349" s="8"/>
      <c r="AA349" s="8"/>
    </row>
    <row r="350" spans="1:27" ht="19.75">
      <c r="A350" s="8"/>
      <c r="B350" s="7"/>
      <c r="C350" s="8"/>
      <c r="D350" s="8"/>
      <c r="E350" s="11"/>
      <c r="F350" s="8"/>
      <c r="G350" s="8"/>
      <c r="H350" s="8"/>
      <c r="I350" s="8"/>
      <c r="J350" s="8"/>
      <c r="K350" s="8"/>
      <c r="L350" s="8"/>
      <c r="M350" s="8"/>
      <c r="N350" s="8"/>
      <c r="O350" s="8"/>
      <c r="P350" s="8"/>
      <c r="Q350" s="8"/>
      <c r="R350" s="8"/>
      <c r="S350" s="8"/>
      <c r="T350" s="8"/>
      <c r="U350" s="8"/>
      <c r="V350" s="8"/>
      <c r="W350" s="8"/>
      <c r="X350" s="8"/>
      <c r="Y350" s="8"/>
      <c r="Z350" s="8"/>
      <c r="AA350" s="8"/>
    </row>
    <row r="351" spans="1:27" ht="19.75">
      <c r="A351" s="8"/>
      <c r="B351" s="7"/>
      <c r="C351" s="8"/>
      <c r="D351" s="8"/>
      <c r="E351" s="11"/>
      <c r="F351" s="8"/>
      <c r="G351" s="8"/>
      <c r="H351" s="8"/>
      <c r="I351" s="8"/>
      <c r="J351" s="8"/>
      <c r="K351" s="8"/>
      <c r="L351" s="8"/>
      <c r="M351" s="8"/>
      <c r="N351" s="8"/>
      <c r="O351" s="8"/>
      <c r="P351" s="8"/>
      <c r="Q351" s="8"/>
      <c r="R351" s="8"/>
      <c r="S351" s="8"/>
      <c r="T351" s="8"/>
      <c r="U351" s="8"/>
      <c r="V351" s="8"/>
      <c r="W351" s="8"/>
      <c r="X351" s="8"/>
      <c r="Y351" s="8"/>
      <c r="Z351" s="8"/>
      <c r="AA351" s="8"/>
    </row>
    <row r="352" spans="1:27" ht="19.75">
      <c r="A352" s="8"/>
      <c r="B352" s="7"/>
      <c r="C352" s="8"/>
      <c r="D352" s="8"/>
      <c r="E352" s="11"/>
      <c r="F352" s="8"/>
      <c r="G352" s="8"/>
      <c r="H352" s="8"/>
      <c r="I352" s="8"/>
      <c r="J352" s="8"/>
      <c r="K352" s="8"/>
      <c r="L352" s="8"/>
      <c r="M352" s="8"/>
      <c r="N352" s="8"/>
      <c r="O352" s="8"/>
      <c r="P352" s="8"/>
      <c r="Q352" s="8"/>
      <c r="R352" s="8"/>
      <c r="S352" s="8"/>
      <c r="T352" s="8"/>
      <c r="U352" s="8"/>
      <c r="V352" s="8"/>
      <c r="W352" s="8"/>
      <c r="X352" s="8"/>
      <c r="Y352" s="8"/>
      <c r="Z352" s="8"/>
      <c r="AA352" s="8"/>
    </row>
    <row r="353" spans="1:27" ht="19.75">
      <c r="A353" s="8"/>
      <c r="B353" s="7"/>
      <c r="C353" s="8"/>
      <c r="D353" s="8"/>
      <c r="E353" s="11"/>
      <c r="F353" s="8"/>
      <c r="G353" s="8"/>
      <c r="H353" s="8"/>
      <c r="I353" s="8"/>
      <c r="J353" s="8"/>
      <c r="K353" s="8"/>
      <c r="L353" s="8"/>
      <c r="M353" s="8"/>
      <c r="N353" s="8"/>
      <c r="O353" s="8"/>
      <c r="P353" s="8"/>
      <c r="Q353" s="8"/>
      <c r="R353" s="8"/>
      <c r="S353" s="8"/>
      <c r="T353" s="8"/>
      <c r="U353" s="8"/>
      <c r="V353" s="8"/>
      <c r="W353" s="8"/>
      <c r="X353" s="8"/>
      <c r="Y353" s="8"/>
      <c r="Z353" s="8"/>
      <c r="AA353" s="8"/>
    </row>
    <row r="354" spans="1:27" ht="19.75">
      <c r="A354" s="8"/>
      <c r="B354" s="7"/>
      <c r="C354" s="8"/>
      <c r="D354" s="8"/>
      <c r="E354" s="11"/>
      <c r="F354" s="8"/>
      <c r="G354" s="8"/>
      <c r="H354" s="8"/>
      <c r="I354" s="8"/>
      <c r="J354" s="8"/>
      <c r="K354" s="8"/>
      <c r="L354" s="8"/>
      <c r="M354" s="8"/>
      <c r="N354" s="8"/>
      <c r="O354" s="8"/>
      <c r="P354" s="8"/>
      <c r="Q354" s="8"/>
      <c r="R354" s="8"/>
      <c r="S354" s="8"/>
      <c r="T354" s="8"/>
      <c r="U354" s="8"/>
      <c r="V354" s="8"/>
      <c r="W354" s="8"/>
      <c r="X354" s="8"/>
      <c r="Y354" s="8"/>
      <c r="Z354" s="8"/>
      <c r="AA354" s="8"/>
    </row>
    <row r="355" spans="1:27" ht="19.75">
      <c r="A355" s="8"/>
      <c r="B355" s="7"/>
      <c r="C355" s="8"/>
      <c r="D355" s="8"/>
      <c r="E355" s="11"/>
      <c r="F355" s="8"/>
      <c r="G355" s="8"/>
      <c r="H355" s="8"/>
      <c r="I355" s="8"/>
      <c r="J355" s="8"/>
      <c r="K355" s="8"/>
      <c r="L355" s="8"/>
      <c r="M355" s="8"/>
      <c r="N355" s="8"/>
      <c r="O355" s="8"/>
      <c r="P355" s="8"/>
      <c r="Q355" s="8"/>
      <c r="R355" s="8"/>
      <c r="S355" s="8"/>
      <c r="T355" s="8"/>
      <c r="U355" s="8"/>
      <c r="V355" s="8"/>
      <c r="W355" s="8"/>
      <c r="X355" s="8"/>
      <c r="Y355" s="8"/>
      <c r="Z355" s="8"/>
      <c r="AA355" s="8"/>
    </row>
    <row r="356" spans="1:27" ht="19.75">
      <c r="A356" s="8"/>
      <c r="B356" s="7"/>
      <c r="C356" s="8"/>
      <c r="D356" s="8"/>
      <c r="E356" s="11"/>
      <c r="F356" s="8"/>
      <c r="G356" s="8"/>
      <c r="H356" s="8"/>
      <c r="I356" s="8"/>
      <c r="J356" s="8"/>
      <c r="K356" s="8"/>
      <c r="L356" s="8"/>
      <c r="M356" s="8"/>
      <c r="N356" s="8"/>
      <c r="O356" s="8"/>
      <c r="P356" s="8"/>
      <c r="Q356" s="8"/>
      <c r="R356" s="8"/>
      <c r="S356" s="8"/>
      <c r="T356" s="8"/>
      <c r="U356" s="8"/>
      <c r="V356" s="8"/>
      <c r="W356" s="8"/>
      <c r="X356" s="8"/>
      <c r="Y356" s="8"/>
      <c r="Z356" s="8"/>
      <c r="AA356" s="8"/>
    </row>
    <row r="357" spans="1:27" ht="19.75">
      <c r="A357" s="8"/>
      <c r="B357" s="7"/>
      <c r="C357" s="8"/>
      <c r="D357" s="8"/>
      <c r="E357" s="11"/>
      <c r="F357" s="8"/>
      <c r="G357" s="8"/>
      <c r="H357" s="8"/>
      <c r="I357" s="8"/>
      <c r="J357" s="8"/>
      <c r="K357" s="8"/>
      <c r="L357" s="8"/>
      <c r="M357" s="8"/>
      <c r="N357" s="8"/>
      <c r="O357" s="8"/>
      <c r="P357" s="8"/>
      <c r="Q357" s="8"/>
      <c r="R357" s="8"/>
      <c r="S357" s="8"/>
      <c r="T357" s="8"/>
      <c r="U357" s="8"/>
      <c r="V357" s="8"/>
      <c r="W357" s="8"/>
      <c r="X357" s="8"/>
      <c r="Y357" s="8"/>
      <c r="Z357" s="8"/>
      <c r="AA357" s="8"/>
    </row>
    <row r="358" spans="1:27" ht="19.75">
      <c r="A358" s="8"/>
      <c r="B358" s="7"/>
      <c r="C358" s="8"/>
      <c r="D358" s="8"/>
      <c r="E358" s="11"/>
      <c r="F358" s="8"/>
      <c r="G358" s="8"/>
      <c r="H358" s="8"/>
      <c r="I358" s="8"/>
      <c r="J358" s="8"/>
      <c r="K358" s="8"/>
      <c r="L358" s="8"/>
      <c r="M358" s="8"/>
      <c r="N358" s="8"/>
      <c r="O358" s="8"/>
      <c r="P358" s="8"/>
      <c r="Q358" s="8"/>
      <c r="R358" s="8"/>
      <c r="S358" s="8"/>
      <c r="T358" s="8"/>
      <c r="U358" s="8"/>
      <c r="V358" s="8"/>
      <c r="W358" s="8"/>
      <c r="X358" s="8"/>
      <c r="Y358" s="8"/>
      <c r="Z358" s="8"/>
      <c r="AA358" s="8"/>
    </row>
    <row r="359" spans="1:27" ht="19.75">
      <c r="A359" s="8"/>
      <c r="B359" s="7"/>
      <c r="C359" s="8"/>
      <c r="D359" s="8"/>
      <c r="E359" s="11"/>
      <c r="F359" s="8"/>
      <c r="G359" s="8"/>
      <c r="H359" s="8"/>
      <c r="I359" s="8"/>
      <c r="J359" s="8"/>
      <c r="K359" s="8"/>
      <c r="L359" s="8"/>
      <c r="M359" s="8"/>
      <c r="N359" s="8"/>
      <c r="O359" s="8"/>
      <c r="P359" s="8"/>
      <c r="Q359" s="8"/>
      <c r="R359" s="8"/>
      <c r="S359" s="8"/>
      <c r="T359" s="8"/>
      <c r="U359" s="8"/>
      <c r="V359" s="8"/>
      <c r="W359" s="8"/>
      <c r="X359" s="8"/>
      <c r="Y359" s="8"/>
      <c r="Z359" s="8"/>
      <c r="AA359" s="8"/>
    </row>
    <row r="360" spans="1:27" ht="19.75">
      <c r="A360" s="8"/>
      <c r="B360" s="7"/>
      <c r="C360" s="8"/>
      <c r="D360" s="8"/>
      <c r="E360" s="11"/>
      <c r="F360" s="8"/>
      <c r="G360" s="8"/>
      <c r="H360" s="8"/>
      <c r="I360" s="8"/>
      <c r="J360" s="8"/>
      <c r="K360" s="8"/>
      <c r="L360" s="8"/>
      <c r="M360" s="8"/>
      <c r="N360" s="8"/>
      <c r="O360" s="8"/>
      <c r="P360" s="8"/>
      <c r="Q360" s="8"/>
      <c r="R360" s="8"/>
      <c r="S360" s="8"/>
      <c r="T360" s="8"/>
      <c r="U360" s="8"/>
      <c r="V360" s="8"/>
      <c r="W360" s="8"/>
      <c r="X360" s="8"/>
      <c r="Y360" s="8"/>
      <c r="Z360" s="8"/>
      <c r="AA360" s="8"/>
    </row>
    <row r="361" spans="1:27" ht="19.75">
      <c r="A361" s="8"/>
      <c r="B361" s="7"/>
      <c r="C361" s="8"/>
      <c r="D361" s="8"/>
      <c r="E361" s="11"/>
      <c r="F361" s="8"/>
      <c r="G361" s="8"/>
      <c r="H361" s="8"/>
      <c r="I361" s="8"/>
      <c r="J361" s="8"/>
      <c r="K361" s="8"/>
      <c r="L361" s="8"/>
      <c r="M361" s="8"/>
      <c r="N361" s="8"/>
      <c r="O361" s="8"/>
      <c r="P361" s="8"/>
      <c r="Q361" s="8"/>
      <c r="R361" s="8"/>
      <c r="S361" s="8"/>
      <c r="T361" s="8"/>
      <c r="U361" s="8"/>
      <c r="V361" s="8"/>
      <c r="W361" s="8"/>
      <c r="X361" s="8"/>
      <c r="Y361" s="8"/>
      <c r="Z361" s="8"/>
      <c r="AA361" s="8"/>
    </row>
    <row r="362" spans="1:27" ht="19.75">
      <c r="A362" s="8"/>
      <c r="B362" s="7"/>
      <c r="C362" s="8"/>
      <c r="D362" s="8"/>
      <c r="E362" s="11"/>
      <c r="F362" s="8"/>
      <c r="G362" s="8"/>
      <c r="H362" s="8"/>
      <c r="I362" s="8"/>
      <c r="J362" s="8"/>
      <c r="K362" s="8"/>
      <c r="L362" s="8"/>
      <c r="M362" s="8"/>
      <c r="N362" s="8"/>
      <c r="O362" s="8"/>
      <c r="P362" s="8"/>
      <c r="Q362" s="8"/>
      <c r="R362" s="8"/>
      <c r="S362" s="8"/>
      <c r="T362" s="8"/>
      <c r="U362" s="8"/>
      <c r="V362" s="8"/>
      <c r="W362" s="8"/>
      <c r="X362" s="8"/>
      <c r="Y362" s="8"/>
      <c r="Z362" s="8"/>
      <c r="AA362" s="8"/>
    </row>
    <row r="363" spans="1:27" ht="19.75">
      <c r="A363" s="8"/>
      <c r="B363" s="7"/>
      <c r="C363" s="8"/>
      <c r="D363" s="8"/>
      <c r="E363" s="11"/>
      <c r="F363" s="8"/>
      <c r="G363" s="8"/>
      <c r="H363" s="8"/>
      <c r="I363" s="8"/>
      <c r="J363" s="8"/>
      <c r="K363" s="8"/>
      <c r="L363" s="8"/>
      <c r="M363" s="8"/>
      <c r="N363" s="8"/>
      <c r="O363" s="8"/>
      <c r="P363" s="8"/>
      <c r="Q363" s="8"/>
      <c r="R363" s="8"/>
      <c r="S363" s="8"/>
      <c r="T363" s="8"/>
      <c r="U363" s="8"/>
      <c r="V363" s="8"/>
      <c r="W363" s="8"/>
      <c r="X363" s="8"/>
      <c r="Y363" s="8"/>
      <c r="Z363" s="8"/>
      <c r="AA363" s="8"/>
    </row>
    <row r="364" spans="1:27" ht="19.75">
      <c r="A364" s="8"/>
      <c r="B364" s="7"/>
      <c r="C364" s="8"/>
      <c r="D364" s="8"/>
      <c r="E364" s="11"/>
      <c r="F364" s="8"/>
      <c r="G364" s="8"/>
      <c r="H364" s="8"/>
      <c r="I364" s="8"/>
      <c r="J364" s="8"/>
      <c r="K364" s="8"/>
      <c r="L364" s="8"/>
      <c r="M364" s="8"/>
      <c r="N364" s="8"/>
      <c r="O364" s="8"/>
      <c r="P364" s="8"/>
      <c r="Q364" s="8"/>
      <c r="R364" s="8"/>
      <c r="S364" s="8"/>
      <c r="T364" s="8"/>
      <c r="U364" s="8"/>
      <c r="V364" s="8"/>
      <c r="W364" s="8"/>
      <c r="X364" s="8"/>
      <c r="Y364" s="8"/>
      <c r="Z364" s="8"/>
      <c r="AA364" s="8"/>
    </row>
    <row r="365" spans="1:27" ht="19.75">
      <c r="A365" s="8"/>
      <c r="B365" s="7"/>
      <c r="C365" s="8"/>
      <c r="D365" s="8"/>
      <c r="E365" s="11"/>
      <c r="F365" s="8"/>
      <c r="G365" s="8"/>
      <c r="H365" s="8"/>
      <c r="I365" s="8"/>
      <c r="J365" s="8"/>
      <c r="K365" s="8"/>
      <c r="L365" s="8"/>
      <c r="M365" s="8"/>
      <c r="N365" s="8"/>
      <c r="O365" s="8"/>
      <c r="P365" s="8"/>
      <c r="Q365" s="8"/>
      <c r="R365" s="8"/>
      <c r="S365" s="8"/>
      <c r="T365" s="8"/>
      <c r="U365" s="8"/>
      <c r="V365" s="8"/>
      <c r="W365" s="8"/>
      <c r="X365" s="8"/>
      <c r="Y365" s="8"/>
      <c r="Z365" s="8"/>
      <c r="AA365" s="8"/>
    </row>
    <row r="366" spans="1:27" ht="19.75">
      <c r="A366" s="8"/>
      <c r="B366" s="7"/>
      <c r="C366" s="8"/>
      <c r="D366" s="8"/>
      <c r="E366" s="11"/>
      <c r="F366" s="8"/>
      <c r="G366" s="8"/>
      <c r="H366" s="8"/>
      <c r="I366" s="8"/>
      <c r="J366" s="8"/>
      <c r="K366" s="8"/>
      <c r="L366" s="8"/>
      <c r="M366" s="8"/>
      <c r="N366" s="8"/>
      <c r="O366" s="8"/>
      <c r="P366" s="8"/>
      <c r="Q366" s="8"/>
      <c r="R366" s="8"/>
      <c r="S366" s="8"/>
      <c r="T366" s="8"/>
      <c r="U366" s="8"/>
      <c r="V366" s="8"/>
      <c r="W366" s="8"/>
      <c r="X366" s="8"/>
      <c r="Y366" s="8"/>
      <c r="Z366" s="8"/>
      <c r="AA366" s="8"/>
    </row>
    <row r="367" spans="1:27" ht="19.75">
      <c r="A367" s="8"/>
      <c r="B367" s="7"/>
      <c r="C367" s="8"/>
      <c r="D367" s="8"/>
      <c r="E367" s="11"/>
      <c r="F367" s="8"/>
      <c r="G367" s="8"/>
      <c r="H367" s="8"/>
      <c r="I367" s="8"/>
      <c r="J367" s="8"/>
      <c r="K367" s="8"/>
      <c r="L367" s="8"/>
      <c r="M367" s="8"/>
      <c r="N367" s="8"/>
      <c r="O367" s="8"/>
      <c r="P367" s="8"/>
      <c r="Q367" s="8"/>
      <c r="R367" s="8"/>
      <c r="S367" s="8"/>
      <c r="T367" s="8"/>
      <c r="U367" s="8"/>
      <c r="V367" s="8"/>
      <c r="W367" s="8"/>
      <c r="X367" s="8"/>
      <c r="Y367" s="8"/>
      <c r="Z367" s="8"/>
      <c r="AA367" s="8"/>
    </row>
    <row r="368" spans="1:27" ht="19.75">
      <c r="A368" s="8"/>
      <c r="B368" s="7"/>
      <c r="C368" s="8"/>
      <c r="D368" s="8"/>
      <c r="E368" s="11"/>
      <c r="F368" s="8"/>
      <c r="G368" s="8"/>
      <c r="H368" s="8"/>
      <c r="I368" s="8"/>
      <c r="J368" s="8"/>
      <c r="K368" s="8"/>
      <c r="L368" s="8"/>
      <c r="M368" s="8"/>
      <c r="N368" s="8"/>
      <c r="O368" s="8"/>
      <c r="P368" s="8"/>
      <c r="Q368" s="8"/>
      <c r="R368" s="8"/>
      <c r="S368" s="8"/>
      <c r="T368" s="8"/>
      <c r="U368" s="8"/>
      <c r="V368" s="8"/>
      <c r="W368" s="8"/>
      <c r="X368" s="8"/>
      <c r="Y368" s="8"/>
      <c r="Z368" s="8"/>
      <c r="AA368" s="8"/>
    </row>
    <row r="369" spans="1:27" ht="19.75">
      <c r="A369" s="8"/>
      <c r="B369" s="7"/>
      <c r="C369" s="8"/>
      <c r="D369" s="8"/>
      <c r="E369" s="11"/>
      <c r="F369" s="8"/>
      <c r="G369" s="8"/>
      <c r="H369" s="8"/>
      <c r="I369" s="8"/>
      <c r="J369" s="8"/>
      <c r="K369" s="8"/>
      <c r="L369" s="8"/>
      <c r="M369" s="8"/>
      <c r="N369" s="8"/>
      <c r="O369" s="8"/>
      <c r="P369" s="8"/>
      <c r="Q369" s="8"/>
      <c r="R369" s="8"/>
      <c r="S369" s="8"/>
      <c r="T369" s="8"/>
      <c r="U369" s="8"/>
      <c r="V369" s="8"/>
      <c r="W369" s="8"/>
      <c r="X369" s="8"/>
      <c r="Y369" s="8"/>
      <c r="Z369" s="8"/>
      <c r="AA369" s="8"/>
    </row>
    <row r="370" spans="1:27" ht="19.75">
      <c r="A370" s="8"/>
      <c r="B370" s="7"/>
      <c r="C370" s="8"/>
      <c r="D370" s="8"/>
      <c r="E370" s="11"/>
      <c r="F370" s="8"/>
      <c r="G370" s="8"/>
      <c r="H370" s="8"/>
      <c r="I370" s="8"/>
      <c r="J370" s="8"/>
      <c r="K370" s="8"/>
      <c r="L370" s="8"/>
      <c r="M370" s="8"/>
      <c r="N370" s="8"/>
      <c r="O370" s="8"/>
      <c r="P370" s="8"/>
      <c r="Q370" s="8"/>
      <c r="R370" s="8"/>
      <c r="S370" s="8"/>
      <c r="T370" s="8"/>
      <c r="U370" s="8"/>
      <c r="V370" s="8"/>
      <c r="W370" s="8"/>
      <c r="X370" s="8"/>
      <c r="Y370" s="8"/>
      <c r="Z370" s="8"/>
      <c r="AA370" s="8"/>
    </row>
    <row r="371" spans="1:27" ht="19.75">
      <c r="A371" s="8"/>
      <c r="B371" s="7"/>
      <c r="C371" s="8"/>
      <c r="D371" s="8"/>
      <c r="E371" s="11"/>
      <c r="F371" s="8"/>
      <c r="G371" s="8"/>
      <c r="H371" s="8"/>
      <c r="I371" s="8"/>
      <c r="J371" s="8"/>
      <c r="K371" s="8"/>
      <c r="L371" s="8"/>
      <c r="M371" s="8"/>
      <c r="N371" s="8"/>
      <c r="O371" s="8"/>
      <c r="P371" s="8"/>
      <c r="Q371" s="8"/>
      <c r="R371" s="8"/>
      <c r="S371" s="8"/>
      <c r="T371" s="8"/>
      <c r="U371" s="8"/>
      <c r="V371" s="8"/>
      <c r="W371" s="8"/>
      <c r="X371" s="8"/>
      <c r="Y371" s="8"/>
      <c r="Z371" s="8"/>
      <c r="AA371" s="8"/>
    </row>
    <row r="372" spans="1:27" ht="19.75">
      <c r="A372" s="8"/>
      <c r="B372" s="7"/>
      <c r="C372" s="8"/>
      <c r="D372" s="8"/>
      <c r="E372" s="11"/>
      <c r="F372" s="8"/>
      <c r="G372" s="8"/>
      <c r="H372" s="8"/>
      <c r="I372" s="8"/>
      <c r="J372" s="8"/>
      <c r="K372" s="8"/>
      <c r="L372" s="8"/>
      <c r="M372" s="8"/>
      <c r="N372" s="8"/>
      <c r="O372" s="8"/>
      <c r="P372" s="8"/>
      <c r="Q372" s="8"/>
      <c r="R372" s="8"/>
      <c r="S372" s="8"/>
      <c r="T372" s="8"/>
      <c r="U372" s="8"/>
      <c r="V372" s="8"/>
      <c r="W372" s="8"/>
      <c r="X372" s="8"/>
      <c r="Y372" s="8"/>
      <c r="Z372" s="8"/>
      <c r="AA372" s="8"/>
    </row>
    <row r="373" spans="1:27" ht="19.75">
      <c r="A373" s="8"/>
      <c r="B373" s="7"/>
      <c r="C373" s="8"/>
      <c r="D373" s="8"/>
      <c r="E373" s="11"/>
      <c r="F373" s="8"/>
      <c r="G373" s="8"/>
      <c r="H373" s="8"/>
      <c r="I373" s="8"/>
      <c r="J373" s="8"/>
      <c r="K373" s="8"/>
      <c r="L373" s="8"/>
      <c r="M373" s="8"/>
      <c r="N373" s="8"/>
      <c r="O373" s="8"/>
      <c r="P373" s="8"/>
      <c r="Q373" s="8"/>
      <c r="R373" s="8"/>
      <c r="S373" s="8"/>
      <c r="T373" s="8"/>
      <c r="U373" s="8"/>
      <c r="V373" s="8"/>
      <c r="W373" s="8"/>
      <c r="X373" s="8"/>
      <c r="Y373" s="8"/>
      <c r="Z373" s="8"/>
      <c r="AA373" s="8"/>
    </row>
    <row r="374" spans="1:27" ht="19.75">
      <c r="A374" s="8"/>
      <c r="B374" s="7"/>
      <c r="C374" s="8"/>
      <c r="D374" s="8"/>
      <c r="E374" s="11"/>
      <c r="F374" s="8"/>
      <c r="G374" s="8"/>
      <c r="H374" s="8"/>
      <c r="I374" s="8"/>
      <c r="J374" s="8"/>
      <c r="K374" s="8"/>
      <c r="L374" s="8"/>
      <c r="M374" s="8"/>
      <c r="N374" s="8"/>
      <c r="O374" s="8"/>
      <c r="P374" s="8"/>
      <c r="Q374" s="8"/>
      <c r="R374" s="8"/>
      <c r="S374" s="8"/>
      <c r="T374" s="8"/>
      <c r="U374" s="8"/>
      <c r="V374" s="8"/>
      <c r="W374" s="8"/>
      <c r="X374" s="8"/>
      <c r="Y374" s="8"/>
      <c r="Z374" s="8"/>
      <c r="AA374" s="8"/>
    </row>
    <row r="375" spans="1:27" ht="19.75">
      <c r="A375" s="8"/>
      <c r="B375" s="7"/>
      <c r="C375" s="8"/>
      <c r="D375" s="8"/>
      <c r="E375" s="11"/>
      <c r="F375" s="8"/>
      <c r="G375" s="8"/>
      <c r="H375" s="8"/>
      <c r="I375" s="8"/>
      <c r="J375" s="8"/>
      <c r="K375" s="8"/>
      <c r="L375" s="8"/>
      <c r="M375" s="8"/>
      <c r="N375" s="8"/>
      <c r="O375" s="8"/>
      <c r="P375" s="8"/>
      <c r="Q375" s="8"/>
      <c r="R375" s="8"/>
      <c r="S375" s="8"/>
      <c r="T375" s="8"/>
      <c r="U375" s="8"/>
      <c r="V375" s="8"/>
      <c r="W375" s="8"/>
      <c r="X375" s="8"/>
      <c r="Y375" s="8"/>
      <c r="Z375" s="8"/>
      <c r="AA375" s="8"/>
    </row>
    <row r="376" spans="1:27" ht="19.75">
      <c r="A376" s="8"/>
      <c r="B376" s="7"/>
      <c r="C376" s="8"/>
      <c r="D376" s="8"/>
      <c r="E376" s="11"/>
      <c r="F376" s="8"/>
      <c r="G376" s="8"/>
      <c r="H376" s="8"/>
      <c r="I376" s="8"/>
      <c r="J376" s="8"/>
      <c r="K376" s="8"/>
      <c r="L376" s="8"/>
      <c r="M376" s="8"/>
      <c r="N376" s="8"/>
      <c r="O376" s="8"/>
      <c r="P376" s="8"/>
      <c r="Q376" s="8"/>
      <c r="R376" s="8"/>
      <c r="S376" s="8"/>
      <c r="T376" s="8"/>
      <c r="U376" s="8"/>
      <c r="V376" s="8"/>
      <c r="W376" s="8"/>
      <c r="X376" s="8"/>
      <c r="Y376" s="8"/>
      <c r="Z376" s="8"/>
      <c r="AA376" s="8"/>
    </row>
    <row r="377" spans="1:27" ht="19.75">
      <c r="A377" s="8"/>
      <c r="B377" s="7"/>
      <c r="C377" s="8"/>
      <c r="D377" s="8"/>
      <c r="E377" s="11"/>
      <c r="F377" s="8"/>
      <c r="G377" s="8"/>
      <c r="H377" s="8"/>
      <c r="I377" s="8"/>
      <c r="J377" s="8"/>
      <c r="K377" s="8"/>
      <c r="L377" s="8"/>
      <c r="M377" s="8"/>
      <c r="N377" s="8"/>
      <c r="O377" s="8"/>
      <c r="P377" s="8"/>
      <c r="Q377" s="8"/>
      <c r="R377" s="8"/>
      <c r="S377" s="8"/>
      <c r="T377" s="8"/>
      <c r="U377" s="8"/>
      <c r="V377" s="8"/>
      <c r="W377" s="8"/>
      <c r="X377" s="8"/>
      <c r="Y377" s="8"/>
      <c r="Z377" s="8"/>
      <c r="AA377" s="8"/>
    </row>
    <row r="378" spans="1:27" ht="19.75">
      <c r="A378" s="8"/>
      <c r="B378" s="7"/>
      <c r="C378" s="8"/>
      <c r="D378" s="8"/>
      <c r="E378" s="11"/>
      <c r="F378" s="8"/>
      <c r="G378" s="8"/>
      <c r="H378" s="8"/>
      <c r="I378" s="8"/>
      <c r="J378" s="8"/>
      <c r="K378" s="8"/>
      <c r="L378" s="8"/>
      <c r="M378" s="8"/>
      <c r="N378" s="8"/>
      <c r="O378" s="8"/>
      <c r="P378" s="8"/>
      <c r="Q378" s="8"/>
      <c r="R378" s="8"/>
      <c r="S378" s="8"/>
      <c r="T378" s="8"/>
      <c r="U378" s="8"/>
      <c r="V378" s="8"/>
      <c r="W378" s="8"/>
      <c r="X378" s="8"/>
      <c r="Y378" s="8"/>
      <c r="Z378" s="8"/>
      <c r="AA378" s="8"/>
    </row>
    <row r="379" spans="1:27" ht="19.75">
      <c r="A379" s="8"/>
      <c r="B379" s="7"/>
      <c r="C379" s="8"/>
      <c r="D379" s="8"/>
      <c r="E379" s="11"/>
      <c r="F379" s="8"/>
      <c r="G379" s="8"/>
      <c r="H379" s="8"/>
      <c r="I379" s="8"/>
      <c r="J379" s="8"/>
      <c r="K379" s="8"/>
      <c r="L379" s="8"/>
      <c r="M379" s="8"/>
      <c r="N379" s="8"/>
      <c r="O379" s="8"/>
      <c r="P379" s="8"/>
      <c r="Q379" s="8"/>
      <c r="R379" s="8"/>
      <c r="S379" s="8"/>
      <c r="T379" s="8"/>
      <c r="U379" s="8"/>
      <c r="V379" s="8"/>
      <c r="W379" s="8"/>
      <c r="X379" s="8"/>
      <c r="Y379" s="8"/>
      <c r="Z379" s="8"/>
      <c r="AA379" s="8"/>
    </row>
    <row r="380" spans="1:27" ht="19.75">
      <c r="A380" s="8"/>
      <c r="B380" s="7"/>
      <c r="C380" s="8"/>
      <c r="D380" s="8"/>
      <c r="E380" s="11"/>
      <c r="F380" s="8"/>
      <c r="G380" s="8"/>
      <c r="H380" s="8"/>
      <c r="I380" s="8"/>
      <c r="J380" s="8"/>
      <c r="K380" s="8"/>
      <c r="L380" s="8"/>
      <c r="M380" s="8"/>
      <c r="N380" s="8"/>
      <c r="O380" s="8"/>
      <c r="P380" s="8"/>
      <c r="Q380" s="8"/>
      <c r="R380" s="8"/>
      <c r="S380" s="8"/>
      <c r="T380" s="8"/>
      <c r="U380" s="8"/>
      <c r="V380" s="8"/>
      <c r="W380" s="8"/>
      <c r="X380" s="8"/>
      <c r="Y380" s="8"/>
      <c r="Z380" s="8"/>
      <c r="AA380" s="8"/>
    </row>
    <row r="381" spans="1:27" ht="19.75">
      <c r="A381" s="8"/>
      <c r="B381" s="7"/>
      <c r="C381" s="8"/>
      <c r="D381" s="8"/>
      <c r="E381" s="11"/>
      <c r="F381" s="8"/>
      <c r="G381" s="8"/>
      <c r="H381" s="8"/>
      <c r="I381" s="8"/>
      <c r="J381" s="8"/>
      <c r="K381" s="8"/>
      <c r="L381" s="8"/>
      <c r="M381" s="8"/>
      <c r="N381" s="8"/>
      <c r="O381" s="8"/>
      <c r="P381" s="8"/>
      <c r="Q381" s="8"/>
      <c r="R381" s="8"/>
      <c r="S381" s="8"/>
      <c r="T381" s="8"/>
      <c r="U381" s="8"/>
      <c r="V381" s="8"/>
      <c r="W381" s="8"/>
      <c r="X381" s="8"/>
      <c r="Y381" s="8"/>
      <c r="Z381" s="8"/>
      <c r="AA381" s="8"/>
    </row>
    <row r="382" spans="1:27" ht="19.75">
      <c r="A382" s="8"/>
      <c r="B382" s="7"/>
      <c r="C382" s="8"/>
      <c r="D382" s="8"/>
      <c r="E382" s="11"/>
      <c r="F382" s="8"/>
      <c r="G382" s="8"/>
      <c r="H382" s="8"/>
      <c r="I382" s="8"/>
      <c r="J382" s="8"/>
      <c r="K382" s="8"/>
      <c r="L382" s="8"/>
      <c r="M382" s="8"/>
      <c r="N382" s="8"/>
      <c r="O382" s="8"/>
      <c r="P382" s="8"/>
      <c r="Q382" s="8"/>
      <c r="R382" s="8"/>
      <c r="S382" s="8"/>
      <c r="T382" s="8"/>
      <c r="U382" s="8"/>
      <c r="V382" s="8"/>
      <c r="W382" s="8"/>
      <c r="X382" s="8"/>
      <c r="Y382" s="8"/>
      <c r="Z382" s="8"/>
      <c r="AA382" s="8"/>
    </row>
    <row r="383" spans="1:27" ht="19.75">
      <c r="A383" s="8"/>
      <c r="B383" s="7"/>
      <c r="C383" s="8"/>
      <c r="D383" s="8"/>
      <c r="E383" s="11"/>
      <c r="F383" s="8"/>
      <c r="G383" s="8"/>
      <c r="H383" s="8"/>
      <c r="I383" s="8"/>
      <c r="J383" s="8"/>
      <c r="K383" s="8"/>
      <c r="L383" s="8"/>
      <c r="M383" s="8"/>
      <c r="N383" s="8"/>
      <c r="O383" s="8"/>
      <c r="P383" s="8"/>
      <c r="Q383" s="8"/>
      <c r="R383" s="8"/>
      <c r="S383" s="8"/>
      <c r="T383" s="8"/>
      <c r="U383" s="8"/>
      <c r="V383" s="8"/>
      <c r="W383" s="8"/>
      <c r="X383" s="8"/>
      <c r="Y383" s="8"/>
      <c r="Z383" s="8"/>
      <c r="AA383" s="8"/>
    </row>
    <row r="384" spans="1:27" ht="19.75">
      <c r="A384" s="8"/>
      <c r="B384" s="7"/>
      <c r="C384" s="8"/>
      <c r="D384" s="8"/>
      <c r="E384" s="11"/>
      <c r="F384" s="8"/>
      <c r="G384" s="8"/>
      <c r="H384" s="8"/>
      <c r="I384" s="8"/>
      <c r="J384" s="8"/>
      <c r="K384" s="8"/>
      <c r="L384" s="8"/>
      <c r="M384" s="8"/>
      <c r="N384" s="8"/>
      <c r="O384" s="8"/>
      <c r="P384" s="8"/>
      <c r="Q384" s="8"/>
      <c r="R384" s="8"/>
      <c r="S384" s="8"/>
      <c r="T384" s="8"/>
      <c r="U384" s="8"/>
      <c r="V384" s="8"/>
      <c r="W384" s="8"/>
      <c r="X384" s="8"/>
      <c r="Y384" s="8"/>
      <c r="Z384" s="8"/>
      <c r="AA384" s="8"/>
    </row>
    <row r="385" spans="1:27" ht="19.75">
      <c r="A385" s="8"/>
      <c r="B385" s="7"/>
      <c r="C385" s="8"/>
      <c r="D385" s="8"/>
      <c r="E385" s="11"/>
      <c r="F385" s="8"/>
      <c r="G385" s="8"/>
      <c r="H385" s="8"/>
      <c r="I385" s="8"/>
      <c r="J385" s="8"/>
      <c r="K385" s="8"/>
      <c r="L385" s="8"/>
      <c r="M385" s="8"/>
      <c r="N385" s="8"/>
      <c r="O385" s="8"/>
      <c r="P385" s="8"/>
      <c r="Q385" s="8"/>
      <c r="R385" s="8"/>
      <c r="S385" s="8"/>
      <c r="T385" s="8"/>
      <c r="U385" s="8"/>
      <c r="V385" s="8"/>
      <c r="W385" s="8"/>
      <c r="X385" s="8"/>
      <c r="Y385" s="8"/>
      <c r="Z385" s="8"/>
      <c r="AA385" s="8"/>
    </row>
    <row r="386" spans="1:27" ht="19.75">
      <c r="A386" s="8"/>
      <c r="B386" s="7"/>
      <c r="C386" s="8"/>
      <c r="D386" s="8"/>
      <c r="E386" s="11"/>
      <c r="F386" s="8"/>
      <c r="G386" s="8"/>
      <c r="H386" s="8"/>
      <c r="I386" s="8"/>
      <c r="J386" s="8"/>
      <c r="K386" s="8"/>
      <c r="L386" s="8"/>
      <c r="M386" s="8"/>
      <c r="N386" s="8"/>
      <c r="O386" s="8"/>
      <c r="P386" s="8"/>
      <c r="Q386" s="8"/>
      <c r="R386" s="8"/>
      <c r="S386" s="8"/>
      <c r="T386" s="8"/>
      <c r="U386" s="8"/>
      <c r="V386" s="8"/>
      <c r="W386" s="8"/>
      <c r="X386" s="8"/>
      <c r="Y386" s="8"/>
      <c r="Z386" s="8"/>
      <c r="AA386" s="8"/>
    </row>
    <row r="387" spans="1:27" ht="19.75">
      <c r="A387" s="8"/>
      <c r="B387" s="7"/>
      <c r="C387" s="8"/>
      <c r="D387" s="8"/>
      <c r="E387" s="11"/>
      <c r="F387" s="8"/>
      <c r="G387" s="8"/>
      <c r="H387" s="8"/>
      <c r="I387" s="8"/>
      <c r="J387" s="8"/>
      <c r="K387" s="8"/>
      <c r="L387" s="8"/>
      <c r="M387" s="8"/>
      <c r="N387" s="8"/>
      <c r="O387" s="8"/>
      <c r="P387" s="8"/>
      <c r="Q387" s="8"/>
      <c r="R387" s="8"/>
      <c r="S387" s="8"/>
      <c r="T387" s="8"/>
      <c r="U387" s="8"/>
      <c r="V387" s="8"/>
      <c r="W387" s="8"/>
      <c r="X387" s="8"/>
      <c r="Y387" s="8"/>
      <c r="Z387" s="8"/>
      <c r="AA387" s="8"/>
    </row>
    <row r="388" spans="1:27" ht="19.75">
      <c r="A388" s="8"/>
      <c r="B388" s="7"/>
      <c r="C388" s="8"/>
      <c r="D388" s="8"/>
      <c r="E388" s="11"/>
      <c r="F388" s="8"/>
      <c r="G388" s="8"/>
      <c r="H388" s="8"/>
      <c r="I388" s="8"/>
      <c r="J388" s="8"/>
      <c r="K388" s="8"/>
      <c r="L388" s="8"/>
      <c r="M388" s="8"/>
      <c r="N388" s="8"/>
      <c r="O388" s="8"/>
      <c r="P388" s="8"/>
      <c r="Q388" s="8"/>
      <c r="R388" s="8"/>
      <c r="S388" s="8"/>
      <c r="T388" s="8"/>
      <c r="U388" s="8"/>
      <c r="V388" s="8"/>
      <c r="W388" s="8"/>
      <c r="X388" s="8"/>
      <c r="Y388" s="8"/>
      <c r="Z388" s="8"/>
      <c r="AA388" s="8"/>
    </row>
    <row r="389" spans="1:27" ht="19.75">
      <c r="A389" s="8"/>
      <c r="B389" s="7"/>
      <c r="C389" s="8"/>
      <c r="D389" s="8"/>
      <c r="E389" s="11"/>
      <c r="F389" s="8"/>
      <c r="G389" s="8"/>
      <c r="H389" s="8"/>
      <c r="I389" s="8"/>
      <c r="J389" s="8"/>
      <c r="K389" s="8"/>
      <c r="L389" s="8"/>
      <c r="M389" s="8"/>
      <c r="N389" s="8"/>
      <c r="O389" s="8"/>
      <c r="P389" s="8"/>
      <c r="Q389" s="8"/>
      <c r="R389" s="8"/>
      <c r="S389" s="8"/>
      <c r="T389" s="8"/>
      <c r="U389" s="8"/>
      <c r="V389" s="8"/>
      <c r="W389" s="8"/>
      <c r="X389" s="8"/>
      <c r="Y389" s="8"/>
      <c r="Z389" s="8"/>
      <c r="AA389" s="8"/>
    </row>
    <row r="390" spans="1:27" ht="19.75">
      <c r="A390" s="8"/>
      <c r="B390" s="7"/>
      <c r="C390" s="8"/>
      <c r="D390" s="8"/>
      <c r="E390" s="11"/>
      <c r="F390" s="8"/>
      <c r="G390" s="8"/>
      <c r="H390" s="8"/>
      <c r="I390" s="8"/>
      <c r="J390" s="8"/>
      <c r="K390" s="8"/>
      <c r="L390" s="8"/>
      <c r="M390" s="8"/>
      <c r="N390" s="8"/>
      <c r="O390" s="8"/>
      <c r="P390" s="8"/>
      <c r="Q390" s="8"/>
      <c r="R390" s="8"/>
      <c r="S390" s="8"/>
      <c r="T390" s="8"/>
      <c r="U390" s="8"/>
      <c r="V390" s="8"/>
      <c r="W390" s="8"/>
      <c r="X390" s="8"/>
      <c r="Y390" s="8"/>
      <c r="Z390" s="8"/>
      <c r="AA390" s="8"/>
    </row>
    <row r="391" spans="1:27" ht="19.75">
      <c r="A391" s="8"/>
      <c r="B391" s="7"/>
      <c r="C391" s="8"/>
      <c r="D391" s="8"/>
      <c r="E391" s="11"/>
      <c r="F391" s="8"/>
      <c r="G391" s="8"/>
      <c r="H391" s="8"/>
      <c r="I391" s="8"/>
      <c r="J391" s="8"/>
      <c r="K391" s="8"/>
      <c r="L391" s="8"/>
      <c r="M391" s="8"/>
      <c r="N391" s="8"/>
      <c r="O391" s="8"/>
      <c r="P391" s="8"/>
      <c r="Q391" s="8"/>
      <c r="R391" s="8"/>
      <c r="S391" s="8"/>
      <c r="T391" s="8"/>
      <c r="U391" s="8"/>
      <c r="V391" s="8"/>
      <c r="W391" s="8"/>
      <c r="X391" s="8"/>
      <c r="Y391" s="8"/>
      <c r="Z391" s="8"/>
      <c r="AA391" s="8"/>
    </row>
    <row r="392" spans="1:27" ht="19.75">
      <c r="A392" s="8"/>
      <c r="B392" s="7"/>
      <c r="C392" s="8"/>
      <c r="D392" s="8"/>
      <c r="E392" s="11"/>
      <c r="F392" s="8"/>
      <c r="G392" s="8"/>
      <c r="H392" s="8"/>
      <c r="I392" s="8"/>
      <c r="J392" s="8"/>
      <c r="K392" s="8"/>
      <c r="L392" s="8"/>
      <c r="M392" s="8"/>
      <c r="N392" s="8"/>
      <c r="O392" s="8"/>
      <c r="P392" s="8"/>
      <c r="Q392" s="8"/>
      <c r="R392" s="8"/>
      <c r="S392" s="8"/>
      <c r="T392" s="8"/>
      <c r="U392" s="8"/>
      <c r="V392" s="8"/>
      <c r="W392" s="8"/>
      <c r="X392" s="8"/>
      <c r="Y392" s="8"/>
      <c r="Z392" s="8"/>
      <c r="AA392" s="8"/>
    </row>
    <row r="393" spans="1:27" ht="19.75">
      <c r="A393" s="8"/>
      <c r="B393" s="7"/>
      <c r="C393" s="8"/>
      <c r="D393" s="8"/>
      <c r="E393" s="11"/>
      <c r="F393" s="8"/>
      <c r="G393" s="8"/>
      <c r="H393" s="8"/>
      <c r="I393" s="8"/>
      <c r="J393" s="8"/>
      <c r="K393" s="8"/>
      <c r="L393" s="8"/>
      <c r="M393" s="8"/>
      <c r="N393" s="8"/>
      <c r="O393" s="8"/>
      <c r="P393" s="8"/>
      <c r="Q393" s="8"/>
      <c r="R393" s="8"/>
      <c r="S393" s="8"/>
      <c r="T393" s="8"/>
      <c r="U393" s="8"/>
      <c r="V393" s="8"/>
      <c r="W393" s="8"/>
      <c r="X393" s="8"/>
      <c r="Y393" s="8"/>
      <c r="Z393" s="8"/>
      <c r="AA393" s="8"/>
    </row>
    <row r="394" spans="1:27" ht="19.75">
      <c r="A394" s="8"/>
      <c r="B394" s="7"/>
      <c r="C394" s="8"/>
      <c r="D394" s="8"/>
      <c r="E394" s="11"/>
      <c r="F394" s="8"/>
      <c r="G394" s="8"/>
      <c r="H394" s="8"/>
      <c r="I394" s="8"/>
      <c r="J394" s="8"/>
      <c r="K394" s="8"/>
      <c r="L394" s="8"/>
      <c r="M394" s="8"/>
      <c r="N394" s="8"/>
      <c r="O394" s="8"/>
      <c r="P394" s="8"/>
      <c r="Q394" s="8"/>
      <c r="R394" s="8"/>
      <c r="S394" s="8"/>
      <c r="T394" s="8"/>
      <c r="U394" s="8"/>
      <c r="V394" s="8"/>
      <c r="W394" s="8"/>
      <c r="X394" s="8"/>
      <c r="Y394" s="8"/>
      <c r="Z394" s="8"/>
      <c r="AA394" s="8"/>
    </row>
    <row r="395" spans="1:27" ht="19.75">
      <c r="A395" s="8"/>
      <c r="B395" s="7"/>
      <c r="C395" s="8"/>
      <c r="D395" s="8"/>
      <c r="E395" s="11"/>
      <c r="F395" s="8"/>
      <c r="G395" s="8"/>
      <c r="H395" s="8"/>
      <c r="I395" s="8"/>
      <c r="J395" s="8"/>
      <c r="K395" s="8"/>
      <c r="L395" s="8"/>
      <c r="M395" s="8"/>
      <c r="N395" s="8"/>
      <c r="O395" s="8"/>
      <c r="P395" s="8"/>
      <c r="Q395" s="8"/>
      <c r="R395" s="8"/>
      <c r="S395" s="8"/>
      <c r="T395" s="8"/>
      <c r="U395" s="8"/>
      <c r="V395" s="8"/>
      <c r="W395" s="8"/>
      <c r="X395" s="8"/>
      <c r="Y395" s="8"/>
      <c r="Z395" s="8"/>
      <c r="AA395" s="8"/>
    </row>
    <row r="396" spans="1:27" ht="19.75">
      <c r="A396" s="8"/>
      <c r="B396" s="7"/>
      <c r="C396" s="8"/>
      <c r="D396" s="8"/>
      <c r="E396" s="11"/>
      <c r="F396" s="8"/>
      <c r="G396" s="8"/>
      <c r="H396" s="8"/>
      <c r="I396" s="8"/>
      <c r="J396" s="8"/>
      <c r="K396" s="8"/>
      <c r="L396" s="8"/>
      <c r="M396" s="8"/>
      <c r="N396" s="8"/>
      <c r="O396" s="8"/>
      <c r="P396" s="8"/>
      <c r="Q396" s="8"/>
      <c r="R396" s="8"/>
      <c r="S396" s="8"/>
      <c r="T396" s="8"/>
      <c r="U396" s="8"/>
      <c r="V396" s="8"/>
      <c r="W396" s="8"/>
      <c r="X396" s="8"/>
      <c r="Y396" s="8"/>
      <c r="Z396" s="8"/>
      <c r="AA396" s="8"/>
    </row>
    <row r="397" spans="1:27" ht="19.75">
      <c r="A397" s="8"/>
      <c r="B397" s="7"/>
      <c r="C397" s="8"/>
      <c r="D397" s="8"/>
      <c r="E397" s="11"/>
      <c r="F397" s="8"/>
      <c r="G397" s="8"/>
      <c r="H397" s="8"/>
      <c r="I397" s="8"/>
      <c r="J397" s="8"/>
      <c r="K397" s="8"/>
      <c r="L397" s="8"/>
      <c r="M397" s="8"/>
      <c r="N397" s="8"/>
      <c r="O397" s="8"/>
      <c r="P397" s="8"/>
      <c r="Q397" s="8"/>
      <c r="R397" s="8"/>
      <c r="S397" s="8"/>
      <c r="T397" s="8"/>
      <c r="U397" s="8"/>
      <c r="V397" s="8"/>
      <c r="W397" s="8"/>
      <c r="X397" s="8"/>
      <c r="Y397" s="8"/>
      <c r="Z397" s="8"/>
      <c r="AA397" s="8"/>
    </row>
    <row r="398" spans="1:27" ht="19.75">
      <c r="A398" s="8"/>
      <c r="B398" s="7"/>
      <c r="C398" s="8"/>
      <c r="D398" s="8"/>
      <c r="E398" s="11"/>
      <c r="F398" s="8"/>
      <c r="G398" s="8"/>
      <c r="H398" s="8"/>
      <c r="I398" s="8"/>
      <c r="J398" s="8"/>
      <c r="K398" s="8"/>
      <c r="L398" s="8"/>
      <c r="M398" s="8"/>
      <c r="N398" s="8"/>
      <c r="O398" s="8"/>
      <c r="P398" s="8"/>
      <c r="Q398" s="8"/>
      <c r="R398" s="8"/>
      <c r="S398" s="8"/>
      <c r="T398" s="8"/>
      <c r="U398" s="8"/>
      <c r="V398" s="8"/>
      <c r="W398" s="8"/>
      <c r="X398" s="8"/>
      <c r="Y398" s="8"/>
      <c r="Z398" s="8"/>
      <c r="AA398" s="8"/>
    </row>
    <row r="399" spans="1:27" ht="19.75">
      <c r="A399" s="8"/>
      <c r="B399" s="7"/>
      <c r="C399" s="8"/>
      <c r="D399" s="8"/>
      <c r="E399" s="11"/>
      <c r="F399" s="8"/>
      <c r="G399" s="8"/>
      <c r="H399" s="8"/>
      <c r="I399" s="8"/>
      <c r="J399" s="8"/>
      <c r="K399" s="8"/>
      <c r="L399" s="8"/>
      <c r="M399" s="8"/>
      <c r="N399" s="8"/>
      <c r="O399" s="8"/>
      <c r="P399" s="8"/>
      <c r="Q399" s="8"/>
      <c r="R399" s="8"/>
      <c r="S399" s="8"/>
      <c r="T399" s="8"/>
      <c r="U399" s="8"/>
      <c r="V399" s="8"/>
      <c r="W399" s="8"/>
      <c r="X399" s="8"/>
      <c r="Y399" s="8"/>
      <c r="Z399" s="8"/>
      <c r="AA399" s="8"/>
    </row>
    <row r="400" spans="1:27" ht="19.75">
      <c r="A400" s="8"/>
      <c r="B400" s="7"/>
      <c r="C400" s="8"/>
      <c r="D400" s="8"/>
      <c r="E400" s="11"/>
      <c r="F400" s="8"/>
      <c r="G400" s="8"/>
      <c r="H400" s="8"/>
      <c r="I400" s="8"/>
      <c r="J400" s="8"/>
      <c r="K400" s="8"/>
      <c r="L400" s="8"/>
      <c r="M400" s="8"/>
      <c r="N400" s="8"/>
      <c r="O400" s="8"/>
      <c r="P400" s="8"/>
      <c r="Q400" s="8"/>
      <c r="R400" s="8"/>
      <c r="S400" s="8"/>
      <c r="T400" s="8"/>
      <c r="U400" s="8"/>
      <c r="V400" s="8"/>
      <c r="W400" s="8"/>
      <c r="X400" s="8"/>
      <c r="Y400" s="8"/>
      <c r="Z400" s="8"/>
      <c r="AA400" s="8"/>
    </row>
    <row r="401" spans="1:27" ht="19.75">
      <c r="A401" s="8"/>
      <c r="B401" s="7"/>
      <c r="C401" s="8"/>
      <c r="D401" s="8"/>
      <c r="E401" s="11"/>
      <c r="F401" s="8"/>
      <c r="G401" s="8"/>
      <c r="H401" s="8"/>
      <c r="I401" s="8"/>
      <c r="J401" s="8"/>
      <c r="K401" s="8"/>
      <c r="L401" s="8"/>
      <c r="M401" s="8"/>
      <c r="N401" s="8"/>
      <c r="O401" s="8"/>
      <c r="P401" s="8"/>
      <c r="Q401" s="8"/>
      <c r="R401" s="8"/>
      <c r="S401" s="8"/>
      <c r="T401" s="8"/>
      <c r="U401" s="8"/>
      <c r="V401" s="8"/>
      <c r="W401" s="8"/>
      <c r="X401" s="8"/>
      <c r="Y401" s="8"/>
      <c r="Z401" s="8"/>
      <c r="AA401" s="8"/>
    </row>
    <row r="402" spans="1:27" ht="19.75">
      <c r="A402" s="8"/>
      <c r="B402" s="7"/>
      <c r="C402" s="8"/>
      <c r="D402" s="8"/>
      <c r="E402" s="11"/>
      <c r="F402" s="8"/>
      <c r="G402" s="8"/>
      <c r="H402" s="8"/>
      <c r="I402" s="8"/>
      <c r="J402" s="8"/>
      <c r="K402" s="8"/>
      <c r="L402" s="8"/>
      <c r="M402" s="8"/>
      <c r="N402" s="8"/>
      <c r="O402" s="8"/>
      <c r="P402" s="8"/>
      <c r="Q402" s="8"/>
      <c r="R402" s="8"/>
      <c r="S402" s="8"/>
      <c r="T402" s="8"/>
      <c r="U402" s="8"/>
      <c r="V402" s="8"/>
      <c r="W402" s="8"/>
      <c r="X402" s="8"/>
      <c r="Y402" s="8"/>
      <c r="Z402" s="8"/>
      <c r="AA402" s="8"/>
    </row>
    <row r="403" spans="1:27" ht="19.75">
      <c r="A403" s="8"/>
      <c r="B403" s="7"/>
      <c r="C403" s="8"/>
      <c r="D403" s="8"/>
      <c r="E403" s="11"/>
      <c r="F403" s="8"/>
      <c r="G403" s="8"/>
      <c r="H403" s="8"/>
      <c r="I403" s="8"/>
      <c r="J403" s="8"/>
      <c r="K403" s="8"/>
      <c r="L403" s="8"/>
      <c r="M403" s="8"/>
      <c r="N403" s="8"/>
      <c r="O403" s="8"/>
      <c r="P403" s="8"/>
      <c r="Q403" s="8"/>
      <c r="R403" s="8"/>
      <c r="S403" s="8"/>
      <c r="T403" s="8"/>
      <c r="U403" s="8"/>
      <c r="V403" s="8"/>
      <c r="W403" s="8"/>
      <c r="X403" s="8"/>
      <c r="Y403" s="8"/>
      <c r="Z403" s="8"/>
      <c r="AA403" s="8"/>
    </row>
    <row r="404" spans="1:27" ht="19.75">
      <c r="A404" s="8"/>
      <c r="B404" s="7"/>
      <c r="C404" s="8"/>
      <c r="D404" s="8"/>
      <c r="E404" s="11"/>
      <c r="F404" s="8"/>
      <c r="G404" s="8"/>
      <c r="H404" s="8"/>
      <c r="I404" s="8"/>
      <c r="J404" s="8"/>
      <c r="K404" s="8"/>
      <c r="L404" s="8"/>
      <c r="M404" s="8"/>
      <c r="N404" s="8"/>
      <c r="O404" s="8"/>
      <c r="P404" s="8"/>
      <c r="Q404" s="8"/>
      <c r="R404" s="8"/>
      <c r="S404" s="8"/>
      <c r="T404" s="8"/>
      <c r="U404" s="8"/>
      <c r="V404" s="8"/>
      <c r="W404" s="8"/>
      <c r="X404" s="8"/>
      <c r="Y404" s="8"/>
      <c r="Z404" s="8"/>
      <c r="AA404" s="8"/>
    </row>
    <row r="405" spans="1:27" ht="19.75">
      <c r="A405" s="8"/>
      <c r="B405" s="7"/>
      <c r="C405" s="8"/>
      <c r="D405" s="8"/>
      <c r="E405" s="11"/>
      <c r="F405" s="8"/>
      <c r="G405" s="8"/>
      <c r="H405" s="8"/>
      <c r="I405" s="8"/>
      <c r="J405" s="8"/>
      <c r="K405" s="8"/>
      <c r="L405" s="8"/>
      <c r="M405" s="8"/>
      <c r="N405" s="8"/>
      <c r="O405" s="8"/>
      <c r="P405" s="8"/>
      <c r="Q405" s="8"/>
      <c r="R405" s="8"/>
      <c r="S405" s="8"/>
      <c r="T405" s="8"/>
      <c r="U405" s="8"/>
      <c r="V405" s="8"/>
      <c r="W405" s="8"/>
      <c r="X405" s="8"/>
      <c r="Y405" s="8"/>
      <c r="Z405" s="8"/>
      <c r="AA405" s="8"/>
    </row>
    <row r="406" spans="1:27" ht="19.75">
      <c r="A406" s="8"/>
      <c r="B406" s="7"/>
      <c r="C406" s="8"/>
      <c r="D406" s="8"/>
      <c r="E406" s="11"/>
      <c r="F406" s="8"/>
      <c r="G406" s="8"/>
      <c r="H406" s="8"/>
      <c r="I406" s="8"/>
      <c r="J406" s="8"/>
      <c r="K406" s="8"/>
      <c r="L406" s="8"/>
      <c r="M406" s="8"/>
      <c r="N406" s="8"/>
      <c r="O406" s="8"/>
      <c r="P406" s="8"/>
      <c r="Q406" s="8"/>
      <c r="R406" s="8"/>
      <c r="S406" s="8"/>
      <c r="T406" s="8"/>
      <c r="U406" s="8"/>
      <c r="V406" s="8"/>
      <c r="W406" s="8"/>
      <c r="X406" s="8"/>
      <c r="Y406" s="8"/>
      <c r="Z406" s="8"/>
      <c r="AA406" s="8"/>
    </row>
    <row r="407" spans="1:27" ht="19.75">
      <c r="A407" s="8"/>
      <c r="B407" s="7"/>
      <c r="C407" s="8"/>
      <c r="D407" s="8"/>
      <c r="E407" s="11"/>
      <c r="F407" s="8"/>
      <c r="G407" s="8"/>
      <c r="H407" s="8"/>
      <c r="I407" s="8"/>
      <c r="J407" s="8"/>
      <c r="K407" s="8"/>
      <c r="L407" s="8"/>
      <c r="M407" s="8"/>
      <c r="N407" s="8"/>
      <c r="O407" s="8"/>
      <c r="P407" s="8"/>
      <c r="Q407" s="8"/>
      <c r="R407" s="8"/>
      <c r="S407" s="8"/>
      <c r="T407" s="8"/>
      <c r="U407" s="8"/>
      <c r="V407" s="8"/>
      <c r="W407" s="8"/>
      <c r="X407" s="8"/>
      <c r="Y407" s="8"/>
      <c r="Z407" s="8"/>
      <c r="AA407" s="8"/>
    </row>
    <row r="408" spans="1:27" ht="19.75">
      <c r="A408" s="8"/>
      <c r="B408" s="7"/>
      <c r="C408" s="8"/>
      <c r="D408" s="8"/>
      <c r="E408" s="11"/>
      <c r="F408" s="8"/>
      <c r="G408" s="8"/>
      <c r="H408" s="8"/>
      <c r="I408" s="8"/>
      <c r="J408" s="8"/>
      <c r="K408" s="8"/>
      <c r="L408" s="8"/>
      <c r="M408" s="8"/>
      <c r="N408" s="8"/>
      <c r="O408" s="8"/>
      <c r="P408" s="8"/>
      <c r="Q408" s="8"/>
      <c r="R408" s="8"/>
      <c r="S408" s="8"/>
      <c r="T408" s="8"/>
      <c r="U408" s="8"/>
      <c r="V408" s="8"/>
      <c r="W408" s="8"/>
      <c r="X408" s="8"/>
      <c r="Y408" s="8"/>
      <c r="Z408" s="8"/>
      <c r="AA408" s="8"/>
    </row>
    <row r="409" spans="1:27" ht="19.75">
      <c r="A409" s="8"/>
      <c r="B409" s="7"/>
      <c r="C409" s="8"/>
      <c r="D409" s="8"/>
      <c r="E409" s="11"/>
      <c r="F409" s="8"/>
      <c r="G409" s="8"/>
      <c r="H409" s="8"/>
      <c r="I409" s="8"/>
      <c r="J409" s="8"/>
      <c r="K409" s="8"/>
      <c r="L409" s="8"/>
      <c r="M409" s="8"/>
      <c r="N409" s="8"/>
      <c r="O409" s="8"/>
      <c r="P409" s="8"/>
      <c r="Q409" s="8"/>
      <c r="R409" s="8"/>
      <c r="S409" s="8"/>
      <c r="T409" s="8"/>
      <c r="U409" s="8"/>
      <c r="V409" s="8"/>
      <c r="W409" s="8"/>
      <c r="X409" s="8"/>
      <c r="Y409" s="8"/>
      <c r="Z409" s="8"/>
      <c r="AA409" s="8"/>
    </row>
    <row r="410" spans="1:27" ht="19.75">
      <c r="A410" s="8"/>
      <c r="B410" s="7"/>
      <c r="C410" s="8"/>
      <c r="D410" s="8"/>
      <c r="E410" s="11"/>
      <c r="F410" s="8"/>
      <c r="G410" s="8"/>
      <c r="H410" s="8"/>
      <c r="I410" s="8"/>
      <c r="J410" s="8"/>
      <c r="K410" s="8"/>
      <c r="L410" s="8"/>
      <c r="M410" s="8"/>
      <c r="N410" s="8"/>
      <c r="O410" s="8"/>
      <c r="P410" s="8"/>
      <c r="Q410" s="8"/>
      <c r="R410" s="8"/>
      <c r="S410" s="8"/>
      <c r="T410" s="8"/>
      <c r="U410" s="8"/>
      <c r="V410" s="8"/>
      <c r="W410" s="8"/>
      <c r="X410" s="8"/>
      <c r="Y410" s="8"/>
      <c r="Z410" s="8"/>
      <c r="AA410" s="8"/>
    </row>
    <row r="411" spans="1:27" ht="19.75">
      <c r="A411" s="8"/>
      <c r="B411" s="7"/>
      <c r="C411" s="8"/>
      <c r="D411" s="8"/>
      <c r="E411" s="11"/>
      <c r="F411" s="8"/>
      <c r="G411" s="8"/>
      <c r="H411" s="8"/>
      <c r="I411" s="8"/>
      <c r="J411" s="8"/>
      <c r="K411" s="8"/>
      <c r="L411" s="8"/>
      <c r="M411" s="8"/>
      <c r="N411" s="8"/>
      <c r="O411" s="8"/>
      <c r="P411" s="8"/>
      <c r="Q411" s="8"/>
      <c r="R411" s="8"/>
      <c r="S411" s="8"/>
      <c r="T411" s="8"/>
      <c r="U411" s="8"/>
      <c r="V411" s="8"/>
      <c r="W411" s="8"/>
      <c r="X411" s="8"/>
      <c r="Y411" s="8"/>
      <c r="Z411" s="8"/>
      <c r="AA411" s="8"/>
    </row>
    <row r="412" spans="1:27" ht="19.75">
      <c r="A412" s="8"/>
      <c r="B412" s="7"/>
      <c r="C412" s="8"/>
      <c r="D412" s="8"/>
      <c r="E412" s="11"/>
      <c r="F412" s="8"/>
      <c r="G412" s="8"/>
      <c r="H412" s="8"/>
      <c r="I412" s="8"/>
      <c r="J412" s="8"/>
      <c r="K412" s="8"/>
      <c r="L412" s="8"/>
      <c r="M412" s="8"/>
      <c r="N412" s="8"/>
      <c r="O412" s="8"/>
      <c r="P412" s="8"/>
      <c r="Q412" s="8"/>
      <c r="R412" s="8"/>
      <c r="S412" s="8"/>
      <c r="T412" s="8"/>
      <c r="U412" s="8"/>
      <c r="V412" s="8"/>
      <c r="W412" s="8"/>
      <c r="X412" s="8"/>
      <c r="Y412" s="8"/>
      <c r="Z412" s="8"/>
      <c r="AA412" s="8"/>
    </row>
    <row r="413" spans="1:27" ht="19.75">
      <c r="A413" s="8"/>
      <c r="B413" s="7"/>
      <c r="C413" s="8"/>
      <c r="D413" s="8"/>
      <c r="E413" s="11"/>
      <c r="F413" s="8"/>
      <c r="G413" s="8"/>
      <c r="H413" s="8"/>
      <c r="I413" s="8"/>
      <c r="J413" s="8"/>
      <c r="K413" s="8"/>
      <c r="L413" s="8"/>
      <c r="M413" s="8"/>
      <c r="N413" s="8"/>
      <c r="O413" s="8"/>
      <c r="P413" s="8"/>
      <c r="Q413" s="8"/>
      <c r="R413" s="8"/>
      <c r="S413" s="8"/>
      <c r="T413" s="8"/>
      <c r="U413" s="8"/>
      <c r="V413" s="8"/>
      <c r="W413" s="8"/>
      <c r="X413" s="8"/>
      <c r="Y413" s="8"/>
      <c r="Z413" s="8"/>
      <c r="AA413" s="8"/>
    </row>
    <row r="414" spans="1:27" ht="19.75">
      <c r="A414" s="8"/>
      <c r="B414" s="7"/>
      <c r="C414" s="8"/>
      <c r="D414" s="8"/>
      <c r="E414" s="11"/>
      <c r="F414" s="8"/>
      <c r="G414" s="8"/>
      <c r="H414" s="8"/>
      <c r="I414" s="8"/>
      <c r="J414" s="8"/>
      <c r="K414" s="8"/>
      <c r="L414" s="8"/>
      <c r="M414" s="8"/>
      <c r="N414" s="8"/>
      <c r="O414" s="8"/>
      <c r="P414" s="8"/>
      <c r="Q414" s="8"/>
      <c r="R414" s="8"/>
      <c r="S414" s="8"/>
      <c r="T414" s="8"/>
      <c r="U414" s="8"/>
      <c r="V414" s="8"/>
      <c r="W414" s="8"/>
      <c r="X414" s="8"/>
      <c r="Y414" s="8"/>
      <c r="Z414" s="8"/>
      <c r="AA414" s="8"/>
    </row>
    <row r="415" spans="1:27" ht="19.75">
      <c r="A415" s="8"/>
      <c r="B415" s="7"/>
      <c r="C415" s="8"/>
      <c r="D415" s="8"/>
      <c r="E415" s="11"/>
      <c r="F415" s="8"/>
      <c r="G415" s="8"/>
      <c r="H415" s="8"/>
      <c r="I415" s="8"/>
      <c r="J415" s="8"/>
      <c r="K415" s="8"/>
      <c r="L415" s="8"/>
      <c r="M415" s="8"/>
      <c r="N415" s="8"/>
      <c r="O415" s="8"/>
      <c r="P415" s="8"/>
      <c r="Q415" s="8"/>
      <c r="R415" s="8"/>
      <c r="S415" s="8"/>
      <c r="T415" s="8"/>
      <c r="U415" s="8"/>
      <c r="V415" s="8"/>
      <c r="W415" s="8"/>
      <c r="X415" s="8"/>
      <c r="Y415" s="8"/>
      <c r="Z415" s="8"/>
      <c r="AA415" s="8"/>
    </row>
    <row r="416" spans="1:27" ht="19.75">
      <c r="A416" s="8"/>
      <c r="B416" s="7"/>
      <c r="C416" s="8"/>
      <c r="D416" s="8"/>
      <c r="E416" s="11"/>
      <c r="F416" s="8"/>
      <c r="G416" s="8"/>
      <c r="H416" s="8"/>
      <c r="I416" s="8"/>
      <c r="J416" s="8"/>
      <c r="K416" s="8"/>
      <c r="L416" s="8"/>
      <c r="M416" s="8"/>
      <c r="N416" s="8"/>
      <c r="O416" s="8"/>
      <c r="P416" s="8"/>
      <c r="Q416" s="8"/>
      <c r="R416" s="8"/>
      <c r="S416" s="8"/>
      <c r="T416" s="8"/>
      <c r="U416" s="8"/>
      <c r="V416" s="8"/>
      <c r="W416" s="8"/>
      <c r="X416" s="8"/>
      <c r="Y416" s="8"/>
      <c r="Z416" s="8"/>
      <c r="AA416" s="8"/>
    </row>
    <row r="417" spans="1:27" ht="19.75">
      <c r="A417" s="8"/>
      <c r="B417" s="7"/>
      <c r="C417" s="8"/>
      <c r="D417" s="8"/>
      <c r="E417" s="11"/>
      <c r="F417" s="8"/>
      <c r="G417" s="8"/>
      <c r="H417" s="8"/>
      <c r="I417" s="8"/>
      <c r="J417" s="8"/>
      <c r="K417" s="8"/>
      <c r="L417" s="8"/>
      <c r="M417" s="8"/>
      <c r="N417" s="8"/>
      <c r="O417" s="8"/>
      <c r="P417" s="8"/>
      <c r="Q417" s="8"/>
      <c r="R417" s="8"/>
      <c r="S417" s="8"/>
      <c r="T417" s="8"/>
      <c r="U417" s="8"/>
      <c r="V417" s="8"/>
      <c r="W417" s="8"/>
      <c r="X417" s="8"/>
      <c r="Y417" s="8"/>
      <c r="Z417" s="8"/>
      <c r="AA417" s="8"/>
    </row>
    <row r="418" spans="1:27" ht="19.75">
      <c r="A418" s="8"/>
      <c r="B418" s="7"/>
      <c r="C418" s="8"/>
      <c r="D418" s="8"/>
      <c r="E418" s="11"/>
      <c r="F418" s="8"/>
      <c r="G418" s="8"/>
      <c r="H418" s="8"/>
      <c r="I418" s="8"/>
      <c r="J418" s="8"/>
      <c r="K418" s="8"/>
      <c r="L418" s="8"/>
      <c r="M418" s="8"/>
      <c r="N418" s="8"/>
      <c r="O418" s="8"/>
      <c r="P418" s="8"/>
      <c r="Q418" s="8"/>
      <c r="R418" s="8"/>
      <c r="S418" s="8"/>
      <c r="T418" s="8"/>
      <c r="U418" s="8"/>
      <c r="V418" s="8"/>
      <c r="W418" s="8"/>
      <c r="X418" s="8"/>
      <c r="Y418" s="8"/>
      <c r="Z418" s="8"/>
      <c r="AA418" s="8"/>
    </row>
    <row r="419" spans="1:27" ht="19.75">
      <c r="A419" s="8"/>
      <c r="B419" s="7"/>
      <c r="C419" s="8"/>
      <c r="D419" s="8"/>
      <c r="E419" s="11"/>
      <c r="F419" s="8"/>
      <c r="G419" s="8"/>
      <c r="H419" s="8"/>
      <c r="I419" s="8"/>
      <c r="J419" s="8"/>
      <c r="K419" s="8"/>
      <c r="L419" s="8"/>
      <c r="M419" s="8"/>
      <c r="N419" s="8"/>
      <c r="O419" s="8"/>
      <c r="P419" s="8"/>
      <c r="Q419" s="8"/>
      <c r="R419" s="8"/>
      <c r="S419" s="8"/>
      <c r="T419" s="8"/>
      <c r="U419" s="8"/>
      <c r="V419" s="8"/>
      <c r="W419" s="8"/>
      <c r="X419" s="8"/>
      <c r="Y419" s="8"/>
      <c r="Z419" s="8"/>
      <c r="AA419" s="8"/>
    </row>
    <row r="420" spans="1:27" ht="19.75">
      <c r="A420" s="8"/>
      <c r="B420" s="7"/>
      <c r="C420" s="8"/>
      <c r="D420" s="8"/>
      <c r="E420" s="11"/>
      <c r="F420" s="8"/>
      <c r="G420" s="8"/>
      <c r="H420" s="8"/>
      <c r="I420" s="8"/>
      <c r="J420" s="8"/>
      <c r="K420" s="8"/>
      <c r="L420" s="8"/>
      <c r="M420" s="8"/>
      <c r="N420" s="8"/>
      <c r="O420" s="8"/>
      <c r="P420" s="8"/>
      <c r="Q420" s="8"/>
      <c r="R420" s="8"/>
      <c r="S420" s="8"/>
      <c r="T420" s="8"/>
      <c r="U420" s="8"/>
      <c r="V420" s="8"/>
      <c r="W420" s="8"/>
      <c r="X420" s="8"/>
      <c r="Y420" s="8"/>
      <c r="Z420" s="8"/>
      <c r="AA420" s="8"/>
    </row>
    <row r="421" spans="1:27" ht="19.75">
      <c r="A421" s="8"/>
      <c r="B421" s="7"/>
      <c r="C421" s="8"/>
      <c r="D421" s="8"/>
      <c r="E421" s="11"/>
      <c r="F421" s="8"/>
      <c r="G421" s="8"/>
      <c r="H421" s="8"/>
      <c r="I421" s="8"/>
      <c r="J421" s="8"/>
      <c r="K421" s="8"/>
      <c r="L421" s="8"/>
      <c r="M421" s="8"/>
      <c r="N421" s="8"/>
      <c r="O421" s="8"/>
      <c r="P421" s="8"/>
      <c r="Q421" s="8"/>
      <c r="R421" s="8"/>
      <c r="S421" s="8"/>
      <c r="T421" s="8"/>
      <c r="U421" s="8"/>
      <c r="V421" s="8"/>
      <c r="W421" s="8"/>
      <c r="X421" s="8"/>
      <c r="Y421" s="8"/>
      <c r="Z421" s="8"/>
      <c r="AA421" s="8"/>
    </row>
    <row r="422" spans="1:27" ht="19.75">
      <c r="A422" s="8"/>
      <c r="B422" s="7"/>
      <c r="C422" s="8"/>
      <c r="D422" s="8"/>
      <c r="E422" s="11"/>
      <c r="F422" s="8"/>
      <c r="G422" s="8"/>
      <c r="H422" s="8"/>
      <c r="I422" s="8"/>
      <c r="J422" s="8"/>
      <c r="K422" s="8"/>
      <c r="L422" s="8"/>
      <c r="M422" s="8"/>
      <c r="N422" s="8"/>
      <c r="O422" s="8"/>
      <c r="P422" s="8"/>
      <c r="Q422" s="8"/>
      <c r="R422" s="8"/>
      <c r="S422" s="8"/>
      <c r="T422" s="8"/>
      <c r="U422" s="8"/>
      <c r="V422" s="8"/>
      <c r="W422" s="8"/>
      <c r="X422" s="8"/>
      <c r="Y422" s="8"/>
      <c r="Z422" s="8"/>
      <c r="AA422" s="8"/>
    </row>
    <row r="423" spans="1:27" ht="19.75">
      <c r="A423" s="8"/>
      <c r="B423" s="7"/>
      <c r="C423" s="8"/>
      <c r="D423" s="8"/>
      <c r="E423" s="11"/>
      <c r="F423" s="8"/>
      <c r="G423" s="8"/>
      <c r="H423" s="8"/>
      <c r="I423" s="8"/>
      <c r="J423" s="8"/>
      <c r="K423" s="8"/>
      <c r="L423" s="8"/>
      <c r="M423" s="8"/>
      <c r="N423" s="8"/>
      <c r="O423" s="8"/>
      <c r="P423" s="8"/>
      <c r="Q423" s="8"/>
      <c r="R423" s="8"/>
      <c r="S423" s="8"/>
      <c r="T423" s="8"/>
      <c r="U423" s="8"/>
      <c r="V423" s="8"/>
      <c r="W423" s="8"/>
      <c r="X423" s="8"/>
      <c r="Y423" s="8"/>
      <c r="Z423" s="8"/>
      <c r="AA423" s="8"/>
    </row>
    <row r="424" spans="1:27" ht="19.75">
      <c r="A424" s="8"/>
      <c r="B424" s="7"/>
      <c r="C424" s="8"/>
      <c r="D424" s="8"/>
      <c r="E424" s="11"/>
      <c r="F424" s="8"/>
      <c r="G424" s="8"/>
      <c r="H424" s="8"/>
      <c r="I424" s="8"/>
      <c r="J424" s="8"/>
      <c r="K424" s="8"/>
      <c r="L424" s="8"/>
      <c r="M424" s="8"/>
      <c r="N424" s="8"/>
      <c r="O424" s="8"/>
      <c r="P424" s="8"/>
      <c r="Q424" s="8"/>
      <c r="R424" s="8"/>
      <c r="S424" s="8"/>
      <c r="T424" s="8"/>
      <c r="U424" s="8"/>
      <c r="V424" s="8"/>
      <c r="W424" s="8"/>
      <c r="X424" s="8"/>
      <c r="Y424" s="8"/>
      <c r="Z424" s="8"/>
      <c r="AA424" s="8"/>
    </row>
    <row r="425" spans="1:27" ht="19.75">
      <c r="A425" s="8"/>
      <c r="B425" s="7"/>
      <c r="C425" s="8"/>
      <c r="D425" s="8"/>
      <c r="E425" s="11"/>
      <c r="F425" s="8"/>
      <c r="G425" s="8"/>
      <c r="H425" s="8"/>
      <c r="I425" s="8"/>
      <c r="J425" s="8"/>
      <c r="K425" s="8"/>
      <c r="L425" s="8"/>
      <c r="M425" s="8"/>
      <c r="N425" s="8"/>
      <c r="O425" s="8"/>
      <c r="P425" s="8"/>
      <c r="Q425" s="8"/>
      <c r="R425" s="8"/>
      <c r="S425" s="8"/>
      <c r="T425" s="8"/>
      <c r="U425" s="8"/>
      <c r="V425" s="8"/>
      <c r="W425" s="8"/>
      <c r="X425" s="8"/>
      <c r="Y425" s="8"/>
      <c r="Z425" s="8"/>
      <c r="AA425" s="8"/>
    </row>
    <row r="426" spans="1:27" ht="19.75">
      <c r="A426" s="8"/>
      <c r="B426" s="7"/>
      <c r="C426" s="8"/>
      <c r="D426" s="8"/>
      <c r="E426" s="11"/>
      <c r="F426" s="8"/>
      <c r="G426" s="8"/>
      <c r="H426" s="8"/>
      <c r="I426" s="8"/>
      <c r="J426" s="8"/>
      <c r="K426" s="8"/>
      <c r="L426" s="8"/>
      <c r="M426" s="8"/>
      <c r="N426" s="8"/>
      <c r="O426" s="8"/>
      <c r="P426" s="8"/>
      <c r="Q426" s="8"/>
      <c r="R426" s="8"/>
      <c r="S426" s="8"/>
      <c r="T426" s="8"/>
      <c r="U426" s="8"/>
      <c r="V426" s="8"/>
      <c r="W426" s="8"/>
      <c r="X426" s="8"/>
      <c r="Y426" s="8"/>
      <c r="Z426" s="8"/>
      <c r="AA426" s="8"/>
    </row>
    <row r="427" spans="1:27" ht="19.75">
      <c r="A427" s="8"/>
      <c r="B427" s="7"/>
      <c r="C427" s="8"/>
      <c r="D427" s="8"/>
      <c r="E427" s="11"/>
      <c r="F427" s="8"/>
      <c r="G427" s="8"/>
      <c r="H427" s="8"/>
      <c r="I427" s="8"/>
      <c r="J427" s="8"/>
      <c r="K427" s="8"/>
      <c r="L427" s="8"/>
      <c r="M427" s="8"/>
      <c r="N427" s="8"/>
      <c r="O427" s="8"/>
      <c r="P427" s="8"/>
      <c r="Q427" s="8"/>
      <c r="R427" s="8"/>
      <c r="S427" s="8"/>
      <c r="T427" s="8"/>
      <c r="U427" s="8"/>
      <c r="V427" s="8"/>
      <c r="W427" s="8"/>
      <c r="X427" s="8"/>
      <c r="Y427" s="8"/>
      <c r="Z427" s="8"/>
      <c r="AA427" s="8"/>
    </row>
    <row r="428" spans="1:27" ht="19.75">
      <c r="A428" s="8"/>
      <c r="B428" s="7"/>
      <c r="C428" s="8"/>
      <c r="D428" s="8"/>
      <c r="E428" s="11"/>
      <c r="F428" s="8"/>
      <c r="G428" s="8"/>
      <c r="H428" s="8"/>
      <c r="I428" s="8"/>
      <c r="J428" s="8"/>
      <c r="K428" s="8"/>
      <c r="L428" s="8"/>
      <c r="M428" s="8"/>
      <c r="N428" s="8"/>
      <c r="O428" s="8"/>
      <c r="P428" s="8"/>
      <c r="Q428" s="8"/>
      <c r="R428" s="8"/>
      <c r="S428" s="8"/>
      <c r="T428" s="8"/>
      <c r="U428" s="8"/>
      <c r="V428" s="8"/>
      <c r="W428" s="8"/>
      <c r="X428" s="8"/>
      <c r="Y428" s="8"/>
      <c r="Z428" s="8"/>
      <c r="AA428" s="8"/>
    </row>
    <row r="429" spans="1:27" ht="19.75">
      <c r="A429" s="8"/>
      <c r="B429" s="7"/>
      <c r="C429" s="8"/>
      <c r="D429" s="8"/>
      <c r="E429" s="11"/>
      <c r="F429" s="8"/>
      <c r="G429" s="8"/>
      <c r="H429" s="8"/>
      <c r="I429" s="8"/>
      <c r="J429" s="8"/>
      <c r="K429" s="8"/>
      <c r="L429" s="8"/>
      <c r="M429" s="8"/>
      <c r="N429" s="8"/>
      <c r="O429" s="8"/>
      <c r="P429" s="8"/>
      <c r="Q429" s="8"/>
      <c r="R429" s="8"/>
      <c r="S429" s="8"/>
      <c r="T429" s="8"/>
      <c r="U429" s="8"/>
      <c r="V429" s="8"/>
      <c r="W429" s="8"/>
      <c r="X429" s="8"/>
      <c r="Y429" s="8"/>
      <c r="Z429" s="8"/>
      <c r="AA429" s="8"/>
    </row>
    <row r="430" spans="1:27" ht="19.75">
      <c r="A430" s="8"/>
      <c r="B430" s="7"/>
      <c r="C430" s="8"/>
      <c r="D430" s="8"/>
      <c r="E430" s="11"/>
      <c r="F430" s="8"/>
      <c r="G430" s="8"/>
      <c r="H430" s="8"/>
      <c r="I430" s="8"/>
      <c r="J430" s="8"/>
      <c r="K430" s="8"/>
      <c r="L430" s="8"/>
      <c r="M430" s="8"/>
      <c r="N430" s="8"/>
      <c r="O430" s="8"/>
      <c r="P430" s="8"/>
      <c r="Q430" s="8"/>
      <c r="R430" s="8"/>
      <c r="S430" s="8"/>
      <c r="T430" s="8"/>
      <c r="U430" s="8"/>
      <c r="V430" s="8"/>
      <c r="W430" s="8"/>
      <c r="X430" s="8"/>
      <c r="Y430" s="8"/>
      <c r="Z430" s="8"/>
      <c r="AA430" s="8"/>
    </row>
    <row r="431" spans="1:27" ht="19.75">
      <c r="A431" s="8"/>
      <c r="B431" s="7"/>
      <c r="C431" s="8"/>
      <c r="D431" s="8"/>
      <c r="E431" s="11"/>
      <c r="F431" s="8"/>
      <c r="G431" s="8"/>
      <c r="H431" s="8"/>
      <c r="I431" s="8"/>
      <c r="J431" s="8"/>
      <c r="K431" s="8"/>
      <c r="L431" s="8"/>
      <c r="M431" s="8"/>
      <c r="N431" s="8"/>
      <c r="O431" s="8"/>
      <c r="P431" s="8"/>
      <c r="Q431" s="8"/>
      <c r="R431" s="8"/>
      <c r="S431" s="8"/>
      <c r="T431" s="8"/>
      <c r="U431" s="8"/>
      <c r="V431" s="8"/>
      <c r="W431" s="8"/>
      <c r="X431" s="8"/>
      <c r="Y431" s="8"/>
      <c r="Z431" s="8"/>
      <c r="AA431" s="8"/>
    </row>
    <row r="432" spans="1:27" ht="19.75">
      <c r="A432" s="8"/>
      <c r="B432" s="7"/>
      <c r="C432" s="8"/>
      <c r="D432" s="8"/>
      <c r="E432" s="11"/>
      <c r="F432" s="8"/>
      <c r="G432" s="8"/>
      <c r="H432" s="8"/>
      <c r="I432" s="8"/>
      <c r="J432" s="8"/>
      <c r="K432" s="8"/>
      <c r="L432" s="8"/>
      <c r="M432" s="8"/>
      <c r="N432" s="8"/>
      <c r="O432" s="8"/>
      <c r="P432" s="8"/>
      <c r="Q432" s="8"/>
      <c r="R432" s="8"/>
      <c r="S432" s="8"/>
      <c r="T432" s="8"/>
      <c r="U432" s="8"/>
      <c r="V432" s="8"/>
      <c r="W432" s="8"/>
      <c r="X432" s="8"/>
      <c r="Y432" s="8"/>
      <c r="Z432" s="8"/>
      <c r="AA432" s="8"/>
    </row>
    <row r="433" spans="1:27" ht="19.75">
      <c r="A433" s="8"/>
      <c r="B433" s="7"/>
      <c r="C433" s="8"/>
      <c r="D433" s="8"/>
      <c r="E433" s="11"/>
      <c r="F433" s="8"/>
      <c r="G433" s="8"/>
      <c r="H433" s="8"/>
      <c r="I433" s="8"/>
      <c r="J433" s="8"/>
      <c r="K433" s="8"/>
      <c r="L433" s="8"/>
      <c r="M433" s="8"/>
      <c r="N433" s="8"/>
      <c r="O433" s="8"/>
      <c r="P433" s="8"/>
      <c r="Q433" s="8"/>
      <c r="R433" s="8"/>
      <c r="S433" s="8"/>
      <c r="T433" s="8"/>
      <c r="U433" s="8"/>
      <c r="V433" s="8"/>
      <c r="W433" s="8"/>
      <c r="X433" s="8"/>
      <c r="Y433" s="8"/>
      <c r="Z433" s="8"/>
      <c r="AA433" s="8"/>
    </row>
    <row r="434" spans="1:27" ht="19.75">
      <c r="A434" s="8"/>
      <c r="B434" s="7"/>
      <c r="C434" s="8"/>
      <c r="D434" s="8"/>
      <c r="E434" s="11"/>
      <c r="F434" s="8"/>
      <c r="G434" s="8"/>
      <c r="H434" s="8"/>
      <c r="I434" s="8"/>
      <c r="J434" s="8"/>
      <c r="K434" s="8"/>
      <c r="L434" s="8"/>
      <c r="M434" s="8"/>
      <c r="N434" s="8"/>
      <c r="O434" s="8"/>
      <c r="P434" s="8"/>
      <c r="Q434" s="8"/>
      <c r="R434" s="8"/>
      <c r="S434" s="8"/>
      <c r="T434" s="8"/>
      <c r="U434" s="8"/>
      <c r="V434" s="8"/>
      <c r="W434" s="8"/>
      <c r="X434" s="8"/>
      <c r="Y434" s="8"/>
      <c r="Z434" s="8"/>
      <c r="AA434" s="8"/>
    </row>
    <row r="435" spans="1:27" ht="19.75">
      <c r="A435" s="8"/>
      <c r="B435" s="7"/>
      <c r="C435" s="8"/>
      <c r="D435" s="8"/>
      <c r="E435" s="11"/>
      <c r="F435" s="8"/>
      <c r="G435" s="8"/>
      <c r="H435" s="8"/>
      <c r="I435" s="8"/>
      <c r="J435" s="8"/>
      <c r="K435" s="8"/>
      <c r="L435" s="8"/>
      <c r="M435" s="8"/>
      <c r="N435" s="8"/>
      <c r="O435" s="8"/>
      <c r="P435" s="8"/>
      <c r="Q435" s="8"/>
      <c r="R435" s="8"/>
      <c r="S435" s="8"/>
      <c r="T435" s="8"/>
      <c r="U435" s="8"/>
      <c r="V435" s="8"/>
      <c r="W435" s="8"/>
      <c r="X435" s="8"/>
      <c r="Y435" s="8"/>
      <c r="Z435" s="8"/>
      <c r="AA435" s="8"/>
    </row>
    <row r="436" spans="1:27" ht="19.75">
      <c r="A436" s="8"/>
      <c r="B436" s="7"/>
      <c r="C436" s="8"/>
      <c r="D436" s="8"/>
      <c r="E436" s="11"/>
      <c r="F436" s="8"/>
      <c r="G436" s="8"/>
      <c r="H436" s="8"/>
      <c r="I436" s="8"/>
      <c r="J436" s="8"/>
      <c r="K436" s="8"/>
      <c r="L436" s="8"/>
      <c r="M436" s="8"/>
      <c r="N436" s="8"/>
      <c r="O436" s="8"/>
      <c r="P436" s="8"/>
      <c r="Q436" s="8"/>
      <c r="R436" s="8"/>
      <c r="S436" s="8"/>
      <c r="T436" s="8"/>
      <c r="U436" s="8"/>
      <c r="V436" s="8"/>
      <c r="W436" s="8"/>
      <c r="X436" s="8"/>
      <c r="Y436" s="8"/>
      <c r="Z436" s="8"/>
      <c r="AA436" s="8"/>
    </row>
    <row r="437" spans="1:27" ht="19.75">
      <c r="A437" s="8"/>
      <c r="B437" s="7"/>
      <c r="C437" s="8"/>
      <c r="D437" s="8"/>
      <c r="E437" s="11"/>
      <c r="F437" s="8"/>
      <c r="G437" s="8"/>
      <c r="H437" s="8"/>
      <c r="I437" s="8"/>
      <c r="J437" s="8"/>
      <c r="K437" s="8"/>
      <c r="L437" s="8"/>
      <c r="M437" s="8"/>
      <c r="N437" s="8"/>
      <c r="O437" s="8"/>
      <c r="P437" s="8"/>
      <c r="Q437" s="8"/>
      <c r="R437" s="8"/>
      <c r="S437" s="8"/>
      <c r="T437" s="8"/>
      <c r="U437" s="8"/>
      <c r="V437" s="8"/>
      <c r="W437" s="8"/>
      <c r="X437" s="8"/>
      <c r="Y437" s="8"/>
      <c r="Z437" s="8"/>
      <c r="AA437" s="8"/>
    </row>
    <row r="438" spans="1:27" ht="19.75">
      <c r="A438" s="8"/>
      <c r="B438" s="7"/>
      <c r="C438" s="8"/>
      <c r="D438" s="8"/>
      <c r="E438" s="11"/>
      <c r="F438" s="8"/>
      <c r="G438" s="8"/>
      <c r="H438" s="8"/>
      <c r="I438" s="8"/>
      <c r="J438" s="8"/>
      <c r="K438" s="8"/>
      <c r="L438" s="8"/>
      <c r="M438" s="8"/>
      <c r="N438" s="8"/>
      <c r="O438" s="8"/>
      <c r="P438" s="8"/>
      <c r="Q438" s="8"/>
      <c r="R438" s="8"/>
      <c r="S438" s="8"/>
      <c r="T438" s="8"/>
      <c r="U438" s="8"/>
      <c r="V438" s="8"/>
      <c r="W438" s="8"/>
      <c r="X438" s="8"/>
      <c r="Y438" s="8"/>
      <c r="Z438" s="8"/>
      <c r="AA438" s="8"/>
    </row>
    <row r="439" spans="1:27" ht="19.75">
      <c r="A439" s="8"/>
      <c r="B439" s="7"/>
      <c r="C439" s="8"/>
      <c r="D439" s="8"/>
      <c r="E439" s="11"/>
      <c r="F439" s="8"/>
      <c r="G439" s="8"/>
      <c r="H439" s="8"/>
      <c r="I439" s="8"/>
      <c r="J439" s="8"/>
      <c r="K439" s="8"/>
      <c r="L439" s="8"/>
      <c r="M439" s="8"/>
      <c r="N439" s="8"/>
      <c r="O439" s="8"/>
      <c r="P439" s="8"/>
      <c r="Q439" s="8"/>
      <c r="R439" s="8"/>
      <c r="S439" s="8"/>
      <c r="T439" s="8"/>
      <c r="U439" s="8"/>
      <c r="V439" s="8"/>
      <c r="W439" s="8"/>
      <c r="X439" s="8"/>
      <c r="Y439" s="8"/>
      <c r="Z439" s="8"/>
      <c r="AA439" s="8"/>
    </row>
    <row r="440" spans="1:27" ht="19.75">
      <c r="A440" s="8"/>
      <c r="B440" s="7"/>
      <c r="C440" s="8"/>
      <c r="D440" s="8"/>
      <c r="E440" s="11"/>
      <c r="F440" s="8"/>
      <c r="G440" s="8"/>
      <c r="H440" s="8"/>
      <c r="I440" s="8"/>
      <c r="J440" s="8"/>
      <c r="K440" s="8"/>
      <c r="L440" s="8"/>
      <c r="M440" s="8"/>
      <c r="N440" s="8"/>
      <c r="O440" s="8"/>
      <c r="P440" s="8"/>
      <c r="Q440" s="8"/>
      <c r="R440" s="8"/>
      <c r="S440" s="8"/>
      <c r="T440" s="8"/>
      <c r="U440" s="8"/>
      <c r="V440" s="8"/>
      <c r="W440" s="8"/>
      <c r="X440" s="8"/>
      <c r="Y440" s="8"/>
      <c r="Z440" s="8"/>
      <c r="AA440" s="8"/>
    </row>
    <row r="441" spans="1:27" ht="19.75">
      <c r="A441" s="8"/>
      <c r="B441" s="7"/>
      <c r="C441" s="8"/>
      <c r="D441" s="8"/>
      <c r="E441" s="11"/>
      <c r="F441" s="8"/>
      <c r="G441" s="8"/>
      <c r="H441" s="8"/>
      <c r="I441" s="8"/>
      <c r="J441" s="8"/>
      <c r="K441" s="8"/>
      <c r="L441" s="8"/>
      <c r="M441" s="8"/>
      <c r="N441" s="8"/>
      <c r="O441" s="8"/>
      <c r="P441" s="8"/>
      <c r="Q441" s="8"/>
      <c r="R441" s="8"/>
      <c r="S441" s="8"/>
      <c r="T441" s="8"/>
      <c r="U441" s="8"/>
      <c r="V441" s="8"/>
      <c r="W441" s="8"/>
      <c r="X441" s="8"/>
      <c r="Y441" s="8"/>
      <c r="Z441" s="8"/>
      <c r="AA441" s="8"/>
    </row>
    <row r="442" spans="1:27" ht="19.75">
      <c r="A442" s="8"/>
      <c r="B442" s="7"/>
      <c r="C442" s="8"/>
      <c r="D442" s="8"/>
      <c r="E442" s="11"/>
      <c r="F442" s="8"/>
      <c r="G442" s="8"/>
      <c r="H442" s="8"/>
      <c r="I442" s="8"/>
      <c r="J442" s="8"/>
      <c r="K442" s="8"/>
      <c r="L442" s="8"/>
      <c r="M442" s="8"/>
      <c r="N442" s="8"/>
      <c r="O442" s="8"/>
      <c r="P442" s="8"/>
      <c r="Q442" s="8"/>
      <c r="R442" s="8"/>
      <c r="S442" s="8"/>
      <c r="T442" s="8"/>
      <c r="U442" s="8"/>
      <c r="V442" s="8"/>
      <c r="W442" s="8"/>
      <c r="X442" s="8"/>
      <c r="Y442" s="8"/>
      <c r="Z442" s="8"/>
      <c r="AA442" s="8"/>
    </row>
    <row r="443" spans="1:27" ht="19.75">
      <c r="A443" s="8"/>
      <c r="B443" s="7"/>
      <c r="C443" s="8"/>
      <c r="D443" s="8"/>
      <c r="E443" s="11"/>
      <c r="F443" s="8"/>
      <c r="G443" s="8"/>
      <c r="H443" s="8"/>
      <c r="I443" s="8"/>
      <c r="J443" s="8"/>
      <c r="K443" s="8"/>
      <c r="L443" s="8"/>
      <c r="M443" s="8"/>
      <c r="N443" s="8"/>
      <c r="O443" s="8"/>
      <c r="P443" s="8"/>
      <c r="Q443" s="8"/>
      <c r="R443" s="8"/>
      <c r="S443" s="8"/>
      <c r="T443" s="8"/>
      <c r="U443" s="8"/>
      <c r="V443" s="8"/>
      <c r="W443" s="8"/>
      <c r="X443" s="8"/>
      <c r="Y443" s="8"/>
      <c r="Z443" s="8"/>
      <c r="AA443" s="8"/>
    </row>
    <row r="444" spans="1:27" ht="19.75">
      <c r="A444" s="8"/>
      <c r="B444" s="7"/>
      <c r="C444" s="8"/>
      <c r="D444" s="8"/>
      <c r="E444" s="11"/>
      <c r="F444" s="8"/>
      <c r="G444" s="8"/>
      <c r="H444" s="8"/>
      <c r="I444" s="8"/>
      <c r="J444" s="8"/>
      <c r="K444" s="8"/>
      <c r="L444" s="8"/>
      <c r="M444" s="8"/>
      <c r="N444" s="8"/>
      <c r="O444" s="8"/>
      <c r="P444" s="8"/>
      <c r="Q444" s="8"/>
      <c r="R444" s="8"/>
      <c r="S444" s="8"/>
      <c r="T444" s="8"/>
      <c r="U444" s="8"/>
      <c r="V444" s="8"/>
      <c r="W444" s="8"/>
      <c r="X444" s="8"/>
      <c r="Y444" s="8"/>
      <c r="Z444" s="8"/>
      <c r="AA444" s="8"/>
    </row>
    <row r="445" spans="1:27" ht="19.75">
      <c r="A445" s="8"/>
      <c r="B445" s="7"/>
      <c r="C445" s="8"/>
      <c r="D445" s="8"/>
      <c r="E445" s="11"/>
      <c r="F445" s="8"/>
      <c r="G445" s="8"/>
      <c r="H445" s="8"/>
      <c r="I445" s="8"/>
      <c r="J445" s="8"/>
      <c r="K445" s="8"/>
      <c r="L445" s="8"/>
      <c r="M445" s="8"/>
      <c r="N445" s="8"/>
      <c r="O445" s="8"/>
      <c r="P445" s="8"/>
      <c r="Q445" s="8"/>
      <c r="R445" s="8"/>
      <c r="S445" s="8"/>
      <c r="T445" s="8"/>
      <c r="U445" s="8"/>
      <c r="V445" s="8"/>
      <c r="W445" s="8"/>
      <c r="X445" s="8"/>
      <c r="Y445" s="8"/>
      <c r="Z445" s="8"/>
      <c r="AA445" s="8"/>
    </row>
    <row r="446" spans="1:27" ht="19.75">
      <c r="A446" s="8"/>
      <c r="B446" s="7"/>
      <c r="C446" s="8"/>
      <c r="D446" s="8"/>
      <c r="E446" s="11"/>
      <c r="F446" s="8"/>
      <c r="G446" s="8"/>
      <c r="H446" s="8"/>
      <c r="I446" s="8"/>
      <c r="J446" s="8"/>
      <c r="K446" s="8"/>
      <c r="L446" s="8"/>
      <c r="M446" s="8"/>
      <c r="N446" s="8"/>
      <c r="O446" s="8"/>
      <c r="P446" s="8"/>
      <c r="Q446" s="8"/>
      <c r="R446" s="8"/>
      <c r="S446" s="8"/>
      <c r="T446" s="8"/>
      <c r="U446" s="8"/>
      <c r="V446" s="8"/>
      <c r="W446" s="8"/>
      <c r="X446" s="8"/>
      <c r="Y446" s="8"/>
      <c r="Z446" s="8"/>
      <c r="AA446" s="8"/>
    </row>
    <row r="447" spans="1:27" ht="19.75">
      <c r="A447" s="8"/>
      <c r="B447" s="7"/>
      <c r="C447" s="8"/>
      <c r="D447" s="8"/>
      <c r="E447" s="11"/>
      <c r="F447" s="8"/>
      <c r="G447" s="8"/>
      <c r="H447" s="8"/>
      <c r="I447" s="8"/>
      <c r="J447" s="8"/>
      <c r="K447" s="8"/>
      <c r="L447" s="8"/>
      <c r="M447" s="8"/>
      <c r="N447" s="8"/>
      <c r="O447" s="8"/>
      <c r="P447" s="8"/>
      <c r="Q447" s="8"/>
      <c r="R447" s="8"/>
      <c r="S447" s="8"/>
      <c r="T447" s="8"/>
      <c r="U447" s="8"/>
      <c r="V447" s="8"/>
      <c r="W447" s="8"/>
      <c r="X447" s="8"/>
      <c r="Y447" s="8"/>
      <c r="Z447" s="8"/>
      <c r="AA447" s="8"/>
    </row>
    <row r="448" spans="1:27" ht="19.75">
      <c r="A448" s="8"/>
      <c r="B448" s="7"/>
      <c r="C448" s="8"/>
      <c r="D448" s="8"/>
      <c r="E448" s="11"/>
      <c r="F448" s="8"/>
      <c r="G448" s="8"/>
      <c r="H448" s="8"/>
      <c r="I448" s="8"/>
      <c r="J448" s="8"/>
      <c r="K448" s="8"/>
      <c r="L448" s="8"/>
      <c r="M448" s="8"/>
      <c r="N448" s="8"/>
      <c r="O448" s="8"/>
      <c r="P448" s="8"/>
      <c r="Q448" s="8"/>
      <c r="R448" s="8"/>
      <c r="S448" s="8"/>
      <c r="T448" s="8"/>
      <c r="U448" s="8"/>
      <c r="V448" s="8"/>
      <c r="W448" s="8"/>
      <c r="X448" s="8"/>
      <c r="Y448" s="8"/>
      <c r="Z448" s="8"/>
      <c r="AA448" s="8"/>
    </row>
    <row r="449" spans="1:27" ht="19.75">
      <c r="A449" s="8"/>
      <c r="B449" s="7"/>
      <c r="C449" s="8"/>
      <c r="D449" s="8"/>
      <c r="E449" s="11"/>
      <c r="F449" s="8"/>
      <c r="G449" s="8"/>
      <c r="H449" s="8"/>
      <c r="I449" s="8"/>
      <c r="J449" s="8"/>
      <c r="K449" s="8"/>
      <c r="L449" s="8"/>
      <c r="M449" s="8"/>
      <c r="N449" s="8"/>
      <c r="O449" s="8"/>
      <c r="P449" s="8"/>
      <c r="Q449" s="8"/>
      <c r="R449" s="8"/>
      <c r="S449" s="8"/>
      <c r="T449" s="8"/>
      <c r="U449" s="8"/>
      <c r="V449" s="8"/>
      <c r="W449" s="8"/>
      <c r="X449" s="8"/>
      <c r="Y449" s="8"/>
      <c r="Z449" s="8"/>
      <c r="AA449" s="8"/>
    </row>
    <row r="450" spans="1:27" ht="19.75">
      <c r="A450" s="8"/>
      <c r="B450" s="7"/>
      <c r="C450" s="8"/>
      <c r="D450" s="8"/>
      <c r="E450" s="11"/>
      <c r="F450" s="8"/>
      <c r="G450" s="8"/>
      <c r="H450" s="8"/>
      <c r="I450" s="8"/>
      <c r="J450" s="8"/>
      <c r="K450" s="8"/>
      <c r="L450" s="8"/>
      <c r="M450" s="8"/>
      <c r="N450" s="8"/>
      <c r="O450" s="8"/>
      <c r="P450" s="8"/>
      <c r="Q450" s="8"/>
      <c r="R450" s="8"/>
      <c r="S450" s="8"/>
      <c r="T450" s="8"/>
      <c r="U450" s="8"/>
      <c r="V450" s="8"/>
      <c r="W450" s="8"/>
      <c r="X450" s="8"/>
      <c r="Y450" s="8"/>
      <c r="Z450" s="8"/>
      <c r="AA450" s="8"/>
    </row>
    <row r="451" spans="1:27" ht="19.75">
      <c r="A451" s="8"/>
      <c r="B451" s="7"/>
      <c r="C451" s="8"/>
      <c r="D451" s="8"/>
      <c r="E451" s="11"/>
      <c r="F451" s="8"/>
      <c r="G451" s="8"/>
      <c r="H451" s="8"/>
      <c r="I451" s="8"/>
      <c r="J451" s="8"/>
      <c r="K451" s="8"/>
      <c r="L451" s="8"/>
      <c r="M451" s="8"/>
      <c r="N451" s="8"/>
      <c r="O451" s="8"/>
      <c r="P451" s="8"/>
      <c r="Q451" s="8"/>
      <c r="R451" s="8"/>
      <c r="S451" s="8"/>
      <c r="T451" s="8"/>
      <c r="U451" s="8"/>
      <c r="V451" s="8"/>
      <c r="W451" s="8"/>
      <c r="X451" s="8"/>
      <c r="Y451" s="8"/>
      <c r="Z451" s="8"/>
      <c r="AA451" s="8"/>
    </row>
    <row r="452" spans="1:27" ht="19.75">
      <c r="A452" s="8"/>
      <c r="B452" s="7"/>
      <c r="C452" s="8"/>
      <c r="D452" s="8"/>
      <c r="E452" s="11"/>
      <c r="F452" s="8"/>
      <c r="G452" s="8"/>
      <c r="H452" s="8"/>
      <c r="I452" s="8"/>
      <c r="J452" s="8"/>
      <c r="K452" s="8"/>
      <c r="L452" s="8"/>
      <c r="M452" s="8"/>
      <c r="N452" s="8"/>
      <c r="O452" s="8"/>
      <c r="P452" s="8"/>
      <c r="Q452" s="8"/>
      <c r="R452" s="8"/>
      <c r="S452" s="8"/>
      <c r="T452" s="8"/>
      <c r="U452" s="8"/>
      <c r="V452" s="8"/>
      <c r="W452" s="8"/>
      <c r="X452" s="8"/>
      <c r="Y452" s="8"/>
      <c r="Z452" s="8"/>
      <c r="AA452" s="8"/>
    </row>
    <row r="453" spans="1:27" ht="19.75">
      <c r="A453" s="8"/>
      <c r="B453" s="7"/>
      <c r="C453" s="8"/>
      <c r="D453" s="8"/>
      <c r="E453" s="11"/>
      <c r="F453" s="8"/>
      <c r="G453" s="8"/>
      <c r="H453" s="8"/>
      <c r="I453" s="8"/>
      <c r="J453" s="8"/>
      <c r="K453" s="8"/>
      <c r="L453" s="8"/>
      <c r="M453" s="8"/>
      <c r="N453" s="8"/>
      <c r="O453" s="8"/>
      <c r="P453" s="8"/>
      <c r="Q453" s="8"/>
      <c r="R453" s="8"/>
      <c r="S453" s="8"/>
      <c r="T453" s="8"/>
      <c r="U453" s="8"/>
      <c r="V453" s="8"/>
      <c r="W453" s="8"/>
      <c r="X453" s="8"/>
      <c r="Y453" s="8"/>
      <c r="Z453" s="8"/>
      <c r="AA453" s="8"/>
    </row>
    <row r="454" spans="1:27" ht="19.75">
      <c r="A454" s="8"/>
      <c r="B454" s="7"/>
      <c r="C454" s="8"/>
      <c r="D454" s="8"/>
      <c r="E454" s="11"/>
      <c r="F454" s="8"/>
      <c r="G454" s="8"/>
      <c r="H454" s="8"/>
      <c r="I454" s="8"/>
      <c r="J454" s="8"/>
      <c r="K454" s="8"/>
      <c r="L454" s="8"/>
      <c r="M454" s="8"/>
      <c r="N454" s="8"/>
      <c r="O454" s="8"/>
      <c r="P454" s="8"/>
      <c r="Q454" s="8"/>
      <c r="R454" s="8"/>
      <c r="S454" s="8"/>
      <c r="T454" s="8"/>
      <c r="U454" s="8"/>
      <c r="V454" s="8"/>
      <c r="W454" s="8"/>
      <c r="X454" s="8"/>
      <c r="Y454" s="8"/>
      <c r="Z454" s="8"/>
      <c r="AA454" s="8"/>
    </row>
    <row r="455" spans="1:27" ht="19.75">
      <c r="A455" s="8"/>
      <c r="B455" s="7"/>
      <c r="C455" s="8"/>
      <c r="D455" s="8"/>
      <c r="E455" s="11"/>
      <c r="F455" s="8"/>
      <c r="G455" s="8"/>
      <c r="H455" s="8"/>
      <c r="I455" s="8"/>
      <c r="J455" s="8"/>
      <c r="K455" s="8"/>
      <c r="L455" s="8"/>
      <c r="M455" s="8"/>
      <c r="N455" s="8"/>
      <c r="O455" s="8"/>
      <c r="P455" s="8"/>
      <c r="Q455" s="8"/>
      <c r="R455" s="8"/>
      <c r="S455" s="8"/>
      <c r="T455" s="8"/>
      <c r="U455" s="8"/>
      <c r="V455" s="8"/>
      <c r="W455" s="8"/>
      <c r="X455" s="8"/>
      <c r="Y455" s="8"/>
      <c r="Z455" s="8"/>
      <c r="AA455" s="8"/>
    </row>
    <row r="456" spans="1:27" ht="19.75">
      <c r="A456" s="8"/>
      <c r="B456" s="7"/>
      <c r="C456" s="8"/>
      <c r="D456" s="8"/>
      <c r="E456" s="11"/>
      <c r="F456" s="8"/>
      <c r="G456" s="8"/>
      <c r="H456" s="8"/>
      <c r="I456" s="8"/>
      <c r="J456" s="8"/>
      <c r="K456" s="8"/>
      <c r="L456" s="8"/>
      <c r="M456" s="8"/>
      <c r="N456" s="8"/>
      <c r="O456" s="8"/>
      <c r="P456" s="8"/>
      <c r="Q456" s="8"/>
      <c r="R456" s="8"/>
      <c r="S456" s="8"/>
      <c r="T456" s="8"/>
      <c r="U456" s="8"/>
      <c r="V456" s="8"/>
      <c r="W456" s="8"/>
      <c r="X456" s="8"/>
      <c r="Y456" s="8"/>
      <c r="Z456" s="8"/>
      <c r="AA456" s="8"/>
    </row>
    <row r="457" spans="1:27" ht="19.75">
      <c r="A457" s="8"/>
      <c r="B457" s="7"/>
      <c r="C457" s="8"/>
      <c r="D457" s="8"/>
      <c r="E457" s="11"/>
      <c r="F457" s="8"/>
      <c r="G457" s="8"/>
      <c r="H457" s="8"/>
      <c r="I457" s="8"/>
      <c r="J457" s="8"/>
      <c r="K457" s="8"/>
      <c r="L457" s="8"/>
      <c r="M457" s="8"/>
      <c r="N457" s="8"/>
      <c r="O457" s="8"/>
      <c r="P457" s="8"/>
      <c r="Q457" s="8"/>
      <c r="R457" s="8"/>
      <c r="S457" s="8"/>
      <c r="T457" s="8"/>
      <c r="U457" s="8"/>
      <c r="V457" s="8"/>
      <c r="W457" s="8"/>
      <c r="X457" s="8"/>
      <c r="Y457" s="8"/>
      <c r="Z457" s="8"/>
      <c r="AA457" s="8"/>
    </row>
    <row r="458" spans="1:27" ht="19.75">
      <c r="A458" s="8"/>
      <c r="B458" s="7"/>
      <c r="C458" s="8"/>
      <c r="D458" s="8"/>
      <c r="E458" s="11"/>
      <c r="F458" s="8"/>
      <c r="G458" s="8"/>
      <c r="H458" s="8"/>
      <c r="I458" s="8"/>
      <c r="J458" s="8"/>
      <c r="K458" s="8"/>
      <c r="L458" s="8"/>
      <c r="M458" s="8"/>
      <c r="N458" s="8"/>
      <c r="O458" s="8"/>
      <c r="P458" s="8"/>
      <c r="Q458" s="8"/>
      <c r="R458" s="8"/>
      <c r="S458" s="8"/>
      <c r="T458" s="8"/>
      <c r="U458" s="8"/>
      <c r="V458" s="8"/>
      <c r="W458" s="8"/>
      <c r="X458" s="8"/>
      <c r="Y458" s="8"/>
      <c r="Z458" s="8"/>
      <c r="AA458" s="8"/>
    </row>
    <row r="459" spans="1:27" ht="19.75">
      <c r="A459" s="8"/>
      <c r="B459" s="7"/>
      <c r="C459" s="8"/>
      <c r="D459" s="8"/>
      <c r="E459" s="11"/>
      <c r="F459" s="8"/>
      <c r="G459" s="8"/>
      <c r="H459" s="8"/>
      <c r="I459" s="8"/>
      <c r="J459" s="8"/>
      <c r="K459" s="8"/>
      <c r="L459" s="8"/>
      <c r="M459" s="8"/>
      <c r="N459" s="8"/>
      <c r="O459" s="8"/>
      <c r="P459" s="8"/>
      <c r="Q459" s="8"/>
      <c r="R459" s="8"/>
      <c r="S459" s="8"/>
      <c r="T459" s="8"/>
      <c r="U459" s="8"/>
      <c r="V459" s="8"/>
      <c r="W459" s="8"/>
      <c r="X459" s="8"/>
      <c r="Y459" s="8"/>
      <c r="Z459" s="8"/>
      <c r="AA459" s="8"/>
    </row>
    <row r="460" spans="1:27" ht="19.75">
      <c r="A460" s="8"/>
      <c r="B460" s="7"/>
      <c r="C460" s="8"/>
      <c r="D460" s="8"/>
      <c r="E460" s="11"/>
      <c r="F460" s="8"/>
      <c r="G460" s="8"/>
      <c r="H460" s="8"/>
      <c r="I460" s="8"/>
      <c r="J460" s="8"/>
      <c r="K460" s="8"/>
      <c r="L460" s="8"/>
      <c r="M460" s="8"/>
      <c r="N460" s="8"/>
      <c r="O460" s="8"/>
      <c r="P460" s="8"/>
      <c r="Q460" s="8"/>
      <c r="R460" s="8"/>
      <c r="S460" s="8"/>
      <c r="T460" s="8"/>
      <c r="U460" s="8"/>
      <c r="V460" s="8"/>
      <c r="W460" s="8"/>
      <c r="X460" s="8"/>
      <c r="Y460" s="8"/>
      <c r="Z460" s="8"/>
      <c r="AA460" s="8"/>
    </row>
    <row r="461" spans="1:27" ht="19.75">
      <c r="A461" s="8"/>
      <c r="B461" s="7"/>
      <c r="C461" s="8"/>
      <c r="D461" s="8"/>
      <c r="E461" s="11"/>
      <c r="F461" s="8"/>
      <c r="G461" s="8"/>
      <c r="H461" s="8"/>
      <c r="I461" s="8"/>
      <c r="J461" s="8"/>
      <c r="K461" s="8"/>
      <c r="L461" s="8"/>
      <c r="M461" s="8"/>
      <c r="N461" s="8"/>
      <c r="O461" s="8"/>
      <c r="P461" s="8"/>
      <c r="Q461" s="8"/>
      <c r="R461" s="8"/>
      <c r="S461" s="8"/>
      <c r="T461" s="8"/>
      <c r="U461" s="8"/>
      <c r="V461" s="8"/>
      <c r="W461" s="8"/>
      <c r="X461" s="8"/>
      <c r="Y461" s="8"/>
      <c r="Z461" s="8"/>
      <c r="AA461" s="8"/>
    </row>
    <row r="462" spans="1:27" ht="19.75">
      <c r="A462" s="8"/>
      <c r="B462" s="7"/>
      <c r="C462" s="8"/>
      <c r="D462" s="8"/>
      <c r="E462" s="11"/>
      <c r="F462" s="8"/>
      <c r="G462" s="8"/>
      <c r="H462" s="8"/>
      <c r="I462" s="8"/>
      <c r="J462" s="8"/>
      <c r="K462" s="8"/>
      <c r="L462" s="8"/>
      <c r="M462" s="8"/>
      <c r="N462" s="8"/>
      <c r="O462" s="8"/>
      <c r="P462" s="8"/>
      <c r="Q462" s="8"/>
      <c r="R462" s="8"/>
      <c r="S462" s="8"/>
      <c r="T462" s="8"/>
      <c r="U462" s="8"/>
      <c r="V462" s="8"/>
      <c r="W462" s="8"/>
      <c r="X462" s="8"/>
      <c r="Y462" s="8"/>
      <c r="Z462" s="8"/>
      <c r="AA462" s="8"/>
    </row>
    <row r="463" spans="1:27" ht="19.75">
      <c r="A463" s="8"/>
      <c r="B463" s="7"/>
      <c r="C463" s="8"/>
      <c r="D463" s="8"/>
      <c r="E463" s="11"/>
      <c r="F463" s="8"/>
      <c r="G463" s="8"/>
      <c r="H463" s="8"/>
      <c r="I463" s="8"/>
      <c r="J463" s="8"/>
      <c r="K463" s="8"/>
      <c r="L463" s="8"/>
      <c r="M463" s="8"/>
      <c r="N463" s="8"/>
      <c r="O463" s="8"/>
      <c r="P463" s="8"/>
      <c r="Q463" s="8"/>
      <c r="R463" s="8"/>
      <c r="S463" s="8"/>
      <c r="T463" s="8"/>
      <c r="U463" s="8"/>
      <c r="V463" s="8"/>
      <c r="W463" s="8"/>
      <c r="X463" s="8"/>
      <c r="Y463" s="8"/>
      <c r="Z463" s="8"/>
      <c r="AA463" s="8"/>
    </row>
    <row r="464" spans="1:27" ht="19.75">
      <c r="A464" s="8"/>
      <c r="B464" s="7"/>
      <c r="C464" s="8"/>
      <c r="D464" s="8"/>
      <c r="E464" s="11"/>
      <c r="F464" s="8"/>
      <c r="G464" s="8"/>
      <c r="H464" s="8"/>
      <c r="I464" s="8"/>
      <c r="J464" s="8"/>
      <c r="K464" s="8"/>
      <c r="L464" s="8"/>
      <c r="M464" s="8"/>
      <c r="N464" s="8"/>
      <c r="O464" s="8"/>
      <c r="P464" s="8"/>
      <c r="Q464" s="8"/>
      <c r="R464" s="8"/>
      <c r="S464" s="8"/>
      <c r="T464" s="8"/>
      <c r="U464" s="8"/>
      <c r="V464" s="8"/>
      <c r="W464" s="8"/>
      <c r="X464" s="8"/>
      <c r="Y464" s="8"/>
      <c r="Z464" s="8"/>
      <c r="AA464" s="8"/>
    </row>
    <row r="465" spans="1:27" ht="19.75">
      <c r="A465" s="8"/>
      <c r="B465" s="7"/>
      <c r="C465" s="8"/>
      <c r="D465" s="8"/>
      <c r="E465" s="11"/>
      <c r="F465" s="8"/>
      <c r="G465" s="8"/>
      <c r="H465" s="8"/>
      <c r="I465" s="8"/>
      <c r="J465" s="8"/>
      <c r="K465" s="8"/>
      <c r="L465" s="8"/>
      <c r="M465" s="8"/>
      <c r="N465" s="8"/>
      <c r="O465" s="8"/>
      <c r="P465" s="8"/>
      <c r="Q465" s="8"/>
      <c r="R465" s="8"/>
      <c r="S465" s="8"/>
      <c r="T465" s="8"/>
      <c r="U465" s="8"/>
      <c r="V465" s="8"/>
      <c r="W465" s="8"/>
      <c r="X465" s="8"/>
      <c r="Y465" s="8"/>
      <c r="Z465" s="8"/>
      <c r="AA465" s="8"/>
    </row>
    <row r="466" spans="1:27" ht="19.75">
      <c r="A466" s="8"/>
      <c r="B466" s="7"/>
      <c r="C466" s="8"/>
      <c r="D466" s="8"/>
      <c r="E466" s="11"/>
      <c r="F466" s="8"/>
      <c r="G466" s="8"/>
      <c r="H466" s="8"/>
      <c r="I466" s="8"/>
      <c r="J466" s="8"/>
      <c r="K466" s="8"/>
      <c r="L466" s="8"/>
      <c r="M466" s="8"/>
      <c r="N466" s="8"/>
      <c r="O466" s="8"/>
      <c r="P466" s="8"/>
      <c r="Q466" s="8"/>
      <c r="R466" s="8"/>
      <c r="S466" s="8"/>
      <c r="T466" s="8"/>
      <c r="U466" s="8"/>
      <c r="V466" s="8"/>
      <c r="W466" s="8"/>
      <c r="X466" s="8"/>
      <c r="Y466" s="8"/>
      <c r="Z466" s="8"/>
      <c r="AA466" s="8"/>
    </row>
    <row r="467" spans="1:27" ht="19.75">
      <c r="A467" s="8"/>
      <c r="B467" s="7"/>
      <c r="C467" s="8"/>
      <c r="D467" s="8"/>
      <c r="E467" s="11"/>
      <c r="F467" s="8"/>
      <c r="G467" s="8"/>
      <c r="H467" s="8"/>
      <c r="I467" s="8"/>
      <c r="J467" s="8"/>
      <c r="K467" s="8"/>
      <c r="L467" s="8"/>
      <c r="M467" s="8"/>
      <c r="N467" s="8"/>
      <c r="O467" s="8"/>
      <c r="P467" s="8"/>
      <c r="Q467" s="8"/>
      <c r="R467" s="8"/>
      <c r="S467" s="8"/>
      <c r="T467" s="8"/>
      <c r="U467" s="8"/>
      <c r="V467" s="8"/>
      <c r="W467" s="8"/>
      <c r="X467" s="8"/>
      <c r="Y467" s="8"/>
      <c r="Z467" s="8"/>
      <c r="AA467" s="8"/>
    </row>
    <row r="468" spans="1:27" ht="19.75">
      <c r="A468" s="8"/>
      <c r="B468" s="7"/>
      <c r="C468" s="8"/>
      <c r="D468" s="8"/>
      <c r="E468" s="11"/>
      <c r="F468" s="8"/>
      <c r="G468" s="8"/>
      <c r="H468" s="8"/>
      <c r="I468" s="8"/>
      <c r="J468" s="8"/>
      <c r="K468" s="8"/>
      <c r="L468" s="8"/>
      <c r="M468" s="8"/>
      <c r="N468" s="8"/>
      <c r="O468" s="8"/>
      <c r="P468" s="8"/>
      <c r="Q468" s="8"/>
      <c r="R468" s="8"/>
      <c r="S468" s="8"/>
      <c r="T468" s="8"/>
      <c r="U468" s="8"/>
      <c r="V468" s="8"/>
      <c r="W468" s="8"/>
      <c r="X468" s="8"/>
      <c r="Y468" s="8"/>
      <c r="Z468" s="8"/>
      <c r="AA468" s="8"/>
    </row>
    <row r="469" spans="1:27" ht="19.75">
      <c r="A469" s="8"/>
      <c r="B469" s="7"/>
      <c r="C469" s="8"/>
      <c r="D469" s="8"/>
      <c r="E469" s="11"/>
      <c r="F469" s="8"/>
      <c r="G469" s="8"/>
      <c r="H469" s="8"/>
      <c r="I469" s="8"/>
      <c r="J469" s="8"/>
      <c r="K469" s="8"/>
      <c r="L469" s="8"/>
      <c r="M469" s="8"/>
      <c r="N469" s="8"/>
      <c r="O469" s="8"/>
      <c r="P469" s="8"/>
      <c r="Q469" s="8"/>
      <c r="R469" s="8"/>
      <c r="S469" s="8"/>
      <c r="T469" s="8"/>
      <c r="U469" s="8"/>
      <c r="V469" s="8"/>
      <c r="W469" s="8"/>
      <c r="X469" s="8"/>
      <c r="Y469" s="8"/>
      <c r="Z469" s="8"/>
      <c r="AA469" s="8"/>
    </row>
    <row r="470" spans="1:27" ht="19.75">
      <c r="A470" s="8"/>
      <c r="B470" s="7"/>
      <c r="C470" s="8"/>
      <c r="D470" s="8"/>
      <c r="E470" s="11"/>
      <c r="F470" s="8"/>
      <c r="G470" s="8"/>
      <c r="H470" s="8"/>
      <c r="I470" s="8"/>
      <c r="J470" s="8"/>
      <c r="K470" s="8"/>
      <c r="L470" s="8"/>
      <c r="M470" s="8"/>
      <c r="N470" s="8"/>
      <c r="O470" s="8"/>
      <c r="P470" s="8"/>
      <c r="Q470" s="8"/>
      <c r="R470" s="8"/>
      <c r="S470" s="8"/>
      <c r="T470" s="8"/>
      <c r="U470" s="8"/>
      <c r="V470" s="8"/>
      <c r="W470" s="8"/>
      <c r="X470" s="8"/>
      <c r="Y470" s="8"/>
      <c r="Z470" s="8"/>
      <c r="AA470" s="8"/>
    </row>
    <row r="471" spans="1:27" ht="19.75">
      <c r="A471" s="8"/>
      <c r="B471" s="7"/>
      <c r="C471" s="8"/>
      <c r="D471" s="8"/>
      <c r="E471" s="11"/>
      <c r="F471" s="8"/>
      <c r="G471" s="8"/>
      <c r="H471" s="8"/>
      <c r="I471" s="8"/>
      <c r="J471" s="8"/>
      <c r="K471" s="8"/>
      <c r="L471" s="8"/>
      <c r="M471" s="8"/>
      <c r="N471" s="8"/>
      <c r="O471" s="8"/>
      <c r="P471" s="8"/>
      <c r="Q471" s="8"/>
      <c r="R471" s="8"/>
      <c r="S471" s="8"/>
      <c r="T471" s="8"/>
      <c r="U471" s="8"/>
      <c r="V471" s="8"/>
      <c r="W471" s="8"/>
      <c r="X471" s="8"/>
      <c r="Y471" s="8"/>
      <c r="Z471" s="8"/>
      <c r="AA471" s="8"/>
    </row>
    <row r="472" spans="1:27" ht="19.75">
      <c r="A472" s="8"/>
      <c r="B472" s="7"/>
      <c r="C472" s="8"/>
      <c r="D472" s="8"/>
      <c r="E472" s="11"/>
      <c r="F472" s="8"/>
      <c r="G472" s="8"/>
      <c r="H472" s="8"/>
      <c r="I472" s="8"/>
      <c r="J472" s="8"/>
      <c r="K472" s="8"/>
      <c r="L472" s="8"/>
      <c r="M472" s="8"/>
      <c r="N472" s="8"/>
      <c r="O472" s="8"/>
      <c r="P472" s="8"/>
      <c r="Q472" s="8"/>
      <c r="R472" s="8"/>
      <c r="S472" s="8"/>
      <c r="T472" s="8"/>
      <c r="U472" s="8"/>
      <c r="V472" s="8"/>
      <c r="W472" s="8"/>
      <c r="X472" s="8"/>
      <c r="Y472" s="8"/>
      <c r="Z472" s="8"/>
      <c r="AA472" s="8"/>
    </row>
    <row r="473" spans="1:27" ht="19.75">
      <c r="A473" s="8"/>
      <c r="B473" s="7"/>
      <c r="C473" s="8"/>
      <c r="D473" s="8"/>
      <c r="E473" s="11"/>
      <c r="F473" s="8"/>
      <c r="G473" s="8"/>
      <c r="H473" s="8"/>
      <c r="I473" s="8"/>
      <c r="J473" s="8"/>
      <c r="K473" s="8"/>
      <c r="L473" s="8"/>
      <c r="M473" s="8"/>
      <c r="N473" s="8"/>
      <c r="O473" s="8"/>
      <c r="P473" s="8"/>
      <c r="Q473" s="8"/>
      <c r="R473" s="8"/>
      <c r="S473" s="8"/>
      <c r="T473" s="8"/>
      <c r="U473" s="8"/>
      <c r="V473" s="8"/>
      <c r="W473" s="8"/>
      <c r="X473" s="8"/>
      <c r="Y473" s="8"/>
      <c r="Z473" s="8"/>
      <c r="AA473" s="8"/>
    </row>
    <row r="474" spans="1:27" ht="19.75">
      <c r="A474" s="8"/>
      <c r="B474" s="7"/>
      <c r="C474" s="8"/>
      <c r="D474" s="8"/>
      <c r="E474" s="11"/>
      <c r="F474" s="8"/>
      <c r="G474" s="8"/>
      <c r="H474" s="8"/>
      <c r="I474" s="8"/>
      <c r="J474" s="8"/>
      <c r="K474" s="8"/>
      <c r="L474" s="8"/>
      <c r="M474" s="8"/>
      <c r="N474" s="8"/>
      <c r="O474" s="8"/>
      <c r="P474" s="8"/>
      <c r="Q474" s="8"/>
      <c r="R474" s="8"/>
      <c r="S474" s="8"/>
      <c r="T474" s="8"/>
      <c r="U474" s="8"/>
      <c r="V474" s="8"/>
      <c r="W474" s="8"/>
      <c r="X474" s="8"/>
      <c r="Y474" s="8"/>
      <c r="Z474" s="8"/>
      <c r="AA474" s="8"/>
    </row>
    <row r="475" spans="1:27" ht="19.75">
      <c r="A475" s="8"/>
      <c r="B475" s="7"/>
      <c r="C475" s="8"/>
      <c r="D475" s="8"/>
      <c r="E475" s="11"/>
      <c r="F475" s="8"/>
      <c r="G475" s="8"/>
      <c r="H475" s="8"/>
      <c r="I475" s="8"/>
      <c r="J475" s="8"/>
      <c r="K475" s="8"/>
      <c r="L475" s="8"/>
      <c r="M475" s="8"/>
      <c r="N475" s="8"/>
      <c r="O475" s="8"/>
      <c r="P475" s="8"/>
      <c r="Q475" s="8"/>
      <c r="R475" s="8"/>
      <c r="S475" s="8"/>
      <c r="T475" s="8"/>
      <c r="U475" s="8"/>
      <c r="V475" s="8"/>
      <c r="W475" s="8"/>
      <c r="X475" s="8"/>
      <c r="Y475" s="8"/>
      <c r="Z475" s="8"/>
      <c r="AA475" s="8"/>
    </row>
    <row r="476" spans="1:27" ht="19.75">
      <c r="A476" s="8"/>
      <c r="B476" s="7"/>
      <c r="C476" s="8"/>
      <c r="D476" s="8"/>
      <c r="E476" s="11"/>
      <c r="F476" s="8"/>
      <c r="G476" s="8"/>
      <c r="H476" s="8"/>
      <c r="I476" s="8"/>
      <c r="J476" s="8"/>
      <c r="K476" s="8"/>
      <c r="L476" s="8"/>
      <c r="M476" s="8"/>
      <c r="N476" s="8"/>
      <c r="O476" s="8"/>
      <c r="P476" s="8"/>
      <c r="Q476" s="8"/>
      <c r="R476" s="8"/>
      <c r="S476" s="8"/>
      <c r="T476" s="8"/>
      <c r="U476" s="8"/>
      <c r="V476" s="8"/>
      <c r="W476" s="8"/>
      <c r="X476" s="8"/>
      <c r="Y476" s="8"/>
      <c r="Z476" s="8"/>
      <c r="AA476" s="8"/>
    </row>
    <row r="477" spans="1:27" ht="19.75">
      <c r="A477" s="8"/>
      <c r="B477" s="7"/>
      <c r="C477" s="8"/>
      <c r="D477" s="8"/>
      <c r="E477" s="11"/>
      <c r="F477" s="8"/>
      <c r="G477" s="8"/>
      <c r="H477" s="8"/>
      <c r="I477" s="8"/>
      <c r="J477" s="8"/>
      <c r="K477" s="8"/>
      <c r="L477" s="8"/>
      <c r="M477" s="8"/>
      <c r="N477" s="8"/>
      <c r="O477" s="8"/>
      <c r="P477" s="8"/>
      <c r="Q477" s="8"/>
      <c r="R477" s="8"/>
      <c r="S477" s="8"/>
      <c r="T477" s="8"/>
      <c r="U477" s="8"/>
      <c r="V477" s="8"/>
      <c r="W477" s="8"/>
      <c r="X477" s="8"/>
      <c r="Y477" s="8"/>
      <c r="Z477" s="8"/>
      <c r="AA477" s="8"/>
    </row>
    <row r="478" spans="1:27" ht="19.75">
      <c r="A478" s="8"/>
      <c r="B478" s="7"/>
      <c r="C478" s="8"/>
      <c r="D478" s="8"/>
      <c r="E478" s="11"/>
      <c r="F478" s="8"/>
      <c r="G478" s="8"/>
      <c r="H478" s="8"/>
      <c r="I478" s="8"/>
      <c r="J478" s="8"/>
      <c r="K478" s="8"/>
      <c r="L478" s="8"/>
      <c r="M478" s="8"/>
      <c r="N478" s="8"/>
      <c r="O478" s="8"/>
      <c r="P478" s="8"/>
      <c r="Q478" s="8"/>
      <c r="R478" s="8"/>
      <c r="S478" s="8"/>
      <c r="T478" s="8"/>
      <c r="U478" s="8"/>
      <c r="V478" s="8"/>
      <c r="W478" s="8"/>
      <c r="X478" s="8"/>
      <c r="Y478" s="8"/>
      <c r="Z478" s="8"/>
      <c r="AA478" s="8"/>
    </row>
    <row r="479" spans="1:27" ht="19.75">
      <c r="A479" s="8"/>
      <c r="B479" s="7"/>
      <c r="C479" s="8"/>
      <c r="D479" s="8"/>
      <c r="E479" s="11"/>
      <c r="F479" s="8"/>
      <c r="G479" s="8"/>
      <c r="H479" s="8"/>
      <c r="I479" s="8"/>
      <c r="J479" s="8"/>
      <c r="K479" s="8"/>
      <c r="L479" s="8"/>
      <c r="M479" s="8"/>
      <c r="N479" s="8"/>
      <c r="O479" s="8"/>
      <c r="P479" s="8"/>
      <c r="Q479" s="8"/>
      <c r="R479" s="8"/>
      <c r="S479" s="8"/>
      <c r="T479" s="8"/>
      <c r="U479" s="8"/>
      <c r="V479" s="8"/>
      <c r="W479" s="8"/>
      <c r="X479" s="8"/>
      <c r="Y479" s="8"/>
      <c r="Z479" s="8"/>
      <c r="AA479" s="8"/>
    </row>
    <row r="480" spans="1:27" ht="19.75">
      <c r="A480" s="8"/>
      <c r="B480" s="7"/>
      <c r="C480" s="8"/>
      <c r="D480" s="8"/>
      <c r="E480" s="11"/>
      <c r="F480" s="8"/>
      <c r="G480" s="8"/>
      <c r="H480" s="8"/>
      <c r="I480" s="8"/>
      <c r="J480" s="8"/>
      <c r="K480" s="8"/>
      <c r="L480" s="8"/>
      <c r="M480" s="8"/>
      <c r="N480" s="8"/>
      <c r="O480" s="8"/>
      <c r="P480" s="8"/>
      <c r="Q480" s="8"/>
      <c r="R480" s="8"/>
      <c r="S480" s="8"/>
      <c r="T480" s="8"/>
      <c r="U480" s="8"/>
      <c r="V480" s="8"/>
      <c r="W480" s="8"/>
      <c r="X480" s="8"/>
      <c r="Y480" s="8"/>
      <c r="Z480" s="8"/>
      <c r="AA480" s="8"/>
    </row>
    <row r="481" spans="1:27" ht="19.75">
      <c r="A481" s="8"/>
      <c r="B481" s="7"/>
      <c r="C481" s="8"/>
      <c r="D481" s="8"/>
      <c r="E481" s="11"/>
      <c r="F481" s="8"/>
      <c r="G481" s="8"/>
      <c r="H481" s="8"/>
      <c r="I481" s="8"/>
      <c r="J481" s="8"/>
      <c r="K481" s="8"/>
      <c r="L481" s="8"/>
      <c r="M481" s="8"/>
      <c r="N481" s="8"/>
      <c r="O481" s="8"/>
      <c r="P481" s="8"/>
      <c r="Q481" s="8"/>
      <c r="R481" s="8"/>
      <c r="S481" s="8"/>
      <c r="T481" s="8"/>
      <c r="U481" s="8"/>
      <c r="V481" s="8"/>
      <c r="W481" s="8"/>
      <c r="X481" s="8"/>
      <c r="Y481" s="8"/>
      <c r="Z481" s="8"/>
      <c r="AA481" s="8"/>
    </row>
    <row r="482" spans="1:27" ht="19.75">
      <c r="A482" s="8"/>
      <c r="B482" s="7"/>
      <c r="C482" s="8"/>
      <c r="D482" s="8"/>
      <c r="E482" s="11"/>
      <c r="F482" s="8"/>
      <c r="G482" s="8"/>
      <c r="H482" s="8"/>
      <c r="I482" s="8"/>
      <c r="J482" s="8"/>
      <c r="K482" s="8"/>
      <c r="L482" s="8"/>
      <c r="M482" s="8"/>
      <c r="N482" s="8"/>
      <c r="O482" s="8"/>
      <c r="P482" s="8"/>
      <c r="Q482" s="8"/>
      <c r="R482" s="8"/>
      <c r="S482" s="8"/>
      <c r="T482" s="8"/>
      <c r="U482" s="8"/>
      <c r="V482" s="8"/>
      <c r="W482" s="8"/>
      <c r="X482" s="8"/>
      <c r="Y482" s="8"/>
      <c r="Z482" s="8"/>
      <c r="AA482" s="8"/>
    </row>
    <row r="483" spans="1:27" ht="19.75">
      <c r="A483" s="8"/>
      <c r="B483" s="7"/>
      <c r="C483" s="8"/>
      <c r="D483" s="8"/>
      <c r="E483" s="11"/>
      <c r="F483" s="8"/>
      <c r="G483" s="8"/>
      <c r="H483" s="8"/>
      <c r="I483" s="8"/>
      <c r="J483" s="8"/>
      <c r="K483" s="8"/>
      <c r="L483" s="8"/>
      <c r="M483" s="8"/>
      <c r="N483" s="8"/>
      <c r="O483" s="8"/>
      <c r="P483" s="8"/>
      <c r="Q483" s="8"/>
      <c r="R483" s="8"/>
      <c r="S483" s="8"/>
      <c r="T483" s="8"/>
      <c r="U483" s="8"/>
      <c r="V483" s="8"/>
      <c r="W483" s="8"/>
      <c r="X483" s="8"/>
      <c r="Y483" s="8"/>
      <c r="Z483" s="8"/>
      <c r="AA483" s="8"/>
    </row>
    <row r="484" spans="1:27" ht="19.75">
      <c r="A484" s="8"/>
      <c r="B484" s="7"/>
      <c r="C484" s="8"/>
      <c r="D484" s="8"/>
      <c r="E484" s="11"/>
      <c r="F484" s="8"/>
      <c r="G484" s="8"/>
      <c r="H484" s="8"/>
      <c r="I484" s="8"/>
      <c r="J484" s="8"/>
      <c r="K484" s="8"/>
      <c r="L484" s="8"/>
      <c r="M484" s="8"/>
      <c r="N484" s="8"/>
      <c r="O484" s="8"/>
      <c r="P484" s="8"/>
      <c r="Q484" s="8"/>
      <c r="R484" s="8"/>
      <c r="S484" s="8"/>
      <c r="T484" s="8"/>
      <c r="U484" s="8"/>
      <c r="V484" s="8"/>
      <c r="W484" s="8"/>
      <c r="X484" s="8"/>
      <c r="Y484" s="8"/>
      <c r="Z484" s="8"/>
      <c r="AA484" s="8"/>
    </row>
    <row r="485" spans="1:27" ht="19.75">
      <c r="A485" s="8"/>
      <c r="B485" s="7"/>
      <c r="C485" s="8"/>
      <c r="D485" s="8"/>
      <c r="E485" s="11"/>
      <c r="F485" s="8"/>
      <c r="G485" s="8"/>
      <c r="H485" s="8"/>
      <c r="I485" s="8"/>
      <c r="J485" s="8"/>
      <c r="K485" s="8"/>
      <c r="L485" s="8"/>
      <c r="M485" s="8"/>
      <c r="N485" s="8"/>
      <c r="O485" s="8"/>
      <c r="P485" s="8"/>
      <c r="Q485" s="8"/>
      <c r="R485" s="8"/>
      <c r="S485" s="8"/>
      <c r="T485" s="8"/>
      <c r="U485" s="8"/>
      <c r="V485" s="8"/>
      <c r="W485" s="8"/>
      <c r="X485" s="8"/>
      <c r="Y485" s="8"/>
      <c r="Z485" s="8"/>
      <c r="AA485" s="8"/>
    </row>
    <row r="486" spans="1:27" ht="19.75">
      <c r="A486" s="8"/>
      <c r="B486" s="7"/>
      <c r="C486" s="8"/>
      <c r="D486" s="8"/>
      <c r="E486" s="11"/>
      <c r="F486" s="8"/>
      <c r="G486" s="8"/>
      <c r="H486" s="8"/>
      <c r="I486" s="8"/>
      <c r="J486" s="8"/>
      <c r="K486" s="8"/>
      <c r="L486" s="8"/>
      <c r="M486" s="8"/>
      <c r="N486" s="8"/>
      <c r="O486" s="8"/>
      <c r="P486" s="8"/>
      <c r="Q486" s="8"/>
      <c r="R486" s="8"/>
      <c r="S486" s="8"/>
      <c r="T486" s="8"/>
      <c r="U486" s="8"/>
      <c r="V486" s="8"/>
      <c r="W486" s="8"/>
      <c r="X486" s="8"/>
      <c r="Y486" s="8"/>
      <c r="Z486" s="8"/>
      <c r="AA486" s="8"/>
    </row>
    <row r="487" spans="1:27" ht="19.75">
      <c r="A487" s="8"/>
      <c r="B487" s="7"/>
      <c r="C487" s="8"/>
      <c r="D487" s="8"/>
      <c r="E487" s="11"/>
      <c r="F487" s="8"/>
      <c r="G487" s="8"/>
      <c r="H487" s="8"/>
      <c r="I487" s="8"/>
      <c r="J487" s="8"/>
      <c r="K487" s="8"/>
      <c r="L487" s="8"/>
      <c r="M487" s="8"/>
      <c r="N487" s="8"/>
      <c r="O487" s="8"/>
      <c r="P487" s="8"/>
      <c r="Q487" s="8"/>
      <c r="R487" s="8"/>
      <c r="S487" s="8"/>
      <c r="T487" s="8"/>
      <c r="U487" s="8"/>
      <c r="V487" s="8"/>
      <c r="W487" s="8"/>
      <c r="X487" s="8"/>
      <c r="Y487" s="8"/>
      <c r="Z487" s="8"/>
      <c r="AA487" s="8"/>
    </row>
    <row r="488" spans="1:27" ht="19.75">
      <c r="A488" s="8"/>
      <c r="B488" s="7"/>
      <c r="C488" s="8"/>
      <c r="D488" s="8"/>
      <c r="E488" s="11"/>
      <c r="F488" s="8"/>
      <c r="G488" s="8"/>
      <c r="H488" s="8"/>
      <c r="I488" s="8"/>
      <c r="J488" s="8"/>
      <c r="K488" s="8"/>
      <c r="L488" s="8"/>
      <c r="M488" s="8"/>
      <c r="N488" s="8"/>
      <c r="O488" s="8"/>
      <c r="P488" s="8"/>
      <c r="Q488" s="8"/>
      <c r="R488" s="8"/>
      <c r="S488" s="8"/>
      <c r="T488" s="8"/>
      <c r="U488" s="8"/>
      <c r="V488" s="8"/>
      <c r="W488" s="8"/>
      <c r="X488" s="8"/>
      <c r="Y488" s="8"/>
      <c r="Z488" s="8"/>
      <c r="AA488" s="8"/>
    </row>
    <row r="489" spans="1:27" ht="19.75">
      <c r="A489" s="8"/>
      <c r="B489" s="7"/>
      <c r="C489" s="8"/>
      <c r="D489" s="8"/>
      <c r="E489" s="11"/>
      <c r="F489" s="8"/>
      <c r="G489" s="8"/>
      <c r="H489" s="8"/>
      <c r="I489" s="8"/>
      <c r="J489" s="8"/>
      <c r="K489" s="8"/>
      <c r="L489" s="8"/>
      <c r="M489" s="8"/>
      <c r="N489" s="8"/>
      <c r="O489" s="8"/>
      <c r="P489" s="8"/>
      <c r="Q489" s="8"/>
      <c r="R489" s="8"/>
      <c r="S489" s="8"/>
      <c r="T489" s="8"/>
      <c r="U489" s="8"/>
      <c r="V489" s="8"/>
      <c r="W489" s="8"/>
      <c r="X489" s="8"/>
      <c r="Y489" s="8"/>
      <c r="Z489" s="8"/>
      <c r="AA489" s="8"/>
    </row>
    <row r="490" spans="1:27" ht="19.75">
      <c r="A490" s="8"/>
      <c r="B490" s="7"/>
      <c r="C490" s="8"/>
      <c r="D490" s="8"/>
      <c r="E490" s="11"/>
      <c r="F490" s="8"/>
      <c r="G490" s="8"/>
      <c r="H490" s="8"/>
      <c r="I490" s="8"/>
      <c r="J490" s="8"/>
      <c r="K490" s="8"/>
      <c r="L490" s="8"/>
      <c r="M490" s="8"/>
      <c r="N490" s="8"/>
      <c r="O490" s="8"/>
      <c r="P490" s="8"/>
      <c r="Q490" s="8"/>
      <c r="R490" s="8"/>
      <c r="S490" s="8"/>
      <c r="T490" s="8"/>
      <c r="U490" s="8"/>
      <c r="V490" s="8"/>
      <c r="W490" s="8"/>
      <c r="X490" s="8"/>
      <c r="Y490" s="8"/>
      <c r="Z490" s="8"/>
      <c r="AA490" s="8"/>
    </row>
    <row r="491" spans="1:27" ht="19.75">
      <c r="A491" s="8"/>
      <c r="B491" s="7"/>
      <c r="C491" s="8"/>
      <c r="D491" s="8"/>
      <c r="E491" s="11"/>
      <c r="F491" s="8"/>
      <c r="G491" s="8"/>
      <c r="H491" s="8"/>
      <c r="I491" s="8"/>
      <c r="J491" s="8"/>
      <c r="K491" s="8"/>
      <c r="L491" s="8"/>
      <c r="M491" s="8"/>
      <c r="N491" s="8"/>
      <c r="O491" s="8"/>
      <c r="P491" s="8"/>
      <c r="Q491" s="8"/>
      <c r="R491" s="8"/>
      <c r="S491" s="8"/>
      <c r="T491" s="8"/>
      <c r="U491" s="8"/>
      <c r="V491" s="8"/>
      <c r="W491" s="8"/>
      <c r="X491" s="8"/>
      <c r="Y491" s="8"/>
      <c r="Z491" s="8"/>
      <c r="AA491" s="8"/>
    </row>
    <row r="492" spans="1:27" ht="19.75">
      <c r="A492" s="8"/>
      <c r="B492" s="7"/>
      <c r="C492" s="8"/>
      <c r="D492" s="8"/>
      <c r="E492" s="11"/>
      <c r="F492" s="8"/>
      <c r="G492" s="8"/>
      <c r="H492" s="8"/>
      <c r="I492" s="8"/>
      <c r="J492" s="8"/>
      <c r="K492" s="8"/>
      <c r="L492" s="8"/>
      <c r="M492" s="8"/>
      <c r="N492" s="8"/>
      <c r="O492" s="8"/>
      <c r="P492" s="8"/>
      <c r="Q492" s="8"/>
      <c r="R492" s="8"/>
      <c r="S492" s="8"/>
      <c r="T492" s="8"/>
      <c r="U492" s="8"/>
      <c r="V492" s="8"/>
      <c r="W492" s="8"/>
      <c r="X492" s="8"/>
      <c r="Y492" s="8"/>
      <c r="Z492" s="8"/>
      <c r="AA492" s="8"/>
    </row>
    <row r="493" spans="1:27" ht="19.75">
      <c r="A493" s="8"/>
      <c r="B493" s="7"/>
      <c r="C493" s="8"/>
      <c r="D493" s="8"/>
      <c r="E493" s="11"/>
      <c r="F493" s="8"/>
      <c r="G493" s="8"/>
      <c r="H493" s="8"/>
      <c r="I493" s="8"/>
      <c r="J493" s="8"/>
      <c r="K493" s="8"/>
      <c r="L493" s="8"/>
      <c r="M493" s="8"/>
      <c r="N493" s="8"/>
      <c r="O493" s="8"/>
      <c r="P493" s="8"/>
      <c r="Q493" s="8"/>
      <c r="R493" s="8"/>
      <c r="S493" s="8"/>
      <c r="T493" s="8"/>
      <c r="U493" s="8"/>
      <c r="V493" s="8"/>
      <c r="W493" s="8"/>
      <c r="X493" s="8"/>
      <c r="Y493" s="8"/>
      <c r="Z493" s="8"/>
      <c r="AA493" s="8"/>
    </row>
    <row r="494" spans="1:27" ht="19.75">
      <c r="A494" s="8"/>
      <c r="B494" s="7"/>
      <c r="C494" s="8"/>
      <c r="D494" s="8"/>
      <c r="E494" s="11"/>
      <c r="F494" s="8"/>
      <c r="G494" s="8"/>
      <c r="H494" s="8"/>
      <c r="I494" s="8"/>
      <c r="J494" s="8"/>
      <c r="K494" s="8"/>
      <c r="L494" s="8"/>
      <c r="M494" s="8"/>
      <c r="N494" s="8"/>
      <c r="O494" s="8"/>
      <c r="P494" s="8"/>
      <c r="Q494" s="8"/>
      <c r="R494" s="8"/>
      <c r="S494" s="8"/>
      <c r="T494" s="8"/>
      <c r="U494" s="8"/>
      <c r="V494" s="8"/>
      <c r="W494" s="8"/>
      <c r="X494" s="8"/>
      <c r="Y494" s="8"/>
      <c r="Z494" s="8"/>
      <c r="AA494" s="8"/>
    </row>
    <row r="495" spans="1:27" ht="19.75">
      <c r="A495" s="8"/>
      <c r="B495" s="7"/>
      <c r="C495" s="8"/>
      <c r="D495" s="8"/>
      <c r="E495" s="11"/>
      <c r="F495" s="8"/>
      <c r="G495" s="8"/>
      <c r="H495" s="8"/>
      <c r="I495" s="8"/>
      <c r="J495" s="8"/>
      <c r="K495" s="8"/>
      <c r="L495" s="8"/>
      <c r="M495" s="8"/>
      <c r="N495" s="8"/>
      <c r="O495" s="8"/>
      <c r="P495" s="8"/>
      <c r="Q495" s="8"/>
      <c r="R495" s="8"/>
      <c r="S495" s="8"/>
      <c r="T495" s="8"/>
      <c r="U495" s="8"/>
      <c r="V495" s="8"/>
      <c r="W495" s="8"/>
      <c r="X495" s="8"/>
      <c r="Y495" s="8"/>
      <c r="Z495" s="8"/>
      <c r="AA495" s="8"/>
    </row>
    <row r="496" spans="1:27" ht="19.75">
      <c r="A496" s="8"/>
      <c r="B496" s="7"/>
      <c r="C496" s="8"/>
      <c r="D496" s="8"/>
      <c r="E496" s="11"/>
      <c r="F496" s="8"/>
      <c r="G496" s="8"/>
      <c r="H496" s="8"/>
      <c r="I496" s="8"/>
      <c r="J496" s="8"/>
      <c r="K496" s="8"/>
      <c r="L496" s="8"/>
      <c r="M496" s="8"/>
      <c r="N496" s="8"/>
      <c r="O496" s="8"/>
      <c r="P496" s="8"/>
      <c r="Q496" s="8"/>
      <c r="R496" s="8"/>
      <c r="S496" s="8"/>
      <c r="T496" s="8"/>
      <c r="U496" s="8"/>
      <c r="V496" s="8"/>
      <c r="W496" s="8"/>
      <c r="X496" s="8"/>
      <c r="Y496" s="8"/>
      <c r="Z496" s="8"/>
      <c r="AA496" s="8"/>
    </row>
    <row r="497" spans="1:27" ht="19.75">
      <c r="A497" s="8"/>
      <c r="B497" s="7"/>
      <c r="C497" s="8"/>
      <c r="D497" s="8"/>
      <c r="E497" s="11"/>
      <c r="F497" s="8"/>
      <c r="G497" s="8"/>
      <c r="H497" s="8"/>
      <c r="I497" s="8"/>
      <c r="J497" s="8"/>
      <c r="K497" s="8"/>
      <c r="L497" s="8"/>
      <c r="M497" s="8"/>
      <c r="N497" s="8"/>
      <c r="O497" s="8"/>
      <c r="P497" s="8"/>
      <c r="Q497" s="8"/>
      <c r="R497" s="8"/>
      <c r="S497" s="8"/>
      <c r="T497" s="8"/>
      <c r="U497" s="8"/>
      <c r="V497" s="8"/>
      <c r="W497" s="8"/>
      <c r="X497" s="8"/>
      <c r="Y497" s="8"/>
      <c r="Z497" s="8"/>
      <c r="AA497" s="8"/>
    </row>
    <row r="498" spans="1:27" ht="19.75">
      <c r="A498" s="8"/>
      <c r="B498" s="7"/>
      <c r="C498" s="8"/>
      <c r="D498" s="8"/>
      <c r="E498" s="11"/>
      <c r="F498" s="8"/>
      <c r="G498" s="8"/>
      <c r="H498" s="8"/>
      <c r="I498" s="8"/>
      <c r="J498" s="8"/>
      <c r="K498" s="8"/>
      <c r="L498" s="8"/>
      <c r="M498" s="8"/>
      <c r="N498" s="8"/>
      <c r="O498" s="8"/>
      <c r="P498" s="8"/>
      <c r="Q498" s="8"/>
      <c r="R498" s="8"/>
      <c r="S498" s="8"/>
      <c r="T498" s="8"/>
      <c r="U498" s="8"/>
      <c r="V498" s="8"/>
      <c r="W498" s="8"/>
      <c r="X498" s="8"/>
      <c r="Y498" s="8"/>
      <c r="Z498" s="8"/>
      <c r="AA498" s="8"/>
    </row>
    <row r="499" spans="1:27" ht="19.75">
      <c r="A499" s="8"/>
      <c r="B499" s="7"/>
      <c r="C499" s="8"/>
      <c r="D499" s="8"/>
      <c r="E499" s="11"/>
      <c r="F499" s="8"/>
      <c r="G499" s="8"/>
      <c r="H499" s="8"/>
      <c r="I499" s="8"/>
      <c r="J499" s="8"/>
      <c r="K499" s="8"/>
      <c r="L499" s="8"/>
      <c r="M499" s="8"/>
      <c r="N499" s="8"/>
      <c r="O499" s="8"/>
      <c r="P499" s="8"/>
      <c r="Q499" s="8"/>
      <c r="R499" s="8"/>
      <c r="S499" s="8"/>
      <c r="T499" s="8"/>
      <c r="U499" s="8"/>
      <c r="V499" s="8"/>
      <c r="W499" s="8"/>
      <c r="X499" s="8"/>
      <c r="Y499" s="8"/>
      <c r="Z499" s="8"/>
      <c r="AA499" s="8"/>
    </row>
    <row r="500" spans="1:27" ht="19.75">
      <c r="A500" s="8"/>
      <c r="B500" s="7"/>
      <c r="C500" s="8"/>
      <c r="D500" s="8"/>
      <c r="E500" s="11"/>
      <c r="F500" s="8"/>
      <c r="G500" s="8"/>
      <c r="H500" s="8"/>
      <c r="I500" s="8"/>
      <c r="J500" s="8"/>
      <c r="K500" s="8"/>
      <c r="L500" s="8"/>
      <c r="M500" s="8"/>
      <c r="N500" s="8"/>
      <c r="O500" s="8"/>
      <c r="P500" s="8"/>
      <c r="Q500" s="8"/>
      <c r="R500" s="8"/>
      <c r="S500" s="8"/>
      <c r="T500" s="8"/>
      <c r="U500" s="8"/>
      <c r="V500" s="8"/>
      <c r="W500" s="8"/>
      <c r="X500" s="8"/>
      <c r="Y500" s="8"/>
      <c r="Z500" s="8"/>
      <c r="AA500" s="8"/>
    </row>
    <row r="501" spans="1:27" ht="19.75">
      <c r="A501" s="8"/>
      <c r="B501" s="7"/>
      <c r="C501" s="8"/>
      <c r="D501" s="8"/>
      <c r="E501" s="11"/>
      <c r="F501" s="8"/>
      <c r="G501" s="8"/>
      <c r="H501" s="8"/>
      <c r="I501" s="8"/>
      <c r="J501" s="8"/>
      <c r="K501" s="8"/>
      <c r="L501" s="8"/>
      <c r="M501" s="8"/>
      <c r="N501" s="8"/>
      <c r="O501" s="8"/>
      <c r="P501" s="8"/>
      <c r="Q501" s="8"/>
      <c r="R501" s="8"/>
      <c r="S501" s="8"/>
      <c r="T501" s="8"/>
      <c r="U501" s="8"/>
      <c r="V501" s="8"/>
      <c r="W501" s="8"/>
      <c r="X501" s="8"/>
      <c r="Y501" s="8"/>
      <c r="Z501" s="8"/>
      <c r="AA501" s="8"/>
    </row>
    <row r="502" spans="1:27" ht="19.75">
      <c r="A502" s="8"/>
      <c r="B502" s="7"/>
      <c r="C502" s="8"/>
      <c r="D502" s="8"/>
      <c r="E502" s="11"/>
      <c r="F502" s="8"/>
      <c r="G502" s="8"/>
      <c r="H502" s="8"/>
      <c r="I502" s="8"/>
      <c r="J502" s="8"/>
      <c r="K502" s="8"/>
      <c r="L502" s="8"/>
      <c r="M502" s="8"/>
      <c r="N502" s="8"/>
      <c r="O502" s="8"/>
      <c r="P502" s="8"/>
      <c r="Q502" s="8"/>
      <c r="R502" s="8"/>
      <c r="S502" s="8"/>
      <c r="T502" s="8"/>
      <c r="U502" s="8"/>
      <c r="V502" s="8"/>
      <c r="W502" s="8"/>
      <c r="X502" s="8"/>
      <c r="Y502" s="8"/>
      <c r="Z502" s="8"/>
      <c r="AA502" s="8"/>
    </row>
    <row r="503" spans="1:27" ht="19.75">
      <c r="A503" s="8"/>
      <c r="B503" s="7"/>
      <c r="C503" s="8"/>
      <c r="D503" s="8"/>
      <c r="E503" s="11"/>
      <c r="F503" s="8"/>
      <c r="G503" s="8"/>
      <c r="H503" s="8"/>
      <c r="I503" s="8"/>
      <c r="J503" s="8"/>
      <c r="K503" s="8"/>
      <c r="L503" s="8"/>
      <c r="M503" s="8"/>
      <c r="N503" s="8"/>
      <c r="O503" s="8"/>
      <c r="P503" s="8"/>
      <c r="Q503" s="8"/>
      <c r="R503" s="8"/>
      <c r="S503" s="8"/>
      <c r="T503" s="8"/>
      <c r="U503" s="8"/>
      <c r="V503" s="8"/>
      <c r="W503" s="8"/>
      <c r="X503" s="8"/>
      <c r="Y503" s="8"/>
      <c r="Z503" s="8"/>
      <c r="AA503" s="8"/>
    </row>
    <row r="504" spans="1:27" ht="19.75">
      <c r="A504" s="8"/>
      <c r="B504" s="7"/>
      <c r="C504" s="8"/>
      <c r="D504" s="8"/>
      <c r="E504" s="11"/>
      <c r="F504" s="8"/>
      <c r="G504" s="8"/>
      <c r="H504" s="8"/>
      <c r="I504" s="8"/>
      <c r="J504" s="8"/>
      <c r="K504" s="8"/>
      <c r="L504" s="8"/>
      <c r="M504" s="8"/>
      <c r="N504" s="8"/>
      <c r="O504" s="8"/>
      <c r="P504" s="8"/>
      <c r="Q504" s="8"/>
      <c r="R504" s="8"/>
      <c r="S504" s="8"/>
      <c r="T504" s="8"/>
      <c r="U504" s="8"/>
      <c r="V504" s="8"/>
      <c r="W504" s="8"/>
      <c r="X504" s="8"/>
      <c r="Y504" s="8"/>
      <c r="Z504" s="8"/>
      <c r="AA504" s="8"/>
    </row>
    <row r="505" spans="1:27" ht="19.75">
      <c r="A505" s="8"/>
      <c r="B505" s="7"/>
      <c r="C505" s="8"/>
      <c r="D505" s="8"/>
      <c r="E505" s="11"/>
      <c r="F505" s="8"/>
      <c r="G505" s="8"/>
      <c r="H505" s="8"/>
      <c r="I505" s="8"/>
      <c r="J505" s="8"/>
      <c r="K505" s="8"/>
      <c r="L505" s="8"/>
      <c r="M505" s="8"/>
      <c r="N505" s="8"/>
      <c r="O505" s="8"/>
      <c r="P505" s="8"/>
      <c r="Q505" s="8"/>
      <c r="R505" s="8"/>
      <c r="S505" s="8"/>
      <c r="T505" s="8"/>
      <c r="U505" s="8"/>
      <c r="V505" s="8"/>
      <c r="W505" s="8"/>
      <c r="X505" s="8"/>
      <c r="Y505" s="8"/>
      <c r="Z505" s="8"/>
      <c r="AA505" s="8"/>
    </row>
    <row r="506" spans="1:27" ht="19.75">
      <c r="A506" s="8"/>
      <c r="B506" s="7"/>
      <c r="C506" s="8"/>
      <c r="D506" s="8"/>
      <c r="E506" s="11"/>
      <c r="F506" s="8"/>
      <c r="G506" s="8"/>
      <c r="H506" s="8"/>
      <c r="I506" s="8"/>
      <c r="J506" s="8"/>
      <c r="K506" s="8"/>
      <c r="L506" s="8"/>
      <c r="M506" s="8"/>
      <c r="N506" s="8"/>
      <c r="O506" s="8"/>
      <c r="P506" s="8"/>
      <c r="Q506" s="8"/>
      <c r="R506" s="8"/>
      <c r="S506" s="8"/>
      <c r="T506" s="8"/>
      <c r="U506" s="8"/>
      <c r="V506" s="8"/>
      <c r="W506" s="8"/>
      <c r="X506" s="8"/>
      <c r="Y506" s="8"/>
      <c r="Z506" s="8"/>
      <c r="AA506" s="8"/>
    </row>
    <row r="507" spans="1:27" ht="19.75">
      <c r="A507" s="8"/>
      <c r="B507" s="7"/>
      <c r="C507" s="8"/>
      <c r="D507" s="8"/>
      <c r="E507" s="11"/>
      <c r="F507" s="8"/>
      <c r="G507" s="8"/>
      <c r="H507" s="8"/>
      <c r="I507" s="8"/>
      <c r="J507" s="8"/>
      <c r="K507" s="8"/>
      <c r="L507" s="8"/>
      <c r="M507" s="8"/>
      <c r="N507" s="8"/>
      <c r="O507" s="8"/>
      <c r="P507" s="8"/>
      <c r="Q507" s="8"/>
      <c r="R507" s="8"/>
      <c r="S507" s="8"/>
      <c r="T507" s="8"/>
      <c r="U507" s="8"/>
      <c r="V507" s="8"/>
      <c r="W507" s="8"/>
      <c r="X507" s="8"/>
      <c r="Y507" s="8"/>
      <c r="Z507" s="8"/>
      <c r="AA507" s="8"/>
    </row>
    <row r="508" spans="1:27" ht="19.75">
      <c r="A508" s="8"/>
      <c r="B508" s="7"/>
      <c r="C508" s="8"/>
      <c r="D508" s="8"/>
      <c r="E508" s="11"/>
      <c r="F508" s="8"/>
      <c r="G508" s="8"/>
      <c r="H508" s="8"/>
      <c r="I508" s="8"/>
      <c r="J508" s="8"/>
      <c r="K508" s="8"/>
      <c r="L508" s="8"/>
      <c r="M508" s="8"/>
      <c r="N508" s="8"/>
      <c r="O508" s="8"/>
      <c r="P508" s="8"/>
      <c r="Q508" s="8"/>
      <c r="R508" s="8"/>
      <c r="S508" s="8"/>
      <c r="T508" s="8"/>
      <c r="U508" s="8"/>
      <c r="V508" s="8"/>
      <c r="W508" s="8"/>
      <c r="X508" s="8"/>
      <c r="Y508" s="8"/>
      <c r="Z508" s="8"/>
      <c r="AA508" s="8"/>
    </row>
    <row r="509" spans="1:27" ht="19.75">
      <c r="A509" s="8"/>
      <c r="B509" s="7"/>
      <c r="C509" s="8"/>
      <c r="D509" s="8"/>
      <c r="E509" s="11"/>
      <c r="F509" s="8"/>
      <c r="G509" s="8"/>
      <c r="H509" s="8"/>
      <c r="I509" s="8"/>
      <c r="J509" s="8"/>
      <c r="K509" s="8"/>
      <c r="L509" s="8"/>
      <c r="M509" s="8"/>
      <c r="N509" s="8"/>
      <c r="O509" s="8"/>
      <c r="P509" s="8"/>
      <c r="Q509" s="8"/>
      <c r="R509" s="8"/>
      <c r="S509" s="8"/>
      <c r="T509" s="8"/>
      <c r="U509" s="8"/>
      <c r="V509" s="8"/>
      <c r="W509" s="8"/>
      <c r="X509" s="8"/>
      <c r="Y509" s="8"/>
      <c r="Z509" s="8"/>
      <c r="AA509" s="8"/>
    </row>
    <row r="510" spans="1:27" ht="19.75">
      <c r="A510" s="8"/>
      <c r="B510" s="7"/>
      <c r="C510" s="8"/>
      <c r="D510" s="8"/>
      <c r="E510" s="11"/>
      <c r="F510" s="8"/>
      <c r="G510" s="8"/>
      <c r="H510" s="8"/>
      <c r="I510" s="8"/>
      <c r="J510" s="8"/>
      <c r="K510" s="8"/>
      <c r="L510" s="8"/>
      <c r="M510" s="8"/>
      <c r="N510" s="8"/>
      <c r="O510" s="8"/>
      <c r="P510" s="8"/>
      <c r="Q510" s="8"/>
      <c r="R510" s="8"/>
      <c r="S510" s="8"/>
      <c r="T510" s="8"/>
      <c r="U510" s="8"/>
      <c r="V510" s="8"/>
      <c r="W510" s="8"/>
      <c r="X510" s="8"/>
      <c r="Y510" s="8"/>
      <c r="Z510" s="8"/>
      <c r="AA510" s="8"/>
    </row>
    <row r="511" spans="1:27" ht="19.75">
      <c r="A511" s="8"/>
      <c r="B511" s="7"/>
      <c r="C511" s="8"/>
      <c r="D511" s="8"/>
      <c r="E511" s="11"/>
      <c r="F511" s="8"/>
      <c r="G511" s="8"/>
      <c r="H511" s="8"/>
      <c r="I511" s="8"/>
      <c r="J511" s="8"/>
      <c r="K511" s="8"/>
      <c r="L511" s="8"/>
      <c r="M511" s="8"/>
      <c r="N511" s="8"/>
      <c r="O511" s="8"/>
      <c r="P511" s="8"/>
      <c r="Q511" s="8"/>
      <c r="R511" s="8"/>
      <c r="S511" s="8"/>
      <c r="T511" s="8"/>
      <c r="U511" s="8"/>
      <c r="V511" s="8"/>
      <c r="W511" s="8"/>
      <c r="X511" s="8"/>
      <c r="Y511" s="8"/>
      <c r="Z511" s="8"/>
      <c r="AA511" s="8"/>
    </row>
    <row r="512" spans="1:27" ht="19.75">
      <c r="A512" s="8"/>
      <c r="B512" s="7"/>
      <c r="C512" s="8"/>
      <c r="D512" s="8"/>
      <c r="E512" s="11"/>
      <c r="F512" s="8"/>
      <c r="G512" s="8"/>
      <c r="H512" s="8"/>
      <c r="I512" s="8"/>
      <c r="J512" s="8"/>
      <c r="K512" s="8"/>
      <c r="L512" s="8"/>
      <c r="M512" s="8"/>
      <c r="N512" s="8"/>
      <c r="O512" s="8"/>
      <c r="P512" s="8"/>
      <c r="Q512" s="8"/>
      <c r="R512" s="8"/>
      <c r="S512" s="8"/>
      <c r="T512" s="8"/>
      <c r="U512" s="8"/>
      <c r="V512" s="8"/>
      <c r="W512" s="8"/>
      <c r="X512" s="8"/>
      <c r="Y512" s="8"/>
      <c r="Z512" s="8"/>
      <c r="AA512" s="8"/>
    </row>
    <row r="513" spans="1:27" ht="19.75">
      <c r="A513" s="8"/>
      <c r="B513" s="7"/>
      <c r="C513" s="8"/>
      <c r="D513" s="8"/>
      <c r="E513" s="11"/>
      <c r="F513" s="8"/>
      <c r="G513" s="8"/>
      <c r="H513" s="8"/>
      <c r="I513" s="8"/>
      <c r="J513" s="8"/>
      <c r="K513" s="8"/>
      <c r="L513" s="8"/>
      <c r="M513" s="8"/>
      <c r="N513" s="8"/>
      <c r="O513" s="8"/>
      <c r="P513" s="8"/>
      <c r="Q513" s="8"/>
      <c r="R513" s="8"/>
      <c r="S513" s="8"/>
      <c r="T513" s="8"/>
      <c r="U513" s="8"/>
      <c r="V513" s="8"/>
      <c r="W513" s="8"/>
      <c r="X513" s="8"/>
      <c r="Y513" s="8"/>
      <c r="Z513" s="8"/>
      <c r="AA513" s="8"/>
    </row>
    <row r="514" spans="1:27" ht="19.75">
      <c r="A514" s="8"/>
      <c r="B514" s="7"/>
      <c r="C514" s="8"/>
      <c r="D514" s="8"/>
      <c r="E514" s="11"/>
      <c r="F514" s="8"/>
      <c r="G514" s="8"/>
      <c r="H514" s="8"/>
      <c r="I514" s="8"/>
      <c r="J514" s="8"/>
      <c r="K514" s="8"/>
      <c r="L514" s="8"/>
      <c r="M514" s="8"/>
      <c r="N514" s="8"/>
      <c r="O514" s="8"/>
      <c r="P514" s="8"/>
      <c r="Q514" s="8"/>
      <c r="R514" s="8"/>
      <c r="S514" s="8"/>
      <c r="T514" s="8"/>
      <c r="U514" s="8"/>
      <c r="V514" s="8"/>
      <c r="W514" s="8"/>
      <c r="X514" s="8"/>
      <c r="Y514" s="8"/>
      <c r="Z514" s="8"/>
      <c r="AA514" s="8"/>
    </row>
    <row r="515" spans="1:27" ht="19.75">
      <c r="A515" s="8"/>
      <c r="B515" s="7"/>
      <c r="C515" s="8"/>
      <c r="D515" s="8"/>
      <c r="E515" s="11"/>
      <c r="F515" s="8"/>
      <c r="G515" s="8"/>
      <c r="H515" s="8"/>
      <c r="I515" s="8"/>
      <c r="J515" s="8"/>
      <c r="K515" s="8"/>
      <c r="L515" s="8"/>
      <c r="M515" s="8"/>
      <c r="N515" s="8"/>
      <c r="O515" s="8"/>
      <c r="P515" s="8"/>
      <c r="Q515" s="8"/>
      <c r="R515" s="8"/>
      <c r="S515" s="8"/>
      <c r="T515" s="8"/>
      <c r="U515" s="8"/>
      <c r="V515" s="8"/>
      <c r="W515" s="8"/>
      <c r="X515" s="8"/>
      <c r="Y515" s="8"/>
      <c r="Z515" s="8"/>
      <c r="AA515" s="8"/>
    </row>
    <row r="516" spans="1:27" ht="19.75">
      <c r="A516" s="8"/>
      <c r="B516" s="7"/>
      <c r="C516" s="8"/>
      <c r="D516" s="8"/>
      <c r="E516" s="11"/>
      <c r="F516" s="8"/>
      <c r="G516" s="8"/>
      <c r="H516" s="8"/>
      <c r="I516" s="8"/>
      <c r="J516" s="8"/>
      <c r="K516" s="8"/>
      <c r="L516" s="8"/>
      <c r="M516" s="8"/>
      <c r="N516" s="8"/>
      <c r="O516" s="8"/>
      <c r="P516" s="8"/>
      <c r="Q516" s="8"/>
      <c r="R516" s="8"/>
      <c r="S516" s="8"/>
      <c r="T516" s="8"/>
      <c r="U516" s="8"/>
      <c r="V516" s="8"/>
      <c r="W516" s="8"/>
      <c r="X516" s="8"/>
      <c r="Y516" s="8"/>
      <c r="Z516" s="8"/>
      <c r="AA516" s="8"/>
    </row>
    <row r="517" spans="1:27" ht="19.75">
      <c r="A517" s="8"/>
      <c r="B517" s="7"/>
      <c r="C517" s="8"/>
      <c r="D517" s="8"/>
      <c r="E517" s="11"/>
      <c r="F517" s="8"/>
      <c r="G517" s="8"/>
      <c r="H517" s="8"/>
      <c r="I517" s="8"/>
      <c r="J517" s="8"/>
      <c r="K517" s="8"/>
      <c r="L517" s="8"/>
      <c r="M517" s="8"/>
      <c r="N517" s="8"/>
      <c r="O517" s="8"/>
      <c r="P517" s="8"/>
      <c r="Q517" s="8"/>
      <c r="R517" s="8"/>
      <c r="S517" s="8"/>
      <c r="T517" s="8"/>
      <c r="U517" s="8"/>
      <c r="V517" s="8"/>
      <c r="W517" s="8"/>
      <c r="X517" s="8"/>
      <c r="Y517" s="8"/>
      <c r="Z517" s="8"/>
      <c r="AA517" s="8"/>
    </row>
    <row r="518" spans="1:27" ht="19.75">
      <c r="A518" s="8"/>
      <c r="B518" s="7"/>
      <c r="C518" s="8"/>
      <c r="D518" s="8"/>
      <c r="E518" s="11"/>
      <c r="F518" s="8"/>
      <c r="G518" s="8"/>
      <c r="H518" s="8"/>
      <c r="I518" s="8"/>
      <c r="J518" s="8"/>
      <c r="K518" s="8"/>
      <c r="L518" s="8"/>
      <c r="M518" s="8"/>
      <c r="N518" s="8"/>
      <c r="O518" s="8"/>
      <c r="P518" s="8"/>
      <c r="Q518" s="8"/>
      <c r="R518" s="8"/>
      <c r="S518" s="8"/>
      <c r="T518" s="8"/>
      <c r="U518" s="8"/>
      <c r="V518" s="8"/>
      <c r="W518" s="8"/>
      <c r="X518" s="8"/>
      <c r="Y518" s="8"/>
      <c r="Z518" s="8"/>
      <c r="AA518" s="8"/>
    </row>
    <row r="519" spans="1:27" ht="19.75">
      <c r="A519" s="8"/>
      <c r="B519" s="7"/>
      <c r="C519" s="8"/>
      <c r="D519" s="8"/>
      <c r="E519" s="11"/>
      <c r="F519" s="8"/>
      <c r="G519" s="8"/>
      <c r="H519" s="8"/>
      <c r="I519" s="8"/>
      <c r="J519" s="8"/>
      <c r="K519" s="8"/>
      <c r="L519" s="8"/>
      <c r="M519" s="8"/>
      <c r="N519" s="8"/>
      <c r="O519" s="8"/>
      <c r="P519" s="8"/>
      <c r="Q519" s="8"/>
      <c r="R519" s="8"/>
      <c r="S519" s="8"/>
      <c r="T519" s="8"/>
      <c r="U519" s="8"/>
      <c r="V519" s="8"/>
      <c r="W519" s="8"/>
      <c r="X519" s="8"/>
      <c r="Y519" s="8"/>
      <c r="Z519" s="8"/>
      <c r="AA519" s="8"/>
    </row>
    <row r="520" spans="1:27" ht="19.75">
      <c r="A520" s="8"/>
      <c r="B520" s="7"/>
      <c r="C520" s="8"/>
      <c r="D520" s="8"/>
      <c r="E520" s="11"/>
      <c r="F520" s="8"/>
      <c r="G520" s="8"/>
      <c r="H520" s="8"/>
      <c r="I520" s="8"/>
      <c r="J520" s="8"/>
      <c r="K520" s="8"/>
      <c r="L520" s="8"/>
      <c r="M520" s="8"/>
      <c r="N520" s="8"/>
      <c r="O520" s="8"/>
      <c r="P520" s="8"/>
      <c r="Q520" s="8"/>
      <c r="R520" s="8"/>
      <c r="S520" s="8"/>
      <c r="T520" s="8"/>
      <c r="U520" s="8"/>
      <c r="V520" s="8"/>
      <c r="W520" s="8"/>
      <c r="X520" s="8"/>
      <c r="Y520" s="8"/>
      <c r="Z520" s="8"/>
      <c r="AA520" s="8"/>
    </row>
    <row r="521" spans="1:27" ht="19.75">
      <c r="A521" s="8"/>
      <c r="B521" s="7"/>
      <c r="C521" s="8"/>
      <c r="D521" s="8"/>
      <c r="E521" s="11"/>
      <c r="F521" s="8"/>
      <c r="G521" s="8"/>
      <c r="H521" s="8"/>
      <c r="I521" s="8"/>
      <c r="J521" s="8"/>
      <c r="K521" s="8"/>
      <c r="L521" s="8"/>
      <c r="M521" s="8"/>
      <c r="N521" s="8"/>
      <c r="O521" s="8"/>
      <c r="P521" s="8"/>
      <c r="Q521" s="8"/>
      <c r="R521" s="8"/>
      <c r="S521" s="8"/>
      <c r="T521" s="8"/>
      <c r="U521" s="8"/>
      <c r="V521" s="8"/>
      <c r="W521" s="8"/>
      <c r="X521" s="8"/>
      <c r="Y521" s="8"/>
      <c r="Z521" s="8"/>
      <c r="AA521" s="8"/>
    </row>
    <row r="522" spans="1:27" ht="19.75">
      <c r="A522" s="8"/>
      <c r="B522" s="7"/>
      <c r="C522" s="8"/>
      <c r="D522" s="8"/>
      <c r="E522" s="11"/>
      <c r="F522" s="8"/>
      <c r="G522" s="8"/>
      <c r="H522" s="8"/>
      <c r="I522" s="8"/>
      <c r="J522" s="8"/>
      <c r="K522" s="8"/>
      <c r="L522" s="8"/>
      <c r="M522" s="8"/>
      <c r="N522" s="8"/>
      <c r="O522" s="8"/>
      <c r="P522" s="8"/>
      <c r="Q522" s="8"/>
      <c r="R522" s="8"/>
      <c r="S522" s="8"/>
      <c r="T522" s="8"/>
      <c r="U522" s="8"/>
      <c r="V522" s="8"/>
      <c r="W522" s="8"/>
      <c r="X522" s="8"/>
      <c r="Y522" s="8"/>
      <c r="Z522" s="8"/>
      <c r="AA522" s="8"/>
    </row>
    <row r="523" spans="1:27" ht="19.75">
      <c r="A523" s="8"/>
      <c r="B523" s="7"/>
      <c r="C523" s="8"/>
      <c r="D523" s="8"/>
      <c r="E523" s="11"/>
      <c r="F523" s="8"/>
      <c r="G523" s="8"/>
      <c r="H523" s="8"/>
      <c r="I523" s="8"/>
      <c r="J523" s="8"/>
      <c r="K523" s="8"/>
      <c r="L523" s="8"/>
      <c r="M523" s="8"/>
      <c r="N523" s="8"/>
      <c r="O523" s="8"/>
      <c r="P523" s="8"/>
      <c r="Q523" s="8"/>
      <c r="R523" s="8"/>
      <c r="S523" s="8"/>
      <c r="T523" s="8"/>
      <c r="U523" s="8"/>
      <c r="V523" s="8"/>
      <c r="W523" s="8"/>
      <c r="X523" s="8"/>
      <c r="Y523" s="8"/>
      <c r="Z523" s="8"/>
      <c r="AA523" s="8"/>
    </row>
    <row r="524" spans="1:27" ht="19.75">
      <c r="A524" s="8"/>
      <c r="B524" s="7"/>
      <c r="C524" s="8"/>
      <c r="D524" s="8"/>
      <c r="E524" s="11"/>
      <c r="F524" s="8"/>
      <c r="G524" s="8"/>
      <c r="H524" s="8"/>
      <c r="I524" s="8"/>
      <c r="J524" s="8"/>
      <c r="K524" s="8"/>
      <c r="L524" s="8"/>
      <c r="M524" s="8"/>
      <c r="N524" s="8"/>
      <c r="O524" s="8"/>
      <c r="P524" s="8"/>
      <c r="Q524" s="8"/>
      <c r="R524" s="8"/>
      <c r="S524" s="8"/>
      <c r="T524" s="8"/>
      <c r="U524" s="8"/>
      <c r="V524" s="8"/>
      <c r="W524" s="8"/>
      <c r="X524" s="8"/>
      <c r="Y524" s="8"/>
      <c r="Z524" s="8"/>
      <c r="AA524" s="8"/>
    </row>
    <row r="525" spans="1:27" ht="19.75">
      <c r="A525" s="8"/>
      <c r="B525" s="7"/>
      <c r="C525" s="8"/>
      <c r="D525" s="8"/>
      <c r="E525" s="11"/>
      <c r="F525" s="8"/>
      <c r="G525" s="8"/>
      <c r="H525" s="8"/>
      <c r="I525" s="8"/>
      <c r="J525" s="8"/>
      <c r="K525" s="8"/>
      <c r="L525" s="8"/>
      <c r="M525" s="8"/>
      <c r="N525" s="8"/>
      <c r="O525" s="8"/>
      <c r="P525" s="8"/>
      <c r="Q525" s="8"/>
      <c r="R525" s="8"/>
      <c r="S525" s="8"/>
      <c r="T525" s="8"/>
      <c r="U525" s="8"/>
      <c r="V525" s="8"/>
      <c r="W525" s="8"/>
      <c r="X525" s="8"/>
      <c r="Y525" s="8"/>
      <c r="Z525" s="8"/>
      <c r="AA525" s="8"/>
    </row>
    <row r="526" spans="1:27" ht="19.75">
      <c r="A526" s="8"/>
      <c r="B526" s="7"/>
      <c r="C526" s="8"/>
      <c r="D526" s="8"/>
      <c r="E526" s="11"/>
      <c r="F526" s="8"/>
      <c r="G526" s="8"/>
      <c r="H526" s="8"/>
      <c r="I526" s="8"/>
      <c r="J526" s="8"/>
      <c r="K526" s="8"/>
      <c r="L526" s="8"/>
      <c r="M526" s="8"/>
      <c r="N526" s="8"/>
      <c r="O526" s="8"/>
      <c r="P526" s="8"/>
      <c r="Q526" s="8"/>
      <c r="R526" s="8"/>
      <c r="S526" s="8"/>
      <c r="T526" s="8"/>
      <c r="U526" s="8"/>
      <c r="V526" s="8"/>
      <c r="W526" s="8"/>
      <c r="X526" s="8"/>
      <c r="Y526" s="8"/>
      <c r="Z526" s="8"/>
      <c r="AA526" s="8"/>
    </row>
    <row r="527" spans="1:27" ht="19.75">
      <c r="A527" s="8"/>
      <c r="B527" s="7"/>
      <c r="C527" s="8"/>
      <c r="D527" s="8"/>
      <c r="E527" s="11"/>
      <c r="F527" s="8"/>
      <c r="G527" s="8"/>
      <c r="H527" s="8"/>
      <c r="I527" s="8"/>
      <c r="J527" s="8"/>
      <c r="K527" s="8"/>
      <c r="L527" s="8"/>
      <c r="M527" s="8"/>
      <c r="N527" s="8"/>
      <c r="O527" s="8"/>
      <c r="P527" s="8"/>
      <c r="Q527" s="8"/>
      <c r="R527" s="8"/>
      <c r="S527" s="8"/>
      <c r="T527" s="8"/>
      <c r="U527" s="8"/>
      <c r="V527" s="8"/>
      <c r="W527" s="8"/>
      <c r="X527" s="8"/>
      <c r="Y527" s="8"/>
      <c r="Z527" s="8"/>
      <c r="AA527" s="8"/>
    </row>
    <row r="528" spans="1:27" ht="19.75">
      <c r="A528" s="8"/>
      <c r="B528" s="7"/>
      <c r="C528" s="8"/>
      <c r="D528" s="8"/>
      <c r="E528" s="11"/>
      <c r="F528" s="8"/>
      <c r="G528" s="8"/>
      <c r="H528" s="8"/>
      <c r="I528" s="8"/>
      <c r="J528" s="8"/>
      <c r="K528" s="8"/>
      <c r="L528" s="8"/>
      <c r="M528" s="8"/>
      <c r="N528" s="8"/>
      <c r="O528" s="8"/>
      <c r="P528" s="8"/>
      <c r="Q528" s="8"/>
      <c r="R528" s="8"/>
      <c r="S528" s="8"/>
      <c r="T528" s="8"/>
      <c r="U528" s="8"/>
      <c r="V528" s="8"/>
      <c r="W528" s="8"/>
      <c r="X528" s="8"/>
      <c r="Y528" s="8"/>
      <c r="Z528" s="8"/>
      <c r="AA528" s="8"/>
    </row>
    <row r="529" spans="1:27" ht="19.75">
      <c r="A529" s="8"/>
      <c r="B529" s="7"/>
      <c r="C529" s="8"/>
      <c r="D529" s="8"/>
      <c r="E529" s="11"/>
      <c r="F529" s="8"/>
      <c r="G529" s="8"/>
      <c r="H529" s="8"/>
      <c r="I529" s="8"/>
      <c r="J529" s="8"/>
      <c r="K529" s="8"/>
      <c r="L529" s="8"/>
      <c r="M529" s="8"/>
      <c r="N529" s="8"/>
      <c r="O529" s="8"/>
      <c r="P529" s="8"/>
      <c r="Q529" s="8"/>
      <c r="R529" s="8"/>
      <c r="S529" s="8"/>
      <c r="T529" s="8"/>
      <c r="U529" s="8"/>
      <c r="V529" s="8"/>
      <c r="W529" s="8"/>
      <c r="X529" s="8"/>
      <c r="Y529" s="8"/>
      <c r="Z529" s="8"/>
      <c r="AA529" s="8"/>
    </row>
    <row r="530" spans="1:27" ht="19.75">
      <c r="A530" s="8"/>
      <c r="B530" s="7"/>
      <c r="C530" s="8"/>
      <c r="D530" s="8"/>
      <c r="E530" s="11"/>
      <c r="F530" s="8"/>
      <c r="G530" s="8"/>
      <c r="H530" s="8"/>
      <c r="I530" s="8"/>
      <c r="J530" s="8"/>
      <c r="K530" s="8"/>
      <c r="L530" s="8"/>
      <c r="M530" s="8"/>
      <c r="N530" s="8"/>
      <c r="O530" s="8"/>
      <c r="P530" s="8"/>
      <c r="Q530" s="8"/>
      <c r="R530" s="8"/>
      <c r="S530" s="8"/>
      <c r="T530" s="8"/>
      <c r="U530" s="8"/>
      <c r="V530" s="8"/>
      <c r="W530" s="8"/>
      <c r="X530" s="8"/>
      <c r="Y530" s="8"/>
      <c r="Z530" s="8"/>
      <c r="AA530" s="8"/>
    </row>
    <row r="531" spans="1:27" ht="19.75">
      <c r="A531" s="8"/>
      <c r="B531" s="7"/>
      <c r="C531" s="8"/>
      <c r="D531" s="8"/>
      <c r="E531" s="11"/>
      <c r="F531" s="8"/>
      <c r="G531" s="8"/>
      <c r="H531" s="8"/>
      <c r="I531" s="8"/>
      <c r="J531" s="8"/>
      <c r="K531" s="8"/>
      <c r="L531" s="8"/>
      <c r="M531" s="8"/>
      <c r="N531" s="8"/>
      <c r="O531" s="8"/>
      <c r="P531" s="8"/>
      <c r="Q531" s="8"/>
      <c r="R531" s="8"/>
      <c r="S531" s="8"/>
      <c r="T531" s="8"/>
      <c r="U531" s="8"/>
      <c r="V531" s="8"/>
      <c r="W531" s="8"/>
      <c r="X531" s="8"/>
      <c r="Y531" s="8"/>
      <c r="Z531" s="8"/>
      <c r="AA531" s="8"/>
    </row>
    <row r="532" spans="1:27" ht="19.75">
      <c r="A532" s="8"/>
      <c r="B532" s="7"/>
      <c r="C532" s="8"/>
      <c r="D532" s="8"/>
      <c r="E532" s="11"/>
      <c r="F532" s="8"/>
      <c r="G532" s="8"/>
      <c r="H532" s="8"/>
      <c r="I532" s="8"/>
      <c r="J532" s="8"/>
      <c r="K532" s="8"/>
      <c r="L532" s="8"/>
      <c r="M532" s="8"/>
      <c r="N532" s="8"/>
      <c r="O532" s="8"/>
      <c r="P532" s="8"/>
      <c r="Q532" s="8"/>
      <c r="R532" s="8"/>
      <c r="S532" s="8"/>
      <c r="T532" s="8"/>
      <c r="U532" s="8"/>
      <c r="V532" s="8"/>
      <c r="W532" s="8"/>
      <c r="X532" s="8"/>
      <c r="Y532" s="8"/>
      <c r="Z532" s="8"/>
      <c r="AA532" s="8"/>
    </row>
    <row r="533" spans="1:27" ht="19.75">
      <c r="A533" s="8"/>
      <c r="B533" s="7"/>
      <c r="C533" s="8"/>
      <c r="D533" s="8"/>
      <c r="E533" s="11"/>
      <c r="F533" s="8"/>
      <c r="G533" s="8"/>
      <c r="H533" s="8"/>
      <c r="I533" s="8"/>
      <c r="J533" s="8"/>
      <c r="K533" s="8"/>
      <c r="L533" s="8"/>
      <c r="M533" s="8"/>
      <c r="N533" s="8"/>
      <c r="O533" s="8"/>
      <c r="P533" s="8"/>
      <c r="Q533" s="8"/>
      <c r="R533" s="8"/>
      <c r="S533" s="8"/>
      <c r="T533" s="8"/>
      <c r="U533" s="8"/>
      <c r="V533" s="8"/>
      <c r="W533" s="8"/>
      <c r="X533" s="8"/>
      <c r="Y533" s="8"/>
      <c r="Z533" s="8"/>
      <c r="AA533" s="8"/>
    </row>
    <row r="534" spans="1:27" ht="19.75">
      <c r="A534" s="8"/>
      <c r="B534" s="7"/>
      <c r="C534" s="8"/>
      <c r="D534" s="8"/>
      <c r="E534" s="11"/>
      <c r="F534" s="8"/>
      <c r="G534" s="8"/>
      <c r="H534" s="8"/>
      <c r="I534" s="8"/>
      <c r="J534" s="8"/>
      <c r="K534" s="8"/>
      <c r="L534" s="8"/>
      <c r="M534" s="8"/>
      <c r="N534" s="8"/>
      <c r="O534" s="8"/>
      <c r="P534" s="8"/>
      <c r="Q534" s="8"/>
      <c r="R534" s="8"/>
      <c r="S534" s="8"/>
      <c r="T534" s="8"/>
      <c r="U534" s="8"/>
      <c r="V534" s="8"/>
      <c r="W534" s="8"/>
      <c r="X534" s="8"/>
      <c r="Y534" s="8"/>
      <c r="Z534" s="8"/>
      <c r="AA534" s="8"/>
    </row>
    <row r="535" spans="1:27" ht="19.75">
      <c r="A535" s="8"/>
      <c r="B535" s="7"/>
      <c r="C535" s="8"/>
      <c r="D535" s="8"/>
      <c r="E535" s="11"/>
      <c r="F535" s="8"/>
      <c r="G535" s="8"/>
      <c r="H535" s="8"/>
      <c r="I535" s="8"/>
      <c r="J535" s="8"/>
      <c r="K535" s="8"/>
      <c r="L535" s="8"/>
      <c r="M535" s="8"/>
      <c r="N535" s="8"/>
      <c r="O535" s="8"/>
      <c r="P535" s="8"/>
      <c r="Q535" s="8"/>
      <c r="R535" s="8"/>
      <c r="S535" s="8"/>
      <c r="T535" s="8"/>
      <c r="U535" s="8"/>
      <c r="V535" s="8"/>
      <c r="W535" s="8"/>
      <c r="X535" s="8"/>
      <c r="Y535" s="8"/>
      <c r="Z535" s="8"/>
      <c r="AA535" s="8"/>
    </row>
    <row r="536" spans="1:27" ht="19.75">
      <c r="A536" s="8"/>
      <c r="B536" s="7"/>
      <c r="C536" s="8"/>
      <c r="D536" s="8"/>
      <c r="E536" s="11"/>
      <c r="F536" s="8"/>
      <c r="G536" s="8"/>
      <c r="H536" s="8"/>
      <c r="I536" s="8"/>
      <c r="J536" s="8"/>
      <c r="K536" s="8"/>
      <c r="L536" s="8"/>
      <c r="M536" s="8"/>
      <c r="N536" s="8"/>
      <c r="O536" s="8"/>
      <c r="P536" s="8"/>
      <c r="Q536" s="8"/>
      <c r="R536" s="8"/>
      <c r="S536" s="8"/>
      <c r="T536" s="8"/>
      <c r="U536" s="8"/>
      <c r="V536" s="8"/>
      <c r="W536" s="8"/>
      <c r="X536" s="8"/>
      <c r="Y536" s="8"/>
      <c r="Z536" s="8"/>
      <c r="AA536" s="8"/>
    </row>
    <row r="537" spans="1:27" ht="19.75">
      <c r="A537" s="8"/>
      <c r="B537" s="7"/>
      <c r="C537" s="8"/>
      <c r="D537" s="8"/>
      <c r="E537" s="11"/>
      <c r="F537" s="8"/>
      <c r="G537" s="8"/>
      <c r="H537" s="8"/>
      <c r="I537" s="8"/>
      <c r="J537" s="8"/>
      <c r="K537" s="8"/>
      <c r="L537" s="8"/>
      <c r="M537" s="8"/>
      <c r="N537" s="8"/>
      <c r="O537" s="8"/>
      <c r="P537" s="8"/>
      <c r="Q537" s="8"/>
      <c r="R537" s="8"/>
      <c r="S537" s="8"/>
      <c r="T537" s="8"/>
      <c r="U537" s="8"/>
      <c r="V537" s="8"/>
      <c r="W537" s="8"/>
      <c r="X537" s="8"/>
      <c r="Y537" s="8"/>
      <c r="Z537" s="8"/>
      <c r="AA537" s="8"/>
    </row>
    <row r="538" spans="1:27" ht="19.75">
      <c r="A538" s="8"/>
      <c r="B538" s="7"/>
      <c r="C538" s="8"/>
      <c r="D538" s="8"/>
      <c r="E538" s="11"/>
      <c r="F538" s="8"/>
      <c r="G538" s="8"/>
      <c r="H538" s="8"/>
      <c r="I538" s="8"/>
      <c r="J538" s="8"/>
      <c r="K538" s="8"/>
      <c r="L538" s="8"/>
      <c r="M538" s="8"/>
      <c r="N538" s="8"/>
      <c r="O538" s="8"/>
      <c r="P538" s="8"/>
      <c r="Q538" s="8"/>
      <c r="R538" s="8"/>
      <c r="S538" s="8"/>
      <c r="T538" s="8"/>
      <c r="U538" s="8"/>
      <c r="V538" s="8"/>
      <c r="W538" s="8"/>
      <c r="X538" s="8"/>
      <c r="Y538" s="8"/>
      <c r="Z538" s="8"/>
      <c r="AA538" s="8"/>
    </row>
    <row r="539" spans="1:27" ht="19.75">
      <c r="A539" s="8"/>
      <c r="B539" s="7"/>
      <c r="C539" s="8"/>
      <c r="D539" s="8"/>
      <c r="E539" s="11"/>
      <c r="F539" s="8"/>
      <c r="G539" s="8"/>
      <c r="H539" s="8"/>
      <c r="I539" s="8"/>
      <c r="J539" s="8"/>
      <c r="K539" s="8"/>
      <c r="L539" s="8"/>
      <c r="M539" s="8"/>
      <c r="N539" s="8"/>
      <c r="O539" s="8"/>
      <c r="P539" s="8"/>
      <c r="Q539" s="8"/>
      <c r="R539" s="8"/>
      <c r="S539" s="8"/>
      <c r="T539" s="8"/>
      <c r="U539" s="8"/>
      <c r="V539" s="8"/>
      <c r="W539" s="8"/>
      <c r="X539" s="8"/>
      <c r="Y539" s="8"/>
      <c r="Z539" s="8"/>
      <c r="AA539" s="8"/>
    </row>
    <row r="540" spans="1:27" ht="19.75">
      <c r="A540" s="8"/>
      <c r="B540" s="7"/>
      <c r="C540" s="8"/>
      <c r="D540" s="8"/>
      <c r="E540" s="11"/>
      <c r="F540" s="8"/>
      <c r="G540" s="8"/>
      <c r="H540" s="8"/>
      <c r="I540" s="8"/>
      <c r="J540" s="8"/>
      <c r="K540" s="8"/>
      <c r="L540" s="8"/>
      <c r="M540" s="8"/>
      <c r="N540" s="8"/>
      <c r="O540" s="8"/>
      <c r="P540" s="8"/>
      <c r="Q540" s="8"/>
      <c r="R540" s="8"/>
      <c r="S540" s="8"/>
      <c r="T540" s="8"/>
      <c r="U540" s="8"/>
      <c r="V540" s="8"/>
      <c r="W540" s="8"/>
      <c r="X540" s="8"/>
      <c r="Y540" s="8"/>
      <c r="Z540" s="8"/>
      <c r="AA540" s="8"/>
    </row>
    <row r="541" spans="1:27" ht="19.75">
      <c r="A541" s="8"/>
      <c r="B541" s="7"/>
      <c r="C541" s="8"/>
      <c r="D541" s="8"/>
      <c r="E541" s="11"/>
      <c r="F541" s="8"/>
      <c r="G541" s="8"/>
      <c r="H541" s="8"/>
      <c r="I541" s="8"/>
      <c r="J541" s="8"/>
      <c r="K541" s="8"/>
      <c r="L541" s="8"/>
      <c r="M541" s="8"/>
      <c r="N541" s="8"/>
      <c r="O541" s="8"/>
      <c r="P541" s="8"/>
      <c r="Q541" s="8"/>
      <c r="R541" s="8"/>
      <c r="S541" s="8"/>
      <c r="T541" s="8"/>
      <c r="U541" s="8"/>
      <c r="V541" s="8"/>
      <c r="W541" s="8"/>
      <c r="X541" s="8"/>
      <c r="Y541" s="8"/>
      <c r="Z541" s="8"/>
      <c r="AA541" s="8"/>
    </row>
    <row r="542" spans="1:27" ht="19.75">
      <c r="A542" s="8"/>
      <c r="B542" s="7"/>
      <c r="C542" s="8"/>
      <c r="D542" s="8"/>
      <c r="E542" s="11"/>
      <c r="F542" s="8"/>
      <c r="G542" s="8"/>
      <c r="H542" s="8"/>
      <c r="I542" s="8"/>
      <c r="J542" s="8"/>
      <c r="K542" s="8"/>
      <c r="L542" s="8"/>
      <c r="M542" s="8"/>
      <c r="N542" s="8"/>
      <c r="O542" s="8"/>
      <c r="P542" s="8"/>
      <c r="Q542" s="8"/>
      <c r="R542" s="8"/>
      <c r="S542" s="8"/>
      <c r="T542" s="8"/>
      <c r="U542" s="8"/>
      <c r="V542" s="8"/>
      <c r="W542" s="8"/>
      <c r="X542" s="8"/>
      <c r="Y542" s="8"/>
      <c r="Z542" s="8"/>
      <c r="AA542" s="8"/>
    </row>
    <row r="543" spans="1:27" ht="19.75">
      <c r="A543" s="8"/>
      <c r="B543" s="7"/>
      <c r="C543" s="8"/>
      <c r="D543" s="8"/>
      <c r="E543" s="11"/>
      <c r="F543" s="8"/>
      <c r="G543" s="8"/>
      <c r="H543" s="8"/>
      <c r="I543" s="8"/>
      <c r="J543" s="8"/>
      <c r="K543" s="8"/>
      <c r="L543" s="8"/>
      <c r="M543" s="8"/>
      <c r="N543" s="8"/>
      <c r="O543" s="8"/>
      <c r="P543" s="8"/>
      <c r="Q543" s="8"/>
      <c r="R543" s="8"/>
      <c r="S543" s="8"/>
      <c r="T543" s="8"/>
      <c r="U543" s="8"/>
      <c r="V543" s="8"/>
      <c r="W543" s="8"/>
      <c r="X543" s="8"/>
      <c r="Y543" s="8"/>
      <c r="Z543" s="8"/>
      <c r="AA543" s="8"/>
    </row>
    <row r="544" spans="1:27" ht="19.75">
      <c r="A544" s="8"/>
      <c r="B544" s="7"/>
      <c r="C544" s="8"/>
      <c r="D544" s="8"/>
      <c r="E544" s="11"/>
      <c r="F544" s="8"/>
      <c r="G544" s="8"/>
      <c r="H544" s="8"/>
      <c r="I544" s="8"/>
      <c r="J544" s="8"/>
      <c r="K544" s="8"/>
      <c r="L544" s="8"/>
      <c r="M544" s="8"/>
      <c r="N544" s="8"/>
      <c r="O544" s="8"/>
      <c r="P544" s="8"/>
      <c r="Q544" s="8"/>
      <c r="R544" s="8"/>
      <c r="S544" s="8"/>
      <c r="T544" s="8"/>
      <c r="U544" s="8"/>
      <c r="V544" s="8"/>
      <c r="W544" s="8"/>
      <c r="X544" s="8"/>
      <c r="Y544" s="8"/>
      <c r="Z544" s="8"/>
      <c r="AA544" s="8"/>
    </row>
    <row r="545" spans="1:27" ht="19.75">
      <c r="A545" s="8"/>
      <c r="B545" s="7"/>
      <c r="C545" s="8"/>
      <c r="D545" s="8"/>
      <c r="E545" s="11"/>
      <c r="F545" s="8"/>
      <c r="G545" s="8"/>
      <c r="H545" s="8"/>
      <c r="I545" s="8"/>
      <c r="J545" s="8"/>
      <c r="K545" s="8"/>
      <c r="L545" s="8"/>
      <c r="M545" s="8"/>
      <c r="N545" s="8"/>
      <c r="O545" s="8"/>
      <c r="P545" s="8"/>
      <c r="Q545" s="8"/>
      <c r="R545" s="8"/>
      <c r="S545" s="8"/>
      <c r="T545" s="8"/>
      <c r="U545" s="8"/>
      <c r="V545" s="8"/>
      <c r="W545" s="8"/>
      <c r="X545" s="8"/>
      <c r="Y545" s="8"/>
      <c r="Z545" s="8"/>
      <c r="AA545" s="8"/>
    </row>
    <row r="546" spans="1:27" ht="19.75">
      <c r="A546" s="8"/>
      <c r="B546" s="7"/>
      <c r="C546" s="8"/>
      <c r="D546" s="8"/>
      <c r="E546" s="11"/>
      <c r="F546" s="8"/>
      <c r="G546" s="8"/>
      <c r="H546" s="8"/>
      <c r="I546" s="8"/>
      <c r="J546" s="8"/>
      <c r="K546" s="8"/>
      <c r="L546" s="8"/>
      <c r="M546" s="8"/>
      <c r="N546" s="8"/>
      <c r="O546" s="8"/>
      <c r="P546" s="8"/>
      <c r="Q546" s="8"/>
      <c r="R546" s="8"/>
      <c r="S546" s="8"/>
      <c r="T546" s="8"/>
      <c r="U546" s="8"/>
      <c r="V546" s="8"/>
      <c r="W546" s="8"/>
      <c r="X546" s="8"/>
      <c r="Y546" s="8"/>
      <c r="Z546" s="8"/>
      <c r="AA546" s="8"/>
    </row>
    <row r="547" spans="1:27" ht="19.75">
      <c r="A547" s="8"/>
      <c r="B547" s="7"/>
      <c r="C547" s="8"/>
      <c r="D547" s="8"/>
      <c r="E547" s="11"/>
      <c r="F547" s="8"/>
      <c r="G547" s="8"/>
      <c r="H547" s="8"/>
      <c r="I547" s="8"/>
      <c r="J547" s="8"/>
      <c r="K547" s="8"/>
      <c r="L547" s="8"/>
      <c r="M547" s="8"/>
      <c r="N547" s="8"/>
      <c r="O547" s="8"/>
      <c r="P547" s="8"/>
      <c r="Q547" s="8"/>
      <c r="R547" s="8"/>
      <c r="S547" s="8"/>
      <c r="T547" s="8"/>
      <c r="U547" s="8"/>
      <c r="V547" s="8"/>
      <c r="W547" s="8"/>
      <c r="X547" s="8"/>
      <c r="Y547" s="8"/>
      <c r="Z547" s="8"/>
      <c r="AA547" s="8"/>
    </row>
    <row r="548" spans="1:27" ht="19.75">
      <c r="A548" s="8"/>
      <c r="B548" s="7"/>
      <c r="C548" s="8"/>
      <c r="D548" s="8"/>
      <c r="E548" s="11"/>
      <c r="F548" s="8"/>
      <c r="G548" s="8"/>
      <c r="H548" s="8"/>
      <c r="I548" s="8"/>
      <c r="J548" s="8"/>
      <c r="K548" s="8"/>
      <c r="L548" s="8"/>
      <c r="M548" s="8"/>
      <c r="N548" s="8"/>
      <c r="O548" s="8"/>
      <c r="P548" s="8"/>
      <c r="Q548" s="8"/>
      <c r="R548" s="8"/>
      <c r="S548" s="8"/>
      <c r="T548" s="8"/>
      <c r="U548" s="8"/>
      <c r="V548" s="8"/>
      <c r="W548" s="8"/>
      <c r="X548" s="8"/>
      <c r="Y548" s="8"/>
      <c r="Z548" s="8"/>
      <c r="AA548" s="8"/>
    </row>
    <row r="549" spans="1:27" ht="19.75">
      <c r="A549" s="8"/>
      <c r="B549" s="7"/>
      <c r="C549" s="8"/>
      <c r="D549" s="8"/>
      <c r="E549" s="11"/>
      <c r="F549" s="8"/>
      <c r="G549" s="8"/>
      <c r="H549" s="8"/>
      <c r="I549" s="8"/>
      <c r="J549" s="8"/>
      <c r="K549" s="8"/>
      <c r="L549" s="8"/>
      <c r="M549" s="8"/>
      <c r="N549" s="8"/>
      <c r="O549" s="8"/>
      <c r="P549" s="8"/>
      <c r="Q549" s="8"/>
      <c r="R549" s="8"/>
      <c r="S549" s="8"/>
      <c r="T549" s="8"/>
      <c r="U549" s="8"/>
      <c r="V549" s="8"/>
      <c r="W549" s="8"/>
      <c r="X549" s="8"/>
      <c r="Y549" s="8"/>
      <c r="Z549" s="8"/>
      <c r="AA549" s="8"/>
    </row>
    <row r="550" spans="1:27" ht="19.75">
      <c r="A550" s="8"/>
      <c r="B550" s="7"/>
      <c r="C550" s="8"/>
      <c r="D550" s="8"/>
      <c r="E550" s="11"/>
      <c r="F550" s="8"/>
      <c r="G550" s="8"/>
      <c r="H550" s="8"/>
      <c r="I550" s="8"/>
      <c r="J550" s="8"/>
      <c r="K550" s="8"/>
      <c r="L550" s="8"/>
      <c r="M550" s="8"/>
      <c r="N550" s="8"/>
      <c r="O550" s="8"/>
      <c r="P550" s="8"/>
      <c r="Q550" s="8"/>
      <c r="R550" s="8"/>
      <c r="S550" s="8"/>
      <c r="T550" s="8"/>
      <c r="U550" s="8"/>
      <c r="V550" s="8"/>
      <c r="W550" s="8"/>
      <c r="X550" s="8"/>
      <c r="Y550" s="8"/>
      <c r="Z550" s="8"/>
      <c r="AA550" s="8"/>
    </row>
    <row r="551" spans="1:27" ht="19.75">
      <c r="A551" s="8"/>
      <c r="B551" s="7"/>
      <c r="C551" s="8"/>
      <c r="D551" s="8"/>
      <c r="E551" s="11"/>
      <c r="F551" s="8"/>
      <c r="G551" s="8"/>
      <c r="H551" s="8"/>
      <c r="I551" s="8"/>
      <c r="J551" s="8"/>
      <c r="K551" s="8"/>
      <c r="L551" s="8"/>
      <c r="M551" s="8"/>
      <c r="N551" s="8"/>
      <c r="O551" s="8"/>
      <c r="P551" s="8"/>
      <c r="Q551" s="8"/>
      <c r="R551" s="8"/>
      <c r="S551" s="8"/>
      <c r="T551" s="8"/>
      <c r="U551" s="8"/>
      <c r="V551" s="8"/>
      <c r="W551" s="8"/>
      <c r="X551" s="8"/>
      <c r="Y551" s="8"/>
      <c r="Z551" s="8"/>
      <c r="AA551" s="8"/>
    </row>
    <row r="552" spans="1:27" ht="19.75">
      <c r="A552" s="8"/>
      <c r="B552" s="7"/>
      <c r="C552" s="8"/>
      <c r="D552" s="8"/>
      <c r="E552" s="11"/>
      <c r="F552" s="8"/>
      <c r="G552" s="8"/>
      <c r="H552" s="8"/>
      <c r="I552" s="8"/>
      <c r="J552" s="8"/>
      <c r="K552" s="8"/>
      <c r="L552" s="8"/>
      <c r="M552" s="8"/>
      <c r="N552" s="8"/>
      <c r="O552" s="8"/>
      <c r="P552" s="8"/>
      <c r="Q552" s="8"/>
      <c r="R552" s="8"/>
      <c r="S552" s="8"/>
      <c r="T552" s="8"/>
      <c r="U552" s="8"/>
      <c r="V552" s="8"/>
      <c r="W552" s="8"/>
      <c r="X552" s="8"/>
      <c r="Y552" s="8"/>
      <c r="Z552" s="8"/>
      <c r="AA552" s="8"/>
    </row>
    <row r="553" spans="1:27" ht="19.75">
      <c r="A553" s="8"/>
      <c r="B553" s="7"/>
      <c r="C553" s="8"/>
      <c r="D553" s="8"/>
      <c r="E553" s="11"/>
      <c r="F553" s="8"/>
      <c r="G553" s="8"/>
      <c r="H553" s="8"/>
      <c r="I553" s="8"/>
      <c r="J553" s="8"/>
      <c r="K553" s="8"/>
      <c r="L553" s="8"/>
      <c r="M553" s="8"/>
      <c r="N553" s="8"/>
      <c r="O553" s="8"/>
      <c r="P553" s="8"/>
      <c r="Q553" s="8"/>
      <c r="R553" s="8"/>
      <c r="S553" s="8"/>
      <c r="T553" s="8"/>
      <c r="U553" s="8"/>
      <c r="V553" s="8"/>
      <c r="W553" s="8"/>
      <c r="X553" s="8"/>
      <c r="Y553" s="8"/>
      <c r="Z553" s="8"/>
      <c r="AA553" s="8"/>
    </row>
    <row r="554" spans="1:27" ht="19.75">
      <c r="A554" s="8"/>
      <c r="B554" s="7"/>
      <c r="C554" s="8"/>
      <c r="D554" s="8"/>
      <c r="E554" s="11"/>
      <c r="F554" s="8"/>
      <c r="G554" s="8"/>
      <c r="H554" s="8"/>
      <c r="I554" s="8"/>
      <c r="J554" s="8"/>
      <c r="K554" s="8"/>
      <c r="L554" s="8"/>
      <c r="M554" s="8"/>
      <c r="N554" s="8"/>
      <c r="O554" s="8"/>
      <c r="P554" s="8"/>
      <c r="Q554" s="8"/>
      <c r="R554" s="8"/>
      <c r="S554" s="8"/>
      <c r="T554" s="8"/>
      <c r="U554" s="8"/>
      <c r="V554" s="8"/>
      <c r="W554" s="8"/>
      <c r="X554" s="8"/>
      <c r="Y554" s="8"/>
      <c r="Z554" s="8"/>
      <c r="AA554" s="8"/>
    </row>
    <row r="555" spans="1:27" ht="19.75">
      <c r="A555" s="8"/>
      <c r="B555" s="7"/>
      <c r="C555" s="8"/>
      <c r="D555" s="8"/>
      <c r="E555" s="11"/>
      <c r="F555" s="8"/>
      <c r="G555" s="8"/>
      <c r="H555" s="8"/>
      <c r="I555" s="8"/>
      <c r="J555" s="8"/>
      <c r="K555" s="8"/>
      <c r="L555" s="8"/>
      <c r="M555" s="8"/>
      <c r="N555" s="8"/>
      <c r="O555" s="8"/>
      <c r="P555" s="8"/>
      <c r="Q555" s="8"/>
      <c r="R555" s="8"/>
      <c r="S555" s="8"/>
      <c r="T555" s="8"/>
      <c r="U555" s="8"/>
      <c r="V555" s="8"/>
      <c r="W555" s="8"/>
      <c r="X555" s="8"/>
      <c r="Y555" s="8"/>
      <c r="Z555" s="8"/>
      <c r="AA555" s="8"/>
    </row>
    <row r="556" spans="1:27" ht="19.75">
      <c r="A556" s="8"/>
      <c r="B556" s="7"/>
      <c r="C556" s="8"/>
      <c r="D556" s="8"/>
      <c r="E556" s="11"/>
      <c r="F556" s="8"/>
      <c r="G556" s="8"/>
      <c r="H556" s="8"/>
      <c r="I556" s="8"/>
      <c r="J556" s="8"/>
      <c r="K556" s="8"/>
      <c r="L556" s="8"/>
      <c r="M556" s="8"/>
      <c r="N556" s="8"/>
      <c r="O556" s="8"/>
      <c r="P556" s="8"/>
      <c r="Q556" s="8"/>
      <c r="R556" s="8"/>
      <c r="S556" s="8"/>
      <c r="T556" s="8"/>
      <c r="U556" s="8"/>
      <c r="V556" s="8"/>
      <c r="W556" s="8"/>
      <c r="X556" s="8"/>
      <c r="Y556" s="8"/>
      <c r="Z556" s="8"/>
      <c r="AA556" s="8"/>
    </row>
    <row r="557" spans="1:27" ht="19.75">
      <c r="A557" s="8"/>
      <c r="B557" s="7"/>
      <c r="C557" s="8"/>
      <c r="D557" s="8"/>
      <c r="E557" s="11"/>
      <c r="F557" s="8"/>
      <c r="G557" s="8"/>
      <c r="H557" s="8"/>
      <c r="I557" s="8"/>
      <c r="J557" s="8"/>
      <c r="K557" s="8"/>
      <c r="L557" s="8"/>
      <c r="M557" s="8"/>
      <c r="N557" s="8"/>
      <c r="O557" s="8"/>
      <c r="P557" s="8"/>
      <c r="Q557" s="8"/>
      <c r="R557" s="8"/>
      <c r="S557" s="8"/>
      <c r="T557" s="8"/>
      <c r="U557" s="8"/>
      <c r="V557" s="8"/>
      <c r="W557" s="8"/>
      <c r="X557" s="8"/>
      <c r="Y557" s="8"/>
      <c r="Z557" s="8"/>
      <c r="AA557" s="8"/>
    </row>
    <row r="558" spans="1:27" ht="19.75">
      <c r="A558" s="8"/>
      <c r="B558" s="7"/>
      <c r="C558" s="8"/>
      <c r="D558" s="8"/>
      <c r="E558" s="11"/>
      <c r="F558" s="8"/>
      <c r="G558" s="8"/>
      <c r="H558" s="8"/>
      <c r="I558" s="8"/>
      <c r="J558" s="8"/>
      <c r="K558" s="8"/>
      <c r="L558" s="8"/>
      <c r="M558" s="8"/>
      <c r="N558" s="8"/>
      <c r="O558" s="8"/>
      <c r="P558" s="8"/>
      <c r="Q558" s="8"/>
      <c r="R558" s="8"/>
      <c r="S558" s="8"/>
      <c r="T558" s="8"/>
      <c r="U558" s="8"/>
      <c r="V558" s="8"/>
      <c r="W558" s="8"/>
      <c r="X558" s="8"/>
      <c r="Y558" s="8"/>
      <c r="Z558" s="8"/>
      <c r="AA558" s="8"/>
    </row>
    <row r="559" spans="1:27" ht="19.75">
      <c r="A559" s="8"/>
      <c r="B559" s="7"/>
      <c r="C559" s="8"/>
      <c r="D559" s="8"/>
      <c r="E559" s="11"/>
      <c r="F559" s="8"/>
      <c r="G559" s="8"/>
      <c r="H559" s="8"/>
      <c r="I559" s="8"/>
      <c r="J559" s="8"/>
      <c r="K559" s="8"/>
      <c r="L559" s="8"/>
      <c r="M559" s="8"/>
      <c r="N559" s="8"/>
      <c r="O559" s="8"/>
      <c r="P559" s="8"/>
      <c r="Q559" s="8"/>
      <c r="R559" s="8"/>
      <c r="S559" s="8"/>
      <c r="T559" s="8"/>
      <c r="U559" s="8"/>
      <c r="V559" s="8"/>
      <c r="W559" s="8"/>
      <c r="X559" s="8"/>
      <c r="Y559" s="8"/>
      <c r="Z559" s="8"/>
      <c r="AA559" s="8"/>
    </row>
    <row r="560" spans="1:27" ht="19.75">
      <c r="A560" s="8"/>
      <c r="B560" s="7"/>
      <c r="C560" s="8"/>
      <c r="D560" s="8"/>
      <c r="E560" s="11"/>
      <c r="F560" s="8"/>
      <c r="G560" s="8"/>
      <c r="H560" s="8"/>
      <c r="I560" s="8"/>
      <c r="J560" s="8"/>
      <c r="K560" s="8"/>
      <c r="L560" s="8"/>
      <c r="M560" s="8"/>
      <c r="N560" s="8"/>
      <c r="O560" s="8"/>
      <c r="P560" s="8"/>
      <c r="Q560" s="8"/>
      <c r="R560" s="8"/>
      <c r="S560" s="8"/>
      <c r="T560" s="8"/>
      <c r="U560" s="8"/>
      <c r="V560" s="8"/>
      <c r="W560" s="8"/>
      <c r="X560" s="8"/>
      <c r="Y560" s="8"/>
      <c r="Z560" s="8"/>
      <c r="AA560" s="8"/>
    </row>
    <row r="561" spans="1:27" ht="19.75">
      <c r="A561" s="8"/>
      <c r="B561" s="7"/>
      <c r="C561" s="8"/>
      <c r="D561" s="8"/>
      <c r="E561" s="11"/>
      <c r="F561" s="8"/>
      <c r="G561" s="8"/>
      <c r="H561" s="8"/>
      <c r="I561" s="8"/>
      <c r="J561" s="8"/>
      <c r="K561" s="8"/>
      <c r="L561" s="8"/>
      <c r="M561" s="8"/>
      <c r="N561" s="8"/>
      <c r="O561" s="8"/>
      <c r="P561" s="8"/>
      <c r="Q561" s="8"/>
      <c r="R561" s="8"/>
      <c r="S561" s="8"/>
      <c r="T561" s="8"/>
      <c r="U561" s="8"/>
      <c r="V561" s="8"/>
      <c r="W561" s="8"/>
      <c r="X561" s="8"/>
      <c r="Y561" s="8"/>
      <c r="Z561" s="8"/>
      <c r="AA561" s="8"/>
    </row>
    <row r="562" spans="1:27" ht="19.75">
      <c r="A562" s="8"/>
      <c r="B562" s="7"/>
      <c r="C562" s="8"/>
      <c r="D562" s="8"/>
      <c r="E562" s="11"/>
      <c r="F562" s="8"/>
      <c r="G562" s="8"/>
      <c r="H562" s="8"/>
      <c r="I562" s="8"/>
      <c r="J562" s="8"/>
      <c r="K562" s="8"/>
      <c r="L562" s="8"/>
      <c r="M562" s="8"/>
      <c r="N562" s="8"/>
      <c r="O562" s="8"/>
      <c r="P562" s="8"/>
      <c r="Q562" s="8"/>
      <c r="R562" s="8"/>
      <c r="S562" s="8"/>
      <c r="T562" s="8"/>
      <c r="U562" s="8"/>
      <c r="V562" s="8"/>
      <c r="W562" s="8"/>
      <c r="X562" s="8"/>
      <c r="Y562" s="8"/>
      <c r="Z562" s="8"/>
      <c r="AA562" s="8"/>
    </row>
    <row r="563" spans="1:27" ht="19.75">
      <c r="A563" s="8"/>
      <c r="B563" s="7"/>
      <c r="C563" s="8"/>
      <c r="D563" s="8"/>
      <c r="E563" s="11"/>
      <c r="F563" s="8"/>
      <c r="G563" s="8"/>
      <c r="H563" s="8"/>
      <c r="I563" s="8"/>
      <c r="J563" s="8"/>
      <c r="K563" s="8"/>
      <c r="L563" s="8"/>
      <c r="M563" s="8"/>
      <c r="N563" s="8"/>
      <c r="O563" s="8"/>
      <c r="P563" s="8"/>
      <c r="Q563" s="8"/>
      <c r="R563" s="8"/>
      <c r="S563" s="8"/>
      <c r="T563" s="8"/>
      <c r="U563" s="8"/>
      <c r="V563" s="8"/>
      <c r="W563" s="8"/>
      <c r="X563" s="8"/>
      <c r="Y563" s="8"/>
      <c r="Z563" s="8"/>
      <c r="AA563" s="8"/>
    </row>
    <row r="564" spans="1:27" ht="19.75">
      <c r="A564" s="8"/>
      <c r="B564" s="7"/>
      <c r="C564" s="8"/>
      <c r="D564" s="8"/>
      <c r="E564" s="11"/>
      <c r="F564" s="8"/>
      <c r="G564" s="8"/>
      <c r="H564" s="8"/>
      <c r="I564" s="8"/>
      <c r="J564" s="8"/>
      <c r="K564" s="8"/>
      <c r="L564" s="8"/>
      <c r="M564" s="8"/>
      <c r="N564" s="8"/>
      <c r="O564" s="8"/>
      <c r="P564" s="8"/>
      <c r="Q564" s="8"/>
      <c r="R564" s="8"/>
      <c r="S564" s="8"/>
      <c r="T564" s="8"/>
      <c r="U564" s="8"/>
      <c r="V564" s="8"/>
      <c r="W564" s="8"/>
      <c r="X564" s="8"/>
      <c r="Y564" s="8"/>
      <c r="Z564" s="8"/>
      <c r="AA564" s="8"/>
    </row>
    <row r="565" spans="1:27" ht="19.75">
      <c r="A565" s="8"/>
      <c r="B565" s="7"/>
      <c r="C565" s="8"/>
      <c r="D565" s="8"/>
      <c r="E565" s="11"/>
      <c r="F565" s="8"/>
      <c r="G565" s="8"/>
      <c r="H565" s="8"/>
      <c r="I565" s="8"/>
      <c r="J565" s="8"/>
      <c r="K565" s="8"/>
      <c r="L565" s="8"/>
      <c r="M565" s="8"/>
      <c r="N565" s="8"/>
      <c r="O565" s="8"/>
      <c r="P565" s="8"/>
      <c r="Q565" s="8"/>
      <c r="R565" s="8"/>
      <c r="S565" s="8"/>
      <c r="T565" s="8"/>
      <c r="U565" s="8"/>
      <c r="V565" s="8"/>
      <c r="W565" s="8"/>
      <c r="X565" s="8"/>
      <c r="Y565" s="8"/>
      <c r="Z565" s="8"/>
      <c r="AA565" s="8"/>
    </row>
    <row r="566" spans="1:27" ht="19.75">
      <c r="A566" s="8"/>
      <c r="B566" s="7"/>
      <c r="C566" s="8"/>
      <c r="D566" s="8"/>
      <c r="E566" s="11"/>
      <c r="F566" s="8"/>
      <c r="G566" s="8"/>
      <c r="H566" s="8"/>
      <c r="I566" s="8"/>
      <c r="J566" s="8"/>
      <c r="K566" s="8"/>
      <c r="L566" s="8"/>
      <c r="M566" s="8"/>
      <c r="N566" s="8"/>
      <c r="O566" s="8"/>
      <c r="P566" s="8"/>
      <c r="Q566" s="8"/>
      <c r="R566" s="8"/>
      <c r="S566" s="8"/>
      <c r="T566" s="8"/>
      <c r="U566" s="8"/>
      <c r="V566" s="8"/>
      <c r="W566" s="8"/>
      <c r="X566" s="8"/>
      <c r="Y566" s="8"/>
      <c r="Z566" s="8"/>
      <c r="AA566" s="8"/>
    </row>
    <row r="567" spans="1:27" ht="19.75">
      <c r="A567" s="8"/>
      <c r="B567" s="7"/>
      <c r="C567" s="8"/>
      <c r="D567" s="8"/>
      <c r="E567" s="11"/>
      <c r="F567" s="8"/>
      <c r="G567" s="8"/>
      <c r="H567" s="8"/>
      <c r="I567" s="8"/>
      <c r="J567" s="8"/>
      <c r="K567" s="8"/>
      <c r="L567" s="8"/>
      <c r="M567" s="8"/>
      <c r="N567" s="8"/>
      <c r="O567" s="8"/>
      <c r="P567" s="8"/>
      <c r="Q567" s="8"/>
      <c r="R567" s="8"/>
      <c r="S567" s="8"/>
      <c r="T567" s="8"/>
      <c r="U567" s="8"/>
      <c r="V567" s="8"/>
      <c r="W567" s="8"/>
      <c r="X567" s="8"/>
      <c r="Y567" s="8"/>
      <c r="Z567" s="8"/>
      <c r="AA567" s="8"/>
    </row>
    <row r="568" spans="1:27" ht="19.75">
      <c r="A568" s="8"/>
      <c r="B568" s="7"/>
      <c r="C568" s="8"/>
      <c r="D568" s="8"/>
      <c r="E568" s="11"/>
      <c r="F568" s="8"/>
      <c r="G568" s="8"/>
      <c r="H568" s="8"/>
      <c r="I568" s="8"/>
      <c r="J568" s="8"/>
      <c r="K568" s="8"/>
      <c r="L568" s="8"/>
      <c r="M568" s="8"/>
      <c r="N568" s="8"/>
      <c r="O568" s="8"/>
      <c r="P568" s="8"/>
      <c r="Q568" s="8"/>
      <c r="R568" s="8"/>
      <c r="S568" s="8"/>
      <c r="T568" s="8"/>
      <c r="U568" s="8"/>
      <c r="V568" s="8"/>
      <c r="W568" s="8"/>
      <c r="X568" s="8"/>
      <c r="Y568" s="8"/>
      <c r="Z568" s="8"/>
      <c r="AA568" s="8"/>
    </row>
    <row r="569" spans="1:27" ht="19.75">
      <c r="A569" s="8"/>
      <c r="B569" s="7"/>
      <c r="C569" s="8"/>
      <c r="D569" s="8"/>
      <c r="E569" s="11"/>
      <c r="F569" s="8"/>
      <c r="G569" s="8"/>
      <c r="H569" s="8"/>
      <c r="I569" s="8"/>
      <c r="J569" s="8"/>
      <c r="K569" s="8"/>
      <c r="L569" s="8"/>
      <c r="M569" s="8"/>
      <c r="N569" s="8"/>
      <c r="O569" s="8"/>
      <c r="P569" s="8"/>
      <c r="Q569" s="8"/>
      <c r="R569" s="8"/>
      <c r="S569" s="8"/>
      <c r="T569" s="8"/>
      <c r="U569" s="8"/>
      <c r="V569" s="8"/>
      <c r="W569" s="8"/>
      <c r="X569" s="8"/>
      <c r="Y569" s="8"/>
      <c r="Z569" s="8"/>
      <c r="AA569" s="8"/>
    </row>
    <row r="570" spans="1:27" ht="19.75">
      <c r="A570" s="8"/>
      <c r="B570" s="7"/>
      <c r="C570" s="8"/>
      <c r="D570" s="8"/>
      <c r="E570" s="11"/>
      <c r="F570" s="8"/>
      <c r="G570" s="8"/>
      <c r="H570" s="8"/>
      <c r="I570" s="8"/>
      <c r="J570" s="8"/>
      <c r="K570" s="8"/>
      <c r="L570" s="8"/>
      <c r="M570" s="8"/>
      <c r="N570" s="8"/>
      <c r="O570" s="8"/>
      <c r="P570" s="8"/>
      <c r="Q570" s="8"/>
      <c r="R570" s="8"/>
      <c r="S570" s="8"/>
      <c r="T570" s="8"/>
      <c r="U570" s="8"/>
      <c r="V570" s="8"/>
      <c r="W570" s="8"/>
      <c r="X570" s="8"/>
      <c r="Y570" s="8"/>
      <c r="Z570" s="8"/>
      <c r="AA570" s="8"/>
    </row>
    <row r="571" spans="1:27" ht="19.75">
      <c r="A571" s="8"/>
      <c r="B571" s="7"/>
      <c r="C571" s="8"/>
      <c r="D571" s="8"/>
      <c r="E571" s="11"/>
      <c r="F571" s="8"/>
      <c r="G571" s="8"/>
      <c r="H571" s="8"/>
      <c r="I571" s="8"/>
      <c r="J571" s="8"/>
      <c r="K571" s="8"/>
      <c r="L571" s="8"/>
      <c r="M571" s="8"/>
      <c r="N571" s="8"/>
      <c r="O571" s="8"/>
      <c r="P571" s="8"/>
      <c r="Q571" s="8"/>
      <c r="R571" s="8"/>
      <c r="S571" s="8"/>
      <c r="T571" s="8"/>
      <c r="U571" s="8"/>
      <c r="V571" s="8"/>
      <c r="W571" s="8"/>
      <c r="X571" s="8"/>
      <c r="Y571" s="8"/>
      <c r="Z571" s="8"/>
      <c r="AA571" s="8"/>
    </row>
    <row r="572" spans="1:27" ht="19.75">
      <c r="A572" s="8"/>
      <c r="B572" s="7"/>
      <c r="C572" s="8"/>
      <c r="D572" s="8"/>
      <c r="E572" s="11"/>
      <c r="F572" s="8"/>
      <c r="G572" s="8"/>
      <c r="H572" s="8"/>
      <c r="I572" s="8"/>
      <c r="J572" s="8"/>
      <c r="K572" s="8"/>
      <c r="L572" s="8"/>
      <c r="M572" s="8"/>
      <c r="N572" s="8"/>
      <c r="O572" s="8"/>
      <c r="P572" s="8"/>
      <c r="Q572" s="8"/>
      <c r="R572" s="8"/>
      <c r="S572" s="8"/>
      <c r="T572" s="8"/>
      <c r="U572" s="8"/>
      <c r="V572" s="8"/>
      <c r="W572" s="8"/>
      <c r="X572" s="8"/>
      <c r="Y572" s="8"/>
      <c r="Z572" s="8"/>
      <c r="AA572" s="8"/>
    </row>
    <row r="573" spans="1:27" ht="19.75">
      <c r="A573" s="8"/>
      <c r="B573" s="7"/>
      <c r="C573" s="8"/>
      <c r="D573" s="8"/>
      <c r="E573" s="11"/>
      <c r="F573" s="8"/>
      <c r="G573" s="8"/>
      <c r="H573" s="8"/>
      <c r="I573" s="8"/>
      <c r="J573" s="8"/>
      <c r="K573" s="8"/>
      <c r="L573" s="8"/>
      <c r="M573" s="8"/>
      <c r="N573" s="8"/>
      <c r="O573" s="8"/>
      <c r="P573" s="8"/>
      <c r="Q573" s="8"/>
      <c r="R573" s="8"/>
      <c r="S573" s="8"/>
      <c r="T573" s="8"/>
      <c r="U573" s="8"/>
      <c r="V573" s="8"/>
      <c r="W573" s="8"/>
      <c r="X573" s="8"/>
      <c r="Y573" s="8"/>
      <c r="Z573" s="8"/>
      <c r="AA573" s="8"/>
    </row>
    <row r="574" spans="1:27" ht="19.75">
      <c r="A574" s="8"/>
      <c r="B574" s="7"/>
      <c r="C574" s="8"/>
      <c r="D574" s="8"/>
      <c r="E574" s="11"/>
      <c r="F574" s="8"/>
      <c r="G574" s="8"/>
      <c r="H574" s="8"/>
      <c r="I574" s="8"/>
      <c r="J574" s="8"/>
      <c r="K574" s="8"/>
      <c r="L574" s="8"/>
      <c r="M574" s="8"/>
      <c r="N574" s="8"/>
      <c r="O574" s="8"/>
      <c r="P574" s="8"/>
      <c r="Q574" s="8"/>
      <c r="R574" s="8"/>
      <c r="S574" s="8"/>
      <c r="T574" s="8"/>
      <c r="U574" s="8"/>
      <c r="V574" s="8"/>
      <c r="W574" s="8"/>
      <c r="X574" s="8"/>
      <c r="Y574" s="8"/>
      <c r="Z574" s="8"/>
      <c r="AA574" s="8"/>
    </row>
    <row r="575" spans="1:27" ht="19.75">
      <c r="A575" s="8"/>
      <c r="B575" s="7"/>
      <c r="C575" s="8"/>
      <c r="D575" s="8"/>
      <c r="E575" s="11"/>
      <c r="F575" s="8"/>
      <c r="G575" s="8"/>
      <c r="H575" s="8"/>
      <c r="I575" s="8"/>
      <c r="J575" s="8"/>
      <c r="K575" s="8"/>
      <c r="L575" s="8"/>
      <c r="M575" s="8"/>
      <c r="N575" s="8"/>
      <c r="O575" s="8"/>
      <c r="P575" s="8"/>
      <c r="Q575" s="8"/>
      <c r="R575" s="8"/>
      <c r="S575" s="8"/>
      <c r="T575" s="8"/>
      <c r="U575" s="8"/>
      <c r="V575" s="8"/>
      <c r="W575" s="8"/>
      <c r="X575" s="8"/>
      <c r="Y575" s="8"/>
      <c r="Z575" s="8"/>
      <c r="AA575" s="8"/>
    </row>
    <row r="576" spans="1:27" ht="19.75">
      <c r="A576" s="8"/>
      <c r="B576" s="7"/>
      <c r="C576" s="8"/>
      <c r="D576" s="8"/>
      <c r="E576" s="11"/>
      <c r="F576" s="8"/>
      <c r="G576" s="8"/>
      <c r="H576" s="8"/>
      <c r="I576" s="8"/>
      <c r="J576" s="8"/>
      <c r="K576" s="8"/>
      <c r="L576" s="8"/>
      <c r="M576" s="8"/>
      <c r="N576" s="8"/>
      <c r="O576" s="8"/>
      <c r="P576" s="8"/>
      <c r="Q576" s="8"/>
      <c r="R576" s="8"/>
      <c r="S576" s="8"/>
      <c r="T576" s="8"/>
      <c r="U576" s="8"/>
      <c r="V576" s="8"/>
      <c r="W576" s="8"/>
      <c r="X576" s="8"/>
      <c r="Y576" s="8"/>
      <c r="Z576" s="8"/>
      <c r="AA576" s="8"/>
    </row>
    <row r="577" spans="1:27" ht="19.75">
      <c r="A577" s="8"/>
      <c r="B577" s="7"/>
      <c r="C577" s="8"/>
      <c r="D577" s="8"/>
      <c r="E577" s="11"/>
      <c r="F577" s="8"/>
      <c r="G577" s="8"/>
      <c r="H577" s="8"/>
      <c r="I577" s="8"/>
      <c r="J577" s="8"/>
      <c r="K577" s="8"/>
      <c r="L577" s="8"/>
      <c r="M577" s="8"/>
      <c r="N577" s="8"/>
      <c r="O577" s="8"/>
      <c r="P577" s="8"/>
      <c r="Q577" s="8"/>
      <c r="R577" s="8"/>
      <c r="S577" s="8"/>
      <c r="T577" s="8"/>
      <c r="U577" s="8"/>
      <c r="V577" s="8"/>
      <c r="W577" s="8"/>
      <c r="X577" s="8"/>
      <c r="Y577" s="8"/>
      <c r="Z577" s="8"/>
      <c r="AA577" s="8"/>
    </row>
    <row r="578" spans="1:27" ht="19.75">
      <c r="A578" s="8"/>
      <c r="B578" s="7"/>
      <c r="C578" s="8"/>
      <c r="D578" s="8"/>
      <c r="E578" s="11"/>
      <c r="F578" s="8"/>
      <c r="G578" s="8"/>
      <c r="H578" s="8"/>
      <c r="I578" s="8"/>
      <c r="J578" s="8"/>
      <c r="K578" s="8"/>
      <c r="L578" s="8"/>
      <c r="M578" s="8"/>
      <c r="N578" s="8"/>
      <c r="O578" s="8"/>
      <c r="P578" s="8"/>
      <c r="Q578" s="8"/>
      <c r="R578" s="8"/>
      <c r="S578" s="8"/>
      <c r="T578" s="8"/>
      <c r="U578" s="8"/>
      <c r="V578" s="8"/>
      <c r="W578" s="8"/>
      <c r="X578" s="8"/>
      <c r="Y578" s="8"/>
      <c r="Z578" s="8"/>
      <c r="AA578" s="8"/>
    </row>
    <row r="579" spans="1:27" ht="19.75">
      <c r="A579" s="8"/>
      <c r="B579" s="7"/>
      <c r="C579" s="8"/>
      <c r="D579" s="8"/>
      <c r="E579" s="11"/>
      <c r="F579" s="8"/>
      <c r="G579" s="8"/>
      <c r="H579" s="8"/>
      <c r="I579" s="8"/>
      <c r="J579" s="8"/>
      <c r="K579" s="8"/>
      <c r="L579" s="8"/>
      <c r="M579" s="8"/>
      <c r="N579" s="8"/>
      <c r="O579" s="8"/>
      <c r="P579" s="8"/>
      <c r="Q579" s="8"/>
      <c r="R579" s="8"/>
      <c r="S579" s="8"/>
      <c r="T579" s="8"/>
      <c r="U579" s="8"/>
      <c r="V579" s="8"/>
      <c r="W579" s="8"/>
      <c r="X579" s="8"/>
      <c r="Y579" s="8"/>
      <c r="Z579" s="8"/>
      <c r="AA579" s="8"/>
    </row>
    <row r="580" spans="1:27" ht="19.75">
      <c r="A580" s="8"/>
      <c r="B580" s="7"/>
      <c r="C580" s="8"/>
      <c r="D580" s="8"/>
      <c r="E580" s="11"/>
      <c r="F580" s="8"/>
      <c r="G580" s="8"/>
      <c r="H580" s="8"/>
      <c r="I580" s="8"/>
      <c r="J580" s="8"/>
      <c r="K580" s="8"/>
      <c r="L580" s="8"/>
      <c r="M580" s="8"/>
      <c r="N580" s="8"/>
      <c r="O580" s="8"/>
      <c r="P580" s="8"/>
      <c r="Q580" s="8"/>
      <c r="R580" s="8"/>
      <c r="S580" s="8"/>
      <c r="T580" s="8"/>
      <c r="U580" s="8"/>
      <c r="V580" s="8"/>
      <c r="W580" s="8"/>
      <c r="X580" s="8"/>
      <c r="Y580" s="8"/>
      <c r="Z580" s="8"/>
      <c r="AA580" s="8"/>
    </row>
    <row r="581" spans="1:27" ht="19.75">
      <c r="A581" s="8"/>
      <c r="B581" s="7"/>
      <c r="C581" s="8"/>
      <c r="D581" s="8"/>
      <c r="E581" s="11"/>
      <c r="F581" s="8"/>
      <c r="G581" s="8"/>
      <c r="H581" s="8"/>
      <c r="I581" s="8"/>
      <c r="J581" s="8"/>
      <c r="K581" s="8"/>
      <c r="L581" s="8"/>
      <c r="M581" s="8"/>
      <c r="N581" s="8"/>
      <c r="O581" s="8"/>
      <c r="P581" s="8"/>
      <c r="Q581" s="8"/>
      <c r="R581" s="8"/>
      <c r="S581" s="8"/>
      <c r="T581" s="8"/>
      <c r="U581" s="8"/>
      <c r="V581" s="8"/>
      <c r="W581" s="8"/>
      <c r="X581" s="8"/>
      <c r="Y581" s="8"/>
      <c r="Z581" s="8"/>
      <c r="AA581" s="8"/>
    </row>
    <row r="582" spans="1:27" ht="19.75">
      <c r="A582" s="8"/>
      <c r="B582" s="7"/>
      <c r="C582" s="8"/>
      <c r="D582" s="8"/>
      <c r="E582" s="11"/>
      <c r="F582" s="8"/>
      <c r="G582" s="8"/>
      <c r="H582" s="8"/>
      <c r="I582" s="8"/>
      <c r="J582" s="8"/>
      <c r="K582" s="8"/>
      <c r="L582" s="8"/>
      <c r="M582" s="8"/>
      <c r="N582" s="8"/>
      <c r="O582" s="8"/>
      <c r="P582" s="8"/>
      <c r="Q582" s="8"/>
      <c r="R582" s="8"/>
      <c r="S582" s="8"/>
      <c r="T582" s="8"/>
      <c r="U582" s="8"/>
      <c r="V582" s="8"/>
      <c r="W582" s="8"/>
      <c r="X582" s="8"/>
      <c r="Y582" s="8"/>
      <c r="Z582" s="8"/>
      <c r="AA582" s="8"/>
    </row>
    <row r="583" spans="1:27" ht="19.75">
      <c r="A583" s="8"/>
      <c r="B583" s="7"/>
      <c r="C583" s="8"/>
      <c r="D583" s="8"/>
      <c r="E583" s="11"/>
      <c r="F583" s="8"/>
      <c r="G583" s="8"/>
      <c r="H583" s="8"/>
      <c r="I583" s="8"/>
      <c r="J583" s="8"/>
      <c r="K583" s="8"/>
      <c r="L583" s="8"/>
      <c r="M583" s="8"/>
      <c r="N583" s="8"/>
      <c r="O583" s="8"/>
      <c r="P583" s="8"/>
      <c r="Q583" s="8"/>
      <c r="R583" s="8"/>
      <c r="S583" s="8"/>
      <c r="T583" s="8"/>
      <c r="U583" s="8"/>
      <c r="V583" s="8"/>
      <c r="W583" s="8"/>
      <c r="X583" s="8"/>
      <c r="Y583" s="8"/>
      <c r="Z583" s="8"/>
      <c r="AA583" s="8"/>
    </row>
    <row r="584" spans="1:27" ht="19.75">
      <c r="A584" s="8"/>
      <c r="B584" s="7"/>
      <c r="C584" s="8"/>
      <c r="D584" s="8"/>
      <c r="E584" s="11"/>
      <c r="F584" s="8"/>
      <c r="G584" s="8"/>
      <c r="H584" s="8"/>
      <c r="I584" s="8"/>
      <c r="J584" s="8"/>
      <c r="K584" s="8"/>
      <c r="L584" s="8"/>
      <c r="M584" s="8"/>
      <c r="N584" s="8"/>
      <c r="O584" s="8"/>
      <c r="P584" s="8"/>
      <c r="Q584" s="8"/>
      <c r="R584" s="8"/>
      <c r="S584" s="8"/>
      <c r="T584" s="8"/>
      <c r="U584" s="8"/>
      <c r="V584" s="8"/>
      <c r="W584" s="8"/>
      <c r="X584" s="8"/>
      <c r="Y584" s="8"/>
      <c r="Z584" s="8"/>
      <c r="AA584" s="8"/>
    </row>
    <row r="585" spans="1:27" ht="19.75">
      <c r="A585" s="8"/>
      <c r="B585" s="7"/>
      <c r="C585" s="8"/>
      <c r="D585" s="8"/>
      <c r="E585" s="11"/>
      <c r="F585" s="8"/>
      <c r="G585" s="8"/>
      <c r="H585" s="8"/>
      <c r="I585" s="8"/>
      <c r="J585" s="8"/>
      <c r="K585" s="8"/>
      <c r="L585" s="8"/>
      <c r="M585" s="8"/>
      <c r="N585" s="8"/>
      <c r="O585" s="8"/>
      <c r="P585" s="8"/>
      <c r="Q585" s="8"/>
      <c r="R585" s="8"/>
      <c r="S585" s="8"/>
      <c r="T585" s="8"/>
      <c r="U585" s="8"/>
      <c r="V585" s="8"/>
      <c r="W585" s="8"/>
      <c r="X585" s="8"/>
      <c r="Y585" s="8"/>
      <c r="Z585" s="8"/>
      <c r="AA585" s="8"/>
    </row>
    <row r="586" spans="1:27" ht="19.75">
      <c r="A586" s="8"/>
      <c r="B586" s="7"/>
      <c r="C586" s="8"/>
      <c r="D586" s="8"/>
      <c r="E586" s="11"/>
      <c r="F586" s="8"/>
      <c r="G586" s="8"/>
      <c r="H586" s="8"/>
      <c r="I586" s="8"/>
      <c r="J586" s="8"/>
      <c r="K586" s="8"/>
      <c r="L586" s="8"/>
      <c r="M586" s="8"/>
      <c r="N586" s="8"/>
      <c r="O586" s="8"/>
      <c r="P586" s="8"/>
      <c r="Q586" s="8"/>
      <c r="R586" s="8"/>
      <c r="S586" s="8"/>
      <c r="T586" s="8"/>
      <c r="U586" s="8"/>
      <c r="V586" s="8"/>
      <c r="W586" s="8"/>
      <c r="X586" s="8"/>
      <c r="Y586" s="8"/>
      <c r="Z586" s="8"/>
      <c r="AA586" s="8"/>
    </row>
    <row r="587" spans="1:27" ht="19.75">
      <c r="A587" s="8"/>
      <c r="B587" s="7"/>
      <c r="C587" s="8"/>
      <c r="D587" s="8"/>
      <c r="E587" s="11"/>
      <c r="F587" s="8"/>
      <c r="G587" s="8"/>
      <c r="H587" s="8"/>
      <c r="I587" s="8"/>
      <c r="J587" s="8"/>
      <c r="K587" s="8"/>
      <c r="L587" s="8"/>
      <c r="M587" s="8"/>
      <c r="N587" s="8"/>
      <c r="O587" s="8"/>
      <c r="P587" s="8"/>
      <c r="Q587" s="8"/>
      <c r="R587" s="8"/>
      <c r="S587" s="8"/>
      <c r="T587" s="8"/>
      <c r="U587" s="8"/>
      <c r="V587" s="8"/>
      <c r="W587" s="8"/>
      <c r="X587" s="8"/>
      <c r="Y587" s="8"/>
      <c r="Z587" s="8"/>
      <c r="AA587" s="8"/>
    </row>
    <row r="588" spans="1:27" ht="19.75">
      <c r="A588" s="8"/>
      <c r="B588" s="7"/>
      <c r="C588" s="8"/>
      <c r="D588" s="8"/>
      <c r="E588" s="11"/>
      <c r="F588" s="8"/>
      <c r="G588" s="8"/>
      <c r="H588" s="8"/>
      <c r="I588" s="8"/>
      <c r="J588" s="8"/>
      <c r="K588" s="8"/>
      <c r="L588" s="8"/>
      <c r="M588" s="8"/>
      <c r="N588" s="8"/>
      <c r="O588" s="8"/>
      <c r="P588" s="8"/>
      <c r="Q588" s="8"/>
      <c r="R588" s="8"/>
      <c r="S588" s="8"/>
      <c r="T588" s="8"/>
      <c r="U588" s="8"/>
      <c r="V588" s="8"/>
      <c r="W588" s="8"/>
      <c r="X588" s="8"/>
      <c r="Y588" s="8"/>
      <c r="Z588" s="8"/>
      <c r="AA588" s="8"/>
    </row>
    <row r="589" spans="1:27" ht="19.75">
      <c r="A589" s="8"/>
      <c r="B589" s="7"/>
      <c r="C589" s="8"/>
      <c r="D589" s="8"/>
      <c r="E589" s="11"/>
      <c r="F589" s="8"/>
      <c r="G589" s="8"/>
      <c r="H589" s="8"/>
      <c r="I589" s="8"/>
      <c r="J589" s="8"/>
      <c r="K589" s="8"/>
      <c r="L589" s="8"/>
      <c r="M589" s="8"/>
      <c r="N589" s="8"/>
      <c r="O589" s="8"/>
      <c r="P589" s="8"/>
      <c r="Q589" s="8"/>
      <c r="R589" s="8"/>
      <c r="S589" s="8"/>
      <c r="T589" s="8"/>
      <c r="U589" s="8"/>
      <c r="V589" s="8"/>
      <c r="W589" s="8"/>
      <c r="X589" s="8"/>
      <c r="Y589" s="8"/>
      <c r="Z589" s="8"/>
      <c r="AA589" s="8"/>
    </row>
    <row r="590" spans="1:27" ht="19.75">
      <c r="A590" s="8"/>
      <c r="B590" s="7"/>
      <c r="C590" s="8"/>
      <c r="D590" s="8"/>
      <c r="E590" s="11"/>
      <c r="F590" s="8"/>
      <c r="G590" s="8"/>
      <c r="H590" s="8"/>
      <c r="I590" s="8"/>
      <c r="J590" s="8"/>
      <c r="K590" s="8"/>
      <c r="L590" s="8"/>
      <c r="M590" s="8"/>
      <c r="N590" s="8"/>
      <c r="O590" s="8"/>
      <c r="P590" s="8"/>
      <c r="Q590" s="8"/>
      <c r="R590" s="8"/>
      <c r="S590" s="8"/>
      <c r="T590" s="8"/>
      <c r="U590" s="8"/>
      <c r="V590" s="8"/>
      <c r="W590" s="8"/>
      <c r="X590" s="8"/>
      <c r="Y590" s="8"/>
      <c r="Z590" s="8"/>
      <c r="AA590" s="8"/>
    </row>
    <row r="591" spans="1:27" ht="19.75">
      <c r="A591" s="8"/>
      <c r="B591" s="7"/>
      <c r="C591" s="8"/>
      <c r="D591" s="8"/>
      <c r="E591" s="11"/>
      <c r="F591" s="8"/>
      <c r="G591" s="8"/>
      <c r="H591" s="8"/>
      <c r="I591" s="8"/>
      <c r="J591" s="8"/>
      <c r="K591" s="8"/>
      <c r="L591" s="8"/>
      <c r="M591" s="8"/>
      <c r="N591" s="8"/>
      <c r="O591" s="8"/>
      <c r="P591" s="8"/>
      <c r="Q591" s="8"/>
      <c r="R591" s="8"/>
      <c r="S591" s="8"/>
      <c r="T591" s="8"/>
      <c r="U591" s="8"/>
      <c r="V591" s="8"/>
      <c r="W591" s="8"/>
      <c r="X591" s="8"/>
      <c r="Y591" s="8"/>
      <c r="Z591" s="8"/>
      <c r="AA591" s="8"/>
    </row>
    <row r="592" spans="1:27" ht="19.75">
      <c r="A592" s="8"/>
      <c r="B592" s="7"/>
      <c r="C592" s="8"/>
      <c r="D592" s="8"/>
      <c r="E592" s="11"/>
      <c r="F592" s="8"/>
      <c r="G592" s="8"/>
      <c r="H592" s="8"/>
      <c r="I592" s="8"/>
      <c r="J592" s="8"/>
      <c r="K592" s="8"/>
      <c r="L592" s="8"/>
      <c r="M592" s="8"/>
      <c r="N592" s="8"/>
      <c r="O592" s="8"/>
      <c r="P592" s="8"/>
      <c r="Q592" s="8"/>
      <c r="R592" s="8"/>
      <c r="S592" s="8"/>
      <c r="T592" s="8"/>
      <c r="U592" s="8"/>
      <c r="V592" s="8"/>
      <c r="W592" s="8"/>
      <c r="X592" s="8"/>
      <c r="Y592" s="8"/>
      <c r="Z592" s="8"/>
      <c r="AA592" s="8"/>
    </row>
    <row r="593" spans="1:27" ht="19.75">
      <c r="A593" s="8"/>
      <c r="B593" s="7"/>
      <c r="C593" s="8"/>
      <c r="D593" s="8"/>
      <c r="E593" s="11"/>
      <c r="F593" s="8"/>
      <c r="G593" s="8"/>
      <c r="H593" s="8"/>
      <c r="I593" s="8"/>
      <c r="J593" s="8"/>
      <c r="K593" s="8"/>
      <c r="L593" s="8"/>
      <c r="M593" s="8"/>
      <c r="N593" s="8"/>
      <c r="O593" s="8"/>
      <c r="P593" s="8"/>
      <c r="Q593" s="8"/>
      <c r="R593" s="8"/>
      <c r="S593" s="8"/>
      <c r="T593" s="8"/>
      <c r="U593" s="8"/>
      <c r="V593" s="8"/>
      <c r="W593" s="8"/>
      <c r="X593" s="8"/>
      <c r="Y593" s="8"/>
      <c r="Z593" s="8"/>
      <c r="AA593" s="8"/>
    </row>
    <row r="594" spans="1:27" ht="19.75">
      <c r="A594" s="8"/>
      <c r="B594" s="7"/>
      <c r="C594" s="8"/>
      <c r="D594" s="8"/>
      <c r="E594" s="11"/>
      <c r="F594" s="8"/>
      <c r="G594" s="8"/>
      <c r="H594" s="8"/>
      <c r="I594" s="8"/>
      <c r="J594" s="8"/>
      <c r="K594" s="8"/>
      <c r="L594" s="8"/>
      <c r="M594" s="8"/>
      <c r="N594" s="8"/>
      <c r="O594" s="8"/>
      <c r="P594" s="8"/>
      <c r="Q594" s="8"/>
      <c r="R594" s="8"/>
      <c r="S594" s="8"/>
      <c r="T594" s="8"/>
      <c r="U594" s="8"/>
      <c r="V594" s="8"/>
      <c r="W594" s="8"/>
      <c r="X594" s="8"/>
      <c r="Y594" s="8"/>
      <c r="Z594" s="8"/>
      <c r="AA594" s="8"/>
    </row>
    <row r="595" spans="1:27" ht="19.75">
      <c r="A595" s="8"/>
      <c r="B595" s="7"/>
      <c r="C595" s="8"/>
      <c r="D595" s="8"/>
      <c r="E595" s="11"/>
      <c r="F595" s="8"/>
      <c r="G595" s="8"/>
      <c r="H595" s="8"/>
      <c r="I595" s="8"/>
      <c r="J595" s="8"/>
      <c r="K595" s="8"/>
      <c r="L595" s="8"/>
      <c r="M595" s="8"/>
      <c r="N595" s="8"/>
      <c r="O595" s="8"/>
      <c r="P595" s="8"/>
      <c r="Q595" s="8"/>
      <c r="R595" s="8"/>
      <c r="S595" s="8"/>
      <c r="T595" s="8"/>
      <c r="U595" s="8"/>
      <c r="V595" s="8"/>
      <c r="W595" s="8"/>
      <c r="X595" s="8"/>
      <c r="Y595" s="8"/>
      <c r="Z595" s="8"/>
      <c r="AA595" s="8"/>
    </row>
    <row r="596" spans="1:27" ht="19.75">
      <c r="A596" s="8"/>
      <c r="B596" s="7"/>
      <c r="C596" s="8"/>
      <c r="D596" s="8"/>
      <c r="E596" s="11"/>
      <c r="F596" s="8"/>
      <c r="G596" s="8"/>
      <c r="H596" s="8"/>
      <c r="I596" s="8"/>
      <c r="J596" s="8"/>
      <c r="K596" s="8"/>
      <c r="L596" s="8"/>
      <c r="M596" s="8"/>
      <c r="N596" s="8"/>
      <c r="O596" s="8"/>
      <c r="P596" s="8"/>
      <c r="Q596" s="8"/>
      <c r="R596" s="8"/>
      <c r="S596" s="8"/>
      <c r="T596" s="8"/>
      <c r="U596" s="8"/>
      <c r="V596" s="8"/>
      <c r="W596" s="8"/>
      <c r="X596" s="8"/>
      <c r="Y596" s="8"/>
      <c r="Z596" s="8"/>
      <c r="AA596" s="8"/>
    </row>
    <row r="597" spans="1:27" ht="19.75">
      <c r="A597" s="8"/>
      <c r="B597" s="7"/>
      <c r="C597" s="8"/>
      <c r="D597" s="8"/>
      <c r="E597" s="11"/>
      <c r="F597" s="8"/>
      <c r="G597" s="8"/>
      <c r="H597" s="8"/>
      <c r="I597" s="8"/>
      <c r="J597" s="8"/>
      <c r="K597" s="8"/>
      <c r="L597" s="8"/>
      <c r="M597" s="8"/>
      <c r="N597" s="8"/>
      <c r="O597" s="8"/>
      <c r="P597" s="8"/>
      <c r="Q597" s="8"/>
      <c r="R597" s="8"/>
      <c r="S597" s="8"/>
      <c r="T597" s="8"/>
      <c r="U597" s="8"/>
      <c r="V597" s="8"/>
      <c r="W597" s="8"/>
      <c r="X597" s="8"/>
      <c r="Y597" s="8"/>
      <c r="Z597" s="8"/>
      <c r="AA597" s="8"/>
    </row>
    <row r="598" spans="1:27" ht="19.75">
      <c r="A598" s="8"/>
      <c r="B598" s="7"/>
      <c r="C598" s="8"/>
      <c r="D598" s="8"/>
      <c r="E598" s="11"/>
      <c r="F598" s="8"/>
      <c r="G598" s="8"/>
      <c r="H598" s="8"/>
      <c r="I598" s="8"/>
      <c r="J598" s="8"/>
      <c r="K598" s="8"/>
      <c r="L598" s="8"/>
      <c r="M598" s="8"/>
      <c r="N598" s="8"/>
      <c r="O598" s="8"/>
      <c r="P598" s="8"/>
      <c r="Q598" s="8"/>
      <c r="R598" s="8"/>
      <c r="S598" s="8"/>
      <c r="T598" s="8"/>
      <c r="U598" s="8"/>
      <c r="V598" s="8"/>
      <c r="W598" s="8"/>
      <c r="X598" s="8"/>
      <c r="Y598" s="8"/>
      <c r="Z598" s="8"/>
      <c r="AA598" s="8"/>
    </row>
    <row r="599" spans="1:27" ht="19.75">
      <c r="A599" s="8"/>
      <c r="B599" s="7"/>
      <c r="C599" s="8"/>
      <c r="D599" s="8"/>
      <c r="E599" s="11"/>
      <c r="F599" s="8"/>
      <c r="G599" s="8"/>
      <c r="H599" s="8"/>
      <c r="I599" s="8"/>
      <c r="J599" s="8"/>
      <c r="K599" s="8"/>
      <c r="L599" s="8"/>
      <c r="M599" s="8"/>
      <c r="N599" s="8"/>
      <c r="O599" s="8"/>
      <c r="P599" s="8"/>
      <c r="Q599" s="8"/>
      <c r="R599" s="8"/>
      <c r="S599" s="8"/>
      <c r="T599" s="8"/>
      <c r="U599" s="8"/>
      <c r="V599" s="8"/>
      <c r="W599" s="8"/>
      <c r="X599" s="8"/>
      <c r="Y599" s="8"/>
      <c r="Z599" s="8"/>
      <c r="AA599" s="8"/>
    </row>
    <row r="600" spans="1:27" ht="19.75">
      <c r="A600" s="8"/>
      <c r="B600" s="7"/>
      <c r="C600" s="8"/>
      <c r="D600" s="8"/>
      <c r="E600" s="11"/>
      <c r="F600" s="8"/>
      <c r="G600" s="8"/>
      <c r="H600" s="8"/>
      <c r="I600" s="8"/>
      <c r="J600" s="8"/>
      <c r="K600" s="8"/>
      <c r="L600" s="8"/>
      <c r="M600" s="8"/>
      <c r="N600" s="8"/>
      <c r="O600" s="8"/>
      <c r="P600" s="8"/>
      <c r="Q600" s="8"/>
      <c r="R600" s="8"/>
      <c r="S600" s="8"/>
      <c r="T600" s="8"/>
      <c r="U600" s="8"/>
      <c r="V600" s="8"/>
      <c r="W600" s="8"/>
      <c r="X600" s="8"/>
      <c r="Y600" s="8"/>
      <c r="Z600" s="8"/>
      <c r="AA600" s="8"/>
    </row>
    <row r="601" spans="1:27" ht="19.75">
      <c r="A601" s="8"/>
      <c r="B601" s="7"/>
      <c r="C601" s="8"/>
      <c r="D601" s="8"/>
      <c r="E601" s="11"/>
      <c r="F601" s="8"/>
      <c r="G601" s="8"/>
      <c r="H601" s="8"/>
      <c r="I601" s="8"/>
      <c r="J601" s="8"/>
      <c r="K601" s="8"/>
      <c r="L601" s="8"/>
      <c r="M601" s="8"/>
      <c r="N601" s="8"/>
      <c r="O601" s="8"/>
      <c r="P601" s="8"/>
      <c r="Q601" s="8"/>
      <c r="R601" s="8"/>
      <c r="S601" s="8"/>
      <c r="T601" s="8"/>
      <c r="U601" s="8"/>
      <c r="V601" s="8"/>
      <c r="W601" s="8"/>
      <c r="X601" s="8"/>
      <c r="Y601" s="8"/>
      <c r="Z601" s="8"/>
      <c r="AA601" s="8"/>
    </row>
    <row r="602" spans="1:27" ht="19.75">
      <c r="A602" s="8"/>
      <c r="B602" s="7"/>
      <c r="C602" s="8"/>
      <c r="D602" s="8"/>
      <c r="E602" s="11"/>
      <c r="F602" s="8"/>
      <c r="G602" s="8"/>
      <c r="H602" s="8"/>
      <c r="I602" s="8"/>
      <c r="J602" s="8"/>
      <c r="K602" s="8"/>
      <c r="L602" s="8"/>
      <c r="M602" s="8"/>
      <c r="N602" s="8"/>
      <c r="O602" s="8"/>
      <c r="P602" s="8"/>
      <c r="Q602" s="8"/>
      <c r="R602" s="8"/>
      <c r="S602" s="8"/>
      <c r="T602" s="8"/>
      <c r="U602" s="8"/>
      <c r="V602" s="8"/>
      <c r="W602" s="8"/>
      <c r="X602" s="8"/>
      <c r="Y602" s="8"/>
      <c r="Z602" s="8"/>
      <c r="AA602" s="8"/>
    </row>
    <row r="603" spans="1:27" ht="19.75">
      <c r="A603" s="8"/>
      <c r="B603" s="7"/>
      <c r="C603" s="8"/>
      <c r="D603" s="8"/>
      <c r="E603" s="11"/>
      <c r="F603" s="8"/>
      <c r="G603" s="8"/>
      <c r="H603" s="8"/>
      <c r="I603" s="8"/>
      <c r="J603" s="8"/>
      <c r="K603" s="8"/>
      <c r="L603" s="8"/>
      <c r="M603" s="8"/>
      <c r="N603" s="8"/>
      <c r="O603" s="8"/>
      <c r="P603" s="8"/>
      <c r="Q603" s="8"/>
      <c r="R603" s="8"/>
      <c r="S603" s="8"/>
      <c r="T603" s="8"/>
      <c r="U603" s="8"/>
      <c r="V603" s="8"/>
      <c r="W603" s="8"/>
      <c r="X603" s="8"/>
      <c r="Y603" s="8"/>
      <c r="Z603" s="8"/>
      <c r="AA603" s="8"/>
    </row>
    <row r="604" spans="1:27" ht="19.75">
      <c r="A604" s="8"/>
      <c r="B604" s="7"/>
      <c r="C604" s="8"/>
      <c r="D604" s="8"/>
      <c r="E604" s="11"/>
      <c r="F604" s="8"/>
      <c r="G604" s="8"/>
      <c r="H604" s="8"/>
      <c r="I604" s="8"/>
      <c r="J604" s="8"/>
      <c r="K604" s="8"/>
      <c r="L604" s="8"/>
      <c r="M604" s="8"/>
      <c r="N604" s="8"/>
      <c r="O604" s="8"/>
      <c r="P604" s="8"/>
      <c r="Q604" s="8"/>
      <c r="R604" s="8"/>
      <c r="S604" s="8"/>
      <c r="T604" s="8"/>
      <c r="U604" s="8"/>
      <c r="V604" s="8"/>
      <c r="W604" s="8"/>
      <c r="X604" s="8"/>
      <c r="Y604" s="8"/>
      <c r="Z604" s="8"/>
      <c r="AA604" s="8"/>
    </row>
    <row r="605" spans="1:27" ht="19.75">
      <c r="A605" s="8"/>
      <c r="B605" s="7"/>
      <c r="C605" s="8"/>
      <c r="D605" s="8"/>
      <c r="E605" s="11"/>
      <c r="F605" s="8"/>
      <c r="G605" s="8"/>
      <c r="H605" s="8"/>
      <c r="I605" s="8"/>
      <c r="J605" s="8"/>
      <c r="K605" s="8"/>
      <c r="L605" s="8"/>
      <c r="M605" s="8"/>
      <c r="N605" s="8"/>
      <c r="O605" s="8"/>
      <c r="P605" s="8"/>
      <c r="Q605" s="8"/>
      <c r="R605" s="8"/>
      <c r="S605" s="8"/>
      <c r="T605" s="8"/>
      <c r="U605" s="8"/>
      <c r="V605" s="8"/>
      <c r="W605" s="8"/>
      <c r="X605" s="8"/>
      <c r="Y605" s="8"/>
      <c r="Z605" s="8"/>
      <c r="AA605" s="8"/>
    </row>
    <row r="606" spans="1:27" ht="19.75">
      <c r="A606" s="8"/>
      <c r="B606" s="7"/>
      <c r="C606" s="8"/>
      <c r="D606" s="8"/>
      <c r="E606" s="11"/>
      <c r="F606" s="8"/>
      <c r="G606" s="8"/>
      <c r="H606" s="8"/>
      <c r="I606" s="8"/>
      <c r="J606" s="8"/>
      <c r="K606" s="8"/>
      <c r="L606" s="8"/>
      <c r="M606" s="8"/>
      <c r="N606" s="8"/>
      <c r="O606" s="8"/>
      <c r="P606" s="8"/>
      <c r="Q606" s="8"/>
      <c r="R606" s="8"/>
      <c r="S606" s="8"/>
      <c r="T606" s="8"/>
      <c r="U606" s="8"/>
      <c r="V606" s="8"/>
      <c r="W606" s="8"/>
      <c r="X606" s="8"/>
      <c r="Y606" s="8"/>
      <c r="Z606" s="8"/>
      <c r="AA606" s="8"/>
    </row>
    <row r="607" spans="1:27" ht="19.75">
      <c r="A607" s="8"/>
      <c r="B607" s="7"/>
      <c r="C607" s="8"/>
      <c r="D607" s="8"/>
      <c r="E607" s="11"/>
      <c r="F607" s="8"/>
      <c r="G607" s="8"/>
      <c r="H607" s="8"/>
      <c r="I607" s="8"/>
      <c r="J607" s="8"/>
      <c r="K607" s="8"/>
      <c r="L607" s="8"/>
      <c r="M607" s="8"/>
      <c r="N607" s="8"/>
      <c r="O607" s="8"/>
      <c r="P607" s="8"/>
      <c r="Q607" s="8"/>
      <c r="R607" s="8"/>
      <c r="S607" s="8"/>
      <c r="T607" s="8"/>
      <c r="U607" s="8"/>
      <c r="V607" s="8"/>
      <c r="W607" s="8"/>
      <c r="X607" s="8"/>
      <c r="Y607" s="8"/>
      <c r="Z607" s="8"/>
      <c r="AA607" s="8"/>
    </row>
    <row r="608" spans="1:27" ht="19.75">
      <c r="A608" s="8"/>
      <c r="B608" s="7"/>
      <c r="C608" s="8"/>
      <c r="D608" s="8"/>
      <c r="E608" s="11"/>
      <c r="F608" s="8"/>
      <c r="G608" s="8"/>
      <c r="H608" s="8"/>
      <c r="I608" s="8"/>
      <c r="J608" s="8"/>
      <c r="K608" s="8"/>
      <c r="L608" s="8"/>
      <c r="M608" s="8"/>
      <c r="N608" s="8"/>
      <c r="O608" s="8"/>
      <c r="P608" s="8"/>
      <c r="Q608" s="8"/>
      <c r="R608" s="8"/>
      <c r="S608" s="8"/>
      <c r="T608" s="8"/>
      <c r="U608" s="8"/>
      <c r="V608" s="8"/>
      <c r="W608" s="8"/>
      <c r="X608" s="8"/>
      <c r="Y608" s="8"/>
      <c r="Z608" s="8"/>
      <c r="AA608" s="8"/>
    </row>
    <row r="609" spans="1:27" ht="19.75">
      <c r="A609" s="8"/>
      <c r="B609" s="7"/>
      <c r="C609" s="8"/>
      <c r="D609" s="8"/>
      <c r="E609" s="11"/>
      <c r="F609" s="8"/>
      <c r="G609" s="8"/>
      <c r="H609" s="8"/>
      <c r="I609" s="8"/>
      <c r="J609" s="8"/>
      <c r="K609" s="8"/>
      <c r="L609" s="8"/>
      <c r="M609" s="8"/>
      <c r="N609" s="8"/>
      <c r="O609" s="8"/>
      <c r="P609" s="8"/>
      <c r="Q609" s="8"/>
      <c r="R609" s="8"/>
      <c r="S609" s="8"/>
      <c r="T609" s="8"/>
      <c r="U609" s="8"/>
      <c r="V609" s="8"/>
      <c r="W609" s="8"/>
      <c r="X609" s="8"/>
      <c r="Y609" s="8"/>
      <c r="Z609" s="8"/>
      <c r="AA609" s="8"/>
    </row>
    <row r="610" spans="1:27" ht="19.75">
      <c r="A610" s="8"/>
      <c r="B610" s="7"/>
      <c r="C610" s="8"/>
      <c r="D610" s="8"/>
      <c r="E610" s="11"/>
      <c r="F610" s="8"/>
      <c r="G610" s="8"/>
      <c r="H610" s="8"/>
      <c r="I610" s="8"/>
      <c r="J610" s="8"/>
      <c r="K610" s="8"/>
      <c r="L610" s="8"/>
      <c r="M610" s="8"/>
      <c r="N610" s="8"/>
      <c r="O610" s="8"/>
      <c r="P610" s="8"/>
      <c r="Q610" s="8"/>
      <c r="R610" s="8"/>
      <c r="S610" s="8"/>
      <c r="T610" s="8"/>
      <c r="U610" s="8"/>
      <c r="V610" s="8"/>
      <c r="W610" s="8"/>
      <c r="X610" s="8"/>
      <c r="Y610" s="8"/>
      <c r="Z610" s="8"/>
      <c r="AA610" s="8"/>
    </row>
    <row r="611" spans="1:27" ht="19.75">
      <c r="A611" s="8"/>
      <c r="B611" s="7"/>
      <c r="C611" s="8"/>
      <c r="D611" s="8"/>
      <c r="E611" s="11"/>
      <c r="F611" s="8"/>
      <c r="G611" s="8"/>
      <c r="H611" s="8"/>
      <c r="I611" s="8"/>
      <c r="J611" s="8"/>
      <c r="K611" s="8"/>
      <c r="L611" s="8"/>
      <c r="M611" s="8"/>
      <c r="N611" s="8"/>
      <c r="O611" s="8"/>
      <c r="P611" s="8"/>
      <c r="Q611" s="8"/>
      <c r="R611" s="8"/>
      <c r="S611" s="8"/>
      <c r="T611" s="8"/>
      <c r="U611" s="8"/>
      <c r="V611" s="8"/>
      <c r="W611" s="8"/>
      <c r="X611" s="8"/>
      <c r="Y611" s="8"/>
      <c r="Z611" s="8"/>
      <c r="AA611" s="8"/>
    </row>
    <row r="612" spans="1:27" ht="19.75">
      <c r="A612" s="8"/>
      <c r="B612" s="7"/>
      <c r="C612" s="8"/>
      <c r="D612" s="8"/>
      <c r="E612" s="11"/>
      <c r="F612" s="8"/>
      <c r="G612" s="8"/>
      <c r="H612" s="8"/>
      <c r="I612" s="8"/>
      <c r="J612" s="8"/>
      <c r="K612" s="8"/>
      <c r="L612" s="8"/>
      <c r="M612" s="8"/>
      <c r="N612" s="8"/>
      <c r="O612" s="8"/>
      <c r="P612" s="8"/>
      <c r="Q612" s="8"/>
      <c r="R612" s="8"/>
      <c r="S612" s="8"/>
      <c r="T612" s="8"/>
      <c r="U612" s="8"/>
      <c r="V612" s="8"/>
      <c r="W612" s="8"/>
      <c r="X612" s="8"/>
      <c r="Y612" s="8"/>
      <c r="Z612" s="8"/>
      <c r="AA612" s="8"/>
    </row>
    <row r="613" spans="1:27" ht="19.75">
      <c r="A613" s="8"/>
      <c r="B613" s="7"/>
      <c r="C613" s="8"/>
      <c r="D613" s="8"/>
      <c r="E613" s="11"/>
      <c r="F613" s="8"/>
      <c r="G613" s="8"/>
      <c r="H613" s="8"/>
      <c r="I613" s="8"/>
      <c r="J613" s="8"/>
      <c r="K613" s="8"/>
      <c r="L613" s="8"/>
      <c r="M613" s="8"/>
      <c r="N613" s="8"/>
      <c r="O613" s="8"/>
      <c r="P613" s="8"/>
      <c r="Q613" s="8"/>
      <c r="R613" s="8"/>
      <c r="S613" s="8"/>
      <c r="T613" s="8"/>
      <c r="U613" s="8"/>
      <c r="V613" s="8"/>
      <c r="W613" s="8"/>
      <c r="X613" s="8"/>
      <c r="Y613" s="8"/>
      <c r="Z613" s="8"/>
      <c r="AA613" s="8"/>
    </row>
    <row r="614" spans="1:27" ht="19.75">
      <c r="A614" s="8"/>
      <c r="B614" s="7"/>
      <c r="C614" s="8"/>
      <c r="D614" s="8"/>
      <c r="E614" s="11"/>
      <c r="F614" s="8"/>
      <c r="G614" s="8"/>
      <c r="H614" s="8"/>
      <c r="I614" s="8"/>
      <c r="J614" s="8"/>
      <c r="K614" s="8"/>
      <c r="L614" s="8"/>
      <c r="M614" s="8"/>
      <c r="N614" s="8"/>
      <c r="O614" s="8"/>
      <c r="P614" s="8"/>
      <c r="Q614" s="8"/>
      <c r="R614" s="8"/>
      <c r="S614" s="8"/>
      <c r="T614" s="8"/>
      <c r="U614" s="8"/>
      <c r="V614" s="8"/>
      <c r="W614" s="8"/>
      <c r="X614" s="8"/>
      <c r="Y614" s="8"/>
      <c r="Z614" s="8"/>
      <c r="AA614" s="8"/>
    </row>
    <row r="615" spans="1:27" ht="19.75">
      <c r="A615" s="8"/>
      <c r="B615" s="7"/>
      <c r="C615" s="8"/>
      <c r="D615" s="8"/>
      <c r="E615" s="11"/>
      <c r="F615" s="8"/>
      <c r="G615" s="8"/>
      <c r="H615" s="8"/>
      <c r="I615" s="8"/>
      <c r="J615" s="8"/>
      <c r="K615" s="8"/>
      <c r="L615" s="8"/>
      <c r="M615" s="8"/>
      <c r="N615" s="8"/>
      <c r="O615" s="8"/>
      <c r="P615" s="8"/>
      <c r="Q615" s="8"/>
      <c r="R615" s="8"/>
      <c r="S615" s="8"/>
      <c r="T615" s="8"/>
      <c r="U615" s="8"/>
      <c r="V615" s="8"/>
      <c r="W615" s="8"/>
      <c r="X615" s="8"/>
      <c r="Y615" s="8"/>
      <c r="Z615" s="8"/>
      <c r="AA615" s="8"/>
    </row>
    <row r="616" spans="1:27" ht="19.75">
      <c r="A616" s="8"/>
      <c r="B616" s="7"/>
      <c r="C616" s="8"/>
      <c r="D616" s="8"/>
      <c r="E616" s="11"/>
      <c r="F616" s="8"/>
      <c r="G616" s="8"/>
      <c r="H616" s="8"/>
      <c r="I616" s="8"/>
      <c r="J616" s="8"/>
      <c r="K616" s="8"/>
      <c r="L616" s="8"/>
      <c r="M616" s="8"/>
      <c r="N616" s="8"/>
      <c r="O616" s="8"/>
      <c r="P616" s="8"/>
      <c r="Q616" s="8"/>
      <c r="R616" s="8"/>
      <c r="S616" s="8"/>
      <c r="T616" s="8"/>
      <c r="U616" s="8"/>
      <c r="V616" s="8"/>
      <c r="W616" s="8"/>
      <c r="X616" s="8"/>
      <c r="Y616" s="8"/>
      <c r="Z616" s="8"/>
      <c r="AA616" s="8"/>
    </row>
    <row r="617" spans="1:27" ht="19.75">
      <c r="A617" s="8"/>
      <c r="B617" s="7"/>
      <c r="C617" s="8"/>
      <c r="D617" s="8"/>
      <c r="E617" s="11"/>
      <c r="F617" s="8"/>
      <c r="G617" s="8"/>
      <c r="H617" s="8"/>
      <c r="I617" s="8"/>
      <c r="J617" s="8"/>
      <c r="K617" s="8"/>
      <c r="L617" s="8"/>
      <c r="M617" s="8"/>
      <c r="N617" s="8"/>
      <c r="O617" s="8"/>
      <c r="P617" s="8"/>
      <c r="Q617" s="8"/>
      <c r="R617" s="8"/>
      <c r="S617" s="8"/>
      <c r="T617" s="8"/>
      <c r="U617" s="8"/>
      <c r="V617" s="8"/>
      <c r="W617" s="8"/>
      <c r="X617" s="8"/>
      <c r="Y617" s="8"/>
      <c r="Z617" s="8"/>
      <c r="AA617" s="8"/>
    </row>
    <row r="618" spans="1:27" ht="19.75">
      <c r="A618" s="8"/>
      <c r="B618" s="7"/>
      <c r="C618" s="8"/>
      <c r="D618" s="8"/>
      <c r="E618" s="11"/>
      <c r="F618" s="8"/>
      <c r="G618" s="8"/>
      <c r="H618" s="8"/>
      <c r="I618" s="8"/>
      <c r="J618" s="8"/>
      <c r="K618" s="8"/>
      <c r="L618" s="8"/>
      <c r="M618" s="8"/>
      <c r="N618" s="8"/>
      <c r="O618" s="8"/>
      <c r="P618" s="8"/>
      <c r="Q618" s="8"/>
      <c r="R618" s="8"/>
      <c r="S618" s="8"/>
      <c r="T618" s="8"/>
      <c r="U618" s="8"/>
      <c r="V618" s="8"/>
      <c r="W618" s="8"/>
      <c r="X618" s="8"/>
      <c r="Y618" s="8"/>
      <c r="Z618" s="8"/>
      <c r="AA618" s="8"/>
    </row>
    <row r="619" spans="1:27" ht="19.75">
      <c r="A619" s="8"/>
      <c r="B619" s="7"/>
      <c r="C619" s="8"/>
      <c r="D619" s="8"/>
      <c r="E619" s="11"/>
      <c r="F619" s="8"/>
      <c r="G619" s="8"/>
      <c r="H619" s="8"/>
      <c r="I619" s="8"/>
      <c r="J619" s="8"/>
      <c r="K619" s="8"/>
      <c r="L619" s="8"/>
      <c r="M619" s="8"/>
      <c r="N619" s="8"/>
      <c r="O619" s="8"/>
      <c r="P619" s="8"/>
      <c r="Q619" s="8"/>
      <c r="R619" s="8"/>
      <c r="S619" s="8"/>
      <c r="T619" s="8"/>
      <c r="U619" s="8"/>
      <c r="V619" s="8"/>
      <c r="W619" s="8"/>
      <c r="X619" s="8"/>
      <c r="Y619" s="8"/>
      <c r="Z619" s="8"/>
      <c r="AA619" s="8"/>
    </row>
    <row r="620" spans="1:27" ht="19.75">
      <c r="A620" s="8"/>
      <c r="B620" s="7"/>
      <c r="C620" s="8"/>
      <c r="D620" s="8"/>
      <c r="E620" s="11"/>
      <c r="F620" s="8"/>
      <c r="G620" s="8"/>
      <c r="H620" s="8"/>
      <c r="I620" s="8"/>
      <c r="J620" s="8"/>
      <c r="K620" s="8"/>
      <c r="L620" s="8"/>
      <c r="M620" s="8"/>
      <c r="N620" s="8"/>
      <c r="O620" s="8"/>
      <c r="P620" s="8"/>
      <c r="Q620" s="8"/>
      <c r="R620" s="8"/>
      <c r="S620" s="8"/>
      <c r="T620" s="8"/>
      <c r="U620" s="8"/>
      <c r="V620" s="8"/>
      <c r="W620" s="8"/>
      <c r="X620" s="8"/>
      <c r="Y620" s="8"/>
      <c r="Z620" s="8"/>
      <c r="AA620" s="8"/>
    </row>
    <row r="621" spans="1:27" ht="19.75">
      <c r="A621" s="8"/>
      <c r="B621" s="7"/>
      <c r="C621" s="8"/>
      <c r="D621" s="8"/>
      <c r="E621" s="11"/>
      <c r="F621" s="8"/>
      <c r="G621" s="8"/>
      <c r="H621" s="8"/>
      <c r="I621" s="8"/>
      <c r="J621" s="8"/>
      <c r="K621" s="8"/>
      <c r="L621" s="8"/>
      <c r="M621" s="8"/>
      <c r="N621" s="8"/>
      <c r="O621" s="8"/>
      <c r="P621" s="8"/>
      <c r="Q621" s="8"/>
      <c r="R621" s="8"/>
      <c r="S621" s="8"/>
      <c r="T621" s="8"/>
      <c r="U621" s="8"/>
      <c r="V621" s="8"/>
      <c r="W621" s="8"/>
      <c r="X621" s="8"/>
      <c r="Y621" s="8"/>
      <c r="Z621" s="8"/>
      <c r="AA621" s="8"/>
    </row>
    <row r="622" spans="1:27" ht="19.75">
      <c r="A622" s="8"/>
      <c r="B622" s="7"/>
      <c r="C622" s="8"/>
      <c r="D622" s="8"/>
      <c r="E622" s="11"/>
      <c r="F622" s="8"/>
      <c r="G622" s="8"/>
      <c r="H622" s="8"/>
      <c r="I622" s="8"/>
      <c r="J622" s="8"/>
      <c r="K622" s="8"/>
      <c r="L622" s="8"/>
      <c r="M622" s="8"/>
      <c r="N622" s="8"/>
      <c r="O622" s="8"/>
      <c r="P622" s="8"/>
      <c r="Q622" s="8"/>
      <c r="R622" s="8"/>
      <c r="S622" s="8"/>
      <c r="T622" s="8"/>
      <c r="U622" s="8"/>
      <c r="V622" s="8"/>
      <c r="W622" s="8"/>
      <c r="X622" s="8"/>
      <c r="Y622" s="8"/>
      <c r="Z622" s="8"/>
      <c r="AA622" s="8"/>
    </row>
    <row r="623" spans="1:27" ht="19.75">
      <c r="A623" s="8"/>
      <c r="B623" s="7"/>
      <c r="C623" s="8"/>
      <c r="D623" s="8"/>
      <c r="E623" s="11"/>
      <c r="F623" s="8"/>
      <c r="G623" s="8"/>
      <c r="H623" s="8"/>
      <c r="I623" s="8"/>
      <c r="J623" s="8"/>
      <c r="K623" s="8"/>
      <c r="L623" s="8"/>
      <c r="M623" s="8"/>
      <c r="N623" s="8"/>
      <c r="O623" s="8"/>
      <c r="P623" s="8"/>
      <c r="Q623" s="8"/>
      <c r="R623" s="8"/>
      <c r="S623" s="8"/>
      <c r="T623" s="8"/>
      <c r="U623" s="8"/>
      <c r="V623" s="8"/>
      <c r="W623" s="8"/>
      <c r="X623" s="8"/>
      <c r="Y623" s="8"/>
      <c r="Z623" s="8"/>
      <c r="AA623" s="8"/>
    </row>
    <row r="624" spans="1:27" ht="19.75">
      <c r="A624" s="8"/>
      <c r="B624" s="7"/>
      <c r="C624" s="8"/>
      <c r="D624" s="8"/>
      <c r="E624" s="11"/>
      <c r="F624" s="8"/>
      <c r="G624" s="8"/>
      <c r="H624" s="8"/>
      <c r="I624" s="8"/>
      <c r="J624" s="8"/>
      <c r="K624" s="8"/>
      <c r="L624" s="8"/>
      <c r="M624" s="8"/>
      <c r="N624" s="8"/>
      <c r="O624" s="8"/>
      <c r="P624" s="8"/>
      <c r="Q624" s="8"/>
      <c r="R624" s="8"/>
      <c r="S624" s="8"/>
      <c r="T624" s="8"/>
      <c r="U624" s="8"/>
      <c r="V624" s="8"/>
      <c r="W624" s="8"/>
      <c r="X624" s="8"/>
      <c r="Y624" s="8"/>
      <c r="Z624" s="8"/>
      <c r="AA624" s="8"/>
    </row>
    <row r="625" spans="1:27" ht="19.75">
      <c r="A625" s="8"/>
      <c r="B625" s="7"/>
      <c r="C625" s="8"/>
      <c r="D625" s="8"/>
      <c r="E625" s="11"/>
      <c r="F625" s="8"/>
      <c r="G625" s="8"/>
      <c r="H625" s="8"/>
      <c r="I625" s="8"/>
      <c r="J625" s="8"/>
      <c r="K625" s="8"/>
      <c r="L625" s="8"/>
      <c r="M625" s="8"/>
      <c r="N625" s="8"/>
      <c r="O625" s="8"/>
      <c r="P625" s="8"/>
      <c r="Q625" s="8"/>
      <c r="R625" s="8"/>
      <c r="S625" s="8"/>
      <c r="T625" s="8"/>
      <c r="U625" s="8"/>
      <c r="V625" s="8"/>
      <c r="W625" s="8"/>
      <c r="X625" s="8"/>
      <c r="Y625" s="8"/>
      <c r="Z625" s="8"/>
      <c r="AA625" s="8"/>
    </row>
    <row r="626" spans="1:27" ht="19.75">
      <c r="A626" s="8"/>
      <c r="B626" s="7"/>
      <c r="C626" s="8"/>
      <c r="D626" s="8"/>
      <c r="E626" s="11"/>
      <c r="F626" s="8"/>
      <c r="G626" s="8"/>
      <c r="H626" s="8"/>
      <c r="I626" s="8"/>
      <c r="J626" s="8"/>
      <c r="K626" s="8"/>
      <c r="L626" s="8"/>
      <c r="M626" s="8"/>
      <c r="N626" s="8"/>
      <c r="O626" s="8"/>
      <c r="P626" s="8"/>
      <c r="Q626" s="8"/>
      <c r="R626" s="8"/>
      <c r="S626" s="8"/>
      <c r="T626" s="8"/>
      <c r="U626" s="8"/>
      <c r="V626" s="8"/>
      <c r="W626" s="8"/>
      <c r="X626" s="8"/>
      <c r="Y626" s="8"/>
      <c r="Z626" s="8"/>
      <c r="AA626" s="8"/>
    </row>
    <row r="627" spans="1:27" ht="19.75">
      <c r="A627" s="8"/>
      <c r="B627" s="7"/>
      <c r="C627" s="8"/>
      <c r="D627" s="8"/>
      <c r="E627" s="11"/>
      <c r="F627" s="8"/>
      <c r="G627" s="8"/>
      <c r="H627" s="8"/>
      <c r="I627" s="8"/>
      <c r="J627" s="8"/>
      <c r="K627" s="8"/>
      <c r="L627" s="8"/>
      <c r="M627" s="8"/>
      <c r="N627" s="8"/>
      <c r="O627" s="8"/>
      <c r="P627" s="8"/>
      <c r="Q627" s="8"/>
      <c r="R627" s="8"/>
      <c r="S627" s="8"/>
      <c r="T627" s="8"/>
      <c r="U627" s="8"/>
      <c r="V627" s="8"/>
      <c r="W627" s="8"/>
      <c r="X627" s="8"/>
      <c r="Y627" s="8"/>
      <c r="Z627" s="8"/>
      <c r="AA627" s="8"/>
    </row>
    <row r="628" spans="1:27" ht="19.75">
      <c r="A628" s="8"/>
      <c r="B628" s="7"/>
      <c r="C628" s="8"/>
      <c r="D628" s="8"/>
      <c r="E628" s="11"/>
      <c r="F628" s="8"/>
      <c r="G628" s="8"/>
      <c r="H628" s="8"/>
      <c r="I628" s="8"/>
      <c r="J628" s="8"/>
      <c r="K628" s="8"/>
      <c r="L628" s="8"/>
      <c r="M628" s="8"/>
      <c r="N628" s="8"/>
      <c r="O628" s="8"/>
      <c r="P628" s="8"/>
      <c r="Q628" s="8"/>
      <c r="R628" s="8"/>
      <c r="S628" s="8"/>
      <c r="T628" s="8"/>
      <c r="U628" s="8"/>
      <c r="V628" s="8"/>
      <c r="W628" s="8"/>
      <c r="X628" s="8"/>
      <c r="Y628" s="8"/>
      <c r="Z628" s="8"/>
      <c r="AA628" s="8"/>
    </row>
    <row r="629" spans="1:27" ht="19.75">
      <c r="A629" s="8"/>
      <c r="B629" s="7"/>
      <c r="C629" s="8"/>
      <c r="D629" s="8"/>
      <c r="E629" s="11"/>
      <c r="F629" s="8"/>
      <c r="G629" s="8"/>
      <c r="H629" s="8"/>
      <c r="I629" s="8"/>
      <c r="J629" s="8"/>
      <c r="K629" s="8"/>
      <c r="L629" s="8"/>
      <c r="M629" s="8"/>
      <c r="N629" s="8"/>
      <c r="O629" s="8"/>
      <c r="P629" s="8"/>
      <c r="Q629" s="8"/>
      <c r="R629" s="8"/>
      <c r="S629" s="8"/>
      <c r="T629" s="8"/>
      <c r="U629" s="8"/>
      <c r="V629" s="8"/>
      <c r="W629" s="8"/>
      <c r="X629" s="8"/>
      <c r="Y629" s="8"/>
      <c r="Z629" s="8"/>
      <c r="AA629" s="8"/>
    </row>
    <row r="630" spans="1:27" ht="19.75">
      <c r="A630" s="8"/>
      <c r="B630" s="7"/>
      <c r="C630" s="8"/>
      <c r="D630" s="8"/>
      <c r="E630" s="11"/>
      <c r="F630" s="8"/>
      <c r="G630" s="8"/>
      <c r="H630" s="8"/>
      <c r="I630" s="8"/>
      <c r="J630" s="8"/>
      <c r="K630" s="8"/>
      <c r="L630" s="8"/>
      <c r="M630" s="8"/>
      <c r="N630" s="8"/>
      <c r="O630" s="8"/>
      <c r="P630" s="8"/>
      <c r="Q630" s="8"/>
      <c r="R630" s="8"/>
      <c r="S630" s="8"/>
      <c r="T630" s="8"/>
      <c r="U630" s="8"/>
      <c r="V630" s="8"/>
      <c r="W630" s="8"/>
      <c r="X630" s="8"/>
      <c r="Y630" s="8"/>
      <c r="Z630" s="8"/>
      <c r="AA630" s="8"/>
    </row>
    <row r="631" spans="1:27" ht="19.75">
      <c r="A631" s="8"/>
      <c r="B631" s="7"/>
      <c r="C631" s="8"/>
      <c r="D631" s="8"/>
      <c r="E631" s="11"/>
      <c r="F631" s="8"/>
      <c r="G631" s="8"/>
      <c r="H631" s="8"/>
      <c r="I631" s="8"/>
      <c r="J631" s="8"/>
      <c r="K631" s="8"/>
      <c r="L631" s="8"/>
      <c r="M631" s="8"/>
      <c r="N631" s="8"/>
      <c r="O631" s="8"/>
      <c r="P631" s="8"/>
      <c r="Q631" s="8"/>
      <c r="R631" s="8"/>
      <c r="S631" s="8"/>
      <c r="T631" s="8"/>
      <c r="U631" s="8"/>
      <c r="V631" s="8"/>
      <c r="W631" s="8"/>
      <c r="X631" s="8"/>
      <c r="Y631" s="8"/>
      <c r="Z631" s="8"/>
      <c r="AA631" s="8"/>
    </row>
    <row r="632" spans="1:27" ht="19.75">
      <c r="A632" s="8"/>
      <c r="B632" s="7"/>
      <c r="C632" s="8"/>
      <c r="D632" s="8"/>
      <c r="E632" s="11"/>
      <c r="F632" s="8"/>
      <c r="G632" s="8"/>
      <c r="H632" s="8"/>
      <c r="I632" s="8"/>
      <c r="J632" s="8"/>
      <c r="K632" s="8"/>
      <c r="L632" s="8"/>
      <c r="M632" s="8"/>
      <c r="N632" s="8"/>
      <c r="O632" s="8"/>
      <c r="P632" s="8"/>
      <c r="Q632" s="8"/>
      <c r="R632" s="8"/>
      <c r="S632" s="8"/>
      <c r="T632" s="8"/>
      <c r="U632" s="8"/>
      <c r="V632" s="8"/>
      <c r="W632" s="8"/>
      <c r="X632" s="8"/>
      <c r="Y632" s="8"/>
      <c r="Z632" s="8"/>
      <c r="AA632" s="8"/>
    </row>
    <row r="633" spans="1:27" ht="19.75">
      <c r="A633" s="8"/>
      <c r="B633" s="7"/>
      <c r="C633" s="8"/>
      <c r="D633" s="8"/>
      <c r="E633" s="11"/>
      <c r="F633" s="8"/>
      <c r="G633" s="8"/>
      <c r="H633" s="8"/>
      <c r="I633" s="8"/>
      <c r="J633" s="8"/>
      <c r="K633" s="8"/>
      <c r="L633" s="8"/>
      <c r="M633" s="8"/>
      <c r="N633" s="8"/>
      <c r="O633" s="8"/>
      <c r="P633" s="8"/>
      <c r="Q633" s="8"/>
      <c r="R633" s="8"/>
      <c r="S633" s="8"/>
      <c r="T633" s="8"/>
      <c r="U633" s="8"/>
      <c r="V633" s="8"/>
      <c r="W633" s="8"/>
      <c r="X633" s="8"/>
      <c r="Y633" s="8"/>
      <c r="Z633" s="8"/>
      <c r="AA633" s="8"/>
    </row>
    <row r="634" spans="1:27" ht="19.75">
      <c r="A634" s="8"/>
      <c r="B634" s="7"/>
      <c r="C634" s="8"/>
      <c r="D634" s="8"/>
      <c r="E634" s="11"/>
      <c r="F634" s="8"/>
      <c r="G634" s="8"/>
      <c r="H634" s="8"/>
      <c r="I634" s="8"/>
      <c r="J634" s="8"/>
      <c r="K634" s="8"/>
      <c r="L634" s="8"/>
      <c r="M634" s="8"/>
      <c r="N634" s="8"/>
      <c r="O634" s="8"/>
      <c r="P634" s="8"/>
      <c r="Q634" s="8"/>
      <c r="R634" s="8"/>
      <c r="S634" s="8"/>
      <c r="T634" s="8"/>
      <c r="U634" s="8"/>
      <c r="V634" s="8"/>
      <c r="W634" s="8"/>
      <c r="X634" s="8"/>
      <c r="Y634" s="8"/>
      <c r="Z634" s="8"/>
      <c r="AA634" s="8"/>
    </row>
    <row r="635" spans="1:27" ht="19.75">
      <c r="A635" s="8"/>
      <c r="B635" s="7"/>
      <c r="C635" s="8"/>
      <c r="D635" s="8"/>
      <c r="E635" s="11"/>
      <c r="F635" s="8"/>
      <c r="G635" s="8"/>
      <c r="H635" s="8"/>
      <c r="I635" s="8"/>
      <c r="J635" s="8"/>
      <c r="K635" s="8"/>
      <c r="L635" s="8"/>
      <c r="M635" s="8"/>
      <c r="N635" s="8"/>
      <c r="O635" s="8"/>
      <c r="P635" s="8"/>
      <c r="Q635" s="8"/>
      <c r="R635" s="8"/>
      <c r="S635" s="8"/>
      <c r="T635" s="8"/>
      <c r="U635" s="8"/>
      <c r="V635" s="8"/>
      <c r="W635" s="8"/>
      <c r="X635" s="8"/>
      <c r="Y635" s="8"/>
      <c r="Z635" s="8"/>
      <c r="AA635" s="8"/>
    </row>
    <row r="636" spans="1:27" ht="19.75">
      <c r="A636" s="8"/>
      <c r="B636" s="7"/>
      <c r="C636" s="8"/>
      <c r="D636" s="8"/>
      <c r="E636" s="11"/>
      <c r="F636" s="8"/>
      <c r="G636" s="8"/>
      <c r="H636" s="8"/>
      <c r="I636" s="8"/>
      <c r="J636" s="8"/>
      <c r="K636" s="8"/>
      <c r="L636" s="8"/>
      <c r="M636" s="8"/>
      <c r="N636" s="8"/>
      <c r="O636" s="8"/>
      <c r="P636" s="8"/>
      <c r="Q636" s="8"/>
      <c r="R636" s="8"/>
      <c r="S636" s="8"/>
      <c r="T636" s="8"/>
      <c r="U636" s="8"/>
      <c r="V636" s="8"/>
      <c r="W636" s="8"/>
      <c r="X636" s="8"/>
      <c r="Y636" s="8"/>
      <c r="Z636" s="8"/>
      <c r="AA636" s="8"/>
    </row>
    <row r="637" spans="1:27" ht="19.75">
      <c r="A637" s="8"/>
      <c r="B637" s="7"/>
      <c r="C637" s="8"/>
      <c r="D637" s="8"/>
      <c r="E637" s="11"/>
      <c r="F637" s="8"/>
      <c r="G637" s="8"/>
      <c r="H637" s="8"/>
      <c r="I637" s="8"/>
      <c r="J637" s="8"/>
      <c r="K637" s="8"/>
      <c r="L637" s="8"/>
      <c r="M637" s="8"/>
      <c r="N637" s="8"/>
      <c r="O637" s="8"/>
      <c r="P637" s="8"/>
      <c r="Q637" s="8"/>
      <c r="R637" s="8"/>
      <c r="S637" s="8"/>
      <c r="T637" s="8"/>
      <c r="U637" s="8"/>
      <c r="V637" s="8"/>
      <c r="W637" s="8"/>
      <c r="X637" s="8"/>
      <c r="Y637" s="8"/>
      <c r="Z637" s="8"/>
      <c r="AA637" s="8"/>
    </row>
    <row r="638" spans="1:27" ht="19.75">
      <c r="A638" s="8"/>
      <c r="B638" s="7"/>
      <c r="C638" s="8"/>
      <c r="D638" s="8"/>
      <c r="E638" s="11"/>
      <c r="F638" s="8"/>
      <c r="G638" s="8"/>
      <c r="H638" s="8"/>
      <c r="I638" s="8"/>
      <c r="J638" s="8"/>
      <c r="K638" s="8"/>
      <c r="L638" s="8"/>
      <c r="M638" s="8"/>
      <c r="N638" s="8"/>
      <c r="O638" s="8"/>
      <c r="P638" s="8"/>
      <c r="Q638" s="8"/>
      <c r="R638" s="8"/>
      <c r="S638" s="8"/>
      <c r="T638" s="8"/>
      <c r="U638" s="8"/>
      <c r="V638" s="8"/>
      <c r="W638" s="8"/>
      <c r="X638" s="8"/>
      <c r="Y638" s="8"/>
      <c r="Z638" s="8"/>
      <c r="AA638" s="8"/>
    </row>
    <row r="639" spans="1:27" ht="19.75">
      <c r="A639" s="8"/>
      <c r="B639" s="7"/>
      <c r="C639" s="8"/>
      <c r="D639" s="8"/>
      <c r="E639" s="11"/>
      <c r="F639" s="8"/>
      <c r="G639" s="8"/>
      <c r="H639" s="8"/>
      <c r="I639" s="8"/>
      <c r="J639" s="8"/>
      <c r="K639" s="8"/>
      <c r="L639" s="8"/>
      <c r="M639" s="8"/>
      <c r="N639" s="8"/>
      <c r="O639" s="8"/>
      <c r="P639" s="8"/>
      <c r="Q639" s="8"/>
      <c r="R639" s="8"/>
      <c r="S639" s="8"/>
      <c r="T639" s="8"/>
      <c r="U639" s="8"/>
      <c r="V639" s="8"/>
      <c r="W639" s="8"/>
      <c r="X639" s="8"/>
      <c r="Y639" s="8"/>
      <c r="Z639" s="8"/>
      <c r="AA639" s="8"/>
    </row>
    <row r="640" spans="1:27" ht="19.75">
      <c r="A640" s="8"/>
      <c r="B640" s="7"/>
      <c r="C640" s="8"/>
      <c r="D640" s="8"/>
      <c r="E640" s="11"/>
      <c r="F640" s="8"/>
      <c r="G640" s="8"/>
      <c r="H640" s="8"/>
      <c r="I640" s="8"/>
      <c r="J640" s="8"/>
      <c r="K640" s="8"/>
      <c r="L640" s="8"/>
      <c r="M640" s="8"/>
      <c r="N640" s="8"/>
      <c r="O640" s="8"/>
      <c r="P640" s="8"/>
      <c r="Q640" s="8"/>
      <c r="R640" s="8"/>
      <c r="S640" s="8"/>
      <c r="T640" s="8"/>
      <c r="U640" s="8"/>
      <c r="V640" s="8"/>
      <c r="W640" s="8"/>
      <c r="X640" s="8"/>
      <c r="Y640" s="8"/>
      <c r="Z640" s="8"/>
      <c r="AA640" s="8"/>
    </row>
    <row r="641" spans="1:27" ht="19.75">
      <c r="A641" s="8"/>
      <c r="B641" s="7"/>
      <c r="C641" s="8"/>
      <c r="D641" s="8"/>
      <c r="E641" s="11"/>
      <c r="F641" s="8"/>
      <c r="G641" s="8"/>
      <c r="H641" s="8"/>
      <c r="I641" s="8"/>
      <c r="J641" s="8"/>
      <c r="K641" s="8"/>
      <c r="L641" s="8"/>
      <c r="M641" s="8"/>
      <c r="N641" s="8"/>
      <c r="O641" s="8"/>
      <c r="P641" s="8"/>
      <c r="Q641" s="8"/>
      <c r="R641" s="8"/>
      <c r="S641" s="8"/>
      <c r="T641" s="8"/>
      <c r="U641" s="8"/>
      <c r="V641" s="8"/>
      <c r="W641" s="8"/>
      <c r="X641" s="8"/>
      <c r="Y641" s="8"/>
      <c r="Z641" s="8"/>
      <c r="AA641" s="8"/>
    </row>
    <row r="642" spans="1:27" ht="19.75">
      <c r="A642" s="8"/>
      <c r="B642" s="7"/>
      <c r="C642" s="8"/>
      <c r="D642" s="8"/>
      <c r="E642" s="11"/>
      <c r="F642" s="8"/>
      <c r="G642" s="8"/>
      <c r="H642" s="8"/>
      <c r="I642" s="8"/>
      <c r="J642" s="8"/>
      <c r="K642" s="8"/>
      <c r="L642" s="8"/>
      <c r="M642" s="8"/>
      <c r="N642" s="8"/>
      <c r="O642" s="8"/>
      <c r="P642" s="8"/>
      <c r="Q642" s="8"/>
      <c r="R642" s="8"/>
      <c r="S642" s="8"/>
      <c r="T642" s="8"/>
      <c r="U642" s="8"/>
      <c r="V642" s="8"/>
      <c r="W642" s="8"/>
      <c r="X642" s="8"/>
      <c r="Y642" s="8"/>
      <c r="Z642" s="8"/>
      <c r="AA642" s="8"/>
    </row>
    <row r="643" spans="1:27" ht="19.75">
      <c r="A643" s="8"/>
      <c r="B643" s="7"/>
      <c r="C643" s="8"/>
      <c r="D643" s="8"/>
      <c r="E643" s="11"/>
      <c r="F643" s="8"/>
      <c r="G643" s="8"/>
      <c r="H643" s="8"/>
      <c r="I643" s="8"/>
      <c r="J643" s="8"/>
      <c r="K643" s="8"/>
      <c r="L643" s="8"/>
      <c r="M643" s="8"/>
      <c r="N643" s="8"/>
      <c r="O643" s="8"/>
      <c r="P643" s="8"/>
      <c r="Q643" s="8"/>
      <c r="R643" s="8"/>
      <c r="S643" s="8"/>
      <c r="T643" s="8"/>
      <c r="U643" s="8"/>
      <c r="V643" s="8"/>
      <c r="W643" s="8"/>
      <c r="X643" s="8"/>
      <c r="Y643" s="8"/>
      <c r="Z643" s="8"/>
      <c r="AA643" s="8"/>
    </row>
    <row r="644" spans="1:27" ht="19.75">
      <c r="A644" s="8"/>
      <c r="B644" s="7"/>
      <c r="C644" s="8"/>
      <c r="D644" s="8"/>
      <c r="E644" s="11"/>
      <c r="F644" s="8"/>
      <c r="G644" s="8"/>
      <c r="H644" s="8"/>
      <c r="I644" s="8"/>
      <c r="J644" s="8"/>
      <c r="K644" s="8"/>
      <c r="L644" s="8"/>
      <c r="M644" s="8"/>
      <c r="N644" s="8"/>
      <c r="O644" s="8"/>
      <c r="P644" s="8"/>
      <c r="Q644" s="8"/>
      <c r="R644" s="8"/>
      <c r="S644" s="8"/>
      <c r="T644" s="8"/>
      <c r="U644" s="8"/>
      <c r="V644" s="8"/>
      <c r="W644" s="8"/>
      <c r="X644" s="8"/>
      <c r="Y644" s="8"/>
      <c r="Z644" s="8"/>
      <c r="AA644" s="8"/>
    </row>
    <row r="645" spans="1:27" ht="19.75">
      <c r="A645" s="8"/>
      <c r="B645" s="7"/>
      <c r="C645" s="8"/>
      <c r="D645" s="8"/>
      <c r="E645" s="11"/>
      <c r="F645" s="8"/>
      <c r="G645" s="8"/>
      <c r="H645" s="8"/>
      <c r="I645" s="8"/>
      <c r="J645" s="8"/>
      <c r="K645" s="8"/>
      <c r="L645" s="8"/>
      <c r="M645" s="8"/>
      <c r="N645" s="8"/>
      <c r="O645" s="8"/>
      <c r="P645" s="8"/>
      <c r="Q645" s="8"/>
      <c r="R645" s="8"/>
      <c r="S645" s="8"/>
      <c r="T645" s="8"/>
      <c r="U645" s="8"/>
      <c r="V645" s="8"/>
      <c r="W645" s="8"/>
      <c r="X645" s="8"/>
      <c r="Y645" s="8"/>
      <c r="Z645" s="8"/>
      <c r="AA645" s="8"/>
    </row>
    <row r="646" spans="1:27" ht="19.75">
      <c r="A646" s="8"/>
      <c r="B646" s="7"/>
      <c r="C646" s="8"/>
      <c r="D646" s="8"/>
      <c r="E646" s="11"/>
      <c r="F646" s="8"/>
      <c r="G646" s="8"/>
      <c r="H646" s="8"/>
      <c r="I646" s="8"/>
      <c r="J646" s="8"/>
      <c r="K646" s="8"/>
      <c r="L646" s="8"/>
      <c r="M646" s="8"/>
      <c r="N646" s="8"/>
      <c r="O646" s="8"/>
      <c r="P646" s="8"/>
      <c r="Q646" s="8"/>
      <c r="R646" s="8"/>
      <c r="S646" s="8"/>
      <c r="T646" s="8"/>
      <c r="U646" s="8"/>
      <c r="V646" s="8"/>
      <c r="W646" s="8"/>
      <c r="X646" s="8"/>
      <c r="Y646" s="8"/>
      <c r="Z646" s="8"/>
      <c r="AA646" s="8"/>
    </row>
    <row r="647" spans="1:27" ht="19.75">
      <c r="A647" s="8"/>
      <c r="B647" s="7"/>
      <c r="C647" s="8"/>
      <c r="D647" s="8"/>
      <c r="E647" s="11"/>
      <c r="F647" s="8"/>
      <c r="G647" s="8"/>
      <c r="H647" s="8"/>
      <c r="I647" s="8"/>
      <c r="J647" s="8"/>
      <c r="K647" s="8"/>
      <c r="L647" s="8"/>
      <c r="M647" s="8"/>
      <c r="N647" s="8"/>
      <c r="O647" s="8"/>
      <c r="P647" s="8"/>
      <c r="Q647" s="8"/>
      <c r="R647" s="8"/>
      <c r="S647" s="8"/>
      <c r="T647" s="8"/>
      <c r="U647" s="8"/>
      <c r="V647" s="8"/>
      <c r="W647" s="8"/>
      <c r="X647" s="8"/>
      <c r="Y647" s="8"/>
      <c r="Z647" s="8"/>
      <c r="AA647" s="8"/>
    </row>
    <row r="648" spans="1:27" ht="19.75">
      <c r="A648" s="8"/>
      <c r="B648" s="7"/>
      <c r="C648" s="8"/>
      <c r="D648" s="8"/>
      <c r="E648" s="11"/>
      <c r="F648" s="8"/>
      <c r="G648" s="8"/>
      <c r="H648" s="8"/>
      <c r="I648" s="8"/>
      <c r="J648" s="8"/>
      <c r="K648" s="8"/>
      <c r="L648" s="8"/>
      <c r="M648" s="8"/>
      <c r="N648" s="8"/>
      <c r="O648" s="8"/>
      <c r="P648" s="8"/>
      <c r="Q648" s="8"/>
      <c r="R648" s="8"/>
      <c r="S648" s="8"/>
      <c r="T648" s="8"/>
      <c r="U648" s="8"/>
      <c r="V648" s="8"/>
      <c r="W648" s="8"/>
      <c r="X648" s="8"/>
      <c r="Y648" s="8"/>
      <c r="Z648" s="8"/>
      <c r="AA648" s="8"/>
    </row>
    <row r="649" spans="1:27" ht="19.75">
      <c r="A649" s="8"/>
      <c r="B649" s="7"/>
      <c r="C649" s="8"/>
      <c r="D649" s="8"/>
      <c r="E649" s="11"/>
      <c r="F649" s="8"/>
      <c r="G649" s="8"/>
      <c r="H649" s="8"/>
      <c r="I649" s="8"/>
      <c r="J649" s="8"/>
      <c r="K649" s="8"/>
      <c r="L649" s="8"/>
      <c r="M649" s="8"/>
      <c r="N649" s="8"/>
      <c r="O649" s="8"/>
      <c r="P649" s="8"/>
      <c r="Q649" s="8"/>
      <c r="R649" s="8"/>
      <c r="S649" s="8"/>
      <c r="T649" s="8"/>
      <c r="U649" s="8"/>
      <c r="V649" s="8"/>
      <c r="W649" s="8"/>
      <c r="X649" s="8"/>
      <c r="Y649" s="8"/>
      <c r="Z649" s="8"/>
      <c r="AA649" s="8"/>
    </row>
    <row r="650" spans="1:27" ht="19.75">
      <c r="A650" s="8"/>
      <c r="B650" s="7"/>
      <c r="C650" s="8"/>
      <c r="D650" s="8"/>
      <c r="E650" s="11"/>
      <c r="F650" s="8"/>
      <c r="G650" s="8"/>
      <c r="H650" s="8"/>
      <c r="I650" s="8"/>
      <c r="J650" s="8"/>
      <c r="K650" s="8"/>
      <c r="L650" s="8"/>
      <c r="M650" s="8"/>
      <c r="N650" s="8"/>
      <c r="O650" s="8"/>
      <c r="P650" s="8"/>
      <c r="Q650" s="8"/>
      <c r="R650" s="8"/>
      <c r="S650" s="8"/>
      <c r="T650" s="8"/>
      <c r="U650" s="8"/>
      <c r="V650" s="8"/>
      <c r="W650" s="8"/>
      <c r="X650" s="8"/>
      <c r="Y650" s="8"/>
      <c r="Z650" s="8"/>
      <c r="AA650" s="8"/>
    </row>
    <row r="651" spans="1:27" ht="19.75">
      <c r="A651" s="8"/>
      <c r="B651" s="7"/>
      <c r="C651" s="8"/>
      <c r="D651" s="8"/>
      <c r="E651" s="11"/>
      <c r="F651" s="8"/>
      <c r="G651" s="8"/>
      <c r="H651" s="8"/>
      <c r="I651" s="8"/>
      <c r="J651" s="8"/>
      <c r="K651" s="8"/>
      <c r="L651" s="8"/>
      <c r="M651" s="8"/>
      <c r="N651" s="8"/>
      <c r="O651" s="8"/>
      <c r="P651" s="8"/>
      <c r="Q651" s="8"/>
      <c r="R651" s="8"/>
      <c r="S651" s="8"/>
      <c r="T651" s="8"/>
      <c r="U651" s="8"/>
      <c r="V651" s="8"/>
      <c r="W651" s="8"/>
      <c r="X651" s="8"/>
      <c r="Y651" s="8"/>
      <c r="Z651" s="8"/>
      <c r="AA651" s="8"/>
    </row>
    <row r="652" spans="1:27" ht="19.75">
      <c r="A652" s="8"/>
      <c r="B652" s="7"/>
      <c r="C652" s="8"/>
      <c r="D652" s="8"/>
      <c r="E652" s="11"/>
      <c r="F652" s="8"/>
      <c r="G652" s="8"/>
      <c r="H652" s="8"/>
      <c r="I652" s="8"/>
      <c r="J652" s="8"/>
      <c r="K652" s="8"/>
      <c r="L652" s="8"/>
      <c r="M652" s="8"/>
      <c r="N652" s="8"/>
      <c r="O652" s="8"/>
      <c r="P652" s="8"/>
      <c r="Q652" s="8"/>
      <c r="R652" s="8"/>
      <c r="S652" s="8"/>
      <c r="T652" s="8"/>
      <c r="U652" s="8"/>
      <c r="V652" s="8"/>
      <c r="W652" s="8"/>
      <c r="X652" s="8"/>
      <c r="Y652" s="8"/>
      <c r="Z652" s="8"/>
      <c r="AA652" s="8"/>
    </row>
    <row r="653" spans="1:27" ht="19.75">
      <c r="A653" s="8"/>
      <c r="B653" s="7"/>
      <c r="C653" s="8"/>
      <c r="D653" s="8"/>
      <c r="E653" s="11"/>
      <c r="F653" s="8"/>
      <c r="G653" s="8"/>
      <c r="H653" s="8"/>
      <c r="I653" s="8"/>
      <c r="J653" s="8"/>
      <c r="K653" s="8"/>
      <c r="L653" s="8"/>
      <c r="M653" s="8"/>
      <c r="N653" s="8"/>
      <c r="O653" s="8"/>
      <c r="P653" s="8"/>
      <c r="Q653" s="8"/>
      <c r="R653" s="8"/>
      <c r="S653" s="8"/>
      <c r="T653" s="8"/>
      <c r="U653" s="8"/>
      <c r="V653" s="8"/>
      <c r="W653" s="8"/>
      <c r="X653" s="8"/>
      <c r="Y653" s="8"/>
      <c r="Z653" s="8"/>
      <c r="AA653" s="8"/>
    </row>
    <row r="654" spans="1:27" ht="19.75">
      <c r="A654" s="8"/>
      <c r="B654" s="7"/>
      <c r="C654" s="8"/>
      <c r="D654" s="8"/>
      <c r="E654" s="11"/>
      <c r="F654" s="8"/>
      <c r="G654" s="8"/>
      <c r="H654" s="8"/>
      <c r="I654" s="8"/>
      <c r="J654" s="8"/>
      <c r="K654" s="8"/>
      <c r="L654" s="8"/>
      <c r="M654" s="8"/>
      <c r="N654" s="8"/>
      <c r="O654" s="8"/>
      <c r="P654" s="8"/>
      <c r="Q654" s="8"/>
      <c r="R654" s="8"/>
      <c r="S654" s="8"/>
      <c r="T654" s="8"/>
      <c r="U654" s="8"/>
      <c r="V654" s="8"/>
      <c r="W654" s="8"/>
      <c r="X654" s="8"/>
      <c r="Y654" s="8"/>
      <c r="Z654" s="8"/>
      <c r="AA654" s="8"/>
    </row>
    <row r="655" spans="1:27" ht="19.75">
      <c r="A655" s="8"/>
      <c r="B655" s="7"/>
      <c r="C655" s="8"/>
      <c r="D655" s="8"/>
      <c r="E655" s="11"/>
      <c r="F655" s="8"/>
      <c r="G655" s="8"/>
      <c r="H655" s="8"/>
      <c r="I655" s="8"/>
      <c r="J655" s="8"/>
      <c r="K655" s="8"/>
      <c r="L655" s="8"/>
      <c r="M655" s="8"/>
      <c r="N655" s="8"/>
      <c r="O655" s="8"/>
      <c r="P655" s="8"/>
      <c r="Q655" s="8"/>
      <c r="R655" s="8"/>
      <c r="S655" s="8"/>
      <c r="T655" s="8"/>
      <c r="U655" s="8"/>
      <c r="V655" s="8"/>
      <c r="W655" s="8"/>
      <c r="X655" s="8"/>
      <c r="Y655" s="8"/>
      <c r="Z655" s="8"/>
      <c r="AA655" s="8"/>
    </row>
    <row r="656" spans="1:27" ht="19.75">
      <c r="A656" s="8"/>
      <c r="B656" s="7"/>
      <c r="C656" s="8"/>
      <c r="D656" s="8"/>
      <c r="E656" s="11"/>
      <c r="F656" s="8"/>
      <c r="G656" s="8"/>
      <c r="H656" s="8"/>
      <c r="I656" s="8"/>
      <c r="J656" s="8"/>
      <c r="K656" s="8"/>
      <c r="L656" s="8"/>
      <c r="M656" s="8"/>
      <c r="N656" s="8"/>
      <c r="O656" s="8"/>
      <c r="P656" s="8"/>
      <c r="Q656" s="8"/>
      <c r="R656" s="8"/>
      <c r="S656" s="8"/>
      <c r="T656" s="8"/>
      <c r="U656" s="8"/>
      <c r="V656" s="8"/>
      <c r="W656" s="8"/>
      <c r="X656" s="8"/>
      <c r="Y656" s="8"/>
      <c r="Z656" s="8"/>
      <c r="AA656" s="8"/>
    </row>
    <row r="657" spans="1:27" ht="19.75">
      <c r="A657" s="8"/>
      <c r="B657" s="7"/>
      <c r="C657" s="8"/>
      <c r="D657" s="8"/>
      <c r="E657" s="11"/>
      <c r="F657" s="8"/>
      <c r="G657" s="8"/>
      <c r="H657" s="8"/>
      <c r="I657" s="8"/>
      <c r="J657" s="8"/>
      <c r="K657" s="8"/>
      <c r="L657" s="8"/>
      <c r="M657" s="8"/>
      <c r="N657" s="8"/>
      <c r="O657" s="8"/>
      <c r="P657" s="8"/>
      <c r="Q657" s="8"/>
      <c r="R657" s="8"/>
      <c r="S657" s="8"/>
      <c r="T657" s="8"/>
      <c r="U657" s="8"/>
      <c r="V657" s="8"/>
      <c r="W657" s="8"/>
      <c r="X657" s="8"/>
      <c r="Y657" s="8"/>
      <c r="Z657" s="8"/>
      <c r="AA657" s="8"/>
    </row>
    <row r="658" spans="1:27" ht="19.75">
      <c r="A658" s="8"/>
      <c r="B658" s="7"/>
      <c r="C658" s="8"/>
      <c r="D658" s="8"/>
      <c r="E658" s="11"/>
      <c r="F658" s="8"/>
      <c r="G658" s="8"/>
      <c r="H658" s="8"/>
      <c r="I658" s="8"/>
      <c r="J658" s="8"/>
      <c r="K658" s="8"/>
      <c r="L658" s="8"/>
      <c r="M658" s="8"/>
      <c r="N658" s="8"/>
      <c r="O658" s="8"/>
      <c r="P658" s="8"/>
      <c r="Q658" s="8"/>
      <c r="R658" s="8"/>
      <c r="S658" s="8"/>
      <c r="T658" s="8"/>
      <c r="U658" s="8"/>
      <c r="V658" s="8"/>
      <c r="W658" s="8"/>
      <c r="X658" s="8"/>
      <c r="Y658" s="8"/>
      <c r="Z658" s="8"/>
      <c r="AA658" s="8"/>
    </row>
    <row r="659" spans="1:27" ht="19.75">
      <c r="A659" s="8"/>
      <c r="B659" s="7"/>
      <c r="C659" s="8"/>
      <c r="D659" s="8"/>
      <c r="E659" s="11"/>
      <c r="F659" s="8"/>
      <c r="G659" s="8"/>
      <c r="H659" s="8"/>
      <c r="I659" s="8"/>
      <c r="J659" s="8"/>
      <c r="K659" s="8"/>
      <c r="L659" s="8"/>
      <c r="M659" s="8"/>
      <c r="N659" s="8"/>
      <c r="O659" s="8"/>
      <c r="P659" s="8"/>
      <c r="Q659" s="8"/>
      <c r="R659" s="8"/>
      <c r="S659" s="8"/>
      <c r="T659" s="8"/>
      <c r="U659" s="8"/>
      <c r="V659" s="8"/>
      <c r="W659" s="8"/>
      <c r="X659" s="8"/>
      <c r="Y659" s="8"/>
      <c r="Z659" s="8"/>
      <c r="AA659" s="8"/>
    </row>
    <row r="660" spans="1:27" ht="19.75">
      <c r="A660" s="8"/>
      <c r="B660" s="7"/>
      <c r="C660" s="8"/>
      <c r="D660" s="8"/>
      <c r="E660" s="11"/>
      <c r="F660" s="8"/>
      <c r="G660" s="8"/>
      <c r="H660" s="8"/>
      <c r="I660" s="8"/>
      <c r="J660" s="8"/>
      <c r="K660" s="8"/>
      <c r="L660" s="8"/>
      <c r="M660" s="8"/>
      <c r="N660" s="8"/>
      <c r="O660" s="8"/>
      <c r="P660" s="8"/>
      <c r="Q660" s="8"/>
      <c r="R660" s="8"/>
      <c r="S660" s="8"/>
      <c r="T660" s="8"/>
      <c r="U660" s="8"/>
      <c r="V660" s="8"/>
      <c r="W660" s="8"/>
      <c r="X660" s="8"/>
      <c r="Y660" s="8"/>
      <c r="Z660" s="8"/>
      <c r="AA660" s="8"/>
    </row>
    <row r="661" spans="1:27" ht="19.75">
      <c r="A661" s="8"/>
      <c r="B661" s="7"/>
      <c r="C661" s="8"/>
      <c r="D661" s="8"/>
      <c r="E661" s="11"/>
      <c r="F661" s="8"/>
      <c r="G661" s="8"/>
      <c r="H661" s="8"/>
      <c r="I661" s="8"/>
      <c r="J661" s="8"/>
      <c r="K661" s="8"/>
      <c r="L661" s="8"/>
      <c r="M661" s="8"/>
      <c r="N661" s="8"/>
      <c r="O661" s="8"/>
      <c r="P661" s="8"/>
      <c r="Q661" s="8"/>
      <c r="R661" s="8"/>
      <c r="S661" s="8"/>
      <c r="T661" s="8"/>
      <c r="U661" s="8"/>
      <c r="V661" s="8"/>
      <c r="W661" s="8"/>
      <c r="X661" s="8"/>
      <c r="Y661" s="8"/>
      <c r="Z661" s="8"/>
      <c r="AA661" s="8"/>
    </row>
    <row r="662" spans="1:27" ht="19.75">
      <c r="A662" s="8"/>
      <c r="B662" s="7"/>
      <c r="C662" s="8"/>
      <c r="D662" s="8"/>
      <c r="E662" s="11"/>
      <c r="F662" s="8"/>
      <c r="G662" s="8"/>
      <c r="H662" s="8"/>
      <c r="I662" s="8"/>
      <c r="J662" s="8"/>
      <c r="K662" s="8"/>
      <c r="L662" s="8"/>
      <c r="M662" s="8"/>
      <c r="N662" s="8"/>
      <c r="O662" s="8"/>
      <c r="P662" s="8"/>
      <c r="Q662" s="8"/>
      <c r="R662" s="8"/>
      <c r="S662" s="8"/>
      <c r="T662" s="8"/>
      <c r="U662" s="8"/>
      <c r="V662" s="8"/>
      <c r="W662" s="8"/>
      <c r="X662" s="8"/>
      <c r="Y662" s="8"/>
      <c r="Z662" s="8"/>
      <c r="AA662" s="8"/>
    </row>
    <row r="663" spans="1:27" ht="19.75">
      <c r="A663" s="8"/>
      <c r="B663" s="7"/>
      <c r="C663" s="8"/>
      <c r="D663" s="8"/>
      <c r="E663" s="11"/>
      <c r="F663" s="8"/>
      <c r="G663" s="8"/>
      <c r="H663" s="8"/>
      <c r="I663" s="8"/>
      <c r="J663" s="8"/>
      <c r="K663" s="8"/>
      <c r="L663" s="8"/>
      <c r="M663" s="8"/>
      <c r="N663" s="8"/>
      <c r="O663" s="8"/>
      <c r="P663" s="8"/>
      <c r="Q663" s="8"/>
      <c r="R663" s="8"/>
      <c r="S663" s="8"/>
      <c r="T663" s="8"/>
      <c r="U663" s="8"/>
      <c r="V663" s="8"/>
      <c r="W663" s="8"/>
      <c r="X663" s="8"/>
      <c r="Y663" s="8"/>
      <c r="Z663" s="8"/>
      <c r="AA663" s="8"/>
    </row>
    <row r="664" spans="1:27" ht="19.75">
      <c r="A664" s="8"/>
      <c r="B664" s="7"/>
      <c r="C664" s="8"/>
      <c r="D664" s="8"/>
      <c r="E664" s="11"/>
      <c r="F664" s="8"/>
      <c r="G664" s="8"/>
      <c r="H664" s="8"/>
      <c r="I664" s="8"/>
      <c r="J664" s="8"/>
      <c r="K664" s="8"/>
      <c r="L664" s="8"/>
      <c r="M664" s="8"/>
      <c r="N664" s="8"/>
      <c r="O664" s="8"/>
      <c r="P664" s="8"/>
      <c r="Q664" s="8"/>
      <c r="R664" s="8"/>
      <c r="S664" s="8"/>
      <c r="T664" s="8"/>
      <c r="U664" s="8"/>
      <c r="V664" s="8"/>
      <c r="W664" s="8"/>
      <c r="X664" s="8"/>
      <c r="Y664" s="8"/>
      <c r="Z664" s="8"/>
      <c r="AA664" s="8"/>
    </row>
    <row r="665" spans="1:27" ht="19.75">
      <c r="A665" s="8"/>
      <c r="B665" s="7"/>
      <c r="C665" s="8"/>
      <c r="D665" s="8"/>
      <c r="E665" s="11"/>
      <c r="F665" s="8"/>
      <c r="G665" s="8"/>
      <c r="H665" s="8"/>
      <c r="I665" s="8"/>
      <c r="J665" s="8"/>
      <c r="K665" s="8"/>
      <c r="L665" s="8"/>
      <c r="M665" s="8"/>
      <c r="N665" s="8"/>
      <c r="O665" s="8"/>
      <c r="P665" s="8"/>
      <c r="Q665" s="8"/>
      <c r="R665" s="8"/>
      <c r="S665" s="8"/>
      <c r="T665" s="8"/>
      <c r="U665" s="8"/>
      <c r="V665" s="8"/>
      <c r="W665" s="8"/>
      <c r="X665" s="8"/>
      <c r="Y665" s="8"/>
      <c r="Z665" s="8"/>
      <c r="AA665" s="8"/>
    </row>
    <row r="666" spans="1:27" ht="19.75">
      <c r="A666" s="8"/>
      <c r="B666" s="7"/>
      <c r="C666" s="8"/>
      <c r="D666" s="8"/>
      <c r="E666" s="11"/>
      <c r="F666" s="8"/>
      <c r="G666" s="8"/>
      <c r="H666" s="8"/>
      <c r="I666" s="8"/>
      <c r="J666" s="8"/>
      <c r="K666" s="8"/>
      <c r="L666" s="8"/>
      <c r="M666" s="8"/>
      <c r="N666" s="8"/>
      <c r="O666" s="8"/>
      <c r="P666" s="8"/>
      <c r="Q666" s="8"/>
      <c r="R666" s="8"/>
      <c r="S666" s="8"/>
      <c r="T666" s="8"/>
      <c r="U666" s="8"/>
      <c r="V666" s="8"/>
      <c r="W666" s="8"/>
      <c r="X666" s="8"/>
      <c r="Y666" s="8"/>
      <c r="Z666" s="8"/>
      <c r="AA666" s="8"/>
    </row>
    <row r="667" spans="1:27" ht="19.75">
      <c r="A667" s="8"/>
      <c r="B667" s="7"/>
      <c r="C667" s="8"/>
      <c r="D667" s="8"/>
      <c r="E667" s="11"/>
      <c r="F667" s="8"/>
      <c r="G667" s="8"/>
      <c r="H667" s="8"/>
      <c r="I667" s="8"/>
      <c r="J667" s="8"/>
      <c r="K667" s="8"/>
      <c r="L667" s="8"/>
      <c r="M667" s="8"/>
      <c r="N667" s="8"/>
      <c r="O667" s="8"/>
      <c r="P667" s="8"/>
      <c r="Q667" s="8"/>
      <c r="R667" s="8"/>
      <c r="S667" s="8"/>
      <c r="T667" s="8"/>
      <c r="U667" s="8"/>
      <c r="V667" s="8"/>
      <c r="W667" s="8"/>
      <c r="X667" s="8"/>
      <c r="Y667" s="8"/>
      <c r="Z667" s="8"/>
      <c r="AA667" s="8"/>
    </row>
    <row r="668" spans="1:27" ht="19.75">
      <c r="A668" s="8"/>
      <c r="B668" s="7"/>
      <c r="C668" s="8"/>
      <c r="D668" s="8"/>
      <c r="E668" s="11"/>
      <c r="F668" s="8"/>
      <c r="G668" s="8"/>
      <c r="H668" s="8"/>
      <c r="I668" s="8"/>
      <c r="J668" s="8"/>
      <c r="K668" s="8"/>
      <c r="L668" s="8"/>
      <c r="M668" s="8"/>
      <c r="N668" s="8"/>
      <c r="O668" s="8"/>
      <c r="P668" s="8"/>
      <c r="Q668" s="8"/>
      <c r="R668" s="8"/>
      <c r="S668" s="8"/>
      <c r="T668" s="8"/>
      <c r="U668" s="8"/>
      <c r="V668" s="8"/>
      <c r="W668" s="8"/>
      <c r="X668" s="8"/>
      <c r="Y668" s="8"/>
      <c r="Z668" s="8"/>
      <c r="AA668" s="8"/>
    </row>
    <row r="669" spans="1:27" ht="19.75">
      <c r="A669" s="8"/>
      <c r="B669" s="7"/>
      <c r="C669" s="8"/>
      <c r="D669" s="8"/>
      <c r="E669" s="11"/>
      <c r="F669" s="8"/>
      <c r="G669" s="8"/>
      <c r="H669" s="8"/>
      <c r="I669" s="8"/>
      <c r="J669" s="8"/>
      <c r="K669" s="8"/>
      <c r="L669" s="8"/>
      <c r="M669" s="8"/>
      <c r="N669" s="8"/>
      <c r="O669" s="8"/>
      <c r="P669" s="8"/>
      <c r="Q669" s="8"/>
      <c r="R669" s="8"/>
      <c r="S669" s="8"/>
      <c r="T669" s="8"/>
      <c r="U669" s="8"/>
      <c r="V669" s="8"/>
      <c r="W669" s="8"/>
      <c r="X669" s="8"/>
      <c r="Y669" s="8"/>
      <c r="Z669" s="8"/>
      <c r="AA669" s="8"/>
    </row>
    <row r="670" spans="1:27" ht="19.75">
      <c r="A670" s="8"/>
      <c r="B670" s="7"/>
      <c r="C670" s="8"/>
      <c r="D670" s="8"/>
      <c r="E670" s="11"/>
      <c r="F670" s="8"/>
      <c r="G670" s="8"/>
      <c r="H670" s="8"/>
      <c r="I670" s="8"/>
      <c r="J670" s="8"/>
      <c r="K670" s="8"/>
      <c r="L670" s="8"/>
      <c r="M670" s="8"/>
      <c r="N670" s="8"/>
      <c r="O670" s="8"/>
      <c r="P670" s="8"/>
      <c r="Q670" s="8"/>
      <c r="R670" s="8"/>
      <c r="S670" s="8"/>
      <c r="T670" s="8"/>
      <c r="U670" s="8"/>
      <c r="V670" s="8"/>
      <c r="W670" s="8"/>
      <c r="X670" s="8"/>
      <c r="Y670" s="8"/>
      <c r="Z670" s="8"/>
      <c r="AA670" s="8"/>
    </row>
    <row r="671" spans="1:27" ht="19.75">
      <c r="A671" s="8"/>
      <c r="B671" s="7"/>
      <c r="C671" s="8"/>
      <c r="D671" s="8"/>
      <c r="E671" s="11"/>
      <c r="F671" s="8"/>
      <c r="G671" s="8"/>
      <c r="H671" s="8"/>
      <c r="I671" s="8"/>
      <c r="J671" s="8"/>
      <c r="K671" s="8"/>
      <c r="L671" s="8"/>
      <c r="M671" s="8"/>
      <c r="N671" s="8"/>
      <c r="O671" s="8"/>
      <c r="P671" s="8"/>
      <c r="Q671" s="8"/>
      <c r="R671" s="8"/>
      <c r="S671" s="8"/>
      <c r="T671" s="8"/>
      <c r="U671" s="8"/>
      <c r="V671" s="8"/>
      <c r="W671" s="8"/>
      <c r="X671" s="8"/>
      <c r="Y671" s="8"/>
      <c r="Z671" s="8"/>
      <c r="AA671" s="8"/>
    </row>
    <row r="672" spans="1:27" ht="19.75">
      <c r="A672" s="8"/>
      <c r="B672" s="7"/>
      <c r="C672" s="8"/>
      <c r="D672" s="8"/>
      <c r="E672" s="11"/>
      <c r="F672" s="8"/>
      <c r="G672" s="8"/>
      <c r="H672" s="8"/>
      <c r="I672" s="8"/>
      <c r="J672" s="8"/>
      <c r="K672" s="8"/>
      <c r="L672" s="8"/>
      <c r="M672" s="8"/>
      <c r="N672" s="8"/>
      <c r="O672" s="8"/>
      <c r="P672" s="8"/>
      <c r="Q672" s="8"/>
      <c r="R672" s="8"/>
      <c r="S672" s="8"/>
      <c r="T672" s="8"/>
      <c r="U672" s="8"/>
      <c r="V672" s="8"/>
      <c r="W672" s="8"/>
      <c r="X672" s="8"/>
      <c r="Y672" s="8"/>
      <c r="Z672" s="8"/>
      <c r="AA672" s="8"/>
    </row>
    <row r="673" spans="1:27" ht="19.75">
      <c r="A673" s="8"/>
      <c r="B673" s="7"/>
      <c r="C673" s="8"/>
      <c r="D673" s="8"/>
      <c r="E673" s="11"/>
      <c r="F673" s="8"/>
      <c r="G673" s="8"/>
      <c r="H673" s="8"/>
      <c r="I673" s="8"/>
      <c r="J673" s="8"/>
      <c r="K673" s="8"/>
      <c r="L673" s="8"/>
      <c r="M673" s="8"/>
      <c r="N673" s="8"/>
      <c r="O673" s="8"/>
      <c r="P673" s="8"/>
      <c r="Q673" s="8"/>
      <c r="R673" s="8"/>
      <c r="S673" s="8"/>
      <c r="T673" s="8"/>
      <c r="U673" s="8"/>
      <c r="V673" s="8"/>
      <c r="W673" s="8"/>
      <c r="X673" s="8"/>
      <c r="Y673" s="8"/>
      <c r="Z673" s="8"/>
      <c r="AA673" s="8"/>
    </row>
    <row r="674" spans="1:27" ht="19.75">
      <c r="A674" s="8"/>
      <c r="B674" s="7"/>
      <c r="C674" s="8"/>
      <c r="D674" s="8"/>
      <c r="E674" s="11"/>
      <c r="F674" s="8"/>
      <c r="G674" s="8"/>
      <c r="H674" s="8"/>
      <c r="I674" s="8"/>
      <c r="J674" s="8"/>
      <c r="K674" s="8"/>
      <c r="L674" s="8"/>
      <c r="M674" s="8"/>
      <c r="N674" s="8"/>
      <c r="O674" s="8"/>
      <c r="P674" s="8"/>
      <c r="Q674" s="8"/>
      <c r="R674" s="8"/>
      <c r="S674" s="8"/>
      <c r="T674" s="8"/>
      <c r="U674" s="8"/>
      <c r="V674" s="8"/>
      <c r="W674" s="8"/>
      <c r="X674" s="8"/>
      <c r="Y674" s="8"/>
      <c r="Z674" s="8"/>
      <c r="AA674" s="8"/>
    </row>
    <row r="675" spans="1:27" ht="19.75">
      <c r="A675" s="8"/>
      <c r="B675" s="7"/>
      <c r="C675" s="8"/>
      <c r="D675" s="8"/>
      <c r="E675" s="11"/>
      <c r="F675" s="8"/>
      <c r="G675" s="8"/>
      <c r="H675" s="8"/>
      <c r="I675" s="8"/>
      <c r="J675" s="8"/>
      <c r="K675" s="8"/>
      <c r="L675" s="8"/>
      <c r="M675" s="8"/>
      <c r="N675" s="8"/>
      <c r="O675" s="8"/>
      <c r="P675" s="8"/>
      <c r="Q675" s="8"/>
      <c r="R675" s="8"/>
      <c r="S675" s="8"/>
      <c r="T675" s="8"/>
      <c r="U675" s="8"/>
      <c r="V675" s="8"/>
      <c r="W675" s="8"/>
      <c r="X675" s="8"/>
      <c r="Y675" s="8"/>
      <c r="Z675" s="8"/>
      <c r="AA675" s="8"/>
    </row>
    <row r="676" spans="1:27" ht="19.75">
      <c r="A676" s="8"/>
      <c r="B676" s="7"/>
      <c r="C676" s="8"/>
      <c r="D676" s="8"/>
      <c r="E676" s="11"/>
      <c r="F676" s="8"/>
      <c r="G676" s="8"/>
      <c r="H676" s="8"/>
      <c r="I676" s="8"/>
      <c r="J676" s="8"/>
      <c r="K676" s="8"/>
      <c r="L676" s="8"/>
      <c r="M676" s="8"/>
      <c r="N676" s="8"/>
      <c r="O676" s="8"/>
      <c r="P676" s="8"/>
      <c r="Q676" s="8"/>
      <c r="R676" s="8"/>
      <c r="S676" s="8"/>
      <c r="T676" s="8"/>
      <c r="U676" s="8"/>
      <c r="V676" s="8"/>
      <c r="W676" s="8"/>
      <c r="X676" s="8"/>
      <c r="Y676" s="8"/>
      <c r="Z676" s="8"/>
      <c r="AA676" s="8"/>
    </row>
    <row r="677" spans="1:27" ht="19.75">
      <c r="A677" s="8"/>
      <c r="B677" s="7"/>
      <c r="C677" s="8"/>
      <c r="D677" s="8"/>
      <c r="E677" s="11"/>
      <c r="F677" s="8"/>
      <c r="G677" s="8"/>
      <c r="H677" s="8"/>
      <c r="I677" s="8"/>
      <c r="J677" s="8"/>
      <c r="K677" s="8"/>
      <c r="L677" s="8"/>
      <c r="M677" s="8"/>
      <c r="N677" s="8"/>
      <c r="O677" s="8"/>
      <c r="P677" s="8"/>
      <c r="Q677" s="8"/>
      <c r="R677" s="8"/>
      <c r="S677" s="8"/>
      <c r="T677" s="8"/>
      <c r="U677" s="8"/>
      <c r="V677" s="8"/>
      <c r="W677" s="8"/>
      <c r="X677" s="8"/>
      <c r="Y677" s="8"/>
      <c r="Z677" s="8"/>
      <c r="AA677" s="8"/>
    </row>
    <row r="678" spans="1:27" ht="19.75">
      <c r="A678" s="8"/>
      <c r="B678" s="7"/>
      <c r="C678" s="8"/>
      <c r="D678" s="8"/>
      <c r="E678" s="11"/>
      <c r="F678" s="8"/>
      <c r="G678" s="8"/>
      <c r="H678" s="8"/>
      <c r="I678" s="8"/>
      <c r="J678" s="8"/>
      <c r="K678" s="8"/>
      <c r="L678" s="8"/>
      <c r="M678" s="8"/>
      <c r="N678" s="8"/>
      <c r="O678" s="8"/>
      <c r="P678" s="8"/>
      <c r="Q678" s="8"/>
      <c r="R678" s="8"/>
      <c r="S678" s="8"/>
      <c r="T678" s="8"/>
      <c r="U678" s="8"/>
      <c r="V678" s="8"/>
      <c r="W678" s="8"/>
      <c r="X678" s="8"/>
      <c r="Y678" s="8"/>
      <c r="Z678" s="8"/>
      <c r="AA678" s="8"/>
    </row>
    <row r="679" spans="1:27" ht="19.75">
      <c r="A679" s="8"/>
      <c r="B679" s="7"/>
      <c r="C679" s="8"/>
      <c r="D679" s="8"/>
      <c r="E679" s="11"/>
      <c r="F679" s="8"/>
      <c r="G679" s="8"/>
      <c r="H679" s="8"/>
      <c r="I679" s="8"/>
      <c r="J679" s="8"/>
      <c r="K679" s="8"/>
      <c r="L679" s="8"/>
      <c r="M679" s="8"/>
      <c r="N679" s="8"/>
      <c r="O679" s="8"/>
      <c r="P679" s="8"/>
      <c r="Q679" s="8"/>
      <c r="R679" s="8"/>
      <c r="S679" s="8"/>
      <c r="T679" s="8"/>
      <c r="U679" s="8"/>
      <c r="V679" s="8"/>
      <c r="W679" s="8"/>
      <c r="X679" s="8"/>
      <c r="Y679" s="8"/>
      <c r="Z679" s="8"/>
      <c r="AA679" s="8"/>
    </row>
    <row r="680" spans="1:27" ht="19.75">
      <c r="A680" s="8"/>
      <c r="B680" s="7"/>
      <c r="C680" s="8"/>
      <c r="D680" s="8"/>
      <c r="E680" s="11"/>
      <c r="F680" s="8"/>
      <c r="G680" s="8"/>
      <c r="H680" s="8"/>
      <c r="I680" s="8"/>
      <c r="J680" s="8"/>
      <c r="K680" s="8"/>
      <c r="L680" s="8"/>
      <c r="M680" s="8"/>
      <c r="N680" s="8"/>
      <c r="O680" s="8"/>
      <c r="P680" s="8"/>
      <c r="Q680" s="8"/>
      <c r="R680" s="8"/>
      <c r="S680" s="8"/>
      <c r="T680" s="8"/>
      <c r="U680" s="8"/>
      <c r="V680" s="8"/>
      <c r="W680" s="8"/>
      <c r="X680" s="8"/>
      <c r="Y680" s="8"/>
      <c r="Z680" s="8"/>
      <c r="AA680" s="8"/>
    </row>
    <row r="681" spans="1:27" ht="19.75">
      <c r="A681" s="8"/>
      <c r="B681" s="7"/>
      <c r="C681" s="8"/>
      <c r="D681" s="8"/>
      <c r="E681" s="11"/>
      <c r="F681" s="8"/>
      <c r="G681" s="8"/>
      <c r="H681" s="8"/>
      <c r="I681" s="8"/>
      <c r="J681" s="8"/>
      <c r="K681" s="8"/>
      <c r="L681" s="8"/>
      <c r="M681" s="8"/>
      <c r="N681" s="8"/>
      <c r="O681" s="8"/>
      <c r="P681" s="8"/>
      <c r="Q681" s="8"/>
      <c r="R681" s="8"/>
      <c r="S681" s="8"/>
      <c r="T681" s="8"/>
      <c r="U681" s="8"/>
      <c r="V681" s="8"/>
      <c r="W681" s="8"/>
      <c r="X681" s="8"/>
      <c r="Y681" s="8"/>
      <c r="Z681" s="8"/>
      <c r="AA681" s="8"/>
    </row>
    <row r="682" spans="1:27" ht="19.75">
      <c r="A682" s="8"/>
      <c r="B682" s="7"/>
      <c r="C682" s="8"/>
      <c r="D682" s="8"/>
      <c r="E682" s="11"/>
      <c r="F682" s="8"/>
      <c r="G682" s="8"/>
      <c r="H682" s="8"/>
      <c r="I682" s="8"/>
      <c r="J682" s="8"/>
      <c r="K682" s="8"/>
      <c r="L682" s="8"/>
      <c r="M682" s="8"/>
      <c r="N682" s="8"/>
      <c r="O682" s="8"/>
      <c r="P682" s="8"/>
      <c r="Q682" s="8"/>
      <c r="R682" s="8"/>
      <c r="S682" s="8"/>
      <c r="T682" s="8"/>
      <c r="U682" s="8"/>
      <c r="V682" s="8"/>
      <c r="W682" s="8"/>
      <c r="X682" s="8"/>
      <c r="Y682" s="8"/>
      <c r="Z682" s="8"/>
      <c r="AA682" s="8"/>
    </row>
    <row r="683" spans="1:27" ht="19.75">
      <c r="A683" s="8"/>
      <c r="B683" s="7"/>
      <c r="C683" s="8"/>
      <c r="D683" s="8"/>
      <c r="E683" s="11"/>
      <c r="F683" s="8"/>
      <c r="G683" s="8"/>
      <c r="H683" s="8"/>
      <c r="I683" s="8"/>
      <c r="J683" s="8"/>
      <c r="K683" s="8"/>
      <c r="L683" s="8"/>
      <c r="M683" s="8"/>
      <c r="N683" s="8"/>
      <c r="O683" s="8"/>
      <c r="P683" s="8"/>
      <c r="Q683" s="8"/>
      <c r="R683" s="8"/>
      <c r="S683" s="8"/>
      <c r="T683" s="8"/>
      <c r="U683" s="8"/>
      <c r="V683" s="8"/>
      <c r="W683" s="8"/>
      <c r="X683" s="8"/>
      <c r="Y683" s="8"/>
      <c r="Z683" s="8"/>
      <c r="AA683" s="8"/>
    </row>
    <row r="684" spans="1:27" ht="19.75">
      <c r="A684" s="8"/>
      <c r="B684" s="7"/>
      <c r="C684" s="8"/>
      <c r="D684" s="8"/>
      <c r="E684" s="11"/>
      <c r="F684" s="8"/>
      <c r="G684" s="8"/>
      <c r="H684" s="8"/>
      <c r="I684" s="8"/>
      <c r="J684" s="8"/>
      <c r="K684" s="8"/>
      <c r="L684" s="8"/>
      <c r="M684" s="8"/>
      <c r="N684" s="8"/>
      <c r="O684" s="8"/>
      <c r="P684" s="8"/>
      <c r="Q684" s="8"/>
      <c r="R684" s="8"/>
      <c r="S684" s="8"/>
      <c r="T684" s="8"/>
      <c r="U684" s="8"/>
      <c r="V684" s="8"/>
      <c r="W684" s="8"/>
      <c r="X684" s="8"/>
      <c r="Y684" s="8"/>
      <c r="Z684" s="8"/>
      <c r="AA684" s="8"/>
    </row>
    <row r="685" spans="1:27" ht="19.75">
      <c r="A685" s="8"/>
      <c r="B685" s="7"/>
      <c r="C685" s="8"/>
      <c r="D685" s="8"/>
      <c r="E685" s="11"/>
      <c r="F685" s="8"/>
      <c r="G685" s="8"/>
      <c r="H685" s="8"/>
      <c r="I685" s="8"/>
      <c r="J685" s="8"/>
      <c r="K685" s="8"/>
      <c r="L685" s="8"/>
      <c r="M685" s="8"/>
      <c r="N685" s="8"/>
      <c r="O685" s="8"/>
      <c r="P685" s="8"/>
      <c r="Q685" s="8"/>
      <c r="R685" s="8"/>
      <c r="S685" s="8"/>
      <c r="T685" s="8"/>
      <c r="U685" s="8"/>
      <c r="V685" s="8"/>
      <c r="W685" s="8"/>
      <c r="X685" s="8"/>
      <c r="Y685" s="8"/>
      <c r="Z685" s="8"/>
      <c r="AA685" s="8"/>
    </row>
    <row r="686" spans="1:27" ht="19.75">
      <c r="A686" s="8"/>
      <c r="B686" s="7"/>
      <c r="C686" s="8"/>
      <c r="D686" s="8"/>
      <c r="E686" s="11"/>
      <c r="F686" s="8"/>
      <c r="G686" s="8"/>
      <c r="H686" s="8"/>
      <c r="I686" s="8"/>
      <c r="J686" s="8"/>
      <c r="K686" s="8"/>
      <c r="L686" s="8"/>
      <c r="M686" s="8"/>
      <c r="N686" s="8"/>
      <c r="O686" s="8"/>
      <c r="P686" s="8"/>
      <c r="Q686" s="8"/>
      <c r="R686" s="8"/>
      <c r="S686" s="8"/>
      <c r="T686" s="8"/>
      <c r="U686" s="8"/>
      <c r="V686" s="8"/>
      <c r="W686" s="8"/>
      <c r="X686" s="8"/>
      <c r="Y686" s="8"/>
      <c r="Z686" s="8"/>
      <c r="AA686" s="8"/>
    </row>
    <row r="687" spans="1:27" ht="19.75">
      <c r="A687" s="8"/>
      <c r="B687" s="7"/>
      <c r="C687" s="8"/>
      <c r="D687" s="8"/>
      <c r="E687" s="11"/>
      <c r="F687" s="8"/>
      <c r="G687" s="8"/>
      <c r="H687" s="8"/>
      <c r="I687" s="8"/>
      <c r="J687" s="8"/>
      <c r="K687" s="8"/>
      <c r="L687" s="8"/>
      <c r="M687" s="8"/>
      <c r="N687" s="8"/>
      <c r="O687" s="8"/>
      <c r="P687" s="8"/>
      <c r="Q687" s="8"/>
      <c r="R687" s="8"/>
      <c r="S687" s="8"/>
      <c r="T687" s="8"/>
      <c r="U687" s="8"/>
      <c r="V687" s="8"/>
      <c r="W687" s="8"/>
      <c r="X687" s="8"/>
      <c r="Y687" s="8"/>
      <c r="Z687" s="8"/>
      <c r="AA687" s="8"/>
    </row>
    <row r="688" spans="1:27" ht="19.75">
      <c r="A688" s="8"/>
      <c r="B688" s="7"/>
      <c r="C688" s="8"/>
      <c r="D688" s="8"/>
      <c r="E688" s="11"/>
      <c r="F688" s="8"/>
      <c r="G688" s="8"/>
      <c r="H688" s="8"/>
      <c r="I688" s="8"/>
      <c r="J688" s="8"/>
      <c r="K688" s="8"/>
      <c r="L688" s="8"/>
      <c r="M688" s="8"/>
      <c r="N688" s="8"/>
      <c r="O688" s="8"/>
      <c r="P688" s="8"/>
      <c r="Q688" s="8"/>
      <c r="R688" s="8"/>
      <c r="S688" s="8"/>
      <c r="T688" s="8"/>
      <c r="U688" s="8"/>
      <c r="V688" s="8"/>
      <c r="W688" s="8"/>
      <c r="X688" s="8"/>
      <c r="Y688" s="8"/>
      <c r="Z688" s="8"/>
      <c r="AA688" s="8"/>
    </row>
    <row r="689" spans="1:27" ht="19.75">
      <c r="A689" s="8"/>
      <c r="B689" s="7"/>
      <c r="C689" s="8"/>
      <c r="D689" s="8"/>
      <c r="E689" s="11"/>
      <c r="F689" s="8"/>
      <c r="G689" s="8"/>
      <c r="H689" s="8"/>
      <c r="I689" s="8"/>
      <c r="J689" s="8"/>
      <c r="K689" s="8"/>
      <c r="L689" s="8"/>
      <c r="M689" s="8"/>
      <c r="N689" s="8"/>
      <c r="O689" s="8"/>
      <c r="P689" s="8"/>
      <c r="Q689" s="8"/>
      <c r="R689" s="8"/>
      <c r="S689" s="8"/>
      <c r="T689" s="8"/>
      <c r="U689" s="8"/>
      <c r="V689" s="8"/>
      <c r="W689" s="8"/>
      <c r="X689" s="8"/>
      <c r="Y689" s="8"/>
      <c r="Z689" s="8"/>
      <c r="AA689" s="8"/>
    </row>
    <row r="690" spans="1:27" ht="19.75">
      <c r="A690" s="8"/>
      <c r="B690" s="7"/>
      <c r="C690" s="8"/>
      <c r="D690" s="8"/>
      <c r="E690" s="11"/>
      <c r="F690" s="8"/>
      <c r="G690" s="8"/>
      <c r="H690" s="8"/>
      <c r="I690" s="8"/>
      <c r="J690" s="8"/>
      <c r="K690" s="8"/>
      <c r="L690" s="8"/>
      <c r="M690" s="8"/>
      <c r="N690" s="8"/>
      <c r="O690" s="8"/>
      <c r="P690" s="8"/>
      <c r="Q690" s="8"/>
      <c r="R690" s="8"/>
      <c r="S690" s="8"/>
      <c r="T690" s="8"/>
      <c r="U690" s="8"/>
      <c r="V690" s="8"/>
      <c r="W690" s="8"/>
      <c r="X690" s="8"/>
      <c r="Y690" s="8"/>
      <c r="Z690" s="8"/>
      <c r="AA690" s="8"/>
    </row>
    <row r="691" spans="1:27" ht="19.75">
      <c r="A691" s="8"/>
      <c r="B691" s="7"/>
      <c r="C691" s="8"/>
      <c r="D691" s="8"/>
      <c r="E691" s="11"/>
      <c r="F691" s="8"/>
      <c r="G691" s="8"/>
      <c r="H691" s="8"/>
      <c r="I691" s="8"/>
      <c r="J691" s="8"/>
      <c r="K691" s="8"/>
      <c r="L691" s="8"/>
      <c r="M691" s="8"/>
      <c r="N691" s="8"/>
      <c r="O691" s="8"/>
      <c r="P691" s="8"/>
      <c r="Q691" s="8"/>
      <c r="R691" s="8"/>
      <c r="S691" s="8"/>
      <c r="T691" s="8"/>
      <c r="U691" s="8"/>
      <c r="V691" s="8"/>
      <c r="W691" s="8"/>
      <c r="X691" s="8"/>
      <c r="Y691" s="8"/>
      <c r="Z691" s="8"/>
      <c r="AA691" s="8"/>
    </row>
    <row r="692" spans="1:27" ht="19.75">
      <c r="A692" s="8"/>
      <c r="B692" s="7"/>
      <c r="C692" s="8"/>
      <c r="D692" s="8"/>
      <c r="E692" s="11"/>
      <c r="F692" s="8"/>
      <c r="G692" s="8"/>
      <c r="H692" s="8"/>
      <c r="I692" s="8"/>
      <c r="J692" s="8"/>
      <c r="K692" s="8"/>
      <c r="L692" s="8"/>
      <c r="M692" s="8"/>
      <c r="N692" s="8"/>
      <c r="O692" s="8"/>
      <c r="P692" s="8"/>
      <c r="Q692" s="8"/>
      <c r="R692" s="8"/>
      <c r="S692" s="8"/>
      <c r="T692" s="8"/>
      <c r="U692" s="8"/>
      <c r="V692" s="8"/>
      <c r="W692" s="8"/>
      <c r="X692" s="8"/>
      <c r="Y692" s="8"/>
      <c r="Z692" s="8"/>
      <c r="AA692" s="8"/>
    </row>
    <row r="693" spans="1:27" ht="19.75">
      <c r="A693" s="8"/>
      <c r="B693" s="7"/>
      <c r="C693" s="8"/>
      <c r="D693" s="8"/>
      <c r="E693" s="11"/>
      <c r="F693" s="8"/>
      <c r="G693" s="8"/>
      <c r="H693" s="8"/>
      <c r="I693" s="8"/>
      <c r="J693" s="8"/>
      <c r="K693" s="8"/>
      <c r="L693" s="8"/>
      <c r="M693" s="8"/>
      <c r="N693" s="8"/>
      <c r="O693" s="8"/>
      <c r="P693" s="8"/>
      <c r="Q693" s="8"/>
      <c r="R693" s="8"/>
      <c r="S693" s="8"/>
      <c r="T693" s="8"/>
      <c r="U693" s="8"/>
      <c r="V693" s="8"/>
      <c r="W693" s="8"/>
      <c r="X693" s="8"/>
      <c r="Y693" s="8"/>
      <c r="Z693" s="8"/>
      <c r="AA693" s="8"/>
    </row>
    <row r="694" spans="1:27" ht="19.75">
      <c r="A694" s="8"/>
      <c r="B694" s="7"/>
      <c r="C694" s="8"/>
      <c r="D694" s="8"/>
      <c r="E694" s="11"/>
      <c r="F694" s="8"/>
      <c r="G694" s="8"/>
      <c r="H694" s="8"/>
      <c r="I694" s="8"/>
      <c r="J694" s="8"/>
      <c r="K694" s="8"/>
      <c r="L694" s="8"/>
      <c r="M694" s="8"/>
      <c r="N694" s="8"/>
      <c r="O694" s="8"/>
      <c r="P694" s="8"/>
      <c r="Q694" s="8"/>
      <c r="R694" s="8"/>
      <c r="S694" s="8"/>
      <c r="T694" s="8"/>
      <c r="U694" s="8"/>
      <c r="V694" s="8"/>
      <c r="W694" s="8"/>
      <c r="X694" s="8"/>
      <c r="Y694" s="8"/>
      <c r="Z694" s="8"/>
      <c r="AA694" s="8"/>
    </row>
    <row r="695" spans="1:27" ht="19.75">
      <c r="A695" s="8"/>
      <c r="B695" s="7"/>
      <c r="C695" s="8"/>
      <c r="D695" s="8"/>
      <c r="E695" s="11"/>
      <c r="F695" s="8"/>
      <c r="G695" s="8"/>
      <c r="H695" s="8"/>
      <c r="I695" s="8"/>
      <c r="J695" s="8"/>
      <c r="K695" s="8"/>
      <c r="L695" s="8"/>
      <c r="M695" s="8"/>
      <c r="N695" s="8"/>
      <c r="O695" s="8"/>
      <c r="P695" s="8"/>
      <c r="Q695" s="8"/>
      <c r="R695" s="8"/>
      <c r="S695" s="8"/>
      <c r="T695" s="8"/>
      <c r="U695" s="8"/>
      <c r="V695" s="8"/>
      <c r="W695" s="8"/>
      <c r="X695" s="8"/>
      <c r="Y695" s="8"/>
      <c r="Z695" s="8"/>
      <c r="AA695" s="8"/>
    </row>
    <row r="696" spans="1:27" ht="19.75">
      <c r="A696" s="8"/>
      <c r="B696" s="7"/>
      <c r="C696" s="8"/>
      <c r="D696" s="8"/>
      <c r="E696" s="11"/>
      <c r="F696" s="8"/>
      <c r="G696" s="8"/>
      <c r="H696" s="8"/>
      <c r="I696" s="8"/>
      <c r="J696" s="8"/>
      <c r="K696" s="8"/>
      <c r="L696" s="8"/>
      <c r="M696" s="8"/>
      <c r="N696" s="8"/>
      <c r="O696" s="8"/>
      <c r="P696" s="8"/>
      <c r="Q696" s="8"/>
      <c r="R696" s="8"/>
      <c r="S696" s="8"/>
      <c r="T696" s="8"/>
      <c r="U696" s="8"/>
      <c r="V696" s="8"/>
      <c r="W696" s="8"/>
      <c r="X696" s="8"/>
      <c r="Y696" s="8"/>
      <c r="Z696" s="8"/>
      <c r="AA696" s="8"/>
    </row>
    <row r="697" spans="1:27" ht="19.75">
      <c r="A697" s="8"/>
      <c r="B697" s="7"/>
      <c r="C697" s="8"/>
      <c r="D697" s="8"/>
      <c r="E697" s="11"/>
      <c r="F697" s="8"/>
      <c r="G697" s="8"/>
      <c r="H697" s="8"/>
      <c r="I697" s="8"/>
      <c r="J697" s="8"/>
      <c r="K697" s="8"/>
      <c r="L697" s="8"/>
      <c r="M697" s="8"/>
      <c r="N697" s="8"/>
      <c r="O697" s="8"/>
      <c r="P697" s="8"/>
      <c r="Q697" s="8"/>
      <c r="R697" s="8"/>
      <c r="S697" s="8"/>
      <c r="T697" s="8"/>
      <c r="U697" s="8"/>
      <c r="V697" s="8"/>
      <c r="W697" s="8"/>
      <c r="X697" s="8"/>
      <c r="Y697" s="8"/>
      <c r="Z697" s="8"/>
      <c r="AA697" s="8"/>
    </row>
    <row r="698" spans="1:27" ht="19.75">
      <c r="A698" s="8"/>
      <c r="B698" s="7"/>
      <c r="C698" s="8"/>
      <c r="D698" s="8"/>
      <c r="E698" s="11"/>
      <c r="F698" s="8"/>
      <c r="G698" s="8"/>
      <c r="H698" s="8"/>
      <c r="I698" s="8"/>
      <c r="J698" s="8"/>
      <c r="K698" s="8"/>
      <c r="L698" s="8"/>
      <c r="M698" s="8"/>
      <c r="N698" s="8"/>
      <c r="O698" s="8"/>
      <c r="P698" s="8"/>
      <c r="Q698" s="8"/>
      <c r="R698" s="8"/>
      <c r="S698" s="8"/>
      <c r="T698" s="8"/>
      <c r="U698" s="8"/>
      <c r="V698" s="8"/>
      <c r="W698" s="8"/>
      <c r="X698" s="8"/>
      <c r="Y698" s="8"/>
      <c r="Z698" s="8"/>
      <c r="AA698" s="8"/>
    </row>
    <row r="699" spans="1:27" ht="19.75">
      <c r="A699" s="8"/>
      <c r="B699" s="7"/>
      <c r="C699" s="8"/>
      <c r="D699" s="8"/>
      <c r="E699" s="11"/>
      <c r="F699" s="8"/>
      <c r="G699" s="8"/>
      <c r="H699" s="8"/>
      <c r="I699" s="8"/>
      <c r="J699" s="8"/>
      <c r="K699" s="8"/>
      <c r="L699" s="8"/>
      <c r="M699" s="8"/>
      <c r="N699" s="8"/>
      <c r="O699" s="8"/>
      <c r="P699" s="8"/>
      <c r="Q699" s="8"/>
      <c r="R699" s="8"/>
      <c r="S699" s="8"/>
      <c r="T699" s="8"/>
      <c r="U699" s="8"/>
      <c r="V699" s="8"/>
      <c r="W699" s="8"/>
      <c r="X699" s="8"/>
      <c r="Y699" s="8"/>
      <c r="Z699" s="8"/>
      <c r="AA699" s="8"/>
    </row>
    <row r="700" spans="1:27" ht="19.75">
      <c r="A700" s="8"/>
      <c r="B700" s="7"/>
      <c r="C700" s="8"/>
      <c r="D700" s="8"/>
      <c r="E700" s="11"/>
      <c r="F700" s="8"/>
      <c r="G700" s="8"/>
      <c r="H700" s="8"/>
      <c r="I700" s="8"/>
      <c r="J700" s="8"/>
      <c r="K700" s="8"/>
      <c r="L700" s="8"/>
      <c r="M700" s="8"/>
      <c r="N700" s="8"/>
      <c r="O700" s="8"/>
      <c r="P700" s="8"/>
      <c r="Q700" s="8"/>
      <c r="R700" s="8"/>
      <c r="S700" s="8"/>
      <c r="T700" s="8"/>
      <c r="U700" s="8"/>
      <c r="V700" s="8"/>
      <c r="W700" s="8"/>
      <c r="X700" s="8"/>
      <c r="Y700" s="8"/>
      <c r="Z700" s="8"/>
      <c r="AA700" s="8"/>
    </row>
    <row r="701" spans="1:27" ht="19.75">
      <c r="A701" s="8"/>
      <c r="B701" s="7"/>
      <c r="C701" s="8"/>
      <c r="D701" s="8"/>
      <c r="E701" s="11"/>
      <c r="F701" s="8"/>
      <c r="G701" s="8"/>
      <c r="H701" s="8"/>
      <c r="I701" s="8"/>
      <c r="J701" s="8"/>
      <c r="K701" s="8"/>
      <c r="L701" s="8"/>
      <c r="M701" s="8"/>
      <c r="N701" s="8"/>
      <c r="O701" s="8"/>
      <c r="P701" s="8"/>
      <c r="Q701" s="8"/>
      <c r="R701" s="8"/>
      <c r="S701" s="8"/>
      <c r="T701" s="8"/>
      <c r="U701" s="8"/>
      <c r="V701" s="8"/>
      <c r="W701" s="8"/>
      <c r="X701" s="8"/>
      <c r="Y701" s="8"/>
      <c r="Z701" s="8"/>
      <c r="AA701" s="8"/>
    </row>
    <row r="702" spans="1:27" ht="19.75">
      <c r="A702" s="8"/>
      <c r="B702" s="7"/>
      <c r="C702" s="8"/>
      <c r="D702" s="8"/>
      <c r="E702" s="11"/>
      <c r="F702" s="8"/>
      <c r="G702" s="8"/>
      <c r="H702" s="8"/>
      <c r="I702" s="8"/>
      <c r="J702" s="8"/>
      <c r="K702" s="8"/>
      <c r="L702" s="8"/>
      <c r="M702" s="8"/>
      <c r="N702" s="8"/>
      <c r="O702" s="8"/>
      <c r="P702" s="8"/>
      <c r="Q702" s="8"/>
      <c r="R702" s="8"/>
      <c r="S702" s="8"/>
      <c r="T702" s="8"/>
      <c r="U702" s="8"/>
      <c r="V702" s="8"/>
      <c r="W702" s="8"/>
      <c r="X702" s="8"/>
      <c r="Y702" s="8"/>
      <c r="Z702" s="8"/>
      <c r="AA702" s="8"/>
    </row>
    <row r="703" spans="1:27" ht="19.75">
      <c r="A703" s="8"/>
      <c r="B703" s="7"/>
      <c r="C703" s="8"/>
      <c r="D703" s="8"/>
      <c r="E703" s="11"/>
      <c r="F703" s="8"/>
      <c r="G703" s="8"/>
      <c r="H703" s="8"/>
      <c r="I703" s="8"/>
      <c r="J703" s="8"/>
      <c r="K703" s="8"/>
      <c r="L703" s="8"/>
      <c r="M703" s="8"/>
      <c r="N703" s="8"/>
      <c r="O703" s="8"/>
      <c r="P703" s="8"/>
      <c r="Q703" s="8"/>
      <c r="R703" s="8"/>
      <c r="S703" s="8"/>
      <c r="T703" s="8"/>
      <c r="U703" s="8"/>
      <c r="V703" s="8"/>
      <c r="W703" s="8"/>
      <c r="X703" s="8"/>
      <c r="Y703" s="8"/>
      <c r="Z703" s="8"/>
      <c r="AA703" s="8"/>
    </row>
    <row r="704" spans="1:27" ht="19.75">
      <c r="A704" s="8"/>
      <c r="B704" s="7"/>
      <c r="C704" s="8"/>
      <c r="D704" s="8"/>
      <c r="E704" s="11"/>
      <c r="F704" s="8"/>
      <c r="G704" s="8"/>
      <c r="H704" s="8"/>
      <c r="I704" s="8"/>
      <c r="J704" s="8"/>
      <c r="K704" s="8"/>
      <c r="L704" s="8"/>
      <c r="M704" s="8"/>
      <c r="N704" s="8"/>
      <c r="O704" s="8"/>
      <c r="P704" s="8"/>
      <c r="Q704" s="8"/>
      <c r="R704" s="8"/>
      <c r="S704" s="8"/>
      <c r="T704" s="8"/>
      <c r="U704" s="8"/>
      <c r="V704" s="8"/>
      <c r="W704" s="8"/>
      <c r="X704" s="8"/>
      <c r="Y704" s="8"/>
      <c r="Z704" s="8"/>
      <c r="AA704" s="8"/>
    </row>
    <row r="705" spans="1:27" ht="19.75">
      <c r="A705" s="8"/>
      <c r="B705" s="7"/>
      <c r="C705" s="8"/>
      <c r="D705" s="8"/>
      <c r="E705" s="11"/>
      <c r="F705" s="8"/>
      <c r="G705" s="8"/>
      <c r="H705" s="8"/>
      <c r="I705" s="8"/>
      <c r="J705" s="8"/>
      <c r="K705" s="8"/>
      <c r="L705" s="8"/>
      <c r="M705" s="8"/>
      <c r="N705" s="8"/>
      <c r="O705" s="8"/>
      <c r="P705" s="8"/>
      <c r="Q705" s="8"/>
      <c r="R705" s="8"/>
      <c r="S705" s="8"/>
      <c r="T705" s="8"/>
      <c r="U705" s="8"/>
      <c r="V705" s="8"/>
      <c r="W705" s="8"/>
      <c r="X705" s="8"/>
      <c r="Y705" s="8"/>
      <c r="Z705" s="8"/>
      <c r="AA705" s="8"/>
    </row>
    <row r="706" spans="1:27" ht="19.75">
      <c r="A706" s="8"/>
      <c r="B706" s="7"/>
      <c r="C706" s="8"/>
      <c r="D706" s="8"/>
      <c r="E706" s="11"/>
      <c r="F706" s="8"/>
      <c r="G706" s="8"/>
      <c r="H706" s="8"/>
      <c r="I706" s="8"/>
      <c r="J706" s="8"/>
      <c r="K706" s="8"/>
      <c r="L706" s="8"/>
      <c r="M706" s="8"/>
      <c r="N706" s="8"/>
      <c r="O706" s="8"/>
      <c r="P706" s="8"/>
      <c r="Q706" s="8"/>
      <c r="R706" s="8"/>
      <c r="S706" s="8"/>
      <c r="T706" s="8"/>
      <c r="U706" s="8"/>
      <c r="V706" s="8"/>
      <c r="W706" s="8"/>
      <c r="X706" s="8"/>
      <c r="Y706" s="8"/>
      <c r="Z706" s="8"/>
      <c r="AA706" s="8"/>
    </row>
    <row r="707" spans="1:27" ht="19.75">
      <c r="A707" s="8"/>
      <c r="B707" s="7"/>
      <c r="C707" s="8"/>
      <c r="D707" s="8"/>
      <c r="E707" s="11"/>
      <c r="F707" s="8"/>
      <c r="G707" s="8"/>
      <c r="H707" s="8"/>
      <c r="I707" s="8"/>
      <c r="J707" s="8"/>
      <c r="K707" s="8"/>
      <c r="L707" s="8"/>
      <c r="M707" s="8"/>
      <c r="N707" s="8"/>
      <c r="O707" s="8"/>
      <c r="P707" s="8"/>
      <c r="Q707" s="8"/>
      <c r="R707" s="8"/>
      <c r="S707" s="8"/>
      <c r="T707" s="8"/>
      <c r="U707" s="8"/>
      <c r="V707" s="8"/>
      <c r="W707" s="8"/>
      <c r="X707" s="8"/>
      <c r="Y707" s="8"/>
      <c r="Z707" s="8"/>
      <c r="AA707" s="8"/>
    </row>
    <row r="708" spans="1:27" ht="19.75">
      <c r="A708" s="8"/>
      <c r="B708" s="7"/>
      <c r="C708" s="8"/>
      <c r="D708" s="8"/>
      <c r="E708" s="11"/>
      <c r="F708" s="8"/>
      <c r="G708" s="8"/>
      <c r="H708" s="8"/>
      <c r="I708" s="8"/>
      <c r="J708" s="8"/>
      <c r="K708" s="8"/>
      <c r="L708" s="8"/>
      <c r="M708" s="8"/>
      <c r="N708" s="8"/>
      <c r="O708" s="8"/>
      <c r="P708" s="8"/>
      <c r="Q708" s="8"/>
      <c r="R708" s="8"/>
      <c r="S708" s="8"/>
      <c r="T708" s="8"/>
      <c r="U708" s="8"/>
      <c r="V708" s="8"/>
      <c r="W708" s="8"/>
      <c r="X708" s="8"/>
      <c r="Y708" s="8"/>
      <c r="Z708" s="8"/>
      <c r="AA708" s="8"/>
    </row>
    <row r="709" spans="1:27" ht="19.75">
      <c r="A709" s="8"/>
      <c r="B709" s="7"/>
      <c r="C709" s="8"/>
      <c r="D709" s="8"/>
      <c r="E709" s="11"/>
      <c r="F709" s="8"/>
      <c r="G709" s="8"/>
      <c r="H709" s="8"/>
      <c r="I709" s="8"/>
      <c r="J709" s="8"/>
      <c r="K709" s="8"/>
      <c r="L709" s="8"/>
      <c r="M709" s="8"/>
      <c r="N709" s="8"/>
      <c r="O709" s="8"/>
      <c r="P709" s="8"/>
      <c r="Q709" s="8"/>
      <c r="R709" s="8"/>
      <c r="S709" s="8"/>
      <c r="T709" s="8"/>
      <c r="U709" s="8"/>
      <c r="V709" s="8"/>
      <c r="W709" s="8"/>
      <c r="X709" s="8"/>
      <c r="Y709" s="8"/>
      <c r="Z709" s="8"/>
      <c r="AA709" s="8"/>
    </row>
    <row r="710" spans="1:27" ht="19.75">
      <c r="A710" s="8"/>
      <c r="B710" s="7"/>
      <c r="C710" s="8"/>
      <c r="D710" s="8"/>
      <c r="E710" s="11"/>
      <c r="F710" s="8"/>
      <c r="G710" s="8"/>
      <c r="H710" s="8"/>
      <c r="I710" s="8"/>
      <c r="J710" s="8"/>
      <c r="K710" s="8"/>
      <c r="L710" s="8"/>
      <c r="M710" s="8"/>
      <c r="N710" s="8"/>
      <c r="O710" s="8"/>
      <c r="P710" s="8"/>
      <c r="Q710" s="8"/>
      <c r="R710" s="8"/>
      <c r="S710" s="8"/>
      <c r="T710" s="8"/>
      <c r="U710" s="8"/>
      <c r="V710" s="8"/>
      <c r="W710" s="8"/>
      <c r="X710" s="8"/>
      <c r="Y710" s="8"/>
      <c r="Z710" s="8"/>
      <c r="AA710" s="8"/>
    </row>
    <row r="711" spans="1:27" ht="19.75">
      <c r="A711" s="8"/>
      <c r="B711" s="7"/>
      <c r="C711" s="8"/>
      <c r="D711" s="8"/>
      <c r="E711" s="11"/>
      <c r="F711" s="8"/>
      <c r="G711" s="8"/>
      <c r="H711" s="8"/>
      <c r="I711" s="8"/>
      <c r="J711" s="8"/>
      <c r="K711" s="8"/>
      <c r="L711" s="8"/>
      <c r="M711" s="8"/>
      <c r="N711" s="8"/>
      <c r="O711" s="8"/>
      <c r="P711" s="8"/>
      <c r="Q711" s="8"/>
      <c r="R711" s="8"/>
      <c r="S711" s="8"/>
      <c r="T711" s="8"/>
      <c r="U711" s="8"/>
      <c r="V711" s="8"/>
      <c r="W711" s="8"/>
      <c r="X711" s="8"/>
      <c r="Y711" s="8"/>
      <c r="Z711" s="8"/>
      <c r="AA711" s="8"/>
    </row>
    <row r="712" spans="1:27" ht="19.75">
      <c r="A712" s="8"/>
      <c r="B712" s="7"/>
      <c r="C712" s="8"/>
      <c r="D712" s="8"/>
      <c r="E712" s="11"/>
      <c r="F712" s="8"/>
      <c r="G712" s="8"/>
      <c r="H712" s="8"/>
      <c r="I712" s="8"/>
      <c r="J712" s="8"/>
      <c r="K712" s="8"/>
      <c r="L712" s="8"/>
      <c r="M712" s="8"/>
      <c r="N712" s="8"/>
      <c r="O712" s="8"/>
      <c r="P712" s="8"/>
      <c r="Q712" s="8"/>
      <c r="R712" s="8"/>
      <c r="S712" s="8"/>
      <c r="T712" s="8"/>
      <c r="U712" s="8"/>
      <c r="V712" s="8"/>
      <c r="W712" s="8"/>
      <c r="X712" s="8"/>
      <c r="Y712" s="8"/>
      <c r="Z712" s="8"/>
      <c r="AA712" s="8"/>
    </row>
    <row r="713" spans="1:27" ht="19.75">
      <c r="A713" s="8"/>
      <c r="B713" s="7"/>
      <c r="C713" s="8"/>
      <c r="D713" s="8"/>
      <c r="E713" s="11"/>
      <c r="F713" s="8"/>
      <c r="G713" s="8"/>
      <c r="H713" s="8"/>
      <c r="I713" s="8"/>
      <c r="J713" s="8"/>
      <c r="K713" s="8"/>
      <c r="L713" s="8"/>
      <c r="M713" s="8"/>
      <c r="N713" s="8"/>
      <c r="O713" s="8"/>
      <c r="P713" s="8"/>
      <c r="Q713" s="8"/>
      <c r="R713" s="8"/>
      <c r="S713" s="8"/>
      <c r="T713" s="8"/>
      <c r="U713" s="8"/>
      <c r="V713" s="8"/>
      <c r="W713" s="8"/>
      <c r="X713" s="8"/>
      <c r="Y713" s="8"/>
      <c r="Z713" s="8"/>
      <c r="AA713" s="8"/>
    </row>
    <row r="714" spans="1:27" ht="19.75">
      <c r="A714" s="8"/>
      <c r="B714" s="7"/>
      <c r="C714" s="8"/>
      <c r="D714" s="8"/>
      <c r="E714" s="11"/>
      <c r="F714" s="8"/>
      <c r="G714" s="8"/>
      <c r="H714" s="8"/>
      <c r="I714" s="8"/>
      <c r="J714" s="8"/>
      <c r="K714" s="8"/>
      <c r="L714" s="8"/>
      <c r="M714" s="8"/>
      <c r="N714" s="8"/>
      <c r="O714" s="8"/>
      <c r="P714" s="8"/>
      <c r="Q714" s="8"/>
      <c r="R714" s="8"/>
      <c r="S714" s="8"/>
      <c r="T714" s="8"/>
      <c r="U714" s="8"/>
      <c r="V714" s="8"/>
      <c r="W714" s="8"/>
      <c r="X714" s="8"/>
      <c r="Y714" s="8"/>
      <c r="Z714" s="8"/>
      <c r="AA714" s="8"/>
    </row>
    <row r="715" spans="1:27" ht="19.75">
      <c r="A715" s="8"/>
      <c r="B715" s="7"/>
      <c r="C715" s="8"/>
      <c r="D715" s="8"/>
      <c r="E715" s="11"/>
      <c r="F715" s="8"/>
      <c r="G715" s="8"/>
      <c r="H715" s="8"/>
      <c r="I715" s="8"/>
      <c r="J715" s="8"/>
      <c r="K715" s="8"/>
      <c r="L715" s="8"/>
      <c r="M715" s="8"/>
      <c r="N715" s="8"/>
      <c r="O715" s="8"/>
      <c r="P715" s="8"/>
      <c r="Q715" s="8"/>
      <c r="R715" s="8"/>
      <c r="S715" s="8"/>
      <c r="T715" s="8"/>
      <c r="U715" s="8"/>
      <c r="V715" s="8"/>
      <c r="W715" s="8"/>
      <c r="X715" s="8"/>
      <c r="Y715" s="8"/>
      <c r="Z715" s="8"/>
      <c r="AA715" s="8"/>
    </row>
    <row r="716" spans="1:27" ht="19.75">
      <c r="A716" s="8"/>
      <c r="B716" s="7"/>
      <c r="C716" s="8"/>
      <c r="D716" s="8"/>
      <c r="E716" s="11"/>
      <c r="F716" s="8"/>
      <c r="G716" s="8"/>
      <c r="H716" s="8"/>
      <c r="I716" s="8"/>
      <c r="J716" s="8"/>
      <c r="K716" s="8"/>
      <c r="L716" s="8"/>
      <c r="M716" s="8"/>
      <c r="N716" s="8"/>
      <c r="O716" s="8"/>
      <c r="P716" s="8"/>
      <c r="Q716" s="8"/>
      <c r="R716" s="8"/>
      <c r="S716" s="8"/>
      <c r="T716" s="8"/>
      <c r="U716" s="8"/>
      <c r="V716" s="8"/>
      <c r="W716" s="8"/>
      <c r="X716" s="8"/>
      <c r="Y716" s="8"/>
      <c r="Z716" s="8"/>
      <c r="AA716" s="8"/>
    </row>
    <row r="717" spans="1:27" ht="19.75">
      <c r="A717" s="8"/>
      <c r="B717" s="7"/>
      <c r="C717" s="8"/>
      <c r="D717" s="8"/>
      <c r="E717" s="11"/>
      <c r="F717" s="8"/>
      <c r="G717" s="8"/>
      <c r="H717" s="8"/>
      <c r="I717" s="8"/>
      <c r="J717" s="8"/>
      <c r="K717" s="8"/>
      <c r="L717" s="8"/>
      <c r="M717" s="8"/>
      <c r="N717" s="8"/>
      <c r="O717" s="8"/>
      <c r="P717" s="8"/>
      <c r="Q717" s="8"/>
      <c r="R717" s="8"/>
      <c r="S717" s="8"/>
      <c r="T717" s="8"/>
      <c r="U717" s="8"/>
      <c r="V717" s="8"/>
      <c r="W717" s="8"/>
      <c r="X717" s="8"/>
      <c r="Y717" s="8"/>
      <c r="Z717" s="8"/>
      <c r="AA717" s="8"/>
    </row>
    <row r="718" spans="1:27" ht="19.75">
      <c r="A718" s="8"/>
      <c r="B718" s="7"/>
      <c r="C718" s="8"/>
      <c r="D718" s="8"/>
      <c r="E718" s="11"/>
      <c r="F718" s="8"/>
      <c r="G718" s="8"/>
      <c r="H718" s="8"/>
      <c r="I718" s="8"/>
      <c r="J718" s="8"/>
      <c r="K718" s="8"/>
      <c r="L718" s="8"/>
      <c r="M718" s="8"/>
      <c r="N718" s="8"/>
      <c r="O718" s="8"/>
      <c r="P718" s="8"/>
      <c r="Q718" s="8"/>
      <c r="R718" s="8"/>
      <c r="S718" s="8"/>
      <c r="T718" s="8"/>
      <c r="U718" s="8"/>
      <c r="V718" s="8"/>
      <c r="W718" s="8"/>
      <c r="X718" s="8"/>
      <c r="Y718" s="8"/>
      <c r="Z718" s="8"/>
      <c r="AA718" s="8"/>
    </row>
    <row r="719" spans="1:27" ht="19.75">
      <c r="A719" s="8"/>
      <c r="B719" s="7"/>
      <c r="C719" s="8"/>
      <c r="D719" s="8"/>
      <c r="E719" s="11"/>
      <c r="F719" s="8"/>
      <c r="G719" s="8"/>
      <c r="H719" s="8"/>
      <c r="I719" s="8"/>
      <c r="J719" s="8"/>
      <c r="K719" s="8"/>
      <c r="L719" s="8"/>
      <c r="M719" s="8"/>
      <c r="N719" s="8"/>
      <c r="O719" s="8"/>
      <c r="P719" s="8"/>
      <c r="Q719" s="8"/>
      <c r="R719" s="8"/>
      <c r="S719" s="8"/>
      <c r="T719" s="8"/>
      <c r="U719" s="8"/>
      <c r="V719" s="8"/>
      <c r="W719" s="8"/>
      <c r="X719" s="8"/>
      <c r="Y719" s="8"/>
      <c r="Z719" s="8"/>
      <c r="AA719" s="8"/>
    </row>
    <row r="720" spans="1:27" ht="19.75">
      <c r="A720" s="8"/>
      <c r="B720" s="7"/>
      <c r="C720" s="8"/>
      <c r="D720" s="8"/>
      <c r="E720" s="11"/>
      <c r="F720" s="8"/>
      <c r="G720" s="8"/>
      <c r="H720" s="8"/>
      <c r="I720" s="8"/>
      <c r="J720" s="8"/>
      <c r="K720" s="8"/>
      <c r="L720" s="8"/>
      <c r="M720" s="8"/>
      <c r="N720" s="8"/>
      <c r="O720" s="8"/>
      <c r="P720" s="8"/>
      <c r="Q720" s="8"/>
      <c r="R720" s="8"/>
      <c r="S720" s="8"/>
      <c r="T720" s="8"/>
      <c r="U720" s="8"/>
      <c r="V720" s="8"/>
      <c r="W720" s="8"/>
      <c r="X720" s="8"/>
      <c r="Y720" s="8"/>
      <c r="Z720" s="8"/>
      <c r="AA720" s="8"/>
    </row>
    <row r="721" spans="1:27" ht="19.75">
      <c r="A721" s="8"/>
      <c r="B721" s="7"/>
      <c r="C721" s="8"/>
      <c r="D721" s="8"/>
      <c r="E721" s="11"/>
      <c r="F721" s="8"/>
      <c r="G721" s="8"/>
      <c r="H721" s="8"/>
      <c r="I721" s="8"/>
      <c r="J721" s="8"/>
      <c r="K721" s="8"/>
      <c r="L721" s="8"/>
      <c r="M721" s="8"/>
      <c r="N721" s="8"/>
      <c r="O721" s="8"/>
      <c r="P721" s="8"/>
      <c r="Q721" s="8"/>
      <c r="R721" s="8"/>
      <c r="S721" s="8"/>
      <c r="T721" s="8"/>
      <c r="U721" s="8"/>
      <c r="V721" s="8"/>
      <c r="W721" s="8"/>
      <c r="X721" s="8"/>
      <c r="Y721" s="8"/>
      <c r="Z721" s="8"/>
      <c r="AA721" s="8"/>
    </row>
    <row r="722" spans="1:27" ht="19.75">
      <c r="A722" s="8"/>
      <c r="B722" s="7"/>
      <c r="C722" s="8"/>
      <c r="D722" s="8"/>
      <c r="E722" s="11"/>
      <c r="F722" s="8"/>
      <c r="G722" s="8"/>
      <c r="H722" s="8"/>
      <c r="I722" s="8"/>
      <c r="J722" s="8"/>
      <c r="K722" s="8"/>
      <c r="L722" s="8"/>
      <c r="M722" s="8"/>
      <c r="N722" s="8"/>
      <c r="O722" s="8"/>
      <c r="P722" s="8"/>
      <c r="Q722" s="8"/>
      <c r="R722" s="8"/>
      <c r="S722" s="8"/>
      <c r="T722" s="8"/>
      <c r="U722" s="8"/>
      <c r="V722" s="8"/>
      <c r="W722" s="8"/>
      <c r="X722" s="8"/>
      <c r="Y722" s="8"/>
      <c r="Z722" s="8"/>
      <c r="AA722" s="8"/>
    </row>
    <row r="723" spans="1:27" ht="19.75">
      <c r="A723" s="8"/>
      <c r="B723" s="7"/>
      <c r="C723" s="8"/>
      <c r="D723" s="8"/>
      <c r="E723" s="11"/>
      <c r="F723" s="8"/>
      <c r="G723" s="8"/>
      <c r="H723" s="8"/>
      <c r="I723" s="8"/>
      <c r="J723" s="8"/>
      <c r="K723" s="8"/>
      <c r="L723" s="8"/>
      <c r="M723" s="8"/>
      <c r="N723" s="8"/>
      <c r="O723" s="8"/>
      <c r="P723" s="8"/>
      <c r="Q723" s="8"/>
      <c r="R723" s="8"/>
      <c r="S723" s="8"/>
      <c r="T723" s="8"/>
      <c r="U723" s="8"/>
      <c r="V723" s="8"/>
      <c r="W723" s="8"/>
      <c r="X723" s="8"/>
      <c r="Y723" s="8"/>
      <c r="Z723" s="8"/>
      <c r="AA723" s="8"/>
    </row>
    <row r="724" spans="1:27" ht="19.75">
      <c r="A724" s="8"/>
      <c r="B724" s="7"/>
      <c r="C724" s="8"/>
      <c r="D724" s="8"/>
      <c r="E724" s="11"/>
      <c r="F724" s="8"/>
      <c r="G724" s="8"/>
      <c r="H724" s="8"/>
      <c r="I724" s="8"/>
      <c r="J724" s="8"/>
      <c r="K724" s="8"/>
      <c r="L724" s="8"/>
      <c r="M724" s="8"/>
      <c r="N724" s="8"/>
      <c r="O724" s="8"/>
      <c r="P724" s="8"/>
      <c r="Q724" s="8"/>
      <c r="R724" s="8"/>
      <c r="S724" s="8"/>
      <c r="T724" s="8"/>
      <c r="U724" s="8"/>
      <c r="V724" s="8"/>
      <c r="W724" s="8"/>
      <c r="X724" s="8"/>
      <c r="Y724" s="8"/>
      <c r="Z724" s="8"/>
      <c r="AA724" s="8"/>
    </row>
    <row r="725" spans="1:27" ht="19.75">
      <c r="A725" s="8"/>
      <c r="B725" s="7"/>
      <c r="C725" s="8"/>
      <c r="D725" s="8"/>
      <c r="E725" s="11"/>
      <c r="F725" s="8"/>
      <c r="G725" s="8"/>
      <c r="H725" s="8"/>
      <c r="I725" s="8"/>
      <c r="J725" s="8"/>
      <c r="K725" s="8"/>
      <c r="L725" s="8"/>
      <c r="M725" s="8"/>
      <c r="N725" s="8"/>
      <c r="O725" s="8"/>
      <c r="P725" s="8"/>
      <c r="Q725" s="8"/>
      <c r="R725" s="8"/>
      <c r="S725" s="8"/>
      <c r="T725" s="8"/>
      <c r="U725" s="8"/>
      <c r="V725" s="8"/>
      <c r="W725" s="8"/>
      <c r="X725" s="8"/>
      <c r="Y725" s="8"/>
      <c r="Z725" s="8"/>
      <c r="AA725" s="8"/>
    </row>
    <row r="726" spans="1:27" ht="19.75">
      <c r="A726" s="8"/>
      <c r="B726" s="7"/>
      <c r="C726" s="8"/>
      <c r="D726" s="8"/>
      <c r="E726" s="11"/>
      <c r="F726" s="8"/>
      <c r="G726" s="8"/>
      <c r="H726" s="8"/>
      <c r="I726" s="8"/>
      <c r="J726" s="8"/>
      <c r="K726" s="8"/>
      <c r="L726" s="8"/>
      <c r="M726" s="8"/>
      <c r="N726" s="8"/>
      <c r="O726" s="8"/>
      <c r="P726" s="8"/>
      <c r="Q726" s="8"/>
      <c r="R726" s="8"/>
      <c r="S726" s="8"/>
      <c r="T726" s="8"/>
      <c r="U726" s="8"/>
      <c r="V726" s="8"/>
      <c r="W726" s="8"/>
      <c r="X726" s="8"/>
      <c r="Y726" s="8"/>
      <c r="Z726" s="8"/>
      <c r="AA726" s="8"/>
    </row>
    <row r="727" spans="1:27" ht="19.75">
      <c r="A727" s="8"/>
      <c r="B727" s="7"/>
      <c r="C727" s="8"/>
      <c r="D727" s="8"/>
      <c r="E727" s="11"/>
      <c r="F727" s="8"/>
      <c r="G727" s="8"/>
      <c r="H727" s="8"/>
      <c r="I727" s="8"/>
      <c r="J727" s="8"/>
      <c r="K727" s="8"/>
      <c r="L727" s="8"/>
      <c r="M727" s="8"/>
      <c r="N727" s="8"/>
      <c r="O727" s="8"/>
      <c r="P727" s="8"/>
      <c r="Q727" s="8"/>
      <c r="R727" s="8"/>
      <c r="S727" s="8"/>
      <c r="T727" s="8"/>
      <c r="U727" s="8"/>
      <c r="V727" s="8"/>
      <c r="W727" s="8"/>
      <c r="X727" s="8"/>
      <c r="Y727" s="8"/>
      <c r="Z727" s="8"/>
      <c r="AA727" s="8"/>
    </row>
    <row r="728" spans="1:27" ht="19.75">
      <c r="A728" s="8"/>
      <c r="B728" s="7"/>
      <c r="C728" s="8"/>
      <c r="D728" s="8"/>
      <c r="E728" s="11"/>
      <c r="F728" s="8"/>
      <c r="G728" s="8"/>
      <c r="H728" s="8"/>
      <c r="I728" s="8"/>
      <c r="J728" s="8"/>
      <c r="K728" s="8"/>
      <c r="L728" s="8"/>
      <c r="M728" s="8"/>
      <c r="N728" s="8"/>
      <c r="O728" s="8"/>
      <c r="P728" s="8"/>
      <c r="Q728" s="8"/>
      <c r="R728" s="8"/>
      <c r="S728" s="8"/>
      <c r="T728" s="8"/>
      <c r="U728" s="8"/>
      <c r="V728" s="8"/>
      <c r="W728" s="8"/>
      <c r="X728" s="8"/>
      <c r="Y728" s="8"/>
      <c r="Z728" s="8"/>
      <c r="AA728" s="8"/>
    </row>
    <row r="729" spans="1:27" ht="19.75">
      <c r="A729" s="8"/>
      <c r="B729" s="7"/>
      <c r="C729" s="8"/>
      <c r="D729" s="8"/>
      <c r="E729" s="11"/>
      <c r="F729" s="8"/>
      <c r="G729" s="8"/>
      <c r="H729" s="8"/>
      <c r="I729" s="8"/>
      <c r="J729" s="8"/>
      <c r="K729" s="8"/>
      <c r="L729" s="8"/>
      <c r="M729" s="8"/>
      <c r="N729" s="8"/>
      <c r="O729" s="8"/>
      <c r="P729" s="8"/>
      <c r="Q729" s="8"/>
      <c r="R729" s="8"/>
      <c r="S729" s="8"/>
      <c r="T729" s="8"/>
      <c r="U729" s="8"/>
      <c r="V729" s="8"/>
      <c r="W729" s="8"/>
      <c r="X729" s="8"/>
      <c r="Y729" s="8"/>
      <c r="Z729" s="8"/>
      <c r="AA729" s="8"/>
    </row>
    <row r="730" spans="1:27" ht="19.75">
      <c r="A730" s="8"/>
      <c r="B730" s="7"/>
      <c r="C730" s="8"/>
      <c r="D730" s="8"/>
      <c r="E730" s="11"/>
      <c r="F730" s="8"/>
      <c r="G730" s="8"/>
      <c r="H730" s="8"/>
      <c r="I730" s="8"/>
      <c r="J730" s="8"/>
      <c r="K730" s="8"/>
      <c r="L730" s="8"/>
      <c r="M730" s="8"/>
      <c r="N730" s="8"/>
      <c r="O730" s="8"/>
      <c r="P730" s="8"/>
      <c r="Q730" s="8"/>
      <c r="R730" s="8"/>
      <c r="S730" s="8"/>
      <c r="T730" s="8"/>
      <c r="U730" s="8"/>
      <c r="V730" s="8"/>
      <c r="W730" s="8"/>
      <c r="X730" s="8"/>
      <c r="Y730" s="8"/>
      <c r="Z730" s="8"/>
      <c r="AA730" s="8"/>
    </row>
    <row r="731" spans="1:27" ht="19.75">
      <c r="A731" s="8"/>
      <c r="B731" s="7"/>
      <c r="C731" s="8"/>
      <c r="D731" s="8"/>
      <c r="E731" s="11"/>
      <c r="F731" s="8"/>
      <c r="G731" s="8"/>
      <c r="H731" s="8"/>
      <c r="I731" s="8"/>
      <c r="J731" s="8"/>
      <c r="K731" s="8"/>
      <c r="L731" s="8"/>
      <c r="M731" s="8"/>
      <c r="N731" s="8"/>
      <c r="O731" s="8"/>
      <c r="P731" s="8"/>
      <c r="Q731" s="8"/>
      <c r="R731" s="8"/>
      <c r="S731" s="8"/>
      <c r="T731" s="8"/>
      <c r="U731" s="8"/>
      <c r="V731" s="8"/>
      <c r="W731" s="8"/>
      <c r="X731" s="8"/>
      <c r="Y731" s="8"/>
      <c r="Z731" s="8"/>
      <c r="AA731" s="8"/>
    </row>
    <row r="732" spans="1:27" ht="19.75">
      <c r="A732" s="8"/>
      <c r="B732" s="7"/>
      <c r="C732" s="8"/>
      <c r="D732" s="8"/>
      <c r="E732" s="11"/>
      <c r="F732" s="8"/>
      <c r="G732" s="8"/>
      <c r="H732" s="8"/>
      <c r="I732" s="8"/>
      <c r="J732" s="8"/>
      <c r="K732" s="8"/>
      <c r="L732" s="8"/>
      <c r="M732" s="8"/>
      <c r="N732" s="8"/>
      <c r="O732" s="8"/>
      <c r="P732" s="8"/>
      <c r="Q732" s="8"/>
      <c r="R732" s="8"/>
      <c r="S732" s="8"/>
      <c r="T732" s="8"/>
      <c r="U732" s="8"/>
      <c r="V732" s="8"/>
      <c r="W732" s="8"/>
      <c r="X732" s="8"/>
      <c r="Y732" s="8"/>
      <c r="Z732" s="8"/>
      <c r="AA732" s="8"/>
    </row>
    <row r="733" spans="1:27" ht="19.75">
      <c r="A733" s="8"/>
      <c r="B733" s="7"/>
      <c r="C733" s="8"/>
      <c r="D733" s="8"/>
      <c r="E733" s="11"/>
      <c r="F733" s="8"/>
      <c r="G733" s="8"/>
      <c r="H733" s="8"/>
      <c r="I733" s="8"/>
      <c r="J733" s="8"/>
      <c r="K733" s="8"/>
      <c r="L733" s="8"/>
      <c r="M733" s="8"/>
      <c r="N733" s="8"/>
      <c r="O733" s="8"/>
      <c r="P733" s="8"/>
      <c r="Q733" s="8"/>
      <c r="R733" s="8"/>
      <c r="S733" s="8"/>
      <c r="T733" s="8"/>
      <c r="U733" s="8"/>
      <c r="V733" s="8"/>
      <c r="W733" s="8"/>
      <c r="X733" s="8"/>
      <c r="Y733" s="8"/>
      <c r="Z733" s="8"/>
      <c r="AA733" s="8"/>
    </row>
    <row r="734" spans="1:27" ht="19.75">
      <c r="A734" s="8"/>
      <c r="B734" s="7"/>
      <c r="C734" s="8"/>
      <c r="D734" s="8"/>
      <c r="E734" s="11"/>
      <c r="F734" s="8"/>
      <c r="G734" s="8"/>
      <c r="H734" s="8"/>
      <c r="I734" s="8"/>
      <c r="J734" s="8"/>
      <c r="K734" s="8"/>
      <c r="L734" s="8"/>
      <c r="M734" s="8"/>
      <c r="N734" s="8"/>
      <c r="O734" s="8"/>
      <c r="P734" s="8"/>
      <c r="Q734" s="8"/>
      <c r="R734" s="8"/>
      <c r="S734" s="8"/>
      <c r="T734" s="8"/>
      <c r="U734" s="8"/>
      <c r="V734" s="8"/>
      <c r="W734" s="8"/>
      <c r="X734" s="8"/>
      <c r="Y734" s="8"/>
      <c r="Z734" s="8"/>
      <c r="AA734" s="8"/>
    </row>
    <row r="735" spans="1:27" ht="19.75">
      <c r="A735" s="8"/>
      <c r="B735" s="7"/>
      <c r="C735" s="8"/>
      <c r="D735" s="8"/>
      <c r="E735" s="11"/>
      <c r="F735" s="8"/>
      <c r="G735" s="8"/>
      <c r="H735" s="8"/>
      <c r="I735" s="8"/>
      <c r="J735" s="8"/>
      <c r="K735" s="8"/>
      <c r="L735" s="8"/>
      <c r="M735" s="8"/>
      <c r="N735" s="8"/>
      <c r="O735" s="8"/>
      <c r="P735" s="8"/>
      <c r="Q735" s="8"/>
      <c r="R735" s="8"/>
      <c r="S735" s="8"/>
      <c r="T735" s="8"/>
      <c r="U735" s="8"/>
      <c r="V735" s="8"/>
      <c r="W735" s="8"/>
      <c r="X735" s="8"/>
      <c r="Y735" s="8"/>
      <c r="Z735" s="8"/>
      <c r="AA735" s="8"/>
    </row>
    <row r="736" spans="1:27" ht="19.75">
      <c r="A736" s="8"/>
      <c r="B736" s="7"/>
      <c r="C736" s="8"/>
      <c r="D736" s="8"/>
      <c r="E736" s="11"/>
      <c r="F736" s="8"/>
      <c r="G736" s="8"/>
      <c r="H736" s="8"/>
      <c r="I736" s="8"/>
      <c r="J736" s="8"/>
      <c r="K736" s="8"/>
      <c r="L736" s="8"/>
      <c r="M736" s="8"/>
      <c r="N736" s="8"/>
      <c r="O736" s="8"/>
      <c r="P736" s="8"/>
      <c r="Q736" s="8"/>
      <c r="R736" s="8"/>
      <c r="S736" s="8"/>
      <c r="T736" s="8"/>
      <c r="U736" s="8"/>
      <c r="V736" s="8"/>
      <c r="W736" s="8"/>
      <c r="X736" s="8"/>
      <c r="Y736" s="8"/>
      <c r="Z736" s="8"/>
      <c r="AA736" s="8"/>
    </row>
    <row r="737" spans="1:27" ht="19.75">
      <c r="A737" s="8"/>
      <c r="B737" s="7"/>
      <c r="C737" s="8"/>
      <c r="D737" s="8"/>
      <c r="E737" s="11"/>
      <c r="F737" s="8"/>
      <c r="G737" s="8"/>
      <c r="H737" s="8"/>
      <c r="I737" s="8"/>
      <c r="J737" s="8"/>
      <c r="K737" s="8"/>
      <c r="L737" s="8"/>
      <c r="M737" s="8"/>
      <c r="N737" s="8"/>
      <c r="O737" s="8"/>
      <c r="P737" s="8"/>
      <c r="Q737" s="8"/>
      <c r="R737" s="8"/>
      <c r="S737" s="8"/>
      <c r="T737" s="8"/>
      <c r="U737" s="8"/>
      <c r="V737" s="8"/>
      <c r="W737" s="8"/>
      <c r="X737" s="8"/>
      <c r="Y737" s="8"/>
      <c r="Z737" s="8"/>
      <c r="AA737" s="8"/>
    </row>
    <row r="738" spans="1:27" ht="19.75">
      <c r="A738" s="8"/>
      <c r="B738" s="7"/>
      <c r="C738" s="8"/>
      <c r="D738" s="8"/>
      <c r="E738" s="11"/>
      <c r="F738" s="8"/>
      <c r="G738" s="8"/>
      <c r="H738" s="8"/>
      <c r="I738" s="8"/>
      <c r="J738" s="8"/>
      <c r="K738" s="8"/>
      <c r="L738" s="8"/>
      <c r="M738" s="8"/>
      <c r="N738" s="8"/>
      <c r="O738" s="8"/>
      <c r="P738" s="8"/>
      <c r="Q738" s="8"/>
      <c r="R738" s="8"/>
      <c r="S738" s="8"/>
      <c r="T738" s="8"/>
      <c r="U738" s="8"/>
      <c r="V738" s="8"/>
      <c r="W738" s="8"/>
      <c r="X738" s="8"/>
      <c r="Y738" s="8"/>
      <c r="Z738" s="8"/>
      <c r="AA738" s="8"/>
    </row>
    <row r="739" spans="1:27" ht="19.75">
      <c r="A739" s="8"/>
      <c r="B739" s="7"/>
      <c r="C739" s="8"/>
      <c r="D739" s="8"/>
      <c r="E739" s="11"/>
      <c r="F739" s="8"/>
      <c r="G739" s="8"/>
      <c r="H739" s="8"/>
      <c r="I739" s="8"/>
      <c r="J739" s="8"/>
      <c r="K739" s="8"/>
      <c r="L739" s="8"/>
      <c r="M739" s="8"/>
      <c r="N739" s="8"/>
      <c r="O739" s="8"/>
      <c r="P739" s="8"/>
      <c r="Q739" s="8"/>
      <c r="R739" s="8"/>
      <c r="S739" s="8"/>
      <c r="T739" s="8"/>
      <c r="U739" s="8"/>
      <c r="V739" s="8"/>
      <c r="W739" s="8"/>
      <c r="X739" s="8"/>
      <c r="Y739" s="8"/>
      <c r="Z739" s="8"/>
      <c r="AA739" s="8"/>
    </row>
    <row r="740" spans="1:27" ht="19.75">
      <c r="A740" s="8"/>
      <c r="B740" s="7"/>
      <c r="C740" s="8"/>
      <c r="D740" s="8"/>
      <c r="E740" s="11"/>
      <c r="F740" s="8"/>
      <c r="G740" s="8"/>
      <c r="H740" s="8"/>
      <c r="I740" s="8"/>
      <c r="J740" s="8"/>
      <c r="K740" s="8"/>
      <c r="L740" s="8"/>
      <c r="M740" s="8"/>
      <c r="N740" s="8"/>
      <c r="O740" s="8"/>
      <c r="P740" s="8"/>
      <c r="Q740" s="8"/>
      <c r="R740" s="8"/>
      <c r="S740" s="8"/>
      <c r="T740" s="8"/>
      <c r="U740" s="8"/>
      <c r="V740" s="8"/>
      <c r="W740" s="8"/>
      <c r="X740" s="8"/>
      <c r="Y740" s="8"/>
      <c r="Z740" s="8"/>
      <c r="AA740" s="8"/>
    </row>
    <row r="741" spans="1:27" ht="19.75">
      <c r="A741" s="8"/>
      <c r="B741" s="7"/>
      <c r="C741" s="8"/>
      <c r="D741" s="8"/>
      <c r="E741" s="11"/>
      <c r="F741" s="8"/>
      <c r="G741" s="8"/>
      <c r="H741" s="8"/>
      <c r="I741" s="8"/>
      <c r="J741" s="8"/>
      <c r="K741" s="8"/>
      <c r="L741" s="8"/>
      <c r="M741" s="8"/>
      <c r="N741" s="8"/>
      <c r="O741" s="8"/>
      <c r="P741" s="8"/>
      <c r="Q741" s="8"/>
      <c r="R741" s="8"/>
      <c r="S741" s="8"/>
      <c r="T741" s="8"/>
      <c r="U741" s="8"/>
      <c r="V741" s="8"/>
      <c r="W741" s="8"/>
      <c r="X741" s="8"/>
      <c r="Y741" s="8"/>
      <c r="Z741" s="8"/>
      <c r="AA741" s="8"/>
    </row>
    <row r="742" spans="1:27" ht="19.75">
      <c r="A742" s="8"/>
      <c r="B742" s="7"/>
      <c r="C742" s="8"/>
      <c r="D742" s="8"/>
      <c r="E742" s="11"/>
      <c r="F742" s="8"/>
      <c r="G742" s="8"/>
      <c r="H742" s="8"/>
      <c r="I742" s="8"/>
      <c r="J742" s="8"/>
      <c r="K742" s="8"/>
      <c r="L742" s="8"/>
      <c r="M742" s="8"/>
      <c r="N742" s="8"/>
      <c r="O742" s="8"/>
      <c r="P742" s="8"/>
      <c r="Q742" s="8"/>
      <c r="R742" s="8"/>
      <c r="S742" s="8"/>
      <c r="T742" s="8"/>
      <c r="U742" s="8"/>
      <c r="V742" s="8"/>
      <c r="W742" s="8"/>
      <c r="X742" s="8"/>
      <c r="Y742" s="8"/>
      <c r="Z742" s="8"/>
      <c r="AA742" s="8"/>
    </row>
    <row r="743" spans="1:27" ht="19.75">
      <c r="A743" s="8"/>
      <c r="B743" s="7"/>
      <c r="C743" s="8"/>
      <c r="D743" s="8"/>
      <c r="E743" s="11"/>
      <c r="F743" s="8"/>
      <c r="G743" s="8"/>
      <c r="H743" s="8"/>
      <c r="I743" s="8"/>
      <c r="J743" s="8"/>
      <c r="K743" s="8"/>
      <c r="L743" s="8"/>
      <c r="M743" s="8"/>
      <c r="N743" s="8"/>
      <c r="O743" s="8"/>
      <c r="P743" s="8"/>
      <c r="Q743" s="8"/>
      <c r="R743" s="8"/>
      <c r="S743" s="8"/>
      <c r="T743" s="8"/>
      <c r="U743" s="8"/>
      <c r="V743" s="8"/>
      <c r="W743" s="8"/>
      <c r="X743" s="8"/>
      <c r="Y743" s="8"/>
      <c r="Z743" s="8"/>
      <c r="AA743" s="8"/>
    </row>
    <row r="744" spans="1:27" ht="19.75">
      <c r="A744" s="8"/>
      <c r="B744" s="7"/>
      <c r="C744" s="8"/>
      <c r="D744" s="8"/>
      <c r="E744" s="11"/>
      <c r="F744" s="8"/>
      <c r="G744" s="8"/>
      <c r="H744" s="8"/>
      <c r="I744" s="8"/>
      <c r="J744" s="8"/>
      <c r="K744" s="8"/>
      <c r="L744" s="8"/>
      <c r="M744" s="8"/>
      <c r="N744" s="8"/>
      <c r="O744" s="8"/>
      <c r="P744" s="8"/>
      <c r="Q744" s="8"/>
      <c r="R744" s="8"/>
      <c r="S744" s="8"/>
      <c r="T744" s="8"/>
      <c r="U744" s="8"/>
      <c r="V744" s="8"/>
      <c r="W744" s="8"/>
      <c r="X744" s="8"/>
      <c r="Y744" s="8"/>
      <c r="Z744" s="8"/>
      <c r="AA744" s="8"/>
    </row>
    <row r="745" spans="1:27" ht="19.75">
      <c r="A745" s="8"/>
      <c r="B745" s="7"/>
      <c r="C745" s="8"/>
      <c r="D745" s="8"/>
      <c r="E745" s="11"/>
      <c r="F745" s="8"/>
      <c r="G745" s="8"/>
      <c r="H745" s="8"/>
      <c r="I745" s="8"/>
      <c r="J745" s="8"/>
      <c r="K745" s="8"/>
      <c r="L745" s="8"/>
      <c r="M745" s="8"/>
      <c r="N745" s="8"/>
      <c r="O745" s="8"/>
      <c r="P745" s="8"/>
      <c r="Q745" s="8"/>
      <c r="R745" s="8"/>
      <c r="S745" s="8"/>
      <c r="T745" s="8"/>
      <c r="U745" s="8"/>
      <c r="V745" s="8"/>
      <c r="W745" s="8"/>
      <c r="X745" s="8"/>
      <c r="Y745" s="8"/>
      <c r="Z745" s="8"/>
      <c r="AA745" s="8"/>
    </row>
    <row r="746" spans="1:27" ht="19.75">
      <c r="A746" s="8"/>
      <c r="B746" s="7"/>
      <c r="C746" s="8"/>
      <c r="D746" s="8"/>
      <c r="E746" s="11"/>
      <c r="F746" s="8"/>
      <c r="G746" s="8"/>
      <c r="H746" s="8"/>
      <c r="I746" s="8"/>
      <c r="J746" s="8"/>
      <c r="K746" s="8"/>
      <c r="L746" s="8"/>
      <c r="M746" s="8"/>
      <c r="N746" s="8"/>
      <c r="O746" s="8"/>
      <c r="P746" s="8"/>
      <c r="Q746" s="8"/>
      <c r="R746" s="8"/>
      <c r="S746" s="8"/>
      <c r="T746" s="8"/>
      <c r="U746" s="8"/>
      <c r="V746" s="8"/>
      <c r="W746" s="8"/>
      <c r="X746" s="8"/>
      <c r="Y746" s="8"/>
      <c r="Z746" s="8"/>
      <c r="AA746" s="8"/>
    </row>
    <row r="747" spans="1:27" ht="19.75">
      <c r="A747" s="8"/>
      <c r="B747" s="7"/>
      <c r="C747" s="8"/>
      <c r="D747" s="8"/>
      <c r="E747" s="11"/>
      <c r="F747" s="8"/>
      <c r="G747" s="8"/>
      <c r="H747" s="8"/>
      <c r="I747" s="8"/>
      <c r="J747" s="8"/>
      <c r="K747" s="8"/>
      <c r="L747" s="8"/>
      <c r="M747" s="8"/>
      <c r="N747" s="8"/>
      <c r="O747" s="8"/>
      <c r="P747" s="8"/>
      <c r="Q747" s="8"/>
      <c r="R747" s="8"/>
      <c r="S747" s="8"/>
      <c r="T747" s="8"/>
      <c r="U747" s="8"/>
      <c r="V747" s="8"/>
      <c r="W747" s="8"/>
      <c r="X747" s="8"/>
      <c r="Y747" s="8"/>
      <c r="Z747" s="8"/>
      <c r="AA747" s="8"/>
    </row>
    <row r="748" spans="1:27" ht="19.75">
      <c r="A748" s="8"/>
      <c r="B748" s="7"/>
      <c r="C748" s="8"/>
      <c r="D748" s="8"/>
      <c r="E748" s="11"/>
      <c r="F748" s="8"/>
      <c r="G748" s="8"/>
      <c r="H748" s="8"/>
      <c r="I748" s="8"/>
      <c r="J748" s="8"/>
      <c r="K748" s="8"/>
      <c r="L748" s="8"/>
      <c r="M748" s="8"/>
      <c r="N748" s="8"/>
      <c r="O748" s="8"/>
      <c r="P748" s="8"/>
      <c r="Q748" s="8"/>
      <c r="R748" s="8"/>
      <c r="S748" s="8"/>
      <c r="T748" s="8"/>
      <c r="U748" s="8"/>
      <c r="V748" s="8"/>
      <c r="W748" s="8"/>
      <c r="X748" s="8"/>
      <c r="Y748" s="8"/>
      <c r="Z748" s="8"/>
      <c r="AA748" s="8"/>
    </row>
    <row r="749" spans="1:27" ht="19.75">
      <c r="A749" s="8"/>
      <c r="B749" s="7"/>
      <c r="C749" s="8"/>
      <c r="D749" s="8"/>
      <c r="E749" s="11"/>
      <c r="F749" s="8"/>
      <c r="G749" s="8"/>
      <c r="H749" s="8"/>
      <c r="I749" s="8"/>
      <c r="J749" s="8"/>
      <c r="K749" s="8"/>
      <c r="L749" s="8"/>
      <c r="M749" s="8"/>
      <c r="N749" s="8"/>
      <c r="O749" s="8"/>
      <c r="P749" s="8"/>
      <c r="Q749" s="8"/>
      <c r="R749" s="8"/>
      <c r="S749" s="8"/>
      <c r="T749" s="8"/>
      <c r="U749" s="8"/>
      <c r="V749" s="8"/>
      <c r="W749" s="8"/>
      <c r="X749" s="8"/>
      <c r="Y749" s="8"/>
      <c r="Z749" s="8"/>
      <c r="AA749" s="8"/>
    </row>
    <row r="750" spans="1:27" ht="19.75">
      <c r="A750" s="8"/>
      <c r="B750" s="7"/>
      <c r="C750" s="8"/>
      <c r="D750" s="8"/>
      <c r="E750" s="11"/>
      <c r="F750" s="8"/>
      <c r="G750" s="8"/>
      <c r="H750" s="8"/>
      <c r="I750" s="8"/>
      <c r="J750" s="8"/>
      <c r="K750" s="8"/>
      <c r="L750" s="8"/>
      <c r="M750" s="8"/>
      <c r="N750" s="8"/>
      <c r="O750" s="8"/>
      <c r="P750" s="8"/>
      <c r="Q750" s="8"/>
      <c r="R750" s="8"/>
      <c r="S750" s="8"/>
      <c r="T750" s="8"/>
      <c r="U750" s="8"/>
      <c r="V750" s="8"/>
      <c r="W750" s="8"/>
      <c r="X750" s="8"/>
      <c r="Y750" s="8"/>
      <c r="Z750" s="8"/>
      <c r="AA750" s="8"/>
    </row>
    <row r="751" spans="1:27" ht="19.75">
      <c r="A751" s="8"/>
      <c r="B751" s="7"/>
      <c r="C751" s="8"/>
      <c r="D751" s="8"/>
      <c r="E751" s="11"/>
      <c r="F751" s="8"/>
      <c r="G751" s="8"/>
      <c r="H751" s="8"/>
      <c r="I751" s="8"/>
      <c r="J751" s="8"/>
      <c r="K751" s="8"/>
      <c r="L751" s="8"/>
      <c r="M751" s="8"/>
      <c r="N751" s="8"/>
      <c r="O751" s="8"/>
      <c r="P751" s="8"/>
      <c r="Q751" s="8"/>
      <c r="R751" s="8"/>
      <c r="S751" s="8"/>
      <c r="T751" s="8"/>
      <c r="U751" s="8"/>
      <c r="V751" s="8"/>
      <c r="W751" s="8"/>
      <c r="X751" s="8"/>
      <c r="Y751" s="8"/>
      <c r="Z751" s="8"/>
      <c r="AA751" s="8"/>
    </row>
    <row r="752" spans="1:27" ht="19.75">
      <c r="A752" s="8"/>
      <c r="B752" s="7"/>
      <c r="C752" s="8"/>
      <c r="D752" s="8"/>
      <c r="E752" s="11"/>
      <c r="F752" s="8"/>
      <c r="G752" s="8"/>
      <c r="H752" s="8"/>
      <c r="I752" s="8"/>
      <c r="J752" s="8"/>
      <c r="K752" s="8"/>
      <c r="L752" s="8"/>
      <c r="M752" s="8"/>
      <c r="N752" s="8"/>
      <c r="O752" s="8"/>
      <c r="P752" s="8"/>
      <c r="Q752" s="8"/>
      <c r="R752" s="8"/>
      <c r="S752" s="8"/>
      <c r="T752" s="8"/>
      <c r="U752" s="8"/>
      <c r="V752" s="8"/>
      <c r="W752" s="8"/>
      <c r="X752" s="8"/>
      <c r="Y752" s="8"/>
      <c r="Z752" s="8"/>
      <c r="AA752" s="8"/>
    </row>
    <row r="753" spans="1:27" ht="19.75">
      <c r="A753" s="8"/>
      <c r="B753" s="7"/>
      <c r="C753" s="8"/>
      <c r="D753" s="8"/>
      <c r="E753" s="11"/>
      <c r="F753" s="8"/>
      <c r="G753" s="8"/>
      <c r="H753" s="8"/>
      <c r="I753" s="8"/>
      <c r="J753" s="8"/>
      <c r="K753" s="8"/>
      <c r="L753" s="8"/>
      <c r="M753" s="8"/>
      <c r="N753" s="8"/>
      <c r="O753" s="8"/>
      <c r="P753" s="8"/>
      <c r="Q753" s="8"/>
      <c r="R753" s="8"/>
      <c r="S753" s="8"/>
      <c r="T753" s="8"/>
      <c r="U753" s="8"/>
      <c r="V753" s="8"/>
      <c r="W753" s="8"/>
      <c r="X753" s="8"/>
      <c r="Y753" s="8"/>
      <c r="Z753" s="8"/>
      <c r="AA753" s="8"/>
    </row>
    <row r="754" spans="1:27" ht="19.75">
      <c r="A754" s="8"/>
      <c r="B754" s="7"/>
      <c r="C754" s="8"/>
      <c r="D754" s="8"/>
      <c r="E754" s="11"/>
      <c r="F754" s="8"/>
      <c r="G754" s="8"/>
      <c r="H754" s="8"/>
      <c r="I754" s="8"/>
      <c r="J754" s="8"/>
      <c r="K754" s="8"/>
      <c r="L754" s="8"/>
      <c r="M754" s="8"/>
      <c r="N754" s="8"/>
      <c r="O754" s="8"/>
      <c r="P754" s="8"/>
      <c r="Q754" s="8"/>
      <c r="R754" s="8"/>
      <c r="S754" s="8"/>
      <c r="T754" s="8"/>
      <c r="U754" s="8"/>
      <c r="V754" s="8"/>
      <c r="W754" s="8"/>
      <c r="X754" s="8"/>
      <c r="Y754" s="8"/>
      <c r="Z754" s="8"/>
      <c r="AA754" s="8"/>
    </row>
    <row r="755" spans="1:27" ht="19.75">
      <c r="A755" s="8"/>
      <c r="B755" s="7"/>
      <c r="C755" s="8"/>
      <c r="D755" s="8"/>
      <c r="E755" s="11"/>
      <c r="F755" s="8"/>
      <c r="G755" s="8"/>
      <c r="H755" s="8"/>
      <c r="I755" s="8"/>
      <c r="J755" s="8"/>
      <c r="K755" s="8"/>
      <c r="L755" s="8"/>
      <c r="M755" s="8"/>
      <c r="N755" s="8"/>
      <c r="O755" s="8"/>
      <c r="P755" s="8"/>
      <c r="Q755" s="8"/>
      <c r="R755" s="8"/>
      <c r="S755" s="8"/>
      <c r="T755" s="8"/>
      <c r="U755" s="8"/>
      <c r="V755" s="8"/>
      <c r="W755" s="8"/>
      <c r="X755" s="8"/>
      <c r="Y755" s="8"/>
      <c r="Z755" s="8"/>
      <c r="AA755" s="8"/>
    </row>
    <row r="756" spans="1:27" ht="19.75">
      <c r="A756" s="8"/>
      <c r="B756" s="7"/>
      <c r="C756" s="8"/>
      <c r="D756" s="8"/>
      <c r="E756" s="11"/>
      <c r="F756" s="8"/>
      <c r="G756" s="8"/>
      <c r="H756" s="8"/>
      <c r="I756" s="8"/>
      <c r="J756" s="8"/>
      <c r="K756" s="8"/>
      <c r="L756" s="8"/>
      <c r="M756" s="8"/>
      <c r="N756" s="8"/>
      <c r="O756" s="8"/>
      <c r="P756" s="8"/>
      <c r="Q756" s="8"/>
      <c r="R756" s="8"/>
      <c r="S756" s="8"/>
      <c r="T756" s="8"/>
      <c r="U756" s="8"/>
      <c r="V756" s="8"/>
      <c r="W756" s="8"/>
      <c r="X756" s="8"/>
      <c r="Y756" s="8"/>
      <c r="Z756" s="8"/>
      <c r="AA756" s="8"/>
    </row>
    <row r="757" spans="1:27" ht="19.75">
      <c r="A757" s="8"/>
      <c r="B757" s="7"/>
      <c r="C757" s="8"/>
      <c r="D757" s="8"/>
      <c r="E757" s="11"/>
      <c r="F757" s="8"/>
      <c r="G757" s="8"/>
      <c r="H757" s="8"/>
      <c r="I757" s="8"/>
      <c r="J757" s="8"/>
      <c r="K757" s="8"/>
      <c r="L757" s="8"/>
      <c r="M757" s="8"/>
      <c r="N757" s="8"/>
      <c r="O757" s="8"/>
      <c r="P757" s="8"/>
      <c r="Q757" s="8"/>
      <c r="R757" s="8"/>
      <c r="S757" s="8"/>
      <c r="T757" s="8"/>
      <c r="U757" s="8"/>
      <c r="V757" s="8"/>
      <c r="W757" s="8"/>
      <c r="X757" s="8"/>
      <c r="Y757" s="8"/>
      <c r="Z757" s="8"/>
      <c r="AA757" s="8"/>
    </row>
    <row r="758" spans="1:27" ht="19.75">
      <c r="A758" s="8"/>
      <c r="B758" s="7"/>
      <c r="C758" s="8"/>
      <c r="D758" s="8"/>
      <c r="E758" s="11"/>
      <c r="F758" s="8"/>
      <c r="G758" s="8"/>
      <c r="H758" s="8"/>
      <c r="I758" s="8"/>
      <c r="J758" s="8"/>
      <c r="K758" s="8"/>
      <c r="L758" s="8"/>
      <c r="M758" s="8"/>
      <c r="N758" s="8"/>
      <c r="O758" s="8"/>
      <c r="P758" s="8"/>
      <c r="Q758" s="8"/>
      <c r="R758" s="8"/>
      <c r="S758" s="8"/>
      <c r="T758" s="8"/>
      <c r="U758" s="8"/>
      <c r="V758" s="8"/>
      <c r="W758" s="8"/>
      <c r="X758" s="8"/>
      <c r="Y758" s="8"/>
      <c r="Z758" s="8"/>
      <c r="AA758" s="8"/>
    </row>
    <row r="759" spans="1:27" ht="19.75">
      <c r="A759" s="8"/>
      <c r="B759" s="7"/>
      <c r="C759" s="8"/>
      <c r="D759" s="8"/>
      <c r="E759" s="11"/>
      <c r="F759" s="8"/>
      <c r="G759" s="8"/>
      <c r="H759" s="8"/>
      <c r="I759" s="8"/>
      <c r="J759" s="8"/>
      <c r="K759" s="8"/>
      <c r="L759" s="8"/>
      <c r="M759" s="8"/>
      <c r="N759" s="8"/>
      <c r="O759" s="8"/>
      <c r="P759" s="8"/>
      <c r="Q759" s="8"/>
      <c r="R759" s="8"/>
      <c r="S759" s="8"/>
      <c r="T759" s="8"/>
      <c r="U759" s="8"/>
      <c r="V759" s="8"/>
      <c r="W759" s="8"/>
      <c r="X759" s="8"/>
      <c r="Y759" s="8"/>
      <c r="Z759" s="8"/>
      <c r="AA759" s="8"/>
    </row>
    <row r="760" spans="1:27" ht="19.75">
      <c r="A760" s="8"/>
      <c r="B760" s="7"/>
      <c r="C760" s="8"/>
      <c r="D760" s="8"/>
      <c r="E760" s="11"/>
      <c r="F760" s="8"/>
      <c r="G760" s="8"/>
      <c r="H760" s="8"/>
      <c r="I760" s="8"/>
      <c r="J760" s="8"/>
      <c r="K760" s="8"/>
      <c r="L760" s="8"/>
      <c r="M760" s="8"/>
      <c r="N760" s="8"/>
      <c r="O760" s="8"/>
      <c r="P760" s="8"/>
      <c r="Q760" s="8"/>
      <c r="R760" s="8"/>
      <c r="S760" s="8"/>
      <c r="T760" s="8"/>
      <c r="U760" s="8"/>
      <c r="V760" s="8"/>
      <c r="W760" s="8"/>
      <c r="X760" s="8"/>
      <c r="Y760" s="8"/>
      <c r="Z760" s="8"/>
      <c r="AA760" s="8"/>
    </row>
    <row r="761" spans="1:27" ht="19.75">
      <c r="A761" s="8"/>
      <c r="B761" s="7"/>
      <c r="C761" s="8"/>
      <c r="D761" s="8"/>
      <c r="E761" s="11"/>
      <c r="F761" s="8"/>
      <c r="G761" s="8"/>
      <c r="H761" s="8"/>
      <c r="I761" s="8"/>
      <c r="J761" s="8"/>
      <c r="K761" s="8"/>
      <c r="L761" s="8"/>
      <c r="M761" s="8"/>
      <c r="N761" s="8"/>
      <c r="O761" s="8"/>
      <c r="P761" s="8"/>
      <c r="Q761" s="8"/>
      <c r="R761" s="8"/>
      <c r="S761" s="8"/>
      <c r="T761" s="8"/>
      <c r="U761" s="8"/>
      <c r="V761" s="8"/>
      <c r="W761" s="8"/>
      <c r="X761" s="8"/>
      <c r="Y761" s="8"/>
      <c r="Z761" s="8"/>
      <c r="AA761" s="8"/>
    </row>
    <row r="762" spans="1:27" ht="19.75">
      <c r="A762" s="8"/>
      <c r="B762" s="7"/>
      <c r="C762" s="8"/>
      <c r="D762" s="8"/>
      <c r="E762" s="11"/>
      <c r="F762" s="8"/>
      <c r="G762" s="8"/>
      <c r="H762" s="8"/>
      <c r="I762" s="8"/>
      <c r="J762" s="8"/>
      <c r="K762" s="8"/>
      <c r="L762" s="8"/>
      <c r="M762" s="8"/>
      <c r="N762" s="8"/>
      <c r="O762" s="8"/>
      <c r="P762" s="8"/>
      <c r="Q762" s="8"/>
      <c r="R762" s="8"/>
      <c r="S762" s="8"/>
      <c r="T762" s="8"/>
      <c r="U762" s="8"/>
      <c r="V762" s="8"/>
      <c r="W762" s="8"/>
      <c r="X762" s="8"/>
      <c r="Y762" s="8"/>
      <c r="Z762" s="8"/>
      <c r="AA762" s="8"/>
    </row>
    <row r="763" spans="1:27" ht="19.75">
      <c r="A763" s="8"/>
      <c r="B763" s="7"/>
      <c r="C763" s="8"/>
      <c r="D763" s="8"/>
      <c r="E763" s="11"/>
      <c r="F763" s="8"/>
      <c r="G763" s="8"/>
      <c r="H763" s="8"/>
      <c r="I763" s="8"/>
      <c r="J763" s="8"/>
      <c r="K763" s="8"/>
      <c r="L763" s="8"/>
      <c r="M763" s="8"/>
      <c r="N763" s="8"/>
      <c r="O763" s="8"/>
      <c r="P763" s="8"/>
      <c r="Q763" s="8"/>
      <c r="R763" s="8"/>
      <c r="S763" s="8"/>
      <c r="T763" s="8"/>
      <c r="U763" s="8"/>
      <c r="V763" s="8"/>
      <c r="W763" s="8"/>
      <c r="X763" s="8"/>
      <c r="Y763" s="8"/>
      <c r="Z763" s="8"/>
      <c r="AA763" s="8"/>
    </row>
    <row r="764" spans="1:27" ht="19.75">
      <c r="A764" s="8"/>
      <c r="B764" s="7"/>
      <c r="C764" s="8"/>
      <c r="D764" s="8"/>
      <c r="E764" s="11"/>
      <c r="F764" s="8"/>
      <c r="G764" s="8"/>
      <c r="H764" s="8"/>
      <c r="I764" s="8"/>
      <c r="J764" s="8"/>
      <c r="K764" s="8"/>
      <c r="L764" s="8"/>
      <c r="M764" s="8"/>
      <c r="N764" s="8"/>
      <c r="O764" s="8"/>
      <c r="P764" s="8"/>
      <c r="Q764" s="8"/>
      <c r="R764" s="8"/>
      <c r="S764" s="8"/>
      <c r="T764" s="8"/>
      <c r="U764" s="8"/>
      <c r="V764" s="8"/>
      <c r="W764" s="8"/>
      <c r="X764" s="8"/>
      <c r="Y764" s="8"/>
      <c r="Z764" s="8"/>
      <c r="AA764" s="8"/>
    </row>
    <row r="765" spans="1:27" ht="19.75">
      <c r="A765" s="8"/>
      <c r="B765" s="7"/>
      <c r="C765" s="8"/>
      <c r="D765" s="8"/>
      <c r="E765" s="11"/>
      <c r="F765" s="8"/>
      <c r="G765" s="8"/>
      <c r="H765" s="8"/>
      <c r="I765" s="8"/>
      <c r="J765" s="8"/>
      <c r="K765" s="8"/>
      <c r="L765" s="8"/>
      <c r="M765" s="8"/>
      <c r="N765" s="8"/>
      <c r="O765" s="8"/>
      <c r="P765" s="8"/>
      <c r="Q765" s="8"/>
      <c r="R765" s="8"/>
      <c r="S765" s="8"/>
      <c r="T765" s="8"/>
      <c r="U765" s="8"/>
      <c r="V765" s="8"/>
      <c r="W765" s="8"/>
      <c r="X765" s="8"/>
      <c r="Y765" s="8"/>
      <c r="Z765" s="8"/>
      <c r="AA765" s="8"/>
    </row>
    <row r="766" spans="1:27" ht="19.75">
      <c r="A766" s="8"/>
      <c r="B766" s="7"/>
      <c r="C766" s="8"/>
      <c r="D766" s="8"/>
      <c r="E766" s="11"/>
      <c r="F766" s="8"/>
      <c r="G766" s="8"/>
      <c r="H766" s="8"/>
      <c r="I766" s="8"/>
      <c r="J766" s="8"/>
      <c r="K766" s="8"/>
      <c r="L766" s="8"/>
      <c r="M766" s="8"/>
      <c r="N766" s="8"/>
      <c r="O766" s="8"/>
      <c r="P766" s="8"/>
      <c r="Q766" s="8"/>
      <c r="R766" s="8"/>
      <c r="S766" s="8"/>
      <c r="T766" s="8"/>
      <c r="U766" s="8"/>
      <c r="V766" s="8"/>
      <c r="W766" s="8"/>
      <c r="X766" s="8"/>
      <c r="Y766" s="8"/>
      <c r="Z766" s="8"/>
      <c r="AA766" s="8"/>
    </row>
    <row r="767" spans="1:27" ht="19.75">
      <c r="A767" s="8"/>
      <c r="B767" s="7"/>
      <c r="C767" s="8"/>
      <c r="D767" s="8"/>
      <c r="E767" s="11"/>
      <c r="F767" s="8"/>
      <c r="G767" s="8"/>
      <c r="H767" s="8"/>
      <c r="I767" s="8"/>
      <c r="J767" s="8"/>
      <c r="K767" s="8"/>
      <c r="L767" s="8"/>
      <c r="M767" s="8"/>
      <c r="N767" s="8"/>
      <c r="O767" s="8"/>
      <c r="P767" s="8"/>
      <c r="Q767" s="8"/>
      <c r="R767" s="8"/>
      <c r="S767" s="8"/>
      <c r="T767" s="8"/>
      <c r="U767" s="8"/>
      <c r="V767" s="8"/>
      <c r="W767" s="8"/>
      <c r="X767" s="8"/>
      <c r="Y767" s="8"/>
      <c r="Z767" s="8"/>
      <c r="AA767" s="8"/>
    </row>
    <row r="768" spans="1:27" ht="19.75">
      <c r="A768" s="8"/>
      <c r="B768" s="7"/>
      <c r="C768" s="8"/>
      <c r="D768" s="8"/>
      <c r="E768" s="11"/>
      <c r="F768" s="8"/>
      <c r="G768" s="8"/>
      <c r="H768" s="8"/>
      <c r="I768" s="8"/>
      <c r="J768" s="8"/>
      <c r="K768" s="8"/>
      <c r="L768" s="8"/>
      <c r="M768" s="8"/>
      <c r="N768" s="8"/>
      <c r="O768" s="8"/>
      <c r="P768" s="8"/>
      <c r="Q768" s="8"/>
      <c r="R768" s="8"/>
      <c r="S768" s="8"/>
      <c r="T768" s="8"/>
      <c r="U768" s="8"/>
      <c r="V768" s="8"/>
      <c r="W768" s="8"/>
      <c r="X768" s="8"/>
      <c r="Y768" s="8"/>
      <c r="Z768" s="8"/>
      <c r="AA768" s="8"/>
    </row>
    <row r="769" spans="1:27" ht="19.75">
      <c r="A769" s="8"/>
      <c r="B769" s="7"/>
      <c r="C769" s="8"/>
      <c r="D769" s="8"/>
      <c r="E769" s="11"/>
      <c r="F769" s="8"/>
      <c r="G769" s="8"/>
      <c r="H769" s="8"/>
      <c r="I769" s="8"/>
      <c r="J769" s="8"/>
      <c r="K769" s="8"/>
      <c r="L769" s="8"/>
      <c r="M769" s="8"/>
      <c r="N769" s="8"/>
      <c r="O769" s="8"/>
      <c r="P769" s="8"/>
      <c r="Q769" s="8"/>
      <c r="R769" s="8"/>
      <c r="S769" s="8"/>
      <c r="T769" s="8"/>
      <c r="U769" s="8"/>
      <c r="V769" s="8"/>
      <c r="W769" s="8"/>
      <c r="X769" s="8"/>
      <c r="Y769" s="8"/>
      <c r="Z769" s="8"/>
      <c r="AA769" s="8"/>
    </row>
    <row r="770" spans="1:27" ht="19.75">
      <c r="A770" s="8"/>
      <c r="B770" s="7"/>
      <c r="C770" s="8"/>
      <c r="D770" s="8"/>
      <c r="E770" s="11"/>
      <c r="F770" s="8"/>
      <c r="G770" s="8"/>
      <c r="H770" s="8"/>
      <c r="I770" s="8"/>
      <c r="J770" s="8"/>
      <c r="K770" s="8"/>
      <c r="L770" s="8"/>
      <c r="M770" s="8"/>
      <c r="N770" s="8"/>
      <c r="O770" s="8"/>
      <c r="P770" s="8"/>
      <c r="Q770" s="8"/>
      <c r="R770" s="8"/>
      <c r="S770" s="8"/>
      <c r="T770" s="8"/>
      <c r="U770" s="8"/>
      <c r="V770" s="8"/>
      <c r="W770" s="8"/>
      <c r="X770" s="8"/>
      <c r="Y770" s="8"/>
      <c r="Z770" s="8"/>
      <c r="AA770" s="8"/>
    </row>
    <row r="771" spans="1:27" ht="19.75">
      <c r="A771" s="8"/>
      <c r="B771" s="7"/>
      <c r="C771" s="8"/>
      <c r="D771" s="8"/>
      <c r="E771" s="11"/>
      <c r="F771" s="8"/>
      <c r="G771" s="8"/>
      <c r="H771" s="8"/>
      <c r="I771" s="8"/>
      <c r="J771" s="8"/>
      <c r="K771" s="8"/>
      <c r="L771" s="8"/>
      <c r="M771" s="8"/>
      <c r="N771" s="8"/>
      <c r="O771" s="8"/>
      <c r="P771" s="8"/>
      <c r="Q771" s="8"/>
      <c r="R771" s="8"/>
      <c r="S771" s="8"/>
      <c r="T771" s="8"/>
      <c r="U771" s="8"/>
      <c r="V771" s="8"/>
      <c r="W771" s="8"/>
      <c r="X771" s="8"/>
      <c r="Y771" s="8"/>
      <c r="Z771" s="8"/>
      <c r="AA771" s="8"/>
    </row>
    <row r="772" spans="1:27" ht="19.75">
      <c r="A772" s="8"/>
      <c r="B772" s="7"/>
      <c r="C772" s="8"/>
      <c r="D772" s="8"/>
      <c r="E772" s="11"/>
      <c r="F772" s="8"/>
      <c r="G772" s="8"/>
      <c r="H772" s="8"/>
      <c r="I772" s="8"/>
      <c r="J772" s="8"/>
      <c r="K772" s="8"/>
      <c r="L772" s="8"/>
      <c r="M772" s="8"/>
      <c r="N772" s="8"/>
      <c r="O772" s="8"/>
      <c r="P772" s="8"/>
      <c r="Q772" s="8"/>
      <c r="R772" s="8"/>
      <c r="S772" s="8"/>
      <c r="T772" s="8"/>
      <c r="U772" s="8"/>
      <c r="V772" s="8"/>
      <c r="W772" s="8"/>
      <c r="X772" s="8"/>
      <c r="Y772" s="8"/>
      <c r="Z772" s="8"/>
      <c r="AA772" s="8"/>
    </row>
    <row r="773" spans="1:27" ht="19.75">
      <c r="A773" s="8"/>
      <c r="B773" s="7"/>
      <c r="C773" s="8"/>
      <c r="D773" s="8"/>
      <c r="E773" s="11"/>
      <c r="F773" s="8"/>
      <c r="G773" s="8"/>
      <c r="H773" s="8"/>
      <c r="I773" s="8"/>
      <c r="J773" s="8"/>
      <c r="K773" s="8"/>
      <c r="L773" s="8"/>
      <c r="M773" s="8"/>
      <c r="N773" s="8"/>
      <c r="O773" s="8"/>
      <c r="P773" s="8"/>
      <c r="Q773" s="8"/>
      <c r="R773" s="8"/>
      <c r="S773" s="8"/>
      <c r="T773" s="8"/>
      <c r="U773" s="8"/>
      <c r="V773" s="8"/>
      <c r="W773" s="8"/>
      <c r="X773" s="8"/>
      <c r="Y773" s="8"/>
      <c r="Z773" s="8"/>
      <c r="AA773" s="8"/>
    </row>
    <row r="774" spans="1:27" ht="19.75">
      <c r="A774" s="8"/>
      <c r="B774" s="7"/>
      <c r="C774" s="8"/>
      <c r="D774" s="8"/>
      <c r="E774" s="11"/>
      <c r="F774" s="8"/>
      <c r="G774" s="8"/>
      <c r="H774" s="8"/>
      <c r="I774" s="8"/>
      <c r="J774" s="8"/>
      <c r="K774" s="8"/>
      <c r="L774" s="8"/>
      <c r="M774" s="8"/>
      <c r="N774" s="8"/>
      <c r="O774" s="8"/>
      <c r="P774" s="8"/>
      <c r="Q774" s="8"/>
      <c r="R774" s="8"/>
      <c r="S774" s="8"/>
      <c r="T774" s="8"/>
      <c r="U774" s="8"/>
      <c r="V774" s="8"/>
      <c r="W774" s="8"/>
      <c r="X774" s="8"/>
      <c r="Y774" s="8"/>
      <c r="Z774" s="8"/>
      <c r="AA774" s="8"/>
    </row>
    <row r="775" spans="1:27" ht="19.75">
      <c r="A775" s="8"/>
      <c r="B775" s="7"/>
      <c r="C775" s="8"/>
      <c r="D775" s="8"/>
      <c r="E775" s="11"/>
      <c r="F775" s="8"/>
      <c r="G775" s="8"/>
      <c r="H775" s="8"/>
      <c r="I775" s="8"/>
      <c r="J775" s="8"/>
      <c r="K775" s="8"/>
      <c r="L775" s="8"/>
      <c r="M775" s="8"/>
      <c r="N775" s="8"/>
      <c r="O775" s="8"/>
      <c r="P775" s="8"/>
      <c r="Q775" s="8"/>
      <c r="R775" s="8"/>
      <c r="S775" s="8"/>
      <c r="T775" s="8"/>
      <c r="U775" s="8"/>
      <c r="V775" s="8"/>
      <c r="W775" s="8"/>
      <c r="X775" s="8"/>
      <c r="Y775" s="8"/>
      <c r="Z775" s="8"/>
      <c r="AA775" s="8"/>
    </row>
    <row r="776" spans="1:27" ht="19.75">
      <c r="A776" s="8"/>
      <c r="B776" s="7"/>
      <c r="C776" s="8"/>
      <c r="D776" s="8"/>
      <c r="E776" s="11"/>
      <c r="F776" s="8"/>
      <c r="G776" s="8"/>
      <c r="H776" s="8"/>
      <c r="I776" s="8"/>
      <c r="J776" s="8"/>
      <c r="K776" s="8"/>
      <c r="L776" s="8"/>
      <c r="M776" s="8"/>
      <c r="N776" s="8"/>
      <c r="O776" s="8"/>
      <c r="P776" s="8"/>
      <c r="Q776" s="8"/>
      <c r="R776" s="8"/>
      <c r="S776" s="8"/>
      <c r="T776" s="8"/>
      <c r="U776" s="8"/>
      <c r="V776" s="8"/>
      <c r="W776" s="8"/>
      <c r="X776" s="8"/>
      <c r="Y776" s="8"/>
      <c r="Z776" s="8"/>
      <c r="AA776" s="8"/>
    </row>
    <row r="777" spans="1:27" ht="19.75">
      <c r="A777" s="8"/>
      <c r="B777" s="7"/>
      <c r="C777" s="8"/>
      <c r="D777" s="8"/>
      <c r="E777" s="11"/>
      <c r="F777" s="8"/>
      <c r="G777" s="8"/>
      <c r="H777" s="8"/>
      <c r="I777" s="8"/>
      <c r="J777" s="8"/>
      <c r="K777" s="8"/>
      <c r="L777" s="8"/>
      <c r="M777" s="8"/>
      <c r="N777" s="8"/>
      <c r="O777" s="8"/>
      <c r="P777" s="8"/>
      <c r="Q777" s="8"/>
      <c r="R777" s="8"/>
      <c r="S777" s="8"/>
      <c r="T777" s="8"/>
      <c r="U777" s="8"/>
      <c r="V777" s="8"/>
      <c r="W777" s="8"/>
      <c r="X777" s="8"/>
      <c r="Y777" s="8"/>
      <c r="Z777" s="8"/>
      <c r="AA777" s="8"/>
    </row>
    <row r="778" spans="1:27" ht="19.75">
      <c r="A778" s="8"/>
      <c r="B778" s="7"/>
      <c r="C778" s="8"/>
      <c r="D778" s="8"/>
      <c r="E778" s="11"/>
      <c r="F778" s="8"/>
      <c r="G778" s="8"/>
      <c r="H778" s="8"/>
      <c r="I778" s="8"/>
      <c r="J778" s="8"/>
      <c r="K778" s="8"/>
      <c r="L778" s="8"/>
      <c r="M778" s="8"/>
      <c r="N778" s="8"/>
      <c r="O778" s="8"/>
      <c r="P778" s="8"/>
      <c r="Q778" s="8"/>
      <c r="R778" s="8"/>
      <c r="S778" s="8"/>
      <c r="T778" s="8"/>
      <c r="U778" s="8"/>
      <c r="V778" s="8"/>
      <c r="W778" s="8"/>
      <c r="X778" s="8"/>
      <c r="Y778" s="8"/>
      <c r="Z778" s="8"/>
      <c r="AA778" s="8"/>
    </row>
    <row r="779" spans="1:27" ht="19.75">
      <c r="A779" s="8"/>
      <c r="B779" s="7"/>
      <c r="C779" s="8"/>
      <c r="D779" s="8"/>
      <c r="E779" s="11"/>
      <c r="F779" s="8"/>
      <c r="G779" s="8"/>
      <c r="H779" s="8"/>
      <c r="I779" s="8"/>
      <c r="J779" s="8"/>
      <c r="K779" s="8"/>
      <c r="L779" s="8"/>
      <c r="M779" s="8"/>
      <c r="N779" s="8"/>
      <c r="O779" s="8"/>
      <c r="P779" s="8"/>
      <c r="Q779" s="8"/>
      <c r="R779" s="8"/>
      <c r="S779" s="8"/>
      <c r="T779" s="8"/>
      <c r="U779" s="8"/>
      <c r="V779" s="8"/>
      <c r="W779" s="8"/>
      <c r="X779" s="8"/>
      <c r="Y779" s="8"/>
      <c r="Z779" s="8"/>
      <c r="AA779" s="8"/>
    </row>
    <row r="780" spans="1:27" ht="19.75">
      <c r="A780" s="8"/>
      <c r="B780" s="7"/>
      <c r="C780" s="8"/>
      <c r="D780" s="8"/>
      <c r="E780" s="11"/>
      <c r="F780" s="8"/>
      <c r="G780" s="8"/>
      <c r="H780" s="8"/>
      <c r="I780" s="8"/>
      <c r="J780" s="8"/>
      <c r="K780" s="8"/>
      <c r="L780" s="8"/>
      <c r="M780" s="8"/>
      <c r="N780" s="8"/>
      <c r="O780" s="8"/>
      <c r="P780" s="8"/>
      <c r="Q780" s="8"/>
      <c r="R780" s="8"/>
      <c r="S780" s="8"/>
      <c r="T780" s="8"/>
      <c r="U780" s="8"/>
      <c r="V780" s="8"/>
      <c r="W780" s="8"/>
      <c r="X780" s="8"/>
      <c r="Y780" s="8"/>
      <c r="Z780" s="8"/>
      <c r="AA780" s="8"/>
    </row>
    <row r="781" spans="1:27" ht="19.75">
      <c r="A781" s="8"/>
      <c r="B781" s="7"/>
      <c r="C781" s="8"/>
      <c r="D781" s="8"/>
      <c r="E781" s="11"/>
      <c r="F781" s="8"/>
      <c r="G781" s="8"/>
      <c r="H781" s="8"/>
      <c r="I781" s="8"/>
      <c r="J781" s="8"/>
      <c r="K781" s="8"/>
      <c r="L781" s="8"/>
      <c r="M781" s="8"/>
      <c r="N781" s="8"/>
      <c r="O781" s="8"/>
      <c r="P781" s="8"/>
      <c r="Q781" s="8"/>
      <c r="R781" s="8"/>
      <c r="S781" s="8"/>
      <c r="T781" s="8"/>
      <c r="U781" s="8"/>
      <c r="V781" s="8"/>
      <c r="W781" s="8"/>
      <c r="X781" s="8"/>
      <c r="Y781" s="8"/>
      <c r="Z781" s="8"/>
      <c r="AA781" s="8"/>
    </row>
    <row r="782" spans="1:27" ht="19.75">
      <c r="A782" s="8"/>
      <c r="B782" s="7"/>
      <c r="C782" s="8"/>
      <c r="D782" s="8"/>
      <c r="E782" s="11"/>
      <c r="F782" s="8"/>
      <c r="G782" s="8"/>
      <c r="H782" s="8"/>
      <c r="I782" s="8"/>
      <c r="J782" s="8"/>
      <c r="K782" s="8"/>
      <c r="L782" s="8"/>
      <c r="M782" s="8"/>
      <c r="N782" s="8"/>
      <c r="O782" s="8"/>
      <c r="P782" s="8"/>
      <c r="Q782" s="8"/>
      <c r="R782" s="8"/>
      <c r="S782" s="8"/>
      <c r="T782" s="8"/>
      <c r="U782" s="8"/>
      <c r="V782" s="8"/>
      <c r="W782" s="8"/>
      <c r="X782" s="8"/>
      <c r="Y782" s="8"/>
      <c r="Z782" s="8"/>
      <c r="AA782" s="8"/>
    </row>
    <row r="783" spans="1:27" ht="19.75">
      <c r="A783" s="8"/>
      <c r="B783" s="7"/>
      <c r="C783" s="8"/>
      <c r="D783" s="8"/>
      <c r="E783" s="11"/>
      <c r="F783" s="8"/>
      <c r="G783" s="8"/>
      <c r="H783" s="8"/>
      <c r="I783" s="8"/>
      <c r="J783" s="8"/>
      <c r="K783" s="8"/>
      <c r="L783" s="8"/>
      <c r="M783" s="8"/>
      <c r="N783" s="8"/>
      <c r="O783" s="8"/>
      <c r="P783" s="8"/>
      <c r="Q783" s="8"/>
      <c r="R783" s="8"/>
      <c r="S783" s="8"/>
      <c r="T783" s="8"/>
      <c r="U783" s="8"/>
      <c r="V783" s="8"/>
      <c r="W783" s="8"/>
      <c r="X783" s="8"/>
      <c r="Y783" s="8"/>
      <c r="Z783" s="8"/>
      <c r="AA783" s="8"/>
    </row>
    <row r="784" spans="1:27" ht="19.75">
      <c r="A784" s="8"/>
      <c r="B784" s="7"/>
      <c r="C784" s="8"/>
      <c r="D784" s="8"/>
      <c r="E784" s="11"/>
      <c r="F784" s="8"/>
      <c r="G784" s="8"/>
      <c r="H784" s="8"/>
      <c r="I784" s="8"/>
      <c r="J784" s="8"/>
      <c r="K784" s="8"/>
      <c r="L784" s="8"/>
      <c r="M784" s="8"/>
      <c r="N784" s="8"/>
      <c r="O784" s="8"/>
      <c r="P784" s="8"/>
      <c r="Q784" s="8"/>
      <c r="R784" s="8"/>
      <c r="S784" s="8"/>
      <c r="T784" s="8"/>
      <c r="U784" s="8"/>
      <c r="V784" s="8"/>
      <c r="W784" s="8"/>
      <c r="X784" s="8"/>
      <c r="Y784" s="8"/>
      <c r="Z784" s="8"/>
      <c r="AA784" s="8"/>
    </row>
    <row r="785" spans="1:27" ht="19.75">
      <c r="A785" s="8"/>
      <c r="B785" s="7"/>
      <c r="C785" s="8"/>
      <c r="D785" s="8"/>
      <c r="E785" s="11"/>
      <c r="F785" s="8"/>
      <c r="G785" s="8"/>
      <c r="H785" s="8"/>
      <c r="I785" s="8"/>
      <c r="J785" s="8"/>
      <c r="K785" s="8"/>
      <c r="L785" s="8"/>
      <c r="M785" s="8"/>
      <c r="N785" s="8"/>
      <c r="O785" s="8"/>
      <c r="P785" s="8"/>
      <c r="Q785" s="8"/>
      <c r="R785" s="8"/>
      <c r="S785" s="8"/>
      <c r="T785" s="8"/>
      <c r="U785" s="8"/>
      <c r="V785" s="8"/>
      <c r="W785" s="8"/>
      <c r="X785" s="8"/>
      <c r="Y785" s="8"/>
      <c r="Z785" s="8"/>
      <c r="AA785" s="8"/>
    </row>
    <row r="786" spans="1:27" ht="19.75">
      <c r="A786" s="8"/>
      <c r="B786" s="7"/>
      <c r="C786" s="8"/>
      <c r="D786" s="8"/>
      <c r="E786" s="11"/>
      <c r="F786" s="8"/>
      <c r="G786" s="8"/>
      <c r="H786" s="8"/>
      <c r="I786" s="8"/>
      <c r="J786" s="8"/>
      <c r="K786" s="8"/>
      <c r="L786" s="8"/>
      <c r="M786" s="8"/>
      <c r="N786" s="8"/>
      <c r="O786" s="8"/>
      <c r="P786" s="8"/>
      <c r="Q786" s="8"/>
      <c r="R786" s="8"/>
      <c r="S786" s="8"/>
      <c r="T786" s="8"/>
      <c r="U786" s="8"/>
      <c r="V786" s="8"/>
      <c r="W786" s="8"/>
      <c r="X786" s="8"/>
      <c r="Y786" s="8"/>
      <c r="Z786" s="8"/>
      <c r="AA786" s="8"/>
    </row>
    <row r="787" spans="1:27" ht="19.75">
      <c r="A787" s="8"/>
      <c r="B787" s="7"/>
      <c r="C787" s="8"/>
      <c r="D787" s="8"/>
      <c r="E787" s="11"/>
      <c r="F787" s="8"/>
      <c r="G787" s="8"/>
      <c r="H787" s="8"/>
      <c r="I787" s="8"/>
      <c r="J787" s="8"/>
      <c r="K787" s="8"/>
      <c r="L787" s="8"/>
      <c r="M787" s="8"/>
      <c r="N787" s="8"/>
      <c r="O787" s="8"/>
      <c r="P787" s="8"/>
      <c r="Q787" s="8"/>
      <c r="R787" s="8"/>
      <c r="S787" s="8"/>
      <c r="T787" s="8"/>
      <c r="U787" s="8"/>
      <c r="V787" s="8"/>
      <c r="W787" s="8"/>
      <c r="X787" s="8"/>
      <c r="Y787" s="8"/>
      <c r="Z787" s="8"/>
      <c r="AA787" s="8"/>
    </row>
    <row r="788" spans="1:27" ht="19.75">
      <c r="A788" s="8"/>
      <c r="B788" s="7"/>
      <c r="C788" s="8"/>
      <c r="D788" s="8"/>
      <c r="E788" s="11"/>
      <c r="F788" s="8"/>
      <c r="G788" s="8"/>
      <c r="H788" s="8"/>
      <c r="I788" s="8"/>
      <c r="J788" s="8"/>
      <c r="K788" s="8"/>
      <c r="L788" s="8"/>
      <c r="M788" s="8"/>
      <c r="N788" s="8"/>
      <c r="O788" s="8"/>
      <c r="P788" s="8"/>
      <c r="Q788" s="8"/>
      <c r="R788" s="8"/>
      <c r="S788" s="8"/>
      <c r="T788" s="8"/>
      <c r="U788" s="8"/>
      <c r="V788" s="8"/>
      <c r="W788" s="8"/>
      <c r="X788" s="8"/>
      <c r="Y788" s="8"/>
      <c r="Z788" s="8"/>
      <c r="AA788" s="8"/>
    </row>
    <row r="789" spans="1:27" ht="19.75">
      <c r="A789" s="8"/>
      <c r="B789" s="7"/>
      <c r="C789" s="8"/>
      <c r="D789" s="8"/>
      <c r="E789" s="11"/>
      <c r="F789" s="8"/>
      <c r="G789" s="8"/>
      <c r="H789" s="8"/>
      <c r="I789" s="8"/>
      <c r="J789" s="8"/>
      <c r="K789" s="8"/>
      <c r="L789" s="8"/>
      <c r="M789" s="8"/>
      <c r="N789" s="8"/>
      <c r="O789" s="8"/>
      <c r="P789" s="8"/>
      <c r="Q789" s="8"/>
      <c r="R789" s="8"/>
      <c r="S789" s="8"/>
      <c r="T789" s="8"/>
      <c r="U789" s="8"/>
      <c r="V789" s="8"/>
      <c r="W789" s="8"/>
      <c r="X789" s="8"/>
      <c r="Y789" s="8"/>
      <c r="Z789" s="8"/>
      <c r="AA789" s="8"/>
    </row>
    <row r="790" spans="1:27" ht="19.75">
      <c r="A790" s="8"/>
      <c r="B790" s="7"/>
      <c r="C790" s="8"/>
      <c r="D790" s="8"/>
      <c r="E790" s="11"/>
      <c r="F790" s="8"/>
      <c r="G790" s="8"/>
      <c r="H790" s="8"/>
      <c r="I790" s="8"/>
      <c r="J790" s="8"/>
      <c r="K790" s="8"/>
      <c r="L790" s="8"/>
      <c r="M790" s="8"/>
      <c r="N790" s="8"/>
      <c r="O790" s="8"/>
      <c r="P790" s="8"/>
      <c r="Q790" s="8"/>
      <c r="R790" s="8"/>
      <c r="S790" s="8"/>
      <c r="T790" s="8"/>
      <c r="U790" s="8"/>
      <c r="V790" s="8"/>
      <c r="W790" s="8"/>
      <c r="X790" s="8"/>
      <c r="Y790" s="8"/>
      <c r="Z790" s="8"/>
      <c r="AA790" s="8"/>
    </row>
    <row r="791" spans="1:27" ht="19.75">
      <c r="A791" s="8"/>
      <c r="B791" s="7"/>
      <c r="C791" s="8"/>
      <c r="D791" s="8"/>
      <c r="E791" s="11"/>
      <c r="F791" s="8"/>
      <c r="G791" s="8"/>
      <c r="H791" s="8"/>
      <c r="I791" s="8"/>
      <c r="J791" s="8"/>
      <c r="K791" s="8"/>
      <c r="L791" s="8"/>
      <c r="M791" s="8"/>
      <c r="N791" s="8"/>
      <c r="O791" s="8"/>
      <c r="P791" s="8"/>
      <c r="Q791" s="8"/>
      <c r="R791" s="8"/>
      <c r="S791" s="8"/>
      <c r="T791" s="8"/>
      <c r="U791" s="8"/>
      <c r="V791" s="8"/>
      <c r="W791" s="8"/>
      <c r="X791" s="8"/>
      <c r="Y791" s="8"/>
      <c r="Z791" s="8"/>
      <c r="AA791" s="8"/>
    </row>
    <row r="792" spans="1:27" ht="19.75">
      <c r="A792" s="8"/>
      <c r="B792" s="7"/>
      <c r="C792" s="8"/>
      <c r="D792" s="8"/>
      <c r="E792" s="11"/>
      <c r="F792" s="8"/>
      <c r="G792" s="8"/>
      <c r="H792" s="8"/>
      <c r="I792" s="8"/>
      <c r="J792" s="8"/>
      <c r="K792" s="8"/>
      <c r="L792" s="8"/>
      <c r="M792" s="8"/>
      <c r="N792" s="8"/>
      <c r="O792" s="8"/>
      <c r="P792" s="8"/>
      <c r="Q792" s="8"/>
      <c r="R792" s="8"/>
      <c r="S792" s="8"/>
      <c r="T792" s="8"/>
      <c r="U792" s="8"/>
      <c r="V792" s="8"/>
      <c r="W792" s="8"/>
      <c r="X792" s="8"/>
      <c r="Y792" s="8"/>
      <c r="Z792" s="8"/>
      <c r="AA792" s="8"/>
    </row>
    <row r="793" spans="1:27" ht="19.75">
      <c r="A793" s="8"/>
      <c r="B793" s="7"/>
      <c r="C793" s="8"/>
      <c r="D793" s="8"/>
      <c r="E793" s="11"/>
      <c r="F793" s="8"/>
      <c r="G793" s="8"/>
      <c r="H793" s="8"/>
      <c r="I793" s="8"/>
      <c r="J793" s="8"/>
      <c r="K793" s="8"/>
      <c r="L793" s="8"/>
      <c r="M793" s="8"/>
      <c r="N793" s="8"/>
      <c r="O793" s="8"/>
      <c r="P793" s="8"/>
      <c r="Q793" s="8"/>
      <c r="R793" s="8"/>
      <c r="S793" s="8"/>
      <c r="T793" s="8"/>
      <c r="U793" s="8"/>
      <c r="V793" s="8"/>
      <c r="W793" s="8"/>
      <c r="X793" s="8"/>
      <c r="Y793" s="8"/>
      <c r="Z793" s="8"/>
      <c r="AA793" s="8"/>
    </row>
    <row r="794" spans="1:27" ht="19.75">
      <c r="A794" s="8"/>
      <c r="B794" s="7"/>
      <c r="C794" s="8"/>
      <c r="D794" s="8"/>
      <c r="E794" s="11"/>
      <c r="F794" s="8"/>
      <c r="G794" s="8"/>
      <c r="H794" s="8"/>
      <c r="I794" s="8"/>
      <c r="J794" s="8"/>
      <c r="K794" s="8"/>
      <c r="L794" s="8"/>
      <c r="M794" s="8"/>
      <c r="N794" s="8"/>
      <c r="O794" s="8"/>
      <c r="P794" s="8"/>
      <c r="Q794" s="8"/>
      <c r="R794" s="8"/>
      <c r="S794" s="8"/>
      <c r="T794" s="8"/>
      <c r="U794" s="8"/>
      <c r="V794" s="8"/>
      <c r="W794" s="8"/>
      <c r="X794" s="8"/>
      <c r="Y794" s="8"/>
      <c r="Z794" s="8"/>
      <c r="AA794" s="8"/>
    </row>
    <row r="795" spans="1:27" ht="19.75">
      <c r="A795" s="8"/>
      <c r="B795" s="7"/>
      <c r="C795" s="8"/>
      <c r="D795" s="8"/>
      <c r="E795" s="11"/>
      <c r="F795" s="8"/>
      <c r="G795" s="8"/>
      <c r="H795" s="8"/>
      <c r="I795" s="8"/>
      <c r="J795" s="8"/>
      <c r="K795" s="8"/>
      <c r="L795" s="8"/>
      <c r="M795" s="8"/>
      <c r="N795" s="8"/>
      <c r="O795" s="8"/>
      <c r="P795" s="8"/>
      <c r="Q795" s="8"/>
      <c r="R795" s="8"/>
      <c r="S795" s="8"/>
      <c r="T795" s="8"/>
      <c r="U795" s="8"/>
      <c r="V795" s="8"/>
      <c r="W795" s="8"/>
      <c r="X795" s="8"/>
      <c r="Y795" s="8"/>
      <c r="Z795" s="8"/>
      <c r="AA795" s="8"/>
    </row>
    <row r="796" spans="1:27" ht="19.75">
      <c r="A796" s="8"/>
      <c r="B796" s="7"/>
      <c r="C796" s="8"/>
      <c r="D796" s="8"/>
      <c r="E796" s="11"/>
      <c r="F796" s="8"/>
      <c r="G796" s="8"/>
      <c r="H796" s="8"/>
      <c r="I796" s="8"/>
      <c r="J796" s="8"/>
      <c r="K796" s="8"/>
      <c r="L796" s="8"/>
      <c r="M796" s="8"/>
      <c r="N796" s="8"/>
      <c r="O796" s="8"/>
      <c r="P796" s="8"/>
      <c r="Q796" s="8"/>
      <c r="R796" s="8"/>
      <c r="S796" s="8"/>
      <c r="T796" s="8"/>
      <c r="U796" s="8"/>
      <c r="V796" s="8"/>
      <c r="W796" s="8"/>
      <c r="X796" s="8"/>
      <c r="Y796" s="8"/>
      <c r="Z796" s="8"/>
      <c r="AA796" s="8"/>
    </row>
    <row r="797" spans="1:27" ht="19.75">
      <c r="A797" s="8"/>
      <c r="B797" s="7"/>
      <c r="C797" s="8"/>
      <c r="D797" s="8"/>
      <c r="E797" s="11"/>
      <c r="F797" s="8"/>
      <c r="G797" s="8"/>
      <c r="H797" s="8"/>
      <c r="I797" s="8"/>
      <c r="J797" s="8"/>
      <c r="K797" s="8"/>
      <c r="L797" s="8"/>
      <c r="M797" s="8"/>
      <c r="N797" s="8"/>
      <c r="O797" s="8"/>
      <c r="P797" s="8"/>
      <c r="Q797" s="8"/>
      <c r="R797" s="8"/>
      <c r="S797" s="8"/>
      <c r="T797" s="8"/>
      <c r="U797" s="8"/>
      <c r="V797" s="8"/>
      <c r="W797" s="8"/>
      <c r="X797" s="8"/>
      <c r="Y797" s="8"/>
      <c r="Z797" s="8"/>
      <c r="AA797" s="8"/>
    </row>
    <row r="798" spans="1:27" ht="19.75">
      <c r="A798" s="8"/>
      <c r="B798" s="7"/>
      <c r="C798" s="8"/>
      <c r="D798" s="8"/>
      <c r="E798" s="11"/>
      <c r="F798" s="8"/>
      <c r="G798" s="8"/>
      <c r="H798" s="8"/>
      <c r="I798" s="8"/>
      <c r="J798" s="8"/>
      <c r="K798" s="8"/>
      <c r="L798" s="8"/>
      <c r="M798" s="8"/>
      <c r="N798" s="8"/>
      <c r="O798" s="8"/>
      <c r="P798" s="8"/>
      <c r="Q798" s="8"/>
      <c r="R798" s="8"/>
      <c r="S798" s="8"/>
      <c r="T798" s="8"/>
      <c r="U798" s="8"/>
      <c r="V798" s="8"/>
      <c r="W798" s="8"/>
      <c r="X798" s="8"/>
      <c r="Y798" s="8"/>
      <c r="Z798" s="8"/>
      <c r="AA798" s="8"/>
    </row>
    <row r="799" spans="1:27" ht="19.75">
      <c r="A799" s="8"/>
      <c r="B799" s="7"/>
      <c r="C799" s="8"/>
      <c r="D799" s="8"/>
      <c r="E799" s="11"/>
      <c r="F799" s="8"/>
      <c r="G799" s="8"/>
      <c r="H799" s="8"/>
      <c r="I799" s="8"/>
      <c r="J799" s="8"/>
      <c r="K799" s="8"/>
      <c r="L799" s="8"/>
      <c r="M799" s="8"/>
      <c r="N799" s="8"/>
      <c r="O799" s="8"/>
      <c r="P799" s="8"/>
      <c r="Q799" s="8"/>
      <c r="R799" s="8"/>
      <c r="S799" s="8"/>
      <c r="T799" s="8"/>
      <c r="U799" s="8"/>
      <c r="V799" s="8"/>
      <c r="W799" s="8"/>
      <c r="X799" s="8"/>
      <c r="Y799" s="8"/>
      <c r="Z799" s="8"/>
      <c r="AA799" s="8"/>
    </row>
    <row r="800" spans="1:27" ht="19.75">
      <c r="A800" s="8"/>
      <c r="B800" s="7"/>
      <c r="C800" s="8"/>
      <c r="D800" s="8"/>
      <c r="E800" s="11"/>
      <c r="F800" s="8"/>
      <c r="G800" s="8"/>
      <c r="H800" s="8"/>
      <c r="I800" s="8"/>
      <c r="J800" s="8"/>
      <c r="K800" s="8"/>
      <c r="L800" s="8"/>
      <c r="M800" s="8"/>
      <c r="N800" s="8"/>
      <c r="O800" s="8"/>
      <c r="P800" s="8"/>
      <c r="Q800" s="8"/>
      <c r="R800" s="8"/>
      <c r="S800" s="8"/>
      <c r="T800" s="8"/>
      <c r="U800" s="8"/>
      <c r="V800" s="8"/>
      <c r="W800" s="8"/>
      <c r="X800" s="8"/>
      <c r="Y800" s="8"/>
      <c r="Z800" s="8"/>
      <c r="AA800" s="8"/>
    </row>
    <row r="801" spans="1:27" ht="19.75">
      <c r="A801" s="8"/>
      <c r="B801" s="7"/>
      <c r="C801" s="8"/>
      <c r="D801" s="8"/>
      <c r="E801" s="11"/>
      <c r="F801" s="8"/>
      <c r="G801" s="8"/>
      <c r="H801" s="8"/>
      <c r="I801" s="8"/>
      <c r="J801" s="8"/>
      <c r="K801" s="8"/>
      <c r="L801" s="8"/>
      <c r="M801" s="8"/>
      <c r="N801" s="8"/>
      <c r="O801" s="8"/>
      <c r="P801" s="8"/>
      <c r="Q801" s="8"/>
      <c r="R801" s="8"/>
      <c r="S801" s="8"/>
      <c r="T801" s="8"/>
      <c r="U801" s="8"/>
      <c r="V801" s="8"/>
      <c r="W801" s="8"/>
      <c r="X801" s="8"/>
      <c r="Y801" s="8"/>
      <c r="Z801" s="8"/>
      <c r="AA801" s="8"/>
    </row>
    <row r="802" spans="1:27" ht="19.75">
      <c r="A802" s="8"/>
      <c r="B802" s="7"/>
      <c r="C802" s="8"/>
      <c r="D802" s="8"/>
      <c r="E802" s="11"/>
      <c r="F802" s="8"/>
      <c r="G802" s="8"/>
      <c r="H802" s="8"/>
      <c r="I802" s="8"/>
      <c r="J802" s="8"/>
      <c r="K802" s="8"/>
      <c r="L802" s="8"/>
      <c r="M802" s="8"/>
      <c r="N802" s="8"/>
      <c r="O802" s="8"/>
      <c r="P802" s="8"/>
      <c r="Q802" s="8"/>
      <c r="R802" s="8"/>
      <c r="S802" s="8"/>
      <c r="T802" s="8"/>
      <c r="U802" s="8"/>
      <c r="V802" s="8"/>
      <c r="W802" s="8"/>
      <c r="X802" s="8"/>
      <c r="Y802" s="8"/>
      <c r="Z802" s="8"/>
      <c r="AA802" s="8"/>
    </row>
    <row r="803" spans="1:27" ht="19.75">
      <c r="A803" s="8"/>
      <c r="B803" s="7"/>
      <c r="C803" s="8"/>
      <c r="D803" s="8"/>
      <c r="E803" s="11"/>
      <c r="F803" s="8"/>
      <c r="G803" s="8"/>
      <c r="H803" s="8"/>
      <c r="I803" s="8"/>
      <c r="J803" s="8"/>
      <c r="K803" s="8"/>
      <c r="L803" s="8"/>
      <c r="M803" s="8"/>
      <c r="N803" s="8"/>
      <c r="O803" s="8"/>
      <c r="P803" s="8"/>
      <c r="Q803" s="8"/>
      <c r="R803" s="8"/>
      <c r="S803" s="8"/>
      <c r="T803" s="8"/>
      <c r="U803" s="8"/>
      <c r="V803" s="8"/>
      <c r="W803" s="8"/>
      <c r="X803" s="8"/>
      <c r="Y803" s="8"/>
      <c r="Z803" s="8"/>
      <c r="AA803" s="8"/>
    </row>
    <row r="804" spans="1:27" ht="19.75">
      <c r="A804" s="8"/>
      <c r="B804" s="7"/>
      <c r="C804" s="8"/>
      <c r="D804" s="8"/>
      <c r="E804" s="11"/>
      <c r="F804" s="8"/>
      <c r="G804" s="8"/>
      <c r="H804" s="8"/>
      <c r="I804" s="8"/>
      <c r="J804" s="8"/>
      <c r="K804" s="8"/>
      <c r="L804" s="8"/>
      <c r="M804" s="8"/>
      <c r="N804" s="8"/>
      <c r="O804" s="8"/>
      <c r="P804" s="8"/>
      <c r="Q804" s="8"/>
      <c r="R804" s="8"/>
      <c r="S804" s="8"/>
      <c r="T804" s="8"/>
      <c r="U804" s="8"/>
      <c r="V804" s="8"/>
      <c r="W804" s="8"/>
      <c r="X804" s="8"/>
      <c r="Y804" s="8"/>
      <c r="Z804" s="8"/>
      <c r="AA804" s="8"/>
    </row>
    <row r="805" spans="1:27" ht="19.75">
      <c r="A805" s="8"/>
      <c r="B805" s="7"/>
      <c r="C805" s="8"/>
      <c r="D805" s="8"/>
      <c r="E805" s="11"/>
      <c r="F805" s="8"/>
      <c r="G805" s="8"/>
      <c r="H805" s="8"/>
      <c r="I805" s="8"/>
      <c r="J805" s="8"/>
      <c r="K805" s="8"/>
      <c r="L805" s="8"/>
      <c r="M805" s="8"/>
      <c r="N805" s="8"/>
      <c r="O805" s="8"/>
      <c r="P805" s="8"/>
      <c r="Q805" s="8"/>
      <c r="R805" s="8"/>
      <c r="S805" s="8"/>
      <c r="T805" s="8"/>
      <c r="U805" s="8"/>
      <c r="V805" s="8"/>
      <c r="W805" s="8"/>
      <c r="X805" s="8"/>
      <c r="Y805" s="8"/>
      <c r="Z805" s="8"/>
      <c r="AA805" s="8"/>
    </row>
    <row r="806" spans="1:27" ht="19.75">
      <c r="A806" s="8"/>
      <c r="B806" s="7"/>
      <c r="C806" s="8"/>
      <c r="D806" s="8"/>
      <c r="E806" s="11"/>
      <c r="F806" s="8"/>
      <c r="G806" s="8"/>
      <c r="H806" s="8"/>
      <c r="I806" s="8"/>
      <c r="J806" s="8"/>
      <c r="K806" s="8"/>
      <c r="L806" s="8"/>
      <c r="M806" s="8"/>
      <c r="N806" s="8"/>
      <c r="O806" s="8"/>
      <c r="P806" s="8"/>
      <c r="Q806" s="8"/>
      <c r="R806" s="8"/>
      <c r="S806" s="8"/>
      <c r="T806" s="8"/>
      <c r="U806" s="8"/>
      <c r="V806" s="8"/>
      <c r="W806" s="8"/>
      <c r="X806" s="8"/>
      <c r="Y806" s="8"/>
      <c r="Z806" s="8"/>
      <c r="AA806" s="8"/>
    </row>
    <row r="807" spans="1:27" ht="19.75">
      <c r="A807" s="8"/>
      <c r="B807" s="7"/>
      <c r="C807" s="8"/>
      <c r="D807" s="8"/>
      <c r="E807" s="11"/>
      <c r="F807" s="8"/>
      <c r="G807" s="8"/>
      <c r="H807" s="8"/>
      <c r="I807" s="8"/>
      <c r="J807" s="8"/>
      <c r="K807" s="8"/>
      <c r="L807" s="8"/>
      <c r="M807" s="8"/>
      <c r="N807" s="8"/>
      <c r="O807" s="8"/>
      <c r="P807" s="8"/>
      <c r="Q807" s="8"/>
      <c r="R807" s="8"/>
      <c r="S807" s="8"/>
      <c r="T807" s="8"/>
      <c r="U807" s="8"/>
      <c r="V807" s="8"/>
      <c r="W807" s="8"/>
      <c r="X807" s="8"/>
      <c r="Y807" s="8"/>
      <c r="Z807" s="8"/>
      <c r="AA807" s="8"/>
    </row>
    <row r="808" spans="1:27" ht="19.75">
      <c r="A808" s="8"/>
      <c r="B808" s="7"/>
      <c r="C808" s="8"/>
      <c r="D808" s="8"/>
      <c r="E808" s="11"/>
      <c r="F808" s="8"/>
      <c r="G808" s="8"/>
      <c r="H808" s="8"/>
      <c r="I808" s="8"/>
      <c r="J808" s="8"/>
      <c r="K808" s="8"/>
      <c r="L808" s="8"/>
      <c r="M808" s="8"/>
      <c r="N808" s="8"/>
      <c r="O808" s="8"/>
      <c r="P808" s="8"/>
      <c r="Q808" s="8"/>
      <c r="R808" s="8"/>
      <c r="S808" s="8"/>
      <c r="T808" s="8"/>
      <c r="U808" s="8"/>
      <c r="V808" s="8"/>
      <c r="W808" s="8"/>
      <c r="X808" s="8"/>
      <c r="Y808" s="8"/>
      <c r="Z808" s="8"/>
      <c r="AA808" s="8"/>
    </row>
    <row r="809" spans="1:27" ht="19.75">
      <c r="A809" s="8"/>
      <c r="B809" s="7"/>
      <c r="C809" s="8"/>
      <c r="D809" s="8"/>
      <c r="E809" s="11"/>
      <c r="F809" s="8"/>
      <c r="G809" s="8"/>
      <c r="H809" s="8"/>
      <c r="I809" s="8"/>
      <c r="J809" s="8"/>
      <c r="K809" s="8"/>
      <c r="L809" s="8"/>
      <c r="M809" s="8"/>
      <c r="N809" s="8"/>
      <c r="O809" s="8"/>
      <c r="P809" s="8"/>
      <c r="Q809" s="8"/>
      <c r="R809" s="8"/>
      <c r="S809" s="8"/>
      <c r="T809" s="8"/>
      <c r="U809" s="8"/>
      <c r="V809" s="8"/>
      <c r="W809" s="8"/>
      <c r="X809" s="8"/>
      <c r="Y809" s="8"/>
      <c r="Z809" s="8"/>
      <c r="AA809" s="8"/>
    </row>
    <row r="810" spans="1:27" ht="19.75">
      <c r="A810" s="8"/>
      <c r="B810" s="7"/>
      <c r="C810" s="8"/>
      <c r="D810" s="8"/>
      <c r="E810" s="11"/>
      <c r="F810" s="8"/>
      <c r="G810" s="8"/>
      <c r="H810" s="8"/>
      <c r="I810" s="8"/>
      <c r="J810" s="8"/>
      <c r="K810" s="8"/>
      <c r="L810" s="8"/>
      <c r="M810" s="8"/>
      <c r="N810" s="8"/>
      <c r="O810" s="8"/>
      <c r="P810" s="8"/>
      <c r="Q810" s="8"/>
      <c r="R810" s="8"/>
      <c r="S810" s="8"/>
      <c r="T810" s="8"/>
      <c r="U810" s="8"/>
      <c r="V810" s="8"/>
      <c r="W810" s="8"/>
      <c r="X810" s="8"/>
      <c r="Y810" s="8"/>
      <c r="Z810" s="8"/>
      <c r="AA810" s="8"/>
    </row>
    <row r="811" spans="1:27" ht="19.75">
      <c r="A811" s="8"/>
      <c r="B811" s="7"/>
      <c r="C811" s="8"/>
      <c r="D811" s="8"/>
      <c r="E811" s="11"/>
      <c r="F811" s="8"/>
      <c r="G811" s="8"/>
      <c r="H811" s="8"/>
      <c r="I811" s="8"/>
      <c r="J811" s="8"/>
      <c r="K811" s="8"/>
      <c r="L811" s="8"/>
      <c r="M811" s="8"/>
      <c r="N811" s="8"/>
      <c r="O811" s="8"/>
      <c r="P811" s="8"/>
      <c r="Q811" s="8"/>
      <c r="R811" s="8"/>
      <c r="S811" s="8"/>
      <c r="T811" s="8"/>
      <c r="U811" s="8"/>
      <c r="V811" s="8"/>
      <c r="W811" s="8"/>
      <c r="X811" s="8"/>
      <c r="Y811" s="8"/>
      <c r="Z811" s="8"/>
      <c r="AA811" s="8"/>
    </row>
    <row r="812" spans="1:27" ht="19.75">
      <c r="A812" s="8"/>
      <c r="B812" s="7"/>
      <c r="C812" s="8"/>
      <c r="D812" s="8"/>
      <c r="E812" s="11"/>
      <c r="F812" s="8"/>
      <c r="G812" s="8"/>
      <c r="H812" s="8"/>
      <c r="I812" s="8"/>
      <c r="J812" s="8"/>
      <c r="K812" s="8"/>
      <c r="L812" s="8"/>
      <c r="M812" s="8"/>
      <c r="N812" s="8"/>
      <c r="O812" s="8"/>
      <c r="P812" s="8"/>
      <c r="Q812" s="8"/>
      <c r="R812" s="8"/>
      <c r="S812" s="8"/>
      <c r="T812" s="8"/>
      <c r="U812" s="8"/>
      <c r="V812" s="8"/>
      <c r="W812" s="8"/>
      <c r="X812" s="8"/>
      <c r="Y812" s="8"/>
      <c r="Z812" s="8"/>
      <c r="AA812" s="8"/>
    </row>
    <row r="813" spans="1:27" ht="19.75">
      <c r="A813" s="8"/>
      <c r="B813" s="7"/>
      <c r="C813" s="8"/>
      <c r="D813" s="8"/>
      <c r="E813" s="11"/>
      <c r="F813" s="8"/>
      <c r="G813" s="8"/>
      <c r="H813" s="8"/>
      <c r="I813" s="8"/>
      <c r="J813" s="8"/>
      <c r="K813" s="8"/>
      <c r="L813" s="8"/>
      <c r="M813" s="8"/>
      <c r="N813" s="8"/>
      <c r="O813" s="8"/>
      <c r="P813" s="8"/>
      <c r="Q813" s="8"/>
      <c r="R813" s="8"/>
      <c r="S813" s="8"/>
      <c r="T813" s="8"/>
      <c r="U813" s="8"/>
      <c r="V813" s="8"/>
      <c r="W813" s="8"/>
      <c r="X813" s="8"/>
      <c r="Y813" s="8"/>
      <c r="Z813" s="8"/>
      <c r="AA813" s="8"/>
    </row>
    <row r="814" spans="1:27" ht="19.75">
      <c r="A814" s="8"/>
      <c r="B814" s="7"/>
      <c r="C814" s="8"/>
      <c r="D814" s="8"/>
      <c r="E814" s="11"/>
      <c r="F814" s="8"/>
      <c r="G814" s="8"/>
      <c r="H814" s="8"/>
      <c r="I814" s="8"/>
      <c r="J814" s="8"/>
      <c r="K814" s="8"/>
      <c r="L814" s="8"/>
      <c r="M814" s="8"/>
      <c r="N814" s="8"/>
      <c r="O814" s="8"/>
      <c r="P814" s="8"/>
      <c r="Q814" s="8"/>
      <c r="R814" s="8"/>
      <c r="S814" s="8"/>
      <c r="T814" s="8"/>
      <c r="U814" s="8"/>
      <c r="V814" s="8"/>
      <c r="W814" s="8"/>
      <c r="X814" s="8"/>
      <c r="Y814" s="8"/>
      <c r="Z814" s="8"/>
      <c r="AA814" s="8"/>
    </row>
    <row r="815" spans="1:27" ht="19.75">
      <c r="A815" s="8"/>
      <c r="B815" s="7"/>
      <c r="C815" s="8"/>
      <c r="D815" s="8"/>
      <c r="E815" s="11"/>
      <c r="F815" s="8"/>
      <c r="G815" s="8"/>
      <c r="H815" s="8"/>
      <c r="I815" s="8"/>
      <c r="J815" s="8"/>
      <c r="K815" s="8"/>
      <c r="L815" s="8"/>
      <c r="M815" s="8"/>
      <c r="N815" s="8"/>
      <c r="O815" s="8"/>
      <c r="P815" s="8"/>
      <c r="Q815" s="8"/>
      <c r="R815" s="8"/>
      <c r="S815" s="8"/>
      <c r="T815" s="8"/>
      <c r="U815" s="8"/>
      <c r="V815" s="8"/>
      <c r="W815" s="8"/>
      <c r="X815" s="8"/>
      <c r="Y815" s="8"/>
      <c r="Z815" s="8"/>
      <c r="AA815" s="8"/>
    </row>
    <row r="816" spans="1:27" ht="19.75">
      <c r="A816" s="8"/>
      <c r="B816" s="7"/>
      <c r="C816" s="8"/>
      <c r="D816" s="8"/>
      <c r="E816" s="11"/>
      <c r="F816" s="8"/>
      <c r="G816" s="8"/>
      <c r="H816" s="8"/>
      <c r="I816" s="8"/>
      <c r="J816" s="8"/>
      <c r="K816" s="8"/>
      <c r="L816" s="8"/>
      <c r="M816" s="8"/>
      <c r="N816" s="8"/>
      <c r="O816" s="8"/>
      <c r="P816" s="8"/>
      <c r="Q816" s="8"/>
      <c r="R816" s="8"/>
      <c r="S816" s="8"/>
      <c r="T816" s="8"/>
      <c r="U816" s="8"/>
      <c r="V816" s="8"/>
      <c r="W816" s="8"/>
      <c r="X816" s="8"/>
      <c r="Y816" s="8"/>
      <c r="Z816" s="8"/>
      <c r="AA816" s="8"/>
    </row>
    <row r="817" spans="1:27" ht="19.75">
      <c r="A817" s="8"/>
      <c r="B817" s="7"/>
      <c r="C817" s="8"/>
      <c r="D817" s="8"/>
      <c r="E817" s="11"/>
      <c r="F817" s="8"/>
      <c r="G817" s="8"/>
      <c r="H817" s="8"/>
      <c r="I817" s="8"/>
      <c r="J817" s="8"/>
      <c r="K817" s="8"/>
      <c r="L817" s="8"/>
      <c r="M817" s="8"/>
      <c r="N817" s="8"/>
      <c r="O817" s="8"/>
      <c r="P817" s="8"/>
      <c r="Q817" s="8"/>
      <c r="R817" s="8"/>
      <c r="S817" s="8"/>
      <c r="T817" s="8"/>
      <c r="U817" s="8"/>
      <c r="V817" s="8"/>
      <c r="W817" s="8"/>
      <c r="X817" s="8"/>
      <c r="Y817" s="8"/>
      <c r="Z817" s="8"/>
      <c r="AA817" s="8"/>
    </row>
    <row r="818" spans="1:27" ht="19.75">
      <c r="A818" s="8"/>
      <c r="B818" s="7"/>
      <c r="C818" s="8"/>
      <c r="D818" s="8"/>
      <c r="E818" s="11"/>
      <c r="F818" s="8"/>
      <c r="G818" s="8"/>
      <c r="H818" s="8"/>
      <c r="I818" s="8"/>
      <c r="J818" s="8"/>
      <c r="K818" s="8"/>
      <c r="L818" s="8"/>
      <c r="M818" s="8"/>
      <c r="N818" s="8"/>
      <c r="O818" s="8"/>
      <c r="P818" s="8"/>
      <c r="Q818" s="8"/>
      <c r="R818" s="8"/>
      <c r="S818" s="8"/>
      <c r="T818" s="8"/>
      <c r="U818" s="8"/>
      <c r="V818" s="8"/>
      <c r="W818" s="8"/>
      <c r="X818" s="8"/>
      <c r="Y818" s="8"/>
      <c r="Z818" s="8"/>
      <c r="AA818" s="8"/>
    </row>
    <row r="819" spans="1:27" ht="19.75">
      <c r="A819" s="8"/>
      <c r="B819" s="7"/>
      <c r="C819" s="8"/>
      <c r="D819" s="8"/>
      <c r="E819" s="11"/>
      <c r="F819" s="8"/>
      <c r="G819" s="8"/>
      <c r="H819" s="8"/>
      <c r="I819" s="8"/>
      <c r="J819" s="8"/>
      <c r="K819" s="8"/>
      <c r="L819" s="8"/>
      <c r="M819" s="8"/>
      <c r="N819" s="8"/>
      <c r="O819" s="8"/>
      <c r="P819" s="8"/>
      <c r="Q819" s="8"/>
      <c r="R819" s="8"/>
      <c r="S819" s="8"/>
      <c r="T819" s="8"/>
      <c r="U819" s="8"/>
      <c r="V819" s="8"/>
      <c r="W819" s="8"/>
      <c r="X819" s="8"/>
      <c r="Y819" s="8"/>
      <c r="Z819" s="8"/>
      <c r="AA819" s="8"/>
    </row>
    <row r="820" spans="1:27" ht="19.75">
      <c r="A820" s="8"/>
      <c r="B820" s="7"/>
      <c r="C820" s="8"/>
      <c r="D820" s="8"/>
      <c r="E820" s="11"/>
      <c r="F820" s="8"/>
      <c r="G820" s="8"/>
      <c r="H820" s="8"/>
      <c r="I820" s="8"/>
      <c r="J820" s="8"/>
      <c r="K820" s="8"/>
      <c r="L820" s="8"/>
      <c r="M820" s="8"/>
      <c r="N820" s="8"/>
      <c r="O820" s="8"/>
      <c r="P820" s="8"/>
      <c r="Q820" s="8"/>
      <c r="R820" s="8"/>
      <c r="S820" s="8"/>
      <c r="T820" s="8"/>
      <c r="U820" s="8"/>
      <c r="V820" s="8"/>
      <c r="W820" s="8"/>
      <c r="X820" s="8"/>
      <c r="Y820" s="8"/>
      <c r="Z820" s="8"/>
      <c r="AA820" s="8"/>
    </row>
    <row r="821" spans="1:27" ht="19.75">
      <c r="A821" s="8"/>
      <c r="B821" s="7"/>
      <c r="C821" s="8"/>
      <c r="D821" s="8"/>
      <c r="E821" s="11"/>
      <c r="F821" s="8"/>
      <c r="G821" s="8"/>
      <c r="H821" s="8"/>
      <c r="I821" s="8"/>
      <c r="J821" s="8"/>
      <c r="K821" s="8"/>
      <c r="L821" s="8"/>
      <c r="M821" s="8"/>
      <c r="N821" s="8"/>
      <c r="O821" s="8"/>
      <c r="P821" s="8"/>
      <c r="Q821" s="8"/>
      <c r="R821" s="8"/>
      <c r="S821" s="8"/>
      <c r="T821" s="8"/>
      <c r="U821" s="8"/>
      <c r="V821" s="8"/>
      <c r="W821" s="8"/>
      <c r="X821" s="8"/>
      <c r="Y821" s="8"/>
      <c r="Z821" s="8"/>
      <c r="AA821" s="8"/>
    </row>
    <row r="822" spans="1:27" ht="19.75">
      <c r="A822" s="8"/>
      <c r="B822" s="7"/>
      <c r="C822" s="8"/>
      <c r="D822" s="8"/>
      <c r="E822" s="11"/>
      <c r="F822" s="8"/>
      <c r="G822" s="8"/>
      <c r="H822" s="8"/>
      <c r="I822" s="8"/>
      <c r="J822" s="8"/>
      <c r="K822" s="8"/>
      <c r="L822" s="8"/>
      <c r="M822" s="8"/>
      <c r="N822" s="8"/>
      <c r="O822" s="8"/>
      <c r="P822" s="8"/>
      <c r="Q822" s="8"/>
      <c r="R822" s="8"/>
      <c r="S822" s="8"/>
      <c r="T822" s="8"/>
      <c r="U822" s="8"/>
      <c r="V822" s="8"/>
      <c r="W822" s="8"/>
      <c r="X822" s="8"/>
      <c r="Y822" s="8"/>
      <c r="Z822" s="8"/>
      <c r="AA822" s="8"/>
    </row>
    <row r="823" spans="1:27" ht="19.75">
      <c r="A823" s="8"/>
      <c r="B823" s="7"/>
      <c r="C823" s="8"/>
      <c r="D823" s="8"/>
      <c r="E823" s="11"/>
      <c r="F823" s="8"/>
      <c r="G823" s="8"/>
      <c r="H823" s="8"/>
      <c r="I823" s="8"/>
      <c r="J823" s="8"/>
      <c r="K823" s="8"/>
      <c r="L823" s="8"/>
      <c r="M823" s="8"/>
      <c r="N823" s="8"/>
      <c r="O823" s="8"/>
      <c r="P823" s="8"/>
      <c r="Q823" s="8"/>
      <c r="R823" s="8"/>
      <c r="S823" s="8"/>
      <c r="T823" s="8"/>
      <c r="U823" s="8"/>
      <c r="V823" s="8"/>
      <c r="W823" s="8"/>
      <c r="X823" s="8"/>
      <c r="Y823" s="8"/>
      <c r="Z823" s="8"/>
      <c r="AA823" s="8"/>
    </row>
    <row r="824" spans="1:27" ht="19.75">
      <c r="A824" s="8"/>
      <c r="B824" s="7"/>
      <c r="C824" s="8"/>
      <c r="D824" s="8"/>
      <c r="E824" s="11"/>
      <c r="F824" s="8"/>
      <c r="G824" s="8"/>
      <c r="H824" s="8"/>
      <c r="I824" s="8"/>
      <c r="J824" s="8"/>
      <c r="K824" s="8"/>
      <c r="L824" s="8"/>
      <c r="M824" s="8"/>
      <c r="N824" s="8"/>
      <c r="O824" s="8"/>
      <c r="P824" s="8"/>
      <c r="Q824" s="8"/>
      <c r="R824" s="8"/>
      <c r="S824" s="8"/>
      <c r="T824" s="8"/>
      <c r="U824" s="8"/>
      <c r="V824" s="8"/>
      <c r="W824" s="8"/>
      <c r="X824" s="8"/>
      <c r="Y824" s="8"/>
      <c r="Z824" s="8"/>
      <c r="AA824" s="8"/>
    </row>
    <row r="825" spans="1:27" ht="19.75">
      <c r="A825" s="8"/>
      <c r="B825" s="7"/>
      <c r="C825" s="8"/>
      <c r="D825" s="8"/>
      <c r="E825" s="11"/>
      <c r="F825" s="8"/>
      <c r="G825" s="8"/>
      <c r="H825" s="8"/>
      <c r="I825" s="8"/>
      <c r="J825" s="8"/>
      <c r="K825" s="8"/>
      <c r="L825" s="8"/>
      <c r="M825" s="8"/>
      <c r="N825" s="8"/>
      <c r="O825" s="8"/>
      <c r="P825" s="8"/>
      <c r="Q825" s="8"/>
      <c r="R825" s="8"/>
      <c r="S825" s="8"/>
      <c r="T825" s="8"/>
      <c r="U825" s="8"/>
      <c r="V825" s="8"/>
      <c r="W825" s="8"/>
      <c r="X825" s="8"/>
      <c r="Y825" s="8"/>
      <c r="Z825" s="8"/>
      <c r="AA825" s="8"/>
    </row>
    <row r="826" spans="1:27" ht="19.75">
      <c r="A826" s="8"/>
      <c r="B826" s="7"/>
      <c r="C826" s="8"/>
      <c r="D826" s="8"/>
      <c r="E826" s="11"/>
      <c r="F826" s="8"/>
      <c r="G826" s="8"/>
      <c r="H826" s="8"/>
      <c r="I826" s="8"/>
      <c r="J826" s="8"/>
      <c r="K826" s="8"/>
      <c r="L826" s="8"/>
      <c r="M826" s="8"/>
      <c r="N826" s="8"/>
      <c r="O826" s="8"/>
      <c r="P826" s="8"/>
      <c r="Q826" s="8"/>
      <c r="R826" s="8"/>
      <c r="S826" s="8"/>
      <c r="T826" s="8"/>
      <c r="U826" s="8"/>
      <c r="V826" s="8"/>
      <c r="W826" s="8"/>
      <c r="X826" s="8"/>
      <c r="Y826" s="8"/>
      <c r="Z826" s="8"/>
      <c r="AA826" s="8"/>
    </row>
    <row r="827" spans="1:27" ht="19.75">
      <c r="A827" s="8"/>
      <c r="B827" s="7"/>
      <c r="C827" s="8"/>
      <c r="D827" s="8"/>
      <c r="E827" s="11"/>
      <c r="F827" s="8"/>
      <c r="G827" s="8"/>
      <c r="H827" s="8"/>
      <c r="I827" s="8"/>
      <c r="J827" s="8"/>
      <c r="K827" s="8"/>
      <c r="L827" s="8"/>
      <c r="M827" s="8"/>
      <c r="N827" s="8"/>
      <c r="O827" s="8"/>
      <c r="P827" s="8"/>
      <c r="Q827" s="8"/>
      <c r="R827" s="8"/>
      <c r="S827" s="8"/>
      <c r="T827" s="8"/>
      <c r="U827" s="8"/>
      <c r="V827" s="8"/>
      <c r="W827" s="8"/>
      <c r="X827" s="8"/>
      <c r="Y827" s="8"/>
      <c r="Z827" s="8"/>
      <c r="AA827" s="8"/>
    </row>
    <row r="828" spans="1:27" ht="19.75">
      <c r="A828" s="8"/>
      <c r="B828" s="7"/>
      <c r="C828" s="8"/>
      <c r="D828" s="8"/>
      <c r="E828" s="11"/>
      <c r="F828" s="8"/>
      <c r="G828" s="8"/>
      <c r="H828" s="8"/>
      <c r="I828" s="8"/>
      <c r="J828" s="8"/>
      <c r="K828" s="8"/>
      <c r="L828" s="8"/>
      <c r="M828" s="8"/>
      <c r="N828" s="8"/>
      <c r="O828" s="8"/>
      <c r="P828" s="8"/>
      <c r="Q828" s="8"/>
      <c r="R828" s="8"/>
      <c r="S828" s="8"/>
      <c r="T828" s="8"/>
      <c r="U828" s="8"/>
      <c r="V828" s="8"/>
      <c r="W828" s="8"/>
      <c r="X828" s="8"/>
      <c r="Y828" s="8"/>
      <c r="Z828" s="8"/>
      <c r="AA828" s="8"/>
    </row>
    <row r="829" spans="1:27" ht="19.75">
      <c r="A829" s="8"/>
      <c r="B829" s="7"/>
      <c r="C829" s="8"/>
      <c r="D829" s="8"/>
      <c r="E829" s="11"/>
      <c r="F829" s="8"/>
      <c r="G829" s="8"/>
      <c r="H829" s="8"/>
      <c r="I829" s="8"/>
      <c r="J829" s="8"/>
      <c r="K829" s="8"/>
      <c r="L829" s="8"/>
      <c r="M829" s="8"/>
      <c r="N829" s="8"/>
      <c r="O829" s="8"/>
      <c r="P829" s="8"/>
      <c r="Q829" s="8"/>
      <c r="R829" s="8"/>
      <c r="S829" s="8"/>
      <c r="T829" s="8"/>
      <c r="U829" s="8"/>
      <c r="V829" s="8"/>
      <c r="W829" s="8"/>
      <c r="X829" s="8"/>
      <c r="Y829" s="8"/>
      <c r="Z829" s="8"/>
      <c r="AA829" s="8"/>
    </row>
    <row r="830" spans="1:27" ht="19.75">
      <c r="A830" s="8"/>
      <c r="B830" s="7"/>
      <c r="C830" s="8"/>
      <c r="D830" s="8"/>
      <c r="E830" s="11"/>
      <c r="F830" s="8"/>
      <c r="G830" s="8"/>
      <c r="H830" s="8"/>
      <c r="I830" s="8"/>
      <c r="J830" s="8"/>
      <c r="K830" s="8"/>
      <c r="L830" s="8"/>
      <c r="M830" s="8"/>
      <c r="N830" s="8"/>
      <c r="O830" s="8"/>
      <c r="P830" s="8"/>
      <c r="Q830" s="8"/>
      <c r="R830" s="8"/>
      <c r="S830" s="8"/>
      <c r="T830" s="8"/>
      <c r="U830" s="8"/>
      <c r="V830" s="8"/>
      <c r="W830" s="8"/>
      <c r="X830" s="8"/>
      <c r="Y830" s="8"/>
      <c r="Z830" s="8"/>
      <c r="AA830" s="8"/>
    </row>
    <row r="831" spans="1:27" ht="19.75">
      <c r="A831" s="8"/>
      <c r="B831" s="7"/>
      <c r="C831" s="8"/>
      <c r="D831" s="8"/>
      <c r="E831" s="11"/>
      <c r="F831" s="8"/>
      <c r="G831" s="8"/>
      <c r="H831" s="8"/>
      <c r="I831" s="8"/>
      <c r="J831" s="8"/>
      <c r="K831" s="8"/>
      <c r="L831" s="8"/>
      <c r="M831" s="8"/>
      <c r="N831" s="8"/>
      <c r="O831" s="8"/>
      <c r="P831" s="8"/>
      <c r="Q831" s="8"/>
      <c r="R831" s="8"/>
      <c r="S831" s="8"/>
      <c r="T831" s="8"/>
      <c r="U831" s="8"/>
      <c r="V831" s="8"/>
      <c r="W831" s="8"/>
      <c r="X831" s="8"/>
      <c r="Y831" s="8"/>
      <c r="Z831" s="8"/>
      <c r="AA831" s="8"/>
    </row>
    <row r="832" spans="1:27" ht="19.75">
      <c r="A832" s="8"/>
      <c r="B832" s="7"/>
      <c r="C832" s="8"/>
      <c r="D832" s="8"/>
      <c r="E832" s="11"/>
      <c r="F832" s="8"/>
      <c r="G832" s="8"/>
      <c r="H832" s="8"/>
      <c r="I832" s="8"/>
      <c r="J832" s="8"/>
      <c r="K832" s="8"/>
      <c r="L832" s="8"/>
      <c r="M832" s="8"/>
      <c r="N832" s="8"/>
      <c r="O832" s="8"/>
      <c r="P832" s="8"/>
      <c r="Q832" s="8"/>
      <c r="R832" s="8"/>
      <c r="S832" s="8"/>
      <c r="T832" s="8"/>
      <c r="U832" s="8"/>
      <c r="V832" s="8"/>
      <c r="W832" s="8"/>
      <c r="X832" s="8"/>
      <c r="Y832" s="8"/>
      <c r="Z832" s="8"/>
      <c r="AA832" s="8"/>
    </row>
    <row r="833" spans="1:27" ht="19.75">
      <c r="A833" s="8"/>
      <c r="B833" s="7"/>
      <c r="C833" s="8"/>
      <c r="D833" s="8"/>
      <c r="E833" s="11"/>
      <c r="F833" s="8"/>
      <c r="G833" s="8"/>
      <c r="H833" s="8"/>
      <c r="I833" s="8"/>
      <c r="J833" s="8"/>
      <c r="K833" s="8"/>
      <c r="L833" s="8"/>
      <c r="M833" s="8"/>
      <c r="N833" s="8"/>
      <c r="O833" s="8"/>
      <c r="P833" s="8"/>
      <c r="Q833" s="8"/>
      <c r="R833" s="8"/>
      <c r="S833" s="8"/>
      <c r="T833" s="8"/>
      <c r="U833" s="8"/>
      <c r="V833" s="8"/>
      <c r="W833" s="8"/>
      <c r="X833" s="8"/>
      <c r="Y833" s="8"/>
      <c r="Z833" s="8"/>
      <c r="AA833" s="8"/>
    </row>
    <row r="834" spans="1:27" ht="19.75">
      <c r="A834" s="8"/>
      <c r="B834" s="7"/>
      <c r="C834" s="8"/>
      <c r="D834" s="8"/>
      <c r="E834" s="11"/>
      <c r="F834" s="8"/>
      <c r="G834" s="8"/>
      <c r="H834" s="8"/>
      <c r="I834" s="8"/>
      <c r="J834" s="8"/>
      <c r="K834" s="8"/>
      <c r="L834" s="8"/>
      <c r="M834" s="8"/>
      <c r="N834" s="8"/>
      <c r="O834" s="8"/>
      <c r="P834" s="8"/>
      <c r="Q834" s="8"/>
      <c r="R834" s="8"/>
      <c r="S834" s="8"/>
      <c r="T834" s="8"/>
      <c r="U834" s="8"/>
      <c r="V834" s="8"/>
      <c r="W834" s="8"/>
      <c r="X834" s="8"/>
      <c r="Y834" s="8"/>
      <c r="Z834" s="8"/>
      <c r="AA834" s="8"/>
    </row>
    <row r="835" spans="1:27" ht="19.75">
      <c r="A835" s="8"/>
      <c r="B835" s="7"/>
      <c r="C835" s="8"/>
      <c r="D835" s="8"/>
      <c r="E835" s="11"/>
      <c r="F835" s="8"/>
      <c r="G835" s="8"/>
      <c r="H835" s="8"/>
      <c r="I835" s="8"/>
      <c r="J835" s="8"/>
      <c r="K835" s="8"/>
      <c r="L835" s="8"/>
      <c r="M835" s="8"/>
      <c r="N835" s="8"/>
      <c r="O835" s="8"/>
      <c r="P835" s="8"/>
      <c r="Q835" s="8"/>
      <c r="R835" s="8"/>
      <c r="S835" s="8"/>
      <c r="T835" s="8"/>
      <c r="U835" s="8"/>
      <c r="V835" s="8"/>
      <c r="W835" s="8"/>
      <c r="X835" s="8"/>
      <c r="Y835" s="8"/>
      <c r="Z835" s="8"/>
      <c r="AA835" s="8"/>
    </row>
    <row r="836" spans="1:27" ht="19.75">
      <c r="A836" s="8"/>
      <c r="B836" s="7"/>
      <c r="C836" s="8"/>
      <c r="D836" s="8"/>
      <c r="E836" s="11"/>
      <c r="F836" s="8"/>
      <c r="G836" s="8"/>
      <c r="H836" s="8"/>
      <c r="I836" s="8"/>
      <c r="J836" s="8"/>
      <c r="K836" s="8"/>
      <c r="L836" s="8"/>
      <c r="M836" s="8"/>
      <c r="N836" s="8"/>
      <c r="O836" s="8"/>
      <c r="P836" s="8"/>
      <c r="Q836" s="8"/>
      <c r="R836" s="8"/>
      <c r="S836" s="8"/>
      <c r="T836" s="8"/>
      <c r="U836" s="8"/>
      <c r="V836" s="8"/>
      <c r="W836" s="8"/>
      <c r="X836" s="8"/>
      <c r="Y836" s="8"/>
      <c r="Z836" s="8"/>
      <c r="AA836" s="8"/>
    </row>
    <row r="837" spans="1:27" ht="19.75">
      <c r="A837" s="8"/>
      <c r="B837" s="7"/>
      <c r="C837" s="8"/>
      <c r="D837" s="8"/>
      <c r="E837" s="11"/>
      <c r="F837" s="8"/>
      <c r="G837" s="8"/>
      <c r="H837" s="8"/>
      <c r="I837" s="8"/>
      <c r="J837" s="8"/>
      <c r="K837" s="8"/>
      <c r="L837" s="8"/>
      <c r="M837" s="8"/>
      <c r="N837" s="8"/>
      <c r="O837" s="8"/>
      <c r="P837" s="8"/>
      <c r="Q837" s="8"/>
      <c r="R837" s="8"/>
      <c r="S837" s="8"/>
      <c r="T837" s="8"/>
      <c r="U837" s="8"/>
      <c r="V837" s="8"/>
      <c r="W837" s="8"/>
      <c r="X837" s="8"/>
      <c r="Y837" s="8"/>
      <c r="Z837" s="8"/>
      <c r="AA837" s="8"/>
    </row>
    <row r="838" spans="1:27" ht="19.75">
      <c r="A838" s="8"/>
      <c r="B838" s="7"/>
      <c r="C838" s="8"/>
      <c r="D838" s="8"/>
      <c r="E838" s="11"/>
      <c r="F838" s="8"/>
      <c r="G838" s="8"/>
      <c r="H838" s="8"/>
      <c r="I838" s="8"/>
      <c r="J838" s="8"/>
      <c r="K838" s="8"/>
      <c r="L838" s="8"/>
      <c r="M838" s="8"/>
      <c r="N838" s="8"/>
      <c r="O838" s="8"/>
      <c r="P838" s="8"/>
      <c r="Q838" s="8"/>
      <c r="R838" s="8"/>
      <c r="S838" s="8"/>
      <c r="T838" s="8"/>
      <c r="U838" s="8"/>
      <c r="V838" s="8"/>
      <c r="W838" s="8"/>
      <c r="X838" s="8"/>
      <c r="Y838" s="8"/>
      <c r="Z838" s="8"/>
      <c r="AA838" s="8"/>
    </row>
    <row r="839" spans="1:27" ht="19.75">
      <c r="A839" s="8"/>
      <c r="B839" s="7"/>
      <c r="C839" s="8"/>
      <c r="D839" s="8"/>
      <c r="E839" s="11"/>
      <c r="F839" s="8"/>
      <c r="G839" s="8"/>
      <c r="H839" s="8"/>
      <c r="I839" s="8"/>
      <c r="J839" s="8"/>
      <c r="K839" s="8"/>
      <c r="L839" s="8"/>
      <c r="M839" s="8"/>
      <c r="N839" s="8"/>
      <c r="O839" s="8"/>
      <c r="P839" s="8"/>
      <c r="Q839" s="8"/>
      <c r="R839" s="8"/>
      <c r="S839" s="8"/>
      <c r="T839" s="8"/>
      <c r="U839" s="8"/>
      <c r="V839" s="8"/>
      <c r="W839" s="8"/>
      <c r="X839" s="8"/>
      <c r="Y839" s="8"/>
      <c r="Z839" s="8"/>
      <c r="AA839" s="8"/>
    </row>
    <row r="840" spans="1:27" ht="19.75">
      <c r="A840" s="8"/>
      <c r="B840" s="7"/>
      <c r="C840" s="8"/>
      <c r="D840" s="8"/>
      <c r="E840" s="11"/>
      <c r="F840" s="8"/>
      <c r="G840" s="8"/>
      <c r="H840" s="8"/>
      <c r="I840" s="8"/>
      <c r="J840" s="8"/>
      <c r="K840" s="8"/>
      <c r="L840" s="8"/>
      <c r="M840" s="8"/>
      <c r="N840" s="8"/>
      <c r="O840" s="8"/>
      <c r="P840" s="8"/>
      <c r="Q840" s="8"/>
      <c r="R840" s="8"/>
      <c r="S840" s="8"/>
      <c r="T840" s="8"/>
      <c r="U840" s="8"/>
      <c r="V840" s="8"/>
      <c r="W840" s="8"/>
      <c r="X840" s="8"/>
      <c r="Y840" s="8"/>
      <c r="Z840" s="8"/>
      <c r="AA840" s="8"/>
    </row>
    <row r="841" spans="1:27" ht="19.75">
      <c r="A841" s="8"/>
      <c r="B841" s="7"/>
      <c r="C841" s="8"/>
      <c r="D841" s="8"/>
      <c r="E841" s="11"/>
      <c r="F841" s="8"/>
      <c r="G841" s="8"/>
      <c r="H841" s="8"/>
      <c r="I841" s="8"/>
      <c r="J841" s="8"/>
      <c r="K841" s="8"/>
      <c r="L841" s="8"/>
      <c r="M841" s="8"/>
      <c r="N841" s="8"/>
      <c r="O841" s="8"/>
      <c r="P841" s="8"/>
      <c r="Q841" s="8"/>
      <c r="R841" s="8"/>
      <c r="S841" s="8"/>
      <c r="T841" s="8"/>
      <c r="U841" s="8"/>
      <c r="V841" s="8"/>
      <c r="W841" s="8"/>
      <c r="X841" s="8"/>
      <c r="Y841" s="8"/>
      <c r="Z841" s="8"/>
      <c r="AA841" s="8"/>
    </row>
    <row r="842" spans="1:27" ht="19.75">
      <c r="A842" s="8"/>
      <c r="B842" s="7"/>
      <c r="C842" s="8"/>
      <c r="D842" s="8"/>
      <c r="E842" s="11"/>
      <c r="F842" s="8"/>
      <c r="G842" s="8"/>
      <c r="H842" s="8"/>
      <c r="I842" s="8"/>
      <c r="J842" s="8"/>
      <c r="K842" s="8"/>
      <c r="L842" s="8"/>
      <c r="M842" s="8"/>
      <c r="N842" s="8"/>
      <c r="O842" s="8"/>
      <c r="P842" s="8"/>
      <c r="Q842" s="8"/>
      <c r="R842" s="8"/>
      <c r="S842" s="8"/>
      <c r="T842" s="8"/>
      <c r="U842" s="8"/>
      <c r="V842" s="8"/>
      <c r="W842" s="8"/>
      <c r="X842" s="8"/>
      <c r="Y842" s="8"/>
      <c r="Z842" s="8"/>
      <c r="AA842" s="8"/>
    </row>
    <row r="843" spans="1:27" ht="19.75">
      <c r="A843" s="8"/>
      <c r="B843" s="7"/>
      <c r="C843" s="8"/>
      <c r="D843" s="8"/>
      <c r="E843" s="11"/>
      <c r="F843" s="8"/>
      <c r="G843" s="8"/>
      <c r="H843" s="8"/>
      <c r="I843" s="8"/>
      <c r="J843" s="8"/>
      <c r="K843" s="8"/>
      <c r="L843" s="8"/>
      <c r="M843" s="8"/>
      <c r="N843" s="8"/>
      <c r="O843" s="8"/>
      <c r="P843" s="8"/>
      <c r="Q843" s="8"/>
      <c r="R843" s="8"/>
      <c r="S843" s="8"/>
      <c r="T843" s="8"/>
      <c r="U843" s="8"/>
      <c r="V843" s="8"/>
      <c r="W843" s="8"/>
      <c r="X843" s="8"/>
      <c r="Y843" s="8"/>
      <c r="Z843" s="8"/>
      <c r="AA843" s="8"/>
    </row>
    <row r="844" spans="1:27" ht="19.75">
      <c r="A844" s="8"/>
      <c r="B844" s="7"/>
      <c r="C844" s="8"/>
      <c r="D844" s="8"/>
      <c r="E844" s="11"/>
      <c r="F844" s="8"/>
      <c r="G844" s="8"/>
      <c r="H844" s="8"/>
      <c r="I844" s="8"/>
      <c r="J844" s="8"/>
      <c r="K844" s="8"/>
      <c r="L844" s="8"/>
      <c r="M844" s="8"/>
      <c r="N844" s="8"/>
      <c r="O844" s="8"/>
      <c r="P844" s="8"/>
      <c r="Q844" s="8"/>
      <c r="R844" s="8"/>
      <c r="S844" s="8"/>
      <c r="T844" s="8"/>
      <c r="U844" s="8"/>
      <c r="V844" s="8"/>
      <c r="W844" s="8"/>
      <c r="X844" s="8"/>
      <c r="Y844" s="8"/>
      <c r="Z844" s="8"/>
      <c r="AA844" s="8"/>
    </row>
    <row r="845" spans="1:27" ht="19.75">
      <c r="A845" s="8"/>
      <c r="B845" s="7"/>
      <c r="C845" s="8"/>
      <c r="D845" s="8"/>
      <c r="E845" s="11"/>
      <c r="F845" s="8"/>
      <c r="G845" s="8"/>
      <c r="H845" s="8"/>
      <c r="I845" s="8"/>
      <c r="J845" s="8"/>
      <c r="K845" s="8"/>
      <c r="L845" s="8"/>
      <c r="M845" s="8"/>
      <c r="N845" s="8"/>
      <c r="O845" s="8"/>
      <c r="P845" s="8"/>
      <c r="Q845" s="8"/>
      <c r="R845" s="8"/>
      <c r="S845" s="8"/>
      <c r="T845" s="8"/>
      <c r="U845" s="8"/>
      <c r="V845" s="8"/>
      <c r="W845" s="8"/>
      <c r="X845" s="8"/>
      <c r="Y845" s="8"/>
      <c r="Z845" s="8"/>
      <c r="AA845" s="8"/>
    </row>
    <row r="846" spans="1:27" ht="19.75">
      <c r="A846" s="8"/>
      <c r="B846" s="7"/>
      <c r="C846" s="8"/>
      <c r="D846" s="8"/>
      <c r="E846" s="11"/>
      <c r="F846" s="8"/>
      <c r="G846" s="8"/>
      <c r="H846" s="8"/>
      <c r="I846" s="8"/>
      <c r="J846" s="8"/>
      <c r="K846" s="8"/>
      <c r="L846" s="8"/>
      <c r="M846" s="8"/>
      <c r="N846" s="8"/>
      <c r="O846" s="8"/>
      <c r="P846" s="8"/>
      <c r="Q846" s="8"/>
      <c r="R846" s="8"/>
      <c r="S846" s="8"/>
      <c r="T846" s="8"/>
      <c r="U846" s="8"/>
      <c r="V846" s="8"/>
      <c r="W846" s="8"/>
      <c r="X846" s="8"/>
      <c r="Y846" s="8"/>
      <c r="Z846" s="8"/>
      <c r="AA846" s="8"/>
    </row>
    <row r="847" spans="1:27" ht="19.75">
      <c r="A847" s="8"/>
      <c r="B847" s="7"/>
      <c r="C847" s="8"/>
      <c r="D847" s="8"/>
      <c r="E847" s="11"/>
      <c r="F847" s="8"/>
      <c r="G847" s="8"/>
      <c r="H847" s="8"/>
      <c r="I847" s="8"/>
      <c r="J847" s="8"/>
      <c r="K847" s="8"/>
      <c r="L847" s="8"/>
      <c r="M847" s="8"/>
      <c r="N847" s="8"/>
      <c r="O847" s="8"/>
      <c r="P847" s="8"/>
      <c r="Q847" s="8"/>
      <c r="R847" s="8"/>
      <c r="S847" s="8"/>
      <c r="T847" s="8"/>
      <c r="U847" s="8"/>
      <c r="V847" s="8"/>
      <c r="W847" s="8"/>
      <c r="X847" s="8"/>
      <c r="Y847" s="8"/>
      <c r="Z847" s="8"/>
      <c r="AA847" s="8"/>
    </row>
    <row r="848" spans="1:27" ht="19.75">
      <c r="A848" s="8"/>
      <c r="B848" s="7"/>
      <c r="C848" s="8"/>
      <c r="D848" s="8"/>
      <c r="E848" s="11"/>
      <c r="F848" s="8"/>
      <c r="G848" s="8"/>
      <c r="H848" s="8"/>
      <c r="I848" s="8"/>
      <c r="J848" s="8"/>
      <c r="K848" s="8"/>
      <c r="L848" s="8"/>
      <c r="M848" s="8"/>
      <c r="N848" s="8"/>
      <c r="O848" s="8"/>
      <c r="P848" s="8"/>
      <c r="Q848" s="8"/>
      <c r="R848" s="8"/>
      <c r="S848" s="8"/>
      <c r="T848" s="8"/>
      <c r="U848" s="8"/>
      <c r="V848" s="8"/>
      <c r="W848" s="8"/>
      <c r="X848" s="8"/>
      <c r="Y848" s="8"/>
      <c r="Z848" s="8"/>
      <c r="AA848" s="8"/>
    </row>
    <row r="849" spans="1:27" ht="19.75">
      <c r="A849" s="8"/>
      <c r="B849" s="7"/>
      <c r="C849" s="8"/>
      <c r="D849" s="8"/>
      <c r="E849" s="11"/>
      <c r="F849" s="8"/>
      <c r="G849" s="8"/>
      <c r="H849" s="8"/>
      <c r="I849" s="8"/>
      <c r="J849" s="8"/>
      <c r="K849" s="8"/>
      <c r="L849" s="8"/>
      <c r="M849" s="8"/>
      <c r="N849" s="8"/>
      <c r="O849" s="8"/>
      <c r="P849" s="8"/>
      <c r="Q849" s="8"/>
      <c r="R849" s="8"/>
      <c r="S849" s="8"/>
      <c r="T849" s="8"/>
      <c r="U849" s="8"/>
      <c r="V849" s="8"/>
      <c r="W849" s="8"/>
      <c r="X849" s="8"/>
      <c r="Y849" s="8"/>
      <c r="Z849" s="8"/>
      <c r="AA849" s="8"/>
    </row>
    <row r="850" spans="1:27" ht="19.75">
      <c r="A850" s="8"/>
      <c r="B850" s="7"/>
      <c r="C850" s="8"/>
      <c r="D850" s="8"/>
      <c r="E850" s="11"/>
      <c r="F850" s="8"/>
      <c r="G850" s="8"/>
      <c r="H850" s="8"/>
      <c r="I850" s="8"/>
      <c r="J850" s="8"/>
      <c r="K850" s="8"/>
      <c r="L850" s="8"/>
      <c r="M850" s="8"/>
      <c r="N850" s="8"/>
      <c r="O850" s="8"/>
      <c r="P850" s="8"/>
      <c r="Q850" s="8"/>
      <c r="R850" s="8"/>
      <c r="S850" s="8"/>
      <c r="T850" s="8"/>
      <c r="U850" s="8"/>
      <c r="V850" s="8"/>
      <c r="W850" s="8"/>
      <c r="X850" s="8"/>
      <c r="Y850" s="8"/>
      <c r="Z850" s="8"/>
      <c r="AA850" s="8"/>
    </row>
    <row r="851" spans="1:27" ht="19.75">
      <c r="A851" s="8"/>
      <c r="B851" s="7"/>
      <c r="C851" s="8"/>
      <c r="D851" s="8"/>
      <c r="E851" s="11"/>
      <c r="F851" s="8"/>
      <c r="G851" s="8"/>
      <c r="H851" s="8"/>
      <c r="I851" s="8"/>
      <c r="J851" s="8"/>
      <c r="K851" s="8"/>
      <c r="L851" s="8"/>
      <c r="M851" s="8"/>
      <c r="N851" s="8"/>
      <c r="O851" s="8"/>
      <c r="P851" s="8"/>
      <c r="Q851" s="8"/>
      <c r="R851" s="8"/>
      <c r="S851" s="8"/>
      <c r="T851" s="8"/>
      <c r="U851" s="8"/>
      <c r="V851" s="8"/>
      <c r="W851" s="8"/>
      <c r="X851" s="8"/>
      <c r="Y851" s="8"/>
      <c r="Z851" s="8"/>
      <c r="AA851" s="8"/>
    </row>
    <row r="852" spans="1:27" ht="19.75">
      <c r="A852" s="8"/>
      <c r="B852" s="7"/>
      <c r="C852" s="8"/>
      <c r="D852" s="8"/>
      <c r="E852" s="11"/>
      <c r="F852" s="8"/>
      <c r="G852" s="8"/>
      <c r="H852" s="8"/>
      <c r="I852" s="8"/>
      <c r="J852" s="8"/>
      <c r="K852" s="8"/>
      <c r="L852" s="8"/>
      <c r="M852" s="8"/>
      <c r="N852" s="8"/>
      <c r="O852" s="8"/>
      <c r="P852" s="8"/>
      <c r="Q852" s="8"/>
      <c r="R852" s="8"/>
      <c r="S852" s="8"/>
      <c r="T852" s="8"/>
      <c r="U852" s="8"/>
      <c r="V852" s="8"/>
      <c r="W852" s="8"/>
      <c r="X852" s="8"/>
      <c r="Y852" s="8"/>
      <c r="Z852" s="8"/>
      <c r="AA852" s="8"/>
    </row>
    <row r="853" spans="1:27" ht="19.75">
      <c r="A853" s="8"/>
      <c r="B853" s="7"/>
      <c r="C853" s="8"/>
      <c r="D853" s="8"/>
      <c r="E853" s="11"/>
      <c r="F853" s="8"/>
      <c r="G853" s="8"/>
      <c r="H853" s="8"/>
      <c r="I853" s="8"/>
      <c r="J853" s="8"/>
      <c r="K853" s="8"/>
      <c r="L853" s="8"/>
      <c r="M853" s="8"/>
      <c r="N853" s="8"/>
      <c r="O853" s="8"/>
      <c r="P853" s="8"/>
      <c r="Q853" s="8"/>
      <c r="R853" s="8"/>
      <c r="S853" s="8"/>
      <c r="T853" s="8"/>
      <c r="U853" s="8"/>
      <c r="V853" s="8"/>
      <c r="W853" s="8"/>
      <c r="X853" s="8"/>
      <c r="Y853" s="8"/>
      <c r="Z853" s="8"/>
      <c r="AA853" s="8"/>
    </row>
    <row r="854" spans="1:27" ht="19.75">
      <c r="A854" s="8"/>
      <c r="B854" s="7"/>
      <c r="C854" s="8"/>
      <c r="D854" s="8"/>
      <c r="E854" s="11"/>
      <c r="F854" s="8"/>
      <c r="G854" s="8"/>
      <c r="H854" s="8"/>
      <c r="I854" s="8"/>
      <c r="J854" s="8"/>
      <c r="K854" s="8"/>
      <c r="L854" s="8"/>
      <c r="M854" s="8"/>
      <c r="N854" s="8"/>
      <c r="O854" s="8"/>
      <c r="P854" s="8"/>
      <c r="Q854" s="8"/>
      <c r="R854" s="8"/>
      <c r="S854" s="8"/>
      <c r="T854" s="8"/>
      <c r="U854" s="8"/>
      <c r="V854" s="8"/>
      <c r="W854" s="8"/>
      <c r="X854" s="8"/>
      <c r="Y854" s="8"/>
      <c r="Z854" s="8"/>
      <c r="AA854" s="8"/>
    </row>
    <row r="855" spans="1:27" ht="19.75">
      <c r="A855" s="8"/>
      <c r="B855" s="7"/>
      <c r="C855" s="8"/>
      <c r="D855" s="8"/>
      <c r="E855" s="11"/>
      <c r="F855" s="8"/>
      <c r="G855" s="8"/>
      <c r="H855" s="8"/>
      <c r="I855" s="8"/>
      <c r="J855" s="8"/>
      <c r="K855" s="8"/>
      <c r="L855" s="8"/>
      <c r="M855" s="8"/>
      <c r="N855" s="8"/>
      <c r="O855" s="8"/>
      <c r="P855" s="8"/>
      <c r="Q855" s="8"/>
      <c r="R855" s="8"/>
      <c r="S855" s="8"/>
      <c r="T855" s="8"/>
      <c r="U855" s="8"/>
      <c r="V855" s="8"/>
      <c r="W855" s="8"/>
      <c r="X855" s="8"/>
      <c r="Y855" s="8"/>
      <c r="Z855" s="8"/>
      <c r="AA855" s="8"/>
    </row>
    <row r="856" spans="1:27" ht="19.75">
      <c r="A856" s="8"/>
      <c r="B856" s="7"/>
      <c r="C856" s="8"/>
      <c r="D856" s="8"/>
      <c r="E856" s="11"/>
      <c r="F856" s="8"/>
      <c r="G856" s="8"/>
      <c r="H856" s="8"/>
      <c r="I856" s="8"/>
      <c r="J856" s="8"/>
      <c r="K856" s="8"/>
      <c r="L856" s="8"/>
      <c r="M856" s="8"/>
      <c r="N856" s="8"/>
      <c r="O856" s="8"/>
      <c r="P856" s="8"/>
      <c r="Q856" s="8"/>
      <c r="R856" s="8"/>
      <c r="S856" s="8"/>
      <c r="T856" s="8"/>
      <c r="U856" s="8"/>
      <c r="V856" s="8"/>
      <c r="W856" s="8"/>
      <c r="X856" s="8"/>
      <c r="Y856" s="8"/>
      <c r="Z856" s="8"/>
      <c r="AA856" s="8"/>
    </row>
    <row r="857" spans="1:27" ht="19.75">
      <c r="A857" s="8"/>
      <c r="B857" s="7"/>
      <c r="C857" s="8"/>
      <c r="D857" s="8"/>
      <c r="E857" s="11"/>
      <c r="F857" s="8"/>
      <c r="G857" s="8"/>
      <c r="H857" s="8"/>
      <c r="I857" s="8"/>
      <c r="J857" s="8"/>
      <c r="K857" s="8"/>
      <c r="L857" s="8"/>
      <c r="M857" s="8"/>
      <c r="N857" s="8"/>
      <c r="O857" s="8"/>
      <c r="P857" s="8"/>
      <c r="Q857" s="8"/>
      <c r="R857" s="8"/>
      <c r="S857" s="8"/>
      <c r="T857" s="8"/>
      <c r="U857" s="8"/>
      <c r="V857" s="8"/>
      <c r="W857" s="8"/>
      <c r="X857" s="8"/>
      <c r="Y857" s="8"/>
      <c r="Z857" s="8"/>
      <c r="AA857" s="8"/>
    </row>
    <row r="858" spans="1:27" ht="19.75">
      <c r="A858" s="8"/>
      <c r="B858" s="7"/>
      <c r="C858" s="8"/>
      <c r="D858" s="8"/>
      <c r="E858" s="11"/>
      <c r="F858" s="8"/>
      <c r="G858" s="8"/>
      <c r="H858" s="8"/>
      <c r="I858" s="8"/>
      <c r="J858" s="8"/>
      <c r="K858" s="8"/>
      <c r="L858" s="8"/>
      <c r="M858" s="8"/>
      <c r="N858" s="8"/>
      <c r="O858" s="8"/>
      <c r="P858" s="8"/>
      <c r="Q858" s="8"/>
      <c r="R858" s="8"/>
      <c r="S858" s="8"/>
      <c r="T858" s="8"/>
      <c r="U858" s="8"/>
      <c r="V858" s="8"/>
      <c r="W858" s="8"/>
      <c r="X858" s="8"/>
      <c r="Y858" s="8"/>
      <c r="Z858" s="8"/>
      <c r="AA858" s="8"/>
    </row>
    <row r="859" spans="1:27" ht="19.75">
      <c r="A859" s="8"/>
      <c r="B859" s="7"/>
      <c r="C859" s="8"/>
      <c r="D859" s="8"/>
      <c r="E859" s="11"/>
      <c r="F859" s="8"/>
      <c r="G859" s="8"/>
      <c r="H859" s="8"/>
      <c r="I859" s="8"/>
      <c r="J859" s="8"/>
      <c r="K859" s="8"/>
      <c r="L859" s="8"/>
      <c r="M859" s="8"/>
      <c r="N859" s="8"/>
      <c r="O859" s="8"/>
      <c r="P859" s="8"/>
      <c r="Q859" s="8"/>
      <c r="R859" s="8"/>
      <c r="S859" s="8"/>
      <c r="T859" s="8"/>
      <c r="U859" s="8"/>
      <c r="V859" s="8"/>
      <c r="W859" s="8"/>
      <c r="X859" s="8"/>
      <c r="Y859" s="8"/>
      <c r="Z859" s="8"/>
      <c r="AA859" s="8"/>
    </row>
    <row r="860" spans="1:27" ht="19.75">
      <c r="A860" s="8"/>
      <c r="B860" s="7"/>
      <c r="C860" s="8"/>
      <c r="D860" s="8"/>
      <c r="E860" s="11"/>
      <c r="F860" s="8"/>
      <c r="G860" s="8"/>
      <c r="H860" s="8"/>
      <c r="I860" s="8"/>
      <c r="J860" s="8"/>
      <c r="K860" s="8"/>
      <c r="L860" s="8"/>
      <c r="M860" s="8"/>
      <c r="N860" s="8"/>
      <c r="O860" s="8"/>
      <c r="P860" s="8"/>
      <c r="Q860" s="8"/>
      <c r="R860" s="8"/>
      <c r="S860" s="8"/>
      <c r="T860" s="8"/>
      <c r="U860" s="8"/>
      <c r="V860" s="8"/>
      <c r="W860" s="8"/>
      <c r="X860" s="8"/>
      <c r="Y860" s="8"/>
      <c r="Z860" s="8"/>
      <c r="AA860" s="8"/>
    </row>
    <row r="861" spans="1:27" ht="19.75">
      <c r="A861" s="8"/>
      <c r="B861" s="7"/>
      <c r="C861" s="8"/>
      <c r="D861" s="8"/>
      <c r="E861" s="11"/>
      <c r="F861" s="8"/>
      <c r="G861" s="8"/>
      <c r="H861" s="8"/>
      <c r="I861" s="8"/>
      <c r="J861" s="8"/>
      <c r="K861" s="8"/>
      <c r="L861" s="8"/>
      <c r="M861" s="8"/>
      <c r="N861" s="8"/>
      <c r="O861" s="8"/>
      <c r="P861" s="8"/>
      <c r="Q861" s="8"/>
      <c r="R861" s="8"/>
      <c r="S861" s="8"/>
      <c r="T861" s="8"/>
      <c r="U861" s="8"/>
      <c r="V861" s="8"/>
      <c r="W861" s="8"/>
      <c r="X861" s="8"/>
      <c r="Y861" s="8"/>
      <c r="Z861" s="8"/>
      <c r="AA861" s="8"/>
    </row>
    <row r="862" spans="1:27" ht="19.75">
      <c r="A862" s="8"/>
      <c r="B862" s="7"/>
      <c r="C862" s="8"/>
      <c r="D862" s="8"/>
      <c r="E862" s="11"/>
      <c r="F862" s="8"/>
      <c r="G862" s="8"/>
      <c r="H862" s="8"/>
      <c r="I862" s="8"/>
      <c r="J862" s="8"/>
      <c r="K862" s="8"/>
      <c r="L862" s="8"/>
      <c r="M862" s="8"/>
      <c r="N862" s="8"/>
      <c r="O862" s="8"/>
      <c r="P862" s="8"/>
      <c r="Q862" s="8"/>
      <c r="R862" s="8"/>
      <c r="S862" s="8"/>
      <c r="T862" s="8"/>
      <c r="U862" s="8"/>
      <c r="V862" s="8"/>
      <c r="W862" s="8"/>
      <c r="X862" s="8"/>
      <c r="Y862" s="8"/>
      <c r="Z862" s="8"/>
      <c r="AA862" s="8"/>
    </row>
    <row r="863" spans="1:27" ht="19.75">
      <c r="A863" s="8"/>
      <c r="B863" s="7"/>
      <c r="C863" s="8"/>
      <c r="D863" s="8"/>
      <c r="E863" s="11"/>
      <c r="F863" s="8"/>
      <c r="G863" s="8"/>
      <c r="H863" s="8"/>
      <c r="I863" s="8"/>
      <c r="J863" s="8"/>
      <c r="K863" s="8"/>
      <c r="L863" s="8"/>
      <c r="M863" s="8"/>
      <c r="N863" s="8"/>
      <c r="O863" s="8"/>
      <c r="P863" s="8"/>
      <c r="Q863" s="8"/>
      <c r="R863" s="8"/>
      <c r="S863" s="8"/>
      <c r="T863" s="8"/>
      <c r="U863" s="8"/>
      <c r="V863" s="8"/>
      <c r="W863" s="8"/>
      <c r="X863" s="8"/>
      <c r="Y863" s="8"/>
      <c r="Z863" s="8"/>
      <c r="AA863" s="8"/>
    </row>
    <row r="864" spans="1:27" ht="19.75">
      <c r="A864" s="8"/>
      <c r="B864" s="7"/>
      <c r="C864" s="8"/>
      <c r="D864" s="8"/>
      <c r="E864" s="11"/>
      <c r="F864" s="8"/>
      <c r="G864" s="8"/>
      <c r="H864" s="8"/>
      <c r="I864" s="8"/>
      <c r="J864" s="8"/>
      <c r="K864" s="8"/>
      <c r="L864" s="8"/>
      <c r="M864" s="8"/>
      <c r="N864" s="8"/>
      <c r="O864" s="8"/>
      <c r="P864" s="8"/>
      <c r="Q864" s="8"/>
      <c r="R864" s="8"/>
      <c r="S864" s="8"/>
      <c r="T864" s="8"/>
      <c r="U864" s="8"/>
      <c r="V864" s="8"/>
      <c r="W864" s="8"/>
      <c r="X864" s="8"/>
      <c r="Y864" s="8"/>
      <c r="Z864" s="8"/>
      <c r="AA864" s="8"/>
    </row>
    <row r="865" spans="1:27" ht="19.75">
      <c r="A865" s="8"/>
      <c r="B865" s="7"/>
      <c r="C865" s="8"/>
      <c r="D865" s="8"/>
      <c r="E865" s="11"/>
      <c r="F865" s="8"/>
      <c r="G865" s="8"/>
      <c r="H865" s="8"/>
      <c r="I865" s="8"/>
      <c r="J865" s="8"/>
      <c r="K865" s="8"/>
      <c r="L865" s="8"/>
      <c r="M865" s="8"/>
      <c r="N865" s="8"/>
      <c r="O865" s="8"/>
      <c r="P865" s="8"/>
      <c r="Q865" s="8"/>
      <c r="R865" s="8"/>
      <c r="S865" s="8"/>
      <c r="T865" s="8"/>
      <c r="U865" s="8"/>
      <c r="V865" s="8"/>
      <c r="W865" s="8"/>
      <c r="X865" s="8"/>
      <c r="Y865" s="8"/>
      <c r="Z865" s="8"/>
      <c r="AA865" s="8"/>
    </row>
    <row r="866" spans="1:27" ht="19.75">
      <c r="A866" s="8"/>
      <c r="B866" s="7"/>
      <c r="C866" s="8"/>
      <c r="D866" s="8"/>
      <c r="E866" s="11"/>
      <c r="F866" s="8"/>
      <c r="G866" s="8"/>
      <c r="H866" s="8"/>
      <c r="I866" s="8"/>
      <c r="J866" s="8"/>
      <c r="K866" s="8"/>
      <c r="L866" s="8"/>
      <c r="M866" s="8"/>
      <c r="N866" s="8"/>
      <c r="O866" s="8"/>
      <c r="P866" s="8"/>
      <c r="Q866" s="8"/>
      <c r="R866" s="8"/>
      <c r="S866" s="8"/>
      <c r="T866" s="8"/>
      <c r="U866" s="8"/>
      <c r="V866" s="8"/>
      <c r="W866" s="8"/>
      <c r="X866" s="8"/>
      <c r="Y866" s="8"/>
      <c r="Z866" s="8"/>
      <c r="AA866" s="8"/>
    </row>
    <row r="867" spans="1:27" ht="19.75">
      <c r="A867" s="8"/>
      <c r="B867" s="7"/>
      <c r="C867" s="8"/>
      <c r="D867" s="8"/>
      <c r="E867" s="11"/>
      <c r="F867" s="8"/>
      <c r="G867" s="8"/>
      <c r="H867" s="8"/>
      <c r="I867" s="8"/>
      <c r="J867" s="8"/>
      <c r="K867" s="8"/>
      <c r="L867" s="8"/>
      <c r="M867" s="8"/>
      <c r="N867" s="8"/>
      <c r="O867" s="8"/>
      <c r="P867" s="8"/>
      <c r="Q867" s="8"/>
      <c r="R867" s="8"/>
      <c r="S867" s="8"/>
      <c r="T867" s="8"/>
      <c r="U867" s="8"/>
      <c r="V867" s="8"/>
      <c r="W867" s="8"/>
      <c r="X867" s="8"/>
      <c r="Y867" s="8"/>
      <c r="Z867" s="8"/>
      <c r="AA867" s="8"/>
    </row>
    <row r="868" spans="1:27" ht="19.75">
      <c r="A868" s="8"/>
      <c r="B868" s="7"/>
      <c r="C868" s="8"/>
      <c r="D868" s="8"/>
      <c r="E868" s="11"/>
      <c r="F868" s="8"/>
      <c r="G868" s="8"/>
      <c r="H868" s="8"/>
      <c r="I868" s="8"/>
      <c r="J868" s="8"/>
      <c r="K868" s="8"/>
      <c r="L868" s="8"/>
      <c r="M868" s="8"/>
      <c r="N868" s="8"/>
      <c r="O868" s="8"/>
      <c r="P868" s="8"/>
      <c r="Q868" s="8"/>
      <c r="R868" s="8"/>
      <c r="S868" s="8"/>
      <c r="T868" s="8"/>
      <c r="U868" s="8"/>
      <c r="V868" s="8"/>
      <c r="W868" s="8"/>
      <c r="X868" s="8"/>
      <c r="Y868" s="8"/>
      <c r="Z868" s="8"/>
      <c r="AA868" s="8"/>
    </row>
    <row r="869" spans="1:27" ht="19.75">
      <c r="A869" s="8"/>
      <c r="B869" s="7"/>
      <c r="C869" s="8"/>
      <c r="D869" s="8"/>
      <c r="E869" s="11"/>
      <c r="F869" s="8"/>
      <c r="G869" s="8"/>
      <c r="H869" s="8"/>
      <c r="I869" s="8"/>
      <c r="J869" s="8"/>
      <c r="K869" s="8"/>
      <c r="L869" s="8"/>
      <c r="M869" s="8"/>
      <c r="N869" s="8"/>
      <c r="O869" s="8"/>
      <c r="P869" s="8"/>
      <c r="Q869" s="8"/>
      <c r="R869" s="8"/>
      <c r="S869" s="8"/>
      <c r="T869" s="8"/>
      <c r="U869" s="8"/>
      <c r="V869" s="8"/>
      <c r="W869" s="8"/>
      <c r="X869" s="8"/>
      <c r="Y869" s="8"/>
      <c r="Z869" s="8"/>
      <c r="AA869" s="8"/>
    </row>
    <row r="870" spans="1:27" ht="19.75">
      <c r="A870" s="8"/>
      <c r="B870" s="7"/>
      <c r="C870" s="8"/>
      <c r="D870" s="8"/>
      <c r="E870" s="11"/>
      <c r="F870" s="8"/>
      <c r="G870" s="8"/>
      <c r="H870" s="8"/>
      <c r="I870" s="8"/>
      <c r="J870" s="8"/>
      <c r="K870" s="8"/>
      <c r="L870" s="8"/>
      <c r="M870" s="8"/>
      <c r="N870" s="8"/>
      <c r="O870" s="8"/>
      <c r="P870" s="8"/>
      <c r="Q870" s="8"/>
      <c r="R870" s="8"/>
      <c r="S870" s="8"/>
      <c r="T870" s="8"/>
      <c r="U870" s="8"/>
      <c r="V870" s="8"/>
      <c r="W870" s="8"/>
      <c r="X870" s="8"/>
      <c r="Y870" s="8"/>
      <c r="Z870" s="8"/>
      <c r="AA870" s="8"/>
    </row>
    <row r="871" spans="1:27" ht="19.75">
      <c r="A871" s="8"/>
      <c r="B871" s="7"/>
      <c r="C871" s="8"/>
      <c r="D871" s="8"/>
      <c r="E871" s="11"/>
      <c r="F871" s="8"/>
      <c r="G871" s="8"/>
      <c r="H871" s="8"/>
      <c r="I871" s="8"/>
      <c r="J871" s="8"/>
      <c r="K871" s="8"/>
      <c r="L871" s="8"/>
      <c r="M871" s="8"/>
      <c r="N871" s="8"/>
      <c r="O871" s="8"/>
      <c r="P871" s="8"/>
      <c r="Q871" s="8"/>
      <c r="R871" s="8"/>
      <c r="S871" s="8"/>
      <c r="T871" s="8"/>
      <c r="U871" s="8"/>
      <c r="V871" s="8"/>
      <c r="W871" s="8"/>
      <c r="X871" s="8"/>
      <c r="Y871" s="8"/>
      <c r="Z871" s="8"/>
      <c r="AA871" s="8"/>
    </row>
    <row r="872" spans="1:27" ht="19.75">
      <c r="A872" s="8"/>
      <c r="B872" s="7"/>
      <c r="C872" s="8"/>
      <c r="D872" s="8"/>
      <c r="E872" s="11"/>
      <c r="F872" s="8"/>
      <c r="G872" s="8"/>
      <c r="H872" s="8"/>
      <c r="I872" s="8"/>
      <c r="J872" s="8"/>
      <c r="K872" s="8"/>
      <c r="L872" s="8"/>
      <c r="M872" s="8"/>
      <c r="N872" s="8"/>
      <c r="O872" s="8"/>
      <c r="P872" s="8"/>
      <c r="Q872" s="8"/>
      <c r="R872" s="8"/>
      <c r="S872" s="8"/>
      <c r="T872" s="8"/>
      <c r="U872" s="8"/>
      <c r="V872" s="8"/>
      <c r="W872" s="8"/>
      <c r="X872" s="8"/>
      <c r="Y872" s="8"/>
      <c r="Z872" s="8"/>
      <c r="AA872" s="8"/>
    </row>
    <row r="873" spans="1:27" ht="19.75">
      <c r="A873" s="8"/>
      <c r="B873" s="7"/>
      <c r="C873" s="8"/>
      <c r="D873" s="8"/>
      <c r="E873" s="11"/>
      <c r="F873" s="8"/>
      <c r="G873" s="8"/>
      <c r="H873" s="8"/>
      <c r="I873" s="8"/>
      <c r="J873" s="8"/>
      <c r="K873" s="8"/>
      <c r="L873" s="8"/>
      <c r="M873" s="8"/>
      <c r="N873" s="8"/>
      <c r="O873" s="8"/>
      <c r="P873" s="8"/>
      <c r="Q873" s="8"/>
      <c r="R873" s="8"/>
      <c r="S873" s="8"/>
      <c r="T873" s="8"/>
      <c r="U873" s="8"/>
      <c r="V873" s="8"/>
      <c r="W873" s="8"/>
      <c r="X873" s="8"/>
      <c r="Y873" s="8"/>
      <c r="Z873" s="8"/>
      <c r="AA873" s="8"/>
    </row>
    <row r="874" spans="1:27" ht="19.75">
      <c r="A874" s="8"/>
      <c r="B874" s="7"/>
      <c r="C874" s="8"/>
      <c r="D874" s="8"/>
      <c r="E874" s="11"/>
      <c r="F874" s="8"/>
      <c r="G874" s="8"/>
      <c r="H874" s="8"/>
      <c r="I874" s="8"/>
      <c r="J874" s="8"/>
      <c r="K874" s="8"/>
      <c r="L874" s="8"/>
      <c r="M874" s="8"/>
      <c r="N874" s="8"/>
      <c r="O874" s="8"/>
      <c r="P874" s="8"/>
      <c r="Q874" s="8"/>
      <c r="R874" s="8"/>
      <c r="S874" s="8"/>
      <c r="T874" s="8"/>
      <c r="U874" s="8"/>
      <c r="V874" s="8"/>
      <c r="W874" s="8"/>
      <c r="X874" s="8"/>
      <c r="Y874" s="8"/>
      <c r="Z874" s="8"/>
      <c r="AA874" s="8"/>
    </row>
    <row r="875" spans="1:27" ht="19.75">
      <c r="A875" s="8"/>
      <c r="B875" s="7"/>
      <c r="C875" s="8"/>
      <c r="D875" s="8"/>
      <c r="E875" s="11"/>
      <c r="F875" s="8"/>
      <c r="G875" s="8"/>
      <c r="H875" s="8"/>
      <c r="I875" s="8"/>
      <c r="J875" s="8"/>
      <c r="K875" s="8"/>
      <c r="L875" s="8"/>
      <c r="M875" s="8"/>
      <c r="N875" s="8"/>
      <c r="O875" s="8"/>
      <c r="P875" s="8"/>
      <c r="Q875" s="8"/>
      <c r="R875" s="8"/>
      <c r="S875" s="8"/>
      <c r="T875" s="8"/>
      <c r="U875" s="8"/>
      <c r="V875" s="8"/>
      <c r="W875" s="8"/>
      <c r="X875" s="8"/>
      <c r="Y875" s="8"/>
      <c r="Z875" s="8"/>
      <c r="AA875" s="8"/>
    </row>
    <row r="876" spans="1:27" ht="19.75">
      <c r="A876" s="8"/>
      <c r="B876" s="7"/>
      <c r="C876" s="8"/>
      <c r="D876" s="8"/>
      <c r="E876" s="11"/>
      <c r="F876" s="8"/>
      <c r="G876" s="8"/>
      <c r="H876" s="8"/>
      <c r="I876" s="8"/>
      <c r="J876" s="8"/>
      <c r="K876" s="8"/>
      <c r="L876" s="8"/>
      <c r="M876" s="8"/>
      <c r="N876" s="8"/>
      <c r="O876" s="8"/>
      <c r="P876" s="8"/>
      <c r="Q876" s="8"/>
      <c r="R876" s="8"/>
      <c r="S876" s="8"/>
      <c r="T876" s="8"/>
      <c r="U876" s="8"/>
      <c r="V876" s="8"/>
      <c r="W876" s="8"/>
      <c r="X876" s="8"/>
      <c r="Y876" s="8"/>
      <c r="Z876" s="8"/>
      <c r="AA876" s="8"/>
    </row>
    <row r="877" spans="1:27" ht="19.75">
      <c r="A877" s="8"/>
      <c r="B877" s="7"/>
      <c r="C877" s="8"/>
      <c r="D877" s="8"/>
      <c r="E877" s="11"/>
      <c r="F877" s="8"/>
      <c r="G877" s="8"/>
      <c r="H877" s="8"/>
      <c r="I877" s="8"/>
      <c r="J877" s="8"/>
      <c r="K877" s="8"/>
      <c r="L877" s="8"/>
      <c r="M877" s="8"/>
      <c r="N877" s="8"/>
      <c r="O877" s="8"/>
      <c r="P877" s="8"/>
      <c r="Q877" s="8"/>
      <c r="R877" s="8"/>
      <c r="S877" s="8"/>
      <c r="T877" s="8"/>
      <c r="U877" s="8"/>
      <c r="V877" s="8"/>
      <c r="W877" s="8"/>
      <c r="X877" s="8"/>
      <c r="Y877" s="8"/>
      <c r="Z877" s="8"/>
      <c r="AA877" s="8"/>
    </row>
    <row r="878" spans="1:27" ht="19.75">
      <c r="A878" s="8"/>
      <c r="B878" s="7"/>
      <c r="C878" s="8"/>
      <c r="D878" s="8"/>
      <c r="E878" s="11"/>
      <c r="F878" s="8"/>
      <c r="G878" s="8"/>
      <c r="H878" s="8"/>
      <c r="I878" s="8"/>
      <c r="J878" s="8"/>
      <c r="K878" s="8"/>
      <c r="L878" s="8"/>
      <c r="M878" s="8"/>
      <c r="N878" s="8"/>
      <c r="O878" s="8"/>
      <c r="P878" s="8"/>
      <c r="Q878" s="8"/>
      <c r="R878" s="8"/>
      <c r="S878" s="8"/>
      <c r="T878" s="8"/>
      <c r="U878" s="8"/>
      <c r="V878" s="8"/>
      <c r="W878" s="8"/>
      <c r="X878" s="8"/>
      <c r="Y878" s="8"/>
      <c r="Z878" s="8"/>
      <c r="AA878" s="8"/>
    </row>
    <row r="879" spans="1:27" ht="19.75">
      <c r="A879" s="8"/>
      <c r="B879" s="7"/>
      <c r="C879" s="8"/>
      <c r="D879" s="8"/>
      <c r="E879" s="11"/>
      <c r="F879" s="8"/>
      <c r="G879" s="8"/>
      <c r="H879" s="8"/>
      <c r="I879" s="8"/>
      <c r="J879" s="8"/>
      <c r="K879" s="8"/>
      <c r="L879" s="8"/>
      <c r="M879" s="8"/>
      <c r="N879" s="8"/>
      <c r="O879" s="8"/>
      <c r="P879" s="8"/>
      <c r="Q879" s="8"/>
      <c r="R879" s="8"/>
      <c r="S879" s="8"/>
      <c r="T879" s="8"/>
      <c r="U879" s="8"/>
      <c r="V879" s="8"/>
      <c r="W879" s="8"/>
      <c r="X879" s="8"/>
      <c r="Y879" s="8"/>
      <c r="Z879" s="8"/>
      <c r="AA879" s="8"/>
    </row>
    <row r="880" spans="1:27" ht="19.75">
      <c r="A880" s="8"/>
      <c r="B880" s="7"/>
      <c r="C880" s="8"/>
      <c r="D880" s="8"/>
      <c r="E880" s="11"/>
      <c r="F880" s="8"/>
      <c r="G880" s="8"/>
      <c r="H880" s="8"/>
      <c r="I880" s="8"/>
      <c r="J880" s="8"/>
      <c r="K880" s="8"/>
      <c r="L880" s="8"/>
      <c r="M880" s="8"/>
      <c r="N880" s="8"/>
      <c r="O880" s="8"/>
      <c r="P880" s="8"/>
      <c r="Q880" s="8"/>
      <c r="R880" s="8"/>
      <c r="S880" s="8"/>
      <c r="T880" s="8"/>
      <c r="U880" s="8"/>
      <c r="V880" s="8"/>
      <c r="W880" s="8"/>
      <c r="X880" s="8"/>
      <c r="Y880" s="8"/>
      <c r="Z880" s="8"/>
      <c r="AA880" s="8"/>
    </row>
    <row r="881" spans="1:27" ht="19.75">
      <c r="A881" s="8"/>
      <c r="B881" s="7"/>
      <c r="C881" s="8"/>
      <c r="D881" s="8"/>
      <c r="E881" s="11"/>
      <c r="F881" s="8"/>
      <c r="G881" s="8"/>
      <c r="H881" s="8"/>
      <c r="I881" s="8"/>
      <c r="J881" s="8"/>
      <c r="K881" s="8"/>
      <c r="L881" s="8"/>
      <c r="M881" s="8"/>
      <c r="N881" s="8"/>
      <c r="O881" s="8"/>
      <c r="P881" s="8"/>
      <c r="Q881" s="8"/>
      <c r="R881" s="8"/>
      <c r="S881" s="8"/>
      <c r="T881" s="8"/>
      <c r="U881" s="8"/>
      <c r="V881" s="8"/>
      <c r="W881" s="8"/>
      <c r="X881" s="8"/>
      <c r="Y881" s="8"/>
      <c r="Z881" s="8"/>
      <c r="AA881" s="8"/>
    </row>
    <row r="882" spans="1:27" ht="19.75">
      <c r="A882" s="8"/>
      <c r="B882" s="7"/>
      <c r="C882" s="8"/>
      <c r="D882" s="8"/>
      <c r="E882" s="11"/>
      <c r="F882" s="8"/>
      <c r="G882" s="8"/>
      <c r="H882" s="8"/>
      <c r="I882" s="8"/>
      <c r="J882" s="8"/>
      <c r="K882" s="8"/>
      <c r="L882" s="8"/>
      <c r="M882" s="8"/>
      <c r="N882" s="8"/>
      <c r="O882" s="8"/>
      <c r="P882" s="8"/>
      <c r="Q882" s="8"/>
      <c r="R882" s="8"/>
      <c r="S882" s="8"/>
      <c r="T882" s="8"/>
      <c r="U882" s="8"/>
      <c r="V882" s="8"/>
      <c r="W882" s="8"/>
      <c r="X882" s="8"/>
      <c r="Y882" s="8"/>
      <c r="Z882" s="8"/>
      <c r="AA882" s="8"/>
    </row>
    <row r="883" spans="1:27" ht="19.75">
      <c r="A883" s="8"/>
      <c r="B883" s="7"/>
      <c r="C883" s="8"/>
      <c r="D883" s="8"/>
      <c r="E883" s="11"/>
      <c r="F883" s="8"/>
      <c r="G883" s="8"/>
      <c r="H883" s="8"/>
      <c r="I883" s="8"/>
      <c r="J883" s="8"/>
      <c r="K883" s="8"/>
      <c r="L883" s="8"/>
      <c r="M883" s="8"/>
      <c r="N883" s="8"/>
      <c r="O883" s="8"/>
      <c r="P883" s="8"/>
      <c r="Q883" s="8"/>
      <c r="R883" s="8"/>
      <c r="S883" s="8"/>
      <c r="T883" s="8"/>
      <c r="U883" s="8"/>
      <c r="V883" s="8"/>
      <c r="W883" s="8"/>
      <c r="X883" s="8"/>
      <c r="Y883" s="8"/>
      <c r="Z883" s="8"/>
      <c r="AA883" s="8"/>
    </row>
    <row r="884" spans="1:27" ht="19.75">
      <c r="A884" s="8"/>
      <c r="B884" s="7"/>
      <c r="C884" s="8"/>
      <c r="D884" s="8"/>
      <c r="E884" s="11"/>
      <c r="F884" s="8"/>
      <c r="G884" s="8"/>
      <c r="H884" s="8"/>
      <c r="I884" s="8"/>
      <c r="J884" s="8"/>
      <c r="K884" s="8"/>
      <c r="L884" s="8"/>
      <c r="M884" s="8"/>
      <c r="N884" s="8"/>
      <c r="O884" s="8"/>
      <c r="P884" s="8"/>
      <c r="Q884" s="8"/>
      <c r="R884" s="8"/>
      <c r="S884" s="8"/>
      <c r="T884" s="8"/>
      <c r="U884" s="8"/>
      <c r="V884" s="8"/>
      <c r="W884" s="8"/>
      <c r="X884" s="8"/>
      <c r="Y884" s="8"/>
      <c r="Z884" s="8"/>
      <c r="AA884" s="8"/>
    </row>
    <row r="885" spans="1:27" ht="19.75">
      <c r="A885" s="8"/>
      <c r="B885" s="7"/>
      <c r="C885" s="8"/>
      <c r="D885" s="8"/>
      <c r="E885" s="11"/>
      <c r="F885" s="8"/>
      <c r="G885" s="8"/>
      <c r="H885" s="8"/>
      <c r="I885" s="8"/>
      <c r="J885" s="8"/>
      <c r="K885" s="8"/>
      <c r="L885" s="8"/>
      <c r="M885" s="8"/>
      <c r="N885" s="8"/>
      <c r="O885" s="8"/>
      <c r="P885" s="8"/>
      <c r="Q885" s="8"/>
      <c r="R885" s="8"/>
      <c r="S885" s="8"/>
      <c r="T885" s="8"/>
      <c r="U885" s="8"/>
      <c r="V885" s="8"/>
      <c r="W885" s="8"/>
      <c r="X885" s="8"/>
      <c r="Y885" s="8"/>
      <c r="Z885" s="8"/>
      <c r="AA885" s="8"/>
    </row>
    <row r="886" spans="1:27" ht="19.75">
      <c r="A886" s="8"/>
      <c r="B886" s="7"/>
      <c r="C886" s="8"/>
      <c r="D886" s="8"/>
      <c r="E886" s="11"/>
      <c r="F886" s="8"/>
      <c r="G886" s="8"/>
      <c r="H886" s="8"/>
      <c r="I886" s="8"/>
      <c r="J886" s="8"/>
      <c r="K886" s="8"/>
      <c r="L886" s="8"/>
      <c r="M886" s="8"/>
      <c r="N886" s="8"/>
      <c r="O886" s="8"/>
      <c r="P886" s="8"/>
      <c r="Q886" s="8"/>
      <c r="R886" s="8"/>
      <c r="S886" s="8"/>
      <c r="T886" s="8"/>
      <c r="U886" s="8"/>
      <c r="V886" s="8"/>
      <c r="W886" s="8"/>
      <c r="X886" s="8"/>
      <c r="Y886" s="8"/>
      <c r="Z886" s="8"/>
      <c r="AA886" s="8"/>
    </row>
    <row r="887" spans="1:27" ht="19.75">
      <c r="A887" s="8"/>
      <c r="B887" s="7"/>
      <c r="C887" s="8"/>
      <c r="D887" s="8"/>
      <c r="E887" s="11"/>
      <c r="F887" s="8"/>
      <c r="G887" s="8"/>
      <c r="H887" s="8"/>
      <c r="I887" s="8"/>
      <c r="J887" s="8"/>
      <c r="K887" s="8"/>
      <c r="L887" s="8"/>
      <c r="M887" s="8"/>
      <c r="N887" s="8"/>
      <c r="O887" s="8"/>
      <c r="P887" s="8"/>
      <c r="Q887" s="8"/>
      <c r="R887" s="8"/>
      <c r="S887" s="8"/>
      <c r="T887" s="8"/>
      <c r="U887" s="8"/>
      <c r="V887" s="8"/>
      <c r="W887" s="8"/>
      <c r="X887" s="8"/>
      <c r="Y887" s="8"/>
      <c r="Z887" s="8"/>
      <c r="AA887" s="8"/>
    </row>
    <row r="888" spans="1:27" ht="19.75">
      <c r="A888" s="8"/>
      <c r="B888" s="7"/>
      <c r="C888" s="8"/>
      <c r="D888" s="8"/>
      <c r="E888" s="11"/>
      <c r="F888" s="8"/>
      <c r="G888" s="8"/>
      <c r="H888" s="8"/>
      <c r="I888" s="8"/>
      <c r="J888" s="8"/>
      <c r="K888" s="8"/>
      <c r="L888" s="8"/>
      <c r="M888" s="8"/>
      <c r="N888" s="8"/>
      <c r="O888" s="8"/>
      <c r="P888" s="8"/>
      <c r="Q888" s="8"/>
      <c r="R888" s="8"/>
      <c r="S888" s="8"/>
      <c r="T888" s="8"/>
      <c r="U888" s="8"/>
      <c r="V888" s="8"/>
      <c r="W888" s="8"/>
      <c r="X888" s="8"/>
      <c r="Y888" s="8"/>
      <c r="Z888" s="8"/>
      <c r="AA888" s="8"/>
    </row>
    <row r="889" spans="1:27" ht="19.75">
      <c r="A889" s="8"/>
      <c r="B889" s="7"/>
      <c r="C889" s="8"/>
      <c r="D889" s="8"/>
      <c r="E889" s="11"/>
      <c r="F889" s="8"/>
      <c r="G889" s="8"/>
      <c r="H889" s="8"/>
      <c r="I889" s="8"/>
      <c r="J889" s="8"/>
      <c r="K889" s="8"/>
      <c r="L889" s="8"/>
      <c r="M889" s="8"/>
      <c r="N889" s="8"/>
      <c r="O889" s="8"/>
      <c r="P889" s="8"/>
      <c r="Q889" s="8"/>
      <c r="R889" s="8"/>
      <c r="S889" s="8"/>
      <c r="T889" s="8"/>
      <c r="U889" s="8"/>
      <c r="V889" s="8"/>
      <c r="W889" s="8"/>
      <c r="X889" s="8"/>
      <c r="Y889" s="8"/>
      <c r="Z889" s="8"/>
      <c r="AA889" s="8"/>
    </row>
    <row r="890" spans="1:27" ht="19.75">
      <c r="A890" s="8"/>
      <c r="B890" s="7"/>
      <c r="C890" s="8"/>
      <c r="D890" s="8"/>
      <c r="E890" s="11"/>
      <c r="F890" s="8"/>
      <c r="G890" s="8"/>
      <c r="H890" s="8"/>
      <c r="I890" s="8"/>
      <c r="J890" s="8"/>
      <c r="K890" s="8"/>
      <c r="L890" s="8"/>
      <c r="M890" s="8"/>
      <c r="N890" s="8"/>
      <c r="O890" s="8"/>
      <c r="P890" s="8"/>
      <c r="Q890" s="8"/>
      <c r="R890" s="8"/>
      <c r="S890" s="8"/>
      <c r="T890" s="8"/>
      <c r="U890" s="8"/>
      <c r="V890" s="8"/>
      <c r="W890" s="8"/>
      <c r="X890" s="8"/>
      <c r="Y890" s="8"/>
      <c r="Z890" s="8"/>
      <c r="AA890" s="8"/>
    </row>
    <row r="891" spans="1:27" ht="19.75">
      <c r="A891" s="8"/>
      <c r="B891" s="7"/>
      <c r="C891" s="8"/>
      <c r="D891" s="8"/>
      <c r="E891" s="11"/>
      <c r="F891" s="8"/>
      <c r="G891" s="8"/>
      <c r="H891" s="8"/>
      <c r="I891" s="8"/>
      <c r="J891" s="8"/>
      <c r="K891" s="8"/>
      <c r="L891" s="8"/>
      <c r="M891" s="8"/>
      <c r="N891" s="8"/>
      <c r="O891" s="8"/>
      <c r="P891" s="8"/>
      <c r="Q891" s="8"/>
      <c r="R891" s="8"/>
      <c r="S891" s="8"/>
      <c r="T891" s="8"/>
      <c r="U891" s="8"/>
      <c r="V891" s="8"/>
      <c r="W891" s="8"/>
      <c r="X891" s="8"/>
      <c r="Y891" s="8"/>
      <c r="Z891" s="8"/>
      <c r="AA891" s="8"/>
    </row>
    <row r="892" spans="1:27" ht="19.75">
      <c r="A892" s="8"/>
      <c r="B892" s="7"/>
      <c r="C892" s="8"/>
      <c r="D892" s="8"/>
      <c r="E892" s="11"/>
      <c r="F892" s="8"/>
      <c r="G892" s="8"/>
      <c r="H892" s="8"/>
      <c r="I892" s="8"/>
      <c r="J892" s="8"/>
      <c r="K892" s="8"/>
      <c r="L892" s="8"/>
      <c r="M892" s="8"/>
      <c r="N892" s="8"/>
      <c r="O892" s="8"/>
      <c r="P892" s="8"/>
      <c r="Q892" s="8"/>
      <c r="R892" s="8"/>
      <c r="S892" s="8"/>
      <c r="T892" s="8"/>
      <c r="U892" s="8"/>
      <c r="V892" s="8"/>
      <c r="W892" s="8"/>
      <c r="X892" s="8"/>
      <c r="Y892" s="8"/>
      <c r="Z892" s="8"/>
      <c r="AA892" s="8"/>
    </row>
    <row r="893" spans="1:27" ht="19.75">
      <c r="A893" s="8"/>
      <c r="B893" s="7"/>
      <c r="C893" s="8"/>
      <c r="D893" s="8"/>
      <c r="E893" s="11"/>
      <c r="F893" s="8"/>
      <c r="G893" s="8"/>
      <c r="H893" s="8"/>
      <c r="I893" s="8"/>
      <c r="J893" s="8"/>
      <c r="K893" s="8"/>
      <c r="L893" s="8"/>
      <c r="M893" s="8"/>
      <c r="N893" s="8"/>
      <c r="O893" s="8"/>
      <c r="P893" s="8"/>
      <c r="Q893" s="8"/>
      <c r="R893" s="8"/>
      <c r="S893" s="8"/>
      <c r="T893" s="8"/>
      <c r="U893" s="8"/>
      <c r="V893" s="8"/>
      <c r="W893" s="8"/>
      <c r="X893" s="8"/>
      <c r="Y893" s="8"/>
      <c r="Z893" s="8"/>
      <c r="AA893" s="8"/>
    </row>
    <row r="894" spans="1:27" ht="19.75">
      <c r="A894" s="8"/>
      <c r="B894" s="7"/>
      <c r="C894" s="8"/>
      <c r="D894" s="8"/>
      <c r="E894" s="11"/>
      <c r="F894" s="8"/>
      <c r="G894" s="8"/>
      <c r="H894" s="8"/>
      <c r="I894" s="8"/>
      <c r="J894" s="8"/>
      <c r="K894" s="8"/>
      <c r="L894" s="8"/>
      <c r="M894" s="8"/>
      <c r="N894" s="8"/>
      <c r="O894" s="8"/>
      <c r="P894" s="8"/>
      <c r="Q894" s="8"/>
      <c r="R894" s="8"/>
      <c r="S894" s="8"/>
      <c r="T894" s="8"/>
      <c r="U894" s="8"/>
      <c r="V894" s="8"/>
      <c r="W894" s="8"/>
      <c r="X894" s="8"/>
      <c r="Y894" s="8"/>
      <c r="Z894" s="8"/>
      <c r="AA894" s="8"/>
    </row>
    <row r="895" spans="1:27" ht="19.75">
      <c r="A895" s="8"/>
      <c r="B895" s="7"/>
      <c r="C895" s="8"/>
      <c r="D895" s="8"/>
      <c r="E895" s="11"/>
      <c r="F895" s="8"/>
      <c r="G895" s="8"/>
      <c r="H895" s="8"/>
      <c r="I895" s="8"/>
      <c r="J895" s="8"/>
      <c r="K895" s="8"/>
      <c r="L895" s="8"/>
      <c r="M895" s="8"/>
      <c r="N895" s="8"/>
      <c r="O895" s="8"/>
      <c r="P895" s="8"/>
      <c r="Q895" s="8"/>
      <c r="R895" s="8"/>
      <c r="S895" s="8"/>
      <c r="T895" s="8"/>
      <c r="U895" s="8"/>
      <c r="V895" s="8"/>
      <c r="W895" s="8"/>
      <c r="X895" s="8"/>
      <c r="Y895" s="8"/>
      <c r="Z895" s="8"/>
      <c r="AA895" s="8"/>
    </row>
    <row r="896" spans="1:27" ht="19.75">
      <c r="A896" s="8"/>
      <c r="B896" s="7"/>
      <c r="C896" s="8"/>
      <c r="D896" s="8"/>
      <c r="E896" s="11"/>
      <c r="F896" s="8"/>
      <c r="G896" s="8"/>
      <c r="H896" s="8"/>
      <c r="I896" s="8"/>
      <c r="J896" s="8"/>
      <c r="K896" s="8"/>
      <c r="L896" s="8"/>
      <c r="M896" s="8"/>
      <c r="N896" s="8"/>
      <c r="O896" s="8"/>
      <c r="P896" s="8"/>
      <c r="Q896" s="8"/>
      <c r="R896" s="8"/>
      <c r="S896" s="8"/>
      <c r="T896" s="8"/>
      <c r="U896" s="8"/>
      <c r="V896" s="8"/>
      <c r="W896" s="8"/>
      <c r="X896" s="8"/>
      <c r="Y896" s="8"/>
      <c r="Z896" s="8"/>
      <c r="AA896" s="8"/>
    </row>
    <row r="897" spans="1:27" ht="19.75">
      <c r="A897" s="8"/>
      <c r="B897" s="7"/>
      <c r="C897" s="8"/>
      <c r="D897" s="8"/>
      <c r="E897" s="11"/>
      <c r="F897" s="8"/>
      <c r="G897" s="8"/>
      <c r="H897" s="8"/>
      <c r="I897" s="8"/>
      <c r="J897" s="8"/>
      <c r="K897" s="8"/>
      <c r="L897" s="8"/>
      <c r="M897" s="8"/>
      <c r="N897" s="8"/>
      <c r="O897" s="8"/>
      <c r="P897" s="8"/>
      <c r="Q897" s="8"/>
      <c r="R897" s="8"/>
      <c r="S897" s="8"/>
      <c r="T897" s="8"/>
      <c r="U897" s="8"/>
      <c r="V897" s="8"/>
      <c r="W897" s="8"/>
      <c r="X897" s="8"/>
      <c r="Y897" s="8"/>
      <c r="Z897" s="8"/>
      <c r="AA897" s="8"/>
    </row>
    <row r="898" spans="1:27" ht="19.75">
      <c r="A898" s="8"/>
      <c r="B898" s="7"/>
      <c r="C898" s="8"/>
      <c r="D898" s="8"/>
      <c r="E898" s="11"/>
      <c r="F898" s="8"/>
      <c r="G898" s="8"/>
      <c r="H898" s="8"/>
      <c r="I898" s="8"/>
      <c r="J898" s="8"/>
      <c r="K898" s="8"/>
      <c r="L898" s="8"/>
      <c r="M898" s="8"/>
      <c r="N898" s="8"/>
      <c r="O898" s="8"/>
      <c r="P898" s="8"/>
      <c r="Q898" s="8"/>
      <c r="R898" s="8"/>
      <c r="S898" s="8"/>
      <c r="T898" s="8"/>
      <c r="U898" s="8"/>
      <c r="V898" s="8"/>
      <c r="W898" s="8"/>
      <c r="X898" s="8"/>
      <c r="Y898" s="8"/>
      <c r="Z898" s="8"/>
      <c r="AA898" s="8"/>
    </row>
    <row r="899" spans="1:27" ht="19.75">
      <c r="A899" s="8"/>
      <c r="B899" s="7"/>
      <c r="C899" s="8"/>
      <c r="D899" s="8"/>
      <c r="E899" s="11"/>
      <c r="F899" s="8"/>
      <c r="G899" s="8"/>
      <c r="H899" s="8"/>
      <c r="I899" s="8"/>
      <c r="J899" s="8"/>
      <c r="K899" s="8"/>
      <c r="L899" s="8"/>
      <c r="M899" s="8"/>
      <c r="N899" s="8"/>
      <c r="O899" s="8"/>
      <c r="P899" s="8"/>
      <c r="Q899" s="8"/>
      <c r="R899" s="8"/>
      <c r="S899" s="8"/>
      <c r="T899" s="8"/>
      <c r="U899" s="8"/>
      <c r="V899" s="8"/>
      <c r="W899" s="8"/>
      <c r="X899" s="8"/>
      <c r="Y899" s="8"/>
      <c r="Z899" s="8"/>
      <c r="AA899" s="8"/>
    </row>
    <row r="900" spans="1:27" ht="19.75">
      <c r="A900" s="8"/>
      <c r="B900" s="7"/>
      <c r="C900" s="8"/>
      <c r="D900" s="8"/>
      <c r="E900" s="11"/>
      <c r="F900" s="8"/>
      <c r="G900" s="8"/>
      <c r="H900" s="8"/>
      <c r="I900" s="8"/>
      <c r="J900" s="8"/>
      <c r="K900" s="8"/>
      <c r="L900" s="8"/>
      <c r="M900" s="8"/>
      <c r="N900" s="8"/>
      <c r="O900" s="8"/>
      <c r="P900" s="8"/>
      <c r="Q900" s="8"/>
      <c r="R900" s="8"/>
      <c r="S900" s="8"/>
      <c r="T900" s="8"/>
      <c r="U900" s="8"/>
      <c r="V900" s="8"/>
      <c r="W900" s="8"/>
      <c r="X900" s="8"/>
      <c r="Y900" s="8"/>
      <c r="Z900" s="8"/>
      <c r="AA900" s="8"/>
    </row>
    <row r="901" spans="1:27" ht="19.75">
      <c r="A901" s="8"/>
      <c r="B901" s="7"/>
      <c r="C901" s="8"/>
      <c r="D901" s="8"/>
      <c r="E901" s="11"/>
      <c r="F901" s="8"/>
      <c r="G901" s="8"/>
      <c r="H901" s="8"/>
      <c r="I901" s="8"/>
      <c r="J901" s="8"/>
      <c r="K901" s="8"/>
      <c r="L901" s="8"/>
      <c r="M901" s="8"/>
      <c r="N901" s="8"/>
      <c r="O901" s="8"/>
      <c r="P901" s="8"/>
      <c r="Q901" s="8"/>
      <c r="R901" s="8"/>
      <c r="S901" s="8"/>
      <c r="T901" s="8"/>
      <c r="U901" s="8"/>
      <c r="V901" s="8"/>
      <c r="W901" s="8"/>
      <c r="X901" s="8"/>
      <c r="Y901" s="8"/>
      <c r="Z901" s="8"/>
      <c r="AA901" s="8"/>
    </row>
    <row r="902" spans="1:27" ht="19.75">
      <c r="A902" s="8"/>
      <c r="B902" s="7"/>
      <c r="C902" s="8"/>
      <c r="D902" s="8"/>
      <c r="E902" s="11"/>
      <c r="F902" s="8"/>
      <c r="G902" s="8"/>
      <c r="H902" s="8"/>
      <c r="I902" s="8"/>
      <c r="J902" s="8"/>
      <c r="K902" s="8"/>
      <c r="L902" s="8"/>
      <c r="M902" s="8"/>
      <c r="N902" s="8"/>
      <c r="O902" s="8"/>
      <c r="P902" s="8"/>
      <c r="Q902" s="8"/>
      <c r="R902" s="8"/>
      <c r="S902" s="8"/>
      <c r="T902" s="8"/>
      <c r="U902" s="8"/>
      <c r="V902" s="8"/>
      <c r="W902" s="8"/>
      <c r="X902" s="8"/>
      <c r="Y902" s="8"/>
      <c r="Z902" s="8"/>
      <c r="AA902" s="8"/>
    </row>
    <row r="903" spans="1:27" ht="19.75">
      <c r="A903" s="8"/>
      <c r="B903" s="7"/>
      <c r="C903" s="8"/>
      <c r="D903" s="8"/>
      <c r="E903" s="11"/>
      <c r="F903" s="8"/>
      <c r="G903" s="8"/>
      <c r="H903" s="8"/>
      <c r="I903" s="8"/>
      <c r="J903" s="8"/>
      <c r="K903" s="8"/>
      <c r="L903" s="8"/>
      <c r="M903" s="8"/>
      <c r="N903" s="8"/>
      <c r="O903" s="8"/>
      <c r="P903" s="8"/>
      <c r="Q903" s="8"/>
      <c r="R903" s="8"/>
      <c r="S903" s="8"/>
      <c r="T903" s="8"/>
      <c r="U903" s="8"/>
      <c r="V903" s="8"/>
      <c r="W903" s="8"/>
      <c r="X903" s="8"/>
      <c r="Y903" s="8"/>
      <c r="Z903" s="8"/>
      <c r="AA903" s="8"/>
    </row>
    <row r="904" spans="1:27" ht="19.75">
      <c r="A904" s="8"/>
      <c r="B904" s="7"/>
      <c r="C904" s="8"/>
      <c r="D904" s="8"/>
      <c r="E904" s="11"/>
      <c r="F904" s="8"/>
      <c r="G904" s="8"/>
      <c r="H904" s="8"/>
      <c r="I904" s="8"/>
      <c r="J904" s="8"/>
      <c r="K904" s="8"/>
      <c r="L904" s="8"/>
      <c r="M904" s="8"/>
      <c r="N904" s="8"/>
      <c r="O904" s="8"/>
      <c r="P904" s="8"/>
      <c r="Q904" s="8"/>
      <c r="R904" s="8"/>
      <c r="S904" s="8"/>
      <c r="T904" s="8"/>
      <c r="U904" s="8"/>
      <c r="V904" s="8"/>
      <c r="W904" s="8"/>
      <c r="X904" s="8"/>
      <c r="Y904" s="8"/>
      <c r="Z904" s="8"/>
      <c r="AA904" s="8"/>
    </row>
    <row r="905" spans="1:27" ht="19.75">
      <c r="A905" s="8"/>
      <c r="B905" s="7"/>
      <c r="C905" s="8"/>
      <c r="D905" s="8"/>
      <c r="E905" s="11"/>
      <c r="F905" s="8"/>
      <c r="G905" s="8"/>
      <c r="H905" s="8"/>
      <c r="I905" s="8"/>
      <c r="J905" s="8"/>
      <c r="K905" s="8"/>
      <c r="L905" s="8"/>
      <c r="M905" s="8"/>
      <c r="N905" s="8"/>
      <c r="O905" s="8"/>
      <c r="P905" s="8"/>
      <c r="Q905" s="8"/>
      <c r="R905" s="8"/>
      <c r="S905" s="8"/>
      <c r="T905" s="8"/>
      <c r="U905" s="8"/>
      <c r="V905" s="8"/>
      <c r="W905" s="8"/>
      <c r="X905" s="8"/>
      <c r="Y905" s="8"/>
      <c r="Z905" s="8"/>
      <c r="AA905" s="8"/>
    </row>
    <row r="906" spans="1:27" ht="19.75">
      <c r="A906" s="8"/>
      <c r="B906" s="7"/>
      <c r="C906" s="8"/>
      <c r="D906" s="8"/>
      <c r="E906" s="11"/>
      <c r="F906" s="8"/>
      <c r="G906" s="8"/>
      <c r="H906" s="8"/>
      <c r="I906" s="8"/>
      <c r="J906" s="8"/>
      <c r="K906" s="8"/>
      <c r="L906" s="8"/>
      <c r="M906" s="8"/>
      <c r="N906" s="8"/>
      <c r="O906" s="8"/>
      <c r="P906" s="8"/>
      <c r="Q906" s="8"/>
      <c r="R906" s="8"/>
      <c r="S906" s="8"/>
      <c r="T906" s="8"/>
      <c r="U906" s="8"/>
      <c r="V906" s="8"/>
      <c r="W906" s="8"/>
      <c r="X906" s="8"/>
      <c r="Y906" s="8"/>
      <c r="Z906" s="8"/>
      <c r="AA906" s="8"/>
    </row>
    <row r="907" spans="1:27" ht="19.75">
      <c r="A907" s="8"/>
      <c r="B907" s="7"/>
      <c r="C907" s="8"/>
      <c r="D907" s="8"/>
      <c r="E907" s="11"/>
      <c r="F907" s="8"/>
      <c r="G907" s="8"/>
      <c r="H907" s="8"/>
      <c r="I907" s="8"/>
      <c r="J907" s="8"/>
      <c r="K907" s="8"/>
      <c r="L907" s="8"/>
      <c r="M907" s="8"/>
      <c r="N907" s="8"/>
      <c r="O907" s="8"/>
      <c r="P907" s="8"/>
      <c r="Q907" s="8"/>
      <c r="R907" s="8"/>
      <c r="S907" s="8"/>
      <c r="T907" s="8"/>
      <c r="U907" s="8"/>
      <c r="V907" s="8"/>
      <c r="W907" s="8"/>
      <c r="X907" s="8"/>
      <c r="Y907" s="8"/>
      <c r="Z907" s="8"/>
      <c r="AA907" s="8"/>
    </row>
    <row r="908" spans="1:27" ht="19.75">
      <c r="A908" s="8"/>
      <c r="B908" s="7"/>
      <c r="C908" s="8"/>
      <c r="D908" s="8"/>
      <c r="E908" s="11"/>
      <c r="F908" s="8"/>
      <c r="G908" s="8"/>
      <c r="H908" s="8"/>
      <c r="I908" s="8"/>
      <c r="J908" s="8"/>
      <c r="K908" s="8"/>
      <c r="L908" s="8"/>
      <c r="M908" s="8"/>
      <c r="N908" s="8"/>
      <c r="O908" s="8"/>
      <c r="P908" s="8"/>
      <c r="Q908" s="8"/>
      <c r="R908" s="8"/>
      <c r="S908" s="8"/>
      <c r="T908" s="8"/>
      <c r="U908" s="8"/>
      <c r="V908" s="8"/>
      <c r="W908" s="8"/>
      <c r="X908" s="8"/>
      <c r="Y908" s="8"/>
      <c r="Z908" s="8"/>
      <c r="AA908" s="8"/>
    </row>
    <row r="909" spans="1:27" ht="19.75">
      <c r="A909" s="8"/>
      <c r="B909" s="7"/>
      <c r="C909" s="8"/>
      <c r="D909" s="8"/>
      <c r="E909" s="11"/>
      <c r="F909" s="8"/>
      <c r="G909" s="8"/>
      <c r="H909" s="8"/>
      <c r="I909" s="8"/>
      <c r="J909" s="8"/>
      <c r="K909" s="8"/>
      <c r="L909" s="8"/>
      <c r="M909" s="8"/>
      <c r="N909" s="8"/>
      <c r="O909" s="8"/>
      <c r="P909" s="8"/>
      <c r="Q909" s="8"/>
      <c r="R909" s="8"/>
      <c r="S909" s="8"/>
      <c r="T909" s="8"/>
      <c r="U909" s="8"/>
      <c r="V909" s="8"/>
      <c r="W909" s="8"/>
      <c r="X909" s="8"/>
      <c r="Y909" s="8"/>
      <c r="Z909" s="8"/>
      <c r="AA909" s="8"/>
    </row>
    <row r="910" spans="1:27" ht="19.75">
      <c r="A910" s="8"/>
      <c r="B910" s="7"/>
      <c r="C910" s="8"/>
      <c r="D910" s="8"/>
      <c r="E910" s="11"/>
      <c r="F910" s="8"/>
      <c r="G910" s="8"/>
      <c r="H910" s="8"/>
      <c r="I910" s="8"/>
      <c r="J910" s="8"/>
      <c r="K910" s="8"/>
      <c r="L910" s="8"/>
      <c r="M910" s="8"/>
      <c r="N910" s="8"/>
      <c r="O910" s="8"/>
      <c r="P910" s="8"/>
      <c r="Q910" s="8"/>
      <c r="R910" s="8"/>
      <c r="S910" s="8"/>
      <c r="T910" s="8"/>
      <c r="U910" s="8"/>
      <c r="V910" s="8"/>
      <c r="W910" s="8"/>
      <c r="X910" s="8"/>
      <c r="Y910" s="8"/>
      <c r="Z910" s="8"/>
      <c r="AA910" s="8"/>
    </row>
    <row r="911" spans="1:27" ht="19.75">
      <c r="A911" s="8"/>
      <c r="B911" s="7"/>
      <c r="C911" s="8"/>
      <c r="D911" s="8"/>
      <c r="E911" s="11"/>
      <c r="F911" s="8"/>
      <c r="G911" s="8"/>
      <c r="H911" s="8"/>
      <c r="I911" s="8"/>
      <c r="J911" s="8"/>
      <c r="K911" s="8"/>
      <c r="L911" s="8"/>
      <c r="M911" s="8"/>
      <c r="N911" s="8"/>
      <c r="O911" s="8"/>
      <c r="P911" s="8"/>
      <c r="Q911" s="8"/>
      <c r="R911" s="8"/>
      <c r="S911" s="8"/>
      <c r="T911" s="8"/>
      <c r="U911" s="8"/>
      <c r="V911" s="8"/>
      <c r="W911" s="8"/>
      <c r="X911" s="8"/>
      <c r="Y911" s="8"/>
      <c r="Z911" s="8"/>
      <c r="AA911" s="8"/>
    </row>
    <row r="912" spans="1:27" ht="19.75">
      <c r="A912" s="8"/>
      <c r="B912" s="7"/>
      <c r="C912" s="8"/>
      <c r="D912" s="8"/>
      <c r="E912" s="11"/>
      <c r="F912" s="8"/>
      <c r="G912" s="8"/>
      <c r="H912" s="8"/>
      <c r="I912" s="8"/>
      <c r="J912" s="8"/>
      <c r="K912" s="8"/>
      <c r="L912" s="8"/>
      <c r="M912" s="8"/>
      <c r="N912" s="8"/>
      <c r="O912" s="8"/>
      <c r="P912" s="8"/>
      <c r="Q912" s="8"/>
      <c r="R912" s="8"/>
      <c r="S912" s="8"/>
      <c r="T912" s="8"/>
      <c r="U912" s="8"/>
      <c r="V912" s="8"/>
      <c r="W912" s="8"/>
      <c r="X912" s="8"/>
      <c r="Y912" s="8"/>
      <c r="Z912" s="8"/>
      <c r="AA912" s="8"/>
    </row>
    <row r="913" spans="1:27" ht="19.75">
      <c r="A913" s="8"/>
      <c r="B913" s="7"/>
      <c r="C913" s="8"/>
      <c r="D913" s="8"/>
      <c r="E913" s="11"/>
      <c r="F913" s="8"/>
      <c r="G913" s="8"/>
      <c r="H913" s="8"/>
      <c r="I913" s="8"/>
      <c r="J913" s="8"/>
      <c r="K913" s="8"/>
      <c r="L913" s="8"/>
      <c r="M913" s="8"/>
      <c r="N913" s="8"/>
      <c r="O913" s="8"/>
      <c r="P913" s="8"/>
      <c r="Q913" s="8"/>
      <c r="R913" s="8"/>
      <c r="S913" s="8"/>
      <c r="T913" s="8"/>
      <c r="U913" s="8"/>
      <c r="V913" s="8"/>
      <c r="W913" s="8"/>
      <c r="X913" s="8"/>
      <c r="Y913" s="8"/>
      <c r="Z913" s="8"/>
      <c r="AA913" s="8"/>
    </row>
    <row r="914" spans="1:27" ht="19.75">
      <c r="A914" s="8"/>
      <c r="B914" s="7"/>
      <c r="C914" s="8"/>
      <c r="D914" s="8"/>
      <c r="E914" s="11"/>
      <c r="F914" s="8"/>
      <c r="G914" s="8"/>
      <c r="H914" s="8"/>
      <c r="I914" s="8"/>
      <c r="J914" s="8"/>
      <c r="K914" s="8"/>
      <c r="L914" s="8"/>
      <c r="M914" s="8"/>
      <c r="N914" s="8"/>
      <c r="O914" s="8"/>
      <c r="P914" s="8"/>
      <c r="Q914" s="8"/>
      <c r="R914" s="8"/>
      <c r="S914" s="8"/>
      <c r="T914" s="8"/>
      <c r="U914" s="8"/>
      <c r="V914" s="8"/>
      <c r="W914" s="8"/>
      <c r="X914" s="8"/>
      <c r="Y914" s="8"/>
      <c r="Z914" s="8"/>
      <c r="AA914" s="8"/>
    </row>
    <row r="915" spans="1:27" ht="19.75">
      <c r="A915" s="8"/>
      <c r="B915" s="7"/>
      <c r="C915" s="8"/>
      <c r="D915" s="8"/>
      <c r="E915" s="11"/>
      <c r="F915" s="8"/>
      <c r="G915" s="8"/>
      <c r="H915" s="8"/>
      <c r="I915" s="8"/>
      <c r="J915" s="8"/>
      <c r="K915" s="8"/>
      <c r="L915" s="8"/>
      <c r="M915" s="8"/>
      <c r="N915" s="8"/>
      <c r="O915" s="8"/>
      <c r="P915" s="8"/>
      <c r="Q915" s="8"/>
      <c r="R915" s="8"/>
      <c r="S915" s="8"/>
      <c r="T915" s="8"/>
      <c r="U915" s="8"/>
      <c r="V915" s="8"/>
      <c r="W915" s="8"/>
      <c r="X915" s="8"/>
      <c r="Y915" s="8"/>
      <c r="Z915" s="8"/>
      <c r="AA915" s="8"/>
    </row>
    <row r="916" spans="1:27" ht="19.75">
      <c r="A916" s="8"/>
      <c r="B916" s="7"/>
      <c r="C916" s="8"/>
      <c r="D916" s="8"/>
      <c r="E916" s="11"/>
      <c r="F916" s="8"/>
      <c r="G916" s="8"/>
      <c r="H916" s="8"/>
      <c r="I916" s="8"/>
      <c r="J916" s="8"/>
      <c r="K916" s="8"/>
      <c r="L916" s="8"/>
      <c r="M916" s="8"/>
      <c r="N916" s="8"/>
      <c r="O916" s="8"/>
      <c r="P916" s="8"/>
      <c r="Q916" s="8"/>
      <c r="R916" s="8"/>
      <c r="S916" s="8"/>
      <c r="T916" s="8"/>
      <c r="U916" s="8"/>
      <c r="V916" s="8"/>
      <c r="W916" s="8"/>
      <c r="X916" s="8"/>
      <c r="Y916" s="8"/>
      <c r="Z916" s="8"/>
      <c r="AA916" s="8"/>
    </row>
    <row r="917" spans="1:27" ht="19.75">
      <c r="A917" s="8"/>
      <c r="B917" s="7"/>
      <c r="C917" s="8"/>
      <c r="D917" s="8"/>
      <c r="E917" s="11"/>
      <c r="F917" s="8"/>
      <c r="G917" s="8"/>
      <c r="H917" s="8"/>
      <c r="I917" s="8"/>
      <c r="J917" s="8"/>
      <c r="K917" s="8"/>
      <c r="L917" s="8"/>
      <c r="M917" s="8"/>
      <c r="N917" s="8"/>
      <c r="O917" s="8"/>
      <c r="P917" s="8"/>
      <c r="Q917" s="8"/>
      <c r="R917" s="8"/>
      <c r="S917" s="8"/>
      <c r="T917" s="8"/>
      <c r="U917" s="8"/>
      <c r="V917" s="8"/>
      <c r="W917" s="8"/>
      <c r="X917" s="8"/>
      <c r="Y917" s="8"/>
      <c r="Z917" s="8"/>
      <c r="AA917" s="8"/>
    </row>
    <row r="918" spans="1:27" ht="19.75">
      <c r="A918" s="8"/>
      <c r="B918" s="7"/>
      <c r="C918" s="8"/>
      <c r="D918" s="8"/>
      <c r="E918" s="11"/>
      <c r="F918" s="8"/>
      <c r="G918" s="8"/>
      <c r="H918" s="8"/>
      <c r="I918" s="8"/>
      <c r="J918" s="8"/>
      <c r="K918" s="8"/>
      <c r="L918" s="8"/>
      <c r="M918" s="8"/>
      <c r="N918" s="8"/>
      <c r="O918" s="8"/>
      <c r="P918" s="8"/>
      <c r="Q918" s="8"/>
      <c r="R918" s="8"/>
      <c r="S918" s="8"/>
      <c r="T918" s="8"/>
      <c r="U918" s="8"/>
      <c r="V918" s="8"/>
      <c r="W918" s="8"/>
      <c r="X918" s="8"/>
      <c r="Y918" s="8"/>
      <c r="Z918" s="8"/>
      <c r="AA918" s="8"/>
    </row>
    <row r="919" spans="1:27" ht="19.75">
      <c r="A919" s="8"/>
      <c r="B919" s="7"/>
      <c r="C919" s="8"/>
      <c r="D919" s="8"/>
      <c r="E919" s="11"/>
      <c r="F919" s="8"/>
      <c r="G919" s="8"/>
      <c r="H919" s="8"/>
      <c r="I919" s="8"/>
      <c r="J919" s="8"/>
      <c r="K919" s="8"/>
      <c r="L919" s="8"/>
      <c r="M919" s="8"/>
      <c r="N919" s="8"/>
      <c r="O919" s="8"/>
      <c r="P919" s="8"/>
      <c r="Q919" s="8"/>
      <c r="R919" s="8"/>
      <c r="S919" s="8"/>
      <c r="T919" s="8"/>
      <c r="U919" s="8"/>
      <c r="V919" s="8"/>
      <c r="W919" s="8"/>
      <c r="X919" s="8"/>
      <c r="Y919" s="8"/>
      <c r="Z919" s="8"/>
      <c r="AA919" s="8"/>
    </row>
    <row r="920" spans="1:27" ht="19.75">
      <c r="A920" s="8"/>
      <c r="B920" s="7"/>
      <c r="C920" s="8"/>
      <c r="D920" s="8"/>
      <c r="E920" s="11"/>
      <c r="F920" s="8"/>
      <c r="G920" s="8"/>
      <c r="H920" s="8"/>
      <c r="I920" s="8"/>
      <c r="J920" s="8"/>
      <c r="K920" s="8"/>
      <c r="L920" s="8"/>
      <c r="M920" s="8"/>
      <c r="N920" s="8"/>
      <c r="O920" s="8"/>
      <c r="P920" s="8"/>
      <c r="Q920" s="8"/>
      <c r="R920" s="8"/>
      <c r="S920" s="8"/>
      <c r="T920" s="8"/>
      <c r="U920" s="8"/>
      <c r="V920" s="8"/>
      <c r="W920" s="8"/>
      <c r="X920" s="8"/>
      <c r="Y920" s="8"/>
      <c r="Z920" s="8"/>
      <c r="AA920" s="8"/>
    </row>
    <row r="921" spans="1:27" ht="19.75">
      <c r="A921" s="8"/>
      <c r="B921" s="7"/>
      <c r="C921" s="8"/>
      <c r="D921" s="8"/>
      <c r="E921" s="11"/>
      <c r="F921" s="8"/>
      <c r="G921" s="8"/>
      <c r="H921" s="8"/>
      <c r="I921" s="8"/>
      <c r="J921" s="8"/>
      <c r="K921" s="8"/>
      <c r="L921" s="8"/>
      <c r="M921" s="8"/>
      <c r="N921" s="8"/>
      <c r="O921" s="8"/>
      <c r="P921" s="8"/>
      <c r="Q921" s="8"/>
      <c r="R921" s="8"/>
      <c r="S921" s="8"/>
      <c r="T921" s="8"/>
      <c r="U921" s="8"/>
      <c r="V921" s="8"/>
      <c r="W921" s="8"/>
      <c r="X921" s="8"/>
      <c r="Y921" s="8"/>
      <c r="Z921" s="8"/>
      <c r="AA921" s="8"/>
    </row>
    <row r="922" spans="1:27" ht="19.75">
      <c r="A922" s="8"/>
      <c r="B922" s="7"/>
      <c r="C922" s="8"/>
      <c r="D922" s="8"/>
      <c r="E922" s="11"/>
      <c r="F922" s="8"/>
      <c r="G922" s="8"/>
      <c r="H922" s="8"/>
      <c r="I922" s="8"/>
      <c r="J922" s="8"/>
      <c r="K922" s="8"/>
      <c r="L922" s="8"/>
      <c r="M922" s="8"/>
      <c r="N922" s="8"/>
      <c r="O922" s="8"/>
      <c r="P922" s="8"/>
      <c r="Q922" s="8"/>
      <c r="R922" s="8"/>
      <c r="S922" s="8"/>
      <c r="T922" s="8"/>
      <c r="U922" s="8"/>
      <c r="V922" s="8"/>
      <c r="W922" s="8"/>
      <c r="X922" s="8"/>
      <c r="Y922" s="8"/>
      <c r="Z922" s="8"/>
      <c r="AA922" s="8"/>
    </row>
    <row r="923" spans="1:27" ht="19.75">
      <c r="A923" s="8"/>
      <c r="B923" s="7"/>
      <c r="C923" s="8"/>
      <c r="D923" s="8"/>
      <c r="E923" s="11"/>
      <c r="F923" s="8"/>
      <c r="G923" s="8"/>
      <c r="H923" s="8"/>
      <c r="I923" s="8"/>
      <c r="J923" s="8"/>
      <c r="K923" s="8"/>
      <c r="L923" s="8"/>
      <c r="M923" s="8"/>
      <c r="N923" s="8"/>
      <c r="O923" s="8"/>
      <c r="P923" s="8"/>
      <c r="Q923" s="8"/>
      <c r="R923" s="8"/>
      <c r="S923" s="8"/>
      <c r="T923" s="8"/>
      <c r="U923" s="8"/>
      <c r="V923" s="8"/>
      <c r="W923" s="8"/>
      <c r="X923" s="8"/>
      <c r="Y923" s="8"/>
      <c r="Z923" s="8"/>
      <c r="AA923" s="8"/>
    </row>
    <row r="924" spans="1:27" ht="19.75">
      <c r="A924" s="8"/>
      <c r="B924" s="7"/>
      <c r="C924" s="8"/>
      <c r="D924" s="8"/>
      <c r="E924" s="11"/>
      <c r="F924" s="8"/>
      <c r="G924" s="8"/>
      <c r="H924" s="8"/>
      <c r="I924" s="8"/>
      <c r="J924" s="8"/>
      <c r="K924" s="8"/>
      <c r="L924" s="8"/>
      <c r="M924" s="8"/>
      <c r="N924" s="8"/>
      <c r="O924" s="8"/>
      <c r="P924" s="8"/>
      <c r="Q924" s="8"/>
      <c r="R924" s="8"/>
      <c r="S924" s="8"/>
      <c r="T924" s="8"/>
      <c r="U924" s="8"/>
      <c r="V924" s="8"/>
      <c r="W924" s="8"/>
      <c r="X924" s="8"/>
      <c r="Y924" s="8"/>
      <c r="Z924" s="8"/>
      <c r="AA924" s="8"/>
    </row>
    <row r="925" spans="1:27" ht="19.75">
      <c r="A925" s="8"/>
      <c r="B925" s="7"/>
      <c r="C925" s="8"/>
      <c r="D925" s="8"/>
      <c r="E925" s="11"/>
      <c r="F925" s="8"/>
      <c r="G925" s="8"/>
      <c r="H925" s="8"/>
      <c r="I925" s="8"/>
      <c r="J925" s="8"/>
      <c r="K925" s="8"/>
      <c r="L925" s="8"/>
      <c r="M925" s="8"/>
      <c r="N925" s="8"/>
      <c r="O925" s="8"/>
      <c r="P925" s="8"/>
      <c r="Q925" s="8"/>
      <c r="R925" s="8"/>
      <c r="S925" s="8"/>
      <c r="T925" s="8"/>
      <c r="U925" s="8"/>
      <c r="V925" s="8"/>
      <c r="W925" s="8"/>
      <c r="X925" s="8"/>
      <c r="Y925" s="8"/>
      <c r="Z925" s="8"/>
      <c r="AA925" s="8"/>
    </row>
  </sheetData>
  <mergeCells count="7">
    <mergeCell ref="C14:C15"/>
    <mergeCell ref="E34:E35"/>
    <mergeCell ref="E39:F40"/>
    <mergeCell ref="A44:A45"/>
    <mergeCell ref="B44:B46"/>
    <mergeCell ref="C44:C46"/>
    <mergeCell ref="E44:E45"/>
  </mergeCells>
  <hyperlinks>
    <hyperlink ref="D2" r:id="rId1" xr:uid="{00000000-0004-0000-0300-000000000000}"/>
    <hyperlink ref="D3" r:id="rId2" xr:uid="{00000000-0004-0000-0300-000001000000}"/>
    <hyperlink ref="D4" r:id="rId3" xr:uid="{00000000-0004-0000-0300-000002000000}"/>
    <hyperlink ref="D5" r:id="rId4" xr:uid="{00000000-0004-0000-0300-000003000000}"/>
    <hyperlink ref="D6" r:id="rId5" xr:uid="{00000000-0004-0000-0300-000004000000}"/>
    <hyperlink ref="D8" r:id="rId6" xr:uid="{00000000-0004-0000-0300-000005000000}"/>
    <hyperlink ref="D9" r:id="rId7" xr:uid="{00000000-0004-0000-0300-000006000000}"/>
    <hyperlink ref="D10" r:id="rId8" xr:uid="{00000000-0004-0000-0300-000007000000}"/>
    <hyperlink ref="D11" r:id="rId9" xr:uid="{00000000-0004-0000-0300-000008000000}"/>
    <hyperlink ref="D12" r:id="rId10" xr:uid="{00000000-0004-0000-0300-000009000000}"/>
    <hyperlink ref="D14" r:id="rId11" xr:uid="{00000000-0004-0000-0300-00000A000000}"/>
    <hyperlink ref="D15" r:id="rId12" xr:uid="{00000000-0004-0000-0300-00000B000000}"/>
    <hyperlink ref="D16" r:id="rId13" xr:uid="{00000000-0004-0000-0300-00000C000000}"/>
    <hyperlink ref="D17" r:id="rId14" xr:uid="{00000000-0004-0000-0300-00000D000000}"/>
    <hyperlink ref="D18" r:id="rId15" xr:uid="{00000000-0004-0000-0300-00000E000000}"/>
    <hyperlink ref="D19" r:id="rId16" xr:uid="{00000000-0004-0000-0300-00000F000000}"/>
    <hyperlink ref="D20" r:id="rId17" xr:uid="{00000000-0004-0000-0300-000010000000}"/>
    <hyperlink ref="D21" r:id="rId18" xr:uid="{00000000-0004-0000-0300-000011000000}"/>
    <hyperlink ref="D22" r:id="rId19" xr:uid="{00000000-0004-0000-0300-000012000000}"/>
    <hyperlink ref="D23" r:id="rId20" xr:uid="{00000000-0004-0000-0300-000013000000}"/>
    <hyperlink ref="D24" r:id="rId21" xr:uid="{00000000-0004-0000-0300-000014000000}"/>
    <hyperlink ref="D25" r:id="rId22" xr:uid="{00000000-0004-0000-0300-000015000000}"/>
    <hyperlink ref="D26" r:id="rId23" xr:uid="{00000000-0004-0000-0300-000016000000}"/>
    <hyperlink ref="D27" r:id="rId24" xr:uid="{00000000-0004-0000-0300-000017000000}"/>
    <hyperlink ref="D28" r:id="rId25" xr:uid="{00000000-0004-0000-0300-000018000000}"/>
    <hyperlink ref="D29" r:id="rId26" xr:uid="{00000000-0004-0000-0300-000019000000}"/>
    <hyperlink ref="D30" r:id="rId27" xr:uid="{00000000-0004-0000-0300-00001A000000}"/>
    <hyperlink ref="D31" r:id="rId28" xr:uid="{00000000-0004-0000-0300-00001B000000}"/>
    <hyperlink ref="D32" r:id="rId29" xr:uid="{00000000-0004-0000-0300-00001C000000}"/>
    <hyperlink ref="D33" r:id="rId30" xr:uid="{00000000-0004-0000-0300-00001D000000}"/>
    <hyperlink ref="D34" r:id="rId31" xr:uid="{00000000-0004-0000-0300-00001E000000}"/>
    <hyperlink ref="D35" r:id="rId32" xr:uid="{00000000-0004-0000-0300-00001F000000}"/>
    <hyperlink ref="D36" r:id="rId33" xr:uid="{00000000-0004-0000-0300-000020000000}"/>
    <hyperlink ref="D37" r:id="rId34" xr:uid="{00000000-0004-0000-0300-000021000000}"/>
    <hyperlink ref="D38" r:id="rId35" xr:uid="{00000000-0004-0000-0300-000022000000}"/>
    <hyperlink ref="D39" r:id="rId36" xr:uid="{00000000-0004-0000-0300-000023000000}"/>
    <hyperlink ref="D40" r:id="rId37" xr:uid="{00000000-0004-0000-0300-000024000000}"/>
    <hyperlink ref="D41" r:id="rId38" xr:uid="{00000000-0004-0000-0300-000025000000}"/>
    <hyperlink ref="D42" r:id="rId39" xr:uid="{00000000-0004-0000-0300-000026000000}"/>
    <hyperlink ref="D43" r:id="rId40" xr:uid="{00000000-0004-0000-0300-000027000000}"/>
    <hyperlink ref="D44" r:id="rId41" xr:uid="{00000000-0004-0000-0300-000028000000}"/>
    <hyperlink ref="D45" r:id="rId42" xr:uid="{00000000-0004-0000-0300-000029000000}"/>
    <hyperlink ref="D46" r:id="rId43" xr:uid="{00000000-0004-0000-0300-00002A000000}"/>
    <hyperlink ref="D47" r:id="rId44" xr:uid="{00000000-0004-0000-0300-00002B000000}"/>
    <hyperlink ref="D48" r:id="rId45" xr:uid="{00000000-0004-0000-0300-00002C000000}"/>
    <hyperlink ref="D49" r:id="rId46" xr:uid="{00000000-0004-0000-0300-00002D000000}"/>
    <hyperlink ref="D50" r:id="rId47" xr:uid="{00000000-0004-0000-0300-00002E000000}"/>
    <hyperlink ref="D51" r:id="rId48" xr:uid="{00000000-0004-0000-03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E1000"/>
  <sheetViews>
    <sheetView workbookViewId="0">
      <selection activeCell="B32" sqref="B32"/>
    </sheetView>
  </sheetViews>
  <sheetFormatPr defaultColWidth="12.61328125" defaultRowHeight="15.75" customHeight="1"/>
  <cols>
    <col min="1" max="1" width="5.765625" customWidth="1"/>
    <col min="2" max="2" width="62.3828125" customWidth="1"/>
    <col min="3" max="3" width="22.765625" customWidth="1"/>
  </cols>
  <sheetData>
    <row r="1" spans="1:5" ht="15.75" customHeight="1">
      <c r="A1" s="31" t="s">
        <v>167</v>
      </c>
      <c r="B1" s="31" t="s">
        <v>239</v>
      </c>
      <c r="C1" s="31" t="s">
        <v>53</v>
      </c>
    </row>
    <row r="2" spans="1:5" ht="15.75" customHeight="1">
      <c r="A2" s="32">
        <v>1</v>
      </c>
      <c r="B2" s="33" t="s">
        <v>240</v>
      </c>
      <c r="C2" s="34" t="s">
        <v>241</v>
      </c>
      <c r="D2" s="35">
        <v>1</v>
      </c>
      <c r="E2" s="35"/>
    </row>
    <row r="3" spans="1:5" ht="15.75" customHeight="1">
      <c r="A3" s="32">
        <v>2</v>
      </c>
      <c r="B3" s="33" t="s">
        <v>242</v>
      </c>
      <c r="C3" s="34" t="s">
        <v>243</v>
      </c>
      <c r="D3" s="35"/>
      <c r="E3" s="35"/>
    </row>
    <row r="4" spans="1:5" ht="15.75" customHeight="1">
      <c r="A4" s="32">
        <v>3</v>
      </c>
      <c r="B4" s="33" t="s">
        <v>244</v>
      </c>
      <c r="C4" s="34" t="s">
        <v>245</v>
      </c>
      <c r="D4" s="35"/>
      <c r="E4" s="35"/>
    </row>
    <row r="5" spans="1:5" ht="15.75" customHeight="1">
      <c r="A5" s="32">
        <v>4</v>
      </c>
      <c r="B5" s="33" t="s">
        <v>246</v>
      </c>
      <c r="C5" s="34" t="s">
        <v>247</v>
      </c>
      <c r="D5" s="35"/>
      <c r="E5" s="35"/>
    </row>
    <row r="6" spans="1:5" ht="15.75" customHeight="1">
      <c r="A6" s="32">
        <v>5</v>
      </c>
      <c r="B6" s="33" t="s">
        <v>248</v>
      </c>
      <c r="C6" s="34" t="s">
        <v>249</v>
      </c>
      <c r="D6" s="35"/>
      <c r="E6" s="35"/>
    </row>
    <row r="7" spans="1:5" ht="15.75" customHeight="1">
      <c r="A7" s="32">
        <v>6</v>
      </c>
      <c r="B7" s="33" t="s">
        <v>250</v>
      </c>
      <c r="C7" s="34" t="s">
        <v>251</v>
      </c>
      <c r="D7" s="35">
        <v>2</v>
      </c>
      <c r="E7" s="35"/>
    </row>
    <row r="8" spans="1:5" ht="15.75" customHeight="1">
      <c r="A8" s="32">
        <v>7</v>
      </c>
      <c r="B8" s="33" t="s">
        <v>252</v>
      </c>
      <c r="C8" s="34" t="s">
        <v>253</v>
      </c>
      <c r="D8" s="35">
        <v>3</v>
      </c>
      <c r="E8" s="35"/>
    </row>
    <row r="9" spans="1:5" ht="15.75" customHeight="1">
      <c r="A9" s="32">
        <v>8</v>
      </c>
      <c r="B9" s="33" t="s">
        <v>254</v>
      </c>
      <c r="C9" s="35"/>
      <c r="D9" s="35"/>
      <c r="E9" s="35"/>
    </row>
    <row r="10" spans="1:5" ht="15.75" customHeight="1">
      <c r="A10" s="32">
        <v>9</v>
      </c>
      <c r="B10" s="35" t="s">
        <v>255</v>
      </c>
      <c r="C10" s="36" t="s">
        <v>256</v>
      </c>
      <c r="D10" s="35"/>
      <c r="E10" s="35"/>
    </row>
    <row r="11" spans="1:5" ht="15.75" customHeight="1">
      <c r="A11" s="32">
        <v>10</v>
      </c>
      <c r="B11" s="35" t="s">
        <v>257</v>
      </c>
      <c r="C11" s="36" t="s">
        <v>258</v>
      </c>
      <c r="D11" s="35"/>
      <c r="E11" s="35"/>
    </row>
    <row r="12" spans="1:5" ht="15.75" customHeight="1">
      <c r="A12" s="32">
        <v>11</v>
      </c>
      <c r="B12" s="35" t="s">
        <v>259</v>
      </c>
      <c r="C12" s="36" t="s">
        <v>260</v>
      </c>
      <c r="D12" s="35"/>
      <c r="E12" s="35"/>
    </row>
    <row r="13" spans="1:5" ht="15.75" customHeight="1">
      <c r="A13" s="32"/>
      <c r="B13" s="35"/>
      <c r="C13" s="35"/>
      <c r="D13" s="35"/>
      <c r="E13" s="35"/>
    </row>
    <row r="14" spans="1:5" ht="15.75" customHeight="1">
      <c r="A14" s="32"/>
      <c r="B14" s="35"/>
      <c r="C14" s="35"/>
      <c r="D14" s="35"/>
      <c r="E14" s="35"/>
    </row>
    <row r="15" spans="1:5" ht="15.75" customHeight="1">
      <c r="A15" s="32"/>
      <c r="B15" s="35"/>
      <c r="C15" s="35"/>
      <c r="D15" s="35"/>
      <c r="E15" s="35"/>
    </row>
    <row r="16" spans="1:5" ht="15.75" customHeight="1">
      <c r="A16" s="32"/>
      <c r="B16" s="35"/>
      <c r="C16" s="35"/>
      <c r="D16" s="35"/>
      <c r="E16" s="35"/>
    </row>
    <row r="17" spans="1:5" ht="15.75" customHeight="1">
      <c r="A17" s="32"/>
      <c r="B17" s="35"/>
      <c r="C17" s="35"/>
      <c r="D17" s="35"/>
      <c r="E17" s="35"/>
    </row>
    <row r="18" spans="1:5" ht="15.75" customHeight="1">
      <c r="A18" s="32"/>
      <c r="B18" s="35"/>
      <c r="C18" s="35"/>
      <c r="D18" s="35"/>
      <c r="E18" s="35"/>
    </row>
    <row r="19" spans="1:5" ht="15.75" customHeight="1">
      <c r="A19" s="32"/>
      <c r="B19" s="35"/>
      <c r="C19" s="35"/>
      <c r="D19" s="35"/>
      <c r="E19" s="35"/>
    </row>
    <row r="20" spans="1:5" ht="15.75" customHeight="1">
      <c r="A20" s="32"/>
      <c r="B20" s="35"/>
      <c r="C20" s="35"/>
      <c r="D20" s="35"/>
      <c r="E20" s="35"/>
    </row>
    <row r="21" spans="1:5" ht="15.75" customHeight="1">
      <c r="A21" s="32"/>
      <c r="B21" s="35"/>
      <c r="C21" s="35"/>
      <c r="D21" s="35"/>
      <c r="E21" s="35"/>
    </row>
    <row r="22" spans="1:5" ht="15.75" customHeight="1">
      <c r="A22" s="32"/>
      <c r="B22" s="35"/>
      <c r="C22" s="35"/>
      <c r="D22" s="35"/>
      <c r="E22" s="35"/>
    </row>
    <row r="23" spans="1:5" ht="15.75" customHeight="1">
      <c r="A23" s="32"/>
      <c r="B23" s="35"/>
      <c r="C23" s="35"/>
      <c r="D23" s="35"/>
      <c r="E23" s="35"/>
    </row>
    <row r="24" spans="1:5" ht="15.75" customHeight="1">
      <c r="A24" s="32"/>
      <c r="B24" s="35"/>
      <c r="C24" s="35"/>
      <c r="D24" s="35"/>
      <c r="E24" s="35"/>
    </row>
    <row r="25" spans="1:5" ht="15.75" customHeight="1">
      <c r="A25" s="32"/>
      <c r="B25" s="35"/>
      <c r="C25" s="35"/>
      <c r="D25" s="35"/>
      <c r="E25" s="35"/>
    </row>
    <row r="26" spans="1:5" ht="15.75" customHeight="1">
      <c r="A26" s="32"/>
      <c r="B26" s="35"/>
      <c r="C26" s="35"/>
      <c r="D26" s="35"/>
      <c r="E26" s="35"/>
    </row>
    <row r="27" spans="1:5" ht="15.75" customHeight="1">
      <c r="A27" s="32"/>
      <c r="B27" s="35"/>
      <c r="C27" s="35"/>
      <c r="D27" s="35"/>
      <c r="E27" s="35"/>
    </row>
    <row r="28" spans="1:5" ht="15.75" customHeight="1">
      <c r="A28" s="37"/>
    </row>
    <row r="29" spans="1:5" ht="15.75" customHeight="1">
      <c r="A29" s="37"/>
    </row>
    <row r="30" spans="1:5" ht="15.75" customHeight="1">
      <c r="A30" s="37"/>
    </row>
    <row r="31" spans="1:5" ht="15.75" customHeight="1">
      <c r="A31" s="37"/>
    </row>
    <row r="32" spans="1:5" ht="15.75" customHeight="1">
      <c r="A32" s="37"/>
    </row>
    <row r="33" spans="1:1" ht="15.75" customHeight="1">
      <c r="A33" s="37"/>
    </row>
    <row r="34" spans="1:1" ht="15.75" customHeight="1">
      <c r="A34" s="37"/>
    </row>
    <row r="35" spans="1:1" ht="15.75" customHeight="1">
      <c r="A35" s="37"/>
    </row>
    <row r="36" spans="1:1" ht="15.75" customHeight="1">
      <c r="A36" s="37"/>
    </row>
    <row r="37" spans="1:1" ht="15.75" customHeight="1">
      <c r="A37" s="37"/>
    </row>
    <row r="38" spans="1:1" ht="15.75" customHeight="1">
      <c r="A38" s="37"/>
    </row>
    <row r="39" spans="1:1" ht="15.75" customHeight="1">
      <c r="A39" s="37"/>
    </row>
    <row r="40" spans="1:1" ht="12.45">
      <c r="A40" s="37"/>
    </row>
    <row r="41" spans="1:1" ht="12.45">
      <c r="A41" s="37"/>
    </row>
    <row r="42" spans="1:1" ht="12.45">
      <c r="A42" s="37"/>
    </row>
    <row r="43" spans="1:1" ht="12.45">
      <c r="A43" s="37"/>
    </row>
    <row r="44" spans="1:1" ht="12.45">
      <c r="A44" s="37"/>
    </row>
    <row r="45" spans="1:1" ht="12.45">
      <c r="A45" s="37"/>
    </row>
    <row r="46" spans="1:1" ht="12.45">
      <c r="A46" s="37"/>
    </row>
    <row r="47" spans="1:1" ht="12.45">
      <c r="A47" s="37"/>
    </row>
    <row r="48" spans="1:1" ht="12.45">
      <c r="A48" s="37"/>
    </row>
    <row r="49" spans="1:1" ht="12.45">
      <c r="A49" s="37"/>
    </row>
    <row r="50" spans="1:1" ht="12.45">
      <c r="A50" s="37"/>
    </row>
    <row r="51" spans="1:1" ht="12.45">
      <c r="A51" s="37"/>
    </row>
    <row r="52" spans="1:1" ht="12.45">
      <c r="A52" s="37"/>
    </row>
    <row r="53" spans="1:1" ht="12.45">
      <c r="A53" s="37"/>
    </row>
    <row r="54" spans="1:1" ht="12.45">
      <c r="A54" s="37"/>
    </row>
    <row r="55" spans="1:1" ht="12.45">
      <c r="A55" s="37"/>
    </row>
    <row r="56" spans="1:1" ht="12.45">
      <c r="A56" s="37"/>
    </row>
    <row r="57" spans="1:1" ht="12.45">
      <c r="A57" s="37"/>
    </row>
    <row r="58" spans="1:1" ht="12.45">
      <c r="A58" s="37"/>
    </row>
    <row r="59" spans="1:1" ht="12.45">
      <c r="A59" s="37"/>
    </row>
    <row r="60" spans="1:1" ht="12.45">
      <c r="A60" s="37"/>
    </row>
    <row r="61" spans="1:1" ht="12.45">
      <c r="A61" s="37"/>
    </row>
    <row r="62" spans="1:1" ht="12.45">
      <c r="A62" s="37"/>
    </row>
    <row r="63" spans="1:1" ht="12.45">
      <c r="A63" s="37"/>
    </row>
    <row r="64" spans="1:1" ht="12.45">
      <c r="A64" s="37"/>
    </row>
    <row r="65" spans="1:1" ht="12.45">
      <c r="A65" s="37"/>
    </row>
    <row r="66" spans="1:1" ht="12.45">
      <c r="A66" s="37"/>
    </row>
    <row r="67" spans="1:1" ht="12.45">
      <c r="A67" s="37"/>
    </row>
    <row r="68" spans="1:1" ht="12.45">
      <c r="A68" s="37"/>
    </row>
    <row r="69" spans="1:1" ht="12.45">
      <c r="A69" s="37"/>
    </row>
    <row r="70" spans="1:1" ht="12.45">
      <c r="A70" s="37"/>
    </row>
    <row r="71" spans="1:1" ht="12.45">
      <c r="A71" s="37"/>
    </row>
    <row r="72" spans="1:1" ht="12.45">
      <c r="A72" s="37"/>
    </row>
    <row r="73" spans="1:1" ht="12.45">
      <c r="A73" s="37"/>
    </row>
    <row r="74" spans="1:1" ht="12.45">
      <c r="A74" s="37"/>
    </row>
    <row r="75" spans="1:1" ht="12.45">
      <c r="A75" s="37"/>
    </row>
    <row r="76" spans="1:1" ht="12.45">
      <c r="A76" s="37"/>
    </row>
    <row r="77" spans="1:1" ht="12.45">
      <c r="A77" s="37"/>
    </row>
    <row r="78" spans="1:1" ht="12.45">
      <c r="A78" s="37"/>
    </row>
    <row r="79" spans="1:1" ht="12.45">
      <c r="A79" s="37"/>
    </row>
    <row r="80" spans="1:1" ht="12.45">
      <c r="A80" s="37"/>
    </row>
    <row r="81" spans="1:1" ht="12.45">
      <c r="A81" s="37"/>
    </row>
    <row r="82" spans="1:1" ht="12.45">
      <c r="A82" s="37"/>
    </row>
    <row r="83" spans="1:1" ht="12.45">
      <c r="A83" s="37"/>
    </row>
    <row r="84" spans="1:1" ht="12.45">
      <c r="A84" s="37"/>
    </row>
    <row r="85" spans="1:1" ht="12.45">
      <c r="A85" s="37"/>
    </row>
    <row r="86" spans="1:1" ht="12.45">
      <c r="A86" s="37"/>
    </row>
    <row r="87" spans="1:1" ht="12.45">
      <c r="A87" s="37"/>
    </row>
    <row r="88" spans="1:1" ht="12.45">
      <c r="A88" s="37"/>
    </row>
    <row r="89" spans="1:1" ht="12.45">
      <c r="A89" s="37"/>
    </row>
    <row r="90" spans="1:1" ht="12.45">
      <c r="A90" s="37"/>
    </row>
    <row r="91" spans="1:1" ht="12.45">
      <c r="A91" s="37"/>
    </row>
    <row r="92" spans="1:1" ht="12.45">
      <c r="A92" s="37"/>
    </row>
    <row r="93" spans="1:1" ht="12.45">
      <c r="A93" s="37"/>
    </row>
    <row r="94" spans="1:1" ht="12.45">
      <c r="A94" s="37"/>
    </row>
    <row r="95" spans="1:1" ht="12.45">
      <c r="A95" s="37"/>
    </row>
    <row r="96" spans="1:1" ht="12.45">
      <c r="A96" s="37"/>
    </row>
    <row r="97" spans="1:1" ht="12.45">
      <c r="A97" s="37"/>
    </row>
    <row r="98" spans="1:1" ht="12.45">
      <c r="A98" s="37"/>
    </row>
    <row r="99" spans="1:1" ht="12.45">
      <c r="A99" s="37"/>
    </row>
    <row r="100" spans="1:1" ht="12.45">
      <c r="A100" s="37"/>
    </row>
    <row r="101" spans="1:1" ht="12.45">
      <c r="A101" s="37"/>
    </row>
    <row r="102" spans="1:1" ht="12.45">
      <c r="A102" s="37"/>
    </row>
    <row r="103" spans="1:1" ht="12.45">
      <c r="A103" s="37"/>
    </row>
    <row r="104" spans="1:1" ht="12.45">
      <c r="A104" s="37"/>
    </row>
    <row r="105" spans="1:1" ht="12.45">
      <c r="A105" s="37"/>
    </row>
    <row r="106" spans="1:1" ht="12.45">
      <c r="A106" s="37"/>
    </row>
    <row r="107" spans="1:1" ht="12.45">
      <c r="A107" s="37"/>
    </row>
    <row r="108" spans="1:1" ht="12.45">
      <c r="A108" s="37"/>
    </row>
    <row r="109" spans="1:1" ht="12.45">
      <c r="A109" s="37"/>
    </row>
    <row r="110" spans="1:1" ht="12.45">
      <c r="A110" s="37"/>
    </row>
    <row r="111" spans="1:1" ht="12.45">
      <c r="A111" s="37"/>
    </row>
    <row r="112" spans="1:1" ht="12.45">
      <c r="A112" s="37"/>
    </row>
    <row r="113" spans="1:1" ht="12.45">
      <c r="A113" s="37"/>
    </row>
    <row r="114" spans="1:1" ht="12.45">
      <c r="A114" s="37"/>
    </row>
    <row r="115" spans="1:1" ht="12.45">
      <c r="A115" s="37"/>
    </row>
    <row r="116" spans="1:1" ht="12.45">
      <c r="A116" s="37"/>
    </row>
    <row r="117" spans="1:1" ht="12.45">
      <c r="A117" s="37"/>
    </row>
    <row r="118" spans="1:1" ht="12.45">
      <c r="A118" s="37"/>
    </row>
    <row r="119" spans="1:1" ht="12.45">
      <c r="A119" s="37"/>
    </row>
    <row r="120" spans="1:1" ht="12.45">
      <c r="A120" s="37"/>
    </row>
    <row r="121" spans="1:1" ht="12.45">
      <c r="A121" s="37"/>
    </row>
    <row r="122" spans="1:1" ht="12.45">
      <c r="A122" s="37"/>
    </row>
    <row r="123" spans="1:1" ht="12.45">
      <c r="A123" s="37"/>
    </row>
    <row r="124" spans="1:1" ht="12.45">
      <c r="A124" s="37"/>
    </row>
    <row r="125" spans="1:1" ht="12.45">
      <c r="A125" s="37"/>
    </row>
    <row r="126" spans="1:1" ht="12.45">
      <c r="A126" s="37"/>
    </row>
    <row r="127" spans="1:1" ht="12.45">
      <c r="A127" s="37"/>
    </row>
    <row r="128" spans="1:1" ht="12.45">
      <c r="A128" s="37"/>
    </row>
    <row r="129" spans="1:1" ht="12.45">
      <c r="A129" s="37"/>
    </row>
    <row r="130" spans="1:1" ht="12.45">
      <c r="A130" s="37"/>
    </row>
    <row r="131" spans="1:1" ht="12.45">
      <c r="A131" s="37"/>
    </row>
    <row r="132" spans="1:1" ht="12.45">
      <c r="A132" s="37"/>
    </row>
    <row r="133" spans="1:1" ht="12.45">
      <c r="A133" s="37"/>
    </row>
    <row r="134" spans="1:1" ht="12.45">
      <c r="A134" s="37"/>
    </row>
    <row r="135" spans="1:1" ht="12.45">
      <c r="A135" s="37"/>
    </row>
    <row r="136" spans="1:1" ht="12.45">
      <c r="A136" s="37"/>
    </row>
    <row r="137" spans="1:1" ht="12.45">
      <c r="A137" s="37"/>
    </row>
    <row r="138" spans="1:1" ht="12.45">
      <c r="A138" s="37"/>
    </row>
    <row r="139" spans="1:1" ht="12.45">
      <c r="A139" s="37"/>
    </row>
    <row r="140" spans="1:1" ht="12.45">
      <c r="A140" s="37"/>
    </row>
    <row r="141" spans="1:1" ht="12.45">
      <c r="A141" s="37"/>
    </row>
    <row r="142" spans="1:1" ht="12.45">
      <c r="A142" s="37"/>
    </row>
    <row r="143" spans="1:1" ht="12.45">
      <c r="A143" s="37"/>
    </row>
    <row r="144" spans="1:1" ht="12.45">
      <c r="A144" s="37"/>
    </row>
    <row r="145" spans="1:1" ht="12.45">
      <c r="A145" s="37"/>
    </row>
    <row r="146" spans="1:1" ht="12.45">
      <c r="A146" s="37"/>
    </row>
    <row r="147" spans="1:1" ht="12.45">
      <c r="A147" s="37"/>
    </row>
    <row r="148" spans="1:1" ht="12.45">
      <c r="A148" s="37"/>
    </row>
    <row r="149" spans="1:1" ht="12.45">
      <c r="A149" s="37"/>
    </row>
    <row r="150" spans="1:1" ht="12.45">
      <c r="A150" s="37"/>
    </row>
    <row r="151" spans="1:1" ht="12.45">
      <c r="A151" s="37"/>
    </row>
    <row r="152" spans="1:1" ht="12.45">
      <c r="A152" s="37"/>
    </row>
    <row r="153" spans="1:1" ht="12.45">
      <c r="A153" s="37"/>
    </row>
    <row r="154" spans="1:1" ht="12.45">
      <c r="A154" s="37"/>
    </row>
    <row r="155" spans="1:1" ht="12.45">
      <c r="A155" s="37"/>
    </row>
    <row r="156" spans="1:1" ht="12.45">
      <c r="A156" s="37"/>
    </row>
    <row r="157" spans="1:1" ht="12.45">
      <c r="A157" s="37"/>
    </row>
    <row r="158" spans="1:1" ht="12.45">
      <c r="A158" s="37"/>
    </row>
    <row r="159" spans="1:1" ht="12.45">
      <c r="A159" s="37"/>
    </row>
    <row r="160" spans="1:1" ht="12.45">
      <c r="A160" s="37"/>
    </row>
    <row r="161" spans="1:1" ht="12.45">
      <c r="A161" s="37"/>
    </row>
    <row r="162" spans="1:1" ht="12.45">
      <c r="A162" s="37"/>
    </row>
    <row r="163" spans="1:1" ht="12.45">
      <c r="A163" s="37"/>
    </row>
    <row r="164" spans="1:1" ht="12.45">
      <c r="A164" s="37"/>
    </row>
    <row r="165" spans="1:1" ht="12.45">
      <c r="A165" s="37"/>
    </row>
    <row r="166" spans="1:1" ht="12.45">
      <c r="A166" s="37"/>
    </row>
    <row r="167" spans="1:1" ht="12.45">
      <c r="A167" s="37"/>
    </row>
    <row r="168" spans="1:1" ht="12.45">
      <c r="A168" s="37"/>
    </row>
    <row r="169" spans="1:1" ht="12.45">
      <c r="A169" s="37"/>
    </row>
    <row r="170" spans="1:1" ht="12.45">
      <c r="A170" s="37"/>
    </row>
    <row r="171" spans="1:1" ht="12.45">
      <c r="A171" s="37"/>
    </row>
    <row r="172" spans="1:1" ht="12.45">
      <c r="A172" s="37"/>
    </row>
    <row r="173" spans="1:1" ht="12.45">
      <c r="A173" s="37"/>
    </row>
    <row r="174" spans="1:1" ht="12.45">
      <c r="A174" s="37"/>
    </row>
    <row r="175" spans="1:1" ht="12.45">
      <c r="A175" s="37"/>
    </row>
    <row r="176" spans="1:1" ht="12.45">
      <c r="A176" s="37"/>
    </row>
    <row r="177" spans="1:1" ht="12.45">
      <c r="A177" s="37"/>
    </row>
    <row r="178" spans="1:1" ht="12.45">
      <c r="A178" s="37"/>
    </row>
    <row r="179" spans="1:1" ht="12.45">
      <c r="A179" s="37"/>
    </row>
    <row r="180" spans="1:1" ht="12.45">
      <c r="A180" s="37"/>
    </row>
    <row r="181" spans="1:1" ht="12.45">
      <c r="A181" s="37"/>
    </row>
    <row r="182" spans="1:1" ht="12.45">
      <c r="A182" s="37"/>
    </row>
    <row r="183" spans="1:1" ht="12.45">
      <c r="A183" s="37"/>
    </row>
    <row r="184" spans="1:1" ht="12.45">
      <c r="A184" s="37"/>
    </row>
    <row r="185" spans="1:1" ht="12.45">
      <c r="A185" s="37"/>
    </row>
    <row r="186" spans="1:1" ht="12.45">
      <c r="A186" s="37"/>
    </row>
    <row r="187" spans="1:1" ht="12.45">
      <c r="A187" s="37"/>
    </row>
    <row r="188" spans="1:1" ht="12.45">
      <c r="A188" s="37"/>
    </row>
    <row r="189" spans="1:1" ht="12.45">
      <c r="A189" s="37"/>
    </row>
    <row r="190" spans="1:1" ht="12.45">
      <c r="A190" s="37"/>
    </row>
    <row r="191" spans="1:1" ht="12.45">
      <c r="A191" s="37"/>
    </row>
    <row r="192" spans="1:1" ht="12.45">
      <c r="A192" s="37"/>
    </row>
    <row r="193" spans="1:1" ht="12.45">
      <c r="A193" s="37"/>
    </row>
    <row r="194" spans="1:1" ht="12.45">
      <c r="A194" s="37"/>
    </row>
    <row r="195" spans="1:1" ht="12.45">
      <c r="A195" s="37"/>
    </row>
    <row r="196" spans="1:1" ht="12.45">
      <c r="A196" s="37"/>
    </row>
    <row r="197" spans="1:1" ht="12.45">
      <c r="A197" s="37"/>
    </row>
    <row r="198" spans="1:1" ht="12.45">
      <c r="A198" s="37"/>
    </row>
    <row r="199" spans="1:1" ht="12.45">
      <c r="A199" s="37"/>
    </row>
    <row r="200" spans="1:1" ht="12.45">
      <c r="A200" s="37"/>
    </row>
    <row r="201" spans="1:1" ht="12.45">
      <c r="A201" s="37"/>
    </row>
    <row r="202" spans="1:1" ht="12.45">
      <c r="A202" s="37"/>
    </row>
    <row r="203" spans="1:1" ht="12.45">
      <c r="A203" s="37"/>
    </row>
    <row r="204" spans="1:1" ht="12.45">
      <c r="A204" s="37"/>
    </row>
    <row r="205" spans="1:1" ht="12.45">
      <c r="A205" s="37"/>
    </row>
    <row r="206" spans="1:1" ht="12.45">
      <c r="A206" s="37"/>
    </row>
    <row r="207" spans="1:1" ht="12.45">
      <c r="A207" s="37"/>
    </row>
    <row r="208" spans="1:1" ht="12.45">
      <c r="A208" s="37"/>
    </row>
    <row r="209" spans="1:1" ht="12.45">
      <c r="A209" s="37"/>
    </row>
    <row r="210" spans="1:1" ht="12.45">
      <c r="A210" s="37"/>
    </row>
    <row r="211" spans="1:1" ht="12.45">
      <c r="A211" s="37"/>
    </row>
    <row r="212" spans="1:1" ht="12.45">
      <c r="A212" s="37"/>
    </row>
    <row r="213" spans="1:1" ht="12.45">
      <c r="A213" s="37"/>
    </row>
    <row r="214" spans="1:1" ht="12.45">
      <c r="A214" s="37"/>
    </row>
    <row r="215" spans="1:1" ht="12.45">
      <c r="A215" s="37"/>
    </row>
    <row r="216" spans="1:1" ht="12.45">
      <c r="A216" s="37"/>
    </row>
    <row r="217" spans="1:1" ht="12.45">
      <c r="A217" s="37"/>
    </row>
    <row r="218" spans="1:1" ht="12.45">
      <c r="A218" s="37"/>
    </row>
    <row r="219" spans="1:1" ht="12.45">
      <c r="A219" s="37"/>
    </row>
    <row r="220" spans="1:1" ht="12.45">
      <c r="A220" s="37"/>
    </row>
    <row r="221" spans="1:1" ht="12.45">
      <c r="A221" s="37"/>
    </row>
    <row r="222" spans="1:1" ht="12.45">
      <c r="A222" s="37"/>
    </row>
    <row r="223" spans="1:1" ht="12.45">
      <c r="A223" s="37"/>
    </row>
    <row r="224" spans="1:1" ht="12.45">
      <c r="A224" s="37"/>
    </row>
    <row r="225" spans="1:1" ht="12.45">
      <c r="A225" s="37"/>
    </row>
    <row r="226" spans="1:1" ht="12.45">
      <c r="A226" s="37"/>
    </row>
    <row r="227" spans="1:1" ht="12.45">
      <c r="A227" s="37"/>
    </row>
    <row r="228" spans="1:1" ht="12.45">
      <c r="A228" s="37"/>
    </row>
    <row r="229" spans="1:1" ht="12.45">
      <c r="A229" s="37"/>
    </row>
    <row r="230" spans="1:1" ht="12.45">
      <c r="A230" s="37"/>
    </row>
    <row r="231" spans="1:1" ht="12.45">
      <c r="A231" s="37"/>
    </row>
    <row r="232" spans="1:1" ht="12.45">
      <c r="A232" s="37"/>
    </row>
    <row r="233" spans="1:1" ht="12.45">
      <c r="A233" s="37"/>
    </row>
    <row r="234" spans="1:1" ht="12.45">
      <c r="A234" s="37"/>
    </row>
    <row r="235" spans="1:1" ht="12.45">
      <c r="A235" s="37"/>
    </row>
    <row r="236" spans="1:1" ht="12.45">
      <c r="A236" s="37"/>
    </row>
    <row r="237" spans="1:1" ht="12.45">
      <c r="A237" s="37"/>
    </row>
    <row r="238" spans="1:1" ht="12.45">
      <c r="A238" s="37"/>
    </row>
    <row r="239" spans="1:1" ht="12.45">
      <c r="A239" s="37"/>
    </row>
    <row r="240" spans="1:1" ht="12.45">
      <c r="A240" s="37"/>
    </row>
    <row r="241" spans="1:1" ht="12.45">
      <c r="A241" s="37"/>
    </row>
    <row r="242" spans="1:1" ht="12.45">
      <c r="A242" s="37"/>
    </row>
    <row r="243" spans="1:1" ht="12.45">
      <c r="A243" s="37"/>
    </row>
    <row r="244" spans="1:1" ht="12.45">
      <c r="A244" s="37"/>
    </row>
    <row r="245" spans="1:1" ht="12.45">
      <c r="A245" s="37"/>
    </row>
    <row r="246" spans="1:1" ht="12.45">
      <c r="A246" s="37"/>
    </row>
    <row r="247" spans="1:1" ht="12.45">
      <c r="A247" s="37"/>
    </row>
    <row r="248" spans="1:1" ht="12.45">
      <c r="A248" s="37"/>
    </row>
    <row r="249" spans="1:1" ht="12.45">
      <c r="A249" s="37"/>
    </row>
    <row r="250" spans="1:1" ht="12.45">
      <c r="A250" s="37"/>
    </row>
    <row r="251" spans="1:1" ht="12.45">
      <c r="A251" s="37"/>
    </row>
    <row r="252" spans="1:1" ht="12.45">
      <c r="A252" s="37"/>
    </row>
    <row r="253" spans="1:1" ht="12.45">
      <c r="A253" s="37"/>
    </row>
    <row r="254" spans="1:1" ht="12.45">
      <c r="A254" s="37"/>
    </row>
    <row r="255" spans="1:1" ht="12.45">
      <c r="A255" s="37"/>
    </row>
    <row r="256" spans="1:1" ht="12.45">
      <c r="A256" s="37"/>
    </row>
    <row r="257" spans="1:1" ht="12.45">
      <c r="A257" s="37"/>
    </row>
    <row r="258" spans="1:1" ht="12.45">
      <c r="A258" s="37"/>
    </row>
    <row r="259" spans="1:1" ht="12.45">
      <c r="A259" s="37"/>
    </row>
    <row r="260" spans="1:1" ht="12.45">
      <c r="A260" s="37"/>
    </row>
    <row r="261" spans="1:1" ht="12.45">
      <c r="A261" s="37"/>
    </row>
    <row r="262" spans="1:1" ht="12.45">
      <c r="A262" s="37"/>
    </row>
    <row r="263" spans="1:1" ht="12.45">
      <c r="A263" s="37"/>
    </row>
    <row r="264" spans="1:1" ht="12.45">
      <c r="A264" s="37"/>
    </row>
    <row r="265" spans="1:1" ht="12.45">
      <c r="A265" s="37"/>
    </row>
    <row r="266" spans="1:1" ht="12.45">
      <c r="A266" s="37"/>
    </row>
    <row r="267" spans="1:1" ht="12.45">
      <c r="A267" s="37"/>
    </row>
    <row r="268" spans="1:1" ht="12.45">
      <c r="A268" s="37"/>
    </row>
    <row r="269" spans="1:1" ht="12.45">
      <c r="A269" s="37"/>
    </row>
    <row r="270" spans="1:1" ht="12.45">
      <c r="A270" s="37"/>
    </row>
    <row r="271" spans="1:1" ht="12.45">
      <c r="A271" s="37"/>
    </row>
    <row r="272" spans="1:1" ht="12.45">
      <c r="A272" s="37"/>
    </row>
    <row r="273" spans="1:1" ht="12.45">
      <c r="A273" s="37"/>
    </row>
    <row r="274" spans="1:1" ht="12.45">
      <c r="A274" s="37"/>
    </row>
    <row r="275" spans="1:1" ht="12.45">
      <c r="A275" s="37"/>
    </row>
    <row r="276" spans="1:1" ht="12.45">
      <c r="A276" s="37"/>
    </row>
    <row r="277" spans="1:1" ht="12.45">
      <c r="A277" s="37"/>
    </row>
    <row r="278" spans="1:1" ht="12.45">
      <c r="A278" s="37"/>
    </row>
    <row r="279" spans="1:1" ht="12.45">
      <c r="A279" s="37"/>
    </row>
    <row r="280" spans="1:1" ht="12.45">
      <c r="A280" s="37"/>
    </row>
    <row r="281" spans="1:1" ht="12.45">
      <c r="A281" s="37"/>
    </row>
    <row r="282" spans="1:1" ht="12.45">
      <c r="A282" s="37"/>
    </row>
    <row r="283" spans="1:1" ht="12.45">
      <c r="A283" s="37"/>
    </row>
    <row r="284" spans="1:1" ht="12.45">
      <c r="A284" s="37"/>
    </row>
    <row r="285" spans="1:1" ht="12.45">
      <c r="A285" s="37"/>
    </row>
    <row r="286" spans="1:1" ht="12.45">
      <c r="A286" s="37"/>
    </row>
    <row r="287" spans="1:1" ht="12.45">
      <c r="A287" s="37"/>
    </row>
    <row r="288" spans="1:1" ht="12.45">
      <c r="A288" s="37"/>
    </row>
    <row r="289" spans="1:1" ht="12.45">
      <c r="A289" s="37"/>
    </row>
    <row r="290" spans="1:1" ht="12.45">
      <c r="A290" s="37"/>
    </row>
    <row r="291" spans="1:1" ht="12.45">
      <c r="A291" s="37"/>
    </row>
    <row r="292" spans="1:1" ht="12.45">
      <c r="A292" s="37"/>
    </row>
    <row r="293" spans="1:1" ht="12.45">
      <c r="A293" s="37"/>
    </row>
    <row r="294" spans="1:1" ht="12.45">
      <c r="A294" s="37"/>
    </row>
    <row r="295" spans="1:1" ht="12.45">
      <c r="A295" s="37"/>
    </row>
    <row r="296" spans="1:1" ht="12.45">
      <c r="A296" s="37"/>
    </row>
    <row r="297" spans="1:1" ht="12.45">
      <c r="A297" s="37"/>
    </row>
    <row r="298" spans="1:1" ht="12.45">
      <c r="A298" s="37"/>
    </row>
    <row r="299" spans="1:1" ht="12.45">
      <c r="A299" s="37"/>
    </row>
    <row r="300" spans="1:1" ht="12.45">
      <c r="A300" s="37"/>
    </row>
    <row r="301" spans="1:1" ht="12.45">
      <c r="A301" s="37"/>
    </row>
    <row r="302" spans="1:1" ht="12.45">
      <c r="A302" s="37"/>
    </row>
    <row r="303" spans="1:1" ht="12.45">
      <c r="A303" s="37"/>
    </row>
    <row r="304" spans="1:1" ht="12.45">
      <c r="A304" s="37"/>
    </row>
    <row r="305" spans="1:1" ht="12.45">
      <c r="A305" s="37"/>
    </row>
    <row r="306" spans="1:1" ht="12.45">
      <c r="A306" s="37"/>
    </row>
    <row r="307" spans="1:1" ht="12.45">
      <c r="A307" s="37"/>
    </row>
    <row r="308" spans="1:1" ht="12.45">
      <c r="A308" s="37"/>
    </row>
    <row r="309" spans="1:1" ht="12.45">
      <c r="A309" s="37"/>
    </row>
    <row r="310" spans="1:1" ht="12.45">
      <c r="A310" s="37"/>
    </row>
    <row r="311" spans="1:1" ht="12.45">
      <c r="A311" s="37"/>
    </row>
    <row r="312" spans="1:1" ht="12.45">
      <c r="A312" s="37"/>
    </row>
    <row r="313" spans="1:1" ht="12.45">
      <c r="A313" s="37"/>
    </row>
    <row r="314" spans="1:1" ht="12.45">
      <c r="A314" s="37"/>
    </row>
    <row r="315" spans="1:1" ht="12.45">
      <c r="A315" s="37"/>
    </row>
    <row r="316" spans="1:1" ht="12.45">
      <c r="A316" s="37"/>
    </row>
    <row r="317" spans="1:1" ht="12.45">
      <c r="A317" s="37"/>
    </row>
    <row r="318" spans="1:1" ht="12.45">
      <c r="A318" s="37"/>
    </row>
    <row r="319" spans="1:1" ht="12.45">
      <c r="A319" s="37"/>
    </row>
    <row r="320" spans="1:1" ht="12.45">
      <c r="A320" s="37"/>
    </row>
    <row r="321" spans="1:1" ht="12.45">
      <c r="A321" s="37"/>
    </row>
    <row r="322" spans="1:1" ht="12.45">
      <c r="A322" s="37"/>
    </row>
    <row r="323" spans="1:1" ht="12.45">
      <c r="A323" s="37"/>
    </row>
    <row r="324" spans="1:1" ht="12.45">
      <c r="A324" s="37"/>
    </row>
    <row r="325" spans="1:1" ht="12.45">
      <c r="A325" s="37"/>
    </row>
    <row r="326" spans="1:1" ht="12.45">
      <c r="A326" s="37"/>
    </row>
    <row r="327" spans="1:1" ht="12.45">
      <c r="A327" s="37"/>
    </row>
    <row r="328" spans="1:1" ht="12.45">
      <c r="A328" s="37"/>
    </row>
    <row r="329" spans="1:1" ht="12.45">
      <c r="A329" s="37"/>
    </row>
    <row r="330" spans="1:1" ht="12.45">
      <c r="A330" s="37"/>
    </row>
    <row r="331" spans="1:1" ht="12.45">
      <c r="A331" s="37"/>
    </row>
    <row r="332" spans="1:1" ht="12.45">
      <c r="A332" s="37"/>
    </row>
    <row r="333" spans="1:1" ht="12.45">
      <c r="A333" s="37"/>
    </row>
    <row r="334" spans="1:1" ht="12.45">
      <c r="A334" s="37"/>
    </row>
    <row r="335" spans="1:1" ht="12.45">
      <c r="A335" s="37"/>
    </row>
    <row r="336" spans="1:1" ht="12.45">
      <c r="A336" s="37"/>
    </row>
    <row r="337" spans="1:1" ht="12.45">
      <c r="A337" s="37"/>
    </row>
    <row r="338" spans="1:1" ht="12.45">
      <c r="A338" s="37"/>
    </row>
    <row r="339" spans="1:1" ht="12.45">
      <c r="A339" s="37"/>
    </row>
    <row r="340" spans="1:1" ht="12.45">
      <c r="A340" s="37"/>
    </row>
    <row r="341" spans="1:1" ht="12.45">
      <c r="A341" s="37"/>
    </row>
    <row r="342" spans="1:1" ht="12.45">
      <c r="A342" s="37"/>
    </row>
    <row r="343" spans="1:1" ht="12.45">
      <c r="A343" s="37"/>
    </row>
    <row r="344" spans="1:1" ht="12.45">
      <c r="A344" s="37"/>
    </row>
    <row r="345" spans="1:1" ht="12.45">
      <c r="A345" s="37"/>
    </row>
    <row r="346" spans="1:1" ht="12.45">
      <c r="A346" s="37"/>
    </row>
    <row r="347" spans="1:1" ht="12.45">
      <c r="A347" s="37"/>
    </row>
    <row r="348" spans="1:1" ht="12.45">
      <c r="A348" s="37"/>
    </row>
    <row r="349" spans="1:1" ht="12.45">
      <c r="A349" s="37"/>
    </row>
    <row r="350" spans="1:1" ht="12.45">
      <c r="A350" s="37"/>
    </row>
    <row r="351" spans="1:1" ht="12.45">
      <c r="A351" s="37"/>
    </row>
    <row r="352" spans="1:1" ht="12.45">
      <c r="A352" s="37"/>
    </row>
    <row r="353" spans="1:1" ht="12.45">
      <c r="A353" s="37"/>
    </row>
    <row r="354" spans="1:1" ht="12.45">
      <c r="A354" s="37"/>
    </row>
    <row r="355" spans="1:1" ht="12.45">
      <c r="A355" s="37"/>
    </row>
    <row r="356" spans="1:1" ht="12.45">
      <c r="A356" s="37"/>
    </row>
    <row r="357" spans="1:1" ht="12.45">
      <c r="A357" s="37"/>
    </row>
    <row r="358" spans="1:1" ht="12.45">
      <c r="A358" s="37"/>
    </row>
    <row r="359" spans="1:1" ht="12.45">
      <c r="A359" s="37"/>
    </row>
    <row r="360" spans="1:1" ht="12.45">
      <c r="A360" s="37"/>
    </row>
    <row r="361" spans="1:1" ht="12.45">
      <c r="A361" s="37"/>
    </row>
    <row r="362" spans="1:1" ht="12.45">
      <c r="A362" s="37"/>
    </row>
    <row r="363" spans="1:1" ht="12.45">
      <c r="A363" s="37"/>
    </row>
    <row r="364" spans="1:1" ht="12.45">
      <c r="A364" s="37"/>
    </row>
    <row r="365" spans="1:1" ht="12.45">
      <c r="A365" s="37"/>
    </row>
    <row r="366" spans="1:1" ht="12.45">
      <c r="A366" s="37"/>
    </row>
    <row r="367" spans="1:1" ht="12.45">
      <c r="A367" s="37"/>
    </row>
    <row r="368" spans="1:1" ht="12.45">
      <c r="A368" s="37"/>
    </row>
    <row r="369" spans="1:1" ht="12.45">
      <c r="A369" s="37"/>
    </row>
    <row r="370" spans="1:1" ht="12.45">
      <c r="A370" s="37"/>
    </row>
    <row r="371" spans="1:1" ht="12.45">
      <c r="A371" s="37"/>
    </row>
    <row r="372" spans="1:1" ht="12.45">
      <c r="A372" s="37"/>
    </row>
    <row r="373" spans="1:1" ht="12.45">
      <c r="A373" s="37"/>
    </row>
    <row r="374" spans="1:1" ht="12.45">
      <c r="A374" s="37"/>
    </row>
    <row r="375" spans="1:1" ht="12.45">
      <c r="A375" s="37"/>
    </row>
    <row r="376" spans="1:1" ht="12.45">
      <c r="A376" s="37"/>
    </row>
    <row r="377" spans="1:1" ht="12.45">
      <c r="A377" s="37"/>
    </row>
    <row r="378" spans="1:1" ht="12.45">
      <c r="A378" s="37"/>
    </row>
    <row r="379" spans="1:1" ht="12.45">
      <c r="A379" s="37"/>
    </row>
    <row r="380" spans="1:1" ht="12.45">
      <c r="A380" s="37"/>
    </row>
    <row r="381" spans="1:1" ht="12.45">
      <c r="A381" s="37"/>
    </row>
    <row r="382" spans="1:1" ht="12.45">
      <c r="A382" s="37"/>
    </row>
    <row r="383" spans="1:1" ht="12.45">
      <c r="A383" s="37"/>
    </row>
    <row r="384" spans="1:1" ht="12.45">
      <c r="A384" s="37"/>
    </row>
    <row r="385" spans="1:1" ht="12.45">
      <c r="A385" s="37"/>
    </row>
    <row r="386" spans="1:1" ht="12.45">
      <c r="A386" s="37"/>
    </row>
    <row r="387" spans="1:1" ht="12.45">
      <c r="A387" s="37"/>
    </row>
    <row r="388" spans="1:1" ht="12.45">
      <c r="A388" s="37"/>
    </row>
    <row r="389" spans="1:1" ht="12.45">
      <c r="A389" s="37"/>
    </row>
    <row r="390" spans="1:1" ht="12.45">
      <c r="A390" s="37"/>
    </row>
    <row r="391" spans="1:1" ht="12.45">
      <c r="A391" s="37"/>
    </row>
    <row r="392" spans="1:1" ht="12.45">
      <c r="A392" s="37"/>
    </row>
    <row r="393" spans="1:1" ht="12.45">
      <c r="A393" s="37"/>
    </row>
    <row r="394" spans="1:1" ht="12.45">
      <c r="A394" s="37"/>
    </row>
    <row r="395" spans="1:1" ht="12.45">
      <c r="A395" s="37"/>
    </row>
    <row r="396" spans="1:1" ht="12.45">
      <c r="A396" s="37"/>
    </row>
    <row r="397" spans="1:1" ht="12.45">
      <c r="A397" s="37"/>
    </row>
    <row r="398" spans="1:1" ht="12.45">
      <c r="A398" s="37"/>
    </row>
    <row r="399" spans="1:1" ht="12.45">
      <c r="A399" s="37"/>
    </row>
    <row r="400" spans="1:1" ht="12.45">
      <c r="A400" s="37"/>
    </row>
    <row r="401" spans="1:1" ht="12.45">
      <c r="A401" s="37"/>
    </row>
    <row r="402" spans="1:1" ht="12.45">
      <c r="A402" s="37"/>
    </row>
    <row r="403" spans="1:1" ht="12.45">
      <c r="A403" s="37"/>
    </row>
    <row r="404" spans="1:1" ht="12.45">
      <c r="A404" s="37"/>
    </row>
    <row r="405" spans="1:1" ht="12.45">
      <c r="A405" s="37"/>
    </row>
    <row r="406" spans="1:1" ht="12.45">
      <c r="A406" s="37"/>
    </row>
    <row r="407" spans="1:1" ht="12.45">
      <c r="A407" s="37"/>
    </row>
    <row r="408" spans="1:1" ht="12.45">
      <c r="A408" s="37"/>
    </row>
    <row r="409" spans="1:1" ht="12.45">
      <c r="A409" s="37"/>
    </row>
    <row r="410" spans="1:1" ht="12.45">
      <c r="A410" s="37"/>
    </row>
    <row r="411" spans="1:1" ht="12.45">
      <c r="A411" s="37"/>
    </row>
    <row r="412" spans="1:1" ht="12.45">
      <c r="A412" s="37"/>
    </row>
    <row r="413" spans="1:1" ht="12.45">
      <c r="A413" s="37"/>
    </row>
    <row r="414" spans="1:1" ht="12.45">
      <c r="A414" s="37"/>
    </row>
    <row r="415" spans="1:1" ht="12.45">
      <c r="A415" s="37"/>
    </row>
    <row r="416" spans="1:1" ht="12.45">
      <c r="A416" s="37"/>
    </row>
    <row r="417" spans="1:1" ht="12.45">
      <c r="A417" s="37"/>
    </row>
    <row r="418" spans="1:1" ht="12.45">
      <c r="A418" s="37"/>
    </row>
    <row r="419" spans="1:1" ht="12.45">
      <c r="A419" s="37"/>
    </row>
    <row r="420" spans="1:1" ht="12.45">
      <c r="A420" s="37"/>
    </row>
    <row r="421" spans="1:1" ht="12.45">
      <c r="A421" s="37"/>
    </row>
    <row r="422" spans="1:1" ht="12.45">
      <c r="A422" s="37"/>
    </row>
    <row r="423" spans="1:1" ht="12.45">
      <c r="A423" s="37"/>
    </row>
    <row r="424" spans="1:1" ht="12.45">
      <c r="A424" s="37"/>
    </row>
    <row r="425" spans="1:1" ht="12.45">
      <c r="A425" s="37"/>
    </row>
    <row r="426" spans="1:1" ht="12.45">
      <c r="A426" s="37"/>
    </row>
    <row r="427" spans="1:1" ht="12.45">
      <c r="A427" s="37"/>
    </row>
    <row r="428" spans="1:1" ht="12.45">
      <c r="A428" s="37"/>
    </row>
    <row r="429" spans="1:1" ht="12.45">
      <c r="A429" s="37"/>
    </row>
    <row r="430" spans="1:1" ht="12.45">
      <c r="A430" s="37"/>
    </row>
    <row r="431" spans="1:1" ht="12.45">
      <c r="A431" s="37"/>
    </row>
    <row r="432" spans="1:1" ht="12.45">
      <c r="A432" s="37"/>
    </row>
    <row r="433" spans="1:1" ht="12.45">
      <c r="A433" s="37"/>
    </row>
    <row r="434" spans="1:1" ht="12.45">
      <c r="A434" s="37"/>
    </row>
    <row r="435" spans="1:1" ht="12.45">
      <c r="A435" s="37"/>
    </row>
    <row r="436" spans="1:1" ht="12.45">
      <c r="A436" s="37"/>
    </row>
    <row r="437" spans="1:1" ht="12.45">
      <c r="A437" s="37"/>
    </row>
    <row r="438" spans="1:1" ht="12.45">
      <c r="A438" s="37"/>
    </row>
    <row r="439" spans="1:1" ht="12.45">
      <c r="A439" s="37"/>
    </row>
    <row r="440" spans="1:1" ht="12.45">
      <c r="A440" s="37"/>
    </row>
    <row r="441" spans="1:1" ht="12.45">
      <c r="A441" s="37"/>
    </row>
    <row r="442" spans="1:1" ht="12.45">
      <c r="A442" s="37"/>
    </row>
    <row r="443" spans="1:1" ht="12.45">
      <c r="A443" s="37"/>
    </row>
    <row r="444" spans="1:1" ht="12.45">
      <c r="A444" s="37"/>
    </row>
    <row r="445" spans="1:1" ht="12.45">
      <c r="A445" s="37"/>
    </row>
    <row r="446" spans="1:1" ht="12.45">
      <c r="A446" s="37"/>
    </row>
    <row r="447" spans="1:1" ht="12.45">
      <c r="A447" s="37"/>
    </row>
    <row r="448" spans="1:1" ht="12.45">
      <c r="A448" s="37"/>
    </row>
    <row r="449" spans="1:1" ht="12.45">
      <c r="A449" s="37"/>
    </row>
    <row r="450" spans="1:1" ht="12.45">
      <c r="A450" s="37"/>
    </row>
    <row r="451" spans="1:1" ht="12.45">
      <c r="A451" s="37"/>
    </row>
    <row r="452" spans="1:1" ht="12.45">
      <c r="A452" s="37"/>
    </row>
    <row r="453" spans="1:1" ht="12.45">
      <c r="A453" s="37"/>
    </row>
    <row r="454" spans="1:1" ht="12.45">
      <c r="A454" s="37"/>
    </row>
    <row r="455" spans="1:1" ht="12.45">
      <c r="A455" s="37"/>
    </row>
    <row r="456" spans="1:1" ht="12.45">
      <c r="A456" s="37"/>
    </row>
    <row r="457" spans="1:1" ht="12.45">
      <c r="A457" s="37"/>
    </row>
    <row r="458" spans="1:1" ht="12.45">
      <c r="A458" s="37"/>
    </row>
    <row r="459" spans="1:1" ht="12.45">
      <c r="A459" s="37"/>
    </row>
    <row r="460" spans="1:1" ht="12.45">
      <c r="A460" s="37"/>
    </row>
    <row r="461" spans="1:1" ht="12.45">
      <c r="A461" s="37"/>
    </row>
    <row r="462" spans="1:1" ht="12.45">
      <c r="A462" s="37"/>
    </row>
    <row r="463" spans="1:1" ht="12.45">
      <c r="A463" s="37"/>
    </row>
    <row r="464" spans="1:1" ht="12.45">
      <c r="A464" s="37"/>
    </row>
    <row r="465" spans="1:1" ht="12.45">
      <c r="A465" s="37"/>
    </row>
    <row r="466" spans="1:1" ht="12.45">
      <c r="A466" s="37"/>
    </row>
    <row r="467" spans="1:1" ht="12.45">
      <c r="A467" s="37"/>
    </row>
    <row r="468" spans="1:1" ht="12.45">
      <c r="A468" s="37"/>
    </row>
    <row r="469" spans="1:1" ht="12.45">
      <c r="A469" s="37"/>
    </row>
    <row r="470" spans="1:1" ht="12.45">
      <c r="A470" s="37"/>
    </row>
    <row r="471" spans="1:1" ht="12.45">
      <c r="A471" s="37"/>
    </row>
    <row r="472" spans="1:1" ht="12.45">
      <c r="A472" s="37"/>
    </row>
    <row r="473" spans="1:1" ht="12.45">
      <c r="A473" s="37"/>
    </row>
    <row r="474" spans="1:1" ht="12.45">
      <c r="A474" s="37"/>
    </row>
    <row r="475" spans="1:1" ht="12.45">
      <c r="A475" s="37"/>
    </row>
    <row r="476" spans="1:1" ht="12.45">
      <c r="A476" s="37"/>
    </row>
    <row r="477" spans="1:1" ht="12.45">
      <c r="A477" s="37"/>
    </row>
    <row r="478" spans="1:1" ht="12.45">
      <c r="A478" s="37"/>
    </row>
    <row r="479" spans="1:1" ht="12.45">
      <c r="A479" s="37"/>
    </row>
    <row r="480" spans="1:1" ht="12.45">
      <c r="A480" s="37"/>
    </row>
    <row r="481" spans="1:1" ht="12.45">
      <c r="A481" s="37"/>
    </row>
    <row r="482" spans="1:1" ht="12.45">
      <c r="A482" s="37"/>
    </row>
    <row r="483" spans="1:1" ht="12.45">
      <c r="A483" s="37"/>
    </row>
    <row r="484" spans="1:1" ht="12.45">
      <c r="A484" s="37"/>
    </row>
    <row r="485" spans="1:1" ht="12.45">
      <c r="A485" s="37"/>
    </row>
    <row r="486" spans="1:1" ht="12.45">
      <c r="A486" s="37"/>
    </row>
    <row r="487" spans="1:1" ht="12.45">
      <c r="A487" s="37"/>
    </row>
    <row r="488" spans="1:1" ht="12.45">
      <c r="A488" s="37"/>
    </row>
    <row r="489" spans="1:1" ht="12.45">
      <c r="A489" s="37"/>
    </row>
    <row r="490" spans="1:1" ht="12.45">
      <c r="A490" s="37"/>
    </row>
    <row r="491" spans="1:1" ht="12.45">
      <c r="A491" s="37"/>
    </row>
    <row r="492" spans="1:1" ht="12.45">
      <c r="A492" s="37"/>
    </row>
    <row r="493" spans="1:1" ht="12.45">
      <c r="A493" s="37"/>
    </row>
    <row r="494" spans="1:1" ht="12.45">
      <c r="A494" s="37"/>
    </row>
    <row r="495" spans="1:1" ht="12.45">
      <c r="A495" s="37"/>
    </row>
    <row r="496" spans="1:1" ht="12.45">
      <c r="A496" s="37"/>
    </row>
    <row r="497" spans="1:1" ht="12.45">
      <c r="A497" s="37"/>
    </row>
    <row r="498" spans="1:1" ht="12.45">
      <c r="A498" s="37"/>
    </row>
    <row r="499" spans="1:1" ht="12.45">
      <c r="A499" s="37"/>
    </row>
    <row r="500" spans="1:1" ht="12.45">
      <c r="A500" s="37"/>
    </row>
    <row r="501" spans="1:1" ht="12.45">
      <c r="A501" s="37"/>
    </row>
    <row r="502" spans="1:1" ht="12.45">
      <c r="A502" s="37"/>
    </row>
    <row r="503" spans="1:1" ht="12.45">
      <c r="A503" s="37"/>
    </row>
    <row r="504" spans="1:1" ht="12.45">
      <c r="A504" s="37"/>
    </row>
    <row r="505" spans="1:1" ht="12.45">
      <c r="A505" s="37"/>
    </row>
    <row r="506" spans="1:1" ht="12.45">
      <c r="A506" s="37"/>
    </row>
    <row r="507" spans="1:1" ht="12.45">
      <c r="A507" s="37"/>
    </row>
    <row r="508" spans="1:1" ht="12.45">
      <c r="A508" s="37"/>
    </row>
    <row r="509" spans="1:1" ht="12.45">
      <c r="A509" s="37"/>
    </row>
    <row r="510" spans="1:1" ht="12.45">
      <c r="A510" s="37"/>
    </row>
    <row r="511" spans="1:1" ht="12.45">
      <c r="A511" s="37"/>
    </row>
    <row r="512" spans="1:1" ht="12.45">
      <c r="A512" s="37"/>
    </row>
    <row r="513" spans="1:1" ht="12.45">
      <c r="A513" s="37"/>
    </row>
    <row r="514" spans="1:1" ht="12.45">
      <c r="A514" s="37"/>
    </row>
    <row r="515" spans="1:1" ht="12.45">
      <c r="A515" s="37"/>
    </row>
    <row r="516" spans="1:1" ht="12.45">
      <c r="A516" s="37"/>
    </row>
    <row r="517" spans="1:1" ht="12.45">
      <c r="A517" s="37"/>
    </row>
    <row r="518" spans="1:1" ht="12.45">
      <c r="A518" s="37"/>
    </row>
    <row r="519" spans="1:1" ht="12.45">
      <c r="A519" s="37"/>
    </row>
    <row r="520" spans="1:1" ht="12.45">
      <c r="A520" s="37"/>
    </row>
    <row r="521" spans="1:1" ht="12.45">
      <c r="A521" s="37"/>
    </row>
    <row r="522" spans="1:1" ht="12.45">
      <c r="A522" s="37"/>
    </row>
    <row r="523" spans="1:1" ht="12.45">
      <c r="A523" s="37"/>
    </row>
    <row r="524" spans="1:1" ht="12.45">
      <c r="A524" s="37"/>
    </row>
    <row r="525" spans="1:1" ht="12.45">
      <c r="A525" s="37"/>
    </row>
    <row r="526" spans="1:1" ht="12.45">
      <c r="A526" s="37"/>
    </row>
    <row r="527" spans="1:1" ht="12.45">
      <c r="A527" s="37"/>
    </row>
    <row r="528" spans="1:1" ht="12.45">
      <c r="A528" s="37"/>
    </row>
    <row r="529" spans="1:1" ht="12.45">
      <c r="A529" s="37"/>
    </row>
    <row r="530" spans="1:1" ht="12.45">
      <c r="A530" s="37"/>
    </row>
    <row r="531" spans="1:1" ht="12.45">
      <c r="A531" s="37"/>
    </row>
    <row r="532" spans="1:1" ht="12.45">
      <c r="A532" s="37"/>
    </row>
    <row r="533" spans="1:1" ht="12.45">
      <c r="A533" s="37"/>
    </row>
    <row r="534" spans="1:1" ht="12.45">
      <c r="A534" s="37"/>
    </row>
    <row r="535" spans="1:1" ht="12.45">
      <c r="A535" s="37"/>
    </row>
    <row r="536" spans="1:1" ht="12.45">
      <c r="A536" s="37"/>
    </row>
    <row r="537" spans="1:1" ht="12.45">
      <c r="A537" s="37"/>
    </row>
    <row r="538" spans="1:1" ht="12.45">
      <c r="A538" s="37"/>
    </row>
    <row r="539" spans="1:1" ht="12.45">
      <c r="A539" s="37"/>
    </row>
    <row r="540" spans="1:1" ht="12.45">
      <c r="A540" s="37"/>
    </row>
    <row r="541" spans="1:1" ht="12.45">
      <c r="A541" s="37"/>
    </row>
    <row r="542" spans="1:1" ht="12.45">
      <c r="A542" s="37"/>
    </row>
    <row r="543" spans="1:1" ht="12.45">
      <c r="A543" s="37"/>
    </row>
    <row r="544" spans="1:1" ht="12.45">
      <c r="A544" s="37"/>
    </row>
    <row r="545" spans="1:1" ht="12.45">
      <c r="A545" s="37"/>
    </row>
    <row r="546" spans="1:1" ht="12.45">
      <c r="A546" s="37"/>
    </row>
    <row r="547" spans="1:1" ht="12.45">
      <c r="A547" s="37"/>
    </row>
    <row r="548" spans="1:1" ht="12.45">
      <c r="A548" s="37"/>
    </row>
    <row r="549" spans="1:1" ht="12.45">
      <c r="A549" s="37"/>
    </row>
    <row r="550" spans="1:1" ht="12.45">
      <c r="A550" s="37"/>
    </row>
    <row r="551" spans="1:1" ht="12.45">
      <c r="A551" s="37"/>
    </row>
    <row r="552" spans="1:1" ht="12.45">
      <c r="A552" s="37"/>
    </row>
    <row r="553" spans="1:1" ht="12.45">
      <c r="A553" s="37"/>
    </row>
    <row r="554" spans="1:1" ht="12.45">
      <c r="A554" s="37"/>
    </row>
    <row r="555" spans="1:1" ht="12.45">
      <c r="A555" s="37"/>
    </row>
    <row r="556" spans="1:1" ht="12.45">
      <c r="A556" s="37"/>
    </row>
    <row r="557" spans="1:1" ht="12.45">
      <c r="A557" s="37"/>
    </row>
    <row r="558" spans="1:1" ht="12.45">
      <c r="A558" s="37"/>
    </row>
    <row r="559" spans="1:1" ht="12.45">
      <c r="A559" s="37"/>
    </row>
    <row r="560" spans="1:1" ht="12.45">
      <c r="A560" s="37"/>
    </row>
    <row r="561" spans="1:1" ht="12.45">
      <c r="A561" s="37"/>
    </row>
    <row r="562" spans="1:1" ht="12.45">
      <c r="A562" s="37"/>
    </row>
    <row r="563" spans="1:1" ht="12.45">
      <c r="A563" s="37"/>
    </row>
    <row r="564" spans="1:1" ht="12.45">
      <c r="A564" s="37"/>
    </row>
    <row r="565" spans="1:1" ht="12.45">
      <c r="A565" s="37"/>
    </row>
    <row r="566" spans="1:1" ht="12.45">
      <c r="A566" s="37"/>
    </row>
    <row r="567" spans="1:1" ht="12.45">
      <c r="A567" s="37"/>
    </row>
    <row r="568" spans="1:1" ht="12.45">
      <c r="A568" s="37"/>
    </row>
    <row r="569" spans="1:1" ht="12.45">
      <c r="A569" s="37"/>
    </row>
    <row r="570" spans="1:1" ht="12.45">
      <c r="A570" s="37"/>
    </row>
    <row r="571" spans="1:1" ht="12.45">
      <c r="A571" s="37"/>
    </row>
    <row r="572" spans="1:1" ht="12.45">
      <c r="A572" s="37"/>
    </row>
    <row r="573" spans="1:1" ht="12.45">
      <c r="A573" s="37"/>
    </row>
    <row r="574" spans="1:1" ht="12.45">
      <c r="A574" s="37"/>
    </row>
    <row r="575" spans="1:1" ht="12.45">
      <c r="A575" s="37"/>
    </row>
    <row r="576" spans="1:1" ht="12.45">
      <c r="A576" s="37"/>
    </row>
    <row r="577" spans="1:1" ht="12.45">
      <c r="A577" s="37"/>
    </row>
    <row r="578" spans="1:1" ht="12.45">
      <c r="A578" s="37"/>
    </row>
    <row r="579" spans="1:1" ht="12.45">
      <c r="A579" s="37"/>
    </row>
    <row r="580" spans="1:1" ht="12.45">
      <c r="A580" s="37"/>
    </row>
    <row r="581" spans="1:1" ht="12.45">
      <c r="A581" s="37"/>
    </row>
    <row r="582" spans="1:1" ht="12.45">
      <c r="A582" s="37"/>
    </row>
    <row r="583" spans="1:1" ht="12.45">
      <c r="A583" s="37"/>
    </row>
    <row r="584" spans="1:1" ht="12.45">
      <c r="A584" s="37"/>
    </row>
    <row r="585" spans="1:1" ht="12.45">
      <c r="A585" s="37"/>
    </row>
    <row r="586" spans="1:1" ht="12.45">
      <c r="A586" s="37"/>
    </row>
    <row r="587" spans="1:1" ht="12.45">
      <c r="A587" s="37"/>
    </row>
    <row r="588" spans="1:1" ht="12.45">
      <c r="A588" s="37"/>
    </row>
    <row r="589" spans="1:1" ht="12.45">
      <c r="A589" s="37"/>
    </row>
    <row r="590" spans="1:1" ht="12.45">
      <c r="A590" s="37"/>
    </row>
    <row r="591" spans="1:1" ht="12.45">
      <c r="A591" s="37"/>
    </row>
    <row r="592" spans="1:1" ht="12.45">
      <c r="A592" s="37"/>
    </row>
    <row r="593" spans="1:1" ht="12.45">
      <c r="A593" s="37"/>
    </row>
    <row r="594" spans="1:1" ht="12.45">
      <c r="A594" s="37"/>
    </row>
    <row r="595" spans="1:1" ht="12.45">
      <c r="A595" s="37"/>
    </row>
    <row r="596" spans="1:1" ht="12.45">
      <c r="A596" s="37"/>
    </row>
    <row r="597" spans="1:1" ht="12.45">
      <c r="A597" s="37"/>
    </row>
    <row r="598" spans="1:1" ht="12.45">
      <c r="A598" s="37"/>
    </row>
    <row r="599" spans="1:1" ht="12.45">
      <c r="A599" s="37"/>
    </row>
    <row r="600" spans="1:1" ht="12.45">
      <c r="A600" s="37"/>
    </row>
    <row r="601" spans="1:1" ht="12.45">
      <c r="A601" s="37"/>
    </row>
    <row r="602" spans="1:1" ht="12.45">
      <c r="A602" s="37"/>
    </row>
    <row r="603" spans="1:1" ht="12.45">
      <c r="A603" s="37"/>
    </row>
    <row r="604" spans="1:1" ht="12.45">
      <c r="A604" s="37"/>
    </row>
    <row r="605" spans="1:1" ht="12.45">
      <c r="A605" s="37"/>
    </row>
    <row r="606" spans="1:1" ht="12.45">
      <c r="A606" s="37"/>
    </row>
    <row r="607" spans="1:1" ht="12.45">
      <c r="A607" s="37"/>
    </row>
    <row r="608" spans="1:1" ht="12.45">
      <c r="A608" s="37"/>
    </row>
    <row r="609" spans="1:1" ht="12.45">
      <c r="A609" s="37"/>
    </row>
    <row r="610" spans="1:1" ht="12.45">
      <c r="A610" s="37"/>
    </row>
    <row r="611" spans="1:1" ht="12.45">
      <c r="A611" s="37"/>
    </row>
    <row r="612" spans="1:1" ht="12.45">
      <c r="A612" s="37"/>
    </row>
    <row r="613" spans="1:1" ht="12.45">
      <c r="A613" s="37"/>
    </row>
    <row r="614" spans="1:1" ht="12.45">
      <c r="A614" s="37"/>
    </row>
    <row r="615" spans="1:1" ht="12.45">
      <c r="A615" s="37"/>
    </row>
    <row r="616" spans="1:1" ht="12.45">
      <c r="A616" s="37"/>
    </row>
    <row r="617" spans="1:1" ht="12.45">
      <c r="A617" s="37"/>
    </row>
    <row r="618" spans="1:1" ht="12.45">
      <c r="A618" s="37"/>
    </row>
    <row r="619" spans="1:1" ht="12.45">
      <c r="A619" s="37"/>
    </row>
    <row r="620" spans="1:1" ht="12.45">
      <c r="A620" s="37"/>
    </row>
    <row r="621" spans="1:1" ht="12.45">
      <c r="A621" s="37"/>
    </row>
    <row r="622" spans="1:1" ht="12.45">
      <c r="A622" s="37"/>
    </row>
    <row r="623" spans="1:1" ht="12.45">
      <c r="A623" s="37"/>
    </row>
    <row r="624" spans="1:1" ht="12.45">
      <c r="A624" s="37"/>
    </row>
    <row r="625" spans="1:1" ht="12.45">
      <c r="A625" s="37"/>
    </row>
    <row r="626" spans="1:1" ht="12.45">
      <c r="A626" s="37"/>
    </row>
    <row r="627" spans="1:1" ht="12.45">
      <c r="A627" s="37"/>
    </row>
    <row r="628" spans="1:1" ht="12.45">
      <c r="A628" s="37"/>
    </row>
    <row r="629" spans="1:1" ht="12.45">
      <c r="A629" s="37"/>
    </row>
    <row r="630" spans="1:1" ht="12.45">
      <c r="A630" s="37"/>
    </row>
    <row r="631" spans="1:1" ht="12.45">
      <c r="A631" s="37"/>
    </row>
    <row r="632" spans="1:1" ht="12.45">
      <c r="A632" s="37"/>
    </row>
    <row r="633" spans="1:1" ht="12.45">
      <c r="A633" s="37"/>
    </row>
    <row r="634" spans="1:1" ht="12.45">
      <c r="A634" s="37"/>
    </row>
    <row r="635" spans="1:1" ht="12.45">
      <c r="A635" s="37"/>
    </row>
    <row r="636" spans="1:1" ht="12.45">
      <c r="A636" s="37"/>
    </row>
    <row r="637" spans="1:1" ht="12.45">
      <c r="A637" s="37"/>
    </row>
    <row r="638" spans="1:1" ht="12.45">
      <c r="A638" s="37"/>
    </row>
    <row r="639" spans="1:1" ht="12.45">
      <c r="A639" s="37"/>
    </row>
    <row r="640" spans="1:1" ht="12.45">
      <c r="A640" s="37"/>
    </row>
    <row r="641" spans="1:1" ht="12.45">
      <c r="A641" s="37"/>
    </row>
    <row r="642" spans="1:1" ht="12.45">
      <c r="A642" s="37"/>
    </row>
    <row r="643" spans="1:1" ht="12.45">
      <c r="A643" s="37"/>
    </row>
    <row r="644" spans="1:1" ht="12.45">
      <c r="A644" s="37"/>
    </row>
    <row r="645" spans="1:1" ht="12.45">
      <c r="A645" s="37"/>
    </row>
    <row r="646" spans="1:1" ht="12.45">
      <c r="A646" s="37"/>
    </row>
    <row r="647" spans="1:1" ht="12.45">
      <c r="A647" s="37"/>
    </row>
    <row r="648" spans="1:1" ht="12.45">
      <c r="A648" s="37"/>
    </row>
    <row r="649" spans="1:1" ht="12.45">
      <c r="A649" s="37"/>
    </row>
    <row r="650" spans="1:1" ht="12.45">
      <c r="A650" s="37"/>
    </row>
    <row r="651" spans="1:1" ht="12.45">
      <c r="A651" s="37"/>
    </row>
    <row r="652" spans="1:1" ht="12.45">
      <c r="A652" s="37"/>
    </row>
    <row r="653" spans="1:1" ht="12.45">
      <c r="A653" s="37"/>
    </row>
    <row r="654" spans="1:1" ht="12.45">
      <c r="A654" s="37"/>
    </row>
    <row r="655" spans="1:1" ht="12.45">
      <c r="A655" s="37"/>
    </row>
    <row r="656" spans="1:1" ht="12.45">
      <c r="A656" s="37"/>
    </row>
    <row r="657" spans="1:1" ht="12.45">
      <c r="A657" s="37"/>
    </row>
    <row r="658" spans="1:1" ht="12.45">
      <c r="A658" s="37"/>
    </row>
    <row r="659" spans="1:1" ht="12.45">
      <c r="A659" s="37"/>
    </row>
    <row r="660" spans="1:1" ht="12.45">
      <c r="A660" s="37"/>
    </row>
    <row r="661" spans="1:1" ht="12.45">
      <c r="A661" s="37"/>
    </row>
    <row r="662" spans="1:1" ht="12.45">
      <c r="A662" s="37"/>
    </row>
    <row r="663" spans="1:1" ht="12.45">
      <c r="A663" s="37"/>
    </row>
    <row r="664" spans="1:1" ht="12.45">
      <c r="A664" s="37"/>
    </row>
    <row r="665" spans="1:1" ht="12.45">
      <c r="A665" s="37"/>
    </row>
    <row r="666" spans="1:1" ht="12.45">
      <c r="A666" s="37"/>
    </row>
    <row r="667" spans="1:1" ht="12.45">
      <c r="A667" s="37"/>
    </row>
    <row r="668" spans="1:1" ht="12.45">
      <c r="A668" s="37"/>
    </row>
    <row r="669" spans="1:1" ht="12.45">
      <c r="A669" s="37"/>
    </row>
    <row r="670" spans="1:1" ht="12.45">
      <c r="A670" s="37"/>
    </row>
    <row r="671" spans="1:1" ht="12.45">
      <c r="A671" s="37"/>
    </row>
    <row r="672" spans="1:1" ht="12.45">
      <c r="A672" s="37"/>
    </row>
    <row r="673" spans="1:1" ht="12.45">
      <c r="A673" s="37"/>
    </row>
    <row r="674" spans="1:1" ht="12.45">
      <c r="A674" s="37"/>
    </row>
    <row r="675" spans="1:1" ht="12.45">
      <c r="A675" s="37"/>
    </row>
    <row r="676" spans="1:1" ht="12.45">
      <c r="A676" s="37"/>
    </row>
    <row r="677" spans="1:1" ht="12.45">
      <c r="A677" s="37"/>
    </row>
    <row r="678" spans="1:1" ht="12.45">
      <c r="A678" s="37"/>
    </row>
    <row r="679" spans="1:1" ht="12.45">
      <c r="A679" s="37"/>
    </row>
    <row r="680" spans="1:1" ht="12.45">
      <c r="A680" s="37"/>
    </row>
    <row r="681" spans="1:1" ht="12.45">
      <c r="A681" s="37"/>
    </row>
    <row r="682" spans="1:1" ht="12.45">
      <c r="A682" s="37"/>
    </row>
    <row r="683" spans="1:1" ht="12.45">
      <c r="A683" s="37"/>
    </row>
    <row r="684" spans="1:1" ht="12.45">
      <c r="A684" s="37"/>
    </row>
    <row r="685" spans="1:1" ht="12.45">
      <c r="A685" s="37"/>
    </row>
    <row r="686" spans="1:1" ht="12.45">
      <c r="A686" s="37"/>
    </row>
    <row r="687" spans="1:1" ht="12.45">
      <c r="A687" s="37"/>
    </row>
    <row r="688" spans="1:1" ht="12.45">
      <c r="A688" s="37"/>
    </row>
    <row r="689" spans="1:1" ht="12.45">
      <c r="A689" s="37"/>
    </row>
    <row r="690" spans="1:1" ht="12.45">
      <c r="A690" s="37"/>
    </row>
    <row r="691" spans="1:1" ht="12.45">
      <c r="A691" s="37"/>
    </row>
    <row r="692" spans="1:1" ht="12.45">
      <c r="A692" s="37"/>
    </row>
    <row r="693" spans="1:1" ht="12.45">
      <c r="A693" s="37"/>
    </row>
    <row r="694" spans="1:1" ht="12.45">
      <c r="A694" s="37"/>
    </row>
    <row r="695" spans="1:1" ht="12.45">
      <c r="A695" s="37"/>
    </row>
    <row r="696" spans="1:1" ht="12.45">
      <c r="A696" s="37"/>
    </row>
    <row r="697" spans="1:1" ht="12.45">
      <c r="A697" s="37"/>
    </row>
    <row r="698" spans="1:1" ht="12.45">
      <c r="A698" s="37"/>
    </row>
    <row r="699" spans="1:1" ht="12.45">
      <c r="A699" s="37"/>
    </row>
    <row r="700" spans="1:1" ht="12.45">
      <c r="A700" s="37"/>
    </row>
    <row r="701" spans="1:1" ht="12.45">
      <c r="A701" s="37"/>
    </row>
    <row r="702" spans="1:1" ht="12.45">
      <c r="A702" s="37"/>
    </row>
    <row r="703" spans="1:1" ht="12.45">
      <c r="A703" s="37"/>
    </row>
    <row r="704" spans="1:1" ht="12.45">
      <c r="A704" s="37"/>
    </row>
    <row r="705" spans="1:1" ht="12.45">
      <c r="A705" s="37"/>
    </row>
    <row r="706" spans="1:1" ht="12.45">
      <c r="A706" s="37"/>
    </row>
    <row r="707" spans="1:1" ht="12.45">
      <c r="A707" s="37"/>
    </row>
    <row r="708" spans="1:1" ht="12.45">
      <c r="A708" s="37"/>
    </row>
    <row r="709" spans="1:1" ht="12.45">
      <c r="A709" s="37"/>
    </row>
    <row r="710" spans="1:1" ht="12.45">
      <c r="A710" s="37"/>
    </row>
    <row r="711" spans="1:1" ht="12.45">
      <c r="A711" s="37"/>
    </row>
    <row r="712" spans="1:1" ht="12.45">
      <c r="A712" s="37"/>
    </row>
    <row r="713" spans="1:1" ht="12.45">
      <c r="A713" s="37"/>
    </row>
    <row r="714" spans="1:1" ht="12.45">
      <c r="A714" s="37"/>
    </row>
    <row r="715" spans="1:1" ht="12.45">
      <c r="A715" s="37"/>
    </row>
    <row r="716" spans="1:1" ht="12.45">
      <c r="A716" s="37"/>
    </row>
    <row r="717" spans="1:1" ht="12.45">
      <c r="A717" s="37"/>
    </row>
    <row r="718" spans="1:1" ht="12.45">
      <c r="A718" s="37"/>
    </row>
    <row r="719" spans="1:1" ht="12.45">
      <c r="A719" s="37"/>
    </row>
    <row r="720" spans="1:1" ht="12.45">
      <c r="A720" s="37"/>
    </row>
    <row r="721" spans="1:1" ht="12.45">
      <c r="A721" s="37"/>
    </row>
    <row r="722" spans="1:1" ht="12.45">
      <c r="A722" s="37"/>
    </row>
    <row r="723" spans="1:1" ht="12.45">
      <c r="A723" s="37"/>
    </row>
    <row r="724" spans="1:1" ht="12.45">
      <c r="A724" s="37"/>
    </row>
    <row r="725" spans="1:1" ht="12.45">
      <c r="A725" s="37"/>
    </row>
    <row r="726" spans="1:1" ht="12.45">
      <c r="A726" s="37"/>
    </row>
    <row r="727" spans="1:1" ht="12.45">
      <c r="A727" s="37"/>
    </row>
    <row r="728" spans="1:1" ht="12.45">
      <c r="A728" s="37"/>
    </row>
    <row r="729" spans="1:1" ht="12.45">
      <c r="A729" s="37"/>
    </row>
    <row r="730" spans="1:1" ht="12.45">
      <c r="A730" s="37"/>
    </row>
    <row r="731" spans="1:1" ht="12.45">
      <c r="A731" s="37"/>
    </row>
    <row r="732" spans="1:1" ht="12.45">
      <c r="A732" s="37"/>
    </row>
    <row r="733" spans="1:1" ht="12.45">
      <c r="A733" s="37"/>
    </row>
    <row r="734" spans="1:1" ht="12.45">
      <c r="A734" s="37"/>
    </row>
    <row r="735" spans="1:1" ht="12.45">
      <c r="A735" s="37"/>
    </row>
    <row r="736" spans="1:1" ht="12.45">
      <c r="A736" s="37"/>
    </row>
    <row r="737" spans="1:1" ht="12.45">
      <c r="A737" s="37"/>
    </row>
    <row r="738" spans="1:1" ht="12.45">
      <c r="A738" s="37"/>
    </row>
    <row r="739" spans="1:1" ht="12.45">
      <c r="A739" s="37"/>
    </row>
    <row r="740" spans="1:1" ht="12.45">
      <c r="A740" s="37"/>
    </row>
    <row r="741" spans="1:1" ht="12.45">
      <c r="A741" s="37"/>
    </row>
    <row r="742" spans="1:1" ht="12.45">
      <c r="A742" s="37"/>
    </row>
    <row r="743" spans="1:1" ht="12.45">
      <c r="A743" s="37"/>
    </row>
    <row r="744" spans="1:1" ht="12.45">
      <c r="A744" s="37"/>
    </row>
    <row r="745" spans="1:1" ht="12.45">
      <c r="A745" s="37"/>
    </row>
    <row r="746" spans="1:1" ht="12.45">
      <c r="A746" s="37"/>
    </row>
    <row r="747" spans="1:1" ht="12.45">
      <c r="A747" s="37"/>
    </row>
    <row r="748" spans="1:1" ht="12.45">
      <c r="A748" s="37"/>
    </row>
    <row r="749" spans="1:1" ht="12.45">
      <c r="A749" s="37"/>
    </row>
    <row r="750" spans="1:1" ht="12.45">
      <c r="A750" s="37"/>
    </row>
    <row r="751" spans="1:1" ht="12.45">
      <c r="A751" s="37"/>
    </row>
    <row r="752" spans="1:1" ht="12.45">
      <c r="A752" s="37"/>
    </row>
    <row r="753" spans="1:1" ht="12.45">
      <c r="A753" s="37"/>
    </row>
    <row r="754" spans="1:1" ht="12.45">
      <c r="A754" s="37"/>
    </row>
    <row r="755" spans="1:1" ht="12.45">
      <c r="A755" s="37"/>
    </row>
    <row r="756" spans="1:1" ht="12.45">
      <c r="A756" s="37"/>
    </row>
    <row r="757" spans="1:1" ht="12.45">
      <c r="A757" s="37"/>
    </row>
    <row r="758" spans="1:1" ht="12.45">
      <c r="A758" s="37"/>
    </row>
    <row r="759" spans="1:1" ht="12.45">
      <c r="A759" s="37"/>
    </row>
    <row r="760" spans="1:1" ht="12.45">
      <c r="A760" s="37"/>
    </row>
    <row r="761" spans="1:1" ht="12.45">
      <c r="A761" s="37"/>
    </row>
    <row r="762" spans="1:1" ht="12.45">
      <c r="A762" s="37"/>
    </row>
    <row r="763" spans="1:1" ht="12.45">
      <c r="A763" s="37"/>
    </row>
    <row r="764" spans="1:1" ht="12.45">
      <c r="A764" s="37"/>
    </row>
    <row r="765" spans="1:1" ht="12.45">
      <c r="A765" s="37"/>
    </row>
    <row r="766" spans="1:1" ht="12.45">
      <c r="A766" s="37"/>
    </row>
    <row r="767" spans="1:1" ht="12.45">
      <c r="A767" s="37"/>
    </row>
    <row r="768" spans="1:1" ht="12.45">
      <c r="A768" s="37"/>
    </row>
    <row r="769" spans="1:1" ht="12.45">
      <c r="A769" s="37"/>
    </row>
    <row r="770" spans="1:1" ht="12.45">
      <c r="A770" s="37"/>
    </row>
    <row r="771" spans="1:1" ht="12.45">
      <c r="A771" s="37"/>
    </row>
    <row r="772" spans="1:1" ht="12.45">
      <c r="A772" s="37"/>
    </row>
    <row r="773" spans="1:1" ht="12.45">
      <c r="A773" s="37"/>
    </row>
    <row r="774" spans="1:1" ht="12.45">
      <c r="A774" s="37"/>
    </row>
    <row r="775" spans="1:1" ht="12.45">
      <c r="A775" s="37"/>
    </row>
    <row r="776" spans="1:1" ht="12.45">
      <c r="A776" s="37"/>
    </row>
    <row r="777" spans="1:1" ht="12.45">
      <c r="A777" s="37"/>
    </row>
    <row r="778" spans="1:1" ht="12.45">
      <c r="A778" s="37"/>
    </row>
    <row r="779" spans="1:1" ht="12.45">
      <c r="A779" s="37"/>
    </row>
    <row r="780" spans="1:1" ht="12.45">
      <c r="A780" s="37"/>
    </row>
    <row r="781" spans="1:1" ht="12.45">
      <c r="A781" s="37"/>
    </row>
    <row r="782" spans="1:1" ht="12.45">
      <c r="A782" s="37"/>
    </row>
    <row r="783" spans="1:1" ht="12.45">
      <c r="A783" s="37"/>
    </row>
    <row r="784" spans="1:1" ht="12.45">
      <c r="A784" s="37"/>
    </row>
    <row r="785" spans="1:1" ht="12.45">
      <c r="A785" s="37"/>
    </row>
    <row r="786" spans="1:1" ht="12.45">
      <c r="A786" s="37"/>
    </row>
    <row r="787" spans="1:1" ht="12.45">
      <c r="A787" s="37"/>
    </row>
    <row r="788" spans="1:1" ht="12.45">
      <c r="A788" s="37"/>
    </row>
    <row r="789" spans="1:1" ht="12.45">
      <c r="A789" s="37"/>
    </row>
    <row r="790" spans="1:1" ht="12.45">
      <c r="A790" s="37"/>
    </row>
    <row r="791" spans="1:1" ht="12.45">
      <c r="A791" s="37"/>
    </row>
    <row r="792" spans="1:1" ht="12.45">
      <c r="A792" s="37"/>
    </row>
    <row r="793" spans="1:1" ht="12.45">
      <c r="A793" s="37"/>
    </row>
    <row r="794" spans="1:1" ht="12.45">
      <c r="A794" s="37"/>
    </row>
    <row r="795" spans="1:1" ht="12.45">
      <c r="A795" s="37"/>
    </row>
    <row r="796" spans="1:1" ht="12.45">
      <c r="A796" s="37"/>
    </row>
    <row r="797" spans="1:1" ht="12.45">
      <c r="A797" s="37"/>
    </row>
    <row r="798" spans="1:1" ht="12.45">
      <c r="A798" s="37"/>
    </row>
    <row r="799" spans="1:1" ht="12.45">
      <c r="A799" s="37"/>
    </row>
    <row r="800" spans="1:1" ht="12.45">
      <c r="A800" s="37"/>
    </row>
    <row r="801" spans="1:1" ht="12.45">
      <c r="A801" s="37"/>
    </row>
    <row r="802" spans="1:1" ht="12.45">
      <c r="A802" s="37"/>
    </row>
    <row r="803" spans="1:1" ht="12.45">
      <c r="A803" s="37"/>
    </row>
    <row r="804" spans="1:1" ht="12.45">
      <c r="A804" s="37"/>
    </row>
    <row r="805" spans="1:1" ht="12.45">
      <c r="A805" s="37"/>
    </row>
    <row r="806" spans="1:1" ht="12.45">
      <c r="A806" s="37"/>
    </row>
    <row r="807" spans="1:1" ht="12.45">
      <c r="A807" s="37"/>
    </row>
    <row r="808" spans="1:1" ht="12.45">
      <c r="A808" s="37"/>
    </row>
    <row r="809" spans="1:1" ht="12.45">
      <c r="A809" s="37"/>
    </row>
    <row r="810" spans="1:1" ht="12.45">
      <c r="A810" s="37"/>
    </row>
    <row r="811" spans="1:1" ht="12.45">
      <c r="A811" s="37"/>
    </row>
    <row r="812" spans="1:1" ht="12.45">
      <c r="A812" s="37"/>
    </row>
    <row r="813" spans="1:1" ht="12.45">
      <c r="A813" s="37"/>
    </row>
    <row r="814" spans="1:1" ht="12.45">
      <c r="A814" s="37"/>
    </row>
    <row r="815" spans="1:1" ht="12.45">
      <c r="A815" s="37"/>
    </row>
    <row r="816" spans="1:1" ht="12.45">
      <c r="A816" s="37"/>
    </row>
    <row r="817" spans="1:1" ht="12.45">
      <c r="A817" s="37"/>
    </row>
    <row r="818" spans="1:1" ht="12.45">
      <c r="A818" s="37"/>
    </row>
    <row r="819" spans="1:1" ht="12.45">
      <c r="A819" s="37"/>
    </row>
    <row r="820" spans="1:1" ht="12.45">
      <c r="A820" s="37"/>
    </row>
    <row r="821" spans="1:1" ht="12.45">
      <c r="A821" s="37"/>
    </row>
    <row r="822" spans="1:1" ht="12.45">
      <c r="A822" s="37"/>
    </row>
    <row r="823" spans="1:1" ht="12.45">
      <c r="A823" s="37"/>
    </row>
    <row r="824" spans="1:1" ht="12.45">
      <c r="A824" s="37"/>
    </row>
    <row r="825" spans="1:1" ht="12.45">
      <c r="A825" s="37"/>
    </row>
    <row r="826" spans="1:1" ht="12.45">
      <c r="A826" s="37"/>
    </row>
    <row r="827" spans="1:1" ht="12.45">
      <c r="A827" s="37"/>
    </row>
    <row r="828" spans="1:1" ht="12.45">
      <c r="A828" s="37"/>
    </row>
    <row r="829" spans="1:1" ht="12.45">
      <c r="A829" s="37"/>
    </row>
    <row r="830" spans="1:1" ht="12.45">
      <c r="A830" s="37"/>
    </row>
    <row r="831" spans="1:1" ht="12.45">
      <c r="A831" s="37"/>
    </row>
    <row r="832" spans="1:1" ht="12.45">
      <c r="A832" s="37"/>
    </row>
    <row r="833" spans="1:1" ht="12.45">
      <c r="A833" s="37"/>
    </row>
    <row r="834" spans="1:1" ht="12.45">
      <c r="A834" s="37"/>
    </row>
    <row r="835" spans="1:1" ht="12.45">
      <c r="A835" s="37"/>
    </row>
    <row r="836" spans="1:1" ht="12.45">
      <c r="A836" s="37"/>
    </row>
    <row r="837" spans="1:1" ht="12.45">
      <c r="A837" s="37"/>
    </row>
    <row r="838" spans="1:1" ht="12.45">
      <c r="A838" s="37"/>
    </row>
    <row r="839" spans="1:1" ht="12.45">
      <c r="A839" s="37"/>
    </row>
    <row r="840" spans="1:1" ht="12.45">
      <c r="A840" s="37"/>
    </row>
    <row r="841" spans="1:1" ht="12.45">
      <c r="A841" s="37"/>
    </row>
    <row r="842" spans="1:1" ht="12.45">
      <c r="A842" s="37"/>
    </row>
    <row r="843" spans="1:1" ht="12.45">
      <c r="A843" s="37"/>
    </row>
    <row r="844" spans="1:1" ht="12.45">
      <c r="A844" s="37"/>
    </row>
    <row r="845" spans="1:1" ht="12.45">
      <c r="A845" s="37"/>
    </row>
    <row r="846" spans="1:1" ht="12.45">
      <c r="A846" s="37"/>
    </row>
    <row r="847" spans="1:1" ht="12.45">
      <c r="A847" s="37"/>
    </row>
    <row r="848" spans="1:1" ht="12.45">
      <c r="A848" s="37"/>
    </row>
    <row r="849" spans="1:1" ht="12.45">
      <c r="A849" s="37"/>
    </row>
    <row r="850" spans="1:1" ht="12.45">
      <c r="A850" s="37"/>
    </row>
    <row r="851" spans="1:1" ht="12.45">
      <c r="A851" s="37"/>
    </row>
    <row r="852" spans="1:1" ht="12.45">
      <c r="A852" s="37"/>
    </row>
    <row r="853" spans="1:1" ht="12.45">
      <c r="A853" s="37"/>
    </row>
    <row r="854" spans="1:1" ht="12.45">
      <c r="A854" s="37"/>
    </row>
    <row r="855" spans="1:1" ht="12.45">
      <c r="A855" s="37"/>
    </row>
    <row r="856" spans="1:1" ht="12.45">
      <c r="A856" s="37"/>
    </row>
    <row r="857" spans="1:1" ht="12.45">
      <c r="A857" s="37"/>
    </row>
    <row r="858" spans="1:1" ht="12.45">
      <c r="A858" s="37"/>
    </row>
    <row r="859" spans="1:1" ht="12.45">
      <c r="A859" s="37"/>
    </row>
    <row r="860" spans="1:1" ht="12.45">
      <c r="A860" s="37"/>
    </row>
    <row r="861" spans="1:1" ht="12.45">
      <c r="A861" s="37"/>
    </row>
    <row r="862" spans="1:1" ht="12.45">
      <c r="A862" s="37"/>
    </row>
    <row r="863" spans="1:1" ht="12.45">
      <c r="A863" s="37"/>
    </row>
    <row r="864" spans="1:1" ht="12.45">
      <c r="A864" s="37"/>
    </row>
    <row r="865" spans="1:1" ht="12.45">
      <c r="A865" s="37"/>
    </row>
    <row r="866" spans="1:1" ht="12.45">
      <c r="A866" s="37"/>
    </row>
    <row r="867" spans="1:1" ht="12.45">
      <c r="A867" s="37"/>
    </row>
    <row r="868" spans="1:1" ht="12.45">
      <c r="A868" s="37"/>
    </row>
    <row r="869" spans="1:1" ht="12.45">
      <c r="A869" s="37"/>
    </row>
    <row r="870" spans="1:1" ht="12.45">
      <c r="A870" s="37"/>
    </row>
    <row r="871" spans="1:1" ht="12.45">
      <c r="A871" s="37"/>
    </row>
    <row r="872" spans="1:1" ht="12.45">
      <c r="A872" s="37"/>
    </row>
    <row r="873" spans="1:1" ht="12.45">
      <c r="A873" s="37"/>
    </row>
    <row r="874" spans="1:1" ht="12.45">
      <c r="A874" s="37"/>
    </row>
    <row r="875" spans="1:1" ht="12.45">
      <c r="A875" s="37"/>
    </row>
    <row r="876" spans="1:1" ht="12.45">
      <c r="A876" s="37"/>
    </row>
    <row r="877" spans="1:1" ht="12.45">
      <c r="A877" s="37"/>
    </row>
    <row r="878" spans="1:1" ht="12.45">
      <c r="A878" s="37"/>
    </row>
    <row r="879" spans="1:1" ht="12.45">
      <c r="A879" s="37"/>
    </row>
    <row r="880" spans="1:1" ht="12.45">
      <c r="A880" s="37"/>
    </row>
    <row r="881" spans="1:1" ht="12.45">
      <c r="A881" s="37"/>
    </row>
    <row r="882" spans="1:1" ht="12.45">
      <c r="A882" s="37"/>
    </row>
    <row r="883" spans="1:1" ht="12.45">
      <c r="A883" s="37"/>
    </row>
    <row r="884" spans="1:1" ht="12.45">
      <c r="A884" s="37"/>
    </row>
    <row r="885" spans="1:1" ht="12.45">
      <c r="A885" s="37"/>
    </row>
    <row r="886" spans="1:1" ht="12.45">
      <c r="A886" s="37"/>
    </row>
    <row r="887" spans="1:1" ht="12.45">
      <c r="A887" s="37"/>
    </row>
    <row r="888" spans="1:1" ht="12.45">
      <c r="A888" s="37"/>
    </row>
    <row r="889" spans="1:1" ht="12.45">
      <c r="A889" s="37"/>
    </row>
    <row r="890" spans="1:1" ht="12.45">
      <c r="A890" s="37"/>
    </row>
    <row r="891" spans="1:1" ht="12.45">
      <c r="A891" s="37"/>
    </row>
    <row r="892" spans="1:1" ht="12.45">
      <c r="A892" s="37"/>
    </row>
    <row r="893" spans="1:1" ht="12.45">
      <c r="A893" s="37"/>
    </row>
    <row r="894" spans="1:1" ht="12.45">
      <c r="A894" s="37"/>
    </row>
    <row r="895" spans="1:1" ht="12.45">
      <c r="A895" s="37"/>
    </row>
    <row r="896" spans="1:1" ht="12.45">
      <c r="A896" s="37"/>
    </row>
    <row r="897" spans="1:1" ht="12.45">
      <c r="A897" s="37"/>
    </row>
    <row r="898" spans="1:1" ht="12.45">
      <c r="A898" s="37"/>
    </row>
    <row r="899" spans="1:1" ht="12.45">
      <c r="A899" s="37"/>
    </row>
    <row r="900" spans="1:1" ht="12.45">
      <c r="A900" s="37"/>
    </row>
    <row r="901" spans="1:1" ht="12.45">
      <c r="A901" s="37"/>
    </row>
    <row r="902" spans="1:1" ht="12.45">
      <c r="A902" s="37"/>
    </row>
    <row r="903" spans="1:1" ht="12.45">
      <c r="A903" s="37"/>
    </row>
    <row r="904" spans="1:1" ht="12.45">
      <c r="A904" s="37"/>
    </row>
    <row r="905" spans="1:1" ht="12.45">
      <c r="A905" s="37"/>
    </row>
    <row r="906" spans="1:1" ht="12.45">
      <c r="A906" s="37"/>
    </row>
    <row r="907" spans="1:1" ht="12.45">
      <c r="A907" s="37"/>
    </row>
    <row r="908" spans="1:1" ht="12.45">
      <c r="A908" s="37"/>
    </row>
    <row r="909" spans="1:1" ht="12.45">
      <c r="A909" s="37"/>
    </row>
    <row r="910" spans="1:1" ht="12.45">
      <c r="A910" s="37"/>
    </row>
    <row r="911" spans="1:1" ht="12.45">
      <c r="A911" s="37"/>
    </row>
    <row r="912" spans="1:1" ht="12.45">
      <c r="A912" s="37"/>
    </row>
    <row r="913" spans="1:1" ht="12.45">
      <c r="A913" s="37"/>
    </row>
    <row r="914" spans="1:1" ht="12.45">
      <c r="A914" s="37"/>
    </row>
    <row r="915" spans="1:1" ht="12.45">
      <c r="A915" s="37"/>
    </row>
    <row r="916" spans="1:1" ht="12.45">
      <c r="A916" s="37"/>
    </row>
    <row r="917" spans="1:1" ht="12.45">
      <c r="A917" s="37"/>
    </row>
    <row r="918" spans="1:1" ht="12.45">
      <c r="A918" s="37"/>
    </row>
    <row r="919" spans="1:1" ht="12.45">
      <c r="A919" s="37"/>
    </row>
    <row r="920" spans="1:1" ht="12.45">
      <c r="A920" s="37"/>
    </row>
    <row r="921" spans="1:1" ht="12.45">
      <c r="A921" s="37"/>
    </row>
    <row r="922" spans="1:1" ht="12.45">
      <c r="A922" s="37"/>
    </row>
    <row r="923" spans="1:1" ht="12.45">
      <c r="A923" s="37"/>
    </row>
    <row r="924" spans="1:1" ht="12.45">
      <c r="A924" s="37"/>
    </row>
    <row r="925" spans="1:1" ht="12.45">
      <c r="A925" s="37"/>
    </row>
    <row r="926" spans="1:1" ht="12.45">
      <c r="A926" s="37"/>
    </row>
    <row r="927" spans="1:1" ht="12.45">
      <c r="A927" s="37"/>
    </row>
    <row r="928" spans="1:1" ht="12.45">
      <c r="A928" s="37"/>
    </row>
    <row r="929" spans="1:1" ht="12.45">
      <c r="A929" s="37"/>
    </row>
    <row r="930" spans="1:1" ht="12.45">
      <c r="A930" s="37"/>
    </row>
    <row r="931" spans="1:1" ht="12.45">
      <c r="A931" s="37"/>
    </row>
    <row r="932" spans="1:1" ht="12.45">
      <c r="A932" s="37"/>
    </row>
    <row r="933" spans="1:1" ht="12.45">
      <c r="A933" s="37"/>
    </row>
    <row r="934" spans="1:1" ht="12.45">
      <c r="A934" s="37"/>
    </row>
    <row r="935" spans="1:1" ht="12.45">
      <c r="A935" s="37"/>
    </row>
    <row r="936" spans="1:1" ht="12.45">
      <c r="A936" s="37"/>
    </row>
    <row r="937" spans="1:1" ht="12.45">
      <c r="A937" s="37"/>
    </row>
    <row r="938" spans="1:1" ht="12.45">
      <c r="A938" s="37"/>
    </row>
    <row r="939" spans="1:1" ht="12.45">
      <c r="A939" s="37"/>
    </row>
    <row r="940" spans="1:1" ht="12.45">
      <c r="A940" s="37"/>
    </row>
    <row r="941" spans="1:1" ht="12.45">
      <c r="A941" s="37"/>
    </row>
    <row r="942" spans="1:1" ht="12.45">
      <c r="A942" s="37"/>
    </row>
    <row r="943" spans="1:1" ht="12.45">
      <c r="A943" s="37"/>
    </row>
    <row r="944" spans="1:1" ht="12.45">
      <c r="A944" s="37"/>
    </row>
    <row r="945" spans="1:1" ht="12.45">
      <c r="A945" s="37"/>
    </row>
    <row r="946" spans="1:1" ht="12.45">
      <c r="A946" s="37"/>
    </row>
    <row r="947" spans="1:1" ht="12.45">
      <c r="A947" s="37"/>
    </row>
    <row r="948" spans="1:1" ht="12.45">
      <c r="A948" s="37"/>
    </row>
    <row r="949" spans="1:1" ht="12.45">
      <c r="A949" s="37"/>
    </row>
    <row r="950" spans="1:1" ht="12.45">
      <c r="A950" s="37"/>
    </row>
    <row r="951" spans="1:1" ht="12.45">
      <c r="A951" s="37"/>
    </row>
    <row r="952" spans="1:1" ht="12.45">
      <c r="A952" s="37"/>
    </row>
    <row r="953" spans="1:1" ht="12.45">
      <c r="A953" s="37"/>
    </row>
    <row r="954" spans="1:1" ht="12.45">
      <c r="A954" s="37"/>
    </row>
    <row r="955" spans="1:1" ht="12.45">
      <c r="A955" s="37"/>
    </row>
    <row r="956" spans="1:1" ht="12.45">
      <c r="A956" s="37"/>
    </row>
    <row r="957" spans="1:1" ht="12.45">
      <c r="A957" s="37"/>
    </row>
    <row r="958" spans="1:1" ht="12.45">
      <c r="A958" s="37"/>
    </row>
    <row r="959" spans="1:1" ht="12.45">
      <c r="A959" s="37"/>
    </row>
    <row r="960" spans="1:1" ht="12.45">
      <c r="A960" s="37"/>
    </row>
    <row r="961" spans="1:1" ht="12.45">
      <c r="A961" s="37"/>
    </row>
    <row r="962" spans="1:1" ht="12.45">
      <c r="A962" s="37"/>
    </row>
    <row r="963" spans="1:1" ht="12.45">
      <c r="A963" s="37"/>
    </row>
    <row r="964" spans="1:1" ht="12.45">
      <c r="A964" s="37"/>
    </row>
    <row r="965" spans="1:1" ht="12.45">
      <c r="A965" s="37"/>
    </row>
    <row r="966" spans="1:1" ht="12.45">
      <c r="A966" s="37"/>
    </row>
    <row r="967" spans="1:1" ht="12.45">
      <c r="A967" s="37"/>
    </row>
    <row r="968" spans="1:1" ht="12.45">
      <c r="A968" s="37"/>
    </row>
    <row r="969" spans="1:1" ht="12.45">
      <c r="A969" s="37"/>
    </row>
    <row r="970" spans="1:1" ht="12.45">
      <c r="A970" s="37"/>
    </row>
    <row r="971" spans="1:1" ht="12.45">
      <c r="A971" s="37"/>
    </row>
    <row r="972" spans="1:1" ht="12.45">
      <c r="A972" s="37"/>
    </row>
    <row r="973" spans="1:1" ht="12.45">
      <c r="A973" s="37"/>
    </row>
    <row r="974" spans="1:1" ht="12.45">
      <c r="A974" s="37"/>
    </row>
    <row r="975" spans="1:1" ht="12.45">
      <c r="A975" s="37"/>
    </row>
    <row r="976" spans="1:1" ht="12.45">
      <c r="A976" s="37"/>
    </row>
    <row r="977" spans="1:1" ht="12.45">
      <c r="A977" s="37"/>
    </row>
    <row r="978" spans="1:1" ht="12.45">
      <c r="A978" s="37"/>
    </row>
    <row r="979" spans="1:1" ht="12.45">
      <c r="A979" s="37"/>
    </row>
    <row r="980" spans="1:1" ht="12.45">
      <c r="A980" s="37"/>
    </row>
    <row r="981" spans="1:1" ht="12.45">
      <c r="A981" s="37"/>
    </row>
    <row r="982" spans="1:1" ht="12.45">
      <c r="A982" s="37"/>
    </row>
    <row r="983" spans="1:1" ht="12.45">
      <c r="A983" s="37"/>
    </row>
    <row r="984" spans="1:1" ht="12.45">
      <c r="A984" s="37"/>
    </row>
    <row r="985" spans="1:1" ht="12.45">
      <c r="A985" s="37"/>
    </row>
    <row r="986" spans="1:1" ht="12.45">
      <c r="A986" s="37"/>
    </row>
    <row r="987" spans="1:1" ht="12.45">
      <c r="A987" s="37"/>
    </row>
    <row r="988" spans="1:1" ht="12.45">
      <c r="A988" s="37"/>
    </row>
    <row r="989" spans="1:1" ht="12.45">
      <c r="A989" s="37"/>
    </row>
    <row r="990" spans="1:1" ht="12.45">
      <c r="A990" s="37"/>
    </row>
    <row r="991" spans="1:1" ht="12.45">
      <c r="A991" s="37"/>
    </row>
    <row r="992" spans="1:1" ht="12.45">
      <c r="A992" s="37"/>
    </row>
    <row r="993" spans="1:1" ht="12.45">
      <c r="A993" s="37"/>
    </row>
    <row r="994" spans="1:1" ht="12.45">
      <c r="A994" s="37"/>
    </row>
    <row r="995" spans="1:1" ht="12.45">
      <c r="A995" s="37"/>
    </row>
    <row r="996" spans="1:1" ht="12.45">
      <c r="A996" s="37"/>
    </row>
    <row r="997" spans="1:1" ht="12.45">
      <c r="A997" s="37"/>
    </row>
    <row r="998" spans="1:1" ht="12.45">
      <c r="A998" s="37"/>
    </row>
    <row r="999" spans="1:1" ht="12.45">
      <c r="A999" s="37"/>
    </row>
    <row r="1000" spans="1:1" ht="12.45">
      <c r="A1000" s="37"/>
    </row>
  </sheetData>
  <hyperlinks>
    <hyperlink ref="C2" r:id="rId1" xr:uid="{00000000-0004-0000-0500-000000000000}"/>
    <hyperlink ref="C3" r:id="rId2" xr:uid="{00000000-0004-0000-0500-000001000000}"/>
    <hyperlink ref="C4" r:id="rId3" xr:uid="{00000000-0004-0000-0500-000002000000}"/>
    <hyperlink ref="C5" r:id="rId4" xr:uid="{00000000-0004-0000-0500-000003000000}"/>
    <hyperlink ref="C6" r:id="rId5" xr:uid="{00000000-0004-0000-0500-000004000000}"/>
    <hyperlink ref="C7" r:id="rId6" xr:uid="{00000000-0004-0000-0500-000005000000}"/>
    <hyperlink ref="C8" r:id="rId7" xr:uid="{00000000-0004-0000-0500-000006000000}"/>
    <hyperlink ref="C10" r:id="rId8" xr:uid="{00000000-0004-0000-0500-000007000000}"/>
    <hyperlink ref="C11" r:id="rId9" xr:uid="{00000000-0004-0000-0500-000008000000}"/>
    <hyperlink ref="C12" r:id="rId10" xr:uid="{00000000-0004-0000-0500-00000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3 sách</vt:lpstr>
      <vt:lpstr>CÁC BUỔI HỌC CHÍNH</vt:lpstr>
      <vt:lpstr>PHỤ ĐẠO (NGOÀI LỊCH CHÍNH)</vt:lpstr>
      <vt:lpstr>TÀI LIỆU NỘI BỘ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Than Thien</cp:lastModifiedBy>
  <dcterms:modified xsi:type="dcterms:W3CDTF">2025-03-16T09:01:08Z</dcterms:modified>
</cp:coreProperties>
</file>